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mtey\Desktop\PBI_git\ProjectP1\"/>
    </mc:Choice>
  </mc:AlternateContent>
  <xr:revisionPtr revIDLastSave="0" documentId="13_ncr:1_{2D336C8E-1C88-4042-B5F3-513904247AF7}" xr6:coauthVersionLast="47" xr6:coauthVersionMax="47" xr10:uidLastSave="{00000000-0000-0000-0000-000000000000}"/>
  <bookViews>
    <workbookView xWindow="-120" yWindow="-120" windowWidth="20730" windowHeight="11160" tabRatio="656" firstSheet="5" activeTab="5" xr2:uid="{00000000-000D-0000-FFFF-FFFF00000000}"/>
  </bookViews>
  <sheets>
    <sheet name="Sheet1 Formulas" sheetId="5" state="hidden" r:id="rId1"/>
    <sheet name="Sheet1" sheetId="1" state="hidden" r:id="rId2"/>
    <sheet name="Sheet2 Formulas" sheetId="6" state="hidden" r:id="rId3"/>
    <sheet name="Sheet2" sheetId="3" state="hidden" r:id="rId4"/>
    <sheet name="Sheet3" sheetId="4" state="hidden" r:id="rId5"/>
    <sheet name="Facility Data" sheetId="2" r:id="rId6"/>
  </sheets>
  <definedNames>
    <definedName name="ConnectionString">'Sheet1 Formulas'!$D$1</definedName>
    <definedName name="DATIMIDs" localSheetId="0">Table1[Site ID (from DATIM)]</definedName>
    <definedName name="DATIMIDs" localSheetId="2">Table1[Site ID (from DATIM)]</definedName>
    <definedName name="DATIMIDs">Table1[Site ID (from DATIM)]</definedName>
    <definedName name="ReportMonth">'Facility Data'!$A$1</definedName>
    <definedName name="ReportYear">'Facility Data'!$B$1</definedName>
    <definedName name="SDI_Measures" localSheetId="0">Table1[[#Headers],[SDI_00_07]:[SDI_15+]]</definedName>
    <definedName name="SDI_Measures" localSheetId="2">Table1[[#Headers],[SDI_00_07]:[SDI_15+]]</definedName>
    <definedName name="SDI_Measures">Table1[[#Headers],[SDI_00_07]:[SDI_15+]]</definedName>
  </definedNames>
  <calcPr calcId="191029"/>
  <pivotCaches>
    <pivotCache cacheId="0" r:id="rId7"/>
    <pivotCache cacheId="1" r:id="rId8"/>
    <pivotCache cacheId="2" r:id="rId9"/>
    <pivotCache cacheId="3" r:id="rId10"/>
  </pivotCaches>
</workbook>
</file>

<file path=xl/calcChain.xml><?xml version="1.0" encoding="utf-8"?>
<calcChain xmlns="http://schemas.openxmlformats.org/spreadsheetml/2006/main">
  <c r="BE1" i="2" l="1"/>
  <c r="BD1" i="2"/>
  <c r="BC1" i="2"/>
  <c r="BA1" i="2"/>
  <c r="AZ1" i="2"/>
  <c r="AY1" i="2"/>
  <c r="AC1" i="2"/>
  <c r="AB1" i="2"/>
  <c r="AA1" i="2"/>
  <c r="Z1" i="2"/>
  <c r="Y1" i="2"/>
  <c r="A376" i="5" l="1"/>
  <c r="A368" i="6"/>
  <c r="A359" i="5"/>
  <c r="A124" i="6"/>
  <c r="A32" i="5"/>
  <c r="F5" i="6"/>
  <c r="A146" i="6"/>
  <c r="A164" i="6"/>
  <c r="E195" i="5"/>
  <c r="D39" i="5"/>
  <c r="A93" i="5"/>
  <c r="A19" i="5"/>
  <c r="N63" i="5"/>
  <c r="A149" i="6"/>
  <c r="M63" i="5"/>
  <c r="C36" i="5"/>
  <c r="A118" i="6"/>
  <c r="A233" i="5"/>
  <c r="A187" i="6"/>
  <c r="A63" i="5"/>
  <c r="A322" i="5"/>
  <c r="A148" i="6"/>
  <c r="A224" i="6"/>
  <c r="E144" i="5"/>
  <c r="A352" i="5"/>
  <c r="E236" i="5"/>
  <c r="L124" i="5"/>
  <c r="A65" i="6"/>
  <c r="D237" i="5"/>
  <c r="C103" i="5"/>
  <c r="H129" i="5"/>
  <c r="A9" i="5"/>
  <c r="A192" i="5"/>
  <c r="L39" i="5"/>
  <c r="A357" i="5"/>
  <c r="A329" i="5"/>
  <c r="A371" i="5"/>
  <c r="A362" i="6"/>
  <c r="A207" i="5"/>
  <c r="A43" i="5"/>
  <c r="A321" i="5"/>
  <c r="A324" i="6"/>
  <c r="A362" i="5"/>
  <c r="A32" i="6"/>
  <c r="A134" i="6"/>
  <c r="A113" i="6"/>
  <c r="A128" i="6"/>
  <c r="I308" i="5"/>
  <c r="C47" i="5"/>
  <c r="A346" i="6"/>
  <c r="E249" i="5"/>
  <c r="A204" i="6"/>
  <c r="A48" i="6"/>
  <c r="C185" i="5"/>
  <c r="A218" i="6"/>
  <c r="A285" i="5"/>
  <c r="A230" i="6"/>
  <c r="A275" i="6"/>
  <c r="A372" i="6"/>
  <c r="D288" i="5"/>
  <c r="L255" i="5"/>
  <c r="A179" i="5"/>
  <c r="L115" i="5"/>
  <c r="E5" i="6"/>
  <c r="A213" i="6"/>
  <c r="A254" i="5"/>
  <c r="B196" i="5"/>
  <c r="A61" i="6"/>
  <c r="I154" i="5"/>
  <c r="E102" i="5"/>
  <c r="A216" i="5"/>
  <c r="A190" i="5"/>
  <c r="A375" i="5"/>
  <c r="A139" i="5"/>
  <c r="A111" i="6"/>
  <c r="A177" i="6"/>
  <c r="A220" i="5"/>
  <c r="A28" i="6"/>
  <c r="A241" i="5"/>
  <c r="O148" i="5"/>
  <c r="A356" i="5"/>
  <c r="E310" i="5"/>
  <c r="A279" i="6"/>
  <c r="G159" i="5"/>
  <c r="E79" i="5"/>
  <c r="N278" i="5"/>
  <c r="J243" i="5"/>
  <c r="C308" i="5"/>
  <c r="J108" i="5"/>
  <c r="O180" i="5"/>
  <c r="M200" i="5"/>
  <c r="C352" i="5"/>
  <c r="G226" i="5"/>
  <c r="E221" i="5"/>
  <c r="P266" i="5"/>
  <c r="A17" i="5"/>
  <c r="A367" i="5"/>
  <c r="G300" i="5"/>
  <c r="P154" i="5"/>
  <c r="A74" i="5"/>
  <c r="A258" i="5"/>
  <c r="A309" i="6"/>
  <c r="D227" i="5"/>
  <c r="A108" i="6"/>
  <c r="A43" i="6"/>
  <c r="A195" i="5"/>
  <c r="A253" i="6"/>
  <c r="E59" i="5"/>
  <c r="A165" i="6"/>
  <c r="A289" i="6"/>
  <c r="A311" i="6"/>
  <c r="A274" i="6"/>
  <c r="A334" i="5"/>
  <c r="N164" i="5"/>
  <c r="A315" i="6"/>
  <c r="M148" i="5"/>
  <c r="M201" i="5"/>
  <c r="P159" i="5"/>
  <c r="M264" i="5"/>
  <c r="A18" i="6"/>
  <c r="A320" i="6"/>
  <c r="A361" i="5"/>
  <c r="E199" i="5"/>
  <c r="A361" i="6"/>
  <c r="A241" i="6"/>
  <c r="A240" i="6"/>
  <c r="A222" i="6"/>
  <c r="A51" i="6"/>
  <c r="A248" i="6"/>
  <c r="A307" i="5"/>
  <c r="H4" i="6"/>
  <c r="J288" i="5"/>
  <c r="A11" i="6"/>
  <c r="A211" i="5"/>
  <c r="H190" i="5"/>
  <c r="E227" i="5"/>
  <c r="M313" i="5"/>
  <c r="A235" i="5"/>
  <c r="A350" i="5"/>
  <c r="A81" i="6"/>
  <c r="M25" i="5"/>
  <c r="A276" i="5"/>
  <c r="A378" i="5"/>
  <c r="A10" i="6"/>
  <c r="A88" i="6"/>
  <c r="A345" i="6"/>
  <c r="A59" i="5"/>
  <c r="P73" i="5"/>
  <c r="A293" i="6"/>
  <c r="A250" i="6"/>
  <c r="A45" i="6"/>
  <c r="A164" i="5"/>
  <c r="N245" i="5"/>
  <c r="N44" i="5"/>
  <c r="B272" i="5"/>
  <c r="A330" i="6"/>
  <c r="A81" i="5"/>
  <c r="E97" i="5"/>
  <c r="A9" i="6"/>
  <c r="A28" i="5"/>
  <c r="E70" i="5"/>
  <c r="G142" i="5"/>
  <c r="P247" i="5"/>
  <c r="A292" i="6"/>
  <c r="H81" i="5"/>
  <c r="J124" i="5"/>
  <c r="B302" i="5"/>
  <c r="A318" i="6"/>
  <c r="L73" i="5"/>
  <c r="A157" i="6"/>
  <c r="A29" i="5"/>
  <c r="A311" i="5"/>
  <c r="A210" i="6"/>
  <c r="A161" i="6"/>
  <c r="G38" i="5"/>
  <c r="A245" i="6"/>
  <c r="P107" i="5"/>
  <c r="C109" i="5"/>
  <c r="O120" i="5"/>
  <c r="B4" i="6"/>
  <c r="A210" i="5"/>
  <c r="A366" i="5"/>
  <c r="A365" i="5"/>
  <c r="A117" i="6"/>
  <c r="L4" i="5"/>
  <c r="A334" i="6"/>
  <c r="A168" i="5"/>
  <c r="A257" i="5"/>
  <c r="A99" i="5"/>
  <c r="J5" i="6"/>
  <c r="A26" i="6"/>
  <c r="A181" i="6"/>
  <c r="A155" i="6"/>
  <c r="A10" i="5"/>
  <c r="A283" i="5"/>
  <c r="A277" i="6"/>
  <c r="A282" i="6"/>
  <c r="H297" i="5"/>
  <c r="B89" i="5"/>
  <c r="N195" i="5"/>
  <c r="C226" i="5"/>
  <c r="P363" i="5"/>
  <c r="P35" i="5"/>
  <c r="A308" i="5"/>
  <c r="A132" i="6"/>
  <c r="A320" i="5"/>
  <c r="A286" i="6"/>
  <c r="A35" i="6"/>
  <c r="A314" i="6"/>
  <c r="A284" i="5"/>
  <c r="A190" i="6"/>
  <c r="A217" i="6"/>
  <c r="A159" i="5"/>
  <c r="A199" i="5"/>
  <c r="A193" i="6"/>
  <c r="A90" i="5"/>
  <c r="L206" i="5"/>
  <c r="L197" i="5"/>
  <c r="L329" i="5"/>
  <c r="E268" i="5"/>
  <c r="A349" i="6"/>
  <c r="A144" i="6"/>
  <c r="M9" i="5"/>
  <c r="A195" i="6"/>
  <c r="A236" i="6"/>
  <c r="A105" i="6"/>
  <c r="H4" i="5"/>
  <c r="G43" i="5"/>
  <c r="A162" i="5"/>
  <c r="A191" i="5"/>
  <c r="A147" i="5"/>
  <c r="A40" i="5"/>
  <c r="L68" i="5"/>
  <c r="A112" i="6"/>
  <c r="N110" i="5"/>
  <c r="A183" i="5"/>
  <c r="M380" i="5"/>
  <c r="B1" i="6"/>
  <c r="J99" i="5"/>
  <c r="A212" i="5"/>
  <c r="A213" i="5"/>
  <c r="A85" i="6"/>
  <c r="A21" i="6"/>
  <c r="A266" i="5"/>
  <c r="A181" i="5"/>
  <c r="E34" i="5"/>
  <c r="E206" i="5"/>
  <c r="D51" i="5"/>
  <c r="N56" i="5"/>
  <c r="A82" i="5"/>
  <c r="A38" i="6"/>
  <c r="H248" i="5"/>
  <c r="N82" i="5"/>
  <c r="A304" i="6"/>
  <c r="A160" i="6"/>
  <c r="A125" i="6"/>
  <c r="A103" i="6"/>
  <c r="A268" i="5"/>
  <c r="A170" i="6"/>
  <c r="M93" i="5"/>
  <c r="A21" i="5"/>
  <c r="A247" i="5"/>
  <c r="I33" i="5"/>
  <c r="A278" i="5"/>
  <c r="A375" i="6"/>
  <c r="A219" i="6"/>
  <c r="L5" i="5"/>
  <c r="A182" i="5"/>
  <c r="A279" i="5"/>
  <c r="A7" i="5"/>
  <c r="A260" i="6"/>
  <c r="L332" i="5"/>
  <c r="A283" i="6"/>
  <c r="N193" i="5"/>
  <c r="A373" i="5"/>
  <c r="M252" i="5"/>
  <c r="D204" i="5"/>
  <c r="M375" i="5"/>
  <c r="H299" i="5"/>
  <c r="P286" i="5"/>
  <c r="A50" i="6"/>
  <c r="A267" i="5"/>
  <c r="A91" i="6"/>
  <c r="B297" i="5"/>
  <c r="P343" i="5"/>
  <c r="G355" i="5"/>
  <c r="A22" i="6"/>
  <c r="A147" i="6"/>
  <c r="A264" i="5"/>
  <c r="A343" i="6"/>
  <c r="H95" i="5"/>
  <c r="C325" i="5"/>
  <c r="C272" i="5"/>
  <c r="A1" i="2"/>
  <c r="A380" i="5"/>
  <c r="A44" i="6"/>
  <c r="A328" i="5"/>
  <c r="A323" i="5"/>
  <c r="A364" i="6"/>
  <c r="A205" i="5"/>
  <c r="A158" i="6"/>
  <c r="A293" i="5"/>
  <c r="A274" i="5"/>
  <c r="O242" i="5"/>
  <c r="M262" i="5"/>
  <c r="H83" i="5"/>
  <c r="A239" i="6"/>
  <c r="A14" i="6"/>
  <c r="A128" i="5"/>
  <c r="A189" i="5"/>
  <c r="C75" i="5"/>
  <c r="A346" i="5"/>
  <c r="A372" i="5"/>
  <c r="A154" i="5"/>
  <c r="H156" i="5"/>
  <c r="A369" i="6"/>
  <c r="A104" i="6"/>
  <c r="A53" i="6"/>
  <c r="A26" i="5"/>
  <c r="C74" i="5"/>
  <c r="A306" i="6"/>
  <c r="I233" i="5"/>
  <c r="H199" i="5"/>
  <c r="O231" i="5"/>
  <c r="A204" i="5"/>
  <c r="A133" i="5"/>
  <c r="A133" i="6"/>
  <c r="A18" i="5"/>
  <c r="A265" i="5"/>
  <c r="A219" i="5"/>
  <c r="A33" i="5"/>
  <c r="H120" i="5"/>
  <c r="A340" i="6"/>
  <c r="A74" i="6"/>
  <c r="CF192" i="2"/>
  <c r="A352" i="6"/>
  <c r="A330" i="5"/>
  <c r="B61" i="5"/>
  <c r="CF170" i="2"/>
  <c r="CD342" i="2"/>
  <c r="CF460" i="2"/>
  <c r="CE348" i="2"/>
  <c r="P163" i="5"/>
  <c r="I42" i="5"/>
  <c r="A12" i="5"/>
  <c r="G20" i="5"/>
  <c r="G98" i="5"/>
  <c r="A27" i="5"/>
  <c r="P120" i="5"/>
  <c r="L47" i="5"/>
  <c r="A171" i="5"/>
  <c r="CD16" i="2"/>
  <c r="A58" i="5"/>
  <c r="CF36" i="2"/>
  <c r="A363" i="6"/>
  <c r="A22" i="5"/>
  <c r="A58" i="6"/>
  <c r="A165" i="5"/>
  <c r="CE343" i="2"/>
  <c r="B373" i="5"/>
  <c r="A379" i="5"/>
  <c r="H151" i="5"/>
  <c r="A77" i="6"/>
  <c r="A115" i="5"/>
  <c r="A238" i="6"/>
  <c r="A19" i="6"/>
  <c r="A13" i="5"/>
  <c r="A324" i="5"/>
  <c r="A288" i="6"/>
  <c r="A269" i="5"/>
  <c r="CE299" i="2"/>
  <c r="A17" i="6"/>
  <c r="CE438" i="2"/>
  <c r="A245" i="5"/>
  <c r="H294" i="5"/>
  <c r="G243" i="5"/>
  <c r="G196" i="5"/>
  <c r="A144" i="5"/>
  <c r="A171" i="6"/>
  <c r="A119" i="6"/>
  <c r="CF189" i="2"/>
  <c r="CE277" i="2"/>
  <c r="A288" i="5"/>
  <c r="CF432" i="2"/>
  <c r="A44" i="5"/>
  <c r="CC279" i="2"/>
  <c r="P18" i="5"/>
  <c r="CE361" i="2"/>
  <c r="E157" i="5"/>
  <c r="A76" i="6"/>
  <c r="CE392" i="2"/>
  <c r="L154" i="5"/>
  <c r="A54" i="5"/>
  <c r="A24" i="5"/>
  <c r="A186" i="5"/>
  <c r="CF236" i="2"/>
  <c r="O24" i="5"/>
  <c r="C68" i="5"/>
  <c r="N138" i="5"/>
  <c r="CE117" i="2"/>
  <c r="G304" i="5"/>
  <c r="CF330" i="2"/>
  <c r="N210" i="5"/>
  <c r="CF224" i="2"/>
  <c r="L324" i="5"/>
  <c r="M286" i="5"/>
  <c r="G172" i="5"/>
  <c r="M372" i="5"/>
  <c r="D187" i="5"/>
  <c r="A154" i="6"/>
  <c r="N332" i="5"/>
  <c r="A227" i="5"/>
  <c r="G324" i="5"/>
  <c r="A272" i="6"/>
  <c r="AE117" i="2"/>
  <c r="A143" i="6"/>
  <c r="L380" i="5"/>
  <c r="A301" i="5"/>
  <c r="CF151" i="2"/>
  <c r="A261" i="5"/>
  <c r="A329" i="6"/>
  <c r="A234" i="5"/>
  <c r="P4" i="5"/>
  <c r="A29" i="6"/>
  <c r="A272" i="5"/>
  <c r="A207" i="6"/>
  <c r="A188" i="6"/>
  <c r="A8" i="6"/>
  <c r="P97" i="5"/>
  <c r="J195" i="5"/>
  <c r="H135" i="5"/>
  <c r="O253" i="5"/>
  <c r="A356" i="6"/>
  <c r="A287" i="5"/>
  <c r="A129" i="5"/>
  <c r="A333" i="6"/>
  <c r="N4" i="5"/>
  <c r="E38" i="5"/>
  <c r="A297" i="6"/>
  <c r="A47" i="5"/>
  <c r="A243" i="5"/>
  <c r="A156" i="5"/>
  <c r="A90" i="6"/>
  <c r="L143" i="5"/>
  <c r="A13" i="6"/>
  <c r="A223" i="5"/>
  <c r="A359" i="6"/>
  <c r="L226" i="5"/>
  <c r="H157" i="5"/>
  <c r="I255" i="5"/>
  <c r="A178" i="5"/>
  <c r="C4" i="5"/>
  <c r="E32" i="5"/>
  <c r="A339" i="5"/>
  <c r="CF381" i="2"/>
  <c r="A70" i="5"/>
  <c r="A25" i="5"/>
  <c r="A264" i="6"/>
  <c r="C261" i="5"/>
  <c r="A84" i="6"/>
  <c r="A184" i="5"/>
  <c r="A253" i="5"/>
  <c r="A252" i="6"/>
  <c r="CF298" i="2"/>
  <c r="A351" i="5"/>
  <c r="A47" i="6"/>
  <c r="A63" i="6"/>
  <c r="A107" i="5"/>
  <c r="I135" i="5"/>
  <c r="O228" i="5"/>
  <c r="CE352" i="2"/>
  <c r="O162" i="5"/>
  <c r="A86" i="6"/>
  <c r="G4" i="5"/>
  <c r="J156" i="5"/>
  <c r="CF461" i="2"/>
  <c r="P44" i="5"/>
  <c r="A354" i="6"/>
  <c r="A231" i="5"/>
  <c r="A196" i="5"/>
  <c r="CD275" i="2"/>
  <c r="A159" i="6"/>
  <c r="CE377" i="2"/>
  <c r="A160" i="5"/>
  <c r="N268" i="5"/>
  <c r="B329" i="5"/>
  <c r="N264" i="5"/>
  <c r="A113" i="5"/>
  <c r="A140" i="6"/>
  <c r="A348" i="5"/>
  <c r="I226" i="5"/>
  <c r="A99" i="6"/>
  <c r="A328" i="6"/>
  <c r="A313" i="5"/>
  <c r="CF246" i="2"/>
  <c r="C157" i="5"/>
  <c r="A145" i="6"/>
  <c r="CD163" i="2"/>
  <c r="A92" i="6"/>
  <c r="CE59" i="2"/>
  <c r="B375" i="5"/>
  <c r="B183" i="5"/>
  <c r="D323" i="5"/>
  <c r="A249" i="5"/>
  <c r="E143" i="5"/>
  <c r="L163" i="5"/>
  <c r="A200" i="6"/>
  <c r="A317" i="5"/>
  <c r="A80" i="6"/>
  <c r="A100" i="6"/>
  <c r="CD120" i="2"/>
  <c r="A187" i="5"/>
  <c r="CF128" i="2"/>
  <c r="A93" i="6"/>
  <c r="CF10" i="2"/>
  <c r="P108" i="5"/>
  <c r="O171" i="5"/>
  <c r="A318" i="5"/>
  <c r="O194" i="5"/>
  <c r="CF29" i="2"/>
  <c r="O202" i="5"/>
  <c r="A300" i="6"/>
  <c r="N242" i="5"/>
  <c r="A295" i="5"/>
  <c r="O212" i="5"/>
  <c r="A31" i="6"/>
  <c r="H321" i="5"/>
  <c r="A42" i="5"/>
  <c r="I242" i="5"/>
  <c r="A94" i="5"/>
  <c r="B5" i="6"/>
  <c r="L362" i="5"/>
  <c r="CF364" i="2"/>
  <c r="C169" i="5"/>
  <c r="AF434" i="2"/>
  <c r="C32" i="5"/>
  <c r="E4" i="6"/>
  <c r="A226" i="6"/>
  <c r="H223" i="5"/>
  <c r="O56" i="5"/>
  <c r="G197" i="5"/>
  <c r="D178" i="5"/>
  <c r="E196" i="5"/>
  <c r="D106" i="5"/>
  <c r="N344" i="5"/>
  <c r="J33" i="5"/>
  <c r="A186" i="6"/>
  <c r="A37" i="5"/>
  <c r="A338" i="5"/>
  <c r="A305" i="5"/>
  <c r="A96" i="6"/>
  <c r="B97" i="5"/>
  <c r="A347" i="6"/>
  <c r="A127" i="6"/>
  <c r="A179" i="6"/>
  <c r="A184" i="6"/>
  <c r="I326" i="5"/>
  <c r="H36" i="5"/>
  <c r="G283" i="5"/>
  <c r="A79" i="6"/>
  <c r="A353" i="5"/>
  <c r="A292" i="5"/>
  <c r="B1" i="5"/>
  <c r="P305" i="5"/>
  <c r="A87" i="5"/>
  <c r="P59" i="5"/>
  <c r="A95" i="5"/>
  <c r="P70" i="5"/>
  <c r="B20" i="5"/>
  <c r="A342" i="6"/>
  <c r="A269" i="6"/>
  <c r="A191" i="6"/>
  <c r="A38" i="5"/>
  <c r="A270" i="5"/>
  <c r="J294" i="5"/>
  <c r="A291" i="6"/>
  <c r="J343" i="5"/>
  <c r="A16" i="5"/>
  <c r="A209" i="6"/>
  <c r="A232" i="6"/>
  <c r="A267" i="6"/>
  <c r="A41" i="6"/>
  <c r="AE392" i="2"/>
  <c r="A222" i="5"/>
  <c r="A172" i="5"/>
  <c r="A271" i="5"/>
  <c r="CF164" i="2"/>
  <c r="N253" i="5"/>
  <c r="CF271" i="2"/>
  <c r="A326" i="5"/>
  <c r="A120" i="5"/>
  <c r="P180" i="5"/>
  <c r="A374" i="6"/>
  <c r="CD220" i="2"/>
  <c r="A48" i="5"/>
  <c r="H193" i="5"/>
  <c r="L217" i="5"/>
  <c r="H6" i="5"/>
  <c r="A243" i="6"/>
  <c r="A107" i="6"/>
  <c r="A176" i="6"/>
  <c r="G39" i="5"/>
  <c r="A270" i="6"/>
  <c r="CF284" i="2"/>
  <c r="A285" i="6"/>
  <c r="CE52" i="2"/>
  <c r="A101" i="5"/>
  <c r="A263" i="5"/>
  <c r="I156" i="5"/>
  <c r="A16" i="6"/>
  <c r="CD101" i="2"/>
  <c r="N334" i="5"/>
  <c r="C307" i="5"/>
  <c r="D84" i="5"/>
  <c r="A212" i="6"/>
  <c r="E109" i="5"/>
  <c r="A205" i="6"/>
  <c r="A229" i="5"/>
  <c r="CE84" i="2"/>
  <c r="A72" i="6"/>
  <c r="CF374" i="2"/>
  <c r="A175" i="6"/>
  <c r="A97" i="5"/>
  <c r="A323" i="6"/>
  <c r="A62" i="6"/>
  <c r="A96" i="5"/>
  <c r="A27" i="6"/>
  <c r="AF301" i="2"/>
  <c r="CF355" i="2"/>
  <c r="A88" i="5"/>
  <c r="A341" i="5"/>
  <c r="A289" i="5"/>
  <c r="A89" i="6"/>
  <c r="CE336" i="2"/>
  <c r="A42" i="6"/>
  <c r="CE53" i="2"/>
  <c r="A167" i="5"/>
  <c r="A197" i="6"/>
  <c r="A331" i="6"/>
  <c r="A112" i="5"/>
  <c r="A268" i="6"/>
  <c r="A221" i="6"/>
  <c r="A175" i="5"/>
  <c r="J297" i="5"/>
  <c r="O135" i="5"/>
  <c r="AF144" i="2"/>
  <c r="A259" i="5"/>
  <c r="B367" i="5"/>
  <c r="CF229" i="2"/>
  <c r="AF193" i="2"/>
  <c r="L123" i="5"/>
  <c r="A298" i="5"/>
  <c r="D103" i="5"/>
  <c r="N73" i="5"/>
  <c r="E65" i="5"/>
  <c r="C206" i="5"/>
  <c r="D332" i="5"/>
  <c r="H99" i="5"/>
  <c r="G290" i="5"/>
  <c r="AG72" i="2"/>
  <c r="P339" i="5"/>
  <c r="A216" i="6"/>
  <c r="CF7" i="2"/>
  <c r="J218" i="5"/>
  <c r="A6" i="6"/>
  <c r="A244" i="5"/>
  <c r="CF72" i="2"/>
  <c r="O366" i="5"/>
  <c r="A77" i="5"/>
  <c r="G222" i="5"/>
  <c r="A152" i="6"/>
  <c r="J74" i="5"/>
  <c r="J55" i="5"/>
  <c r="A211" i="6"/>
  <c r="A116" i="5"/>
  <c r="A327" i="5"/>
  <c r="A357" i="6"/>
  <c r="A103" i="5"/>
  <c r="A202" i="6"/>
  <c r="A262" i="5"/>
  <c r="A203" i="5"/>
  <c r="A180" i="5"/>
  <c r="A298" i="6"/>
  <c r="I261" i="5"/>
  <c r="A271" i="6"/>
  <c r="I227" i="5"/>
  <c r="A79" i="5"/>
  <c r="A281" i="5"/>
  <c r="A358" i="5"/>
  <c r="A325" i="5"/>
  <c r="A248" i="5"/>
  <c r="A143" i="5"/>
  <c r="A336" i="5"/>
  <c r="P254" i="5"/>
  <c r="A15" i="6"/>
  <c r="A246" i="6"/>
  <c r="A110" i="5"/>
  <c r="A169" i="6"/>
  <c r="A141" i="6"/>
  <c r="A67" i="6"/>
  <c r="C134" i="5"/>
  <c r="I121" i="5"/>
  <c r="A224" i="5"/>
  <c r="E282" i="5"/>
  <c r="A66" i="6"/>
  <c r="A196" i="6"/>
  <c r="A49" i="6"/>
  <c r="CF6" i="2"/>
  <c r="B164" i="5"/>
  <c r="A33" i="6"/>
  <c r="H5" i="6"/>
  <c r="A151" i="6"/>
  <c r="N91" i="5"/>
  <c r="A149" i="5"/>
  <c r="CF218" i="2"/>
  <c r="A256" i="5"/>
  <c r="CE127" i="2"/>
  <c r="E56" i="5"/>
  <c r="CF392" i="2"/>
  <c r="G266" i="5"/>
  <c r="A263" i="6"/>
  <c r="N233" i="5"/>
  <c r="AE389" i="2"/>
  <c r="O39" i="5"/>
  <c r="E251" i="5"/>
  <c r="A307" i="6"/>
  <c r="A131" i="6"/>
  <c r="A236" i="5"/>
  <c r="A354" i="5"/>
  <c r="CE255" i="2"/>
  <c r="A35" i="5"/>
  <c r="CE292" i="2"/>
  <c r="A109" i="5"/>
  <c r="CF411" i="2"/>
  <c r="A36" i="5"/>
  <c r="A312" i="5"/>
  <c r="A153" i="5"/>
  <c r="A259" i="6"/>
  <c r="A221" i="5"/>
  <c r="A223" i="6"/>
  <c r="M56" i="5"/>
  <c r="A377" i="5"/>
  <c r="A242" i="5"/>
  <c r="P32" i="5"/>
  <c r="A319" i="6"/>
  <c r="A340" i="5"/>
  <c r="A134" i="5"/>
  <c r="A242" i="6"/>
  <c r="B117" i="5"/>
  <c r="A151" i="5"/>
  <c r="CF399" i="2"/>
  <c r="A294" i="5"/>
  <c r="CF377" i="2"/>
  <c r="A234" i="6"/>
  <c r="L149" i="5"/>
  <c r="A228" i="6"/>
  <c r="I324" i="5"/>
  <c r="A122" i="6"/>
  <c r="A180" i="6"/>
  <c r="A282" i="5"/>
  <c r="A102" i="5"/>
  <c r="CD310" i="2"/>
  <c r="A247" i="6"/>
  <c r="A309" i="5"/>
  <c r="A167" i="6"/>
  <c r="CE405" i="2"/>
  <c r="P148" i="5"/>
  <c r="CF135" i="2"/>
  <c r="P112" i="5"/>
  <c r="B326" i="5"/>
  <c r="D310" i="5"/>
  <c r="O365" i="5"/>
  <c r="CF384" i="2"/>
  <c r="N182" i="5"/>
  <c r="A371" i="6"/>
  <c r="O4" i="5"/>
  <c r="CF113" i="2"/>
  <c r="N251" i="5"/>
  <c r="C184" i="5"/>
  <c r="CF26" i="2"/>
  <c r="N336" i="5"/>
  <c r="A121" i="5"/>
  <c r="M247" i="5"/>
  <c r="O112" i="5"/>
  <c r="E124" i="5"/>
  <c r="A287" i="6"/>
  <c r="N212" i="5"/>
  <c r="B305" i="5"/>
  <c r="CF187" i="2"/>
  <c r="CF454" i="2"/>
  <c r="A220" i="6"/>
  <c r="L25" i="5"/>
  <c r="H89" i="5"/>
  <c r="L211" i="5"/>
  <c r="E262" i="5"/>
  <c r="I248" i="5"/>
  <c r="AF241" i="2"/>
  <c r="G264" i="5"/>
  <c r="A120" i="6"/>
  <c r="A344" i="5"/>
  <c r="A215" i="6"/>
  <c r="A131" i="5"/>
  <c r="M212" i="5"/>
  <c r="H133" i="5"/>
  <c r="P26" i="5"/>
  <c r="A280" i="6"/>
  <c r="A185" i="5"/>
  <c r="A66" i="5"/>
  <c r="B355" i="5"/>
  <c r="A57" i="5"/>
  <c r="P229" i="5"/>
  <c r="A109" i="6"/>
  <c r="A150" i="6"/>
  <c r="J4" i="5"/>
  <c r="A37" i="6"/>
  <c r="A142" i="6"/>
  <c r="A142" i="5"/>
  <c r="A347" i="5"/>
  <c r="A125" i="5"/>
  <c r="A52" i="6"/>
  <c r="B210" i="5"/>
  <c r="A255" i="5"/>
  <c r="A168" i="6"/>
  <c r="P96" i="5"/>
  <c r="A67" i="5"/>
  <c r="P196" i="5"/>
  <c r="B134" i="5"/>
  <c r="A244" i="6"/>
  <c r="G154" i="5"/>
  <c r="A373" i="6"/>
  <c r="A73" i="6"/>
  <c r="A163" i="6"/>
  <c r="E4" i="5"/>
  <c r="CF292" i="2"/>
  <c r="A233" i="6"/>
  <c r="A126" i="6"/>
  <c r="A163" i="5"/>
  <c r="A294" i="6"/>
  <c r="CC20" i="2"/>
  <c r="A39" i="5"/>
  <c r="CE33" i="2"/>
  <c r="A117" i="5"/>
  <c r="CF131" i="2"/>
  <c r="L7" i="5"/>
  <c r="CF61" i="2"/>
  <c r="A12" i="6"/>
  <c r="CE234" i="2"/>
  <c r="CF440" i="2"/>
  <c r="A265" i="6"/>
  <c r="A60" i="6"/>
  <c r="A124" i="5"/>
  <c r="A296" i="6"/>
  <c r="A185" i="6"/>
  <c r="A303" i="5"/>
  <c r="A56" i="6"/>
  <c r="A291" i="5"/>
  <c r="A336" i="6"/>
  <c r="A56" i="5"/>
  <c r="A353" i="6"/>
  <c r="CE245" i="2"/>
  <c r="A199" i="6"/>
  <c r="CF400" i="2"/>
  <c r="CF106" i="2"/>
  <c r="B136" i="5"/>
  <c r="A306" i="5"/>
  <c r="E128" i="5"/>
  <c r="A249" i="6"/>
  <c r="I178" i="5"/>
  <c r="A304" i="5"/>
  <c r="B4" i="5"/>
  <c r="A23" i="6"/>
  <c r="L38" i="5"/>
  <c r="P115" i="5"/>
  <c r="CF394" i="2"/>
  <c r="A31" i="5"/>
  <c r="I4" i="5"/>
  <c r="A273" i="5"/>
  <c r="A278" i="6"/>
  <c r="CF104" i="2"/>
  <c r="O196" i="5"/>
  <c r="CF324" i="2"/>
  <c r="A218" i="5"/>
  <c r="A60" i="5"/>
  <c r="A61" i="5"/>
  <c r="G202" i="5"/>
  <c r="A370" i="5"/>
  <c r="A316" i="6"/>
  <c r="A136" i="6"/>
  <c r="CF176" i="2"/>
  <c r="P210" i="5"/>
  <c r="A360" i="6"/>
  <c r="CE419" i="2"/>
  <c r="A152" i="5"/>
  <c r="CE359" i="2"/>
  <c r="H216" i="5"/>
  <c r="H107" i="5"/>
  <c r="D273" i="5"/>
  <c r="P199" i="5"/>
  <c r="A251" i="5"/>
  <c r="A355" i="6"/>
  <c r="D120" i="5"/>
  <c r="B223" i="5"/>
  <c r="P90" i="5"/>
  <c r="AF443" i="2"/>
  <c r="CF147" i="2"/>
  <c r="C237" i="5"/>
  <c r="I225" i="5"/>
  <c r="D243" i="5"/>
  <c r="A5" i="5"/>
  <c r="C276" i="5"/>
  <c r="N128" i="5"/>
  <c r="O179" i="5"/>
  <c r="AD158" i="2"/>
  <c r="B254" i="5"/>
  <c r="O224" i="5"/>
  <c r="L56" i="5"/>
  <c r="A325" i="6"/>
  <c r="AF130" i="2"/>
  <c r="CF138" i="2"/>
  <c r="D163" i="5"/>
  <c r="C355" i="5"/>
  <c r="AF233" i="2"/>
  <c r="J149" i="5"/>
  <c r="E297" i="5"/>
  <c r="E112" i="5"/>
  <c r="E270" i="5"/>
  <c r="I183" i="5"/>
  <c r="J66" i="5"/>
  <c r="H10" i="5"/>
  <c r="N117" i="5"/>
  <c r="CE85" i="2"/>
  <c r="CF309" i="2"/>
  <c r="E101" i="5"/>
  <c r="H263" i="5"/>
  <c r="CF205" i="2"/>
  <c r="G270" i="5"/>
  <c r="A30" i="6"/>
  <c r="O136" i="5"/>
  <c r="CE454" i="2"/>
  <c r="B292" i="5"/>
  <c r="A89" i="5"/>
  <c r="H195" i="5"/>
  <c r="O110" i="5"/>
  <c r="C267" i="5"/>
  <c r="B150" i="5"/>
  <c r="I77" i="5"/>
  <c r="A105" i="5"/>
  <c r="B216" i="5"/>
  <c r="A302" i="5"/>
  <c r="D350" i="5"/>
  <c r="A189" i="6"/>
  <c r="P283" i="5"/>
  <c r="A290" i="6"/>
  <c r="P204" i="5"/>
  <c r="A156" i="6"/>
  <c r="N364" i="5"/>
  <c r="A136" i="5"/>
  <c r="J303" i="5"/>
  <c r="E307" i="5"/>
  <c r="O127" i="5"/>
  <c r="D219" i="5"/>
  <c r="M113" i="5"/>
  <c r="CF260" i="2"/>
  <c r="O330" i="5"/>
  <c r="C213" i="5"/>
  <c r="B356" i="5"/>
  <c r="A137" i="5"/>
  <c r="P109" i="5"/>
  <c r="A206" i="5"/>
  <c r="N361" i="5"/>
  <c r="A40" i="6"/>
  <c r="B221" i="5"/>
  <c r="J187" i="5"/>
  <c r="C83" i="5"/>
  <c r="D320" i="5"/>
  <c r="O70" i="5"/>
  <c r="N239" i="5"/>
  <c r="J106" i="5"/>
  <c r="A226" i="5"/>
  <c r="C102" i="5"/>
  <c r="A374" i="5"/>
  <c r="O352" i="5"/>
  <c r="B189" i="5"/>
  <c r="L269" i="5"/>
  <c r="A333" i="5"/>
  <c r="M160" i="5"/>
  <c r="J317" i="5"/>
  <c r="I220" i="5"/>
  <c r="CF333" i="2"/>
  <c r="AE73" i="2"/>
  <c r="P313" i="5"/>
  <c r="E202" i="5"/>
  <c r="P336" i="5"/>
  <c r="A106" i="5"/>
  <c r="H241" i="5"/>
  <c r="A69" i="5"/>
  <c r="P268" i="5"/>
  <c r="N119" i="5"/>
  <c r="O374" i="5"/>
  <c r="G165" i="5"/>
  <c r="N306" i="5"/>
  <c r="A172" i="6"/>
  <c r="E306" i="5"/>
  <c r="N372" i="5"/>
  <c r="M312" i="5"/>
  <c r="AD21" i="2"/>
  <c r="A214" i="6"/>
  <c r="M184" i="5"/>
  <c r="J231" i="5"/>
  <c r="C124" i="5"/>
  <c r="M186" i="5"/>
  <c r="D169" i="5"/>
  <c r="G111" i="5"/>
  <c r="F265" i="5"/>
  <c r="AG24" i="2"/>
  <c r="D351" i="5"/>
  <c r="D278" i="5"/>
  <c r="I316" i="5"/>
  <c r="AF421" i="2"/>
  <c r="M116" i="5"/>
  <c r="L350" i="5"/>
  <c r="CE163" i="2"/>
  <c r="P367" i="5"/>
  <c r="H90" i="5"/>
  <c r="A116" i="6"/>
  <c r="CF249" i="2"/>
  <c r="AH299" i="2"/>
  <c r="G181" i="5"/>
  <c r="CF155" i="2"/>
  <c r="N330" i="5"/>
  <c r="C82" i="5"/>
  <c r="J134" i="5"/>
  <c r="C270" i="5"/>
  <c r="D185" i="5"/>
  <c r="B267" i="5"/>
  <c r="P290" i="5"/>
  <c r="A85" i="5"/>
  <c r="CE262" i="2"/>
  <c r="CF422" i="2"/>
  <c r="G320" i="5"/>
  <c r="E220" i="5"/>
  <c r="P261" i="5"/>
  <c r="A59" i="6"/>
  <c r="H283" i="5"/>
  <c r="A182" i="6"/>
  <c r="E371" i="5"/>
  <c r="CF207" i="2"/>
  <c r="B171" i="5"/>
  <c r="I349" i="5"/>
  <c r="H246" i="5"/>
  <c r="A55" i="5"/>
  <c r="A232" i="5"/>
  <c r="P145" i="5"/>
  <c r="M266" i="5"/>
  <c r="A141" i="5"/>
  <c r="M340" i="5"/>
  <c r="A355" i="5"/>
  <c r="B192" i="5"/>
  <c r="A118" i="5"/>
  <c r="H304" i="5"/>
  <c r="H274" i="5"/>
  <c r="O325" i="5"/>
  <c r="C38" i="5"/>
  <c r="H207" i="5"/>
  <c r="A349" i="5"/>
  <c r="C319" i="5"/>
  <c r="CD338" i="2"/>
  <c r="B219" i="5"/>
  <c r="P167" i="5"/>
  <c r="H17" i="5"/>
  <c r="A34" i="5"/>
  <c r="A335" i="6"/>
  <c r="C152" i="5"/>
  <c r="D22" i="5"/>
  <c r="A135" i="6"/>
  <c r="I263" i="5"/>
  <c r="A345" i="5"/>
  <c r="C191" i="5"/>
  <c r="P324" i="5"/>
  <c r="P121" i="5"/>
  <c r="G288" i="5"/>
  <c r="N273" i="5"/>
  <c r="A111" i="5"/>
  <c r="M293" i="5"/>
  <c r="A240" i="5"/>
  <c r="H252" i="5"/>
  <c r="P83" i="5"/>
  <c r="M152" i="5"/>
  <c r="E73" i="5"/>
  <c r="M370" i="5"/>
  <c r="B10" i="5"/>
  <c r="N338" i="5"/>
  <c r="N33" i="5"/>
  <c r="B276" i="5"/>
  <c r="N246" i="5"/>
  <c r="M338" i="5"/>
  <c r="P319" i="5"/>
  <c r="A20" i="6"/>
  <c r="A153" i="6"/>
  <c r="M216" i="5"/>
  <c r="A169" i="5"/>
  <c r="J142" i="5"/>
  <c r="J353" i="5"/>
  <c r="J185" i="5"/>
  <c r="J113" i="5"/>
  <c r="B204" i="5"/>
  <c r="L365" i="5"/>
  <c r="N145" i="5"/>
  <c r="J375" i="5"/>
  <c r="AF323" i="2"/>
  <c r="G180" i="5"/>
  <c r="G219" i="5"/>
  <c r="A126" i="5"/>
  <c r="A228" i="5"/>
  <c r="AE230" i="2"/>
  <c r="J148" i="5"/>
  <c r="J260" i="5"/>
  <c r="O273" i="5"/>
  <c r="A273" i="6"/>
  <c r="O34" i="5"/>
  <c r="J171" i="5"/>
  <c r="M67" i="5"/>
  <c r="G115" i="5"/>
  <c r="AG89" i="2"/>
  <c r="G134" i="5"/>
  <c r="L222" i="5"/>
  <c r="E33" i="5"/>
  <c r="A45" i="5"/>
  <c r="H269" i="5"/>
  <c r="C253" i="5"/>
  <c r="H291" i="5"/>
  <c r="G302" i="5"/>
  <c r="G269" i="5"/>
  <c r="N72" i="5"/>
  <c r="J77" i="6"/>
  <c r="N291" i="5"/>
  <c r="M301" i="5"/>
  <c r="G112" i="5"/>
  <c r="F187" i="5"/>
  <c r="F332" i="5"/>
  <c r="B235" i="5"/>
  <c r="N314" i="5"/>
  <c r="I184" i="5"/>
  <c r="E363" i="5"/>
  <c r="H336" i="5"/>
  <c r="M310" i="5"/>
  <c r="B85" i="5"/>
  <c r="B265" i="5"/>
  <c r="AK235" i="2"/>
  <c r="J287" i="5"/>
  <c r="O313" i="5"/>
  <c r="CF413" i="2"/>
  <c r="G307" i="5"/>
  <c r="N241" i="5"/>
  <c r="B229" i="5"/>
  <c r="D65" i="5"/>
  <c r="M291" i="5"/>
  <c r="P33" i="5"/>
  <c r="CC162" i="2"/>
  <c r="H332" i="5"/>
  <c r="J96" i="5"/>
  <c r="G211" i="5"/>
  <c r="CF231" i="2"/>
  <c r="CF149" i="2"/>
  <c r="E317" i="5"/>
  <c r="G99" i="5"/>
  <c r="A326" i="6"/>
  <c r="H281" i="5"/>
  <c r="A121" i="6"/>
  <c r="M306" i="5"/>
  <c r="A51" i="5"/>
  <c r="P13" i="5"/>
  <c r="A246" i="5"/>
  <c r="G292" i="5"/>
  <c r="G305" i="5"/>
  <c r="B268" i="5"/>
  <c r="A367" i="6"/>
  <c r="I273" i="5"/>
  <c r="A310" i="6"/>
  <c r="N47" i="5"/>
  <c r="CF317" i="2"/>
  <c r="L174" i="5"/>
  <c r="A108" i="5"/>
  <c r="L297" i="5"/>
  <c r="A257" i="6"/>
  <c r="M281" i="5"/>
  <c r="A83" i="6"/>
  <c r="G229" i="5"/>
  <c r="G371" i="5"/>
  <c r="N23" i="5"/>
  <c r="N227" i="5"/>
  <c r="AF152" i="2"/>
  <c r="A137" i="6"/>
  <c r="L363" i="5"/>
  <c r="A65" i="5"/>
  <c r="G236" i="5"/>
  <c r="E63" i="5"/>
  <c r="D247" i="5"/>
  <c r="L109" i="5"/>
  <c r="G227" i="5"/>
  <c r="G35" i="5"/>
  <c r="N136" i="5"/>
  <c r="AF154" i="2"/>
  <c r="O252" i="5"/>
  <c r="L159" i="5"/>
  <c r="M263" i="5"/>
  <c r="G277" i="5"/>
  <c r="CD38" i="2"/>
  <c r="A115" i="6"/>
  <c r="E82" i="5"/>
  <c r="N43" i="5"/>
  <c r="P201" i="5"/>
  <c r="B197" i="5"/>
  <c r="AF386" i="2"/>
  <c r="AD99" i="2"/>
  <c r="P304" i="5"/>
  <c r="M303" i="5"/>
  <c r="M254" i="5"/>
  <c r="M158" i="5"/>
  <c r="M300" i="5"/>
  <c r="L274" i="5"/>
  <c r="N178" i="5"/>
  <c r="A132" i="5"/>
  <c r="A200" i="5"/>
  <c r="G82" i="5"/>
  <c r="AF449" i="2"/>
  <c r="CF222" i="2"/>
  <c r="D137" i="5"/>
  <c r="L260" i="5"/>
  <c r="CF84" i="2"/>
  <c r="E167" i="5"/>
  <c r="A114" i="6"/>
  <c r="G42" i="5"/>
  <c r="G163" i="5"/>
  <c r="L295" i="5"/>
  <c r="H276" i="5"/>
  <c r="M302" i="5"/>
  <c r="L289" i="5"/>
  <c r="E213" i="5"/>
  <c r="B228" i="5"/>
  <c r="E150" i="5"/>
  <c r="L156" i="5"/>
  <c r="O241" i="5"/>
  <c r="N360" i="5"/>
  <c r="E84" i="5"/>
  <c r="A238" i="5"/>
  <c r="J340" i="5"/>
  <c r="I333" i="5"/>
  <c r="H331" i="5"/>
  <c r="L189" i="5"/>
  <c r="C290" i="5"/>
  <c r="J374" i="5"/>
  <c r="C174" i="5"/>
  <c r="A166" i="6"/>
  <c r="C5" i="6"/>
  <c r="P5" i="5"/>
  <c r="A364" i="5"/>
  <c r="D111" i="5"/>
  <c r="M378" i="5"/>
  <c r="F324" i="5"/>
  <c r="B178" i="5"/>
  <c r="E285" i="5"/>
  <c r="B159" i="5"/>
  <c r="C302" i="5"/>
  <c r="F164" i="5"/>
  <c r="D174" i="5"/>
  <c r="AE242" i="2"/>
  <c r="A343" i="5"/>
  <c r="C17" i="5"/>
  <c r="O324" i="5"/>
  <c r="I222" i="5"/>
  <c r="P191" i="5"/>
  <c r="M353" i="5"/>
  <c r="H104" i="5"/>
  <c r="J201" i="5"/>
  <c r="G254" i="5"/>
  <c r="A158" i="5"/>
  <c r="A255" i="6"/>
  <c r="A312" i="6"/>
  <c r="C339" i="5"/>
  <c r="O239" i="5"/>
  <c r="A302" i="6"/>
  <c r="N355" i="5"/>
  <c r="J232" i="5"/>
  <c r="AE264" i="2"/>
  <c r="P224" i="5"/>
  <c r="J60" i="5"/>
  <c r="B324" i="5"/>
  <c r="CF49" i="2"/>
  <c r="C29" i="5"/>
  <c r="G273" i="5"/>
  <c r="A25" i="6"/>
  <c r="CF305" i="2"/>
  <c r="G107" i="5"/>
  <c r="CF103" i="2"/>
  <c r="J164" i="5"/>
  <c r="A145" i="5"/>
  <c r="G144" i="5"/>
  <c r="A6" i="5"/>
  <c r="L303" i="5"/>
  <c r="O300" i="5"/>
  <c r="G75" i="5"/>
  <c r="L10" i="5"/>
  <c r="I288" i="5"/>
  <c r="AF278" i="2"/>
  <c r="J227" i="5"/>
  <c r="A225" i="5"/>
  <c r="CF234" i="2"/>
  <c r="A72" i="5"/>
  <c r="N192" i="5"/>
  <c r="O222" i="5"/>
  <c r="A229" i="6"/>
  <c r="A130" i="6"/>
  <c r="P147" i="5"/>
  <c r="O323" i="5"/>
  <c r="L82" i="5"/>
  <c r="B179" i="5"/>
  <c r="A193" i="5"/>
  <c r="A148" i="5"/>
  <c r="P151" i="5"/>
  <c r="N116" i="5"/>
  <c r="C34" i="5"/>
  <c r="O226" i="5"/>
  <c r="N106" i="5"/>
  <c r="B158" i="5"/>
  <c r="L194" i="5"/>
  <c r="O111" i="5"/>
  <c r="H288" i="5"/>
  <c r="C106" i="5"/>
  <c r="L185" i="5"/>
  <c r="A177" i="5"/>
  <c r="E103" i="5"/>
  <c r="A201" i="6"/>
  <c r="A75" i="5"/>
  <c r="A54" i="6"/>
  <c r="E367" i="5"/>
  <c r="I109" i="5"/>
  <c r="H55" i="5"/>
  <c r="N163" i="5"/>
  <c r="B360" i="5"/>
  <c r="I191" i="5"/>
  <c r="CF415" i="2"/>
  <c r="J338" i="5"/>
  <c r="A290" i="5"/>
  <c r="O75" i="5"/>
  <c r="H285" i="5"/>
  <c r="AG307" i="2"/>
  <c r="H167" i="5"/>
  <c r="I341" i="5"/>
  <c r="CE237" i="2"/>
  <c r="A305" i="6"/>
  <c r="M40" i="5"/>
  <c r="G120" i="5"/>
  <c r="E322" i="5"/>
  <c r="P227" i="5"/>
  <c r="N307" i="5"/>
  <c r="CC189" i="2"/>
  <c r="CF180" i="2"/>
  <c r="A68" i="6"/>
  <c r="A68" i="5"/>
  <c r="A198" i="5"/>
  <c r="CD380" i="2"/>
  <c r="N340" i="5"/>
  <c r="A46" i="6"/>
  <c r="AF228" i="2"/>
  <c r="P79" i="5"/>
  <c r="O274" i="5"/>
  <c r="O152" i="5"/>
  <c r="J266" i="5"/>
  <c r="C240" i="5"/>
  <c r="A24" i="6"/>
  <c r="I271" i="5"/>
  <c r="CF77" i="2"/>
  <c r="F286" i="5"/>
  <c r="B113" i="5"/>
  <c r="F322" i="5"/>
  <c r="M74" i="5"/>
  <c r="L356" i="5"/>
  <c r="A332" i="6"/>
  <c r="N172" i="5"/>
  <c r="D262" i="5"/>
  <c r="D308" i="5"/>
  <c r="O214" i="5"/>
  <c r="O208" i="5"/>
  <c r="H79" i="5"/>
  <c r="AF80" i="2"/>
  <c r="L327" i="5"/>
  <c r="C135" i="5"/>
  <c r="J349" i="5"/>
  <c r="O232" i="5"/>
  <c r="L347" i="5"/>
  <c r="AE204" i="2"/>
  <c r="L218" i="5"/>
  <c r="M276" i="5"/>
  <c r="A92" i="5"/>
  <c r="D124" i="5"/>
  <c r="D139" i="5"/>
  <c r="I10" i="5"/>
  <c r="G306" i="5"/>
  <c r="F271" i="5"/>
  <c r="E105" i="5"/>
  <c r="A297" i="5"/>
  <c r="M194" i="5"/>
  <c r="L247" i="5"/>
  <c r="L140" i="5"/>
  <c r="M73" i="5"/>
  <c r="P41" i="5"/>
  <c r="B227" i="5"/>
  <c r="P250" i="5"/>
  <c r="C224" i="5"/>
  <c r="O249" i="5"/>
  <c r="F98" i="5"/>
  <c r="A339" i="6"/>
  <c r="H178" i="5"/>
  <c r="A308" i="6"/>
  <c r="C210" i="5"/>
  <c r="A34" i="6"/>
  <c r="P374" i="5"/>
  <c r="P65" i="5"/>
  <c r="G212" i="5"/>
  <c r="G5" i="6"/>
  <c r="CF348" i="2"/>
  <c r="A337" i="6"/>
  <c r="A363" i="5"/>
  <c r="A348" i="6"/>
  <c r="A208" i="5"/>
  <c r="E252" i="5"/>
  <c r="N96" i="5"/>
  <c r="CF332" i="2"/>
  <c r="G184" i="5"/>
  <c r="A138" i="6"/>
  <c r="L304" i="5"/>
  <c r="O137" i="5"/>
  <c r="B322" i="5"/>
  <c r="P184" i="5"/>
  <c r="M210" i="5"/>
  <c r="L96" i="5"/>
  <c r="E149" i="5"/>
  <c r="N160" i="5"/>
  <c r="M341" i="5"/>
  <c r="A15" i="5"/>
  <c r="D250" i="5"/>
  <c r="O44" i="5"/>
  <c r="A70" i="6"/>
  <c r="A57" i="6"/>
  <c r="N112" i="5"/>
  <c r="L305" i="5"/>
  <c r="AF342" i="2"/>
  <c r="C95" i="5"/>
  <c r="E380" i="5"/>
  <c r="C260" i="5"/>
  <c r="AE438" i="2"/>
  <c r="C188" i="5"/>
  <c r="A206" i="6"/>
  <c r="L213" i="5"/>
  <c r="A316" i="5"/>
  <c r="M265" i="5"/>
  <c r="N211" i="5"/>
  <c r="N85" i="5"/>
  <c r="CD457" i="2"/>
  <c r="CF416" i="2"/>
  <c r="N219" i="5"/>
  <c r="O123" i="5"/>
  <c r="G198" i="5"/>
  <c r="G193" i="5"/>
  <c r="P240" i="5"/>
  <c r="M241" i="5"/>
  <c r="P189" i="5"/>
  <c r="CE80" i="2"/>
  <c r="CF48" i="2"/>
  <c r="A194" i="5"/>
  <c r="CF376" i="2"/>
  <c r="I366" i="5"/>
  <c r="A8" i="5"/>
  <c r="E218" i="5"/>
  <c r="A87" i="6"/>
  <c r="A299" i="5"/>
  <c r="B180" i="5"/>
  <c r="P257" i="5"/>
  <c r="A300" i="5"/>
  <c r="P63" i="5"/>
  <c r="A235" i="6"/>
  <c r="E133" i="5"/>
  <c r="CE116" i="2"/>
  <c r="E194" i="5"/>
  <c r="A91" i="5"/>
  <c r="I260" i="5"/>
  <c r="B167" i="5"/>
  <c r="P116" i="5"/>
  <c r="A214" i="5"/>
  <c r="A258" i="6"/>
  <c r="AD230" i="2"/>
  <c r="J161" i="5"/>
  <c r="C148" i="5"/>
  <c r="C177" i="5"/>
  <c r="A102" i="6"/>
  <c r="G160" i="5"/>
  <c r="G377" i="5"/>
  <c r="I186" i="5"/>
  <c r="L293" i="5"/>
  <c r="I158" i="5"/>
  <c r="AF202" i="2"/>
  <c r="M298" i="5"/>
  <c r="AK82" i="2"/>
  <c r="M358" i="5"/>
  <c r="H202" i="5"/>
  <c r="D242" i="5"/>
  <c r="B79" i="5"/>
  <c r="O378" i="5"/>
  <c r="O336" i="5"/>
  <c r="N203" i="5"/>
  <c r="B215" i="5"/>
  <c r="O213" i="5"/>
  <c r="L375" i="5"/>
  <c r="M213" i="5"/>
  <c r="M261" i="5"/>
  <c r="D241" i="5"/>
  <c r="D93" i="6"/>
  <c r="CF386" i="2"/>
  <c r="E44" i="5"/>
  <c r="A256" i="6"/>
  <c r="C220" i="5"/>
  <c r="E168" i="5"/>
  <c r="J29" i="5"/>
  <c r="L22" i="5"/>
  <c r="AF68" i="2"/>
  <c r="O115" i="5"/>
  <c r="C318" i="5"/>
  <c r="H181" i="5"/>
  <c r="A338" i="6"/>
  <c r="C204" i="5"/>
  <c r="J65" i="5"/>
  <c r="B253" i="5"/>
  <c r="N294" i="5"/>
  <c r="C297" i="5"/>
  <c r="M4" i="5"/>
  <c r="A123" i="6"/>
  <c r="G66" i="5"/>
  <c r="A276" i="6"/>
  <c r="L208" i="5"/>
  <c r="H205" i="5"/>
  <c r="AF329" i="2"/>
  <c r="C291" i="5"/>
  <c r="A138" i="5"/>
  <c r="H213" i="5"/>
  <c r="E183" i="5"/>
  <c r="M145" i="5"/>
  <c r="L144" i="5"/>
  <c r="H183" i="5"/>
  <c r="A322" i="6"/>
  <c r="L291" i="5"/>
  <c r="J145" i="5"/>
  <c r="M159" i="5"/>
  <c r="CF450" i="2"/>
  <c r="CF20" i="2"/>
  <c r="A73" i="5"/>
  <c r="CF125" i="2"/>
  <c r="A251" i="6"/>
  <c r="N81" i="5"/>
  <c r="E134" i="5"/>
  <c r="C287" i="5"/>
  <c r="B233" i="5"/>
  <c r="L258" i="5"/>
  <c r="N90" i="5"/>
  <c r="E89" i="5"/>
  <c r="C216" i="5"/>
  <c r="G318" i="5"/>
  <c r="E138" i="5"/>
  <c r="M219" i="5"/>
  <c r="CD58" i="2"/>
  <c r="A351" i="6"/>
  <c r="CE363" i="2"/>
  <c r="E242" i="5"/>
  <c r="C61" i="5"/>
  <c r="G161" i="5"/>
  <c r="D233" i="5"/>
  <c r="P135" i="5"/>
  <c r="B236" i="5"/>
  <c r="A78" i="5"/>
  <c r="O59" i="5"/>
  <c r="D99" i="5"/>
  <c r="CE148" i="2"/>
  <c r="A286" i="5"/>
  <c r="P207" i="5"/>
  <c r="CF256" i="2"/>
  <c r="H72" i="5"/>
  <c r="A202" i="5"/>
  <c r="A174" i="5"/>
  <c r="G207" i="5"/>
  <c r="E83" i="5"/>
  <c r="CD308" i="2"/>
  <c r="I60" i="5"/>
  <c r="A252" i="5"/>
  <c r="E172" i="5"/>
  <c r="AF428" i="2"/>
  <c r="C143" i="5"/>
  <c r="CF294" i="2"/>
  <c r="D95" i="5"/>
  <c r="L285" i="5"/>
  <c r="H147" i="5"/>
  <c r="P273" i="5"/>
  <c r="A110" i="6"/>
  <c r="A98" i="5"/>
  <c r="E180" i="5"/>
  <c r="A331" i="5"/>
  <c r="L79" i="5"/>
  <c r="C150" i="5"/>
  <c r="H220" i="5"/>
  <c r="L31" i="5"/>
  <c r="M297" i="5"/>
  <c r="H222" i="5"/>
  <c r="M36" i="5"/>
  <c r="CF70" i="2"/>
  <c r="AF239" i="2"/>
  <c r="M72" i="5"/>
  <c r="F4" i="5"/>
  <c r="A64" i="5"/>
  <c r="B379" i="5"/>
  <c r="D214" i="5"/>
  <c r="P72" i="5"/>
  <c r="G378" i="5"/>
  <c r="N152" i="5"/>
  <c r="G293" i="5"/>
  <c r="B285" i="5"/>
  <c r="L102" i="5"/>
  <c r="E354" i="5"/>
  <c r="L265" i="5"/>
  <c r="C207" i="5"/>
  <c r="AL128" i="2"/>
  <c r="H177" i="5"/>
  <c r="AF349" i="2"/>
  <c r="C43" i="5"/>
  <c r="B273" i="5"/>
  <c r="E344" i="5"/>
  <c r="AE92" i="2"/>
  <c r="N148" i="5"/>
  <c r="J144" i="5"/>
  <c r="AE222" i="2"/>
  <c r="L116" i="5"/>
  <c r="M169" i="5"/>
  <c r="J182" i="5"/>
  <c r="F161" i="5"/>
  <c r="M54" i="5"/>
  <c r="I112" i="5"/>
  <c r="H217" i="5"/>
  <c r="A64" i="6"/>
  <c r="P200" i="5"/>
  <c r="L323" i="5"/>
  <c r="G175" i="5"/>
  <c r="N363" i="5"/>
  <c r="N167" i="5"/>
  <c r="F113" i="5"/>
  <c r="H312" i="5"/>
  <c r="A139" i="6"/>
  <c r="CE399" i="2"/>
  <c r="E328" i="5"/>
  <c r="H123" i="5"/>
  <c r="A71" i="6"/>
  <c r="O375" i="5"/>
  <c r="C218" i="5"/>
  <c r="CF243" i="2"/>
  <c r="C304" i="5"/>
  <c r="N175" i="5"/>
  <c r="A94" i="6"/>
  <c r="I300" i="5"/>
  <c r="E216" i="5"/>
  <c r="CE225" i="2"/>
  <c r="B245" i="5"/>
  <c r="A227" i="6"/>
  <c r="CF211" i="2"/>
  <c r="CE213" i="2"/>
  <c r="A341" i="6"/>
  <c r="N48" i="5"/>
  <c r="A201" i="5"/>
  <c r="P143" i="5"/>
  <c r="M178" i="5"/>
  <c r="AG158" i="2"/>
  <c r="N42" i="5"/>
  <c r="AF13" i="2"/>
  <c r="E184" i="5"/>
  <c r="N252" i="5"/>
  <c r="A98" i="6"/>
  <c r="A20" i="5"/>
  <c r="A250" i="5"/>
  <c r="H161" i="5"/>
  <c r="L128" i="5"/>
  <c r="L353" i="5"/>
  <c r="H256" i="5"/>
  <c r="J272" i="5"/>
  <c r="H170" i="5"/>
  <c r="L214" i="5"/>
  <c r="C247" i="5"/>
  <c r="CD105" i="2"/>
  <c r="J333" i="5"/>
  <c r="A30" i="5"/>
  <c r="E113" i="5"/>
  <c r="C142" i="5"/>
  <c r="E96" i="5"/>
  <c r="CF177" i="2"/>
  <c r="A225" i="6"/>
  <c r="C193" i="5"/>
  <c r="D234" i="5"/>
  <c r="A157" i="5"/>
  <c r="J310" i="5"/>
  <c r="CE441" i="2"/>
  <c r="E161" i="5"/>
  <c r="A295" i="6"/>
  <c r="N147" i="5"/>
  <c r="L147" i="5"/>
  <c r="H158" i="5"/>
  <c r="A217" i="5"/>
  <c r="C236" i="5"/>
  <c r="J181" i="5"/>
  <c r="CD443" i="2"/>
  <c r="A83" i="5"/>
  <c r="A97" i="6"/>
  <c r="CF327" i="2"/>
  <c r="CF419" i="2"/>
  <c r="N199" i="5"/>
  <c r="L198" i="5"/>
  <c r="P61" i="5"/>
  <c r="H362" i="5"/>
  <c r="M129" i="5"/>
  <c r="N224" i="5"/>
  <c r="CD25" i="2"/>
  <c r="E332" i="5"/>
  <c r="G297" i="5"/>
  <c r="CF380" i="2"/>
  <c r="M349" i="5"/>
  <c r="C214" i="5"/>
  <c r="A41" i="5"/>
  <c r="A52" i="5"/>
  <c r="CF53" i="2"/>
  <c r="C118" i="5"/>
  <c r="A114" i="5"/>
  <c r="G367" i="5"/>
  <c r="A39" i="6"/>
  <c r="AF283" i="2"/>
  <c r="A194" i="6"/>
  <c r="M235" i="5"/>
  <c r="A170" i="5"/>
  <c r="AG244" i="2"/>
  <c r="M181" i="5"/>
  <c r="CF30" i="2"/>
  <c r="J114" i="5"/>
  <c r="AF257" i="2"/>
  <c r="E159" i="5"/>
  <c r="A370" i="6"/>
  <c r="B312" i="5"/>
  <c r="N142" i="5"/>
  <c r="B345" i="5"/>
  <c r="M33" i="5"/>
  <c r="G251" i="5"/>
  <c r="B174" i="5"/>
  <c r="J259" i="5"/>
  <c r="C283" i="5"/>
  <c r="AE226" i="2"/>
  <c r="I378" i="5"/>
  <c r="CD421" i="2"/>
  <c r="A239" i="5"/>
  <c r="CE35" i="2"/>
  <c r="CF141" i="2"/>
  <c r="A197" i="5"/>
  <c r="A173" i="6"/>
  <c r="E7" i="5"/>
  <c r="CF143" i="2"/>
  <c r="O254" i="5"/>
  <c r="AE185" i="2"/>
  <c r="A313" i="6"/>
  <c r="CF274" i="2"/>
  <c r="L35" i="5"/>
  <c r="D107" i="5"/>
  <c r="H322" i="5"/>
  <c r="M229" i="5"/>
  <c r="AE277" i="2"/>
  <c r="L200" i="5"/>
  <c r="C264" i="5"/>
  <c r="G336" i="5"/>
  <c r="E327" i="5"/>
  <c r="H334" i="5"/>
  <c r="CE162" i="2"/>
  <c r="AH344" i="2"/>
  <c r="A150" i="5"/>
  <c r="G338" i="5"/>
  <c r="O31" i="5"/>
  <c r="J250" i="5"/>
  <c r="D324" i="5"/>
  <c r="J269" i="5"/>
  <c r="I214" i="5"/>
  <c r="B261" i="5"/>
  <c r="D206" i="5"/>
  <c r="C79" i="5"/>
  <c r="B57" i="5"/>
  <c r="E41" i="5"/>
  <c r="L117" i="5"/>
  <c r="J354" i="5"/>
  <c r="B350" i="5"/>
  <c r="G150" i="5"/>
  <c r="A260" i="5"/>
  <c r="A69" i="6"/>
  <c r="L355" i="5"/>
  <c r="O338" i="5"/>
  <c r="A231" i="6"/>
  <c r="J184" i="5"/>
  <c r="P105" i="5"/>
  <c r="L338" i="5"/>
  <c r="J47" i="5"/>
  <c r="I294" i="5"/>
  <c r="J139" i="5"/>
  <c r="M282" i="5"/>
  <c r="I5" i="6"/>
  <c r="D307" i="5"/>
  <c r="G295" i="5"/>
  <c r="O74" i="5"/>
  <c r="A369" i="5"/>
  <c r="H266" i="5"/>
  <c r="L251" i="5"/>
  <c r="C278" i="5"/>
  <c r="A284" i="6"/>
  <c r="N185" i="5"/>
  <c r="A303" i="6"/>
  <c r="AE338" i="2"/>
  <c r="A11" i="5"/>
  <c r="L249" i="5"/>
  <c r="A332" i="5"/>
  <c r="P307" i="5"/>
  <c r="H343" i="5"/>
  <c r="AE329" i="2"/>
  <c r="CE149" i="2"/>
  <c r="L216" i="5"/>
  <c r="A266" i="6"/>
  <c r="N288" i="5"/>
  <c r="CE362" i="2"/>
  <c r="O149" i="5"/>
  <c r="A366" i="6"/>
  <c r="M346" i="5"/>
  <c r="E152" i="5"/>
  <c r="E222" i="5"/>
  <c r="H68" i="5"/>
  <c r="D325" i="5"/>
  <c r="O282" i="5"/>
  <c r="N149" i="5"/>
  <c r="AE158" i="2"/>
  <c r="N55" i="5"/>
  <c r="B300" i="5"/>
  <c r="A192" i="6"/>
  <c r="L55" i="5"/>
  <c r="AE231" i="2"/>
  <c r="I165" i="5"/>
  <c r="G296" i="5"/>
  <c r="G70" i="5"/>
  <c r="L378" i="5"/>
  <c r="O122" i="5"/>
  <c r="J188" i="5"/>
  <c r="O134" i="5"/>
  <c r="B112" i="5"/>
  <c r="M218" i="5"/>
  <c r="AF277" i="2"/>
  <c r="L178" i="5"/>
  <c r="E178" i="5"/>
  <c r="M134" i="5"/>
  <c r="E291" i="5"/>
  <c r="D148" i="5"/>
  <c r="M207" i="5"/>
  <c r="I203" i="5"/>
  <c r="D295" i="5"/>
  <c r="AE56" i="2"/>
  <c r="C8" i="5"/>
  <c r="AI188" i="2"/>
  <c r="G327" i="5"/>
  <c r="D221" i="5"/>
  <c r="A174" i="6"/>
  <c r="A183" i="6"/>
  <c r="A310" i="5"/>
  <c r="F355" i="5"/>
  <c r="J255" i="5"/>
  <c r="L91" i="5"/>
  <c r="H344" i="5"/>
  <c r="H194" i="5"/>
  <c r="AE341" i="2"/>
  <c r="O367" i="5"/>
  <c r="A23" i="5"/>
  <c r="CF448" i="2"/>
  <c r="P296" i="5"/>
  <c r="AF305" i="2"/>
  <c r="A365" i="6"/>
  <c r="A50" i="5"/>
  <c r="B98" i="5"/>
  <c r="E289" i="5"/>
  <c r="N171" i="5"/>
  <c r="M77" i="5"/>
  <c r="P213" i="5"/>
  <c r="H320" i="5"/>
  <c r="O60" i="5"/>
  <c r="C334" i="5"/>
  <c r="C303" i="5"/>
  <c r="C305" i="5"/>
  <c r="G123" i="5"/>
  <c r="AE348" i="2"/>
  <c r="N60" i="5"/>
  <c r="D260" i="5"/>
  <c r="AE20" i="2"/>
  <c r="B94" i="5"/>
  <c r="O207" i="5"/>
  <c r="H84" i="5"/>
  <c r="J116" i="5"/>
  <c r="A188" i="5"/>
  <c r="I89" i="5"/>
  <c r="CE67" i="2"/>
  <c r="D173" i="5"/>
  <c r="B327" i="5"/>
  <c r="D252" i="5"/>
  <c r="F142" i="6"/>
  <c r="D176" i="5"/>
  <c r="P170" i="5"/>
  <c r="I101" i="5"/>
  <c r="I347" i="5"/>
  <c r="O341" i="5"/>
  <c r="B62" i="5"/>
  <c r="B263" i="5"/>
  <c r="L239" i="5"/>
  <c r="N299" i="5"/>
  <c r="AF172" i="2"/>
  <c r="A130" i="5"/>
  <c r="I279" i="5"/>
  <c r="P361" i="5"/>
  <c r="M348" i="5"/>
  <c r="J102" i="5"/>
  <c r="AI455" i="2"/>
  <c r="L241" i="5"/>
  <c r="J314" i="5"/>
  <c r="M249" i="5"/>
  <c r="L366" i="5"/>
  <c r="J252" i="5"/>
  <c r="C266" i="5"/>
  <c r="G267" i="5"/>
  <c r="B246" i="5"/>
  <c r="M39" i="5"/>
  <c r="B306" i="5"/>
  <c r="E338" i="5"/>
  <c r="I198" i="5"/>
  <c r="A275" i="5"/>
  <c r="AD238" i="2"/>
  <c r="A321" i="6"/>
  <c r="CF139" i="2"/>
  <c r="L59" i="5"/>
  <c r="F248" i="5"/>
  <c r="D328" i="5"/>
  <c r="D246" i="5"/>
  <c r="E258" i="5"/>
  <c r="M214" i="5"/>
  <c r="J48" i="5"/>
  <c r="M170" i="5"/>
  <c r="L301" i="5"/>
  <c r="B79" i="6"/>
  <c r="P350" i="5"/>
  <c r="AE112" i="2"/>
  <c r="E358" i="5"/>
  <c r="AD10" i="2"/>
  <c r="AF429" i="2"/>
  <c r="A314" i="5"/>
  <c r="O266" i="5"/>
  <c r="N168" i="5"/>
  <c r="E323" i="5"/>
  <c r="AH268" i="2"/>
  <c r="AF12" i="2"/>
  <c r="J342" i="5"/>
  <c r="I239" i="5"/>
  <c r="AG143" i="2"/>
  <c r="AF446" i="2"/>
  <c r="G220" i="5"/>
  <c r="P217" i="5"/>
  <c r="G191" i="5"/>
  <c r="D238" i="5"/>
  <c r="A146" i="5"/>
  <c r="AG180" i="2"/>
  <c r="AH106" i="2"/>
  <c r="H21" i="5"/>
  <c r="L317" i="5"/>
  <c r="AG157" i="2"/>
  <c r="P351" i="5"/>
  <c r="M118" i="5"/>
  <c r="AJ17" i="2"/>
  <c r="A203" i="6"/>
  <c r="H262" i="5"/>
  <c r="B209" i="5"/>
  <c r="J372" i="5"/>
  <c r="L151" i="5"/>
  <c r="N348" i="5"/>
  <c r="AH241" i="2"/>
  <c r="B143" i="6"/>
  <c r="P222" i="5"/>
  <c r="H189" i="5"/>
  <c r="D68" i="6"/>
  <c r="O236" i="5"/>
  <c r="H371" i="5"/>
  <c r="C114" i="5"/>
  <c r="E254" i="5"/>
  <c r="E237" i="5"/>
  <c r="L379" i="5"/>
  <c r="AF418" i="2"/>
  <c r="AE454" i="2"/>
  <c r="CF363" i="2"/>
  <c r="P345" i="5"/>
  <c r="AF398" i="2"/>
  <c r="J240" i="5"/>
  <c r="A161" i="5"/>
  <c r="L322" i="5"/>
  <c r="E36" i="5"/>
  <c r="B172" i="5"/>
  <c r="E137" i="5"/>
  <c r="M319" i="5"/>
  <c r="I348" i="5"/>
  <c r="G206" i="5"/>
  <c r="G176" i="5"/>
  <c r="I360" i="5"/>
  <c r="G224" i="5"/>
  <c r="AI12" i="2"/>
  <c r="E379" i="5"/>
  <c r="D87" i="5"/>
  <c r="O355" i="5"/>
  <c r="G274" i="5"/>
  <c r="AF282" i="2"/>
  <c r="M188" i="5"/>
  <c r="I56" i="5"/>
  <c r="M355" i="5"/>
  <c r="H174" i="5"/>
  <c r="D144" i="5"/>
  <c r="E189" i="5"/>
  <c r="M222" i="5"/>
  <c r="C335" i="5"/>
  <c r="D151" i="5"/>
  <c r="F121" i="5"/>
  <c r="CF369" i="2"/>
  <c r="A237" i="5"/>
  <c r="J346" i="5"/>
  <c r="E29" i="5"/>
  <c r="F237" i="5"/>
  <c r="O302" i="5"/>
  <c r="D356" i="5"/>
  <c r="D58" i="5"/>
  <c r="E341" i="5"/>
  <c r="AF373" i="2"/>
  <c r="L364" i="5"/>
  <c r="I163" i="5"/>
  <c r="AD374" i="2"/>
  <c r="AF406" i="2"/>
  <c r="A36" i="6"/>
  <c r="D133" i="5"/>
  <c r="I250" i="5"/>
  <c r="AE400" i="2"/>
  <c r="F43" i="5"/>
  <c r="L300" i="5"/>
  <c r="I45" i="5"/>
  <c r="I298" i="5"/>
  <c r="AG296" i="2"/>
  <c r="J262" i="5"/>
  <c r="O280" i="5"/>
  <c r="N362" i="5"/>
  <c r="AH233" i="2"/>
  <c r="P226" i="5"/>
  <c r="L99" i="5"/>
  <c r="H171" i="5"/>
  <c r="F313" i="5"/>
  <c r="G249" i="5"/>
  <c r="H225" i="5"/>
  <c r="E75" i="5"/>
  <c r="P375" i="5"/>
  <c r="AG453" i="2"/>
  <c r="P301" i="5"/>
  <c r="L343" i="5"/>
  <c r="D344" i="5"/>
  <c r="P177" i="5"/>
  <c r="AK443" i="2"/>
  <c r="G271" i="5"/>
  <c r="J86" i="5"/>
  <c r="E24" i="5"/>
  <c r="G308" i="5"/>
  <c r="E126" i="5"/>
  <c r="A350" i="6"/>
  <c r="E163" i="5"/>
  <c r="L165" i="5"/>
  <c r="A254" i="6"/>
  <c r="L157" i="5"/>
  <c r="M151" i="5"/>
  <c r="L310" i="5"/>
  <c r="H278" i="5"/>
  <c r="M374" i="5"/>
  <c r="D254" i="5"/>
  <c r="J129" i="5"/>
  <c r="E228" i="5"/>
  <c r="H303" i="5"/>
  <c r="O217" i="5"/>
  <c r="I313" i="5"/>
  <c r="AF345" i="2"/>
  <c r="J334" i="5"/>
  <c r="AI358" i="2"/>
  <c r="AG132" i="2"/>
  <c r="B8" i="5"/>
  <c r="C173" i="6"/>
  <c r="AG84" i="2"/>
  <c r="B154" i="5"/>
  <c r="A358" i="6"/>
  <c r="AE163" i="2"/>
  <c r="I309" i="5"/>
  <c r="AE220" i="2"/>
  <c r="J263" i="5"/>
  <c r="L236" i="5"/>
  <c r="B70" i="5"/>
  <c r="O237" i="5"/>
  <c r="O265" i="5"/>
  <c r="J196" i="5"/>
  <c r="D279" i="5"/>
  <c r="AI39" i="2"/>
  <c r="AL72" i="2"/>
  <c r="P211" i="5"/>
  <c r="I188" i="5"/>
  <c r="AF369" i="2"/>
  <c r="A71" i="5"/>
  <c r="D112" i="5"/>
  <c r="AD286" i="2"/>
  <c r="AF280" i="2"/>
  <c r="F291" i="5"/>
  <c r="O288" i="5"/>
  <c r="AH189" i="2"/>
  <c r="AI141" i="2"/>
  <c r="F158" i="6"/>
  <c r="P267" i="5"/>
  <c r="J331" i="5"/>
  <c r="AF372" i="2"/>
  <c r="G208" i="5"/>
  <c r="G125" i="5"/>
  <c r="L279" i="5"/>
  <c r="O243" i="5"/>
  <c r="L186" i="5"/>
  <c r="F231" i="5"/>
  <c r="L306" i="5"/>
  <c r="N25" i="5"/>
  <c r="A53" i="5"/>
  <c r="A215" i="5"/>
  <c r="I301" i="5"/>
  <c r="O79" i="5"/>
  <c r="F5" i="5"/>
  <c r="CD271" i="2"/>
  <c r="C189" i="5"/>
  <c r="AG206" i="2"/>
  <c r="D199" i="5"/>
  <c r="M251" i="5"/>
  <c r="L309" i="5"/>
  <c r="J276" i="5"/>
  <c r="M316" i="5"/>
  <c r="F105" i="5"/>
  <c r="D244" i="5"/>
  <c r="J229" i="5"/>
  <c r="AF364" i="2"/>
  <c r="G329" i="5"/>
  <c r="J137" i="5"/>
  <c r="O238" i="5"/>
  <c r="D218" i="5"/>
  <c r="AE246" i="2"/>
  <c r="J205" i="5"/>
  <c r="E369" i="5"/>
  <c r="D272" i="5"/>
  <c r="A101" i="6"/>
  <c r="H287" i="5"/>
  <c r="A129" i="6"/>
  <c r="I231" i="5"/>
  <c r="P185" i="5"/>
  <c r="F222" i="5"/>
  <c r="G314" i="5"/>
  <c r="C235" i="5"/>
  <c r="F87" i="5"/>
  <c r="CE259" i="2"/>
  <c r="J49" i="5"/>
  <c r="E160" i="5"/>
  <c r="P195" i="5"/>
  <c r="I282" i="5"/>
  <c r="A127" i="5"/>
  <c r="G131" i="5"/>
  <c r="A342" i="5"/>
  <c r="CF47" i="2"/>
  <c r="N282" i="5"/>
  <c r="C194" i="5"/>
  <c r="J189" i="5"/>
  <c r="AE144" i="2"/>
  <c r="I31" i="5"/>
  <c r="L112" i="5"/>
  <c r="D197" i="5"/>
  <c r="G34" i="5"/>
  <c r="AG56" i="2"/>
  <c r="J291" i="5"/>
  <c r="F279" i="5"/>
  <c r="H231" i="5"/>
  <c r="AK27" i="2"/>
  <c r="D304" i="5"/>
  <c r="F262" i="5"/>
  <c r="AH365" i="2"/>
  <c r="AI185" i="2"/>
  <c r="N357" i="5"/>
  <c r="P187" i="5"/>
  <c r="D228" i="5"/>
  <c r="AE283" i="2"/>
  <c r="L263" i="5"/>
  <c r="AE200" i="2"/>
  <c r="AH57" i="2"/>
  <c r="O188" i="5"/>
  <c r="H145" i="5"/>
  <c r="D192" i="5"/>
  <c r="J336" i="5"/>
  <c r="B101" i="5"/>
  <c r="H339" i="5"/>
  <c r="A262" i="6"/>
  <c r="C31" i="6"/>
  <c r="C187" i="5"/>
  <c r="E125" i="5"/>
  <c r="CE439" i="2"/>
  <c r="G241" i="5"/>
  <c r="P338" i="5"/>
  <c r="E283" i="5"/>
  <c r="AE224" i="2"/>
  <c r="M187" i="5"/>
  <c r="AE30" i="2"/>
  <c r="AE308" i="2"/>
  <c r="O235" i="5"/>
  <c r="G309" i="5"/>
  <c r="AD331" i="2"/>
  <c r="AE43" i="2"/>
  <c r="L270" i="5"/>
  <c r="B332" i="5"/>
  <c r="AF187" i="2"/>
  <c r="P312" i="5"/>
  <c r="AF92" i="2"/>
  <c r="P332" i="5"/>
  <c r="AF119" i="2"/>
  <c r="D341" i="5"/>
  <c r="N222" i="5"/>
  <c r="P95" i="5"/>
  <c r="P258" i="5"/>
  <c r="O42" i="5"/>
  <c r="I35" i="5"/>
  <c r="AD446" i="2"/>
  <c r="B277" i="5"/>
  <c r="L276" i="5"/>
  <c r="B175" i="5"/>
  <c r="B298" i="5"/>
  <c r="D5" i="6"/>
  <c r="CE301" i="2"/>
  <c r="F350" i="5"/>
  <c r="C262" i="5"/>
  <c r="A14" i="5"/>
  <c r="N158" i="5"/>
  <c r="N218" i="5"/>
  <c r="C190" i="5"/>
  <c r="O278" i="5"/>
  <c r="I67" i="5"/>
  <c r="J138" i="5"/>
  <c r="M47" i="5"/>
  <c r="C86" i="6"/>
  <c r="A95" i="6"/>
  <c r="D4" i="5"/>
  <c r="A78" i="6"/>
  <c r="G118" i="5"/>
  <c r="E21" i="5"/>
  <c r="D293" i="5"/>
  <c r="C221" i="5"/>
  <c r="N157" i="5"/>
  <c r="AE127" i="2"/>
  <c r="L308" i="5"/>
  <c r="D249" i="5"/>
  <c r="P175" i="5"/>
  <c r="AE165" i="2"/>
  <c r="F108" i="5"/>
  <c r="CF193" i="2"/>
  <c r="J193" i="5"/>
  <c r="I200" i="5"/>
  <c r="B207" i="5"/>
  <c r="F356" i="5"/>
  <c r="J358" i="5"/>
  <c r="F320" i="5"/>
  <c r="O256" i="5"/>
  <c r="F369" i="5"/>
  <c r="N289" i="5"/>
  <c r="I211" i="5"/>
  <c r="J198" i="5"/>
  <c r="P380" i="5"/>
  <c r="G157" i="5"/>
  <c r="CE310" i="2"/>
  <c r="I6" i="6"/>
  <c r="P246" i="5"/>
  <c r="P371" i="5"/>
  <c r="N328" i="5"/>
  <c r="E261" i="5"/>
  <c r="AE75" i="2"/>
  <c r="P212" i="5"/>
  <c r="AH157" i="2"/>
  <c r="AK88" i="2"/>
  <c r="G173" i="6"/>
  <c r="J171" i="6"/>
  <c r="B274" i="5"/>
  <c r="P356" i="5"/>
  <c r="AI6" i="2"/>
  <c r="E20" i="6"/>
  <c r="N238" i="5"/>
  <c r="L237" i="5"/>
  <c r="G311" i="5"/>
  <c r="M379" i="5"/>
  <c r="G79" i="5"/>
  <c r="M296" i="5"/>
  <c r="M176" i="5"/>
  <c r="D193" i="5"/>
  <c r="AI260" i="2"/>
  <c r="D263" i="5"/>
  <c r="N46" i="5"/>
  <c r="M136" i="5"/>
  <c r="H326" i="5"/>
  <c r="J154" i="5"/>
  <c r="E136" i="5"/>
  <c r="AG141" i="2"/>
  <c r="G279" i="5"/>
  <c r="N133" i="5"/>
  <c r="AE69" i="2"/>
  <c r="L369" i="5"/>
  <c r="C273" i="5"/>
  <c r="P352" i="5"/>
  <c r="M223" i="5"/>
  <c r="G358" i="5"/>
  <c r="I171" i="5"/>
  <c r="J219" i="5"/>
  <c r="E277" i="5"/>
  <c r="A86" i="5"/>
  <c r="AE121" i="2"/>
  <c r="E340" i="5"/>
  <c r="E182" i="5"/>
  <c r="J28" i="5"/>
  <c r="E372" i="5"/>
  <c r="N298" i="5"/>
  <c r="C323" i="5"/>
  <c r="M163" i="5"/>
  <c r="O279" i="5"/>
  <c r="AF330" i="2"/>
  <c r="F340" i="5"/>
  <c r="G301" i="5"/>
  <c r="D363" i="5"/>
  <c r="A140" i="5"/>
  <c r="I336" i="5"/>
  <c r="I235" i="5"/>
  <c r="CE418" i="2"/>
  <c r="H232" i="5"/>
  <c r="A119" i="5"/>
  <c r="N77" i="5"/>
  <c r="E185" i="5"/>
  <c r="J247" i="5"/>
  <c r="P129" i="5"/>
  <c r="M211" i="5"/>
  <c r="A49" i="5"/>
  <c r="AG181" i="2"/>
  <c r="M317" i="5"/>
  <c r="CD247" i="2"/>
  <c r="F89" i="5"/>
  <c r="C313" i="5"/>
  <c r="H169" i="5"/>
  <c r="AG449" i="2"/>
  <c r="G379" i="5"/>
  <c r="M183" i="5"/>
  <c r="AD396" i="2"/>
  <c r="F225" i="5"/>
  <c r="E156" i="5"/>
  <c r="C274" i="5"/>
  <c r="AH15" i="2"/>
  <c r="O326" i="5"/>
  <c r="H206" i="5"/>
  <c r="D205" i="5"/>
  <c r="P141" i="5"/>
  <c r="H277" i="5"/>
  <c r="P317" i="5"/>
  <c r="O362" i="5"/>
  <c r="L328" i="5"/>
  <c r="AF396" i="2"/>
  <c r="E273" i="5"/>
  <c r="J204" i="5"/>
  <c r="I367" i="5"/>
  <c r="CD165" i="2"/>
  <c r="D79" i="5"/>
  <c r="P218" i="5"/>
  <c r="H376" i="5"/>
  <c r="M334" i="5"/>
  <c r="E295" i="5"/>
  <c r="D159" i="5"/>
  <c r="O376" i="5"/>
  <c r="AD30" i="2"/>
  <c r="B231" i="5"/>
  <c r="G21" i="5"/>
  <c r="AF328" i="2"/>
  <c r="B190" i="5"/>
  <c r="F363" i="5"/>
  <c r="H224" i="5"/>
  <c r="L325" i="5"/>
  <c r="N49" i="5"/>
  <c r="AG52" i="2"/>
  <c r="I344" i="5"/>
  <c r="I373" i="5"/>
  <c r="L40" i="5"/>
  <c r="P209" i="5"/>
  <c r="AE361" i="2"/>
  <c r="AF242" i="2"/>
  <c r="J344" i="5"/>
  <c r="CF409" i="2"/>
  <c r="E15" i="5"/>
  <c r="AG193" i="2"/>
  <c r="L296" i="5"/>
  <c r="AI422" i="2"/>
  <c r="E311" i="5"/>
  <c r="H192" i="5"/>
  <c r="D184" i="5"/>
  <c r="P299" i="5"/>
  <c r="AF213" i="2"/>
  <c r="AL320" i="2"/>
  <c r="M167" i="5"/>
  <c r="M337" i="5"/>
  <c r="D303" i="5"/>
  <c r="AI41" i="2"/>
  <c r="AD272" i="2"/>
  <c r="B217" i="5"/>
  <c r="F58" i="5"/>
  <c r="P288" i="5"/>
  <c r="M135" i="5"/>
  <c r="G231" i="5"/>
  <c r="F148" i="5"/>
  <c r="AI89" i="2"/>
  <c r="C119" i="5"/>
  <c r="CE309" i="2"/>
  <c r="D77" i="5"/>
  <c r="O321" i="5"/>
  <c r="D188" i="5"/>
  <c r="L232" i="5"/>
  <c r="I254" i="5"/>
  <c r="AF341" i="2"/>
  <c r="C102" i="6"/>
  <c r="I180" i="5"/>
  <c r="L141" i="5"/>
  <c r="I284" i="5"/>
  <c r="A104" i="5"/>
  <c r="CF426" i="2"/>
  <c r="CF157" i="2"/>
  <c r="H198" i="5"/>
  <c r="C282" i="5"/>
  <c r="G182" i="5"/>
  <c r="D138" i="5"/>
  <c r="P197" i="5"/>
  <c r="E226" i="5"/>
  <c r="E293" i="5"/>
  <c r="AK397" i="2"/>
  <c r="C275" i="5"/>
  <c r="C364" i="5"/>
  <c r="A319" i="5"/>
  <c r="C227" i="5"/>
  <c r="N285" i="5"/>
  <c r="CE284" i="2"/>
  <c r="M104" i="5"/>
  <c r="C317" i="5"/>
  <c r="P124" i="5"/>
  <c r="L104" i="5"/>
  <c r="J167" i="5"/>
  <c r="AF289" i="2"/>
  <c r="AF363" i="2"/>
  <c r="B64" i="5"/>
  <c r="AG62" i="2"/>
  <c r="A280" i="5"/>
  <c r="J90" i="5"/>
  <c r="L311" i="5"/>
  <c r="F331" i="5"/>
  <c r="A106" i="6"/>
  <c r="CF35" i="2"/>
  <c r="J197" i="5"/>
  <c r="L256" i="5"/>
  <c r="E148" i="5"/>
  <c r="I297" i="5"/>
  <c r="P104" i="5"/>
  <c r="AD78" i="2"/>
  <c r="G286" i="5"/>
  <c r="AI399" i="2"/>
  <c r="E250" i="5"/>
  <c r="I246" i="5"/>
  <c r="AF324" i="2"/>
  <c r="H39" i="5"/>
  <c r="M162" i="5"/>
  <c r="L357" i="5"/>
  <c r="H361" i="5"/>
  <c r="AE166" i="2"/>
  <c r="N327" i="5"/>
  <c r="I345" i="5"/>
  <c r="AE406" i="2"/>
  <c r="G128" i="6"/>
  <c r="L221" i="5"/>
  <c r="L228" i="5"/>
  <c r="AF201" i="2"/>
  <c r="C328" i="5"/>
  <c r="B287" i="5"/>
  <c r="AE51" i="2"/>
  <c r="AF409" i="2"/>
  <c r="E343" i="5"/>
  <c r="I131" i="5"/>
  <c r="A368" i="5"/>
  <c r="AF236" i="2"/>
  <c r="L161" i="5"/>
  <c r="N321" i="5"/>
  <c r="E214" i="5"/>
  <c r="A75" i="6"/>
  <c r="P309" i="5"/>
  <c r="B144" i="5"/>
  <c r="AG202" i="2"/>
  <c r="B343" i="5"/>
  <c r="I293" i="5"/>
  <c r="AF383" i="2"/>
  <c r="B241" i="5"/>
  <c r="N57" i="5"/>
  <c r="AF79" i="2"/>
  <c r="H366" i="5"/>
  <c r="AF334" i="2"/>
  <c r="E217" i="5"/>
  <c r="AL276" i="2"/>
  <c r="AD231" i="2"/>
  <c r="D180" i="5"/>
  <c r="B371" i="5"/>
  <c r="N229" i="5"/>
  <c r="I207" i="5"/>
  <c r="AL18" i="2"/>
  <c r="B17" i="5"/>
  <c r="O201" i="5"/>
  <c r="O94" i="5"/>
  <c r="O20" i="5"/>
  <c r="AE429" i="2"/>
  <c r="B372" i="5"/>
  <c r="I351" i="5"/>
  <c r="G350" i="5"/>
  <c r="D274" i="5"/>
  <c r="N342" i="5"/>
  <c r="G331" i="5"/>
  <c r="N65" i="5"/>
  <c r="P376" i="5"/>
  <c r="AF97" i="2"/>
  <c r="O189" i="5"/>
  <c r="J9" i="5"/>
  <c r="N325" i="5"/>
  <c r="A123" i="5"/>
  <c r="L158" i="5"/>
  <c r="J325" i="5"/>
  <c r="O205" i="5"/>
  <c r="E48" i="5"/>
  <c r="A135" i="5"/>
  <c r="C172" i="5"/>
  <c r="O142" i="5"/>
  <c r="AE424" i="2"/>
  <c r="G151" i="5"/>
  <c r="E135" i="6"/>
  <c r="B304" i="5"/>
  <c r="I339" i="5"/>
  <c r="G67" i="5"/>
  <c r="E99" i="5"/>
  <c r="C269" i="5"/>
  <c r="N202" i="5"/>
  <c r="D216" i="5"/>
  <c r="I210" i="5"/>
  <c r="O276" i="5"/>
  <c r="M350" i="5"/>
  <c r="N302" i="5"/>
  <c r="E256" i="5"/>
  <c r="O153" i="5"/>
  <c r="AG377" i="2"/>
  <c r="P43" i="5"/>
  <c r="AE215" i="2"/>
  <c r="F86" i="5"/>
  <c r="B271" i="5"/>
  <c r="C293" i="5"/>
  <c r="A162" i="6"/>
  <c r="I133" i="5"/>
  <c r="B342" i="5"/>
  <c r="O192" i="5"/>
  <c r="AG194" i="2"/>
  <c r="A178" i="6"/>
  <c r="P269" i="5"/>
  <c r="I374" i="5"/>
  <c r="I370" i="5"/>
  <c r="AH219" i="2"/>
  <c r="AD119" i="2"/>
  <c r="P131" i="5"/>
  <c r="O372" i="5"/>
  <c r="M244" i="5"/>
  <c r="G91" i="5"/>
  <c r="D322" i="5"/>
  <c r="O246" i="5"/>
  <c r="L107" i="5"/>
  <c r="J357" i="5"/>
  <c r="D231" i="5"/>
  <c r="F250" i="5"/>
  <c r="D224" i="5"/>
  <c r="A55" i="6"/>
  <c r="B203" i="5"/>
  <c r="C158" i="5"/>
  <c r="D276" i="5"/>
  <c r="AE52" i="2"/>
  <c r="P91" i="5"/>
  <c r="AG88" i="2"/>
  <c r="J289" i="5"/>
  <c r="C168" i="5"/>
  <c r="M225" i="5"/>
  <c r="F68" i="5"/>
  <c r="E209" i="5"/>
  <c r="N111" i="5"/>
  <c r="AI248" i="2"/>
  <c r="D139" i="6"/>
  <c r="C176" i="5"/>
  <c r="F133" i="5"/>
  <c r="AE116" i="2"/>
  <c r="O128" i="5"/>
  <c r="AE352" i="2"/>
  <c r="G291" i="5"/>
  <c r="P289" i="5"/>
  <c r="P320" i="5"/>
  <c r="M307" i="5"/>
  <c r="B212" i="5"/>
  <c r="CF313" i="2"/>
  <c r="AF320" i="2"/>
  <c r="N221" i="5"/>
  <c r="F375" i="5"/>
  <c r="L103" i="5"/>
  <c r="J309" i="5"/>
  <c r="G177" i="5"/>
  <c r="P178" i="5"/>
  <c r="J261" i="5"/>
  <c r="B359" i="5"/>
  <c r="B299" i="5"/>
  <c r="G365" i="5"/>
  <c r="P158" i="5"/>
  <c r="AE232" i="2"/>
  <c r="AF458" i="2"/>
  <c r="N151" i="5"/>
  <c r="AF151" i="2"/>
  <c r="AG423" i="2"/>
  <c r="AG321" i="2"/>
  <c r="L252" i="5"/>
  <c r="A198" i="6"/>
  <c r="C111" i="5"/>
  <c r="B141" i="5"/>
  <c r="AD372" i="2"/>
  <c r="E284" i="5"/>
  <c r="B222" i="5"/>
  <c r="P25" i="5"/>
  <c r="P282" i="5"/>
  <c r="D257" i="5"/>
  <c r="AF9" i="2"/>
  <c r="A166" i="5"/>
  <c r="E255" i="5"/>
  <c r="G285" i="5"/>
  <c r="N354" i="5"/>
  <c r="L283" i="5"/>
  <c r="P171" i="5"/>
  <c r="C171" i="5"/>
  <c r="B160" i="5"/>
  <c r="H115" i="5"/>
  <c r="J366" i="5"/>
  <c r="AK275" i="2"/>
  <c r="F189" i="5"/>
  <c r="C186" i="5"/>
  <c r="I196" i="5"/>
  <c r="M198" i="5"/>
  <c r="AE451" i="2"/>
  <c r="D210" i="5"/>
  <c r="AF302" i="2"/>
  <c r="F207" i="5"/>
  <c r="F209" i="5"/>
  <c r="A237" i="6"/>
  <c r="E339" i="5"/>
  <c r="I217" i="5"/>
  <c r="P327" i="5"/>
  <c r="CF338" i="2"/>
  <c r="CF152" i="2"/>
  <c r="O158" i="5"/>
  <c r="F153" i="5"/>
  <c r="F239" i="5"/>
  <c r="D298" i="5"/>
  <c r="AH68" i="2"/>
  <c r="B275" i="5"/>
  <c r="B118" i="5"/>
  <c r="AI9" i="2"/>
  <c r="B107" i="5"/>
  <c r="J203" i="5"/>
  <c r="CF201" i="2"/>
  <c r="L220" i="5"/>
  <c r="J242" i="5"/>
  <c r="A46" i="5"/>
  <c r="G209" i="5"/>
  <c r="I219" i="5"/>
  <c r="C125" i="5"/>
  <c r="F285" i="5"/>
  <c r="E192" i="5"/>
  <c r="B170" i="5"/>
  <c r="M102" i="5"/>
  <c r="AI363" i="2"/>
  <c r="O168" i="5"/>
  <c r="J75" i="5"/>
  <c r="P328" i="5"/>
  <c r="F333" i="5"/>
  <c r="H102" i="5"/>
  <c r="AE45" i="2"/>
  <c r="O271" i="5"/>
  <c r="M231" i="5"/>
  <c r="N295" i="5"/>
  <c r="P362" i="5"/>
  <c r="J40" i="5"/>
  <c r="AJ343" i="2"/>
  <c r="AE91" i="2"/>
  <c r="C186" i="6"/>
  <c r="AI362" i="2"/>
  <c r="H229" i="5"/>
  <c r="AE465" i="2"/>
  <c r="J199" i="5"/>
  <c r="H279" i="5"/>
  <c r="B317" i="5"/>
  <c r="M304" i="5"/>
  <c r="D318" i="5"/>
  <c r="B256" i="5"/>
  <c r="D253" i="5"/>
  <c r="AF413" i="2"/>
  <c r="J251" i="5"/>
  <c r="L307" i="5"/>
  <c r="A317" i="6"/>
  <c r="AL140" i="2"/>
  <c r="N170" i="5"/>
  <c r="H197" i="5"/>
  <c r="H307" i="5"/>
  <c r="AE29" i="2"/>
  <c r="AG336" i="2"/>
  <c r="AL289" i="2"/>
  <c r="F284" i="5"/>
  <c r="J165" i="5"/>
  <c r="I234" i="5"/>
  <c r="O347" i="5"/>
  <c r="H242" i="5"/>
  <c r="A360" i="5"/>
  <c r="F264" i="5"/>
  <c r="C154" i="5"/>
  <c r="C173" i="5"/>
  <c r="AF368" i="2"/>
  <c r="I144" i="5"/>
  <c r="AE154" i="2"/>
  <c r="C311" i="5"/>
  <c r="N159" i="5"/>
  <c r="C248" i="5"/>
  <c r="AI222" i="2"/>
  <c r="M343" i="5"/>
  <c r="F309" i="5"/>
  <c r="N248" i="5"/>
  <c r="F187" i="6"/>
  <c r="B281" i="5"/>
  <c r="N303" i="5"/>
  <c r="AH458" i="2"/>
  <c r="AG255" i="2"/>
  <c r="AE90" i="2"/>
  <c r="D115" i="5"/>
  <c r="E207" i="5"/>
  <c r="F52" i="6"/>
  <c r="AD199" i="2"/>
  <c r="G225" i="5"/>
  <c r="H238" i="5"/>
  <c r="AI368" i="2"/>
  <c r="AD402" i="2"/>
  <c r="J226" i="5"/>
  <c r="B293" i="5"/>
  <c r="C271" i="5"/>
  <c r="N281" i="5"/>
  <c r="G47" i="6"/>
  <c r="C116" i="5"/>
  <c r="H347" i="5"/>
  <c r="N262" i="5"/>
  <c r="A337" i="5"/>
  <c r="F283" i="5"/>
  <c r="AD394" i="2"/>
  <c r="B202" i="5"/>
  <c r="AE383" i="2"/>
  <c r="C376" i="5"/>
  <c r="F380" i="5"/>
  <c r="O303" i="5"/>
  <c r="AE304" i="2"/>
  <c r="H226" i="5"/>
  <c r="AG110" i="2"/>
  <c r="O211" i="5"/>
  <c r="A122" i="5"/>
  <c r="C259" i="5"/>
  <c r="AF90" i="2"/>
  <c r="AI135" i="2"/>
  <c r="AF430" i="2"/>
  <c r="AF393" i="2"/>
  <c r="AE446" i="2"/>
  <c r="AH356" i="2"/>
  <c r="L321" i="5"/>
  <c r="A209" i="5"/>
  <c r="J286" i="5"/>
  <c r="C359" i="5"/>
  <c r="N108" i="5"/>
  <c r="N255" i="5"/>
  <c r="AF177" i="2"/>
  <c r="AK122" i="2"/>
  <c r="O354" i="5"/>
  <c r="L215" i="5"/>
  <c r="C342" i="5"/>
  <c r="AF60" i="2"/>
  <c r="AG109" i="2"/>
  <c r="AG366" i="2"/>
  <c r="AH55" i="2"/>
  <c r="B328" i="5"/>
  <c r="L207" i="5"/>
  <c r="C133" i="5"/>
  <c r="J271" i="5"/>
  <c r="H88" i="5"/>
  <c r="H218" i="5"/>
  <c r="D357" i="5"/>
  <c r="G59" i="5"/>
  <c r="L245" i="5"/>
  <c r="M237" i="5"/>
  <c r="G218" i="5"/>
  <c r="AF294" i="2"/>
  <c r="AJ190" i="2"/>
  <c r="AI16" i="2"/>
  <c r="AK111" i="2"/>
  <c r="P270" i="5"/>
  <c r="P334" i="5"/>
  <c r="J234" i="5"/>
  <c r="M365" i="5"/>
  <c r="D207" i="5"/>
  <c r="M125" i="5"/>
  <c r="A296" i="5"/>
  <c r="AH95" i="2"/>
  <c r="AG182" i="2"/>
  <c r="B87" i="5"/>
  <c r="F49" i="6"/>
  <c r="L229" i="5"/>
  <c r="P245" i="5"/>
  <c r="O107" i="5"/>
  <c r="C196" i="5"/>
  <c r="P117" i="5"/>
  <c r="AF253" i="2"/>
  <c r="AK209" i="2"/>
  <c r="AF307" i="2"/>
  <c r="C122" i="5"/>
  <c r="I52" i="5"/>
  <c r="I258" i="5"/>
  <c r="H284" i="5"/>
  <c r="AG253" i="2"/>
  <c r="AL388" i="2"/>
  <c r="B363" i="5"/>
  <c r="D306" i="5"/>
  <c r="O156" i="5"/>
  <c r="G14" i="6"/>
  <c r="AH113" i="2"/>
  <c r="J345" i="5"/>
  <c r="F195" i="5"/>
  <c r="AG108" i="2"/>
  <c r="AE53" i="2"/>
  <c r="B348" i="5"/>
  <c r="E321" i="5"/>
  <c r="G62" i="6"/>
  <c r="P202" i="5"/>
  <c r="AK323" i="2"/>
  <c r="AK125" i="2"/>
  <c r="AL372" i="2"/>
  <c r="AI303" i="2"/>
  <c r="F75" i="6"/>
  <c r="O344" i="5"/>
  <c r="E204" i="6"/>
  <c r="AL23" i="2"/>
  <c r="AE373" i="2"/>
  <c r="G340" i="5"/>
  <c r="O327" i="5"/>
  <c r="M336" i="5"/>
  <c r="F193" i="5"/>
  <c r="AK131" i="2"/>
  <c r="N373" i="5"/>
  <c r="L230" i="5"/>
  <c r="AI373" i="2"/>
  <c r="N333" i="5"/>
  <c r="G366" i="5"/>
  <c r="B157" i="5"/>
  <c r="P262" i="5"/>
  <c r="H329" i="5"/>
  <c r="AE79" i="2"/>
  <c r="AD167" i="2"/>
  <c r="B280" i="5"/>
  <c r="G328" i="5"/>
  <c r="D181" i="5"/>
  <c r="A62" i="5"/>
  <c r="L336" i="5"/>
  <c r="O174" i="5"/>
  <c r="N310" i="5"/>
  <c r="AF169" i="2"/>
  <c r="J305" i="5"/>
  <c r="O169" i="5"/>
  <c r="AG275" i="2"/>
  <c r="D309" i="5"/>
  <c r="L334" i="5"/>
  <c r="D329" i="5"/>
  <c r="O309" i="5"/>
  <c r="G162" i="5"/>
  <c r="C58" i="6"/>
  <c r="O35" i="5"/>
  <c r="AF265" i="2"/>
  <c r="AH326" i="2"/>
  <c r="AE456" i="2"/>
  <c r="AF89" i="2"/>
  <c r="B234" i="5"/>
  <c r="AG375" i="2"/>
  <c r="AJ423" i="2"/>
  <c r="E186" i="5"/>
  <c r="AF206" i="2"/>
  <c r="H348" i="5"/>
  <c r="AD210" i="2"/>
  <c r="L259" i="5"/>
  <c r="AD225" i="2"/>
  <c r="H300" i="5"/>
  <c r="E33" i="6"/>
  <c r="P161" i="5"/>
  <c r="N359" i="5"/>
  <c r="AD85" i="2"/>
  <c r="AL356" i="2"/>
  <c r="F199" i="5"/>
  <c r="AH404" i="2"/>
  <c r="AD111" i="2"/>
  <c r="N349" i="5"/>
  <c r="G248" i="5"/>
  <c r="AD271" i="2"/>
  <c r="AG355" i="2"/>
  <c r="G216" i="5"/>
  <c r="AH383" i="2"/>
  <c r="B284" i="5"/>
  <c r="F370" i="5"/>
  <c r="AF118" i="2"/>
  <c r="AG425" i="2"/>
  <c r="AG269" i="2"/>
  <c r="AD154" i="2"/>
  <c r="D282" i="5"/>
  <c r="AL113" i="2"/>
  <c r="AG360" i="2"/>
  <c r="AG190" i="2"/>
  <c r="AF190" i="2"/>
  <c r="P208" i="5"/>
  <c r="AE236" i="2"/>
  <c r="AK264" i="2"/>
  <c r="J163" i="5"/>
  <c r="E355" i="5"/>
  <c r="L346" i="5"/>
  <c r="I343" i="5"/>
  <c r="B330" i="5"/>
  <c r="M203" i="5"/>
  <c r="AF93" i="2"/>
  <c r="AJ159" i="2"/>
  <c r="J320" i="5"/>
  <c r="I76" i="6"/>
  <c r="C281" i="5"/>
  <c r="P342" i="5"/>
  <c r="F244" i="5"/>
  <c r="AH340" i="2"/>
  <c r="D301" i="5"/>
  <c r="C197" i="5"/>
  <c r="N181" i="5"/>
  <c r="E129" i="5"/>
  <c r="B247" i="5"/>
  <c r="P248" i="5"/>
  <c r="J180" i="5"/>
  <c r="P241" i="5"/>
  <c r="D255" i="5"/>
  <c r="F253" i="5"/>
  <c r="H374" i="5"/>
  <c r="I167" i="5"/>
  <c r="N346" i="5"/>
  <c r="AD198" i="2"/>
  <c r="AE421" i="2"/>
  <c r="AE206" i="2"/>
  <c r="P321" i="5"/>
  <c r="AH341" i="2"/>
  <c r="B65" i="5"/>
  <c r="E325" i="5"/>
  <c r="F220" i="5"/>
  <c r="H375" i="5"/>
  <c r="M240" i="5"/>
  <c r="C344" i="5"/>
  <c r="J210" i="5"/>
  <c r="P292" i="5"/>
  <c r="D375" i="5"/>
  <c r="M342" i="5"/>
  <c r="D222" i="5"/>
  <c r="AE175" i="2"/>
  <c r="L264" i="5"/>
  <c r="P331" i="5"/>
  <c r="N188" i="5"/>
  <c r="AF160" i="2"/>
  <c r="O261" i="5"/>
  <c r="N309" i="5"/>
  <c r="I194" i="5"/>
  <c r="P293" i="5"/>
  <c r="J175" i="5"/>
  <c r="AG94" i="2"/>
  <c r="AG437" i="2"/>
  <c r="D66" i="5"/>
  <c r="F294" i="5"/>
  <c r="AF34" i="2"/>
  <c r="F119" i="5"/>
  <c r="F254" i="5"/>
  <c r="CF235" i="2"/>
  <c r="AD299" i="2"/>
  <c r="N223" i="5"/>
  <c r="N323" i="5"/>
  <c r="H335" i="5"/>
  <c r="E187" i="5"/>
  <c r="AF243" i="2"/>
  <c r="O185" i="5"/>
  <c r="A327" i="6"/>
  <c r="G41" i="6"/>
  <c r="AH367" i="2"/>
  <c r="AJ193" i="2"/>
  <c r="L335" i="5"/>
  <c r="AF50" i="2"/>
  <c r="B331" i="5"/>
  <c r="E147" i="5"/>
  <c r="AK440" i="2"/>
  <c r="G325" i="5"/>
  <c r="AH275" i="2"/>
  <c r="O294" i="5"/>
  <c r="G323" i="5"/>
  <c r="AH36" i="2"/>
  <c r="B114" i="6"/>
  <c r="C326" i="5"/>
  <c r="F191" i="5"/>
  <c r="AF261" i="2"/>
  <c r="AE386" i="2"/>
  <c r="AK113" i="2"/>
  <c r="D21" i="6"/>
  <c r="M321" i="5"/>
  <c r="AJ95" i="2"/>
  <c r="AJ103" i="2"/>
  <c r="D281" i="5"/>
  <c r="F142" i="5"/>
  <c r="D258" i="5"/>
  <c r="H212" i="5"/>
  <c r="G344" i="5"/>
  <c r="O310" i="5"/>
  <c r="B323" i="5"/>
  <c r="J371" i="5"/>
  <c r="I262" i="5"/>
  <c r="AI349" i="2"/>
  <c r="AF170" i="2"/>
  <c r="F321" i="5"/>
  <c r="N352" i="5"/>
  <c r="G312" i="5"/>
  <c r="AF412" i="2"/>
  <c r="L153" i="5"/>
  <c r="AG213" i="2"/>
  <c r="O220" i="5"/>
  <c r="G178" i="5"/>
  <c r="H108" i="6"/>
  <c r="F65" i="5"/>
  <c r="AJ393" i="2"/>
  <c r="AH18" i="2"/>
  <c r="G29" i="6"/>
  <c r="G238" i="5"/>
  <c r="AD121" i="2"/>
  <c r="AH249" i="2"/>
  <c r="AJ118" i="2"/>
  <c r="B166" i="5"/>
  <c r="M323" i="5"/>
  <c r="AD24" i="2"/>
  <c r="AG295" i="2"/>
  <c r="F72" i="6"/>
  <c r="AG416" i="2"/>
  <c r="C63" i="5"/>
  <c r="G347" i="5"/>
  <c r="D248" i="5"/>
  <c r="B310" i="5"/>
  <c r="J363" i="5"/>
  <c r="AF199" i="2"/>
  <c r="B170" i="6"/>
  <c r="AF72" i="2"/>
  <c r="J365" i="5"/>
  <c r="CF179" i="2"/>
  <c r="P358" i="5"/>
  <c r="AE359" i="2"/>
  <c r="O281" i="5"/>
  <c r="L212" i="5"/>
  <c r="P276" i="5"/>
  <c r="D376" i="5"/>
  <c r="P364" i="5"/>
  <c r="G145" i="5"/>
  <c r="D229" i="5"/>
  <c r="P111" i="5"/>
  <c r="N225" i="5"/>
  <c r="L201" i="5"/>
  <c r="AG155" i="2"/>
  <c r="J274" i="5"/>
  <c r="D339" i="5"/>
  <c r="O304" i="5"/>
  <c r="O221" i="5"/>
  <c r="CF263" i="2"/>
  <c r="N215" i="5"/>
  <c r="H318" i="5"/>
  <c r="AE87" i="2"/>
  <c r="AD377" i="2"/>
  <c r="F258" i="5"/>
  <c r="AF251" i="2"/>
  <c r="AI334" i="2"/>
  <c r="P297" i="5"/>
  <c r="F273" i="5"/>
  <c r="O353" i="5"/>
  <c r="O147" i="5"/>
  <c r="E28" i="5"/>
  <c r="F270" i="5"/>
  <c r="AF333" i="2"/>
  <c r="N121" i="5"/>
  <c r="I142" i="5"/>
  <c r="J216" i="5"/>
  <c r="G334" i="5"/>
  <c r="L234" i="5"/>
  <c r="AK424" i="2"/>
  <c r="AE425" i="2"/>
  <c r="B346" i="5"/>
  <c r="A277" i="5"/>
  <c r="I328" i="5"/>
  <c r="C211" i="5"/>
  <c r="AF346" i="2"/>
  <c r="B349" i="5"/>
  <c r="H365" i="5"/>
  <c r="AG123" i="2"/>
  <c r="P252" i="5"/>
  <c r="D96" i="5"/>
  <c r="O297" i="5"/>
  <c r="L167" i="5"/>
  <c r="N201" i="5"/>
  <c r="G294" i="5"/>
  <c r="P318" i="5"/>
  <c r="J275" i="5"/>
  <c r="I361" i="5"/>
  <c r="AE397" i="2"/>
  <c r="E331" i="5"/>
  <c r="AI441" i="2"/>
  <c r="P186" i="5"/>
  <c r="E87" i="5"/>
  <c r="G370" i="5"/>
  <c r="I352" i="5"/>
  <c r="J318" i="5"/>
  <c r="L244" i="5"/>
  <c r="C170" i="5"/>
  <c r="G313" i="5"/>
  <c r="D287" i="5"/>
  <c r="AE328" i="2"/>
  <c r="AI316" i="2"/>
  <c r="N345" i="5"/>
  <c r="AH174" i="2"/>
  <c r="AD72" i="2"/>
  <c r="G258" i="5"/>
  <c r="D225" i="5"/>
  <c r="L225" i="5"/>
  <c r="I86" i="6"/>
  <c r="G364" i="5"/>
  <c r="G345" i="5"/>
  <c r="I120" i="5"/>
  <c r="AF121" i="2"/>
  <c r="A100" i="5"/>
  <c r="AF249" i="2"/>
  <c r="O270" i="5"/>
  <c r="N270" i="5"/>
  <c r="AF366" i="2"/>
  <c r="AJ204" i="2"/>
  <c r="D38" i="6"/>
  <c r="AK94" i="2"/>
  <c r="AG256" i="2"/>
  <c r="D358" i="5"/>
  <c r="F34" i="6"/>
  <c r="AG438" i="2"/>
  <c r="AD206" i="2"/>
  <c r="C89" i="5"/>
  <c r="AK29" i="2"/>
  <c r="B303" i="5"/>
  <c r="AG212" i="2"/>
  <c r="AG378" i="2"/>
  <c r="N93" i="5"/>
  <c r="J153" i="5"/>
  <c r="A281" i="6"/>
  <c r="L171" i="5"/>
  <c r="AE324" i="2"/>
  <c r="H214" i="5"/>
  <c r="AI244" i="2"/>
  <c r="L246" i="5"/>
  <c r="J56" i="5"/>
  <c r="L281" i="5"/>
  <c r="E378" i="5"/>
  <c r="N235" i="5"/>
  <c r="H257" i="5"/>
  <c r="AG384" i="2"/>
  <c r="AD355" i="2"/>
  <c r="C314" i="5"/>
  <c r="F367" i="5"/>
  <c r="AF135" i="2"/>
  <c r="AF180" i="2"/>
  <c r="P326" i="5"/>
  <c r="AF384" i="2"/>
  <c r="O260" i="5"/>
  <c r="J322" i="5"/>
  <c r="AH256" i="2"/>
  <c r="G281" i="5"/>
  <c r="F233" i="5"/>
  <c r="F182" i="5"/>
  <c r="O219" i="5"/>
  <c r="M331" i="5"/>
  <c r="B24" i="6"/>
  <c r="P219" i="5"/>
  <c r="G278" i="5"/>
  <c r="C56" i="6"/>
  <c r="M253" i="5"/>
  <c r="AF344" i="2"/>
  <c r="J324" i="5"/>
  <c r="P372" i="5"/>
  <c r="E9" i="5"/>
  <c r="AH42" i="2"/>
  <c r="E141" i="5"/>
  <c r="I346" i="5"/>
  <c r="AE288" i="2"/>
  <c r="J135" i="5"/>
  <c r="AH316" i="2"/>
  <c r="B295" i="5"/>
  <c r="M344" i="5"/>
  <c r="B96" i="5"/>
  <c r="AD77" i="2"/>
  <c r="AK10" i="2"/>
  <c r="J235" i="5"/>
  <c r="AG87" i="2"/>
  <c r="CF264" i="2"/>
  <c r="J61" i="5"/>
  <c r="D366" i="5"/>
  <c r="G185" i="5"/>
  <c r="O263" i="5"/>
  <c r="G359" i="5"/>
  <c r="D127" i="6"/>
  <c r="F168" i="5"/>
  <c r="H258" i="5"/>
  <c r="G368" i="5"/>
  <c r="AH161" i="2"/>
  <c r="F245" i="5"/>
  <c r="F129" i="5"/>
  <c r="P232" i="5"/>
  <c r="C295" i="5"/>
  <c r="D35" i="5"/>
  <c r="AE74" i="2"/>
  <c r="D134" i="5"/>
  <c r="AF37" i="2"/>
  <c r="AH11" i="2"/>
  <c r="G356" i="5"/>
  <c r="G354" i="5"/>
  <c r="L367" i="5"/>
  <c r="AF42" i="2"/>
  <c r="O161" i="5"/>
  <c r="AI261" i="2"/>
  <c r="D116" i="5"/>
  <c r="G268" i="5"/>
  <c r="O233" i="5"/>
  <c r="J283" i="5"/>
  <c r="AJ319" i="2"/>
  <c r="H254" i="5"/>
  <c r="C368" i="5"/>
  <c r="H378" i="5"/>
  <c r="AG326" i="2"/>
  <c r="P329" i="5"/>
  <c r="G346" i="5"/>
  <c r="AH105" i="2"/>
  <c r="E234" i="5"/>
  <c r="E365" i="5"/>
  <c r="H341" i="5"/>
  <c r="AF138" i="2"/>
  <c r="J364" i="5"/>
  <c r="AH400" i="2"/>
  <c r="O337" i="5"/>
  <c r="AH41" i="2"/>
  <c r="AG12" i="2"/>
  <c r="AL225" i="2"/>
  <c r="H235" i="6"/>
  <c r="N29" i="5"/>
  <c r="N184" i="5"/>
  <c r="AG152" i="2"/>
  <c r="AE104" i="2"/>
  <c r="L83" i="5"/>
  <c r="AH296" i="2"/>
  <c r="I85" i="5"/>
  <c r="AD171" i="2"/>
  <c r="E353" i="5"/>
  <c r="P192" i="5"/>
  <c r="J88" i="6"/>
  <c r="C99" i="5"/>
  <c r="AD407" i="2"/>
  <c r="AH427" i="2"/>
  <c r="CF44" i="2"/>
  <c r="AD53" i="2"/>
  <c r="P231" i="5"/>
  <c r="P149" i="5"/>
  <c r="L223" i="5"/>
  <c r="J292" i="5"/>
  <c r="E68" i="5"/>
  <c r="C357" i="5"/>
  <c r="C136" i="5"/>
  <c r="H201" i="5"/>
  <c r="G133" i="6"/>
  <c r="AK38" i="2"/>
  <c r="AI31" i="2"/>
  <c r="F290" i="5"/>
  <c r="M250" i="5"/>
  <c r="M351" i="5"/>
  <c r="AG184" i="2"/>
  <c r="AG299" i="2"/>
  <c r="G326" i="5"/>
  <c r="L342" i="5"/>
  <c r="F175" i="6"/>
  <c r="AE37" i="2"/>
  <c r="AE331" i="2"/>
  <c r="AK265" i="2"/>
  <c r="AG60" i="2"/>
  <c r="A84" i="5"/>
  <c r="AG19" i="2"/>
  <c r="AF220" i="2"/>
  <c r="AD357" i="2"/>
  <c r="B232" i="5"/>
  <c r="J361" i="5"/>
  <c r="AL391" i="2"/>
  <c r="C225" i="5"/>
  <c r="P300" i="5"/>
  <c r="CF412" i="2"/>
  <c r="AH146" i="2"/>
  <c r="G337" i="5"/>
  <c r="C16" i="5"/>
  <c r="AE367" i="2"/>
  <c r="AH191" i="2"/>
  <c r="AK335" i="2"/>
  <c r="E253" i="5"/>
  <c r="F297" i="5"/>
  <c r="B248" i="5"/>
  <c r="AH148" i="2"/>
  <c r="AG383" i="2"/>
  <c r="J70" i="5"/>
  <c r="D8" i="6"/>
  <c r="AE94" i="2"/>
  <c r="E312" i="5"/>
  <c r="I295" i="5"/>
  <c r="M242" i="5"/>
  <c r="AJ404" i="2"/>
  <c r="G210" i="5"/>
  <c r="O318" i="5"/>
  <c r="AF351" i="2"/>
  <c r="B340" i="5"/>
  <c r="AJ384" i="2"/>
  <c r="P256" i="5"/>
  <c r="AK101" i="2"/>
  <c r="AL346" i="2"/>
  <c r="I195" i="5"/>
  <c r="G352" i="5"/>
  <c r="E23" i="5"/>
  <c r="AG57" i="2"/>
  <c r="C333" i="5"/>
  <c r="F83" i="5"/>
  <c r="O186" i="5"/>
  <c r="AD406" i="2"/>
  <c r="AE38" i="2"/>
  <c r="AF459" i="2"/>
  <c r="AD175" i="2"/>
  <c r="P314" i="5"/>
  <c r="AD39" i="2"/>
  <c r="F114" i="5"/>
  <c r="E257" i="5"/>
  <c r="O215" i="5"/>
  <c r="C331" i="5"/>
  <c r="AG20" i="2"/>
  <c r="AH378" i="2"/>
  <c r="AI69" i="2"/>
  <c r="E81" i="5"/>
  <c r="P295" i="5"/>
  <c r="G360" i="5"/>
  <c r="H350" i="5"/>
  <c r="AE265" i="2"/>
  <c r="C229" i="5"/>
  <c r="G343" i="5"/>
  <c r="M332" i="5"/>
  <c r="N187" i="5"/>
  <c r="C256" i="5"/>
  <c r="G362" i="5"/>
  <c r="H27" i="6"/>
  <c r="F232" i="5"/>
  <c r="D114" i="5"/>
  <c r="L354" i="5"/>
  <c r="AF318" i="2"/>
  <c r="AD433" i="2"/>
  <c r="I106" i="5"/>
  <c r="AD322" i="2"/>
  <c r="H184" i="5"/>
  <c r="AE71" i="2"/>
  <c r="L267" i="5"/>
  <c r="O369" i="5"/>
  <c r="AF41" i="2"/>
  <c r="AK391" i="2"/>
  <c r="H103" i="5"/>
  <c r="AG47" i="2"/>
  <c r="AL271" i="2"/>
  <c r="AD395" i="2"/>
  <c r="AG262" i="2"/>
  <c r="AG298" i="2"/>
  <c r="O200" i="5"/>
  <c r="AF359" i="2"/>
  <c r="N249" i="5"/>
  <c r="AE187" i="2"/>
  <c r="I310" i="5"/>
  <c r="AH89" i="2"/>
  <c r="E38" i="6"/>
  <c r="AE458" i="2"/>
  <c r="D109" i="5"/>
  <c r="C140" i="5"/>
  <c r="D374" i="5"/>
  <c r="AD412" i="2"/>
  <c r="AG78" i="2"/>
  <c r="E319" i="5"/>
  <c r="AE287" i="2"/>
  <c r="AF164" i="2"/>
  <c r="F227" i="5"/>
  <c r="C70" i="6"/>
  <c r="AE141" i="2"/>
  <c r="AG279" i="2"/>
  <c r="AH72" i="2"/>
  <c r="C46" i="5"/>
  <c r="A335" i="5"/>
  <c r="L192" i="5"/>
  <c r="J35" i="5"/>
  <c r="M328" i="5"/>
  <c r="F78" i="6"/>
  <c r="AI112" i="2"/>
  <c r="N263" i="5"/>
  <c r="H349" i="5"/>
  <c r="E175" i="5"/>
  <c r="AG393" i="2"/>
  <c r="B104" i="5"/>
  <c r="I36" i="5"/>
  <c r="AJ149" i="2"/>
  <c r="G310" i="5"/>
  <c r="B374" i="5"/>
  <c r="AJ12" i="2"/>
  <c r="J123" i="5"/>
  <c r="G119" i="5"/>
  <c r="AH324" i="2"/>
  <c r="AI216" i="2"/>
  <c r="D331" i="5"/>
  <c r="D379" i="5"/>
  <c r="B262" i="5"/>
  <c r="F100" i="5"/>
  <c r="O373" i="5"/>
  <c r="C288" i="5"/>
  <c r="G380" i="5"/>
  <c r="AH206" i="2"/>
  <c r="O349" i="5"/>
  <c r="AH311" i="2"/>
  <c r="F240" i="5"/>
  <c r="C98" i="5"/>
  <c r="AF123" i="2"/>
  <c r="AG120" i="2"/>
  <c r="F348" i="5"/>
  <c r="N243" i="5"/>
  <c r="M190" i="5"/>
  <c r="B334" i="5"/>
  <c r="AD392" i="2"/>
  <c r="C289" i="5"/>
  <c r="AJ11" i="2"/>
  <c r="D371" i="5"/>
  <c r="AK296" i="2"/>
  <c r="J21" i="5"/>
  <c r="J38" i="5"/>
  <c r="AI98" i="2"/>
  <c r="F274" i="5"/>
  <c r="F255" i="5"/>
  <c r="L175" i="5"/>
  <c r="B336" i="5"/>
  <c r="I292" i="5"/>
  <c r="A208" i="6"/>
  <c r="AF120" i="2"/>
  <c r="P153" i="5"/>
  <c r="AD257" i="2"/>
  <c r="G130" i="6"/>
  <c r="AD312" i="2"/>
  <c r="H289" i="5"/>
  <c r="M322" i="5"/>
  <c r="M363" i="5"/>
  <c r="D299" i="5"/>
  <c r="M271" i="5"/>
  <c r="AF293" i="2"/>
  <c r="P193" i="5"/>
  <c r="N240" i="5"/>
  <c r="AL448" i="2"/>
  <c r="F301" i="5"/>
  <c r="E219" i="5"/>
  <c r="AF150" i="2"/>
  <c r="M279" i="5"/>
  <c r="A299" i="6"/>
  <c r="M314" i="5"/>
  <c r="E346" i="5"/>
  <c r="J330" i="5"/>
  <c r="B105" i="5"/>
  <c r="AF211" i="2"/>
  <c r="C361" i="5"/>
  <c r="C284" i="5"/>
  <c r="D59" i="5"/>
  <c r="B193" i="5"/>
  <c r="A261" i="6"/>
  <c r="M105" i="5"/>
  <c r="H185" i="5"/>
  <c r="AE72" i="2"/>
  <c r="N189" i="5"/>
  <c r="F15" i="6"/>
  <c r="L282" i="5"/>
  <c r="AD323" i="2"/>
  <c r="N5" i="5"/>
  <c r="AI196" i="2"/>
  <c r="C244" i="5"/>
  <c r="P236" i="5"/>
  <c r="P272" i="5"/>
  <c r="O191" i="5"/>
  <c r="O329" i="5"/>
  <c r="M75" i="5"/>
  <c r="AF400" i="2"/>
  <c r="AL48" i="2"/>
  <c r="AE134" i="2"/>
  <c r="AF137" i="2"/>
  <c r="P330" i="5"/>
  <c r="G276" i="5"/>
  <c r="L193" i="5"/>
  <c r="F223" i="5"/>
  <c r="AH81" i="2"/>
  <c r="C369" i="5"/>
  <c r="B29" i="5"/>
  <c r="B290" i="5"/>
  <c r="AE357" i="2"/>
  <c r="P237" i="5"/>
  <c r="AF335" i="2"/>
  <c r="AJ387" i="2"/>
  <c r="B313" i="5"/>
  <c r="AD251" i="2"/>
  <c r="AL381" i="2"/>
  <c r="J115" i="5"/>
  <c r="H316" i="5"/>
  <c r="O160" i="5"/>
  <c r="AK314" i="2"/>
  <c r="AG347" i="2"/>
  <c r="G106" i="5"/>
  <c r="AG42" i="2"/>
  <c r="AF145" i="2"/>
  <c r="A173" i="5"/>
  <c r="E278" i="5"/>
  <c r="H253" i="5"/>
  <c r="AD344" i="2"/>
  <c r="B205" i="5"/>
  <c r="F107" i="6"/>
  <c r="F157" i="5"/>
  <c r="E198" i="5"/>
  <c r="AF264" i="2"/>
  <c r="AE363" i="2"/>
  <c r="H292" i="5"/>
  <c r="CF310" i="2"/>
  <c r="D380" i="5"/>
  <c r="F287" i="5"/>
  <c r="O209" i="5"/>
  <c r="H152" i="5"/>
  <c r="B378" i="5"/>
  <c r="AI180" i="2"/>
  <c r="B239" i="5"/>
  <c r="P355" i="5"/>
  <c r="B344" i="5"/>
  <c r="AD120" i="2"/>
  <c r="M245" i="5"/>
  <c r="D88" i="5"/>
  <c r="C85" i="5"/>
  <c r="A176" i="5"/>
  <c r="O285" i="5"/>
  <c r="B341" i="5"/>
  <c r="I314" i="5"/>
  <c r="D165" i="5"/>
  <c r="O272" i="5"/>
  <c r="AF331" i="2"/>
  <c r="O322" i="5"/>
  <c r="AF385" i="2"/>
  <c r="M278" i="5"/>
  <c r="N13" i="5"/>
  <c r="E235" i="5"/>
  <c r="AJ396" i="2"/>
  <c r="E72" i="5"/>
  <c r="I327" i="5"/>
  <c r="AE138" i="2"/>
  <c r="G374" i="5"/>
  <c r="E357" i="5"/>
  <c r="J132" i="6"/>
  <c r="O225" i="5"/>
  <c r="D330" i="5"/>
  <c r="F272" i="5"/>
  <c r="AD140" i="2"/>
  <c r="AF358" i="2"/>
  <c r="AI364" i="2"/>
  <c r="AE210" i="2"/>
  <c r="P311" i="5"/>
  <c r="B229" i="6"/>
  <c r="P67" i="5"/>
  <c r="G68" i="6"/>
  <c r="AG224" i="2"/>
  <c r="B377" i="5"/>
  <c r="N220" i="5"/>
  <c r="AD306" i="2"/>
  <c r="AD106" i="2"/>
  <c r="AH457" i="2"/>
  <c r="AG310" i="2"/>
  <c r="J97" i="5"/>
  <c r="B93" i="6"/>
  <c r="D314" i="5"/>
  <c r="G333" i="5"/>
  <c r="B251" i="5"/>
  <c r="D336" i="5"/>
  <c r="M326" i="5"/>
  <c r="C219" i="5"/>
  <c r="F52" i="5"/>
  <c r="D347" i="5"/>
  <c r="L266" i="5"/>
  <c r="D245" i="5"/>
  <c r="E110" i="5"/>
  <c r="F71" i="6"/>
  <c r="D119" i="5"/>
  <c r="P203" i="5"/>
  <c r="AG188" i="2"/>
  <c r="B54" i="6"/>
  <c r="AI459" i="2"/>
  <c r="AH96" i="2"/>
  <c r="H323" i="5"/>
  <c r="AF270" i="2"/>
  <c r="AD97" i="2"/>
  <c r="AH325" i="2"/>
  <c r="M108" i="5"/>
  <c r="AH369" i="2"/>
  <c r="O312" i="5"/>
  <c r="AD296" i="2"/>
  <c r="AJ245" i="2"/>
  <c r="O170" i="5"/>
  <c r="C380" i="5"/>
  <c r="AI253" i="2"/>
  <c r="AD212" i="2"/>
  <c r="F203" i="5"/>
  <c r="AD161" i="2"/>
  <c r="AG221" i="2"/>
  <c r="D191" i="5"/>
  <c r="D283" i="5"/>
  <c r="F158" i="5"/>
  <c r="I329" i="5"/>
  <c r="G149" i="6"/>
  <c r="H92" i="6"/>
  <c r="AK258" i="2"/>
  <c r="AF347" i="2"/>
  <c r="AE333" i="2"/>
  <c r="AE250" i="2"/>
  <c r="B54" i="5"/>
  <c r="F379" i="5"/>
  <c r="AD293" i="2"/>
  <c r="C14" i="5"/>
  <c r="E287" i="5"/>
  <c r="AD54" i="2"/>
  <c r="L359" i="5"/>
  <c r="D161" i="6"/>
  <c r="AF235" i="2"/>
  <c r="C212" i="5"/>
  <c r="AG407" i="2"/>
  <c r="D354" i="5"/>
  <c r="F257" i="5"/>
  <c r="AI225" i="2"/>
  <c r="E271" i="5"/>
  <c r="H162" i="5"/>
  <c r="H50" i="6"/>
  <c r="AJ412" i="2"/>
  <c r="AK13" i="2"/>
  <c r="AE285" i="2"/>
  <c r="D265" i="5"/>
  <c r="I289" i="5"/>
  <c r="AG392" i="2"/>
  <c r="AE237" i="2"/>
  <c r="B318" i="5"/>
  <c r="I116" i="5"/>
  <c r="AD182" i="2"/>
  <c r="A7" i="6"/>
  <c r="AI229" i="2"/>
  <c r="B279" i="5"/>
  <c r="AL144" i="2"/>
  <c r="D308" i="6"/>
  <c r="AG32" i="2"/>
  <c r="G194" i="6"/>
  <c r="J313" i="5"/>
  <c r="AD453" i="2"/>
  <c r="P162" i="5"/>
  <c r="F372" i="5"/>
  <c r="G261" i="5"/>
  <c r="AL263" i="2"/>
  <c r="J47" i="6"/>
  <c r="B40" i="6"/>
  <c r="AK96" i="2"/>
  <c r="C34" i="6"/>
  <c r="AI143" i="2"/>
  <c r="AI449" i="2"/>
  <c r="H31" i="5"/>
  <c r="J270" i="5"/>
  <c r="AH410" i="2"/>
  <c r="N66" i="5"/>
  <c r="AJ348" i="2"/>
  <c r="AG85" i="2"/>
  <c r="AJ231" i="2"/>
  <c r="O350" i="5"/>
  <c r="AG236" i="2"/>
  <c r="AD135" i="2"/>
  <c r="B76" i="6"/>
  <c r="AJ359" i="2"/>
  <c r="N135" i="5"/>
  <c r="AF11" i="2"/>
  <c r="AE148" i="2"/>
  <c r="B169" i="5"/>
  <c r="AD165" i="2"/>
  <c r="P220" i="5"/>
  <c r="AD185" i="2"/>
  <c r="AI379" i="2"/>
  <c r="L294" i="5"/>
  <c r="AH182" i="2"/>
  <c r="AF6" i="2"/>
  <c r="M333" i="5"/>
  <c r="AH438" i="2"/>
  <c r="P249" i="5"/>
  <c r="AK284" i="2"/>
  <c r="AH203" i="2"/>
  <c r="AF103" i="2"/>
  <c r="AF248" i="2"/>
  <c r="L150" i="5"/>
  <c r="B129" i="5"/>
  <c r="AE137" i="2"/>
  <c r="P89" i="5"/>
  <c r="F305" i="5"/>
  <c r="L233" i="5"/>
  <c r="C217" i="5"/>
  <c r="AG177" i="2"/>
  <c r="AI129" i="2"/>
  <c r="N379" i="5"/>
  <c r="AI288" i="2"/>
  <c r="P275" i="5"/>
  <c r="H301" i="5"/>
  <c r="O66" i="5"/>
  <c r="AE423" i="2"/>
  <c r="F269" i="5"/>
  <c r="AD256" i="2"/>
  <c r="E173" i="5"/>
  <c r="G230" i="5"/>
  <c r="AF391" i="2"/>
  <c r="P315" i="5"/>
  <c r="AF234" i="2"/>
  <c r="A230" i="5"/>
  <c r="H261" i="5"/>
  <c r="AL38" i="2"/>
  <c r="AE207" i="2"/>
  <c r="AE217" i="2"/>
  <c r="D190" i="5"/>
  <c r="AG240" i="2"/>
  <c r="E205" i="5"/>
  <c r="L196" i="5"/>
  <c r="O314" i="5"/>
  <c r="L349" i="5"/>
  <c r="AL194" i="2"/>
  <c r="J295" i="5"/>
  <c r="F323" i="5"/>
  <c r="AK202" i="2"/>
  <c r="AE376" i="2"/>
  <c r="AI428" i="2"/>
  <c r="AD139" i="2"/>
  <c r="O234" i="5"/>
  <c r="AD90" i="2"/>
  <c r="N366" i="5"/>
  <c r="M289" i="5"/>
  <c r="AJ223" i="2"/>
  <c r="E272" i="5"/>
  <c r="F336" i="5"/>
  <c r="E169" i="5"/>
  <c r="J223" i="5"/>
  <c r="G70" i="6"/>
  <c r="E362" i="5"/>
  <c r="I365" i="5"/>
  <c r="G348" i="5"/>
  <c r="E309" i="5"/>
  <c r="I228" i="5"/>
  <c r="J257" i="5"/>
  <c r="AH134" i="2"/>
  <c r="AG461" i="2"/>
  <c r="F10" i="6"/>
  <c r="AH100" i="2"/>
  <c r="E129" i="6"/>
  <c r="O357" i="5"/>
  <c r="M215" i="5"/>
  <c r="E116" i="6"/>
  <c r="AH399" i="2"/>
  <c r="I256" i="5"/>
  <c r="O264" i="5"/>
  <c r="C134" i="6"/>
  <c r="B224" i="5"/>
  <c r="J212" i="6"/>
  <c r="F293" i="5"/>
  <c r="AL452" i="2"/>
  <c r="E313" i="5"/>
  <c r="M62" i="5"/>
  <c r="C137" i="6"/>
  <c r="N311" i="5"/>
  <c r="AF109" i="2"/>
  <c r="O301" i="5"/>
  <c r="D360" i="5"/>
  <c r="D13" i="6"/>
  <c r="I268" i="5"/>
  <c r="M345" i="5"/>
  <c r="G361" i="5"/>
  <c r="N358" i="5"/>
  <c r="AF308" i="2"/>
  <c r="I105" i="5"/>
  <c r="AH127" i="2"/>
  <c r="AD456" i="2"/>
  <c r="AD337" i="2"/>
  <c r="AI179" i="2"/>
  <c r="AF402" i="2"/>
  <c r="L290" i="5"/>
  <c r="AK349" i="2"/>
  <c r="AF423" i="2"/>
  <c r="AD115" i="2"/>
  <c r="P368" i="5"/>
  <c r="AF216" i="2"/>
  <c r="J248" i="5"/>
  <c r="J154" i="6"/>
  <c r="D150" i="5"/>
  <c r="AD318" i="2"/>
  <c r="AD190" i="2"/>
  <c r="AD163" i="2"/>
  <c r="H368" i="5"/>
  <c r="AI397" i="2"/>
  <c r="N374" i="5"/>
  <c r="D208" i="6"/>
  <c r="AE21" i="2"/>
  <c r="AK293" i="2"/>
  <c r="B380" i="5"/>
  <c r="N244" i="5"/>
  <c r="G376" i="5"/>
  <c r="C105" i="6"/>
  <c r="H325" i="5"/>
  <c r="L376" i="5"/>
  <c r="M269" i="5"/>
  <c r="AF250" i="2"/>
  <c r="C346" i="5"/>
  <c r="G174" i="5"/>
  <c r="AE464" i="2"/>
  <c r="H306" i="5"/>
  <c r="AD174" i="2"/>
  <c r="E301" i="5"/>
  <c r="AF33" i="2"/>
  <c r="B283" i="5"/>
  <c r="F246" i="5"/>
  <c r="AH430" i="2"/>
  <c r="G315" i="5"/>
  <c r="AF132" i="2"/>
  <c r="AK327" i="2"/>
  <c r="E350" i="5"/>
  <c r="B200" i="5"/>
  <c r="P174" i="5"/>
  <c r="M126" i="5"/>
  <c r="B291" i="5"/>
  <c r="F122" i="5"/>
  <c r="AG127" i="2"/>
  <c r="AF205" i="2"/>
  <c r="E191" i="5"/>
  <c r="C329" i="5"/>
  <c r="AL130" i="2"/>
  <c r="AF10" i="2"/>
  <c r="AE62" i="2"/>
  <c r="E8" i="5"/>
  <c r="N254" i="5"/>
  <c r="AE434" i="2"/>
  <c r="M268" i="5"/>
  <c r="P228" i="5"/>
  <c r="AE142" i="2"/>
  <c r="AG179" i="2"/>
  <c r="F330" i="5"/>
  <c r="C257" i="5"/>
  <c r="AH292" i="2"/>
  <c r="AG451" i="2"/>
  <c r="AF91" i="2"/>
  <c r="M258" i="5"/>
  <c r="B161" i="5"/>
  <c r="K4" i="5"/>
  <c r="AD393" i="2"/>
  <c r="AJ354" i="2"/>
  <c r="L243" i="5"/>
  <c r="M330" i="5"/>
  <c r="AE16" i="2"/>
  <c r="O348" i="5"/>
  <c r="C41" i="5"/>
  <c r="M308" i="5"/>
  <c r="P139" i="5"/>
  <c r="P359" i="5"/>
  <c r="AJ217" i="2"/>
  <c r="AF198" i="2"/>
  <c r="D240" i="5"/>
  <c r="CF148" i="2"/>
  <c r="AD434" i="2"/>
  <c r="D294" i="5"/>
  <c r="D349" i="5"/>
  <c r="B269" i="5"/>
  <c r="H223" i="6"/>
  <c r="AL235" i="2"/>
  <c r="AH235" i="2"/>
  <c r="AF133" i="2"/>
  <c r="J13" i="5"/>
  <c r="AF284" i="2"/>
  <c r="H219" i="5"/>
  <c r="AJ220" i="2"/>
  <c r="I321" i="5"/>
  <c r="I303" i="5"/>
  <c r="F311" i="5"/>
  <c r="AG130" i="2"/>
  <c r="AE428" i="2"/>
  <c r="AD153" i="2"/>
  <c r="O364" i="5"/>
  <c r="AF209" i="2"/>
  <c r="B155" i="6"/>
  <c r="C366" i="5"/>
  <c r="O360" i="5"/>
  <c r="F268" i="5"/>
  <c r="C311" i="6"/>
  <c r="F210" i="5"/>
  <c r="AL71" i="2"/>
  <c r="AD349" i="2"/>
  <c r="AD63" i="2"/>
  <c r="AD144" i="2"/>
  <c r="AG13" i="2"/>
  <c r="I22" i="6"/>
  <c r="AG379" i="2"/>
  <c r="B9" i="5"/>
  <c r="P302" i="5"/>
  <c r="N376" i="5"/>
  <c r="AE313" i="2"/>
  <c r="AJ133" i="2"/>
  <c r="AE136" i="2"/>
  <c r="C300" i="5"/>
  <c r="AG254" i="2"/>
  <c r="H69" i="6"/>
  <c r="AF436" i="2"/>
  <c r="M305" i="5"/>
  <c r="AH184" i="2"/>
  <c r="F17" i="5"/>
  <c r="I332" i="5"/>
  <c r="H165" i="5"/>
  <c r="C9" i="6"/>
  <c r="AG395" i="2"/>
  <c r="AH307" i="2"/>
  <c r="H105" i="6"/>
  <c r="AE300" i="2"/>
  <c r="AH264" i="2"/>
  <c r="AG210" i="2"/>
  <c r="F325" i="5"/>
  <c r="L377" i="5"/>
  <c r="H193" i="6"/>
  <c r="AH332" i="2"/>
  <c r="AJ448" i="2"/>
  <c r="M49" i="5"/>
  <c r="E364" i="5"/>
  <c r="AD239" i="2"/>
  <c r="J159" i="5"/>
  <c r="AI405" i="2"/>
  <c r="H233" i="5"/>
  <c r="AH56" i="2"/>
  <c r="L314" i="5"/>
  <c r="D267" i="5"/>
  <c r="O342" i="5"/>
  <c r="AD418" i="2"/>
  <c r="AG102" i="2"/>
  <c r="O332" i="5"/>
  <c r="C345" i="5"/>
  <c r="AI157" i="2"/>
  <c r="AD290" i="2"/>
  <c r="H116" i="5"/>
  <c r="AG121" i="2"/>
  <c r="AG75" i="2"/>
  <c r="M315" i="5"/>
  <c r="AF254" i="2"/>
  <c r="AI218" i="2"/>
  <c r="B6" i="6"/>
  <c r="D232" i="5"/>
  <c r="AG314" i="2"/>
  <c r="B270" i="5"/>
  <c r="O334" i="5"/>
  <c r="H302" i="5"/>
  <c r="H235" i="5"/>
  <c r="G353" i="5"/>
  <c r="D22" i="6"/>
  <c r="L326" i="5"/>
  <c r="B128" i="5"/>
  <c r="B347" i="6"/>
  <c r="A315" i="5"/>
  <c r="AH375" i="2"/>
  <c r="N286" i="5"/>
  <c r="P47" i="5"/>
  <c r="B77" i="5"/>
  <c r="AH453" i="2"/>
  <c r="M16" i="5"/>
  <c r="AD345" i="2"/>
  <c r="G147" i="5"/>
  <c r="H271" i="5"/>
  <c r="AJ127" i="2"/>
  <c r="AJ395" i="2"/>
  <c r="AI221" i="2"/>
  <c r="D235" i="5"/>
  <c r="N250" i="5"/>
  <c r="AK22" i="2"/>
  <c r="D365" i="5"/>
  <c r="AJ421" i="2"/>
  <c r="F344" i="5"/>
  <c r="AJ194" i="2"/>
  <c r="L87" i="5"/>
  <c r="C327" i="5"/>
  <c r="F40" i="6"/>
  <c r="I353" i="5"/>
  <c r="P335" i="5"/>
  <c r="AF59" i="2"/>
  <c r="I103" i="5"/>
  <c r="AD224" i="2"/>
  <c r="J224" i="5"/>
  <c r="AD399" i="2"/>
  <c r="F353" i="5"/>
  <c r="N232" i="5"/>
  <c r="F55" i="6"/>
  <c r="I157" i="6"/>
  <c r="G60" i="6"/>
  <c r="AD417" i="2"/>
  <c r="AH8" i="2"/>
  <c r="AI279" i="2"/>
  <c r="M287" i="5"/>
  <c r="E260" i="5"/>
  <c r="G363" i="5"/>
  <c r="I264" i="5"/>
  <c r="AH447" i="2"/>
  <c r="D7" i="5"/>
  <c r="G80" i="6"/>
  <c r="AF52" i="2"/>
  <c r="AF158" i="2"/>
  <c r="AE252" i="2"/>
  <c r="AE450" i="2"/>
  <c r="B252" i="5"/>
  <c r="J25" i="5"/>
  <c r="AG71" i="2"/>
  <c r="E71" i="6"/>
  <c r="F219" i="5"/>
  <c r="J253" i="5"/>
  <c r="AL6" i="2"/>
  <c r="O247" i="5"/>
  <c r="AH448" i="2"/>
  <c r="AF451" i="2"/>
  <c r="AF189" i="2"/>
  <c r="L240" i="5"/>
  <c r="N331" i="5"/>
  <c r="F357" i="5"/>
  <c r="AK305" i="2"/>
  <c r="AL106" i="2"/>
  <c r="AG122" i="2"/>
  <c r="I334" i="5"/>
  <c r="H91" i="6"/>
  <c r="N257" i="5"/>
  <c r="AL49" i="2"/>
  <c r="AG464" i="2"/>
  <c r="AE298" i="2"/>
  <c r="B43" i="6"/>
  <c r="E190" i="5"/>
  <c r="AI256" i="2"/>
  <c r="B309" i="5"/>
  <c r="I151" i="5"/>
  <c r="AF113" i="2"/>
  <c r="D175" i="5"/>
  <c r="G24" i="6"/>
  <c r="J302" i="5"/>
  <c r="K5" i="5"/>
  <c r="AE351" i="2"/>
  <c r="O306" i="5"/>
  <c r="AJ281" i="2"/>
  <c r="AE347" i="2"/>
  <c r="AF217" i="2"/>
  <c r="G35" i="6"/>
  <c r="AD89" i="2"/>
  <c r="AD240" i="2"/>
  <c r="F339" i="5"/>
  <c r="L72" i="5"/>
  <c r="AF460" i="2"/>
  <c r="O317" i="5"/>
  <c r="M221" i="5"/>
  <c r="H179" i="5"/>
  <c r="AH257" i="2"/>
  <c r="L210" i="5"/>
  <c r="G287" i="5"/>
  <c r="I371" i="5"/>
  <c r="I98" i="5"/>
  <c r="AJ24" i="2"/>
  <c r="H244" i="5"/>
  <c r="B354" i="5"/>
  <c r="AH416" i="2"/>
  <c r="E135" i="5"/>
  <c r="E245" i="5"/>
  <c r="AD43" i="2"/>
  <c r="C241" i="5"/>
  <c r="AJ176" i="2"/>
  <c r="C238" i="6"/>
  <c r="AK362" i="2"/>
  <c r="AK315" i="2"/>
  <c r="D101" i="5"/>
  <c r="P251" i="5"/>
  <c r="F221" i="5"/>
  <c r="I265" i="5"/>
  <c r="I319" i="5"/>
  <c r="AG167" i="2"/>
  <c r="AF339" i="2"/>
  <c r="AG36" i="2"/>
  <c r="B358" i="5"/>
  <c r="AD104" i="2"/>
  <c r="I18" i="6"/>
  <c r="AF117" i="2"/>
  <c r="AJ74" i="2"/>
  <c r="B257" i="5"/>
  <c r="I161" i="5"/>
  <c r="AD75" i="2"/>
  <c r="B244" i="5"/>
  <c r="C141" i="5"/>
  <c r="AE32" i="2"/>
  <c r="AE410" i="2"/>
  <c r="AD234" i="2"/>
  <c r="I147" i="6"/>
  <c r="P360" i="5"/>
  <c r="AJ462" i="2"/>
  <c r="J356" i="5"/>
  <c r="M285" i="5"/>
  <c r="E296" i="5"/>
  <c r="AF419" i="2"/>
  <c r="G239" i="5"/>
  <c r="B199" i="5"/>
  <c r="E20" i="5"/>
  <c r="I290" i="5"/>
  <c r="AE131" i="2"/>
  <c r="AE374" i="2"/>
  <c r="AE225" i="2"/>
  <c r="C192" i="5"/>
  <c r="AK395" i="2"/>
  <c r="N139" i="5"/>
  <c r="I318" i="5"/>
  <c r="G87" i="5"/>
  <c r="F358" i="5"/>
  <c r="AD222" i="2"/>
  <c r="AH388" i="2"/>
  <c r="B213" i="5"/>
  <c r="AE229" i="2"/>
  <c r="G213" i="5"/>
  <c r="C14" i="6"/>
  <c r="AI313" i="2"/>
  <c r="AI151" i="2"/>
  <c r="AI403" i="2"/>
  <c r="AF380" i="2"/>
  <c r="AG261" i="2"/>
  <c r="AF290" i="2"/>
  <c r="I380" i="5"/>
  <c r="AH274" i="2"/>
  <c r="D127" i="5"/>
  <c r="M325" i="5"/>
  <c r="AE174" i="2"/>
  <c r="H213" i="6"/>
  <c r="AJ443" i="2"/>
  <c r="AG334" i="2"/>
  <c r="H305" i="5"/>
  <c r="E67" i="5"/>
  <c r="H370" i="5"/>
  <c r="AF31" i="2"/>
  <c r="C150" i="6"/>
  <c r="AG162" i="2"/>
  <c r="H176" i="5"/>
  <c r="AE435" i="2"/>
  <c r="C185" i="6"/>
  <c r="AD459" i="2"/>
  <c r="AD307" i="2"/>
  <c r="O244" i="5"/>
  <c r="AG37" i="2"/>
  <c r="AD159" i="2"/>
  <c r="D289" i="5"/>
  <c r="O146" i="5"/>
  <c r="AG353" i="2"/>
  <c r="O358" i="5"/>
  <c r="I104" i="6"/>
  <c r="AI214" i="2"/>
  <c r="B66" i="5"/>
  <c r="AK7" i="2"/>
  <c r="H83" i="6"/>
  <c r="F300" i="5"/>
  <c r="J141" i="6"/>
  <c r="AG222" i="2"/>
  <c r="M371" i="5"/>
  <c r="P379" i="5"/>
  <c r="J332" i="5"/>
  <c r="F288" i="5"/>
  <c r="L177" i="5"/>
  <c r="AG214" i="2"/>
  <c r="D64" i="5"/>
  <c r="D128" i="6"/>
  <c r="AD114" i="2"/>
  <c r="AE316" i="2"/>
  <c r="I91" i="6"/>
  <c r="AL251" i="2"/>
  <c r="E231" i="5"/>
  <c r="AD65" i="2"/>
  <c r="O308" i="5"/>
  <c r="AH402" i="2"/>
  <c r="I355" i="5"/>
  <c r="I377" i="5"/>
  <c r="A301" i="6"/>
  <c r="AF71" i="2"/>
  <c r="AG165" i="2"/>
  <c r="AJ25" i="2"/>
  <c r="AI457" i="2"/>
  <c r="AD287" i="2"/>
  <c r="AG39" i="2"/>
  <c r="G339" i="5"/>
  <c r="N369" i="5"/>
  <c r="AD155" i="2"/>
  <c r="D342" i="5"/>
  <c r="AL425" i="2"/>
  <c r="N213" i="5"/>
  <c r="AJ186" i="2"/>
  <c r="AG138" i="2"/>
  <c r="AG187" i="2"/>
  <c r="G168" i="5"/>
  <c r="H372" i="5"/>
  <c r="O90" i="5"/>
  <c r="AG197" i="2"/>
  <c r="E233" i="5"/>
  <c r="G282" i="5"/>
  <c r="L202" i="5"/>
  <c r="O138" i="5"/>
  <c r="H287" i="6"/>
  <c r="AJ415" i="2"/>
  <c r="N236" i="5"/>
  <c r="AK446" i="2"/>
  <c r="AE426" i="2"/>
  <c r="AK369" i="2"/>
  <c r="N300" i="5"/>
  <c r="G259" i="5"/>
  <c r="L135" i="5"/>
  <c r="AH45" i="2"/>
  <c r="G260" i="5"/>
  <c r="P205" i="5"/>
  <c r="AG282" i="2"/>
  <c r="AJ294" i="2"/>
  <c r="I379" i="5"/>
  <c r="E151" i="5"/>
  <c r="O269" i="5"/>
  <c r="AH150" i="2"/>
  <c r="N64" i="5"/>
  <c r="AD52" i="2"/>
  <c r="F259" i="5"/>
  <c r="I213" i="5"/>
  <c r="E359" i="5"/>
  <c r="AE301" i="2"/>
  <c r="O370" i="5"/>
  <c r="P165" i="5"/>
  <c r="B115" i="5"/>
  <c r="N297" i="5"/>
  <c r="E329" i="5"/>
  <c r="D362" i="5"/>
  <c r="D67" i="5"/>
  <c r="AE190" i="2"/>
  <c r="AH214" i="2"/>
  <c r="D261" i="5"/>
  <c r="AE66" i="2"/>
  <c r="AI91" i="2"/>
  <c r="AL168" i="2"/>
  <c r="AG230" i="2"/>
  <c r="AH387" i="2"/>
  <c r="AD128" i="2"/>
  <c r="AD201" i="2"/>
  <c r="I372" i="5"/>
  <c r="AD439" i="2"/>
  <c r="F36" i="6"/>
  <c r="AE128" i="2"/>
  <c r="C360" i="5"/>
  <c r="N367" i="5"/>
  <c r="AH12" i="2"/>
  <c r="D35" i="6"/>
  <c r="AF403" i="2"/>
  <c r="AG246" i="2"/>
  <c r="AD208" i="2"/>
  <c r="AI264" i="2"/>
  <c r="B339" i="5"/>
  <c r="AK204" i="2"/>
  <c r="I39" i="5"/>
  <c r="AL390" i="2"/>
  <c r="E162" i="5"/>
  <c r="AL279" i="2"/>
  <c r="F192" i="5"/>
  <c r="M226" i="5"/>
  <c r="D147" i="5"/>
  <c r="E345" i="5"/>
  <c r="F185" i="5"/>
  <c r="AF78" i="2"/>
  <c r="P94" i="5"/>
  <c r="AJ251" i="2"/>
  <c r="AK454" i="2"/>
  <c r="E302" i="5"/>
  <c r="AF332" i="2"/>
  <c r="L248" i="5"/>
  <c r="AE343" i="2"/>
  <c r="O293" i="5"/>
  <c r="AD370" i="2"/>
  <c r="I55" i="6"/>
  <c r="J237" i="5"/>
  <c r="AD266" i="2"/>
  <c r="AL464" i="2"/>
  <c r="I236" i="5"/>
  <c r="I16" i="5"/>
  <c r="I278" i="5"/>
  <c r="AI236" i="2"/>
  <c r="O331" i="5"/>
  <c r="L360" i="5"/>
  <c r="E265" i="5"/>
  <c r="I286" i="5"/>
  <c r="AF191" i="2"/>
  <c r="N205" i="5"/>
  <c r="L372" i="5"/>
  <c r="J348" i="5"/>
  <c r="B73" i="6"/>
  <c r="H90" i="6"/>
  <c r="J104" i="5"/>
  <c r="M311" i="5"/>
  <c r="H265" i="5"/>
  <c r="AD461" i="2"/>
  <c r="AG70" i="2"/>
  <c r="AL459" i="2"/>
  <c r="B347" i="5"/>
  <c r="O320" i="5"/>
  <c r="P353" i="5"/>
  <c r="B311" i="5"/>
  <c r="AJ275" i="2"/>
  <c r="B333" i="5"/>
  <c r="AD334" i="2"/>
  <c r="AG65" i="2"/>
  <c r="C340" i="5"/>
  <c r="AD408" i="2"/>
  <c r="AI414" i="2"/>
  <c r="B191" i="5"/>
  <c r="AG97" i="2"/>
  <c r="C351" i="5"/>
  <c r="D16" i="5"/>
  <c r="N89" i="5"/>
  <c r="P323" i="5"/>
  <c r="E298" i="5"/>
  <c r="G114" i="6"/>
  <c r="AI207" i="2"/>
  <c r="AH291" i="2"/>
  <c r="AI384" i="2"/>
  <c r="CF94" i="2"/>
  <c r="L43" i="5"/>
  <c r="I249" i="5"/>
  <c r="AE196" i="2"/>
  <c r="AH158" i="2"/>
  <c r="E347" i="5"/>
  <c r="F376" i="5"/>
  <c r="AJ115" i="2"/>
  <c r="B226" i="5"/>
  <c r="J200" i="5"/>
  <c r="AF39" i="2"/>
  <c r="AF47" i="2"/>
  <c r="AG209" i="2"/>
  <c r="I168" i="5"/>
  <c r="L170" i="5"/>
  <c r="G22" i="6"/>
  <c r="AI366" i="2"/>
  <c r="H380" i="5"/>
  <c r="H259" i="5"/>
  <c r="AF141" i="2"/>
  <c r="AG241" i="2"/>
  <c r="L138" i="5"/>
  <c r="C377" i="5"/>
  <c r="AG112" i="2"/>
  <c r="F374" i="5"/>
  <c r="P37" i="5"/>
  <c r="AI437" i="2"/>
  <c r="AE457" i="2"/>
  <c r="AL400" i="2"/>
  <c r="AF447" i="2"/>
  <c r="F95" i="6"/>
  <c r="M360" i="5"/>
  <c r="C69" i="6"/>
  <c r="J72" i="5"/>
  <c r="AD440" i="2"/>
  <c r="D47" i="6"/>
  <c r="E154" i="5"/>
  <c r="AD462" i="2"/>
  <c r="AD92" i="2"/>
  <c r="AL430" i="2"/>
  <c r="AG288" i="2"/>
  <c r="AJ375" i="2"/>
  <c r="AH406" i="2"/>
  <c r="L358" i="5"/>
  <c r="M352" i="5"/>
  <c r="AI172" i="2"/>
  <c r="M361" i="5"/>
  <c r="I202" i="5"/>
  <c r="F195" i="6"/>
  <c r="AE119" i="2"/>
  <c r="F329" i="5"/>
  <c r="G289" i="5"/>
  <c r="AE267" i="2"/>
  <c r="AH210" i="2"/>
  <c r="G149" i="5"/>
  <c r="AK288" i="2"/>
  <c r="J221" i="6"/>
  <c r="AK280" i="2"/>
  <c r="AK49" i="2"/>
  <c r="AI198" i="2"/>
  <c r="AJ187" i="2"/>
  <c r="AI217" i="2"/>
  <c r="C228" i="5"/>
  <c r="D211" i="5"/>
  <c r="E286" i="5"/>
  <c r="AF410" i="2"/>
  <c r="B308" i="5"/>
  <c r="D209" i="5"/>
  <c r="AE212" i="2"/>
  <c r="AG359" i="2"/>
  <c r="AD207" i="2"/>
  <c r="J319" i="5"/>
  <c r="AL406" i="2"/>
  <c r="J228" i="5"/>
  <c r="J117" i="5"/>
  <c r="C277" i="5"/>
  <c r="H353" i="5"/>
  <c r="H280" i="5"/>
  <c r="F214" i="5"/>
  <c r="AI191" i="2"/>
  <c r="AJ243" i="2"/>
  <c r="G298" i="5"/>
  <c r="AE249" i="2"/>
  <c r="AE391" i="2"/>
  <c r="G245" i="5"/>
  <c r="AG258" i="2"/>
  <c r="E16" i="5"/>
  <c r="AD94" i="2"/>
  <c r="AG233" i="2"/>
  <c r="AD448" i="2"/>
  <c r="A155" i="5"/>
  <c r="F327" i="5"/>
  <c r="AD170" i="2"/>
  <c r="A344" i="6"/>
  <c r="C299" i="5"/>
  <c r="P274" i="5"/>
  <c r="F361" i="5"/>
  <c r="AG364" i="2"/>
  <c r="L235" i="5"/>
  <c r="AE239" i="2"/>
  <c r="CF245" i="2"/>
  <c r="M335" i="5"/>
  <c r="B173" i="5"/>
  <c r="P264" i="5"/>
  <c r="D251" i="5"/>
  <c r="AK311" i="2"/>
  <c r="C157" i="6"/>
  <c r="I274" i="5"/>
  <c r="I257" i="5"/>
  <c r="C231" i="5"/>
  <c r="B255" i="5"/>
  <c r="AE460" i="2"/>
  <c r="G234" i="6"/>
  <c r="AD352" i="2"/>
  <c r="AK238" i="2"/>
  <c r="J339" i="5"/>
  <c r="AF159" i="2"/>
  <c r="AJ438" i="2"/>
  <c r="AF178" i="2"/>
  <c r="O377" i="5"/>
  <c r="AJ431" i="2"/>
  <c r="AG107" i="2"/>
  <c r="L319" i="5"/>
  <c r="G375" i="5"/>
  <c r="AH163" i="2"/>
  <c r="O291" i="5"/>
  <c r="H327" i="5"/>
  <c r="F338" i="5"/>
  <c r="J222" i="5"/>
  <c r="AF20" i="2"/>
  <c r="P278" i="5"/>
  <c r="AK255" i="2"/>
  <c r="C40" i="6"/>
  <c r="G234" i="5"/>
  <c r="AG271" i="2"/>
  <c r="O106" i="5"/>
  <c r="AH449" i="2"/>
  <c r="C379" i="5"/>
  <c r="AI102" i="2"/>
  <c r="D256" i="5"/>
  <c r="AI443" i="2"/>
  <c r="AH126" i="2"/>
  <c r="F335" i="5"/>
  <c r="P340" i="5"/>
  <c r="J14" i="6"/>
  <c r="AG80" i="2"/>
  <c r="B56" i="6"/>
  <c r="AG389" i="2"/>
  <c r="AF69" i="2"/>
  <c r="AG128" i="2"/>
  <c r="AF279" i="2"/>
  <c r="O284" i="5"/>
  <c r="AI243" i="2"/>
  <c r="F22" i="6"/>
  <c r="AK403" i="2"/>
  <c r="AD178" i="2"/>
  <c r="AE274" i="2"/>
  <c r="L272" i="5"/>
  <c r="C28" i="6"/>
  <c r="H86" i="5"/>
  <c r="H342" i="5"/>
  <c r="D352" i="5"/>
  <c r="B21" i="6"/>
  <c r="AH152" i="2"/>
  <c r="H352" i="5"/>
  <c r="J282" i="5"/>
  <c r="AF313" i="2"/>
  <c r="O298" i="5"/>
  <c r="E176" i="5"/>
  <c r="AH25" i="2"/>
  <c r="AK401" i="2"/>
  <c r="AG324" i="2"/>
  <c r="AD309" i="2"/>
  <c r="N207" i="5"/>
  <c r="AE10" i="2"/>
  <c r="AJ157" i="2"/>
  <c r="AE275" i="2"/>
  <c r="J293" i="5"/>
  <c r="O295" i="5"/>
  <c r="B130" i="6"/>
  <c r="AI190" i="2"/>
  <c r="AI371" i="2"/>
  <c r="AK289" i="2"/>
  <c r="F49" i="5"/>
  <c r="AE260" i="2"/>
  <c r="M206" i="5"/>
  <c r="G255" i="5"/>
  <c r="AL367" i="2"/>
  <c r="G169" i="6"/>
  <c r="F373" i="5"/>
  <c r="N287" i="5"/>
  <c r="N318" i="5"/>
  <c r="AK383" i="2"/>
  <c r="L125" i="5"/>
  <c r="O255" i="5"/>
  <c r="O251" i="5"/>
  <c r="P142" i="5"/>
  <c r="B319" i="5"/>
  <c r="AH435" i="2"/>
  <c r="J53" i="5"/>
  <c r="I148" i="5"/>
  <c r="H41" i="6"/>
  <c r="M320" i="5"/>
  <c r="AL177" i="2"/>
  <c r="I208" i="5"/>
  <c r="AL119" i="2"/>
  <c r="F352" i="5"/>
  <c r="D55" i="5"/>
  <c r="AE290" i="2"/>
  <c r="AI33" i="2"/>
  <c r="G284" i="5"/>
  <c r="AI359" i="2"/>
  <c r="AH442" i="2"/>
  <c r="D333" i="5"/>
  <c r="AI377" i="2"/>
  <c r="AG413" i="2"/>
  <c r="AF395" i="2"/>
  <c r="J168" i="5"/>
  <c r="G122" i="5"/>
  <c r="N308" i="5"/>
  <c r="AD429" i="2"/>
  <c r="O16" i="5"/>
  <c r="AE58" i="2"/>
  <c r="AG352" i="2"/>
  <c r="AG178" i="2"/>
  <c r="I252" i="5"/>
  <c r="G235" i="5"/>
  <c r="N313" i="5"/>
  <c r="AH172" i="2"/>
  <c r="J341" i="5"/>
  <c r="O339" i="5"/>
  <c r="AD70" i="2"/>
  <c r="E238" i="5"/>
  <c r="AJ15" i="2"/>
  <c r="C172" i="6"/>
  <c r="AE19" i="2"/>
  <c r="AF422" i="2"/>
  <c r="O6" i="5"/>
  <c r="AH115" i="2"/>
  <c r="B163" i="5"/>
  <c r="N266" i="5"/>
  <c r="AG235" i="2"/>
  <c r="N74" i="5"/>
  <c r="AF365" i="2"/>
  <c r="N380" i="5"/>
  <c r="AH224" i="2"/>
  <c r="AD410" i="2"/>
  <c r="AE160" i="2"/>
  <c r="D326" i="5"/>
  <c r="M24" i="5"/>
  <c r="AJ304" i="2"/>
  <c r="AG66" i="2"/>
  <c r="L155" i="5"/>
  <c r="D236" i="5"/>
  <c r="AL55" i="2"/>
  <c r="H314" i="5"/>
  <c r="AK428" i="2"/>
  <c r="C234" i="5"/>
  <c r="AI24" i="2"/>
  <c r="L371" i="5"/>
  <c r="E274" i="5"/>
  <c r="M243" i="5"/>
  <c r="N365" i="5"/>
  <c r="L181" i="5"/>
  <c r="AG421" i="2"/>
  <c r="AI251" i="2"/>
  <c r="AD25" i="2"/>
  <c r="AE305" i="2"/>
  <c r="E27" i="6"/>
  <c r="I72" i="5"/>
  <c r="O229" i="5"/>
  <c r="H49" i="6"/>
  <c r="AE132" i="2"/>
  <c r="J13" i="6"/>
  <c r="AE360" i="2"/>
  <c r="B361" i="5"/>
  <c r="N261" i="5"/>
  <c r="AL57" i="2"/>
  <c r="AD152" i="2"/>
  <c r="AJ100" i="2"/>
  <c r="AF411" i="2"/>
  <c r="J73" i="6"/>
  <c r="AG251" i="2"/>
  <c r="E200" i="6"/>
  <c r="M329" i="5"/>
  <c r="AD454" i="2"/>
  <c r="AG429" i="2"/>
  <c r="H356" i="5"/>
  <c r="AJ257" i="2"/>
  <c r="J302" i="6"/>
  <c r="AG403" i="2"/>
  <c r="F156" i="5"/>
  <c r="J135" i="6"/>
  <c r="L333" i="5"/>
  <c r="AJ320" i="2"/>
  <c r="G322" i="5"/>
  <c r="D41" i="6"/>
  <c r="AL83" i="2"/>
  <c r="AE35" i="2"/>
  <c r="C73" i="6"/>
  <c r="AE85" i="2"/>
  <c r="E168" i="6"/>
  <c r="P87" i="5"/>
  <c r="AH228" i="2"/>
  <c r="AG465" i="2"/>
  <c r="AI184" i="2"/>
  <c r="D23" i="6"/>
  <c r="E376" i="5"/>
  <c r="L261" i="5"/>
  <c r="AE227" i="2"/>
  <c r="C210" i="6"/>
  <c r="AF309" i="2"/>
  <c r="G258" i="6"/>
  <c r="AJ76" i="2"/>
  <c r="AE14" i="2"/>
  <c r="L344" i="5"/>
  <c r="AD276" i="2"/>
  <c r="AL133" i="2"/>
  <c r="C136" i="6"/>
  <c r="AD44" i="2"/>
  <c r="AF67" i="2"/>
  <c r="O18" i="5"/>
  <c r="AI365" i="2"/>
  <c r="E308" i="5"/>
  <c r="E70" i="6"/>
  <c r="H214" i="6"/>
  <c r="AK271" i="2"/>
  <c r="D29" i="6"/>
  <c r="H270" i="5"/>
  <c r="I134" i="6"/>
  <c r="I179" i="5"/>
  <c r="AF268" i="2"/>
  <c r="AJ234" i="2"/>
  <c r="AK270" i="2"/>
  <c r="AD404" i="2"/>
  <c r="AI355" i="2"/>
  <c r="J378" i="5"/>
  <c r="AD131" i="2"/>
  <c r="AF61" i="2"/>
  <c r="E324" i="5"/>
  <c r="G10" i="5"/>
  <c r="D296" i="5"/>
  <c r="H328" i="5"/>
  <c r="J258" i="5"/>
  <c r="F328" i="5"/>
  <c r="AF45" i="2"/>
  <c r="AE266" i="2"/>
  <c r="AG147" i="2"/>
  <c r="AK181" i="2"/>
  <c r="AE238" i="2"/>
  <c r="J183" i="5"/>
  <c r="AH408" i="2"/>
  <c r="AF312" i="2"/>
  <c r="AG101" i="2"/>
  <c r="AD339" i="2"/>
  <c r="G204" i="5"/>
  <c r="AE381" i="2"/>
  <c r="AF147" i="2"/>
  <c r="AG198" i="2"/>
  <c r="AI219" i="2"/>
  <c r="D239" i="6"/>
  <c r="H351" i="5"/>
  <c r="AD292" i="2"/>
  <c r="O359" i="5"/>
  <c r="N356" i="5"/>
  <c r="J190" i="5"/>
  <c r="C356" i="5"/>
  <c r="AK46" i="2"/>
  <c r="AK42" i="2"/>
  <c r="AE147" i="2"/>
  <c r="J307" i="5"/>
  <c r="AF88" i="2"/>
  <c r="C208" i="5"/>
  <c r="AJ299" i="2"/>
  <c r="E51" i="5"/>
  <c r="P11" i="5"/>
  <c r="G85" i="6"/>
  <c r="P349" i="5"/>
  <c r="F282" i="5"/>
  <c r="AJ293" i="2"/>
  <c r="D158" i="5"/>
  <c r="AE371" i="2"/>
  <c r="I276" i="5"/>
  <c r="F51" i="6"/>
  <c r="AI212" i="2"/>
  <c r="AL238" i="2"/>
  <c r="B23" i="6"/>
  <c r="C294" i="5"/>
  <c r="D311" i="5"/>
  <c r="AJ85" i="2"/>
  <c r="AD270" i="2"/>
  <c r="AF229" i="2"/>
  <c r="P179" i="5"/>
  <c r="AL111" i="2"/>
  <c r="AG415" i="2"/>
  <c r="AD49" i="2"/>
  <c r="AK438" i="2"/>
  <c r="J246" i="5"/>
  <c r="K259" i="5"/>
  <c r="I39" i="6"/>
  <c r="AD255" i="2"/>
  <c r="C322" i="5"/>
  <c r="C16" i="6"/>
  <c r="H76" i="6"/>
  <c r="C310" i="5"/>
  <c r="B25" i="6"/>
  <c r="AD162" i="2"/>
  <c r="AK150" i="2"/>
  <c r="D268" i="5"/>
  <c r="AL246" i="2"/>
  <c r="AF454" i="2"/>
  <c r="C97" i="6"/>
  <c r="P346" i="5"/>
  <c r="C279" i="5"/>
  <c r="AI310" i="2"/>
  <c r="G63" i="6"/>
  <c r="AI223" i="2"/>
  <c r="AG376" i="2"/>
  <c r="AK32" i="2"/>
  <c r="AE411" i="2"/>
  <c r="AE67" i="2"/>
  <c r="AE402" i="2"/>
  <c r="B33" i="6"/>
  <c r="AG92" i="2"/>
  <c r="AJ9" i="2"/>
  <c r="B16" i="6"/>
  <c r="AJ41" i="2"/>
  <c r="F238" i="6"/>
  <c r="AI336" i="2"/>
  <c r="J158" i="6"/>
  <c r="AI409" i="2"/>
  <c r="H97" i="6"/>
  <c r="AG103" i="2"/>
  <c r="F200" i="6"/>
  <c r="H370" i="6"/>
  <c r="AK421" i="2"/>
  <c r="G207" i="6"/>
  <c r="F364" i="5"/>
  <c r="I375" i="5"/>
  <c r="I285" i="5"/>
  <c r="AI415" i="2"/>
  <c r="AI103" i="2"/>
  <c r="AG9" i="2"/>
  <c r="AF348" i="2"/>
  <c r="AJ75" i="2"/>
  <c r="C324" i="6"/>
  <c r="AL191" i="2"/>
  <c r="AE303" i="2"/>
  <c r="AE461" i="2"/>
  <c r="AF266" i="2"/>
  <c r="O154" i="5"/>
  <c r="AI183" i="2"/>
  <c r="A82" i="6"/>
  <c r="AE24" i="2"/>
  <c r="I362" i="5"/>
  <c r="D26" i="6"/>
  <c r="H311" i="5"/>
  <c r="I308" i="6"/>
  <c r="AK256" i="2"/>
  <c r="AE161" i="2"/>
  <c r="AI301" i="2"/>
  <c r="AL126" i="2"/>
  <c r="C77" i="5"/>
  <c r="AI49" i="2"/>
  <c r="G373" i="5"/>
  <c r="AL34" i="2"/>
  <c r="AF338" i="2"/>
  <c r="N103" i="5"/>
  <c r="AF405" i="2"/>
  <c r="AJ244" i="2"/>
  <c r="AG196" i="2"/>
  <c r="G20" i="6"/>
  <c r="AL454" i="2"/>
  <c r="AE118" i="2"/>
  <c r="AH28" i="2"/>
  <c r="F303" i="5"/>
  <c r="AL462" i="2"/>
  <c r="M288" i="5"/>
  <c r="AL364" i="2"/>
  <c r="AD347" i="2"/>
  <c r="B286" i="5"/>
  <c r="AD47" i="2"/>
  <c r="E210" i="5"/>
  <c r="P271" i="5"/>
  <c r="H267" i="5"/>
  <c r="AJ80" i="2"/>
  <c r="AD423" i="2"/>
  <c r="H87" i="6"/>
  <c r="AE318" i="2"/>
  <c r="AI402" i="2"/>
  <c r="AL458" i="2"/>
  <c r="AK299" i="2"/>
  <c r="B85" i="6"/>
  <c r="C80" i="6"/>
  <c r="AJ192" i="2"/>
  <c r="AG289" i="2"/>
  <c r="AH238" i="2"/>
  <c r="B243" i="5"/>
  <c r="O287" i="5"/>
  <c r="H29" i="6"/>
  <c r="H24" i="5"/>
  <c r="AK429" i="2"/>
  <c r="L242" i="5"/>
  <c r="B258" i="5"/>
  <c r="AG171" i="2"/>
  <c r="AJ433" i="2"/>
  <c r="J94" i="6"/>
  <c r="AI208" i="2"/>
  <c r="C233" i="5"/>
  <c r="AL226" i="2"/>
  <c r="F178" i="5"/>
  <c r="P234" i="5"/>
  <c r="AJ131" i="2"/>
  <c r="F252" i="5"/>
  <c r="AL443" i="2"/>
  <c r="AG448" i="2"/>
  <c r="AK302" i="2"/>
  <c r="AF161" i="2"/>
  <c r="E232" i="5"/>
  <c r="G16" i="5"/>
  <c r="E60" i="6"/>
  <c r="E61" i="6"/>
  <c r="AL282" i="2"/>
  <c r="H337" i="5"/>
  <c r="AE70" i="2"/>
  <c r="AE218" i="2"/>
  <c r="H359" i="5"/>
  <c r="H291" i="6"/>
  <c r="N326" i="5"/>
  <c r="H236" i="5"/>
  <c r="J166" i="6"/>
  <c r="C353" i="5"/>
  <c r="AJ182" i="2"/>
  <c r="M224" i="5"/>
  <c r="J166" i="5"/>
  <c r="G66" i="6"/>
  <c r="D266" i="5"/>
  <c r="AL375" i="2"/>
  <c r="N312" i="5"/>
  <c r="AG463" i="2"/>
  <c r="AF378" i="2"/>
  <c r="AF157" i="2"/>
  <c r="J268" i="5"/>
  <c r="AH29" i="2"/>
  <c r="L318" i="5"/>
  <c r="AD308" i="2"/>
  <c r="K296" i="5"/>
  <c r="E134" i="6"/>
  <c r="P69" i="5"/>
  <c r="AD55" i="2"/>
  <c r="AI424" i="2"/>
  <c r="AJ195" i="2"/>
  <c r="H62" i="6"/>
  <c r="P123" i="5"/>
  <c r="AG293" i="2"/>
  <c r="AF367" i="2"/>
  <c r="AI19" i="2"/>
  <c r="D334" i="5"/>
  <c r="F116" i="5"/>
  <c r="B260" i="5"/>
  <c r="AI160" i="2"/>
  <c r="O223" i="5"/>
  <c r="D177" i="5"/>
  <c r="AH352" i="2"/>
  <c r="AL101" i="2"/>
  <c r="AI410" i="2"/>
  <c r="D305" i="5"/>
  <c r="AF73" i="2"/>
  <c r="AJ148" i="2"/>
  <c r="F29" i="5"/>
  <c r="AD362" i="2"/>
  <c r="J148" i="6"/>
  <c r="I45" i="6"/>
  <c r="C254" i="5"/>
  <c r="B64" i="6"/>
  <c r="J298" i="5"/>
  <c r="D182" i="6"/>
  <c r="AI321" i="2"/>
  <c r="C358" i="5"/>
  <c r="AE263" i="2"/>
  <c r="AK398" i="2"/>
  <c r="AI376" i="2"/>
  <c r="F113" i="6"/>
  <c r="H247" i="5"/>
  <c r="F44" i="6"/>
  <c r="AJ457" i="2"/>
  <c r="AI57" i="2"/>
  <c r="B83" i="5"/>
  <c r="P242" i="5"/>
  <c r="AD278" i="2"/>
  <c r="C24" i="6"/>
  <c r="AG67" i="2"/>
  <c r="H137" i="6"/>
  <c r="AG338" i="2"/>
  <c r="G349" i="5"/>
  <c r="AI147" i="2"/>
  <c r="AI23" i="2"/>
  <c r="AH358" i="2"/>
  <c r="I128" i="5"/>
  <c r="J133" i="5"/>
  <c r="P279" i="5"/>
  <c r="AG387" i="2"/>
  <c r="AI235" i="2"/>
  <c r="AH108" i="2"/>
  <c r="D259" i="5"/>
  <c r="AD311" i="2"/>
  <c r="AD112" i="2"/>
  <c r="AG48" i="2"/>
  <c r="AH211" i="2"/>
  <c r="AG133" i="2"/>
  <c r="E54" i="6"/>
  <c r="N320" i="5"/>
  <c r="AK148" i="2"/>
  <c r="AF22" i="2"/>
  <c r="E309" i="6"/>
  <c r="F47" i="6"/>
  <c r="I291" i="5"/>
  <c r="AL63" i="2"/>
  <c r="I20" i="5"/>
  <c r="L42" i="5"/>
  <c r="AH363" i="2"/>
  <c r="AH265" i="2"/>
  <c r="AF445" i="2"/>
  <c r="AE139" i="2"/>
  <c r="AH165" i="2"/>
  <c r="J214" i="5"/>
  <c r="E45" i="6"/>
  <c r="B362" i="5"/>
  <c r="AJ199" i="2"/>
  <c r="AH103" i="2"/>
  <c r="M255" i="5"/>
  <c r="D43" i="5"/>
  <c r="AE325" i="2"/>
  <c r="AH310" i="2"/>
  <c r="H51" i="5"/>
  <c r="AF271" i="2"/>
  <c r="C71" i="6"/>
  <c r="AK72" i="2"/>
  <c r="I80" i="6"/>
  <c r="AG6" i="2"/>
  <c r="AG274" i="2"/>
  <c r="N92" i="5"/>
  <c r="AL33" i="2"/>
  <c r="F99" i="6"/>
  <c r="B338" i="5"/>
  <c r="J51" i="6"/>
  <c r="AJ419" i="2"/>
  <c r="AI295" i="2"/>
  <c r="AG322" i="2"/>
  <c r="E72" i="6"/>
  <c r="AG45" i="2"/>
  <c r="G219" i="6"/>
  <c r="B208" i="5"/>
  <c r="AH290" i="2"/>
  <c r="AI121" i="2"/>
  <c r="AI215" i="2"/>
  <c r="O206" i="5"/>
  <c r="AI281" i="2"/>
  <c r="AH423" i="2"/>
  <c r="AJ215" i="2"/>
  <c r="J118" i="5"/>
  <c r="D359" i="5"/>
  <c r="N353" i="5"/>
  <c r="G335" i="5"/>
  <c r="AF415" i="2"/>
  <c r="AH118" i="2"/>
  <c r="AE124" i="2"/>
  <c r="H163" i="5"/>
  <c r="AD376" i="2"/>
  <c r="I166" i="6"/>
  <c r="B167" i="6"/>
  <c r="AF163" i="2"/>
  <c r="C100" i="6"/>
  <c r="G57" i="6"/>
  <c r="G141" i="6"/>
  <c r="E314" i="5"/>
  <c r="AL58" i="2"/>
  <c r="AI181" i="2"/>
  <c r="AF26" i="2"/>
  <c r="H345" i="5"/>
  <c r="AJ141" i="2"/>
  <c r="AK67" i="2"/>
  <c r="B82" i="6"/>
  <c r="AD342" i="2"/>
  <c r="B111" i="6"/>
  <c r="M347" i="5"/>
  <c r="F249" i="5"/>
  <c r="B333" i="6"/>
  <c r="AF131" i="2"/>
  <c r="AE168" i="2"/>
  <c r="N284" i="5"/>
  <c r="AI156" i="2"/>
  <c r="AJ10" i="2"/>
  <c r="AF390" i="2"/>
  <c r="AL382" i="2"/>
  <c r="AG339" i="2"/>
  <c r="AJ55" i="2"/>
  <c r="I71" i="5"/>
  <c r="AF94" i="2"/>
  <c r="AE292" i="2"/>
  <c r="J68" i="6"/>
  <c r="C255" i="5"/>
  <c r="AG381" i="2"/>
  <c r="M46" i="5"/>
  <c r="AE39" i="2"/>
  <c r="M232" i="5"/>
  <c r="O379" i="5"/>
  <c r="G86" i="5"/>
  <c r="J284" i="5"/>
  <c r="AE436" i="2"/>
  <c r="G342" i="5"/>
  <c r="P157" i="5"/>
  <c r="AI210" i="2"/>
  <c r="J325" i="6"/>
  <c r="AD123" i="2"/>
  <c r="O277" i="5"/>
  <c r="AI331" i="2"/>
  <c r="J373" i="5"/>
  <c r="I280" i="5"/>
  <c r="J149" i="6"/>
  <c r="AG105" i="2"/>
  <c r="AG160" i="2"/>
  <c r="AI370" i="2"/>
  <c r="AI458" i="2"/>
  <c r="AI315" i="2"/>
  <c r="AG426" i="2"/>
  <c r="AI320" i="2"/>
  <c r="AG203" i="2"/>
  <c r="AD401" i="2"/>
  <c r="AH169" i="2"/>
  <c r="AG297" i="2"/>
  <c r="L273" i="5"/>
  <c r="AF247" i="2"/>
  <c r="G188" i="5"/>
  <c r="AG51" i="2"/>
  <c r="AG399" i="2"/>
  <c r="AL373" i="2"/>
  <c r="AD107" i="2"/>
  <c r="AG191" i="2"/>
  <c r="C306" i="5"/>
  <c r="C29" i="6"/>
  <c r="E303" i="5"/>
  <c r="AI36" i="2"/>
  <c r="D20" i="6"/>
  <c r="P354" i="5"/>
  <c r="I312" i="5"/>
  <c r="N371" i="5"/>
  <c r="AG195" i="2"/>
  <c r="AF401" i="2"/>
  <c r="AL326" i="2"/>
  <c r="C200" i="5"/>
  <c r="AJ362" i="2"/>
  <c r="AJ207" i="2"/>
  <c r="G106" i="6"/>
  <c r="AI386" i="2"/>
  <c r="AD183" i="2"/>
  <c r="AD48" i="2"/>
  <c r="AG82" i="2"/>
  <c r="AF399" i="2"/>
  <c r="B156" i="6"/>
  <c r="F53" i="6"/>
  <c r="E225" i="5"/>
  <c r="G118" i="6"/>
  <c r="P378" i="5"/>
  <c r="AI66" i="2"/>
  <c r="G120" i="6"/>
  <c r="AI293" i="2"/>
  <c r="AF420" i="2"/>
  <c r="L284" i="5"/>
  <c r="AG320" i="2"/>
  <c r="I282" i="6"/>
  <c r="G96" i="6"/>
  <c r="AF444" i="2"/>
  <c r="AG146" i="2"/>
  <c r="B22" i="6"/>
  <c r="I295" i="6"/>
  <c r="AH330" i="2"/>
  <c r="AK413" i="2"/>
  <c r="H333" i="5"/>
  <c r="AD340" i="2"/>
  <c r="AD197" i="2"/>
  <c r="M172" i="5"/>
  <c r="G89" i="6"/>
  <c r="M274" i="5"/>
  <c r="E351" i="5"/>
  <c r="G37" i="6"/>
  <c r="AE430" i="2"/>
  <c r="AI396" i="2"/>
  <c r="O245" i="5"/>
  <c r="AI47" i="2"/>
  <c r="B9" i="6"/>
  <c r="AG457" i="2"/>
  <c r="AK459" i="2"/>
  <c r="AK356" i="2"/>
  <c r="AE179" i="2"/>
  <c r="F134" i="6"/>
  <c r="N9" i="5"/>
  <c r="E62" i="6"/>
  <c r="H32" i="6"/>
  <c r="D63" i="6"/>
  <c r="AD365" i="2"/>
  <c r="P357" i="5"/>
  <c r="H364" i="5"/>
  <c r="J296" i="5"/>
  <c r="AE203" i="2"/>
  <c r="AH451" i="2"/>
  <c r="AL266" i="2"/>
  <c r="C309" i="5"/>
  <c r="AG11" i="2"/>
  <c r="AI65" i="2"/>
  <c r="AI32" i="2"/>
  <c r="AJ78" i="2"/>
  <c r="E318" i="5"/>
  <c r="AK224" i="2"/>
  <c r="AE61" i="2"/>
  <c r="AE315" i="2"/>
  <c r="F310" i="5"/>
  <c r="AK374" i="2"/>
  <c r="E146" i="5"/>
  <c r="AH23" i="2"/>
  <c r="J174" i="5"/>
  <c r="AI460" i="2"/>
  <c r="AK36" i="2"/>
  <c r="AD209" i="2"/>
  <c r="AF208" i="2"/>
  <c r="L224" i="5"/>
  <c r="P291" i="5"/>
  <c r="H176" i="6"/>
  <c r="C239" i="5"/>
  <c r="AJ369" i="2"/>
  <c r="AK47" i="2"/>
  <c r="B294" i="5"/>
  <c r="AD71" i="2"/>
  <c r="I98" i="6"/>
  <c r="AL296" i="2"/>
  <c r="AL152" i="2"/>
  <c r="AF179" i="2"/>
  <c r="J312" i="5"/>
  <c r="AD8" i="2"/>
  <c r="AD117" i="2"/>
  <c r="N301" i="5"/>
  <c r="I369" i="5"/>
  <c r="E352" i="5"/>
  <c r="B109" i="6"/>
  <c r="C347" i="5"/>
  <c r="AD252" i="2"/>
  <c r="AL99" i="2"/>
  <c r="J355" i="5"/>
  <c r="AF27" i="2"/>
  <c r="AF377" i="2"/>
  <c r="C321" i="5"/>
  <c r="AH199" i="2"/>
  <c r="J106" i="6"/>
  <c r="AL293" i="2"/>
  <c r="H48" i="6"/>
  <c r="AD98" i="2"/>
  <c r="B125" i="5"/>
  <c r="B266" i="5"/>
  <c r="AF129" i="2"/>
  <c r="AG204" i="2"/>
  <c r="G59" i="6"/>
  <c r="AI385" i="2"/>
  <c r="AD435" i="2"/>
  <c r="AF58" i="2"/>
  <c r="AH382" i="2"/>
  <c r="D198" i="6"/>
  <c r="E333" i="5"/>
  <c r="L254" i="5"/>
  <c r="D331" i="6"/>
  <c r="B210" i="6"/>
  <c r="AG340" i="2"/>
  <c r="I166" i="5"/>
  <c r="AH350" i="2"/>
  <c r="AK59" i="2"/>
  <c r="H204" i="5"/>
  <c r="C363" i="5"/>
  <c r="AL185" i="2"/>
  <c r="AD283" i="2"/>
  <c r="I10" i="6"/>
  <c r="AJ286" i="2"/>
  <c r="M272" i="5"/>
  <c r="L286" i="5"/>
  <c r="AJ316" i="2"/>
  <c r="B353" i="5"/>
  <c r="AH10" i="2"/>
  <c r="AL358" i="2"/>
  <c r="AK418" i="2"/>
  <c r="G102" i="6"/>
  <c r="AI35" i="2"/>
  <c r="AE336" i="2"/>
  <c r="AH183" i="2"/>
  <c r="J223" i="6"/>
  <c r="AG284" i="2"/>
  <c r="I363" i="5"/>
  <c r="AD17" i="2"/>
  <c r="O371" i="5"/>
  <c r="AH125" i="2"/>
  <c r="G129" i="6"/>
  <c r="B201" i="6"/>
  <c r="B7" i="6"/>
  <c r="F29" i="6"/>
  <c r="I265" i="6"/>
  <c r="F33" i="6"/>
  <c r="B121" i="6"/>
  <c r="AL114" i="2"/>
  <c r="AI56" i="2"/>
  <c r="J227" i="6"/>
  <c r="AD236" i="2"/>
  <c r="O343" i="5"/>
  <c r="C362" i="5"/>
  <c r="AH222" i="2"/>
  <c r="AI77" i="2"/>
  <c r="E115" i="5"/>
  <c r="N276" i="5"/>
  <c r="AD56" i="2"/>
  <c r="AL311" i="2"/>
  <c r="E119" i="6"/>
  <c r="AE34" i="2"/>
  <c r="F256" i="5"/>
  <c r="C195" i="5"/>
  <c r="AK212" i="2"/>
  <c r="AL270" i="2"/>
  <c r="D368" i="5"/>
  <c r="D195" i="6"/>
  <c r="AL116" i="2"/>
  <c r="G55" i="6"/>
  <c r="D79" i="6"/>
  <c r="AJ409" i="2"/>
  <c r="M309" i="5"/>
  <c r="F153" i="6"/>
  <c r="AL149" i="2"/>
  <c r="O204" i="5"/>
  <c r="M354" i="5"/>
  <c r="AF300" i="2"/>
  <c r="AK427" i="2"/>
  <c r="C372" i="5"/>
  <c r="C206" i="6"/>
  <c r="C378" i="5"/>
  <c r="M174" i="5"/>
  <c r="I87" i="6"/>
  <c r="AG363" i="2"/>
  <c r="L209" i="5"/>
  <c r="H144" i="6"/>
  <c r="F345" i="5"/>
  <c r="F174" i="6"/>
  <c r="AJ333" i="2"/>
  <c r="C132" i="5"/>
  <c r="P370" i="5"/>
  <c r="M256" i="5"/>
  <c r="AE445" i="2"/>
  <c r="D128" i="5"/>
  <c r="H357" i="5"/>
  <c r="AG436" i="2"/>
  <c r="E40" i="6"/>
  <c r="AK196" i="2"/>
  <c r="AD26" i="2"/>
  <c r="E259" i="5"/>
  <c r="AL220" i="2"/>
  <c r="AL129" i="2"/>
  <c r="AJ246" i="2"/>
  <c r="AK348" i="2"/>
  <c r="AG400" i="2"/>
  <c r="AE416" i="2"/>
  <c r="AI30" i="2"/>
  <c r="AG227" i="2"/>
  <c r="J351" i="5"/>
  <c r="AG358" i="2"/>
  <c r="E299" i="5"/>
  <c r="AK191" i="2"/>
  <c r="N350" i="5"/>
  <c r="AH426" i="2"/>
  <c r="H27" i="5"/>
  <c r="AD50" i="2"/>
  <c r="B72" i="6"/>
  <c r="AD280" i="2"/>
  <c r="H309" i="5"/>
  <c r="G214" i="5"/>
  <c r="C252" i="5"/>
  <c r="AD391" i="2"/>
  <c r="AG333" i="2"/>
  <c r="E6" i="6"/>
  <c r="G310" i="6"/>
  <c r="F242" i="5"/>
  <c r="AL337" i="2"/>
  <c r="AL317" i="2"/>
  <c r="I12" i="6"/>
  <c r="AE251" i="2"/>
  <c r="AG345" i="2"/>
  <c r="AG332" i="2"/>
  <c r="AD260" i="2"/>
  <c r="AE125" i="2"/>
  <c r="B376" i="5"/>
  <c r="J350" i="5"/>
  <c r="AE107" i="2"/>
  <c r="AK434" i="2"/>
  <c r="O296" i="5"/>
  <c r="E281" i="5"/>
  <c r="C152" i="6"/>
  <c r="K11" i="5"/>
  <c r="I209" i="5"/>
  <c r="AG396" i="2"/>
  <c r="N329" i="5"/>
  <c r="AK379" i="2"/>
  <c r="AG34" i="2"/>
  <c r="AH403" i="2"/>
  <c r="AL419" i="2"/>
  <c r="AJ69" i="2"/>
  <c r="C179" i="6"/>
  <c r="AL61" i="2"/>
  <c r="AJ77" i="2"/>
  <c r="C373" i="5"/>
  <c r="D168" i="6"/>
  <c r="E276" i="5"/>
  <c r="H88" i="6"/>
  <c r="G178" i="6"/>
  <c r="AK141" i="2"/>
  <c r="J21" i="6"/>
  <c r="AG183" i="2"/>
  <c r="C280" i="5"/>
  <c r="B369" i="5"/>
  <c r="AJ165" i="2"/>
  <c r="H54" i="6"/>
  <c r="AD244" i="2"/>
  <c r="AH142" i="2"/>
  <c r="AI265" i="2"/>
  <c r="AG329" i="2"/>
  <c r="P369" i="5"/>
  <c r="AG452" i="2"/>
  <c r="AK26" i="2"/>
  <c r="AH276" i="2"/>
  <c r="H138" i="5"/>
  <c r="AE272" i="2"/>
  <c r="AL169" i="2"/>
  <c r="AL179" i="2"/>
  <c r="AH223" i="2"/>
  <c r="AH353" i="2"/>
  <c r="AJ242" i="2"/>
  <c r="AK412" i="2"/>
  <c r="AJ411" i="2"/>
  <c r="AK182" i="2"/>
  <c r="AG220" i="2"/>
  <c r="AI220" i="2"/>
  <c r="J30" i="6"/>
  <c r="H358" i="5"/>
  <c r="AD86" i="2"/>
  <c r="B190" i="6"/>
  <c r="AG53" i="2"/>
  <c r="AL379" i="2"/>
  <c r="I8" i="5"/>
  <c r="E152" i="6"/>
  <c r="AJ99" i="2"/>
  <c r="AF81" i="2"/>
  <c r="AK162" i="2"/>
  <c r="C162" i="6"/>
  <c r="AK95" i="2"/>
  <c r="G56" i="6"/>
  <c r="E368" i="5"/>
  <c r="E223" i="5"/>
  <c r="N283" i="5"/>
  <c r="AE178" i="2"/>
  <c r="AI380" i="2"/>
  <c r="AE208" i="2"/>
  <c r="AE171" i="2"/>
  <c r="AD143" i="2"/>
  <c r="AI64" i="2"/>
  <c r="AF185" i="2"/>
  <c r="AJ175" i="2"/>
  <c r="B264" i="5"/>
  <c r="AF7" i="2"/>
  <c r="AL145" i="2"/>
  <c r="C242" i="5"/>
  <c r="D364" i="5"/>
  <c r="AE27" i="2"/>
  <c r="AE339" i="2"/>
  <c r="AH422" i="2"/>
  <c r="AF272" i="2"/>
  <c r="F354" i="5"/>
  <c r="AH300" i="2"/>
  <c r="AG15" i="2"/>
  <c r="AH338" i="2"/>
  <c r="C268" i="5"/>
  <c r="N378" i="5"/>
  <c r="AF259" i="2"/>
  <c r="AD262" i="2"/>
  <c r="E373" i="5"/>
  <c r="AI302" i="2"/>
  <c r="I307" i="5"/>
  <c r="AI127" i="2"/>
  <c r="AG44" i="2"/>
  <c r="D297" i="6"/>
  <c r="J377" i="5"/>
  <c r="D338" i="5"/>
  <c r="N217" i="5"/>
  <c r="F365" i="5"/>
  <c r="P225" i="5"/>
  <c r="G72" i="6"/>
  <c r="AH278" i="2"/>
  <c r="M324" i="5"/>
  <c r="AG343" i="2"/>
  <c r="AL269" i="2"/>
  <c r="E163" i="6"/>
  <c r="AF200" i="2"/>
  <c r="H363" i="5"/>
  <c r="AG312" i="2"/>
  <c r="AL447" i="2"/>
  <c r="AH412" i="2"/>
  <c r="AK87" i="2"/>
  <c r="AE311" i="2"/>
  <c r="L199" i="5"/>
  <c r="AF210" i="2"/>
  <c r="O10" i="5"/>
  <c r="B218" i="5"/>
  <c r="AE349" i="2"/>
  <c r="G194" i="5"/>
  <c r="P348" i="5"/>
  <c r="AI404" i="2"/>
  <c r="M89" i="5"/>
  <c r="E305" i="5"/>
  <c r="M85" i="5"/>
  <c r="B220" i="5"/>
  <c r="AG370" i="2"/>
  <c r="H324" i="5"/>
  <c r="AJ399" i="2"/>
  <c r="C161" i="6"/>
  <c r="H360" i="5"/>
  <c r="I81" i="6"/>
  <c r="AI136" i="2"/>
  <c r="AJ459" i="2"/>
  <c r="AI108" i="2"/>
  <c r="AG93" i="2"/>
  <c r="D125" i="6"/>
  <c r="AD203" i="2"/>
  <c r="I143" i="6"/>
  <c r="B225" i="6"/>
  <c r="G77" i="6"/>
  <c r="H18" i="6"/>
  <c r="AJ376" i="2"/>
  <c r="J65" i="6"/>
  <c r="AE243" i="2"/>
  <c r="L205" i="5"/>
  <c r="K129" i="5"/>
  <c r="I11" i="6"/>
  <c r="AD232" i="2"/>
  <c r="G18" i="6"/>
  <c r="AJ129" i="2"/>
  <c r="L312" i="5"/>
  <c r="L330" i="5"/>
  <c r="G247" i="5"/>
  <c r="AG409" i="2"/>
  <c r="K363" i="5"/>
  <c r="AE326" i="2"/>
  <c r="H143" i="6"/>
  <c r="AE180" i="2"/>
  <c r="AG278" i="2"/>
  <c r="AH87" i="2"/>
  <c r="K103" i="5"/>
  <c r="D346" i="5"/>
  <c r="H24" i="6"/>
  <c r="B46" i="6"/>
  <c r="F84" i="5"/>
  <c r="AG142" i="2"/>
  <c r="B188" i="5"/>
  <c r="AL303" i="2"/>
  <c r="O268" i="5"/>
  <c r="J122" i="6"/>
  <c r="AI109" i="2"/>
  <c r="AD13" i="2"/>
  <c r="AH59" i="2"/>
  <c r="AK221" i="2"/>
  <c r="AK445" i="2"/>
  <c r="AD253" i="2"/>
  <c r="AD108" i="2"/>
  <c r="C115" i="5"/>
  <c r="AG346" i="2"/>
  <c r="AE101" i="2"/>
  <c r="AJ366" i="2"/>
  <c r="AD218" i="2"/>
  <c r="AH131" i="2"/>
  <c r="AD346" i="2"/>
  <c r="AL278" i="2"/>
  <c r="F312" i="5"/>
  <c r="D332" i="6"/>
  <c r="B12" i="5"/>
  <c r="F277" i="5"/>
  <c r="AI107" i="2"/>
  <c r="AG351" i="2"/>
  <c r="C165" i="5"/>
  <c r="AJ167" i="2"/>
  <c r="AE346" i="2"/>
  <c r="J359" i="5"/>
  <c r="AE254" i="2"/>
  <c r="AI154" i="2"/>
  <c r="AK120" i="2"/>
  <c r="AH428" i="2"/>
  <c r="AH139" i="2"/>
  <c r="AF353" i="2"/>
  <c r="J360" i="5"/>
  <c r="C32" i="6"/>
  <c r="C65" i="6"/>
  <c r="AD156" i="2"/>
  <c r="J332" i="6"/>
  <c r="AH247" i="2"/>
  <c r="AH283" i="2"/>
  <c r="D197" i="6"/>
  <c r="B214" i="5"/>
  <c r="AG304" i="2"/>
  <c r="AI126" i="2"/>
  <c r="D98" i="6"/>
  <c r="AG273" i="2"/>
  <c r="AI298" i="2"/>
  <c r="G257" i="6"/>
  <c r="D12" i="6"/>
  <c r="E67" i="6"/>
  <c r="AG81" i="2"/>
  <c r="D37" i="5"/>
  <c r="D15" i="5"/>
  <c r="E334" i="5"/>
  <c r="L373" i="5"/>
  <c r="AH443" i="2"/>
  <c r="AI280" i="2"/>
  <c r="F176" i="5"/>
  <c r="AI304" i="2"/>
  <c r="AI114" i="2"/>
  <c r="AH258" i="2"/>
  <c r="F37" i="6"/>
  <c r="H252" i="6"/>
  <c r="AG21" i="2"/>
  <c r="AE387" i="2"/>
  <c r="AD246" i="2"/>
  <c r="B294" i="6"/>
  <c r="D179" i="6"/>
  <c r="AI95" i="2"/>
  <c r="AD220" i="2"/>
  <c r="AK231" i="2"/>
  <c r="AE415" i="2"/>
  <c r="AH437" i="2"/>
  <c r="AJ138" i="2"/>
  <c r="J304" i="5"/>
  <c r="H42" i="6"/>
  <c r="AG249" i="2"/>
  <c r="C190" i="6"/>
  <c r="AG422" i="2"/>
  <c r="AE221" i="2"/>
  <c r="AJ388" i="2"/>
  <c r="M367" i="5"/>
  <c r="D157" i="6"/>
  <c r="AD80" i="2"/>
  <c r="AH119" i="2"/>
  <c r="AL327" i="2"/>
  <c r="AJ82" i="2"/>
  <c r="I305" i="5"/>
  <c r="AL322" i="2"/>
  <c r="F171" i="5"/>
  <c r="D46" i="5"/>
  <c r="I41" i="6"/>
  <c r="AD361" i="2"/>
  <c r="B137" i="6"/>
  <c r="H328" i="6"/>
  <c r="F92" i="6"/>
  <c r="G116" i="6"/>
  <c r="AK44" i="2"/>
  <c r="H255" i="6"/>
  <c r="AK185" i="2"/>
  <c r="L271" i="5"/>
  <c r="AJ116" i="2"/>
  <c r="D319" i="5"/>
  <c r="AH132" i="2"/>
  <c r="J16" i="6"/>
  <c r="AL305" i="2"/>
  <c r="AE295" i="2"/>
  <c r="AI99" i="2"/>
  <c r="I317" i="5"/>
  <c r="D180" i="6"/>
  <c r="AK214" i="2"/>
  <c r="E12" i="5"/>
  <c r="C13" i="6"/>
  <c r="B368" i="5"/>
  <c r="J129" i="6"/>
  <c r="AK407" i="2"/>
  <c r="F118" i="6"/>
  <c r="B213" i="6"/>
  <c r="AL456" i="2"/>
  <c r="AH246" i="2"/>
  <c r="AD400" i="2"/>
  <c r="P263" i="5"/>
  <c r="H354" i="5"/>
  <c r="AG411" i="2"/>
  <c r="D201" i="6"/>
  <c r="AK207" i="2"/>
  <c r="J308" i="5"/>
  <c r="AI351" i="2"/>
  <c r="AE186" i="2"/>
  <c r="AI245" i="2"/>
  <c r="C251" i="5"/>
  <c r="B211" i="5"/>
  <c r="C223" i="5"/>
  <c r="F121" i="6"/>
  <c r="AF240" i="2"/>
  <c r="AI317" i="2"/>
  <c r="I167" i="6"/>
  <c r="AJ449" i="2"/>
  <c r="AG135" i="2"/>
  <c r="AI138" i="2"/>
  <c r="G303" i="5"/>
  <c r="AH277" i="2"/>
  <c r="AD427" i="2"/>
  <c r="E55" i="5"/>
  <c r="AD211" i="2"/>
  <c r="F377" i="5"/>
  <c r="D140" i="5"/>
  <c r="AI324" i="2"/>
  <c r="AG306" i="2"/>
  <c r="D111" i="6"/>
  <c r="AD259" i="2"/>
  <c r="AI20" i="2"/>
  <c r="AI111" i="2"/>
  <c r="AD101" i="2"/>
  <c r="E37" i="6"/>
  <c r="AK18" i="2"/>
  <c r="AK179" i="2"/>
  <c r="G330" i="5"/>
  <c r="AD205" i="2"/>
  <c r="AK52" i="2"/>
  <c r="AH317" i="2"/>
  <c r="AJ267" i="2"/>
  <c r="E293" i="6"/>
  <c r="B84" i="5"/>
  <c r="G198" i="6"/>
  <c r="E87" i="6"/>
  <c r="H96" i="6"/>
  <c r="AI187" i="2"/>
  <c r="G229" i="6"/>
  <c r="AJ86" i="2"/>
  <c r="AG172" i="2"/>
  <c r="E375" i="5"/>
  <c r="AF174" i="2"/>
  <c r="M364" i="5"/>
  <c r="AD16" i="2"/>
  <c r="E52" i="5"/>
  <c r="B95" i="6"/>
  <c r="AE279" i="2"/>
  <c r="AD142" i="2"/>
  <c r="H51" i="6"/>
  <c r="AF276" i="2"/>
  <c r="C265" i="5"/>
  <c r="G299" i="5"/>
  <c r="G203" i="6"/>
  <c r="AD237" i="2"/>
  <c r="AE28" i="2"/>
  <c r="AF16" i="2"/>
  <c r="J9" i="6"/>
  <c r="D97" i="6"/>
  <c r="AJ210" i="2"/>
  <c r="AK252" i="2"/>
  <c r="I364" i="5"/>
  <c r="I111" i="6"/>
  <c r="AH133" i="2"/>
  <c r="AF53" i="2"/>
  <c r="AK452" i="2"/>
  <c r="AG30" i="2"/>
  <c r="AK360" i="2"/>
  <c r="B11" i="6"/>
  <c r="AE322" i="2"/>
  <c r="E30" i="6"/>
  <c r="H268" i="5"/>
  <c r="AL378" i="2"/>
  <c r="B12" i="6"/>
  <c r="AE403" i="2"/>
  <c r="AK461" i="2"/>
  <c r="P216" i="5"/>
  <c r="AL445" i="2"/>
  <c r="AG98" i="2"/>
  <c r="AI162" i="2"/>
  <c r="AF414" i="2"/>
  <c r="AH116" i="2"/>
  <c r="AD317" i="2"/>
  <c r="AK432" i="2"/>
  <c r="AD23" i="2"/>
  <c r="C286" i="6"/>
  <c r="AD226" i="2"/>
  <c r="AI285" i="2"/>
  <c r="B305" i="6"/>
  <c r="D15" i="6"/>
  <c r="E11" i="6"/>
  <c r="AH419" i="2"/>
  <c r="D370" i="5"/>
  <c r="AF66" i="2"/>
  <c r="AL78" i="2"/>
  <c r="D110" i="6"/>
  <c r="AL88" i="2"/>
  <c r="N216" i="5"/>
  <c r="AH227" i="2"/>
  <c r="I241" i="5"/>
  <c r="AF56" i="2"/>
  <c r="L182" i="5"/>
  <c r="AJ112" i="2"/>
  <c r="G101" i="6"/>
  <c r="AD193" i="2"/>
  <c r="AJ450" i="2"/>
  <c r="E154" i="6"/>
  <c r="AH145" i="2"/>
  <c r="AF100" i="2"/>
  <c r="AH351" i="2"/>
  <c r="G263" i="5"/>
  <c r="D184" i="6"/>
  <c r="E247" i="5"/>
  <c r="AH50" i="2"/>
  <c r="G148" i="6"/>
  <c r="C7" i="6"/>
  <c r="J362" i="6"/>
  <c r="E366" i="5"/>
  <c r="AK76" i="2"/>
  <c r="D212" i="5"/>
  <c r="I155" i="6"/>
  <c r="AL309" i="2"/>
  <c r="L339" i="5"/>
  <c r="AD360" i="2"/>
  <c r="I281" i="5"/>
  <c r="C47" i="6"/>
  <c r="D249" i="6"/>
  <c r="AD321" i="2"/>
  <c r="AL258" i="2"/>
  <c r="C292" i="5"/>
  <c r="E100" i="6"/>
  <c r="F334" i="5"/>
  <c r="AI58" i="2"/>
  <c r="C374" i="5"/>
  <c r="M273" i="5"/>
  <c r="AH92" i="2"/>
  <c r="AJ206" i="2"/>
  <c r="AJ391" i="2"/>
  <c r="H124" i="6"/>
  <c r="AD388" i="2"/>
  <c r="AK312" i="2"/>
  <c r="AG380" i="2"/>
  <c r="AL345" i="2"/>
  <c r="D234" i="6"/>
  <c r="B31" i="5"/>
  <c r="AK430" i="2"/>
  <c r="C245" i="5"/>
  <c r="H146" i="6"/>
  <c r="AF8" i="2"/>
  <c r="G210" i="6"/>
  <c r="C30" i="5"/>
  <c r="AK91" i="2"/>
  <c r="C356" i="6"/>
  <c r="F66" i="6"/>
  <c r="D100" i="6"/>
  <c r="N169" i="5"/>
  <c r="AG404" i="2"/>
  <c r="E130" i="6"/>
  <c r="E186" i="6"/>
  <c r="AF457" i="2"/>
  <c r="AK310" i="2"/>
  <c r="J159" i="6"/>
  <c r="H157" i="6"/>
  <c r="K282" i="5"/>
  <c r="F59" i="6"/>
  <c r="E42" i="6"/>
  <c r="C194" i="6"/>
  <c r="AH374" i="2"/>
  <c r="AH129" i="2"/>
  <c r="AH54" i="2"/>
  <c r="AH160" i="2"/>
  <c r="E320" i="5"/>
  <c r="AF96" i="2"/>
  <c r="AH417" i="2"/>
  <c r="N191" i="5"/>
  <c r="AI92" i="2"/>
  <c r="AH252" i="2"/>
  <c r="AE362" i="2"/>
  <c r="B56" i="5"/>
  <c r="AI97" i="2"/>
  <c r="B49" i="6"/>
  <c r="AF306" i="2"/>
  <c r="L268" i="5"/>
  <c r="AH401" i="2"/>
  <c r="AI110" i="2"/>
  <c r="AF167" i="2"/>
  <c r="AJ314" i="2"/>
  <c r="F128" i="5"/>
  <c r="E337" i="5"/>
  <c r="AD267" i="2"/>
  <c r="B227" i="6"/>
  <c r="AD319" i="2"/>
  <c r="J54" i="6"/>
  <c r="G351" i="5"/>
  <c r="B195" i="5"/>
  <c r="AE25" i="2"/>
  <c r="AD130" i="2"/>
  <c r="N7" i="5"/>
  <c r="F30" i="6"/>
  <c r="K352" i="5"/>
  <c r="I368" i="5"/>
  <c r="AE18" i="2"/>
  <c r="AD249" i="2"/>
  <c r="AJ460" i="2"/>
  <c r="AD91" i="2"/>
  <c r="AF232" i="2"/>
  <c r="D348" i="5"/>
  <c r="H109" i="6"/>
  <c r="AG440" i="2"/>
  <c r="B357" i="5"/>
  <c r="AJ262" i="2"/>
  <c r="AH73" i="2"/>
  <c r="I14" i="6"/>
  <c r="AG371" i="2"/>
  <c r="AH143" i="2"/>
  <c r="AL460" i="2"/>
  <c r="I31" i="6"/>
  <c r="I320" i="5"/>
  <c r="M205" i="5"/>
  <c r="AE269" i="2"/>
  <c r="AE159" i="2"/>
  <c r="I94" i="6"/>
  <c r="J211" i="5"/>
  <c r="C160" i="5"/>
  <c r="AG267" i="2"/>
  <c r="B165" i="6"/>
  <c r="AF425" i="2"/>
  <c r="M234" i="5"/>
  <c r="AG76" i="2"/>
  <c r="AH209" i="2"/>
  <c r="K227" i="5"/>
  <c r="L110" i="5"/>
  <c r="AG90" i="2"/>
  <c r="AL76" i="2"/>
  <c r="B78" i="5"/>
  <c r="N17" i="5"/>
  <c r="AF263" i="2"/>
  <c r="AG223" i="2"/>
  <c r="AI374" i="2"/>
  <c r="AD129" i="2"/>
  <c r="AI429" i="2"/>
  <c r="AI48" i="2"/>
  <c r="AG402" i="2"/>
  <c r="AF114" i="2"/>
  <c r="F25" i="5"/>
  <c r="AI250" i="2"/>
  <c r="N265" i="5"/>
  <c r="AD242" i="2"/>
  <c r="AH379" i="2"/>
  <c r="L63" i="5"/>
  <c r="AD457" i="2"/>
  <c r="AD314" i="2"/>
  <c r="G319" i="5"/>
  <c r="E43" i="6"/>
  <c r="AD268" i="2"/>
  <c r="AI314" i="2"/>
  <c r="AH436" i="2"/>
  <c r="F76" i="6"/>
  <c r="AD15" i="2"/>
  <c r="AL142" i="2"/>
  <c r="E330" i="5"/>
  <c r="AH98" i="2"/>
  <c r="J299" i="5"/>
  <c r="AG43" i="2"/>
  <c r="AK334" i="2"/>
  <c r="AH335" i="2"/>
  <c r="AK437" i="2"/>
  <c r="J93" i="6"/>
  <c r="AD277" i="2"/>
  <c r="AH236" i="2"/>
  <c r="J202" i="6"/>
  <c r="AF275" i="2"/>
  <c r="AD419" i="2"/>
  <c r="I354" i="5"/>
  <c r="AJ102" i="2"/>
  <c r="AD160" i="2"/>
  <c r="AG454" i="2"/>
  <c r="AE364" i="2"/>
  <c r="AE358" i="2"/>
  <c r="L299" i="5"/>
  <c r="H286" i="5"/>
  <c r="AD327" i="2"/>
  <c r="AE337" i="2"/>
  <c r="L275" i="5"/>
  <c r="AK170" i="2"/>
  <c r="J198" i="6"/>
  <c r="AD19" i="2"/>
  <c r="AJ422" i="2"/>
  <c r="AD113" i="2"/>
  <c r="H210" i="5"/>
  <c r="J98" i="5"/>
  <c r="AD180" i="2"/>
  <c r="C88" i="6"/>
  <c r="AF450" i="2"/>
  <c r="C90" i="6"/>
  <c r="AK287" i="2"/>
  <c r="H191" i="5"/>
  <c r="J173" i="6"/>
  <c r="G272" i="5"/>
  <c r="C222" i="5"/>
  <c r="AD88" i="2"/>
  <c r="AE50" i="2"/>
  <c r="AI34" i="2"/>
  <c r="AG397" i="2"/>
  <c r="AE378" i="2"/>
  <c r="F319" i="5"/>
  <c r="AK298" i="2"/>
  <c r="AF48" i="2"/>
  <c r="N317" i="5"/>
  <c r="AF87" i="2"/>
  <c r="J327" i="5"/>
  <c r="AG17" i="2"/>
  <c r="B59" i="6"/>
  <c r="I185" i="6"/>
  <c r="E229" i="5"/>
  <c r="I221" i="6"/>
  <c r="C286" i="5"/>
  <c r="AG170" i="2"/>
  <c r="AD148" i="2"/>
  <c r="AF317" i="2"/>
  <c r="AI308" i="2"/>
  <c r="AI40" i="2"/>
  <c r="AL265" i="2"/>
  <c r="O262" i="5"/>
  <c r="AE68" i="2"/>
  <c r="AG205" i="2"/>
  <c r="AD32" i="2"/>
  <c r="M327" i="5"/>
  <c r="AD74" i="2"/>
  <c r="AK465" i="2"/>
  <c r="J170" i="6"/>
  <c r="AI338" i="2"/>
  <c r="AK55" i="2"/>
  <c r="H125" i="6"/>
  <c r="D263" i="6"/>
  <c r="AK48" i="2"/>
  <c r="AH225" i="2"/>
  <c r="AK295" i="2"/>
  <c r="AI26" i="2"/>
  <c r="AL410" i="2"/>
  <c r="AL304" i="2"/>
  <c r="AH407" i="2"/>
  <c r="F139" i="6"/>
  <c r="AI312" i="2"/>
  <c r="AH267" i="2"/>
  <c r="M373" i="5"/>
  <c r="B301" i="5"/>
  <c r="AD367" i="2"/>
  <c r="F359" i="5"/>
  <c r="AD281" i="2"/>
  <c r="AL295" i="2"/>
  <c r="AD243" i="2"/>
  <c r="J376" i="5"/>
  <c r="AH273" i="2"/>
  <c r="P259" i="5"/>
  <c r="I358" i="5"/>
  <c r="AK126" i="2"/>
  <c r="H302" i="6"/>
  <c r="AH83" i="2"/>
  <c r="E175" i="6"/>
  <c r="J370" i="5"/>
  <c r="F77" i="6"/>
  <c r="AI25" i="2"/>
  <c r="AJ382" i="2"/>
  <c r="AL192" i="2"/>
  <c r="AD330" i="2"/>
  <c r="G82" i="6"/>
  <c r="AD29" i="2"/>
  <c r="AD62" i="2"/>
  <c r="H107" i="6"/>
  <c r="AF370" i="2"/>
  <c r="AK69" i="2"/>
  <c r="H260" i="5"/>
  <c r="AG26" i="2"/>
  <c r="AD22" i="2"/>
  <c r="AD348" i="2"/>
  <c r="AG96" i="2"/>
  <c r="G218" i="6"/>
  <c r="E288" i="5"/>
  <c r="J41" i="6"/>
  <c r="F316" i="6"/>
  <c r="AK133" i="2"/>
  <c r="AI55" i="2"/>
  <c r="J17" i="5"/>
  <c r="O240" i="5"/>
  <c r="AJ43" i="2"/>
  <c r="AH319" i="2"/>
  <c r="C117" i="6"/>
  <c r="M259" i="5"/>
  <c r="AJ389" i="2"/>
  <c r="I216" i="6"/>
  <c r="AH463" i="2"/>
  <c r="E120" i="6"/>
  <c r="AI299" i="2"/>
  <c r="I302" i="5"/>
  <c r="AL463" i="2"/>
  <c r="O311" i="5"/>
  <c r="AK463" i="2"/>
  <c r="AE422" i="2"/>
  <c r="AJ49" i="2"/>
  <c r="D270" i="5"/>
  <c r="AJ59" i="2"/>
  <c r="AL69" i="2"/>
  <c r="E88" i="6"/>
  <c r="AL389" i="2"/>
  <c r="AH61" i="2"/>
  <c r="AK458" i="2"/>
  <c r="AE96" i="2"/>
  <c r="I46" i="5"/>
  <c r="AH173" i="2"/>
  <c r="AG68" i="2"/>
  <c r="D5" i="5"/>
  <c r="G83" i="6"/>
  <c r="AD213" i="2"/>
  <c r="AI463" i="2"/>
  <c r="AK9" i="2"/>
  <c r="M267" i="5"/>
  <c r="AG185" i="2"/>
  <c r="J42" i="6"/>
  <c r="B185" i="6"/>
  <c r="H13" i="6"/>
  <c r="D196" i="6"/>
  <c r="B37" i="6"/>
  <c r="AI393" i="2"/>
  <c r="B238" i="6"/>
  <c r="C249" i="5"/>
  <c r="G281" i="6"/>
  <c r="AH179" i="2"/>
  <c r="AK325" i="2"/>
  <c r="AD60" i="2"/>
  <c r="AL16" i="2"/>
  <c r="AE216" i="2"/>
  <c r="F140" i="6"/>
  <c r="B203" i="6"/>
  <c r="K217" i="5"/>
  <c r="AD166" i="2"/>
  <c r="AK272" i="2"/>
  <c r="AH32" i="2"/>
  <c r="E353" i="6"/>
  <c r="AI44" i="2"/>
  <c r="AE172" i="2"/>
  <c r="AF310" i="2"/>
  <c r="AH269" i="2"/>
  <c r="D377" i="5"/>
  <c r="L292" i="5"/>
  <c r="AI360" i="2"/>
  <c r="H155" i="6"/>
  <c r="AF214" i="2"/>
  <c r="F215" i="5"/>
  <c r="O216" i="5"/>
  <c r="I249" i="6"/>
  <c r="AH280" i="2"/>
  <c r="J273" i="5"/>
  <c r="H251" i="5"/>
  <c r="AI134" i="2"/>
  <c r="E31" i="6"/>
  <c r="N274" i="5"/>
  <c r="AH51" i="2"/>
  <c r="AK30" i="2"/>
  <c r="AL65" i="2"/>
  <c r="G90" i="6"/>
  <c r="AJ300" i="2"/>
  <c r="AJ208" i="2"/>
  <c r="AH255" i="2"/>
  <c r="E82" i="6"/>
  <c r="AK187" i="2"/>
  <c r="AF139" i="2"/>
  <c r="D317" i="5"/>
  <c r="AG219" i="2"/>
  <c r="B352" i="5"/>
  <c r="AE211" i="2"/>
  <c r="AH450" i="2"/>
  <c r="AG318" i="2"/>
  <c r="AK342" i="2"/>
  <c r="M153" i="5"/>
  <c r="AK167" i="2"/>
  <c r="AE86" i="2"/>
  <c r="AL84" i="2"/>
  <c r="AK14" i="2"/>
  <c r="B236" i="6"/>
  <c r="B50" i="5"/>
  <c r="H198" i="6"/>
  <c r="E193" i="6"/>
  <c r="AJ313" i="2"/>
  <c r="I230" i="6"/>
  <c r="J164" i="6"/>
  <c r="B93" i="5"/>
  <c r="C312" i="5"/>
  <c r="AD275" i="2"/>
  <c r="AJ297" i="2"/>
  <c r="G42" i="6"/>
  <c r="N214" i="5"/>
  <c r="AD136" i="2"/>
  <c r="H273" i="5"/>
  <c r="AJ146" i="2"/>
  <c r="AD324" i="2"/>
  <c r="AF394" i="2"/>
  <c r="AG302" i="2"/>
  <c r="AG201" i="2"/>
  <c r="AG260" i="2"/>
  <c r="AL200" i="2"/>
  <c r="L32" i="5"/>
  <c r="AL393" i="2"/>
  <c r="AG252" i="2"/>
  <c r="F13" i="6"/>
  <c r="F140" i="5"/>
  <c r="F243" i="5"/>
  <c r="AF43" i="2"/>
  <c r="I49" i="6"/>
  <c r="AH266" i="2"/>
  <c r="E127" i="6"/>
  <c r="AG427" i="2"/>
  <c r="F193" i="6"/>
  <c r="AL107" i="2"/>
  <c r="C128" i="6"/>
  <c r="AJ21" i="2"/>
  <c r="E65" i="6"/>
  <c r="AD310" i="2"/>
  <c r="L340" i="5"/>
  <c r="AF108" i="2"/>
  <c r="AK251" i="2"/>
  <c r="J11" i="6"/>
  <c r="AI291" i="2"/>
  <c r="N293" i="5"/>
  <c r="D269" i="5"/>
  <c r="AE23" i="2"/>
  <c r="AE195" i="2"/>
  <c r="D145" i="6"/>
  <c r="AL165" i="2"/>
  <c r="AL252" i="2"/>
  <c r="AH88" i="2"/>
  <c r="G125" i="6"/>
  <c r="K64" i="5"/>
  <c r="B267" i="6"/>
  <c r="F343" i="5"/>
  <c r="AH315" i="2"/>
  <c r="AI67" i="2"/>
  <c r="J128" i="5"/>
  <c r="AL32" i="2"/>
  <c r="H230" i="5"/>
  <c r="AK324" i="2"/>
  <c r="G352" i="6"/>
  <c r="P221" i="5"/>
  <c r="D292" i="5"/>
  <c r="AF126" i="2"/>
  <c r="AD59" i="2"/>
  <c r="H11" i="6"/>
  <c r="H147" i="6"/>
  <c r="D144" i="6"/>
  <c r="AH21" i="2"/>
  <c r="AJ219" i="2"/>
  <c r="O172" i="5"/>
  <c r="H152" i="6"/>
  <c r="AK414" i="2"/>
  <c r="I376" i="5"/>
  <c r="AJ424" i="2"/>
  <c r="AL85" i="2"/>
  <c r="P298" i="5"/>
  <c r="J207" i="5"/>
  <c r="C44" i="6"/>
  <c r="O319" i="5"/>
  <c r="AK136" i="2"/>
  <c r="AK216" i="2"/>
  <c r="AH308" i="2"/>
  <c r="E354" i="6"/>
  <c r="B172" i="6"/>
  <c r="C154" i="6"/>
  <c r="AJ256" i="2"/>
  <c r="AF212" i="2"/>
  <c r="AL183" i="2"/>
  <c r="AI450" i="2"/>
  <c r="G232" i="5"/>
  <c r="G17" i="6"/>
  <c r="B89" i="6"/>
  <c r="D286" i="6"/>
  <c r="AL186" i="2"/>
  <c r="AK394" i="2"/>
  <c r="C19" i="6"/>
  <c r="B119" i="5"/>
  <c r="AE188" i="2"/>
  <c r="AG372" i="2"/>
  <c r="AI311" i="2"/>
  <c r="J277" i="5"/>
  <c r="C163" i="6"/>
  <c r="AH381" i="2"/>
  <c r="AF215" i="2"/>
  <c r="AI445" i="2"/>
  <c r="G40" i="5"/>
  <c r="AG218" i="2"/>
  <c r="AF128" i="2"/>
  <c r="A76" i="5"/>
  <c r="AD261" i="2"/>
  <c r="H121" i="6"/>
  <c r="B47" i="6"/>
  <c r="H290" i="5"/>
  <c r="I66" i="6"/>
  <c r="AD82" i="2"/>
  <c r="AH78" i="2"/>
  <c r="J138" i="6"/>
  <c r="D286" i="5"/>
  <c r="AF32" i="2"/>
  <c r="AJ123" i="2"/>
  <c r="G81" i="6"/>
  <c r="G153" i="6"/>
  <c r="D39" i="6"/>
  <c r="I259" i="6"/>
  <c r="J326" i="5"/>
  <c r="AH188" i="2"/>
  <c r="P310" i="5"/>
  <c r="AD438" i="2"/>
  <c r="AE109" i="2"/>
  <c r="M233" i="5"/>
  <c r="AD132" i="2"/>
  <c r="F182" i="6"/>
  <c r="AJ201" i="2"/>
  <c r="AD464" i="2"/>
  <c r="D217" i="5"/>
  <c r="P31" i="5"/>
  <c r="G18" i="5"/>
  <c r="D109" i="6"/>
  <c r="AG424" i="2"/>
  <c r="B119" i="6"/>
  <c r="AH90" i="2"/>
  <c r="G140" i="5"/>
  <c r="AK166" i="2"/>
  <c r="AH215" i="2"/>
  <c r="AD200" i="2"/>
  <c r="J379" i="5"/>
  <c r="E151" i="6"/>
  <c r="AI68" i="2"/>
  <c r="L370" i="5"/>
  <c r="D361" i="6"/>
  <c r="B120" i="5"/>
  <c r="E92" i="6"/>
  <c r="AH391" i="2"/>
  <c r="AG259" i="2"/>
  <c r="C375" i="5"/>
  <c r="N337" i="5"/>
  <c r="AI394" i="2"/>
  <c r="H346" i="5"/>
  <c r="E106" i="6"/>
  <c r="E377" i="5"/>
  <c r="AL426" i="2"/>
  <c r="AI167" i="2"/>
  <c r="AE437" i="2"/>
  <c r="P365" i="5"/>
  <c r="H37" i="5"/>
  <c r="C121" i="6"/>
  <c r="AL262" i="2"/>
  <c r="D378" i="5"/>
  <c r="J329" i="5"/>
  <c r="J285" i="6"/>
  <c r="AD79" i="2"/>
  <c r="AI289" i="2"/>
  <c r="AE404" i="2"/>
  <c r="M60" i="5"/>
  <c r="AL420" i="2"/>
  <c r="I272" i="6"/>
  <c r="H355" i="5"/>
  <c r="AG386" i="2"/>
  <c r="C236" i="6"/>
  <c r="AG447" i="2"/>
  <c r="AK283" i="2"/>
  <c r="B307" i="5"/>
  <c r="AD109" i="2"/>
  <c r="AI345" i="2"/>
  <c r="AD414" i="2"/>
  <c r="O368" i="5"/>
  <c r="AL291" i="2"/>
  <c r="AJ258" i="2"/>
  <c r="AE146" i="2"/>
  <c r="AE394" i="2"/>
  <c r="AJ229" i="2"/>
  <c r="AH34" i="2"/>
  <c r="F9" i="5"/>
  <c r="B110" i="6"/>
  <c r="J191" i="5"/>
  <c r="I319" i="6"/>
  <c r="K367" i="5"/>
  <c r="AJ139" i="2"/>
  <c r="AJ439" i="2"/>
  <c r="AG394" i="2"/>
  <c r="AI239" i="2"/>
  <c r="AI38" i="2"/>
  <c r="AK313" i="2"/>
  <c r="AH31" i="2"/>
  <c r="J31" i="6"/>
  <c r="H207" i="6"/>
  <c r="AL159" i="2"/>
  <c r="AH270" i="2"/>
  <c r="M284" i="5"/>
  <c r="AK123" i="2"/>
  <c r="J73" i="5"/>
  <c r="AF426" i="2"/>
  <c r="AL146" i="2"/>
  <c r="C169" i="6"/>
  <c r="AH74" i="2"/>
  <c r="AE82" i="2"/>
  <c r="I58" i="6"/>
  <c r="I182" i="5"/>
  <c r="AE205" i="2"/>
  <c r="I7" i="6"/>
  <c r="AF70" i="2"/>
  <c r="AG61" i="2"/>
  <c r="AH6" i="2"/>
  <c r="AD7" i="2"/>
  <c r="AL127" i="2"/>
  <c r="AJ357" i="2"/>
  <c r="F110" i="6"/>
  <c r="B39" i="6"/>
  <c r="F209" i="6"/>
  <c r="C119" i="6"/>
  <c r="K80" i="5"/>
  <c r="E35" i="5"/>
  <c r="H127" i="6"/>
  <c r="B109" i="5"/>
  <c r="AK100" i="2"/>
  <c r="G374" i="6"/>
  <c r="AJ329" i="2"/>
  <c r="C213" i="6"/>
  <c r="AI122" i="2"/>
  <c r="C88" i="5"/>
  <c r="AH186" i="2"/>
  <c r="AK74" i="2"/>
  <c r="N80" i="5"/>
  <c r="C197" i="6"/>
  <c r="P136" i="5"/>
  <c r="AL153" i="2"/>
  <c r="AL402" i="2"/>
  <c r="H277" i="6"/>
  <c r="C61" i="6"/>
  <c r="H195" i="6"/>
  <c r="J265" i="5"/>
  <c r="E173" i="6"/>
  <c r="AD269" i="2"/>
  <c r="N234" i="5"/>
  <c r="H283" i="6"/>
  <c r="AE54" i="2"/>
  <c r="AL27" i="2"/>
  <c r="AH19" i="2"/>
  <c r="AG281" i="2"/>
  <c r="AD445" i="2"/>
  <c r="AD421" i="2"/>
  <c r="B238" i="5"/>
  <c r="AI430" i="2"/>
  <c r="E335" i="6"/>
  <c r="AL287" i="2"/>
  <c r="J146" i="6"/>
  <c r="F31" i="6"/>
  <c r="AF291" i="2"/>
  <c r="G24" i="5"/>
  <c r="AF433" i="2"/>
  <c r="C338" i="5"/>
  <c r="AG14" i="2"/>
  <c r="L24" i="5"/>
  <c r="G25" i="6"/>
  <c r="AJ302" i="2"/>
  <c r="AK201" i="2"/>
  <c r="D369" i="5"/>
  <c r="AL167" i="2"/>
  <c r="AJ92" i="2"/>
  <c r="E164" i="6"/>
  <c r="C113" i="6"/>
  <c r="AK363" i="2"/>
  <c r="I75" i="6"/>
  <c r="AL189" i="2"/>
  <c r="H319" i="5"/>
  <c r="AF297" i="2"/>
  <c r="I163" i="6"/>
  <c r="C82" i="6"/>
  <c r="B19" i="6"/>
  <c r="L253" i="5"/>
  <c r="AJ224" i="2"/>
  <c r="AL86" i="2"/>
  <c r="C75" i="6"/>
  <c r="AK343" i="2"/>
  <c r="AK416" i="2"/>
  <c r="AK254" i="2"/>
  <c r="I218" i="5"/>
  <c r="AD40" i="2"/>
  <c r="O380" i="5"/>
  <c r="AF315" i="2"/>
  <c r="I48" i="6"/>
  <c r="H240" i="5"/>
  <c r="I192" i="6"/>
  <c r="G191" i="6"/>
  <c r="B102" i="6"/>
  <c r="K341" i="5"/>
  <c r="AG134" i="2"/>
  <c r="N200" i="5"/>
  <c r="AE77" i="2"/>
  <c r="AF149" i="2"/>
  <c r="AH16" i="2"/>
  <c r="AK411" i="2"/>
  <c r="AI226" i="2"/>
  <c r="AG263" i="2"/>
  <c r="C124" i="6"/>
  <c r="P285" i="5"/>
  <c r="AD385" i="2"/>
  <c r="B138" i="5"/>
  <c r="AK63" i="2"/>
  <c r="AG217" i="2"/>
  <c r="C365" i="5"/>
  <c r="AF40" i="2"/>
  <c r="AD329" i="2"/>
  <c r="AE55" i="2"/>
  <c r="N21" i="5"/>
  <c r="M299" i="5"/>
  <c r="AD441" i="2"/>
  <c r="L331" i="5"/>
  <c r="AF461" i="2"/>
  <c r="AJ426" i="2"/>
  <c r="E158" i="6"/>
  <c r="AG285" i="2"/>
  <c r="AL229" i="2"/>
  <c r="AL241" i="2"/>
  <c r="AD375" i="2"/>
  <c r="AD138" i="2"/>
  <c r="AL298" i="2"/>
  <c r="AE88" i="2"/>
  <c r="AK247" i="2"/>
  <c r="K14" i="5"/>
  <c r="AJ298" i="2"/>
  <c r="F26" i="6"/>
  <c r="F275" i="5"/>
  <c r="D372" i="5"/>
  <c r="H66" i="6"/>
  <c r="AL244" i="2"/>
  <c r="AE448" i="2"/>
  <c r="AE377" i="2"/>
  <c r="M227" i="5"/>
  <c r="AK278" i="2"/>
  <c r="AH195" i="2"/>
  <c r="B310" i="6"/>
  <c r="AF85" i="2"/>
  <c r="AD382" i="2"/>
  <c r="H225" i="6"/>
  <c r="AF435" i="2"/>
  <c r="AG406" i="2"/>
  <c r="AH429" i="2"/>
  <c r="AE356" i="2"/>
  <c r="AI123" i="2"/>
  <c r="G357" i="5"/>
  <c r="E156" i="6"/>
  <c r="L341" i="5"/>
  <c r="AI27" i="2"/>
  <c r="F162" i="6"/>
  <c r="C338" i="6"/>
  <c r="AH7" i="2"/>
  <c r="AD282" i="2"/>
  <c r="AJ114" i="2"/>
  <c r="C201" i="6"/>
  <c r="AI427" i="2"/>
  <c r="B13" i="5"/>
  <c r="I28" i="6"/>
  <c r="D316" i="5"/>
  <c r="E200" i="5"/>
  <c r="A80" i="5"/>
  <c r="H140" i="5"/>
  <c r="N370" i="5"/>
  <c r="I128" i="6"/>
  <c r="AG83" i="2"/>
  <c r="AK352" i="2"/>
  <c r="AD34" i="2"/>
  <c r="AH464" i="2"/>
  <c r="H132" i="6"/>
  <c r="AH444" i="2"/>
  <c r="D99" i="6"/>
  <c r="AK198" i="2"/>
  <c r="H205" i="6"/>
  <c r="C84" i="6"/>
  <c r="G51" i="6"/>
  <c r="F170" i="5"/>
  <c r="B351" i="5"/>
  <c r="AF82" i="2"/>
  <c r="L257" i="5"/>
  <c r="AE417" i="2"/>
  <c r="J63" i="6"/>
  <c r="AG420" i="2"/>
  <c r="AD430" i="2"/>
  <c r="AK103" i="2"/>
  <c r="I34" i="6"/>
  <c r="AJ83" i="2"/>
  <c r="AJ361" i="2"/>
  <c r="G124" i="6"/>
  <c r="AK151" i="2"/>
  <c r="B147" i="6"/>
  <c r="J321" i="5"/>
  <c r="L320" i="5"/>
  <c r="AK309" i="2"/>
  <c r="F111" i="6"/>
  <c r="E131" i="5"/>
  <c r="AD288" i="2"/>
  <c r="D120" i="6"/>
  <c r="AH415" i="2"/>
  <c r="H172" i="6"/>
  <c r="J72" i="6"/>
  <c r="AG73" i="2"/>
  <c r="AL341" i="2"/>
  <c r="N351" i="5"/>
  <c r="AK213" i="2"/>
  <c r="F146" i="6"/>
  <c r="G102" i="5"/>
  <c r="AE12" i="2"/>
  <c r="J25" i="6"/>
  <c r="AK336" i="2"/>
  <c r="F104" i="5"/>
  <c r="C37" i="5"/>
  <c r="D85" i="6"/>
  <c r="AH425" i="2"/>
  <c r="O316" i="5"/>
  <c r="AL121" i="2"/>
  <c r="AL396" i="2"/>
  <c r="AJ56" i="2"/>
  <c r="AI246" i="2"/>
  <c r="E116" i="5"/>
  <c r="J115" i="6"/>
  <c r="B370" i="5"/>
  <c r="AD295" i="2"/>
  <c r="AH244" i="2"/>
  <c r="J52" i="6"/>
  <c r="C294" i="6"/>
  <c r="E126" i="6"/>
  <c r="E294" i="5"/>
  <c r="AJ447" i="2"/>
  <c r="I90" i="6"/>
  <c r="AD157" i="2"/>
  <c r="F115" i="5"/>
  <c r="AG99" i="2"/>
  <c r="AI346" i="2"/>
  <c r="AG69" i="2"/>
  <c r="G237" i="5"/>
  <c r="AE342" i="2"/>
  <c r="AJ171" i="2"/>
  <c r="AJ60" i="2"/>
  <c r="AG168" i="2"/>
  <c r="F61" i="6"/>
  <c r="AH446" i="2"/>
  <c r="AH331" i="2"/>
  <c r="AG268" i="2"/>
  <c r="AK405" i="2"/>
  <c r="AJ169" i="2"/>
  <c r="I205" i="6"/>
  <c r="AL39" i="2"/>
  <c r="M171" i="5"/>
  <c r="AI175" i="2"/>
  <c r="E370" i="5"/>
  <c r="AF46" i="2"/>
  <c r="AK386" i="2"/>
  <c r="AG455" i="2"/>
  <c r="AG131" i="2"/>
  <c r="AD184" i="2"/>
  <c r="AK261" i="2"/>
  <c r="AD436" i="2"/>
  <c r="I270" i="5"/>
  <c r="O290" i="5"/>
  <c r="AI10" i="2"/>
  <c r="AL150" i="2"/>
  <c r="AE270" i="2"/>
  <c r="AF204" i="2"/>
  <c r="AK35" i="2"/>
  <c r="AJ38" i="2"/>
  <c r="AJ87" i="2"/>
  <c r="D126" i="6"/>
  <c r="B153" i="6"/>
  <c r="AI227" i="2"/>
  <c r="AE189" i="2"/>
  <c r="AG264" i="2"/>
  <c r="B96" i="6"/>
  <c r="H377" i="5"/>
  <c r="AH377" i="2"/>
  <c r="AL29" i="2"/>
  <c r="AK268" i="2"/>
  <c r="E246" i="5"/>
  <c r="O183" i="5"/>
  <c r="AD81" i="2"/>
  <c r="AJ403" i="2"/>
  <c r="M362" i="5"/>
  <c r="AK451" i="2"/>
  <c r="H330" i="5"/>
  <c r="I266" i="5"/>
  <c r="D36" i="6"/>
  <c r="AL82" i="2"/>
  <c r="J213" i="5"/>
  <c r="E280" i="5"/>
  <c r="E300" i="5"/>
  <c r="AJ73" i="2"/>
  <c r="G238" i="6"/>
  <c r="C180" i="5"/>
  <c r="D31" i="5"/>
  <c r="I220" i="6"/>
  <c r="AK23" i="2"/>
  <c r="AH285" i="2"/>
  <c r="F251" i="6"/>
  <c r="E361" i="5"/>
  <c r="D121" i="6"/>
  <c r="AL369" i="2"/>
  <c r="AK382" i="2"/>
  <c r="I56" i="6"/>
  <c r="AD313" i="2"/>
  <c r="AI330" i="2"/>
  <c r="AK294" i="2"/>
  <c r="AL361" i="2"/>
  <c r="AG443" i="2"/>
  <c r="C365" i="6"/>
  <c r="F319" i="6"/>
  <c r="AK266" i="2"/>
  <c r="AK184" i="2"/>
  <c r="AF389" i="2"/>
  <c r="AL395" i="2"/>
  <c r="AL329" i="2"/>
  <c r="H188" i="6"/>
  <c r="E211" i="6"/>
  <c r="AG41" i="2"/>
  <c r="I269" i="5"/>
  <c r="AH102" i="2"/>
  <c r="E240" i="6"/>
  <c r="E157" i="6"/>
  <c r="I325" i="6"/>
  <c r="AI117" i="2"/>
  <c r="J162" i="6"/>
  <c r="AG442" i="2"/>
  <c r="AH137" i="2"/>
  <c r="I122" i="6"/>
  <c r="AJ360" i="2"/>
  <c r="I173" i="5"/>
  <c r="D87" i="6"/>
  <c r="AD41" i="2"/>
  <c r="AI75" i="2"/>
  <c r="AH153" i="2"/>
  <c r="AH434" i="2"/>
  <c r="AE129" i="2"/>
  <c r="J162" i="5"/>
  <c r="E192" i="6"/>
  <c r="AD133" i="2"/>
  <c r="D277" i="5"/>
  <c r="AJ400" i="2"/>
  <c r="K262" i="5"/>
  <c r="AL120" i="2"/>
  <c r="AK378" i="2"/>
  <c r="G284" i="6"/>
  <c r="AH361" i="2"/>
  <c r="C78" i="6"/>
  <c r="B53" i="6"/>
  <c r="P126" i="5"/>
  <c r="AG286" i="2"/>
  <c r="AL208" i="2"/>
  <c r="E34" i="6"/>
  <c r="C321" i="6"/>
  <c r="I160" i="6"/>
  <c r="O267" i="5"/>
  <c r="J351" i="6"/>
  <c r="AJ397" i="2"/>
  <c r="AJ239" i="2"/>
  <c r="K240" i="5"/>
  <c r="H14" i="6"/>
  <c r="AL245" i="2"/>
  <c r="F82" i="6"/>
  <c r="AH30" i="2"/>
  <c r="J279" i="5"/>
  <c r="J87" i="6"/>
  <c r="AL240" i="2"/>
  <c r="AL64" i="2"/>
  <c r="AI133" i="2"/>
  <c r="AJ303" i="2"/>
  <c r="P344" i="5"/>
  <c r="AK350" i="2"/>
  <c r="F317" i="5"/>
  <c r="AH376" i="2"/>
  <c r="D101" i="6"/>
  <c r="I173" i="6"/>
  <c r="AI461" i="2"/>
  <c r="C139" i="6"/>
  <c r="AI271" i="2"/>
  <c r="F372" i="6"/>
  <c r="I78" i="6"/>
  <c r="F314" i="5"/>
  <c r="D136" i="6"/>
  <c r="AL173" i="2"/>
  <c r="AI51" i="2"/>
  <c r="AI8" i="2"/>
  <c r="AF197" i="2"/>
  <c r="AH281" i="2"/>
  <c r="D227" i="6"/>
  <c r="J86" i="6"/>
  <c r="AK164" i="2"/>
  <c r="AJ282" i="2"/>
  <c r="B87" i="6"/>
  <c r="F181" i="6"/>
  <c r="C87" i="6"/>
  <c r="AD284" i="2"/>
  <c r="D82" i="5"/>
  <c r="AJ358" i="2"/>
  <c r="AH149" i="2"/>
  <c r="AH226" i="2"/>
  <c r="J8" i="6"/>
  <c r="F36" i="5"/>
  <c r="AG287" i="2"/>
  <c r="AG29" i="2"/>
  <c r="AI113" i="2"/>
  <c r="AL73" i="2"/>
  <c r="AG266" i="2"/>
  <c r="H63" i="6"/>
  <c r="AF340" i="2"/>
  <c r="H138" i="6"/>
  <c r="C370" i="6"/>
  <c r="AE278" i="2"/>
  <c r="N322" i="5"/>
  <c r="AH373" i="2"/>
  <c r="AL315" i="2"/>
  <c r="E19" i="6"/>
  <c r="AJ379" i="2"/>
  <c r="AJ40" i="2"/>
  <c r="AL314" i="2"/>
  <c r="AK43" i="2"/>
  <c r="G148" i="5"/>
  <c r="AK180" i="2"/>
  <c r="G345" i="6"/>
  <c r="AL272" i="2"/>
  <c r="E264" i="6"/>
  <c r="AE36" i="2"/>
  <c r="AD173" i="2"/>
  <c r="O283" i="5"/>
  <c r="AD141" i="2"/>
  <c r="J176" i="6"/>
  <c r="B10" i="6"/>
  <c r="AL218" i="2"/>
  <c r="AJ135" i="2"/>
  <c r="I15" i="6"/>
  <c r="J347" i="6"/>
  <c r="AH166" i="2"/>
  <c r="C217" i="6"/>
  <c r="M376" i="5"/>
  <c r="D262" i="6"/>
  <c r="K73" i="5"/>
  <c r="D64" i="6"/>
  <c r="AL316" i="2"/>
  <c r="AD415" i="2"/>
  <c r="B216" i="6"/>
  <c r="J128" i="6"/>
  <c r="G256" i="5"/>
  <c r="H59" i="6"/>
  <c r="AF54" i="2"/>
  <c r="J368" i="6"/>
  <c r="AJ321" i="2"/>
  <c r="J327" i="6"/>
  <c r="AD102" i="2"/>
  <c r="H23" i="5"/>
  <c r="AG173" i="2"/>
  <c r="O345" i="5"/>
  <c r="AE245" i="2"/>
  <c r="H317" i="6"/>
  <c r="AG136" i="2"/>
  <c r="AH393" i="2"/>
  <c r="P281" i="5"/>
  <c r="C98" i="6"/>
  <c r="D158" i="6"/>
  <c r="N347" i="5"/>
  <c r="B355" i="6"/>
  <c r="AG357" i="2"/>
  <c r="F236" i="6"/>
  <c r="AE151" i="2"/>
  <c r="B152" i="6"/>
  <c r="H168" i="5"/>
  <c r="C255" i="6"/>
  <c r="E23" i="6"/>
  <c r="AH320" i="2"/>
  <c r="AK199" i="2"/>
  <c r="AE276" i="2"/>
  <c r="AI182" i="2"/>
  <c r="C33" i="6"/>
  <c r="D156" i="6"/>
  <c r="AG337" i="2"/>
  <c r="AH123" i="2"/>
  <c r="N377" i="5"/>
  <c r="B183" i="6"/>
  <c r="AE143" i="2"/>
  <c r="E231" i="6"/>
  <c r="AG441" i="2"/>
  <c r="AJ172" i="2"/>
  <c r="AI452" i="2"/>
  <c r="AL300" i="2"/>
  <c r="AK447" i="2"/>
  <c r="AD235" i="2"/>
  <c r="J255" i="6"/>
  <c r="B51" i="5"/>
  <c r="G27" i="6"/>
  <c r="AH243" i="2"/>
  <c r="AK178" i="2"/>
  <c r="I112" i="6"/>
  <c r="H192" i="6"/>
  <c r="L27" i="5"/>
  <c r="AK380" i="2"/>
  <c r="AG245" i="2"/>
  <c r="K269" i="5"/>
  <c r="AK339" i="2"/>
  <c r="AL157" i="2"/>
  <c r="C290" i="6"/>
  <c r="AL80" i="2"/>
  <c r="K141" i="5"/>
  <c r="AJ19" i="2"/>
  <c r="I306" i="6"/>
  <c r="J119" i="6"/>
  <c r="E166" i="6"/>
  <c r="AL108" i="2"/>
  <c r="AI18" i="2"/>
  <c r="J104" i="6"/>
  <c r="K37" i="5"/>
  <c r="P223" i="5"/>
  <c r="AI318" i="2"/>
  <c r="C74" i="6"/>
  <c r="AH176" i="2"/>
  <c r="G71" i="6"/>
  <c r="D62" i="5"/>
  <c r="AH336" i="2"/>
  <c r="J380" i="5"/>
  <c r="J301" i="5"/>
  <c r="P206" i="5"/>
  <c r="G164" i="6"/>
  <c r="K19" i="5"/>
  <c r="AL103" i="2"/>
  <c r="AJ442" i="2"/>
  <c r="J217" i="6"/>
  <c r="B287" i="6"/>
  <c r="AE130" i="2"/>
  <c r="F329" i="6"/>
  <c r="AD264" i="2"/>
  <c r="F334" i="6"/>
  <c r="AL247" i="2"/>
  <c r="AL175" i="2"/>
  <c r="AI81" i="2"/>
  <c r="E150" i="6"/>
  <c r="AJ318" i="2"/>
  <c r="AJ20" i="2"/>
  <c r="AD353" i="2"/>
  <c r="AJ101" i="2"/>
  <c r="AI323" i="2"/>
  <c r="AK31" i="2"/>
  <c r="H9" i="6"/>
  <c r="G147" i="6"/>
  <c r="AG418" i="2"/>
  <c r="J145" i="6"/>
  <c r="G286" i="6"/>
  <c r="AD58" i="2"/>
  <c r="AL51" i="2"/>
  <c r="AH372" i="2"/>
  <c r="AH254" i="2"/>
  <c r="AD450" i="2"/>
  <c r="AE46" i="2"/>
  <c r="AK373" i="2"/>
  <c r="AG432" i="2"/>
  <c r="G49" i="6"/>
  <c r="AF397" i="2"/>
  <c r="AK62" i="2"/>
  <c r="AG40" i="2"/>
  <c r="J324" i="6"/>
  <c r="G39" i="6"/>
  <c r="I57" i="6"/>
  <c r="AE6" i="2"/>
  <c r="AF464" i="2"/>
  <c r="F102" i="5"/>
  <c r="AJ152" i="2"/>
  <c r="I52" i="6"/>
  <c r="J257" i="6"/>
  <c r="K294" i="5"/>
  <c r="AG64" i="2"/>
  <c r="I115" i="6"/>
  <c r="O351" i="5"/>
  <c r="AE299" i="2"/>
  <c r="AK227" i="2"/>
  <c r="G217" i="6"/>
  <c r="AJ105" i="2"/>
  <c r="I284" i="6"/>
  <c r="C354" i="6"/>
  <c r="O210" i="5"/>
  <c r="H78" i="6"/>
  <c r="I140" i="6"/>
  <c r="J328" i="6"/>
  <c r="C253" i="6"/>
  <c r="AL132" i="2"/>
  <c r="B154" i="6"/>
  <c r="G9" i="6"/>
  <c r="AD413" i="2"/>
  <c r="AJ181" i="2"/>
  <c r="G13" i="6"/>
  <c r="I74" i="6"/>
  <c r="AG163" i="2"/>
  <c r="AJ163" i="2"/>
  <c r="AJ279" i="2"/>
  <c r="AH175" i="2"/>
  <c r="AL310" i="2"/>
  <c r="F359" i="6"/>
  <c r="AH120" i="2"/>
  <c r="C343" i="6"/>
  <c r="AK260" i="2"/>
  <c r="C349" i="5"/>
  <c r="AD217" i="2"/>
  <c r="AJ444" i="2"/>
  <c r="AD93" i="2"/>
  <c r="AJ145" i="2"/>
  <c r="F57" i="6"/>
  <c r="AL230" i="2"/>
  <c r="D140" i="6"/>
  <c r="AD424" i="2"/>
  <c r="I263" i="6"/>
  <c r="E288" i="6"/>
  <c r="J127" i="6"/>
  <c r="B48" i="6"/>
  <c r="D291" i="5"/>
  <c r="AL248" i="2"/>
  <c r="C30" i="6"/>
  <c r="B125" i="6"/>
  <c r="AF274" i="2"/>
  <c r="G166" i="6"/>
  <c r="AJ23" i="2"/>
  <c r="M292" i="5"/>
  <c r="AE396" i="2"/>
  <c r="F81" i="6"/>
  <c r="C347" i="6"/>
  <c r="AL9" i="2"/>
  <c r="O258" i="5"/>
  <c r="AI432" i="2"/>
  <c r="AK15" i="2"/>
  <c r="J285" i="5"/>
  <c r="L23" i="5"/>
  <c r="J286" i="6"/>
  <c r="N267" i="5"/>
  <c r="I248" i="6"/>
  <c r="AI350" i="2"/>
  <c r="F24" i="6"/>
  <c r="G375" i="6"/>
  <c r="C287" i="6"/>
  <c r="I350" i="5"/>
  <c r="J45" i="6"/>
  <c r="C346" i="6"/>
  <c r="AJ140" i="2"/>
  <c r="E144" i="6"/>
  <c r="AH140" i="2"/>
  <c r="AH456" i="2"/>
  <c r="M199" i="5"/>
  <c r="AF371" i="2"/>
  <c r="F35" i="6"/>
  <c r="G242" i="6"/>
  <c r="AL70" i="2"/>
  <c r="AL359" i="2"/>
  <c r="G350" i="6"/>
  <c r="AL176" i="2"/>
  <c r="AE59" i="2"/>
  <c r="AL219" i="2"/>
  <c r="I211" i="6"/>
  <c r="C38" i="6"/>
  <c r="D24" i="6"/>
  <c r="AE228" i="2"/>
  <c r="G11" i="6"/>
  <c r="J32" i="6"/>
  <c r="AH80" i="2"/>
  <c r="G366" i="6"/>
  <c r="I200" i="6"/>
  <c r="AJ250" i="2"/>
  <c r="H245" i="6"/>
  <c r="AK145" i="2"/>
  <c r="G337" i="6"/>
  <c r="B68" i="6"/>
  <c r="C17" i="6"/>
  <c r="N339" i="5"/>
  <c r="AG148" i="2"/>
  <c r="J82" i="6"/>
  <c r="B44" i="6"/>
  <c r="AJ151" i="2"/>
  <c r="C274" i="6"/>
  <c r="AK16" i="2"/>
  <c r="AL217" i="2"/>
  <c r="AF360" i="2"/>
  <c r="F266" i="6"/>
  <c r="AL394" i="2"/>
  <c r="G145" i="6"/>
  <c r="AI456" i="2"/>
  <c r="F109" i="6"/>
  <c r="N279" i="5"/>
  <c r="B5" i="5"/>
  <c r="AI416" i="2"/>
  <c r="D14" i="6"/>
  <c r="AJ109" i="2"/>
  <c r="E356" i="5"/>
  <c r="AH156" i="2"/>
  <c r="AI29" i="2"/>
  <c r="J123" i="6"/>
  <c r="AL221" i="2"/>
  <c r="AG174" i="2"/>
  <c r="AK365" i="2"/>
  <c r="J107" i="6"/>
  <c r="AL450" i="2"/>
  <c r="AL54" i="2"/>
  <c r="B129" i="6"/>
  <c r="AL181" i="2"/>
  <c r="B132" i="5"/>
  <c r="C50" i="6"/>
  <c r="D166" i="6"/>
  <c r="C76" i="6"/>
  <c r="AL409" i="2"/>
  <c r="M217" i="5"/>
  <c r="L250" i="5"/>
  <c r="C104" i="5"/>
  <c r="G372" i="5"/>
  <c r="AI42" i="2"/>
  <c r="D245" i="6"/>
  <c r="G75" i="6"/>
  <c r="AH389" i="2"/>
  <c r="AJ91" i="2"/>
  <c r="AK425" i="2"/>
  <c r="AJ285" i="2"/>
  <c r="K334" i="5"/>
  <c r="AJ368" i="2"/>
  <c r="AI131" i="2"/>
  <c r="AK51" i="2"/>
  <c r="AJ184" i="2"/>
  <c r="H239" i="5"/>
  <c r="H15" i="5"/>
  <c r="AI128" i="2"/>
  <c r="I54" i="6"/>
  <c r="H261" i="6"/>
  <c r="AG315" i="2"/>
  <c r="G136" i="6"/>
  <c r="M357" i="5"/>
  <c r="AJ465" i="2"/>
  <c r="AK330" i="2"/>
  <c r="AI266" i="2"/>
  <c r="K110" i="5"/>
  <c r="J19" i="6"/>
  <c r="G140" i="6"/>
  <c r="AK40" i="2"/>
  <c r="AD303" i="2"/>
  <c r="B182" i="5"/>
  <c r="D297" i="5"/>
  <c r="D201" i="5"/>
  <c r="AK246" i="2"/>
  <c r="AL405" i="2"/>
  <c r="D37" i="6"/>
  <c r="H272" i="5"/>
  <c r="B176" i="6"/>
  <c r="AL75" i="2"/>
  <c r="D177" i="6"/>
  <c r="H241" i="6"/>
  <c r="G295" i="6"/>
  <c r="D104" i="6"/>
  <c r="H99" i="6"/>
  <c r="AJ39" i="2"/>
  <c r="F129" i="6"/>
  <c r="I84" i="6"/>
  <c r="C208" i="6"/>
  <c r="C63" i="6"/>
  <c r="J256" i="6"/>
  <c r="AI339" i="2"/>
  <c r="H23" i="6"/>
  <c r="F50" i="6"/>
  <c r="D9" i="6"/>
  <c r="AF287" i="2"/>
  <c r="AE419" i="2"/>
  <c r="P15" i="5"/>
  <c r="O305" i="5"/>
  <c r="B90" i="6"/>
  <c r="H357" i="6"/>
  <c r="AI406" i="2"/>
  <c r="AK110" i="2"/>
  <c r="J75" i="6"/>
  <c r="AL384" i="2"/>
  <c r="AH312" i="2"/>
  <c r="I278" i="6"/>
  <c r="F364" i="6"/>
  <c r="J18" i="6"/>
  <c r="AI319" i="2"/>
  <c r="AI159" i="2"/>
  <c r="F98" i="6"/>
  <c r="C256" i="6"/>
  <c r="AJ209" i="2"/>
  <c r="AK205" i="2"/>
  <c r="I180" i="6"/>
  <c r="G197" i="6"/>
  <c r="J197" i="6"/>
  <c r="AJ203" i="2"/>
  <c r="AI63" i="2"/>
  <c r="AH207" i="2"/>
  <c r="F23" i="6"/>
  <c r="G371" i="6"/>
  <c r="B152" i="5"/>
  <c r="D282" i="6"/>
  <c r="AG207" i="2"/>
  <c r="B278" i="5"/>
  <c r="F360" i="5"/>
  <c r="I116" i="6"/>
  <c r="J17" i="6"/>
  <c r="H322" i="6"/>
  <c r="I306" i="5"/>
  <c r="B58" i="6"/>
  <c r="AI28" i="2"/>
  <c r="H73" i="6"/>
  <c r="AE302" i="2"/>
  <c r="AL8" i="2"/>
  <c r="J311" i="5"/>
  <c r="B159" i="6"/>
  <c r="AH218" i="2"/>
  <c r="AI352" i="2"/>
  <c r="B205" i="6"/>
  <c r="AL275" i="2"/>
  <c r="AL209" i="2"/>
  <c r="E10" i="6"/>
  <c r="AK276" i="2"/>
  <c r="F184" i="6"/>
  <c r="AJ349" i="2"/>
  <c r="G245" i="6"/>
  <c r="AE439" i="2"/>
  <c r="H310" i="5"/>
  <c r="E159" i="6"/>
  <c r="F70" i="6"/>
  <c r="AL115" i="2"/>
  <c r="D280" i="5"/>
  <c r="N228" i="5"/>
  <c r="AH454" i="2"/>
  <c r="C348" i="5"/>
  <c r="AK402" i="2"/>
  <c r="I114" i="6"/>
  <c r="AD437" i="2"/>
  <c r="AF153" i="2"/>
  <c r="I97" i="6"/>
  <c r="AK449" i="2"/>
  <c r="AH421" i="2"/>
  <c r="AK129" i="2"/>
  <c r="AK226" i="2"/>
  <c r="F12" i="6"/>
  <c r="B366" i="6"/>
  <c r="AJ417" i="2"/>
  <c r="I204" i="6"/>
  <c r="E244" i="5"/>
  <c r="AD455" i="2"/>
  <c r="H131" i="6"/>
  <c r="H26" i="6"/>
  <c r="C109" i="6"/>
  <c r="F342" i="6"/>
  <c r="H226" i="6"/>
  <c r="AG234" i="2"/>
  <c r="AJ34" i="2"/>
  <c r="AI419" i="2"/>
  <c r="AG365" i="2"/>
  <c r="AE372" i="2"/>
  <c r="C20" i="6"/>
  <c r="AJ413" i="2"/>
  <c r="G273" i="6"/>
  <c r="AL411" i="2"/>
  <c r="AL319" i="2"/>
  <c r="D240" i="6"/>
  <c r="AE332" i="2"/>
  <c r="E57" i="6"/>
  <c r="H19" i="5"/>
  <c r="AG374" i="2"/>
  <c r="B192" i="6"/>
  <c r="J98" i="6"/>
  <c r="AJ63" i="2"/>
  <c r="F281" i="6"/>
  <c r="H7" i="6"/>
  <c r="G31" i="6"/>
  <c r="AK331" i="2"/>
  <c r="D208" i="5"/>
  <c r="J147" i="6"/>
  <c r="AL404" i="2"/>
  <c r="B240" i="5"/>
  <c r="J35" i="6"/>
  <c r="AI326" i="2"/>
  <c r="I174" i="5"/>
  <c r="AL306" i="2"/>
  <c r="B145" i="6"/>
  <c r="G244" i="5"/>
  <c r="AD11" i="2"/>
  <c r="F222" i="6"/>
  <c r="H153" i="6"/>
  <c r="AJ71" i="2"/>
  <c r="I179" i="6"/>
  <c r="AH101" i="2"/>
  <c r="H311" i="6"/>
  <c r="AI204" i="2"/>
  <c r="AJ277" i="2"/>
  <c r="AL26" i="2"/>
  <c r="AD460" i="2"/>
  <c r="AL285" i="2"/>
  <c r="AK230" i="2"/>
  <c r="E95" i="6"/>
  <c r="AK85" i="2"/>
  <c r="E372" i="6"/>
  <c r="I141" i="6"/>
  <c r="J362" i="5"/>
  <c r="AK83" i="2"/>
  <c r="AF230" i="2"/>
  <c r="AL250" i="2"/>
  <c r="I321" i="6"/>
  <c r="AH360" i="2"/>
  <c r="F189" i="6"/>
  <c r="AJ356" i="2"/>
  <c r="G10" i="6"/>
  <c r="AJ332" i="2"/>
  <c r="AK121" i="2"/>
  <c r="D343" i="5"/>
  <c r="K8" i="5"/>
  <c r="I365" i="6"/>
  <c r="AH380" i="2"/>
  <c r="I202" i="6"/>
  <c r="AH337" i="2"/>
  <c r="B232" i="6"/>
  <c r="H16" i="5"/>
  <c r="AI434" i="2"/>
  <c r="AJ233" i="2"/>
  <c r="AJ162" i="2"/>
  <c r="I281" i="6"/>
  <c r="AD332" i="2"/>
  <c r="AL148" i="2"/>
  <c r="D18" i="6"/>
  <c r="AH433" i="2"/>
  <c r="AI395" i="2"/>
  <c r="H16" i="6"/>
  <c r="B194" i="5"/>
  <c r="D186" i="6"/>
  <c r="E282" i="6"/>
  <c r="N341" i="5"/>
  <c r="C188" i="6"/>
  <c r="E230" i="6"/>
  <c r="AH272" i="2"/>
  <c r="O248" i="5"/>
  <c r="F265" i="6"/>
  <c r="AF432" i="2"/>
  <c r="AL307" i="2"/>
  <c r="J27" i="6"/>
  <c r="P294" i="5"/>
  <c r="J230" i="5"/>
  <c r="D361" i="5"/>
  <c r="AF224" i="2"/>
  <c r="AJ271" i="2"/>
  <c r="E262" i="6"/>
  <c r="AJ6" i="2"/>
  <c r="AL340" i="2"/>
  <c r="AK203" i="2"/>
  <c r="H265" i="6"/>
  <c r="AD297" i="2"/>
  <c r="AJ90" i="2"/>
  <c r="AH289" i="2"/>
  <c r="D90" i="6"/>
  <c r="AF327" i="2"/>
  <c r="AH318" i="2"/>
  <c r="E267" i="6"/>
  <c r="AD233" i="2"/>
  <c r="AI361" i="2"/>
  <c r="AG446" i="2"/>
  <c r="F149" i="6"/>
  <c r="AE81" i="2"/>
  <c r="E15" i="6"/>
  <c r="AF325" i="2"/>
  <c r="H100" i="6"/>
  <c r="AL123" i="2"/>
  <c r="D170" i="6"/>
  <c r="B259" i="6"/>
  <c r="E170" i="6"/>
  <c r="C284" i="6"/>
  <c r="AG362" i="2"/>
  <c r="P101" i="5"/>
  <c r="AH465" i="2"/>
  <c r="AJ344" i="2"/>
  <c r="O80" i="5"/>
  <c r="J339" i="6"/>
  <c r="F73" i="6"/>
  <c r="AL334" i="2"/>
  <c r="G107" i="6"/>
  <c r="C96" i="6"/>
  <c r="AK406" i="2"/>
  <c r="I206" i="5"/>
  <c r="C135" i="6"/>
  <c r="AF379" i="2"/>
  <c r="AK116" i="2"/>
  <c r="AJ390" i="2"/>
  <c r="E90" i="6"/>
  <c r="AD195" i="2"/>
  <c r="H64" i="6"/>
  <c r="AL362" i="2"/>
  <c r="B105" i="6"/>
  <c r="AK300" i="2"/>
  <c r="H156" i="6"/>
  <c r="C257" i="6"/>
  <c r="C372" i="6"/>
  <c r="AK172" i="2"/>
  <c r="AJ14" i="2"/>
  <c r="AD263" i="2"/>
  <c r="J228" i="6"/>
  <c r="J70" i="6"/>
  <c r="O176" i="5"/>
  <c r="D115" i="6"/>
  <c r="AJ62" i="2"/>
  <c r="J83" i="6"/>
  <c r="AD398" i="2"/>
  <c r="J139" i="6"/>
  <c r="I325" i="5"/>
  <c r="D124" i="6"/>
  <c r="I130" i="6"/>
  <c r="B106" i="6"/>
  <c r="AG305" i="2"/>
  <c r="D86" i="6"/>
  <c r="AG444" i="2"/>
  <c r="AL424" i="2"/>
  <c r="L280" i="5"/>
  <c r="J92" i="5"/>
  <c r="O333" i="5"/>
  <c r="I256" i="6"/>
  <c r="M294" i="5"/>
  <c r="I145" i="6"/>
  <c r="AL223" i="2"/>
  <c r="J199" i="6"/>
  <c r="J222" i="6"/>
  <c r="I170" i="5"/>
  <c r="C94" i="6"/>
  <c r="AG419" i="2"/>
  <c r="AD27" i="2"/>
  <c r="J341" i="6"/>
  <c r="H184" i="6"/>
  <c r="B194" i="6"/>
  <c r="G8" i="6"/>
  <c r="AG140" i="2"/>
  <c r="AL348" i="2"/>
  <c r="I161" i="6"/>
  <c r="B351" i="6"/>
  <c r="J200" i="6"/>
  <c r="C103" i="6"/>
  <c r="B128" i="6"/>
  <c r="AJ147" i="2"/>
  <c r="H369" i="5"/>
  <c r="G100" i="6"/>
  <c r="E25" i="6"/>
  <c r="J234" i="6"/>
  <c r="L351" i="5"/>
  <c r="AI125" i="2"/>
  <c r="J281" i="6"/>
  <c r="AH24" i="2"/>
  <c r="AF299" i="2"/>
  <c r="C182" i="6"/>
  <c r="L361" i="5"/>
  <c r="AL190" i="2"/>
  <c r="AJ401" i="2"/>
  <c r="AE412" i="2"/>
  <c r="B98" i="6"/>
  <c r="C178" i="6"/>
  <c r="AJ88" i="2"/>
  <c r="AK239" i="2"/>
  <c r="I268" i="6"/>
  <c r="AD405" i="2"/>
  <c r="AG368" i="2"/>
  <c r="AD45" i="2"/>
  <c r="N269" i="5"/>
  <c r="B146" i="6"/>
  <c r="D257" i="6"/>
  <c r="G347" i="6"/>
  <c r="E64" i="6"/>
  <c r="G213" i="6"/>
  <c r="G367" i="6"/>
  <c r="F67" i="6"/>
  <c r="AK267" i="2"/>
  <c r="AH231" i="2"/>
  <c r="E374" i="5"/>
  <c r="I103" i="6"/>
  <c r="F274" i="6"/>
  <c r="AD35" i="2"/>
  <c r="F177" i="6"/>
  <c r="C54" i="6"/>
  <c r="J297" i="6"/>
  <c r="AJ22" i="2"/>
  <c r="AD214" i="2"/>
  <c r="AE44" i="2"/>
  <c r="I340" i="5"/>
  <c r="F7" i="6"/>
  <c r="D266" i="6"/>
  <c r="H271" i="6"/>
  <c r="H318" i="6"/>
  <c r="H123" i="6"/>
  <c r="AL53" i="2"/>
  <c r="AL30" i="2"/>
  <c r="I335" i="5"/>
  <c r="D318" i="6"/>
  <c r="AI78" i="2"/>
  <c r="AJ18" i="2"/>
  <c r="AH193" i="2"/>
  <c r="B66" i="6"/>
  <c r="G326" i="6"/>
  <c r="O335" i="5"/>
  <c r="B235" i="6"/>
  <c r="P280" i="5"/>
  <c r="AK354" i="2"/>
  <c r="B133" i="6"/>
  <c r="AJ370" i="2"/>
  <c r="AL96" i="2"/>
  <c r="I231" i="6"/>
  <c r="I126" i="5"/>
  <c r="AH58" i="2"/>
  <c r="B116" i="6"/>
  <c r="AF296" i="2"/>
  <c r="AD426" i="2"/>
  <c r="P303" i="5"/>
  <c r="AI15" i="2"/>
  <c r="AI335" i="2"/>
  <c r="AH155" i="2"/>
  <c r="H103" i="6"/>
  <c r="AG208" i="2"/>
  <c r="AH171" i="2"/>
  <c r="AK57" i="2"/>
  <c r="AJ30" i="2"/>
  <c r="AK404" i="2"/>
  <c r="F124" i="6"/>
  <c r="AJ461" i="2"/>
  <c r="E202" i="6"/>
  <c r="AG369" i="2"/>
  <c r="G179" i="6"/>
  <c r="E244" i="6"/>
  <c r="AH14" i="2"/>
  <c r="G363" i="6"/>
  <c r="J256" i="5"/>
  <c r="H84" i="6"/>
  <c r="AD223" i="2"/>
  <c r="J143" i="6"/>
  <c r="AL461" i="2"/>
  <c r="AE447" i="2"/>
  <c r="AH418" i="2"/>
  <c r="O363" i="5"/>
  <c r="AE192" i="2"/>
  <c r="D284" i="5"/>
  <c r="AH216" i="2"/>
  <c r="AI240" i="2"/>
  <c r="G157" i="6"/>
  <c r="E148" i="6"/>
  <c r="AK153" i="2"/>
  <c r="D70" i="6"/>
  <c r="D294" i="6"/>
  <c r="AL227" i="2"/>
  <c r="AL343" i="2"/>
  <c r="C45" i="6"/>
  <c r="I208" i="6"/>
  <c r="D80" i="6"/>
  <c r="AE48" i="2"/>
  <c r="AH38" i="2"/>
  <c r="AH112" i="2"/>
  <c r="AI421" i="2"/>
  <c r="AJ166" i="2"/>
  <c r="J180" i="6"/>
  <c r="M202" i="5"/>
  <c r="C327" i="6"/>
  <c r="AI194" i="2"/>
  <c r="F221" i="6"/>
  <c r="AL277" i="2"/>
  <c r="F137" i="6"/>
  <c r="AG439" i="2"/>
  <c r="AL31" i="2"/>
  <c r="AL437" i="2"/>
  <c r="AL105" i="2"/>
  <c r="F254" i="6"/>
  <c r="D213" i="6"/>
  <c r="C66" i="6"/>
  <c r="AL256" i="2"/>
  <c r="AL213" i="2"/>
  <c r="AK237" i="2"/>
  <c r="H20" i="6"/>
  <c r="G73" i="6"/>
  <c r="J79" i="6"/>
  <c r="C129" i="6"/>
  <c r="F91" i="6"/>
  <c r="D95" i="6"/>
  <c r="AG129" i="2"/>
  <c r="D271" i="5"/>
  <c r="AJ334" i="2"/>
  <c r="AK381" i="2"/>
  <c r="B20" i="6"/>
  <c r="AJ122" i="2"/>
  <c r="AJ284" i="2"/>
  <c r="AK183" i="2"/>
  <c r="F65" i="6"/>
  <c r="AG8" i="2"/>
  <c r="J335" i="5"/>
  <c r="D373" i="6"/>
  <c r="AH323" i="2"/>
  <c r="AK384" i="2"/>
  <c r="J95" i="6"/>
  <c r="H216" i="6"/>
  <c r="I195" i="6"/>
  <c r="H68" i="6"/>
  <c r="AJ453" i="2"/>
  <c r="O227" i="5"/>
  <c r="AG317" i="2"/>
  <c r="AG46" i="2"/>
  <c r="D123" i="6"/>
  <c r="F323" i="6"/>
  <c r="AG189" i="2"/>
  <c r="AD149" i="2"/>
  <c r="D46" i="6"/>
  <c r="C79" i="6"/>
  <c r="H162" i="6"/>
  <c r="E368" i="6"/>
  <c r="D34" i="5"/>
  <c r="AI93" i="2"/>
  <c r="AL427" i="2"/>
  <c r="G122" i="6"/>
  <c r="AH110" i="2"/>
  <c r="AK188" i="2"/>
  <c r="E274" i="6"/>
  <c r="D73" i="6"/>
  <c r="J182" i="6"/>
  <c r="AH82" i="2"/>
  <c r="J62" i="6"/>
  <c r="AK92" i="2"/>
  <c r="B67" i="5"/>
  <c r="C92" i="6"/>
  <c r="E114" i="6"/>
  <c r="C11" i="6"/>
  <c r="I148" i="6"/>
  <c r="AL376" i="2"/>
  <c r="AL260" i="2"/>
  <c r="J184" i="6"/>
  <c r="AJ247" i="2"/>
  <c r="AK115" i="2"/>
  <c r="C226" i="6"/>
  <c r="AG311" i="2"/>
  <c r="AK56" i="2"/>
  <c r="J91" i="6"/>
  <c r="E215" i="6"/>
  <c r="I117" i="6"/>
  <c r="AG247" i="2"/>
  <c r="AJ327" i="2"/>
  <c r="I188" i="6"/>
  <c r="C204" i="6"/>
  <c r="AH44" i="2"/>
  <c r="AH76" i="2"/>
  <c r="AE120" i="2"/>
  <c r="I65" i="6"/>
  <c r="J151" i="6"/>
  <c r="B101" i="6"/>
  <c r="AK346" i="2"/>
  <c r="H67" i="6"/>
  <c r="P377" i="5"/>
  <c r="AI305" i="2"/>
  <c r="AK464" i="2"/>
  <c r="E112" i="6"/>
  <c r="J50" i="6"/>
  <c r="AJ51" i="2"/>
  <c r="AF173" i="2"/>
  <c r="AE80" i="2"/>
  <c r="F296" i="6"/>
  <c r="C104" i="6"/>
  <c r="D19" i="5"/>
  <c r="E272" i="6"/>
  <c r="G30" i="6"/>
  <c r="AI297" i="2"/>
  <c r="AK263" i="2"/>
  <c r="D348" i="6"/>
  <c r="AK329" i="2"/>
  <c r="AL274" i="2"/>
  <c r="K10" i="5"/>
  <c r="AJ289" i="2"/>
  <c r="AE199" i="2"/>
  <c r="M377" i="5"/>
  <c r="H148" i="6"/>
  <c r="I25" i="6"/>
  <c r="AK114" i="2"/>
  <c r="AJ221" i="2"/>
  <c r="AI426" i="2"/>
  <c r="E292" i="5"/>
  <c r="O361" i="5"/>
  <c r="AD431" i="2"/>
  <c r="J248" i="6"/>
  <c r="C314" i="6"/>
  <c r="B369" i="6"/>
  <c r="I183" i="6"/>
  <c r="G296" i="6"/>
  <c r="AJ168" i="2"/>
  <c r="AJ66" i="2"/>
  <c r="P322" i="5"/>
  <c r="D346" i="6"/>
  <c r="C317" i="6"/>
  <c r="AI115" i="2"/>
  <c r="H118" i="5"/>
  <c r="G182" i="6"/>
  <c r="AK243" i="2"/>
  <c r="F79" i="6"/>
  <c r="AE11" i="2"/>
  <c r="D169" i="6"/>
  <c r="AG348" i="2"/>
  <c r="AI431" i="2"/>
  <c r="O346" i="5"/>
  <c r="F229" i="6"/>
  <c r="AI382" i="2"/>
  <c r="G131" i="6"/>
  <c r="AJ197" i="2"/>
  <c r="AI96" i="2"/>
  <c r="AI199" i="2"/>
  <c r="C80" i="5"/>
  <c r="AH141" i="2"/>
  <c r="AI82" i="2"/>
  <c r="E177" i="6"/>
  <c r="AD221" i="2"/>
  <c r="K24" i="5"/>
  <c r="AJ410" i="2"/>
  <c r="AJ214" i="2"/>
  <c r="E279" i="5"/>
  <c r="B366" i="5"/>
  <c r="AK351" i="2"/>
  <c r="E105" i="6"/>
  <c r="AL412" i="2"/>
  <c r="AK393" i="2"/>
  <c r="D143" i="6"/>
  <c r="G67" i="6"/>
  <c r="H246" i="6"/>
  <c r="E326" i="5"/>
  <c r="N305" i="5"/>
  <c r="J279" i="6"/>
  <c r="AH147" i="2"/>
  <c r="AI83" i="2"/>
  <c r="AI440" i="2"/>
  <c r="H337" i="6"/>
  <c r="AK117" i="2"/>
  <c r="AJ150" i="2"/>
  <c r="G126" i="6"/>
  <c r="AL439" i="2"/>
  <c r="AG308" i="2"/>
  <c r="D233" i="6"/>
  <c r="AH198" i="2"/>
  <c r="C214" i="6"/>
  <c r="AK337" i="2"/>
  <c r="B289" i="5"/>
  <c r="AL328" i="2"/>
  <c r="F173" i="6"/>
  <c r="AD9" i="2"/>
  <c r="AJ137" i="2"/>
  <c r="I175" i="6"/>
  <c r="H360" i="6"/>
  <c r="B179" i="6"/>
  <c r="H236" i="6"/>
  <c r="J264" i="6"/>
  <c r="AI241" i="2"/>
  <c r="H274" i="6"/>
  <c r="H72" i="6"/>
  <c r="J209" i="6"/>
  <c r="B291" i="6"/>
  <c r="AK19" i="2"/>
  <c r="I73" i="6"/>
  <c r="AI195" i="2"/>
  <c r="H40" i="6"/>
  <c r="J58" i="6"/>
  <c r="AK68" i="2"/>
  <c r="C83" i="6"/>
  <c r="AI72" i="2"/>
  <c r="B108" i="6"/>
  <c r="D75" i="6"/>
  <c r="B83" i="6"/>
  <c r="AF244" i="2"/>
  <c r="D66" i="6"/>
  <c r="C371" i="5"/>
  <c r="D34" i="6"/>
  <c r="I224" i="6"/>
  <c r="AI87" i="2"/>
  <c r="AJ97" i="2"/>
  <c r="B34" i="5"/>
  <c r="G92" i="5"/>
  <c r="G40" i="6"/>
  <c r="D119" i="6"/>
  <c r="E361" i="6"/>
  <c r="F368" i="6"/>
  <c r="AG431" i="2"/>
  <c r="C227" i="6"/>
  <c r="AI407" i="2"/>
  <c r="AH104" i="2"/>
  <c r="AE162" i="2"/>
  <c r="AE198" i="2"/>
  <c r="G255" i="6"/>
  <c r="E59" i="6"/>
  <c r="AK60" i="2"/>
  <c r="AE441" i="2"/>
  <c r="H111" i="6"/>
  <c r="C367" i="6"/>
  <c r="J92" i="6"/>
  <c r="B113" i="6"/>
  <c r="D192" i="6"/>
  <c r="AD127" i="2"/>
  <c r="AK75" i="2"/>
  <c r="J189" i="6"/>
  <c r="C170" i="6"/>
  <c r="O307" i="5"/>
  <c r="C53" i="6"/>
  <c r="J167" i="6"/>
  <c r="AE184" i="2"/>
  <c r="E104" i="6"/>
  <c r="E111" i="6"/>
  <c r="AE105" i="2"/>
  <c r="E184" i="6"/>
  <c r="E238" i="6"/>
  <c r="AH26" i="2"/>
  <c r="I230" i="5"/>
  <c r="G244" i="6"/>
  <c r="AJ132" i="2"/>
  <c r="AI52" i="2"/>
  <c r="G79" i="6"/>
  <c r="I357" i="5"/>
  <c r="AI263" i="2"/>
  <c r="AE306" i="2"/>
  <c r="G349" i="6"/>
  <c r="AL162" i="2"/>
  <c r="AG199" i="2"/>
  <c r="F94" i="6"/>
  <c r="AJ156" i="2"/>
  <c r="AH394" i="2"/>
  <c r="D347" i="6"/>
  <c r="H168" i="6"/>
  <c r="C158" i="6"/>
  <c r="AI203" i="2"/>
  <c r="C112" i="6"/>
  <c r="J99" i="6"/>
  <c r="B248" i="6"/>
  <c r="N24" i="5"/>
  <c r="I194" i="6"/>
  <c r="H341" i="6"/>
  <c r="AI425" i="2"/>
  <c r="J56" i="6"/>
  <c r="AD359" i="2"/>
  <c r="AE244" i="2"/>
  <c r="AJ93" i="2"/>
  <c r="AI262" i="2"/>
  <c r="H247" i="6"/>
  <c r="G159" i="6"/>
  <c r="K74" i="5"/>
  <c r="C243" i="5"/>
  <c r="AH250" i="2"/>
  <c r="F284" i="6"/>
  <c r="D57" i="6"/>
  <c r="H282" i="6"/>
  <c r="F122" i="6"/>
  <c r="C371" i="6"/>
  <c r="AJ455" i="2"/>
  <c r="AL228" i="2"/>
  <c r="K63" i="5"/>
  <c r="I155" i="5"/>
  <c r="J260" i="6"/>
  <c r="F38" i="6"/>
  <c r="H278" i="6"/>
  <c r="K379" i="5"/>
  <c r="K7" i="5"/>
  <c r="AJ441" i="2"/>
  <c r="C125" i="6"/>
  <c r="G216" i="6"/>
  <c r="D83" i="6"/>
  <c r="D82" i="6"/>
  <c r="E81" i="6"/>
  <c r="H183" i="6"/>
  <c r="C244" i="6"/>
  <c r="AI139" i="2"/>
  <c r="B14" i="6"/>
  <c r="J282" i="6"/>
  <c r="F101" i="6"/>
  <c r="AG55" i="2"/>
  <c r="C326" i="6"/>
  <c r="AD96" i="2"/>
  <c r="E169" i="6"/>
  <c r="AL249" i="2"/>
  <c r="G320" i="6"/>
  <c r="AD181" i="2"/>
  <c r="J374" i="6"/>
  <c r="D352" i="6"/>
  <c r="AK361" i="2"/>
  <c r="AF295" i="2"/>
  <c r="F45" i="6"/>
  <c r="AK241" i="2"/>
  <c r="C46" i="6"/>
  <c r="AI105" i="2"/>
  <c r="H273" i="6"/>
  <c r="AJ311" i="2"/>
  <c r="B365" i="5"/>
  <c r="H208" i="6"/>
  <c r="P333" i="5"/>
  <c r="AK158" i="2"/>
  <c r="G115" i="6"/>
  <c r="B315" i="6"/>
  <c r="H303" i="6"/>
  <c r="AK371" i="2"/>
  <c r="J295" i="6"/>
  <c r="M20" i="5"/>
  <c r="AJ338" i="2"/>
  <c r="L53" i="5"/>
  <c r="AD258" i="2"/>
  <c r="I330" i="6"/>
  <c r="E207" i="6"/>
  <c r="I346" i="6"/>
  <c r="AK436" i="2"/>
  <c r="AL201" i="2"/>
  <c r="AI206" i="2"/>
  <c r="G61" i="6"/>
  <c r="H315" i="6"/>
  <c r="AJ276" i="2"/>
  <c r="AM36" i="2"/>
  <c r="AL366" i="2"/>
  <c r="H279" i="6"/>
  <c r="I102" i="6"/>
  <c r="D89" i="6"/>
  <c r="G184" i="6"/>
  <c r="AJ355" i="2"/>
  <c r="E284" i="6"/>
  <c r="H251" i="6"/>
  <c r="AG405" i="2"/>
  <c r="E24" i="6"/>
  <c r="K116" i="5"/>
  <c r="F51" i="5"/>
  <c r="AM190" i="2"/>
  <c r="E296" i="6"/>
  <c r="F125" i="6"/>
  <c r="C306" i="6"/>
  <c r="N88" i="5"/>
  <c r="G137" i="5"/>
  <c r="AM255" i="2"/>
  <c r="N20" i="5"/>
  <c r="AG126" i="2"/>
  <c r="AG137" i="2"/>
  <c r="M114" i="5"/>
  <c r="G200" i="6"/>
  <c r="AM370" i="2"/>
  <c r="AM451" i="2"/>
  <c r="G153" i="5"/>
  <c r="AJ238" i="2"/>
  <c r="H169" i="6"/>
  <c r="G7" i="6"/>
  <c r="AD383" i="2"/>
  <c r="AM182" i="2"/>
  <c r="AM265" i="2"/>
  <c r="AG38" i="2"/>
  <c r="AE191" i="2"/>
  <c r="C110" i="6"/>
  <c r="I83" i="6"/>
  <c r="C18" i="6"/>
  <c r="H196" i="6"/>
  <c r="B342" i="6"/>
  <c r="AK70" i="2"/>
  <c r="D122" i="6"/>
  <c r="K98" i="5"/>
  <c r="AF28" i="2"/>
  <c r="H57" i="6"/>
  <c r="I285" i="6"/>
  <c r="J23" i="6"/>
  <c r="F336" i="6"/>
  <c r="P64" i="5"/>
  <c r="O144" i="5"/>
  <c r="F232" i="6"/>
  <c r="AJ144" i="2"/>
  <c r="E216" i="6"/>
  <c r="E85" i="5"/>
  <c r="AI232" i="2"/>
  <c r="B239" i="6"/>
  <c r="H109" i="5"/>
  <c r="B288" i="6"/>
  <c r="H186" i="6"/>
  <c r="B36" i="6"/>
  <c r="G45" i="6"/>
  <c r="AK64" i="2"/>
  <c r="AK194" i="2"/>
  <c r="E160" i="6"/>
  <c r="D118" i="6"/>
  <c r="H292" i="6"/>
  <c r="G305" i="6"/>
  <c r="D338" i="6"/>
  <c r="AJ342" i="2"/>
  <c r="J42" i="5"/>
  <c r="AL292" i="2"/>
  <c r="AF23" i="2"/>
  <c r="B286" i="6"/>
  <c r="E229" i="6"/>
  <c r="AE321" i="2"/>
  <c r="AI209" i="2"/>
  <c r="F96" i="6"/>
  <c r="K275" i="5"/>
  <c r="B335" i="5"/>
  <c r="AH460" i="2"/>
  <c r="F202" i="6"/>
  <c r="AI176" i="2"/>
  <c r="AI356" i="2"/>
  <c r="K53" i="5"/>
  <c r="AI389" i="2"/>
  <c r="G177" i="6"/>
  <c r="P265" i="5"/>
  <c r="G74" i="6"/>
  <c r="D130" i="6"/>
  <c r="C275" i="6"/>
  <c r="AK78" i="2"/>
  <c r="AL335" i="2"/>
  <c r="AI413" i="2"/>
  <c r="AH39" i="2"/>
  <c r="C39" i="6"/>
  <c r="AE384" i="2"/>
  <c r="H43" i="6"/>
  <c r="AJ65" i="2"/>
  <c r="AH202" i="2"/>
  <c r="E123" i="6"/>
  <c r="AH420" i="2"/>
  <c r="H159" i="6"/>
  <c r="N343" i="5"/>
  <c r="G187" i="6"/>
  <c r="E283" i="6"/>
  <c r="B226" i="6"/>
  <c r="AE233" i="2"/>
  <c r="AG243" i="2"/>
  <c r="O299" i="5"/>
  <c r="AD172" i="2"/>
  <c r="AH204" i="2"/>
  <c r="AH135" i="2"/>
  <c r="D132" i="6"/>
  <c r="AG156" i="2"/>
  <c r="C143" i="6"/>
  <c r="D54" i="6"/>
  <c r="AF362" i="2"/>
  <c r="G232" i="6"/>
  <c r="AI13" i="2"/>
  <c r="D207" i="6"/>
  <c r="D126" i="5"/>
  <c r="AH398" i="2"/>
  <c r="M177" i="5"/>
  <c r="AH445" i="2"/>
  <c r="H189" i="6"/>
  <c r="AF319" i="2"/>
  <c r="AJ198" i="2"/>
  <c r="E85" i="6"/>
  <c r="C222" i="6"/>
  <c r="AE115" i="2"/>
  <c r="AJ377" i="2"/>
  <c r="G64" i="6"/>
  <c r="G161" i="6"/>
  <c r="E203" i="6"/>
  <c r="F43" i="6"/>
  <c r="M59" i="5"/>
  <c r="J105" i="6"/>
  <c r="AF222" i="2"/>
  <c r="I287" i="5"/>
  <c r="AK173" i="2"/>
  <c r="D153" i="6"/>
  <c r="G330" i="6"/>
  <c r="AL95" i="2"/>
  <c r="E75" i="6"/>
  <c r="E86" i="6"/>
  <c r="E220" i="6"/>
  <c r="AG63" i="2"/>
  <c r="F28" i="6"/>
  <c r="J309" i="6"/>
  <c r="AJ191" i="2"/>
  <c r="AL207" i="2"/>
  <c r="AK422" i="2"/>
  <c r="L11" i="5"/>
  <c r="AD76" i="2"/>
  <c r="I242" i="6"/>
  <c r="AI290" i="2"/>
  <c r="F263" i="5"/>
  <c r="AL45" i="2"/>
  <c r="AG412" i="2"/>
  <c r="AH346" i="2"/>
  <c r="F361" i="6"/>
  <c r="AK257" i="2"/>
  <c r="G97" i="6"/>
  <c r="AH455" i="2"/>
  <c r="AL413" i="2"/>
  <c r="P19" i="5"/>
  <c r="AI155" i="2"/>
  <c r="AG294" i="2"/>
  <c r="AL210" i="2"/>
  <c r="AK45" i="2"/>
  <c r="F100" i="6"/>
  <c r="O125" i="5"/>
  <c r="I291" i="6"/>
  <c r="AL370" i="2"/>
  <c r="AI234" i="2"/>
  <c r="E26" i="5"/>
  <c r="I51" i="6"/>
  <c r="G26" i="6"/>
  <c r="F356" i="6"/>
  <c r="H259" i="6"/>
  <c r="D242" i="6"/>
  <c r="B57" i="6"/>
  <c r="AG272" i="2"/>
  <c r="F240" i="6"/>
  <c r="O93" i="5"/>
  <c r="B246" i="6"/>
  <c r="I217" i="6"/>
  <c r="AK108" i="2"/>
  <c r="G175" i="6"/>
  <c r="C167" i="6"/>
  <c r="K137" i="5"/>
  <c r="AK390" i="2"/>
  <c r="AE444" i="2"/>
  <c r="O356" i="5"/>
  <c r="F6" i="6"/>
  <c r="H60" i="6"/>
  <c r="E17" i="6"/>
  <c r="F163" i="6"/>
  <c r="AJ380" i="2"/>
  <c r="F217" i="6"/>
  <c r="B209" i="6"/>
  <c r="AJ142" i="2"/>
  <c r="M58" i="5"/>
  <c r="F144" i="6"/>
  <c r="O203" i="5"/>
  <c r="AM143" i="2"/>
  <c r="D302" i="5"/>
  <c r="D333" i="6"/>
  <c r="AH9" i="2"/>
  <c r="B42" i="5"/>
  <c r="AK234" i="2"/>
  <c r="J11" i="5"/>
  <c r="AL453" i="2"/>
  <c r="I50" i="5"/>
  <c r="C171" i="6"/>
  <c r="B290" i="6"/>
  <c r="D68" i="5"/>
  <c r="AL239" i="2"/>
  <c r="C91" i="6"/>
  <c r="AL332" i="2"/>
  <c r="AD248" i="2"/>
  <c r="P366" i="5"/>
  <c r="I124" i="6"/>
  <c r="AH397" i="2"/>
  <c r="B182" i="6"/>
  <c r="I181" i="6"/>
  <c r="J292" i="6"/>
  <c r="G359" i="6"/>
  <c r="J280" i="6"/>
  <c r="I314" i="6"/>
  <c r="F320" i="6"/>
  <c r="C116" i="6"/>
  <c r="B281" i="6"/>
  <c r="D290" i="6"/>
  <c r="G84" i="5"/>
  <c r="G192" i="6"/>
  <c r="I154" i="6"/>
  <c r="D339" i="6"/>
  <c r="G135" i="6"/>
  <c r="H164" i="6"/>
  <c r="AH144" i="2"/>
  <c r="F151" i="6"/>
  <c r="D96" i="6"/>
  <c r="AK232" i="2"/>
  <c r="D152" i="6"/>
  <c r="O14" i="5"/>
  <c r="E97" i="6"/>
  <c r="AK408" i="2"/>
  <c r="AL134" i="2"/>
  <c r="H17" i="6"/>
  <c r="D108" i="6"/>
  <c r="H264" i="6"/>
  <c r="G336" i="6"/>
  <c r="I38" i="6"/>
  <c r="D83" i="5"/>
  <c r="L122" i="5"/>
  <c r="AL377" i="2"/>
  <c r="F160" i="6"/>
  <c r="F283" i="6"/>
  <c r="I343" i="6"/>
  <c r="I44" i="6"/>
  <c r="AM336" i="2"/>
  <c r="G117" i="6"/>
  <c r="D76" i="6"/>
  <c r="AK99" i="2"/>
  <c r="AL43" i="2"/>
  <c r="I279" i="6"/>
  <c r="G334" i="6"/>
  <c r="K113" i="5"/>
  <c r="E41" i="6"/>
  <c r="D230" i="6"/>
  <c r="H129" i="6"/>
  <c r="AE42" i="2"/>
  <c r="AF110" i="2"/>
  <c r="AH168" i="2"/>
  <c r="AL267" i="2"/>
  <c r="B231" i="6"/>
  <c r="J343" i="6"/>
  <c r="AJ392" i="2"/>
  <c r="AH136" i="2"/>
  <c r="G206" i="6"/>
  <c r="J113" i="6"/>
  <c r="AG159" i="2"/>
  <c r="H295" i="5"/>
  <c r="B38" i="6"/>
  <c r="D291" i="6"/>
  <c r="AD386" i="2"/>
  <c r="AI347" i="2"/>
  <c r="AH411" i="2"/>
  <c r="AE442" i="2"/>
  <c r="AI367" i="2"/>
  <c r="I129" i="6"/>
  <c r="J278" i="5"/>
  <c r="F231" i="6"/>
  <c r="J59" i="6"/>
  <c r="J236" i="5"/>
  <c r="C205" i="5"/>
  <c r="F203" i="6"/>
  <c r="AJ352" i="2"/>
  <c r="AI341" i="2"/>
  <c r="J250" i="6"/>
  <c r="H250" i="5"/>
  <c r="AL98" i="2"/>
  <c r="H19" i="6"/>
  <c r="J373" i="6"/>
  <c r="I96" i="6"/>
  <c r="AI163" i="2"/>
  <c r="E349" i="5"/>
  <c r="J192" i="6"/>
  <c r="AG150" i="2"/>
  <c r="AI148" i="2"/>
  <c r="AJ287" i="2"/>
  <c r="AI22" i="2"/>
  <c r="AJ394" i="2"/>
  <c r="AI283" i="2"/>
  <c r="C330" i="5"/>
  <c r="AG215" i="2"/>
  <c r="AJ54" i="2"/>
  <c r="I119" i="6"/>
  <c r="H75" i="6"/>
  <c r="D14" i="5"/>
  <c r="G33" i="6"/>
  <c r="AD196" i="2"/>
  <c r="AG301" i="2"/>
  <c r="P110" i="5"/>
  <c r="H348" i="6"/>
  <c r="AG192" i="2"/>
  <c r="F8" i="6"/>
  <c r="J43" i="6"/>
  <c r="F103" i="6"/>
  <c r="E44" i="6"/>
  <c r="E336" i="5"/>
  <c r="AH190" i="2"/>
  <c r="H101" i="5"/>
  <c r="I236" i="6"/>
  <c r="I113" i="6"/>
  <c r="AJ155" i="2"/>
  <c r="L345" i="5"/>
  <c r="AJ346" i="2"/>
  <c r="F87" i="6"/>
  <c r="AD42" i="2"/>
  <c r="AK163" i="2"/>
  <c r="B134" i="6"/>
  <c r="B68" i="5"/>
  <c r="H272" i="6"/>
  <c r="AJ52" i="2"/>
  <c r="E13" i="6"/>
  <c r="AD425" i="2"/>
  <c r="AL66" i="2"/>
  <c r="AL233" i="2"/>
  <c r="B112" i="6"/>
  <c r="D329" i="6"/>
  <c r="AK279" i="2"/>
  <c r="H197" i="6"/>
  <c r="AH67" i="2"/>
  <c r="I127" i="6"/>
  <c r="AK134" i="2"/>
  <c r="J67" i="6"/>
  <c r="I363" i="6"/>
  <c r="E93" i="6"/>
  <c r="E26" i="6"/>
  <c r="AJ108" i="2"/>
  <c r="AJ126" i="2"/>
  <c r="E107" i="6"/>
  <c r="AH232" i="2"/>
  <c r="E375" i="6"/>
  <c r="C128" i="5"/>
  <c r="AD110" i="2"/>
  <c r="AK291" i="2"/>
  <c r="H178" i="6"/>
  <c r="AL330" i="2"/>
  <c r="AD137" i="2"/>
  <c r="AG35" i="2"/>
  <c r="E327" i="6"/>
  <c r="O140" i="5"/>
  <c r="AL465" i="2"/>
  <c r="D32" i="6"/>
  <c r="I64" i="6"/>
  <c r="AJ315" i="2"/>
  <c r="AG316" i="2"/>
  <c r="D285" i="5"/>
  <c r="C269" i="6"/>
  <c r="F211" i="6"/>
  <c r="I234" i="6"/>
  <c r="F192" i="6"/>
  <c r="D129" i="6"/>
  <c r="B94" i="6"/>
  <c r="E77" i="6"/>
  <c r="O5" i="5"/>
  <c r="AE164" i="2"/>
  <c r="B357" i="6"/>
  <c r="AF314" i="2"/>
  <c r="AJ29" i="2"/>
  <c r="D171" i="6"/>
  <c r="J337" i="5"/>
  <c r="D91" i="6"/>
  <c r="AG228" i="2"/>
  <c r="H56" i="5"/>
  <c r="C265" i="6"/>
  <c r="C320" i="6"/>
  <c r="C115" i="6"/>
  <c r="AI417" i="2"/>
  <c r="E118" i="6"/>
  <c r="H338" i="5"/>
  <c r="H36" i="6"/>
  <c r="AD69" i="2"/>
  <c r="AH271" i="2"/>
  <c r="J24" i="6"/>
  <c r="J118" i="6"/>
  <c r="AE123" i="2"/>
  <c r="G132" i="5"/>
  <c r="AL205" i="2"/>
  <c r="AL299" i="2"/>
  <c r="AI137" i="2"/>
  <c r="B364" i="6"/>
  <c r="J140" i="6"/>
  <c r="L80" i="5"/>
  <c r="F226" i="5"/>
  <c r="D17" i="6"/>
  <c r="C364" i="6"/>
  <c r="K295" i="5"/>
  <c r="H187" i="5"/>
  <c r="F163" i="5"/>
  <c r="H194" i="6"/>
  <c r="O195" i="5"/>
  <c r="H181" i="6"/>
  <c r="F112" i="6"/>
  <c r="D344" i="6"/>
  <c r="P146" i="5"/>
  <c r="F206" i="6"/>
  <c r="AM12" i="2"/>
  <c r="AM105" i="2"/>
  <c r="I276" i="6"/>
  <c r="AL257" i="2"/>
  <c r="B17" i="6"/>
  <c r="AH111" i="2"/>
  <c r="AL20" i="2"/>
  <c r="G51" i="5"/>
  <c r="AM152" i="2"/>
  <c r="D353" i="5"/>
  <c r="B356" i="6"/>
  <c r="AD279" i="2"/>
  <c r="G55" i="5"/>
  <c r="J121" i="6"/>
  <c r="D313" i="5"/>
  <c r="H61" i="5"/>
  <c r="AH305" i="2"/>
  <c r="AK77" i="2"/>
  <c r="AI343" i="2"/>
  <c r="I201" i="6"/>
  <c r="AD363" i="2"/>
  <c r="K274" i="5"/>
  <c r="G170" i="6"/>
  <c r="H245" i="5"/>
  <c r="J263" i="6"/>
  <c r="I62" i="6"/>
  <c r="F291" i="6"/>
  <c r="AJ121" i="2"/>
  <c r="E176" i="6"/>
  <c r="AD188" i="2"/>
  <c r="AL158" i="2"/>
  <c r="AH354" i="2"/>
  <c r="H18" i="5"/>
  <c r="B100" i="5"/>
  <c r="G69" i="6"/>
  <c r="D31" i="6"/>
  <c r="J270" i="6"/>
  <c r="F276" i="6"/>
  <c r="AJ61" i="2"/>
  <c r="K314" i="5"/>
  <c r="F107" i="5"/>
  <c r="AM231" i="2"/>
  <c r="C282" i="6"/>
  <c r="H38" i="6"/>
  <c r="G274" i="6"/>
  <c r="C270" i="6"/>
  <c r="D53" i="5"/>
  <c r="J355" i="6"/>
  <c r="F164" i="6"/>
  <c r="AE314" i="2"/>
  <c r="B314" i="5"/>
  <c r="AE40" i="2"/>
  <c r="AL160" i="2"/>
  <c r="E137" i="6"/>
  <c r="D238" i="6"/>
  <c r="C220" i="6"/>
  <c r="AJ47" i="2"/>
  <c r="B207" i="6"/>
  <c r="F353" i="6"/>
  <c r="F304" i="6"/>
  <c r="D135" i="6"/>
  <c r="AL429" i="2"/>
  <c r="AJ124" i="2"/>
  <c r="AJ425" i="2"/>
  <c r="AH322" i="2"/>
  <c r="I294" i="6"/>
  <c r="I177" i="6"/>
  <c r="I32" i="5"/>
  <c r="K273" i="5"/>
  <c r="E360" i="5"/>
  <c r="AJ8" i="2"/>
  <c r="D12" i="5"/>
  <c r="AE173" i="2"/>
  <c r="D6" i="6"/>
  <c r="H120" i="6"/>
  <c r="C303" i="6"/>
  <c r="F223" i="6"/>
  <c r="AD192" i="2"/>
  <c r="AI200" i="2"/>
  <c r="AH424" i="2"/>
  <c r="K43" i="5"/>
  <c r="J71" i="6"/>
  <c r="J261" i="6"/>
  <c r="F373" i="6"/>
  <c r="B8" i="6"/>
  <c r="J109" i="6"/>
  <c r="M318" i="5"/>
  <c r="J114" i="6"/>
  <c r="B174" i="6"/>
  <c r="G181" i="6"/>
  <c r="AF252" i="2"/>
  <c r="G93" i="5"/>
  <c r="J354" i="6"/>
  <c r="G301" i="6"/>
  <c r="F343" i="6"/>
  <c r="I247" i="6"/>
  <c r="I359" i="6"/>
  <c r="G312" i="6"/>
  <c r="E198" i="6"/>
  <c r="C320" i="5"/>
  <c r="AI211" i="2"/>
  <c r="J247" i="6"/>
  <c r="H33" i="5"/>
  <c r="AJ336" i="2"/>
  <c r="K272" i="5"/>
  <c r="D200" i="6"/>
  <c r="G152" i="6"/>
  <c r="J150" i="6"/>
  <c r="C353" i="6"/>
  <c r="C133" i="6"/>
  <c r="AL451" i="2"/>
  <c r="AJ205" i="2"/>
  <c r="AD273" i="2"/>
  <c r="AL22" i="2"/>
  <c r="H359" i="6"/>
  <c r="AH62" i="2"/>
  <c r="AJ33" i="2"/>
  <c r="D251" i="6"/>
  <c r="N124" i="5"/>
  <c r="I139" i="6"/>
  <c r="D365" i="6"/>
  <c r="AL386" i="2"/>
  <c r="AK357" i="2"/>
  <c r="H113" i="6"/>
  <c r="H242" i="6"/>
  <c r="K28" i="5"/>
  <c r="O26" i="5"/>
  <c r="AE289" i="2"/>
  <c r="AH212" i="2"/>
  <c r="K140" i="5"/>
  <c r="H275" i="6"/>
  <c r="AI202" i="2"/>
  <c r="AL441" i="2"/>
  <c r="I356" i="5"/>
  <c r="G150" i="6"/>
  <c r="C174" i="6"/>
  <c r="G223" i="5"/>
  <c r="AJ440" i="2"/>
  <c r="C192" i="6"/>
  <c r="C232" i="6"/>
  <c r="AF124" i="2"/>
  <c r="AF258" i="2"/>
  <c r="E50" i="6"/>
  <c r="AJ296" i="2"/>
  <c r="E174" i="5"/>
  <c r="H139" i="6"/>
  <c r="AL155" i="2"/>
  <c r="AD177" i="2"/>
  <c r="P253" i="5"/>
  <c r="F183" i="6"/>
  <c r="AL36" i="2"/>
  <c r="AG27" i="2"/>
  <c r="AL414" i="2"/>
  <c r="G264" i="6"/>
  <c r="B187" i="6"/>
  <c r="AH347" i="2"/>
  <c r="AE76" i="2"/>
  <c r="AH151" i="2"/>
  <c r="AF125" i="2"/>
  <c r="H70" i="6"/>
  <c r="AJ301" i="2"/>
  <c r="AK33" i="2"/>
  <c r="AE401" i="2"/>
  <c r="E241" i="6"/>
  <c r="J117" i="6"/>
  <c r="G223" i="6"/>
  <c r="J306" i="5"/>
  <c r="B61" i="6"/>
  <c r="E326" i="6"/>
  <c r="G110" i="6"/>
  <c r="J125" i="6"/>
  <c r="AK358" i="2"/>
  <c r="AF285" i="2"/>
  <c r="AL203" i="2"/>
  <c r="AE452" i="2"/>
  <c r="AE409" i="2"/>
  <c r="AF76" i="2"/>
  <c r="C267" i="6"/>
  <c r="J244" i="6"/>
  <c r="AI401" i="2"/>
  <c r="E113" i="6"/>
  <c r="AK242" i="2"/>
  <c r="I191" i="6"/>
  <c r="C138" i="6"/>
  <c r="AD366" i="2"/>
  <c r="AD64" i="2"/>
  <c r="AL100" i="2"/>
  <c r="AL178" i="2"/>
  <c r="G201" i="6"/>
  <c r="E304" i="5"/>
  <c r="G98" i="6"/>
  <c r="AG31" i="2"/>
  <c r="M175" i="5"/>
  <c r="AJ26" i="2"/>
  <c r="AH70" i="2"/>
  <c r="E269" i="5"/>
  <c r="C151" i="6"/>
  <c r="F248" i="6"/>
  <c r="AL338" i="2"/>
  <c r="AD336" i="2"/>
  <c r="AD245" i="2"/>
  <c r="AK89" i="2"/>
  <c r="G154" i="6"/>
  <c r="AG434" i="2"/>
  <c r="E161" i="6"/>
  <c r="AE370" i="2"/>
  <c r="AD452" i="2"/>
  <c r="H44" i="6"/>
  <c r="L51" i="5"/>
  <c r="H270" i="6"/>
  <c r="AF350" i="2"/>
  <c r="C111" i="6"/>
  <c r="K171" i="5"/>
  <c r="F75" i="5"/>
  <c r="D112" i="6"/>
  <c r="N143" i="5"/>
  <c r="K354" i="5"/>
  <c r="G240" i="5"/>
  <c r="G230" i="6"/>
  <c r="D358" i="6"/>
  <c r="I303" i="6"/>
  <c r="D55" i="6"/>
  <c r="C363" i="6"/>
  <c r="E22" i="6"/>
  <c r="I184" i="6"/>
  <c r="AL354" i="2"/>
  <c r="C12" i="5"/>
  <c r="P74" i="5"/>
  <c r="AD204" i="2"/>
  <c r="AL164" i="2"/>
  <c r="AG149" i="2"/>
  <c r="G369" i="5"/>
  <c r="E139" i="6"/>
  <c r="F256" i="6"/>
  <c r="O62" i="5"/>
  <c r="AD254" i="2"/>
  <c r="AI140" i="2"/>
  <c r="F285" i="6"/>
  <c r="AE8" i="2"/>
  <c r="AG54" i="2"/>
  <c r="AK65" i="2"/>
  <c r="E259" i="6"/>
  <c r="D61" i="6"/>
  <c r="AL455" i="2"/>
  <c r="AN164" i="2"/>
  <c r="F247" i="6"/>
  <c r="AI353" i="2"/>
  <c r="D243" i="6"/>
  <c r="F333" i="6"/>
  <c r="B272" i="6"/>
  <c r="I47" i="6"/>
  <c r="AE379" i="2"/>
  <c r="B67" i="6"/>
  <c r="AL174" i="2"/>
  <c r="D274" i="6"/>
  <c r="D253" i="6"/>
  <c r="AE355" i="2"/>
  <c r="AH439" i="2"/>
  <c r="C252" i="6"/>
  <c r="I26" i="6"/>
  <c r="AI444" i="2"/>
  <c r="AJ248" i="2"/>
  <c r="G15" i="6"/>
  <c r="AI388" i="2"/>
  <c r="AL172" i="2"/>
  <c r="AH392" i="2"/>
  <c r="B245" i="6"/>
  <c r="C367" i="5"/>
  <c r="B325" i="5"/>
  <c r="AL21" i="2"/>
  <c r="J78" i="6"/>
  <c r="C232" i="5"/>
  <c r="AI189" i="2"/>
  <c r="F68" i="6"/>
  <c r="C93" i="6"/>
  <c r="J157" i="6"/>
  <c r="AD227" i="2"/>
  <c r="AJ351" i="2"/>
  <c r="AE453" i="2"/>
  <c r="E257" i="6"/>
  <c r="AK441" i="2"/>
  <c r="AJ283" i="2"/>
  <c r="E255" i="6"/>
  <c r="E153" i="6"/>
  <c r="B204" i="6"/>
  <c r="AJ57" i="2"/>
  <c r="I243" i="6"/>
  <c r="D48" i="6"/>
  <c r="C298" i="6"/>
  <c r="G276" i="6"/>
  <c r="AG114" i="2"/>
  <c r="H80" i="6"/>
  <c r="AH328" i="2"/>
  <c r="P214" i="5"/>
  <c r="AD83" i="2"/>
  <c r="AK197" i="2"/>
  <c r="D193" i="6"/>
  <c r="AH245" i="2"/>
  <c r="G243" i="6"/>
  <c r="AE271" i="2"/>
  <c r="D74" i="6"/>
  <c r="AG356" i="2"/>
  <c r="AD33" i="2"/>
  <c r="AI165" i="2"/>
  <c r="AF146" i="2"/>
  <c r="AD250" i="2"/>
  <c r="AD100" i="2"/>
  <c r="AK453" i="2"/>
  <c r="AE100" i="2"/>
  <c r="E37" i="5"/>
  <c r="AK387" i="2"/>
  <c r="AJ235" i="2"/>
  <c r="F194" i="6"/>
  <c r="G52" i="6"/>
  <c r="M283" i="5"/>
  <c r="F17" i="6"/>
  <c r="B370" i="6"/>
  <c r="J57" i="6"/>
  <c r="AK39" i="2"/>
  <c r="AE340" i="2"/>
  <c r="AH99" i="2"/>
  <c r="C366" i="6"/>
  <c r="D50" i="5"/>
  <c r="B181" i="6"/>
  <c r="G265" i="6"/>
  <c r="H81" i="6"/>
  <c r="AK174" i="2"/>
  <c r="H288" i="6"/>
  <c r="D130" i="5"/>
  <c r="F80" i="6"/>
  <c r="J272" i="6"/>
  <c r="D33" i="6"/>
  <c r="B215" i="6"/>
  <c r="C106" i="6"/>
  <c r="AF260" i="2"/>
  <c r="AK37" i="2"/>
  <c r="AL81" i="2"/>
  <c r="AJ268" i="2"/>
  <c r="B118" i="6"/>
  <c r="B150" i="6"/>
  <c r="AL417" i="2"/>
  <c r="F157" i="6"/>
  <c r="C337" i="6"/>
  <c r="K94" i="5"/>
  <c r="F310" i="6"/>
  <c r="F337" i="6"/>
  <c r="E311" i="6"/>
  <c r="AH77" i="2"/>
  <c r="H116" i="6"/>
  <c r="AM69" i="2"/>
  <c r="C140" i="6"/>
  <c r="J179" i="6"/>
  <c r="AL385" i="2"/>
  <c r="B251" i="6"/>
  <c r="E246" i="6"/>
  <c r="C60" i="6"/>
  <c r="K326" i="5"/>
  <c r="I187" i="6"/>
  <c r="E338" i="6"/>
  <c r="B242" i="6"/>
  <c r="E18" i="6"/>
  <c r="F366" i="6"/>
  <c r="E312" i="6"/>
  <c r="D224" i="6"/>
  <c r="AI213" i="2"/>
  <c r="AL422" i="2"/>
  <c r="E183" i="6"/>
  <c r="C223" i="6"/>
  <c r="J22" i="6"/>
  <c r="C279" i="6"/>
  <c r="I210" i="6"/>
  <c r="G78" i="6"/>
  <c r="AD443" i="2"/>
  <c r="I136" i="5"/>
  <c r="AK193" i="2"/>
  <c r="AJ222" i="2"/>
  <c r="D25" i="6"/>
  <c r="I67" i="6"/>
  <c r="J62" i="5"/>
  <c r="AG385" i="2"/>
  <c r="J372" i="6"/>
  <c r="AL47" i="2"/>
  <c r="K138" i="5"/>
  <c r="AF49" i="2"/>
  <c r="N375" i="5"/>
  <c r="F259" i="6"/>
  <c r="K245" i="5"/>
  <c r="K320" i="5"/>
  <c r="J193" i="6"/>
  <c r="K206" i="5"/>
  <c r="AJ179" i="2"/>
  <c r="J215" i="5"/>
  <c r="H220" i="6"/>
  <c r="AJ317" i="2"/>
  <c r="J88" i="5"/>
  <c r="H373" i="5"/>
  <c r="AN405" i="2"/>
  <c r="I228" i="6"/>
  <c r="I40" i="6"/>
  <c r="K114" i="5"/>
  <c r="D80" i="5"/>
  <c r="E292" i="6"/>
  <c r="F90" i="6"/>
  <c r="I237" i="6"/>
  <c r="AL180" i="2"/>
  <c r="AK400" i="2"/>
  <c r="E277" i="6"/>
  <c r="AG388" i="2"/>
  <c r="K186" i="5"/>
  <c r="AK225" i="2"/>
  <c r="AE413" i="2"/>
  <c r="D45" i="5"/>
  <c r="B242" i="5"/>
  <c r="I66" i="5"/>
  <c r="I360" i="6"/>
  <c r="AJ259" i="2"/>
  <c r="H260" i="6"/>
  <c r="AG354" i="2"/>
  <c r="AL147" i="2"/>
  <c r="AG7" i="2"/>
  <c r="AL333" i="2"/>
  <c r="AM114" i="2"/>
  <c r="I359" i="5"/>
  <c r="J29" i="6"/>
  <c r="G195" i="6"/>
  <c r="E109" i="6"/>
  <c r="B15" i="6"/>
  <c r="E74" i="6"/>
  <c r="D105" i="5"/>
  <c r="H114" i="5"/>
  <c r="AK388" i="2"/>
  <c r="H28" i="6"/>
  <c r="B304" i="6"/>
  <c r="K242" i="5"/>
  <c r="F152" i="6"/>
  <c r="M101" i="5"/>
  <c r="K313" i="5"/>
  <c r="AJ432" i="2"/>
  <c r="G302" i="6"/>
  <c r="K155" i="5"/>
  <c r="I227" i="6"/>
  <c r="I132" i="6"/>
  <c r="I54" i="5"/>
  <c r="K318" i="5"/>
  <c r="I133" i="6"/>
  <c r="M149" i="5"/>
  <c r="K87" i="5"/>
  <c r="F130" i="6"/>
  <c r="N104" i="5"/>
  <c r="AK460" i="2"/>
  <c r="I63" i="6"/>
  <c r="E83" i="6"/>
  <c r="AK364" i="2"/>
  <c r="F268" i="6"/>
  <c r="C31" i="5"/>
  <c r="AD122" i="2"/>
  <c r="B115" i="6"/>
  <c r="F32" i="6"/>
  <c r="E348" i="5"/>
  <c r="AI173" i="2"/>
  <c r="AM67" i="2"/>
  <c r="H179" i="6"/>
  <c r="F86" i="6"/>
  <c r="AD36" i="2"/>
  <c r="D325" i="6"/>
  <c r="AI294" i="2"/>
  <c r="AE248" i="2"/>
  <c r="AG265" i="2"/>
  <c r="K316" i="5"/>
  <c r="AL281" i="2"/>
  <c r="I50" i="6"/>
  <c r="K353" i="5"/>
  <c r="F261" i="6"/>
  <c r="AK308" i="2"/>
  <c r="G321" i="5"/>
  <c r="B162" i="6"/>
  <c r="E222" i="6"/>
  <c r="I172" i="6"/>
  <c r="I152" i="6"/>
  <c r="P133" i="5"/>
  <c r="E191" i="6"/>
  <c r="I305" i="6"/>
  <c r="AF465" i="2"/>
  <c r="H22" i="5"/>
  <c r="D364" i="6"/>
  <c r="I212" i="6"/>
  <c r="AK58" i="2"/>
  <c r="AD294" i="2"/>
  <c r="AG433" i="2"/>
  <c r="G368" i="6"/>
  <c r="F138" i="6"/>
  <c r="AG349" i="2"/>
  <c r="G92" i="6"/>
  <c r="AL35" i="2"/>
  <c r="E73" i="6"/>
  <c r="AI142" i="2"/>
  <c r="K364" i="5"/>
  <c r="H45" i="6"/>
  <c r="D367" i="5"/>
  <c r="F46" i="5"/>
  <c r="AJ36" i="2"/>
  <c r="AE345" i="2"/>
  <c r="B27" i="6"/>
  <c r="I193" i="6"/>
  <c r="I232" i="6"/>
  <c r="E370" i="6"/>
  <c r="D81" i="6"/>
  <c r="E96" i="6"/>
  <c r="G127" i="6"/>
  <c r="AJ218" i="2"/>
  <c r="AL324" i="2"/>
  <c r="F97" i="6"/>
  <c r="G109" i="6"/>
  <c r="J5" i="5"/>
  <c r="AL436" i="2"/>
  <c r="AD369" i="2"/>
  <c r="C21" i="6"/>
  <c r="G99" i="6"/>
  <c r="AK98" i="2"/>
  <c r="M107" i="5"/>
  <c r="AD289" i="2"/>
  <c r="AH234" i="2"/>
  <c r="AH297" i="2"/>
  <c r="AJ446" i="2"/>
  <c r="AD73" i="2"/>
  <c r="AG100" i="2"/>
  <c r="AE390" i="2"/>
  <c r="AF29" i="2"/>
  <c r="AK41" i="2"/>
  <c r="H338" i="6"/>
  <c r="F89" i="6"/>
  <c r="C243" i="6"/>
  <c r="B69" i="6"/>
  <c r="AJ373" i="2"/>
  <c r="AI94" i="2"/>
  <c r="I9" i="6"/>
  <c r="AG111" i="2"/>
  <c r="B277" i="6"/>
  <c r="AE149" i="2"/>
  <c r="AF452" i="2"/>
  <c r="B335" i="6"/>
  <c r="H170" i="6"/>
  <c r="E145" i="6"/>
  <c r="J89" i="6"/>
  <c r="AD51" i="2"/>
  <c r="H243" i="5"/>
  <c r="C300" i="6"/>
  <c r="K175" i="5"/>
  <c r="AE432" i="2"/>
  <c r="F83" i="6"/>
  <c r="AJ240" i="2"/>
  <c r="AK149" i="2"/>
  <c r="I27" i="6"/>
  <c r="E122" i="6"/>
  <c r="C324" i="5"/>
  <c r="AE31" i="2"/>
  <c r="C362" i="6"/>
  <c r="AG144" i="2"/>
  <c r="C35" i="6"/>
  <c r="H229" i="6"/>
  <c r="AG175" i="2"/>
  <c r="L46" i="5"/>
  <c r="C212" i="6"/>
  <c r="F345" i="6"/>
  <c r="J264" i="5"/>
  <c r="L313" i="5"/>
  <c r="AK385" i="2"/>
  <c r="AK240" i="2"/>
  <c r="AI166" i="2"/>
  <c r="E323" i="6"/>
  <c r="C242" i="6"/>
  <c r="B36" i="5"/>
  <c r="F305" i="6"/>
  <c r="I168" i="6"/>
  <c r="C12" i="6"/>
  <c r="AH333" i="2"/>
  <c r="AJ340" i="2"/>
  <c r="AJ216" i="2"/>
  <c r="I36" i="6"/>
  <c r="AK139" i="2"/>
  <c r="H333" i="6"/>
  <c r="I110" i="6"/>
  <c r="F126" i="6"/>
  <c r="J203" i="6"/>
  <c r="B148" i="6"/>
  <c r="B329" i="6"/>
  <c r="AF219" i="2"/>
  <c r="AK25" i="2"/>
  <c r="C283" i="6"/>
  <c r="D292" i="6"/>
  <c r="AM385" i="2"/>
  <c r="G341" i="5"/>
  <c r="AK156" i="2"/>
  <c r="AD28" i="2"/>
  <c r="E108" i="6"/>
  <c r="AM10" i="2"/>
  <c r="AM438" i="2"/>
  <c r="AG430" i="2"/>
  <c r="AD315" i="2"/>
  <c r="AH91" i="2"/>
  <c r="K18" i="5"/>
  <c r="AD304" i="2"/>
  <c r="D106" i="6"/>
  <c r="G228" i="5"/>
  <c r="H262" i="6"/>
  <c r="H234" i="6"/>
  <c r="H10" i="6"/>
  <c r="AH362" i="2"/>
  <c r="AI423" i="2"/>
  <c r="AL13" i="2"/>
  <c r="D178" i="6"/>
  <c r="I337" i="5"/>
  <c r="F114" i="6"/>
  <c r="G155" i="6"/>
  <c r="AF111" i="2"/>
  <c r="H78" i="5"/>
  <c r="AH159" i="2"/>
  <c r="AJ308" i="2"/>
  <c r="C132" i="6"/>
  <c r="F294" i="6"/>
  <c r="H240" i="6"/>
  <c r="H346" i="6"/>
  <c r="E306" i="6"/>
  <c r="I95" i="6"/>
  <c r="J191" i="6"/>
  <c r="AG390" i="2"/>
  <c r="E357" i="6"/>
  <c r="I146" i="6"/>
  <c r="I275" i="6"/>
  <c r="AF102" i="2"/>
  <c r="G7" i="5"/>
  <c r="G119" i="6"/>
  <c r="O286" i="5"/>
  <c r="AH309" i="2"/>
  <c r="AL383" i="2"/>
  <c r="H165" i="6"/>
  <c r="B138" i="6"/>
  <c r="AI438" i="2"/>
  <c r="E211" i="5"/>
  <c r="AH329" i="2"/>
  <c r="G162" i="6"/>
  <c r="AJ236" i="2"/>
  <c r="H106" i="5"/>
  <c r="AM252" i="2"/>
  <c r="AH40" i="2"/>
  <c r="AH440" i="2"/>
  <c r="AJ13" i="2"/>
  <c r="D117" i="6"/>
  <c r="AD354" i="2"/>
  <c r="K35" i="5"/>
  <c r="I299" i="5"/>
  <c r="E181" i="5"/>
  <c r="AJ72" i="2"/>
  <c r="H159" i="5"/>
  <c r="AM399" i="2"/>
  <c r="AK355" i="2"/>
  <c r="AH251" i="2"/>
  <c r="G124" i="5"/>
  <c r="H86" i="6"/>
  <c r="F171" i="6"/>
  <c r="I264" i="6"/>
  <c r="AG292" i="2"/>
  <c r="H295" i="6"/>
  <c r="C301" i="5"/>
  <c r="E360" i="6"/>
  <c r="K287" i="5"/>
  <c r="K226" i="5"/>
  <c r="C233" i="6"/>
  <c r="E373" i="6"/>
  <c r="C209" i="6"/>
  <c r="AK431" i="2"/>
  <c r="AD61" i="2"/>
  <c r="AG10" i="2"/>
  <c r="AJ117" i="2"/>
  <c r="I5" i="5"/>
  <c r="F179" i="5"/>
  <c r="AH396" i="2"/>
  <c r="I318" i="6"/>
  <c r="AJ16" i="2"/>
  <c r="AL407" i="2"/>
  <c r="C350" i="5"/>
  <c r="M366" i="5"/>
  <c r="AK220" i="2"/>
  <c r="P53" i="5"/>
  <c r="G222" i="6"/>
  <c r="I323" i="5"/>
  <c r="B28" i="5"/>
  <c r="D72" i="6"/>
  <c r="AF83" i="2"/>
  <c r="AI451" i="2"/>
  <c r="H102" i="6"/>
  <c r="I344" i="6"/>
  <c r="AK147" i="2"/>
  <c r="AD409" i="2"/>
  <c r="B51" i="6"/>
  <c r="AG325" i="2"/>
  <c r="AK140" i="2"/>
  <c r="E316" i="5"/>
  <c r="AL139" i="2"/>
  <c r="AI171" i="2"/>
  <c r="AG28" i="2"/>
  <c r="B22" i="5"/>
  <c r="G130" i="5"/>
  <c r="E147" i="6"/>
  <c r="AG95" i="2"/>
  <c r="D142" i="6"/>
  <c r="AG23" i="2"/>
  <c r="M270" i="5"/>
  <c r="AH390" i="2"/>
  <c r="D131" i="6"/>
  <c r="F123" i="6"/>
  <c r="I355" i="6"/>
  <c r="B70" i="6"/>
  <c r="I59" i="6"/>
  <c r="AJ202" i="2"/>
  <c r="B262" i="6"/>
  <c r="H89" i="6"/>
  <c r="F48" i="6"/>
  <c r="B122" i="6"/>
  <c r="I135" i="6"/>
  <c r="K128" i="5"/>
  <c r="AK102" i="2"/>
  <c r="E36" i="6"/>
  <c r="AL182" i="2"/>
  <c r="H375" i="6"/>
  <c r="AD333" i="2"/>
  <c r="AL457" i="2"/>
  <c r="AH240" i="2"/>
  <c r="AH46" i="2"/>
  <c r="AL290" i="2"/>
  <c r="J74" i="6"/>
  <c r="AJ295" i="2"/>
  <c r="AF192" i="2"/>
  <c r="AD316" i="2"/>
  <c r="AD37" i="2"/>
  <c r="F56" i="6"/>
  <c r="J237" i="6"/>
  <c r="L374" i="5"/>
  <c r="AJ79" i="2"/>
  <c r="I99" i="6"/>
  <c r="C81" i="6"/>
  <c r="AI411" i="2"/>
  <c r="AG280" i="2"/>
  <c r="AK277" i="2"/>
  <c r="G180" i="6"/>
  <c r="AK71" i="2"/>
  <c r="D16" i="6"/>
  <c r="AG238" i="2"/>
  <c r="M28" i="5"/>
  <c r="J239" i="5"/>
  <c r="AF140" i="2"/>
  <c r="G137" i="6"/>
  <c r="AE7" i="2"/>
  <c r="AE17" i="2"/>
  <c r="G48" i="6"/>
  <c r="AL349" i="2"/>
  <c r="AH181" i="2"/>
  <c r="AJ383" i="2"/>
  <c r="E331" i="6"/>
  <c r="I159" i="6"/>
  <c r="AK359" i="2"/>
  <c r="C27" i="6"/>
  <c r="J66" i="6"/>
  <c r="AL166" i="2"/>
  <c r="F245" i="6"/>
  <c r="AK138" i="2"/>
  <c r="AK233" i="2"/>
  <c r="AI369" i="2"/>
  <c r="AD186" i="2"/>
  <c r="E281" i="6"/>
  <c r="AJ200" i="2"/>
  <c r="AE33" i="2"/>
  <c r="I82" i="6"/>
  <c r="AJ125" i="2"/>
  <c r="I175" i="5"/>
  <c r="E224" i="5"/>
  <c r="E194" i="6"/>
  <c r="H250" i="6"/>
  <c r="B26" i="6"/>
  <c r="K147" i="5"/>
  <c r="K65" i="5"/>
  <c r="AM145" i="2"/>
  <c r="AN60" i="2"/>
  <c r="AM217" i="2"/>
  <c r="F280" i="6"/>
  <c r="M248" i="5"/>
  <c r="M179" i="5"/>
  <c r="B337" i="5"/>
  <c r="K290" i="5"/>
  <c r="I176" i="5"/>
  <c r="AM240" i="2"/>
  <c r="AL399" i="2"/>
  <c r="H6" i="6"/>
  <c r="H74" i="6"/>
  <c r="AE463" i="2"/>
  <c r="K48" i="5"/>
  <c r="H224" i="6"/>
  <c r="H37" i="6"/>
  <c r="F348" i="6"/>
  <c r="AH66" i="2"/>
  <c r="AM318" i="2"/>
  <c r="F104" i="6"/>
  <c r="C224" i="6"/>
  <c r="H215" i="5"/>
  <c r="K289" i="5"/>
  <c r="J213" i="6"/>
  <c r="C198" i="6"/>
  <c r="H356" i="6"/>
  <c r="C89" i="6"/>
  <c r="AI249" i="2"/>
  <c r="D188" i="6"/>
  <c r="AL432" i="2"/>
  <c r="D315" i="6"/>
  <c r="G250" i="6"/>
  <c r="M27" i="5"/>
  <c r="K251" i="5"/>
  <c r="AG445" i="2"/>
  <c r="H280" i="6"/>
  <c r="F96" i="5"/>
  <c r="J186" i="6"/>
  <c r="AJ291" i="2"/>
  <c r="AI274" i="2"/>
  <c r="J155" i="6"/>
  <c r="AI124" i="2"/>
  <c r="AJ266" i="2"/>
  <c r="G12" i="6"/>
  <c r="F378" i="5"/>
  <c r="C142" i="6"/>
  <c r="AM326" i="2"/>
  <c r="H177" i="6"/>
  <c r="AJ212" i="2"/>
  <c r="I92" i="6"/>
  <c r="E223" i="6"/>
  <c r="F108" i="6"/>
  <c r="AJ414" i="2"/>
  <c r="AE156" i="2"/>
  <c r="D276" i="6"/>
  <c r="AK345" i="2"/>
  <c r="F226" i="6"/>
  <c r="AM461" i="2"/>
  <c r="AH364" i="2"/>
  <c r="O22" i="5"/>
  <c r="J238" i="5"/>
  <c r="AM89" i="2"/>
  <c r="I151" i="6"/>
  <c r="C130" i="6"/>
  <c r="AL102" i="2"/>
  <c r="J110" i="6"/>
  <c r="AG225" i="2"/>
  <c r="L6" i="5"/>
  <c r="K329" i="5"/>
  <c r="M12" i="5"/>
  <c r="B268" i="6"/>
  <c r="D356" i="6"/>
  <c r="AI170" i="2"/>
  <c r="B237" i="5"/>
  <c r="C48" i="6"/>
  <c r="K99" i="5"/>
  <c r="J369" i="6"/>
  <c r="H33" i="6"/>
  <c r="M5" i="5"/>
  <c r="AF127" i="2"/>
  <c r="O124" i="5"/>
  <c r="E225" i="6"/>
  <c r="AM465" i="2"/>
  <c r="F218" i="6"/>
  <c r="AG428" i="2"/>
  <c r="C323" i="6"/>
  <c r="D317" i="6"/>
  <c r="G60" i="5"/>
  <c r="F211" i="5"/>
  <c r="AD168" i="2"/>
  <c r="AJ232" i="2"/>
  <c r="E234" i="6"/>
  <c r="H143" i="5"/>
  <c r="K330" i="5"/>
  <c r="H52" i="6"/>
  <c r="D345" i="5"/>
  <c r="AD66" i="2"/>
  <c r="C199" i="6"/>
  <c r="AJ53" i="2"/>
  <c r="D146" i="6"/>
  <c r="J79" i="5"/>
  <c r="D172" i="6"/>
  <c r="E187" i="6"/>
  <c r="J308" i="6"/>
  <c r="P28" i="5"/>
  <c r="I74" i="5"/>
  <c r="AI197" i="2"/>
  <c r="K125" i="5"/>
  <c r="J266" i="6"/>
  <c r="AL214" i="2"/>
  <c r="B285" i="6"/>
  <c r="O28" i="5"/>
  <c r="AM30" i="2"/>
  <c r="AD194" i="2"/>
  <c r="B371" i="6"/>
  <c r="L348" i="5"/>
  <c r="AH462" i="2"/>
  <c r="O25" i="5"/>
  <c r="G8" i="5"/>
  <c r="AM160" i="2"/>
  <c r="K27" i="5"/>
  <c r="AD125" i="2"/>
  <c r="E247" i="6"/>
  <c r="H135" i="6"/>
  <c r="AK50" i="2"/>
  <c r="I24" i="6"/>
  <c r="B71" i="5"/>
  <c r="AK274" i="2"/>
  <c r="AG118" i="2"/>
  <c r="H298" i="6"/>
  <c r="AG328" i="2"/>
  <c r="C239" i="6"/>
  <c r="J37" i="5"/>
  <c r="H309" i="6"/>
  <c r="I81" i="5"/>
  <c r="AL449" i="2"/>
  <c r="AH64" i="2"/>
  <c r="C55" i="6"/>
  <c r="J335" i="6"/>
  <c r="G253" i="6"/>
  <c r="E343" i="6"/>
  <c r="E142" i="6"/>
  <c r="AJ111" i="2"/>
  <c r="G108" i="5"/>
  <c r="J375" i="6"/>
  <c r="B364" i="5"/>
  <c r="I358" i="6"/>
  <c r="D150" i="6"/>
  <c r="H374" i="6"/>
  <c r="H95" i="6"/>
  <c r="H314" i="6"/>
  <c r="J26" i="6"/>
  <c r="AH48" i="2"/>
  <c r="E133" i="6"/>
  <c r="AF86" i="2"/>
  <c r="AH342" i="2"/>
  <c r="G164" i="5"/>
  <c r="AE152" i="2"/>
  <c r="F46" i="6"/>
  <c r="AK84" i="2"/>
  <c r="AL154" i="2"/>
  <c r="G53" i="5"/>
  <c r="J51" i="5"/>
  <c r="J85" i="6"/>
  <c r="J283" i="6"/>
  <c r="H115" i="6"/>
  <c r="AK392" i="2"/>
  <c r="I335" i="6"/>
  <c r="J303" i="6"/>
  <c r="B18" i="6"/>
  <c r="E103" i="6"/>
  <c r="AL91" i="2"/>
  <c r="H25" i="6"/>
  <c r="H350" i="6"/>
  <c r="AL90" i="2"/>
  <c r="N132" i="5"/>
  <c r="AK321" i="2"/>
  <c r="G84" i="6"/>
  <c r="K207" i="5"/>
  <c r="AL350" i="2"/>
  <c r="E228" i="6"/>
  <c r="AM13" i="2"/>
  <c r="J328" i="5"/>
  <c r="F69" i="6"/>
  <c r="G6" i="5"/>
  <c r="G85" i="5"/>
  <c r="AG250" i="2"/>
  <c r="H379" i="5"/>
  <c r="F167" i="6"/>
  <c r="J161" i="6"/>
  <c r="E48" i="6"/>
  <c r="AK24" i="2"/>
  <c r="AI357" i="2"/>
  <c r="AI287" i="2"/>
  <c r="B199" i="6"/>
  <c r="H209" i="6"/>
  <c r="G172" i="6"/>
  <c r="AE150" i="2"/>
  <c r="H158" i="6"/>
  <c r="D277" i="6"/>
  <c r="C225" i="6"/>
  <c r="K200" i="5"/>
  <c r="K136" i="5"/>
  <c r="O131" i="5"/>
  <c r="AK307" i="2"/>
  <c r="AD124" i="2"/>
  <c r="D371" i="6"/>
  <c r="AI282" i="2"/>
  <c r="B200" i="6"/>
  <c r="I317" i="6"/>
  <c r="I29" i="6"/>
  <c r="AE97" i="2"/>
  <c r="H124" i="5"/>
  <c r="AL234" i="2"/>
  <c r="AK186" i="2"/>
  <c r="AL321" i="2"/>
  <c r="C247" i="6"/>
  <c r="AJ372" i="2"/>
  <c r="F143" i="6"/>
  <c r="AK142" i="2"/>
  <c r="C155" i="6"/>
  <c r="AL434" i="2"/>
  <c r="AJ402" i="2"/>
  <c r="AH60" i="2"/>
  <c r="AI61" i="2"/>
  <c r="D223" i="6"/>
  <c r="M161" i="5"/>
  <c r="AL137" i="2"/>
  <c r="H342" i="6"/>
  <c r="AD381" i="2"/>
  <c r="K221" i="5"/>
  <c r="N275" i="5"/>
  <c r="AH85" i="2"/>
  <c r="H329" i="6"/>
  <c r="AI292" i="2"/>
  <c r="AF427" i="2"/>
  <c r="G270" i="6"/>
  <c r="G241" i="6"/>
  <c r="AE194" i="2"/>
  <c r="AK28" i="2"/>
  <c r="B261" i="6"/>
  <c r="AG106" i="2"/>
  <c r="AH253" i="2"/>
  <c r="J245" i="6"/>
  <c r="D327" i="6"/>
  <c r="K291" i="5"/>
  <c r="C245" i="6"/>
  <c r="C27" i="5"/>
  <c r="K96" i="5"/>
  <c r="B45" i="6"/>
  <c r="K190" i="5"/>
  <c r="AK97" i="2"/>
  <c r="H56" i="6"/>
  <c r="AI100" i="2"/>
  <c r="I250" i="6"/>
  <c r="J246" i="6"/>
  <c r="B124" i="5"/>
  <c r="AL423" i="2"/>
  <c r="AJ173" i="2"/>
  <c r="P12" i="5"/>
  <c r="B230" i="6"/>
  <c r="L18" i="5"/>
  <c r="N50" i="5"/>
  <c r="AE64" i="2"/>
  <c r="J131" i="6"/>
  <c r="D273" i="6"/>
  <c r="B298" i="6"/>
  <c r="G101" i="5"/>
  <c r="AN415" i="2"/>
  <c r="AK332" i="2"/>
  <c r="AH452" i="2"/>
  <c r="H320" i="6"/>
  <c r="F176" i="6"/>
  <c r="G370" i="6"/>
  <c r="K337" i="5"/>
  <c r="B169" i="6"/>
  <c r="J252" i="6"/>
  <c r="I238" i="6"/>
  <c r="K302" i="5"/>
  <c r="E345" i="6"/>
  <c r="N51" i="5"/>
  <c r="K165" i="5"/>
  <c r="B362" i="6"/>
  <c r="AJ418" i="2"/>
  <c r="I283" i="5"/>
  <c r="B130" i="5"/>
  <c r="L105" i="5"/>
  <c r="AM17" i="2"/>
  <c r="M86" i="5"/>
  <c r="AM161" i="2"/>
  <c r="H41" i="5"/>
  <c r="AO380" i="2"/>
  <c r="H306" i="6"/>
  <c r="AF375" i="2"/>
  <c r="AM174" i="2"/>
  <c r="AF267" i="2"/>
  <c r="AM226" i="2"/>
  <c r="B73" i="5"/>
  <c r="N290" i="5"/>
  <c r="AK168" i="2"/>
  <c r="I104" i="5"/>
  <c r="B88" i="5"/>
  <c r="D155" i="6"/>
  <c r="F154" i="6"/>
  <c r="O68" i="5"/>
  <c r="F244" i="6"/>
  <c r="AJ160" i="2"/>
  <c r="N83" i="5"/>
  <c r="AN149" i="2"/>
  <c r="E260" i="6"/>
  <c r="M32" i="5"/>
  <c r="AG459" i="2"/>
  <c r="E301" i="6"/>
  <c r="K305" i="5"/>
  <c r="AM373" i="2"/>
  <c r="E371" i="6"/>
  <c r="J169" i="6"/>
  <c r="AD31" i="2"/>
  <c r="AJ119" i="2"/>
  <c r="I274" i="6"/>
  <c r="F262" i="6"/>
  <c r="AK146" i="2"/>
  <c r="AP353" i="2"/>
  <c r="AM88" i="2"/>
  <c r="E297" i="6"/>
  <c r="AL416" i="2"/>
  <c r="E91" i="6"/>
  <c r="J344" i="6"/>
  <c r="G331" i="6"/>
  <c r="AJ106" i="2"/>
  <c r="M38" i="5"/>
  <c r="B75" i="6"/>
  <c r="AD191" i="2"/>
  <c r="AE157" i="2"/>
  <c r="J30" i="5"/>
  <c r="B177" i="6"/>
  <c r="H38" i="5"/>
  <c r="C41" i="6"/>
  <c r="AG401" i="2"/>
  <c r="AD379" i="2"/>
  <c r="AJ45" i="2"/>
  <c r="AK366" i="2"/>
  <c r="AI193" i="2"/>
  <c r="G299" i="6"/>
  <c r="C49" i="6"/>
  <c r="AH200" i="2"/>
  <c r="AE395" i="2"/>
  <c r="E319" i="6"/>
  <c r="K248" i="5"/>
  <c r="B91" i="6"/>
  <c r="F354" i="6"/>
  <c r="AJ456" i="2"/>
  <c r="AH248" i="2"/>
  <c r="G231" i="6"/>
  <c r="AR328" i="2"/>
  <c r="H149" i="6"/>
  <c r="AD118" i="2"/>
  <c r="E316" i="6"/>
  <c r="C332" i="6"/>
  <c r="B48" i="5"/>
  <c r="B241" i="6"/>
  <c r="J165" i="6"/>
  <c r="AJ230" i="2"/>
  <c r="K192" i="5"/>
  <c r="AI372" i="2"/>
  <c r="AH130" i="2"/>
  <c r="AH459" i="2"/>
  <c r="C37" i="6"/>
  <c r="AE462" i="2"/>
  <c r="D69" i="6"/>
  <c r="H324" i="6"/>
  <c r="E131" i="6"/>
  <c r="H336" i="6"/>
  <c r="AG115" i="2"/>
  <c r="AK409" i="2"/>
  <c r="F300" i="6"/>
  <c r="AF376" i="2"/>
  <c r="AD343" i="2"/>
  <c r="AD179" i="2"/>
  <c r="AE41" i="2"/>
  <c r="C234" i="6"/>
  <c r="E164" i="5"/>
  <c r="AL302" i="2"/>
  <c r="I336" i="6"/>
  <c r="AG361" i="2"/>
  <c r="J352" i="6"/>
  <c r="J254" i="6"/>
  <c r="J370" i="6"/>
  <c r="B222" i="6"/>
  <c r="AH192" i="2"/>
  <c r="E275" i="6"/>
  <c r="G142" i="6"/>
  <c r="AG59" i="2"/>
  <c r="H166" i="6"/>
  <c r="I186" i="6"/>
  <c r="AN437" i="2"/>
  <c r="D296" i="6"/>
  <c r="B195" i="6"/>
  <c r="C67" i="5"/>
  <c r="P16" i="5"/>
  <c r="K258" i="5"/>
  <c r="B188" i="6"/>
  <c r="C62" i="6"/>
  <c r="N11" i="5"/>
  <c r="AI178" i="2"/>
  <c r="I251" i="5"/>
  <c r="AL41" i="2"/>
  <c r="AK137" i="2"/>
  <c r="I21" i="5"/>
  <c r="AL294" i="2"/>
  <c r="H304" i="6"/>
  <c r="D51" i="6"/>
  <c r="B135" i="5"/>
  <c r="C166" i="6"/>
  <c r="AK377" i="2"/>
  <c r="J276" i="6"/>
  <c r="L98" i="5"/>
  <c r="AK316" i="2"/>
  <c r="H114" i="6"/>
  <c r="E356" i="6"/>
  <c r="H355" i="6"/>
  <c r="I229" i="5"/>
  <c r="H239" i="6"/>
  <c r="AJ306" i="2"/>
  <c r="AH293" i="2"/>
  <c r="H352" i="6"/>
  <c r="I111" i="5"/>
  <c r="H30" i="6"/>
  <c r="G364" i="6"/>
  <c r="K195" i="5"/>
  <c r="AG33" i="2"/>
  <c r="K75" i="5"/>
  <c r="K160" i="5"/>
  <c r="J64" i="6"/>
  <c r="AF286" i="2"/>
  <c r="G344" i="6"/>
  <c r="C202" i="6"/>
  <c r="M132" i="5"/>
  <c r="B6" i="5"/>
  <c r="AM404" i="2"/>
  <c r="AM367" i="2"/>
  <c r="AK396" i="2"/>
  <c r="AL363" i="2"/>
  <c r="H15" i="6"/>
  <c r="AJ178" i="2"/>
  <c r="F241" i="6"/>
  <c r="F321" i="6"/>
  <c r="B161" i="6"/>
  <c r="AL60" i="2"/>
  <c r="J16" i="5"/>
  <c r="AG408" i="2"/>
  <c r="AH260" i="2"/>
  <c r="F326" i="6"/>
  <c r="I145" i="5"/>
  <c r="AG382" i="2"/>
  <c r="G313" i="6"/>
  <c r="I131" i="6"/>
  <c r="F340" i="6"/>
  <c r="J366" i="6"/>
  <c r="C52" i="6"/>
  <c r="I174" i="6"/>
  <c r="AF292" i="2"/>
  <c r="C348" i="6"/>
  <c r="D164" i="6"/>
  <c r="H112" i="6"/>
  <c r="B23" i="5"/>
  <c r="C153" i="6"/>
  <c r="AL446" i="2"/>
  <c r="H286" i="6"/>
  <c r="J244" i="5"/>
  <c r="AL357" i="2"/>
  <c r="AK228" i="2"/>
  <c r="AJ136" i="2"/>
  <c r="AE297" i="2"/>
  <c r="F64" i="6"/>
  <c r="J12" i="6"/>
  <c r="D58" i="6"/>
  <c r="AJ42" i="2"/>
  <c r="E66" i="6"/>
  <c r="E245" i="6"/>
  <c r="F358" i="6"/>
  <c r="AG303" i="2"/>
  <c r="AH261" i="2"/>
  <c r="J334" i="6"/>
  <c r="I149" i="6"/>
  <c r="AL187" i="2"/>
  <c r="J144" i="6"/>
  <c r="B135" i="6"/>
  <c r="AL170" i="2"/>
  <c r="G139" i="6"/>
  <c r="G236" i="6"/>
  <c r="C304" i="6"/>
  <c r="AD351" i="2"/>
  <c r="K44" i="5"/>
  <c r="K281" i="5"/>
  <c r="AH75" i="2"/>
  <c r="D228" i="6"/>
  <c r="B254" i="6"/>
  <c r="O84" i="5"/>
  <c r="E219" i="6"/>
  <c r="AG25" i="2"/>
  <c r="E45" i="5"/>
  <c r="AM223" i="2"/>
  <c r="AI62" i="2"/>
  <c r="B11" i="5"/>
  <c r="B185" i="5"/>
  <c r="G224" i="6"/>
  <c r="AE369" i="2"/>
  <c r="F136" i="5"/>
  <c r="AG417" i="2"/>
  <c r="I118" i="5"/>
  <c r="AK118" i="2"/>
  <c r="G96" i="5"/>
  <c r="J160" i="6"/>
  <c r="H117" i="5"/>
  <c r="J313" i="6"/>
  <c r="AM417" i="2"/>
  <c r="F132" i="5"/>
  <c r="I42" i="6"/>
  <c r="AM102" i="2"/>
  <c r="K180" i="5"/>
  <c r="H141" i="5"/>
  <c r="AI17" i="2"/>
  <c r="AM277" i="2"/>
  <c r="AJ143" i="2"/>
  <c r="E337" i="6"/>
  <c r="D270" i="6"/>
  <c r="AM380" i="2"/>
  <c r="AD338" i="2"/>
  <c r="M141" i="5"/>
  <c r="F214" i="6"/>
  <c r="I141" i="5"/>
  <c r="AD350" i="2"/>
  <c r="E346" i="6"/>
  <c r="AH371" i="2"/>
  <c r="AD389" i="2"/>
  <c r="AI344" i="2"/>
  <c r="F115" i="6"/>
  <c r="E29" i="6"/>
  <c r="E243" i="6"/>
  <c r="H174" i="6"/>
  <c r="AI205" i="2"/>
  <c r="G322" i="6"/>
  <c r="P341" i="5"/>
  <c r="P164" i="5"/>
  <c r="J271" i="6"/>
  <c r="C51" i="6"/>
  <c r="K239" i="5"/>
  <c r="F180" i="6"/>
  <c r="I261" i="6"/>
  <c r="AQ160" i="2"/>
  <c r="AL37" i="2"/>
  <c r="AE354" i="2"/>
  <c r="C268" i="6"/>
  <c r="B103" i="5"/>
  <c r="AF181" i="2"/>
  <c r="AJ98" i="2"/>
  <c r="J204" i="6"/>
  <c r="AH197" i="2"/>
  <c r="C148" i="6"/>
  <c r="G316" i="5"/>
  <c r="AH49" i="2"/>
  <c r="I172" i="5"/>
  <c r="E235" i="6"/>
  <c r="I240" i="6"/>
  <c r="H339" i="6"/>
  <c r="F84" i="6"/>
  <c r="K161" i="5"/>
  <c r="AD301" i="2"/>
  <c r="J108" i="6"/>
  <c r="D231" i="6"/>
  <c r="D62" i="6"/>
  <c r="J329" i="6"/>
  <c r="AK262" i="2"/>
  <c r="G133" i="5"/>
  <c r="F16" i="5"/>
  <c r="I223" i="6"/>
  <c r="E350" i="6"/>
  <c r="C42" i="6"/>
  <c r="M143" i="5"/>
  <c r="G44" i="5"/>
  <c r="AE281" i="2"/>
  <c r="AQ23" i="2"/>
  <c r="K256" i="5"/>
  <c r="E322" i="6"/>
  <c r="E125" i="6"/>
  <c r="AH262" i="2"/>
  <c r="B307" i="6"/>
  <c r="J214" i="6"/>
  <c r="G143" i="6"/>
  <c r="H105" i="5"/>
  <c r="E329" i="6"/>
  <c r="J69" i="6"/>
  <c r="AH196" i="2"/>
  <c r="M80" i="5"/>
  <c r="AD84" i="2"/>
  <c r="B278" i="6"/>
  <c r="K209" i="5"/>
  <c r="L13" i="5"/>
  <c r="J320" i="6"/>
  <c r="H217" i="6"/>
  <c r="M37" i="5"/>
  <c r="D133" i="6"/>
  <c r="AG462" i="2"/>
  <c r="K144" i="5"/>
  <c r="AM228" i="2"/>
  <c r="N98" i="5"/>
  <c r="M42" i="5"/>
  <c r="K167" i="5"/>
  <c r="C313" i="6"/>
  <c r="J136" i="6"/>
  <c r="J314" i="6"/>
  <c r="G110" i="5"/>
  <c r="K42" i="5"/>
  <c r="AT235" i="2"/>
  <c r="C191" i="6"/>
  <c r="I25" i="5"/>
  <c r="C5" i="5"/>
  <c r="D232" i="6"/>
  <c r="G83" i="5"/>
  <c r="I115" i="5"/>
  <c r="J301" i="6"/>
  <c r="I134" i="5"/>
  <c r="N206" i="5"/>
  <c r="AM411" i="2"/>
  <c r="B306" i="6"/>
  <c r="AM359" i="2"/>
  <c r="K146" i="5"/>
  <c r="AJ130" i="2"/>
  <c r="I106" i="6"/>
  <c r="G249" i="6"/>
  <c r="AK389" i="2"/>
  <c r="B220" i="6"/>
  <c r="P308" i="5"/>
  <c r="AE259" i="2"/>
  <c r="AK124" i="2"/>
  <c r="F168" i="6"/>
  <c r="J281" i="5"/>
  <c r="AI231" i="2"/>
  <c r="B299" i="6"/>
  <c r="B328" i="6"/>
  <c r="P130" i="5"/>
  <c r="K225" i="5"/>
  <c r="H85" i="6"/>
  <c r="AK135" i="2"/>
  <c r="I62" i="5"/>
  <c r="F303" i="6"/>
  <c r="C81" i="5"/>
  <c r="AI453" i="2"/>
  <c r="K109" i="5"/>
  <c r="C183" i="6"/>
  <c r="I353" i="6"/>
  <c r="AJ406" i="2"/>
  <c r="AD428" i="2"/>
  <c r="H7" i="5"/>
  <c r="I26" i="5"/>
  <c r="AI228" i="2"/>
  <c r="AL353" i="2"/>
  <c r="H141" i="6"/>
  <c r="F85" i="6"/>
  <c r="G76" i="5"/>
  <c r="AH201" i="2"/>
  <c r="J188" i="6"/>
  <c r="H140" i="6"/>
  <c r="AK322" i="2"/>
  <c r="AJ292" i="2"/>
  <c r="D176" i="6"/>
  <c r="C308" i="6"/>
  <c r="AE262" i="2"/>
  <c r="M84" i="5"/>
  <c r="G209" i="6"/>
  <c r="M115" i="5"/>
  <c r="AE284" i="2"/>
  <c r="H228" i="6"/>
  <c r="I138" i="6"/>
  <c r="C251" i="6"/>
  <c r="AD335" i="2"/>
  <c r="AD463" i="2"/>
  <c r="AE201" i="2"/>
  <c r="AK444" i="2"/>
  <c r="J112" i="6"/>
  <c r="M193" i="5"/>
  <c r="AJ270" i="2"/>
  <c r="AL374" i="2"/>
  <c r="AE350" i="2"/>
  <c r="K13" i="5"/>
  <c r="AD95" i="2"/>
  <c r="D219" i="6"/>
  <c r="N62" i="5"/>
  <c r="AH414" i="2"/>
  <c r="AG164" i="2"/>
  <c r="N194" i="5"/>
  <c r="AM333" i="2"/>
  <c r="I297" i="6"/>
  <c r="C120" i="6"/>
  <c r="I110" i="5"/>
  <c r="AG216" i="2"/>
  <c r="AK236" i="2"/>
  <c r="AK303" i="2"/>
  <c r="G61" i="5"/>
  <c r="AM55" i="2"/>
  <c r="P325" i="5"/>
  <c r="B274" i="6"/>
  <c r="D205" i="6"/>
  <c r="AI259" i="2"/>
  <c r="AG313" i="2"/>
  <c r="L302" i="5"/>
  <c r="K154" i="5"/>
  <c r="AI242" i="2"/>
  <c r="AF321" i="2"/>
  <c r="AJ290" i="2"/>
  <c r="K268" i="5"/>
  <c r="AD449" i="2"/>
  <c r="B346" i="6"/>
  <c r="B184" i="5"/>
  <c r="AL42" i="2"/>
  <c r="O85" i="5"/>
  <c r="K312" i="5"/>
  <c r="I239" i="6"/>
  <c r="J15" i="6"/>
  <c r="B168" i="6"/>
  <c r="F298" i="5"/>
  <c r="F190" i="6"/>
  <c r="E355" i="6"/>
  <c r="D301" i="6"/>
  <c r="F314" i="6"/>
  <c r="B76" i="5"/>
  <c r="G353" i="6"/>
  <c r="E251" i="6"/>
  <c r="H110" i="6"/>
  <c r="AI116" i="2"/>
  <c r="G306" i="6"/>
  <c r="I159" i="5"/>
  <c r="AL109" i="2"/>
  <c r="AG335" i="2"/>
  <c r="E212" i="6"/>
  <c r="AE169" i="2"/>
  <c r="AJ420" i="2"/>
  <c r="I266" i="6"/>
  <c r="I288" i="6"/>
  <c r="B257" i="6"/>
  <c r="D289" i="6"/>
  <c r="AK66" i="2"/>
  <c r="AH384" i="2"/>
  <c r="I43" i="6"/>
  <c r="J207" i="6"/>
  <c r="G113" i="5"/>
  <c r="AM85" i="2"/>
  <c r="C296" i="6"/>
  <c r="I30" i="6"/>
  <c r="J287" i="6"/>
  <c r="F298" i="6"/>
  <c r="P78" i="5"/>
  <c r="M98" i="5"/>
  <c r="H5" i="5"/>
  <c r="AJ364" i="2"/>
  <c r="AM201" i="2"/>
  <c r="AG330" i="2"/>
  <c r="AM68" i="2"/>
  <c r="AF388" i="2"/>
  <c r="AM131" i="2"/>
  <c r="AF255" i="2"/>
  <c r="F141" i="6"/>
  <c r="J224" i="6"/>
  <c r="AG410" i="2"/>
  <c r="AM129" i="2"/>
  <c r="I218" i="6"/>
  <c r="J371" i="6"/>
  <c r="AK175" i="2"/>
  <c r="P373" i="5"/>
  <c r="E69" i="5"/>
  <c r="AK347" i="2"/>
  <c r="AQ418" i="2"/>
  <c r="G11" i="5"/>
  <c r="AM452" i="2"/>
  <c r="B60" i="6"/>
  <c r="AE83" i="2"/>
  <c r="D183" i="6"/>
  <c r="F227" i="6"/>
  <c r="H65" i="6"/>
  <c r="L97" i="5"/>
  <c r="AD202" i="2"/>
  <c r="AH355" i="2"/>
  <c r="O116" i="5"/>
  <c r="G262" i="6"/>
  <c r="M43" i="5"/>
  <c r="D237" i="6"/>
  <c r="AH94" i="2"/>
  <c r="AD67" i="2"/>
  <c r="B27" i="5"/>
  <c r="AK11" i="2"/>
  <c r="G360" i="6"/>
  <c r="AL156" i="2"/>
  <c r="F39" i="6"/>
  <c r="J183" i="6"/>
  <c r="AL40" i="2"/>
  <c r="H58" i="5"/>
  <c r="D204" i="6"/>
  <c r="AI387" i="2"/>
  <c r="K194" i="5"/>
  <c r="D76" i="5"/>
  <c r="AE93" i="2"/>
  <c r="P51" i="5"/>
  <c r="AP224" i="2"/>
  <c r="K143" i="5"/>
  <c r="J230" i="6"/>
  <c r="C211" i="6"/>
  <c r="J60" i="6"/>
  <c r="J348" i="6"/>
  <c r="C335" i="6"/>
  <c r="D90" i="5"/>
  <c r="H98" i="6"/>
  <c r="AK61" i="2"/>
  <c r="AJ154" i="2"/>
  <c r="D151" i="6"/>
  <c r="AM446" i="2"/>
  <c r="M17" i="5"/>
  <c r="C241" i="6"/>
  <c r="H299" i="6"/>
  <c r="P48" i="5"/>
  <c r="I87" i="5"/>
  <c r="AI412" i="2"/>
  <c r="D300" i="6"/>
  <c r="M368" i="5"/>
  <c r="L219" i="5"/>
  <c r="J20" i="6"/>
  <c r="F179" i="6"/>
  <c r="I300" i="6"/>
  <c r="O30" i="5"/>
  <c r="E278" i="6"/>
  <c r="F289" i="6"/>
  <c r="B32" i="5"/>
  <c r="AK109" i="2"/>
  <c r="AH164" i="2"/>
  <c r="AM18" i="2"/>
  <c r="AS189" i="2"/>
  <c r="G329" i="6"/>
  <c r="C123" i="6"/>
  <c r="H212" i="6"/>
  <c r="D353" i="6"/>
  <c r="AI106" i="2"/>
  <c r="AM256" i="2"/>
  <c r="D357" i="6"/>
  <c r="AM141" i="2"/>
  <c r="K25" i="5"/>
  <c r="I143" i="5"/>
  <c r="K20" i="5"/>
  <c r="B265" i="6"/>
  <c r="I331" i="6"/>
  <c r="K357" i="5"/>
  <c r="P113" i="5"/>
  <c r="B316" i="6"/>
  <c r="J233" i="6"/>
  <c r="J83" i="5"/>
  <c r="AI177" i="2"/>
  <c r="AE293" i="2"/>
  <c r="E132" i="6"/>
  <c r="I260" i="6"/>
  <c r="B198" i="5"/>
  <c r="E18" i="5"/>
  <c r="AJ28" i="2"/>
  <c r="AE15" i="2"/>
  <c r="K60" i="5"/>
  <c r="B58" i="5"/>
  <c r="I150" i="5"/>
  <c r="G205" i="5"/>
  <c r="M138" i="5"/>
  <c r="F355" i="6"/>
  <c r="H111" i="5"/>
  <c r="H58" i="6"/>
  <c r="AH20" i="2"/>
  <c r="G108" i="6"/>
  <c r="F166" i="6"/>
  <c r="D159" i="6"/>
  <c r="F257" i="6"/>
  <c r="B28" i="6"/>
  <c r="C144" i="6"/>
  <c r="H133" i="6"/>
  <c r="H290" i="6"/>
  <c r="H154" i="6"/>
  <c r="I271" i="6"/>
  <c r="AE140" i="2"/>
  <c r="I189" i="6"/>
  <c r="D327" i="5"/>
  <c r="D225" i="6"/>
  <c r="D7" i="6"/>
  <c r="AI14" i="2"/>
  <c r="K310" i="5"/>
  <c r="D350" i="6"/>
  <c r="E217" i="6"/>
  <c r="O100" i="5"/>
  <c r="P9" i="5"/>
  <c r="AL283" i="2"/>
  <c r="AJ331" i="2"/>
  <c r="G233" i="6"/>
  <c r="D102" i="6"/>
  <c r="AH122" i="2"/>
  <c r="AH282" i="2"/>
  <c r="K307" i="5"/>
  <c r="P22" i="5"/>
  <c r="I338" i="6"/>
  <c r="K264" i="5"/>
  <c r="AK206" i="2"/>
  <c r="H71" i="6"/>
  <c r="AH359" i="2"/>
  <c r="AK195" i="2"/>
  <c r="G44" i="6"/>
  <c r="AD6" i="2"/>
  <c r="K67" i="5"/>
  <c r="I270" i="6"/>
  <c r="H54" i="5"/>
  <c r="AL87" i="2"/>
  <c r="AM408" i="2"/>
  <c r="L160" i="5"/>
  <c r="D196" i="5"/>
  <c r="J360" i="6"/>
  <c r="AM311" i="2"/>
  <c r="AJ323" i="2"/>
  <c r="C77" i="6"/>
  <c r="D337" i="6"/>
  <c r="J195" i="6"/>
  <c r="AM328" i="2"/>
  <c r="AJ451" i="2"/>
  <c r="AI118" i="2"/>
  <c r="C248" i="6"/>
  <c r="D248" i="6"/>
  <c r="C295" i="6"/>
  <c r="K254" i="5"/>
  <c r="F131" i="6"/>
  <c r="E94" i="6"/>
  <c r="B221" i="6"/>
  <c r="E339" i="6"/>
  <c r="AI332" i="2"/>
  <c r="AH124" i="2"/>
  <c r="E196" i="6"/>
  <c r="AD378" i="2"/>
  <c r="J120" i="5"/>
  <c r="F91" i="5"/>
  <c r="C114" i="6"/>
  <c r="J44" i="6"/>
  <c r="AM50" i="2"/>
  <c r="C147" i="6"/>
  <c r="AL79" i="2"/>
  <c r="F251" i="5"/>
  <c r="B173" i="6"/>
  <c r="C319" i="6"/>
  <c r="G53" i="6"/>
  <c r="L277" i="5"/>
  <c r="AG153" i="2"/>
  <c r="I85" i="6"/>
  <c r="L50" i="5"/>
  <c r="P6" i="5"/>
  <c r="H316" i="6"/>
  <c r="M123" i="5"/>
  <c r="G116" i="5"/>
  <c r="M121" i="5"/>
  <c r="P62" i="5"/>
  <c r="AL224" i="2"/>
  <c r="I324" i="6"/>
  <c r="I352" i="6"/>
  <c r="AH357" i="2"/>
  <c r="P24" i="5"/>
  <c r="D215" i="6"/>
  <c r="AL161" i="2"/>
  <c r="I215" i="6"/>
  <c r="I351" i="6"/>
  <c r="AL313" i="2"/>
  <c r="H175" i="6"/>
  <c r="F62" i="6"/>
  <c r="K168" i="5"/>
  <c r="G285" i="6"/>
  <c r="G187" i="5"/>
  <c r="AG113" i="2"/>
  <c r="O89" i="5"/>
  <c r="C250" i="6"/>
  <c r="AK208" i="2"/>
  <c r="AE375" i="2"/>
  <c r="AJ120" i="2"/>
  <c r="C181" i="6"/>
  <c r="F93" i="6"/>
  <c r="I333" i="6"/>
  <c r="E237" i="6"/>
  <c r="AL312" i="2"/>
  <c r="G277" i="6"/>
  <c r="AI462" i="2"/>
  <c r="C64" i="6"/>
  <c r="C375" i="6"/>
  <c r="K243" i="5"/>
  <c r="C183" i="5"/>
  <c r="F205" i="6"/>
  <c r="J242" i="6"/>
  <c r="AH205" i="2"/>
  <c r="AE388" i="2"/>
  <c r="AJ274" i="2"/>
  <c r="AJ183" i="2"/>
  <c r="L352" i="5"/>
  <c r="B311" i="6"/>
  <c r="AN229" i="2"/>
  <c r="AM19" i="2"/>
  <c r="J36" i="6"/>
  <c r="N78" i="5"/>
  <c r="I198" i="6"/>
  <c r="I32" i="6"/>
  <c r="K134" i="5"/>
  <c r="K127" i="5"/>
  <c r="G163" i="6"/>
  <c r="I59" i="5"/>
  <c r="J208" i="6"/>
  <c r="AM116" i="2"/>
  <c r="AJ241" i="2"/>
  <c r="D191" i="6"/>
  <c r="AE122" i="2"/>
  <c r="AN98" i="2"/>
  <c r="P50" i="5"/>
  <c r="F260" i="6"/>
  <c r="C95" i="6"/>
  <c r="B240" i="6"/>
  <c r="F156" i="6"/>
  <c r="J64" i="5"/>
  <c r="AI267" i="2"/>
  <c r="E308" i="6"/>
  <c r="K118" i="5"/>
  <c r="I320" i="6"/>
  <c r="AK244" i="2"/>
  <c r="C164" i="6"/>
  <c r="I241" i="6"/>
  <c r="AI398" i="2"/>
  <c r="G254" i="6"/>
  <c r="AE133" i="2"/>
  <c r="AE261" i="2"/>
  <c r="F352" i="6"/>
  <c r="E344" i="6"/>
  <c r="C351" i="6"/>
  <c r="D345" i="6"/>
  <c r="F327" i="6"/>
  <c r="K266" i="5"/>
  <c r="D45" i="6"/>
  <c r="I68" i="5"/>
  <c r="AK290" i="2"/>
  <c r="F253" i="6"/>
  <c r="AD411" i="2"/>
  <c r="E7" i="6"/>
  <c r="J178" i="6"/>
  <c r="G190" i="5"/>
  <c r="CG381" i="2"/>
  <c r="D221" i="6"/>
  <c r="C200" i="6"/>
  <c r="AL46" i="2"/>
  <c r="E261" i="6"/>
  <c r="K29" i="5"/>
  <c r="AF237" i="2"/>
  <c r="AM187" i="2"/>
  <c r="AF136" i="2"/>
  <c r="AK127" i="2"/>
  <c r="F237" i="6"/>
  <c r="D307" i="6"/>
  <c r="M130" i="5"/>
  <c r="AD151" i="2"/>
  <c r="C11" i="5"/>
  <c r="K124" i="5"/>
  <c r="AE310" i="2"/>
  <c r="F105" i="6"/>
  <c r="I100" i="6"/>
  <c r="AH395" i="2"/>
  <c r="F270" i="6"/>
  <c r="AI201" i="2"/>
  <c r="AJ430" i="2"/>
  <c r="AF281" i="2"/>
  <c r="C325" i="6"/>
  <c r="E256" i="6"/>
  <c r="E307" i="6"/>
  <c r="G315" i="6"/>
  <c r="H55" i="6"/>
  <c r="E313" i="6"/>
  <c r="D212" i="6"/>
  <c r="AL67" i="2"/>
  <c r="AS140" i="2"/>
  <c r="G33" i="5"/>
  <c r="G205" i="6"/>
  <c r="B341" i="6"/>
  <c r="F301" i="6"/>
  <c r="I99" i="5"/>
  <c r="AN165" i="2"/>
  <c r="AL97" i="2"/>
  <c r="G282" i="6"/>
  <c r="AM372" i="2"/>
  <c r="G68" i="5"/>
  <c r="AM292" i="2"/>
  <c r="G37" i="5"/>
  <c r="B372" i="6"/>
  <c r="C359" i="6"/>
  <c r="H210" i="6"/>
  <c r="F127" i="6"/>
  <c r="B157" i="6"/>
  <c r="D359" i="6"/>
  <c r="J342" i="6"/>
  <c r="H110" i="5"/>
  <c r="J181" i="6"/>
  <c r="D136" i="5"/>
  <c r="G112" i="6"/>
  <c r="AM212" i="2"/>
  <c r="AE398" i="2"/>
  <c r="AD387" i="2"/>
  <c r="AD380" i="2"/>
  <c r="AM27" i="2"/>
  <c r="AE431" i="2"/>
  <c r="AJ67" i="2"/>
  <c r="G333" i="6"/>
  <c r="C229" i="6"/>
  <c r="AM351" i="2"/>
  <c r="AF171" i="2"/>
  <c r="F366" i="5"/>
  <c r="D340" i="5"/>
  <c r="E49" i="6"/>
  <c r="G204" i="6"/>
  <c r="AH221" i="2"/>
  <c r="AF407" i="2"/>
  <c r="E224" i="6"/>
  <c r="D94" i="5"/>
  <c r="AD164" i="2"/>
  <c r="C26" i="6"/>
  <c r="K204" i="5"/>
  <c r="E138" i="6"/>
  <c r="AI448" i="2"/>
  <c r="J100" i="6"/>
  <c r="H344" i="6"/>
  <c r="AD358" i="2"/>
  <c r="N260" i="5"/>
  <c r="G22" i="5"/>
  <c r="D84" i="6"/>
  <c r="AL273" i="2"/>
  <c r="G94" i="6"/>
  <c r="G52" i="5"/>
  <c r="C280" i="6"/>
  <c r="AL355" i="2"/>
  <c r="B92" i="5"/>
  <c r="AM142" i="2"/>
  <c r="AK107" i="2"/>
  <c r="AI273" i="2"/>
  <c r="AK248" i="2"/>
  <c r="AM305" i="2"/>
  <c r="I124" i="5"/>
  <c r="AL216" i="2"/>
  <c r="AM447" i="2"/>
  <c r="AI307" i="2"/>
  <c r="N67" i="5"/>
  <c r="AI269" i="2"/>
  <c r="G21" i="6"/>
  <c r="K327" i="5"/>
  <c r="AD12" i="2"/>
  <c r="I19" i="6"/>
  <c r="AK249" i="2"/>
  <c r="AN421" i="2"/>
  <c r="AJ70" i="2"/>
  <c r="D187" i="6"/>
  <c r="E32" i="6"/>
  <c r="C216" i="6"/>
  <c r="B223" i="6"/>
  <c r="AI152" i="2"/>
  <c r="D27" i="5"/>
  <c r="AF168" i="2"/>
  <c r="H367" i="5"/>
  <c r="AK341" i="2"/>
  <c r="F313" i="6"/>
  <c r="AG119" i="2"/>
  <c r="G237" i="6"/>
  <c r="AJ386" i="2"/>
  <c r="H61" i="6"/>
  <c r="C330" i="6"/>
  <c r="B332" i="6"/>
  <c r="N230" i="5"/>
  <c r="F341" i="5"/>
  <c r="F110" i="5"/>
  <c r="I251" i="6"/>
  <c r="AI309" i="2"/>
  <c r="AI327" i="2"/>
  <c r="AM426" i="2"/>
  <c r="AD247" i="2"/>
  <c r="AL268" i="2"/>
  <c r="AM322" i="2"/>
  <c r="AL301" i="2"/>
  <c r="AK286" i="2"/>
  <c r="AK80" i="2"/>
  <c r="K333" i="5"/>
  <c r="D102" i="5"/>
  <c r="AH441" i="2"/>
  <c r="D165" i="6"/>
  <c r="AJ458" i="2"/>
  <c r="E117" i="6"/>
  <c r="H327" i="6"/>
  <c r="AG350" i="2"/>
  <c r="I68" i="6"/>
  <c r="AK222" i="2"/>
  <c r="AN13" i="2"/>
  <c r="L130" i="5"/>
  <c r="AH334" i="2"/>
  <c r="H234" i="5"/>
  <c r="AM403" i="2"/>
  <c r="AF273" i="2"/>
  <c r="AI328" i="2"/>
  <c r="AK273" i="2"/>
  <c r="I69" i="6"/>
  <c r="D267" i="6"/>
  <c r="K177" i="5"/>
  <c r="C368" i="6"/>
  <c r="F50" i="5"/>
  <c r="C189" i="6"/>
  <c r="H60" i="5"/>
  <c r="AM308" i="2"/>
  <c r="F60" i="6"/>
  <c r="C339" i="6"/>
  <c r="AD341" i="2"/>
  <c r="B124" i="6"/>
  <c r="C108" i="6"/>
  <c r="AL215" i="2"/>
  <c r="C118" i="6"/>
  <c r="J318" i="6"/>
  <c r="E79" i="6"/>
  <c r="G279" i="6"/>
  <c r="P88" i="5"/>
  <c r="AH295" i="2"/>
  <c r="C10" i="5"/>
  <c r="J111" i="5"/>
  <c r="I84" i="5"/>
  <c r="AH194" i="2"/>
  <c r="D13" i="5"/>
  <c r="M90" i="5"/>
  <c r="G235" i="6"/>
  <c r="K132" i="5"/>
  <c r="K267" i="5"/>
  <c r="I162" i="5"/>
  <c r="AK143" i="2"/>
  <c r="C101" i="5"/>
  <c r="F117" i="6"/>
  <c r="AI408" i="2"/>
  <c r="AG229" i="2"/>
  <c r="I60" i="6"/>
  <c r="H46" i="6"/>
  <c r="K112" i="5"/>
  <c r="J215" i="6"/>
  <c r="E86" i="5"/>
  <c r="F119" i="6"/>
  <c r="I369" i="6"/>
  <c r="K373" i="5"/>
  <c r="J103" i="5"/>
  <c r="K51" i="5"/>
  <c r="AJ367" i="2"/>
  <c r="K288" i="5"/>
  <c r="J229" i="6"/>
  <c r="K293" i="5"/>
  <c r="AL211" i="2"/>
  <c r="AG283" i="2"/>
  <c r="AL143" i="2"/>
  <c r="B374" i="6"/>
  <c r="I362" i="6"/>
  <c r="G19" i="6"/>
  <c r="J49" i="6"/>
  <c r="H313" i="5"/>
  <c r="AJ110" i="2"/>
  <c r="AH43" i="2"/>
  <c r="F58" i="6"/>
  <c r="K38" i="5"/>
  <c r="AG237" i="2"/>
  <c r="I312" i="6"/>
  <c r="E268" i="6"/>
  <c r="AP138" i="2"/>
  <c r="B140" i="6"/>
  <c r="AD420" i="2"/>
  <c r="AJ405" i="2"/>
  <c r="AJ310" i="2"/>
  <c r="AI439" i="2"/>
  <c r="J293" i="6"/>
  <c r="E180" i="6"/>
  <c r="L129" i="5"/>
  <c r="K234" i="5"/>
  <c r="C369" i="6"/>
  <c r="C218" i="6"/>
  <c r="J124" i="6"/>
  <c r="AL380" i="2"/>
  <c r="D154" i="6"/>
  <c r="AM181" i="2"/>
  <c r="AD265" i="2"/>
  <c r="AK375" i="2"/>
  <c r="B266" i="6"/>
  <c r="M6" i="5"/>
  <c r="I127" i="5"/>
  <c r="AE181" i="2"/>
  <c r="AI435" i="2"/>
  <c r="H266" i="6"/>
  <c r="K91" i="5"/>
  <c r="H276" i="6"/>
  <c r="B81" i="6"/>
  <c r="O143" i="5"/>
  <c r="I370" i="6"/>
  <c r="AM291" i="2"/>
  <c r="AN117" i="2"/>
  <c r="AM437" i="2"/>
  <c r="CG388" i="2"/>
  <c r="AL371" i="2"/>
  <c r="E352" i="6"/>
  <c r="AE57" i="2"/>
  <c r="H70" i="5"/>
  <c r="AN245" i="2"/>
  <c r="AM115" i="2"/>
  <c r="AN456" i="2"/>
  <c r="AM365" i="2"/>
  <c r="L54" i="5"/>
  <c r="D340" i="6"/>
  <c r="C263" i="6"/>
  <c r="AI418" i="2"/>
  <c r="D162" i="6"/>
  <c r="AH370" i="2"/>
  <c r="AF438" i="2"/>
  <c r="H153" i="5"/>
  <c r="F278" i="6"/>
  <c r="K183" i="5"/>
  <c r="AM173" i="2"/>
  <c r="L89" i="5"/>
  <c r="F41" i="5"/>
  <c r="AG74" i="2"/>
  <c r="AM224" i="2"/>
  <c r="E250" i="6"/>
  <c r="K97" i="5"/>
  <c r="I224" i="5"/>
  <c r="D295" i="6"/>
  <c r="I102" i="5"/>
  <c r="I213" i="6"/>
  <c r="F124" i="5"/>
  <c r="B149" i="5"/>
  <c r="AF35" i="2"/>
  <c r="AE202" i="2"/>
  <c r="O98" i="5"/>
  <c r="I63" i="5"/>
  <c r="K292" i="5"/>
  <c r="F228" i="6"/>
  <c r="J80" i="6"/>
  <c r="J206" i="6"/>
  <c r="G80" i="5"/>
  <c r="J103" i="6"/>
  <c r="H154" i="5"/>
  <c r="D258" i="6"/>
  <c r="F16" i="6"/>
  <c r="B326" i="6"/>
  <c r="AL151" i="2"/>
  <c r="C262" i="6"/>
  <c r="AF21" i="2"/>
  <c r="AI79" i="2"/>
  <c r="AF246" i="2"/>
  <c r="K303" i="5"/>
  <c r="J101" i="5"/>
  <c r="AG323" i="2"/>
  <c r="K104" i="5"/>
  <c r="AF381" i="2"/>
  <c r="AL93" i="2"/>
  <c r="AL442" i="2"/>
  <c r="C141" i="6"/>
  <c r="AM29" i="2"/>
  <c r="B338" i="6"/>
  <c r="D56" i="6"/>
  <c r="B160" i="6"/>
  <c r="AN453" i="2"/>
  <c r="O86" i="5"/>
  <c r="D373" i="5"/>
  <c r="D190" i="6"/>
  <c r="O139" i="5"/>
  <c r="G88" i="5"/>
  <c r="E334" i="6"/>
  <c r="AJ249" i="2"/>
  <c r="I33" i="6"/>
  <c r="AL352" i="2"/>
  <c r="AI149" i="2"/>
  <c r="B123" i="6"/>
  <c r="C6" i="5"/>
  <c r="I41" i="5"/>
  <c r="P46" i="5"/>
  <c r="AI169" i="2"/>
  <c r="AE280" i="2"/>
  <c r="AK106" i="2"/>
  <c r="AJ263" i="2"/>
  <c r="J315" i="6"/>
  <c r="AE113" i="2"/>
  <c r="E78" i="6"/>
  <c r="D132" i="5"/>
  <c r="AJ434" i="2"/>
  <c r="H122" i="6"/>
  <c r="K358" i="5"/>
  <c r="C203" i="6"/>
  <c r="AJ253" i="2"/>
  <c r="AM87" i="2"/>
  <c r="AL10" i="2"/>
  <c r="C85" i="6"/>
  <c r="AF227" i="2"/>
  <c r="C122" i="6"/>
  <c r="D305" i="6"/>
  <c r="F225" i="6"/>
  <c r="AJ68" i="2"/>
  <c r="G251" i="6"/>
  <c r="G283" i="6"/>
  <c r="D324" i="6"/>
  <c r="L19" i="5"/>
  <c r="B106" i="5"/>
  <c r="E185" i="6"/>
  <c r="D272" i="6"/>
  <c r="E130" i="5"/>
  <c r="AK171" i="2"/>
  <c r="K173" i="5"/>
  <c r="J358" i="6"/>
  <c r="AI322" i="2"/>
  <c r="AK269" i="2"/>
  <c r="H119" i="6"/>
  <c r="C246" i="5"/>
  <c r="E263" i="5"/>
  <c r="C228" i="6"/>
  <c r="K123" i="5"/>
  <c r="D370" i="6"/>
  <c r="H185" i="6"/>
  <c r="AJ353" i="2"/>
  <c r="D28" i="6"/>
  <c r="G314" i="6"/>
  <c r="O61" i="5"/>
  <c r="J365" i="6"/>
  <c r="F224" i="6"/>
  <c r="AJ437" i="2"/>
  <c r="D320" i="6"/>
  <c r="P23" i="5"/>
  <c r="L26" i="5"/>
  <c r="AL11" i="2"/>
  <c r="M55" i="5"/>
  <c r="H343" i="6"/>
  <c r="AI381" i="2"/>
  <c r="D322" i="6"/>
  <c r="B184" i="6"/>
  <c r="G346" i="6"/>
  <c r="P255" i="5"/>
  <c r="K332" i="5"/>
  <c r="B178" i="6"/>
  <c r="F54" i="6"/>
  <c r="K163" i="5"/>
  <c r="G121" i="6"/>
  <c r="I118" i="6"/>
  <c r="AE9" i="2"/>
  <c r="AF155" i="2"/>
  <c r="AL197" i="2"/>
  <c r="AE89" i="2"/>
  <c r="J116" i="6"/>
  <c r="E205" i="6"/>
  <c r="E53" i="5"/>
  <c r="AD285" i="2"/>
  <c r="E171" i="6"/>
  <c r="AM198" i="2"/>
  <c r="AM222" i="2"/>
  <c r="D354" i="6"/>
  <c r="G298" i="6"/>
  <c r="C180" i="6"/>
  <c r="G278" i="6"/>
  <c r="B322" i="6"/>
  <c r="AG460" i="2"/>
  <c r="G90" i="5"/>
  <c r="H98" i="5"/>
  <c r="AF207" i="2"/>
  <c r="AM147" i="2"/>
  <c r="E170" i="5"/>
  <c r="AH432" i="2"/>
  <c r="AF116" i="2"/>
  <c r="B126" i="5"/>
  <c r="AD403" i="2"/>
  <c r="F154" i="5"/>
  <c r="AL440" i="2"/>
  <c r="K95" i="5"/>
  <c r="C354" i="5"/>
  <c r="AK285" i="2"/>
  <c r="AD298" i="2"/>
  <c r="AI76" i="2"/>
  <c r="H249" i="6"/>
  <c r="J12" i="5"/>
  <c r="F252" i="6"/>
  <c r="C57" i="5"/>
  <c r="I144" i="6"/>
  <c r="AK433" i="2"/>
  <c r="K12" i="5"/>
  <c r="AK301" i="2"/>
  <c r="K280" i="5"/>
  <c r="AF374" i="2"/>
  <c r="K34" i="5"/>
  <c r="I61" i="6"/>
  <c r="AM264" i="2"/>
  <c r="AM350" i="2"/>
  <c r="E330" i="6"/>
  <c r="K15" i="5"/>
  <c r="D369" i="6"/>
  <c r="H268" i="6"/>
  <c r="C113" i="5"/>
  <c r="K344" i="5"/>
  <c r="G54" i="6"/>
  <c r="AK367" i="2"/>
  <c r="K197" i="5"/>
  <c r="K68" i="5"/>
  <c r="J361" i="6"/>
  <c r="I349" i="6"/>
  <c r="AI442" i="2"/>
  <c r="AH263" i="2"/>
  <c r="H369" i="6"/>
  <c r="K152" i="5"/>
  <c r="H211" i="6"/>
  <c r="F80" i="5"/>
  <c r="D351" i="6"/>
  <c r="J39" i="6"/>
  <c r="H9" i="5"/>
  <c r="J34" i="6"/>
  <c r="D285" i="6"/>
  <c r="D94" i="6"/>
  <c r="I309" i="6"/>
  <c r="J258" i="6"/>
  <c r="K286" i="5"/>
  <c r="E121" i="6"/>
  <c r="I176" i="6"/>
  <c r="J289" i="6"/>
  <c r="F178" i="6"/>
  <c r="AN289" i="2"/>
  <c r="E303" i="6"/>
  <c r="E52" i="6"/>
  <c r="AK154" i="2"/>
  <c r="H269" i="6"/>
  <c r="AJ429" i="2"/>
  <c r="B352" i="6"/>
  <c r="C52" i="5"/>
  <c r="AL438" i="2"/>
  <c r="H12" i="5"/>
  <c r="G280" i="6"/>
  <c r="E232" i="6"/>
  <c r="E305" i="6"/>
  <c r="B280" i="6"/>
  <c r="E332" i="6"/>
  <c r="AD364" i="2"/>
  <c r="AI73" i="2"/>
  <c r="AH217" i="2"/>
  <c r="G271" i="6"/>
  <c r="AF55" i="2"/>
  <c r="J175" i="6"/>
  <c r="E201" i="6"/>
  <c r="F188" i="5"/>
  <c r="C71" i="5"/>
  <c r="C316" i="6"/>
  <c r="AM270" i="2"/>
  <c r="G321" i="6"/>
  <c r="AM109" i="2"/>
  <c r="J306" i="6"/>
  <c r="AM456" i="2"/>
  <c r="J18" i="5"/>
  <c r="AN439" i="2"/>
  <c r="F42" i="6"/>
  <c r="B37" i="5"/>
  <c r="AM108" i="2"/>
  <c r="AJ84" i="2"/>
  <c r="AM21" i="2"/>
  <c r="AE106" i="2"/>
  <c r="AM321" i="2"/>
  <c r="G134" i="6"/>
  <c r="E233" i="6"/>
  <c r="D131" i="5"/>
  <c r="D30" i="5"/>
  <c r="C258" i="6"/>
  <c r="AK160" i="2"/>
  <c r="AL196" i="2"/>
  <c r="K56" i="5"/>
  <c r="AH348" i="2"/>
  <c r="I96" i="5"/>
  <c r="AM74" i="2"/>
  <c r="J254" i="5"/>
  <c r="AN168" i="2"/>
  <c r="I222" i="6"/>
  <c r="AK211" i="2"/>
  <c r="I65" i="5"/>
  <c r="AM254" i="2"/>
  <c r="AE167" i="2"/>
  <c r="I27" i="5"/>
  <c r="F120" i="5"/>
  <c r="G348" i="6"/>
  <c r="AF238" i="2"/>
  <c r="I78" i="5"/>
  <c r="AE291" i="2"/>
  <c r="F219" i="6"/>
  <c r="AM251" i="2"/>
  <c r="AF175" i="2"/>
  <c r="M236" i="5"/>
  <c r="AF322" i="2"/>
  <c r="AM332" i="2"/>
  <c r="AD442" i="2"/>
  <c r="G227" i="6"/>
  <c r="AG248" i="2"/>
  <c r="B269" i="6"/>
  <c r="G215" i="6"/>
  <c r="G105" i="6"/>
  <c r="AL204" i="2"/>
  <c r="C249" i="6"/>
  <c r="O15" i="5"/>
  <c r="B228" i="6"/>
  <c r="AG414" i="2"/>
  <c r="AM427" i="2"/>
  <c r="N71" i="5"/>
  <c r="AI447" i="2"/>
  <c r="AJ463" i="2"/>
  <c r="B42" i="6"/>
  <c r="F335" i="6"/>
  <c r="B263" i="6"/>
  <c r="K89" i="5"/>
  <c r="K30" i="5"/>
  <c r="K270" i="5"/>
  <c r="AJ261" i="2"/>
  <c r="AJ161" i="2"/>
  <c r="K188" i="5"/>
  <c r="D293" i="6"/>
  <c r="AI247" i="2"/>
  <c r="E315" i="6"/>
  <c r="AH339" i="2"/>
  <c r="I366" i="6"/>
  <c r="G76" i="6"/>
  <c r="C301" i="6"/>
  <c r="AI230" i="2"/>
  <c r="I8" i="6"/>
  <c r="I212" i="5"/>
  <c r="AH301" i="2"/>
  <c r="B336" i="6"/>
  <c r="M157" i="5"/>
  <c r="AN357" i="2"/>
  <c r="D199" i="6"/>
  <c r="AI464" i="2"/>
  <c r="AM271" i="2"/>
  <c r="E269" i="6"/>
  <c r="AM381" i="2"/>
  <c r="K244" i="5"/>
  <c r="AL171" i="2"/>
  <c r="AH52" i="2"/>
  <c r="K82" i="5"/>
  <c r="AD103" i="2"/>
  <c r="J84" i="6"/>
  <c r="I94" i="5"/>
  <c r="B318" i="6"/>
  <c r="G58" i="6"/>
  <c r="AK426" i="2"/>
  <c r="D203" i="6"/>
  <c r="J236" i="6"/>
  <c r="J90" i="6"/>
  <c r="G45" i="5"/>
  <c r="AI130" i="2"/>
  <c r="F207" i="6"/>
  <c r="I72" i="6"/>
  <c r="AG239" i="2"/>
  <c r="K338" i="5"/>
  <c r="G32" i="6"/>
  <c r="B162" i="5"/>
  <c r="C246" i="6"/>
  <c r="K378" i="5"/>
  <c r="M13" i="5"/>
  <c r="B95" i="5"/>
  <c r="B92" i="6"/>
  <c r="AJ288" i="2"/>
  <c r="K263" i="5"/>
  <c r="I267" i="5"/>
  <c r="AD241" i="2"/>
  <c r="AI254" i="2"/>
  <c r="AM111" i="2"/>
  <c r="AG86" i="2"/>
  <c r="P122" i="5"/>
  <c r="AL50" i="2"/>
  <c r="K336" i="5"/>
  <c r="J130" i="6"/>
  <c r="H305" i="6"/>
  <c r="I89" i="6"/>
  <c r="D200" i="5"/>
  <c r="N6" i="5"/>
  <c r="I182" i="6"/>
  <c r="F146" i="5"/>
  <c r="AI465" i="2"/>
  <c r="F288" i="6"/>
  <c r="O45" i="5"/>
  <c r="AK200" i="2"/>
  <c r="AK34" i="2"/>
  <c r="F277" i="6"/>
  <c r="B131" i="6"/>
  <c r="I223" i="5"/>
  <c r="F236" i="5"/>
  <c r="D259" i="6"/>
  <c r="AK8" i="2"/>
  <c r="F204" i="6"/>
  <c r="AL7" i="2"/>
  <c r="F165" i="6"/>
  <c r="F18" i="6"/>
  <c r="I209" i="6"/>
  <c r="AJ94" i="2"/>
  <c r="M359" i="5"/>
  <c r="AL261" i="2"/>
  <c r="B196" i="6"/>
  <c r="D210" i="6"/>
  <c r="H233" i="6"/>
  <c r="AJ381" i="2"/>
  <c r="C221" i="6"/>
  <c r="H310" i="6"/>
  <c r="AJ398" i="2"/>
  <c r="K271" i="5"/>
  <c r="AM232" i="2"/>
  <c r="AE393" i="2"/>
  <c r="AD116" i="2"/>
  <c r="H243" i="6"/>
  <c r="I302" i="6"/>
  <c r="D218" i="6"/>
  <c r="H136" i="6"/>
  <c r="AK104" i="2"/>
  <c r="F215" i="6"/>
  <c r="AE135" i="2"/>
  <c r="AM185" i="2"/>
  <c r="E254" i="6"/>
  <c r="AM444" i="2"/>
  <c r="AH327" i="2"/>
  <c r="G261" i="6"/>
  <c r="I86" i="5"/>
  <c r="AI378" i="2"/>
  <c r="G179" i="5"/>
  <c r="AM91" i="2"/>
  <c r="I129" i="5"/>
  <c r="AD228" i="2"/>
  <c r="AM73" i="2"/>
  <c r="C33" i="5"/>
  <c r="F220" i="6"/>
  <c r="E179" i="6"/>
  <c r="H361" i="6"/>
  <c r="D156" i="5"/>
  <c r="AG257" i="2"/>
  <c r="AD465" i="2"/>
  <c r="C285" i="6"/>
  <c r="AJ371" i="2"/>
  <c r="O57" i="5"/>
  <c r="K377" i="5"/>
  <c r="G28" i="6"/>
  <c r="AE110" i="2"/>
  <c r="I334" i="6"/>
  <c r="AI252" i="2"/>
  <c r="E101" i="6"/>
  <c r="B15" i="5"/>
  <c r="AD229" i="2"/>
  <c r="I13" i="6"/>
  <c r="H145" i="6"/>
  <c r="I158" i="6"/>
  <c r="E128" i="6"/>
  <c r="AK306" i="2"/>
  <c r="AK190" i="2"/>
  <c r="B117" i="6"/>
  <c r="M147" i="5"/>
  <c r="M142" i="5"/>
  <c r="J288" i="6"/>
  <c r="I277" i="6"/>
  <c r="B44" i="5"/>
  <c r="B158" i="6"/>
  <c r="F317" i="6"/>
  <c r="AR418" i="2"/>
  <c r="J356" i="6"/>
  <c r="AF442" i="2"/>
  <c r="K36" i="5"/>
  <c r="K283" i="5"/>
  <c r="B163" i="6"/>
  <c r="I322" i="6"/>
  <c r="AE13" i="2"/>
  <c r="I93" i="5"/>
  <c r="M51" i="5"/>
  <c r="AM56" i="2"/>
  <c r="I80" i="5"/>
  <c r="C278" i="6"/>
  <c r="D160" i="6"/>
  <c r="AD356" i="2"/>
  <c r="I269" i="6"/>
  <c r="K215" i="5"/>
  <c r="D86" i="5"/>
  <c r="AM235" i="2"/>
  <c r="M41" i="5"/>
  <c r="F172" i="6"/>
  <c r="AF74" i="2"/>
  <c r="AM436" i="2"/>
  <c r="M131" i="5"/>
  <c r="D149" i="5"/>
  <c r="B35" i="5"/>
  <c r="J299" i="6"/>
  <c r="AM245" i="2"/>
  <c r="B202" i="6"/>
  <c r="H93" i="5"/>
  <c r="D202" i="6"/>
  <c r="I347" i="6"/>
  <c r="B143" i="5"/>
  <c r="E95" i="5"/>
  <c r="E188" i="6"/>
  <c r="H150" i="6"/>
  <c r="K304" i="5"/>
  <c r="F63" i="6"/>
  <c r="G188" i="6"/>
  <c r="I164" i="6"/>
  <c r="M29" i="5"/>
  <c r="AH229" i="2"/>
  <c r="C40" i="5"/>
  <c r="G186" i="5"/>
  <c r="AH368" i="2"/>
  <c r="I46" i="6"/>
  <c r="AM209" i="2"/>
  <c r="D222" i="6"/>
  <c r="B55" i="6"/>
  <c r="AI119" i="2"/>
  <c r="C28" i="5"/>
  <c r="H25" i="5"/>
  <c r="H69" i="5"/>
  <c r="C254" i="6"/>
  <c r="AL397" i="2"/>
  <c r="AM204" i="2"/>
  <c r="H20" i="5"/>
  <c r="AI70" i="2"/>
  <c r="AG16" i="2"/>
  <c r="D310" i="6"/>
  <c r="AF337" i="2"/>
  <c r="AL253" i="2"/>
  <c r="K133" i="5"/>
  <c r="E203" i="5"/>
  <c r="AG435" i="2"/>
  <c r="AM15" i="2"/>
  <c r="AI272" i="2"/>
  <c r="B71" i="6"/>
  <c r="I257" i="6"/>
  <c r="AK399" i="2"/>
  <c r="I71" i="6"/>
  <c r="B282" i="6"/>
  <c r="I142" i="6"/>
  <c r="E172" i="6"/>
  <c r="AI354" i="2"/>
  <c r="M128" i="5"/>
  <c r="J38" i="6"/>
  <c r="B353" i="6"/>
  <c r="G355" i="6"/>
  <c r="AE433" i="2"/>
  <c r="AI284" i="2"/>
  <c r="G303" i="6"/>
  <c r="P233" i="5"/>
  <c r="E76" i="6"/>
  <c r="G357" i="6"/>
  <c r="J37" i="6"/>
  <c r="B191" i="6"/>
  <c r="G256" i="6"/>
  <c r="I339" i="6"/>
  <c r="J218" i="6"/>
  <c r="I307" i="6"/>
  <c r="C334" i="6"/>
  <c r="B24" i="5"/>
  <c r="F9" i="6"/>
  <c r="AL28" i="2"/>
  <c r="O96" i="5"/>
  <c r="J253" i="6"/>
  <c r="D53" i="6"/>
  <c r="AL188" i="2"/>
  <c r="AJ81" i="2"/>
  <c r="D298" i="6"/>
  <c r="B275" i="6"/>
  <c r="L62" i="5"/>
  <c r="E80" i="6"/>
  <c r="AH259" i="2"/>
  <c r="B253" i="6"/>
  <c r="C272" i="6"/>
  <c r="AH13" i="2"/>
  <c r="K331" i="5"/>
  <c r="L78" i="5"/>
  <c r="E364" i="6"/>
  <c r="AE241" i="2"/>
  <c r="AL408" i="2"/>
  <c r="C18" i="5"/>
  <c r="AE455" i="2"/>
  <c r="H201" i="6"/>
  <c r="L288" i="5"/>
  <c r="B321" i="5"/>
  <c r="D49" i="6"/>
  <c r="G144" i="6"/>
  <c r="M356" i="5"/>
  <c r="D98" i="5"/>
  <c r="K131" i="5"/>
  <c r="J300" i="6"/>
  <c r="G183" i="6"/>
  <c r="AD274" i="2"/>
  <c r="H44" i="5"/>
  <c r="J231" i="6"/>
  <c r="H62" i="5"/>
  <c r="AI88" i="2"/>
  <c r="B303" i="6"/>
  <c r="G335" i="6"/>
  <c r="C160" i="6"/>
  <c r="AE49" i="2"/>
  <c r="E263" i="6"/>
  <c r="AJ188" i="2"/>
  <c r="K115" i="5"/>
  <c r="C235" i="6"/>
  <c r="H248" i="6"/>
  <c r="AD38" i="2"/>
  <c r="J156" i="6"/>
  <c r="E155" i="6"/>
  <c r="L90" i="5"/>
  <c r="F59" i="5"/>
  <c r="AJ153" i="2"/>
  <c r="I298" i="6"/>
  <c r="C10" i="6"/>
  <c r="I192" i="5"/>
  <c r="AJ89" i="2"/>
  <c r="AG151" i="2"/>
  <c r="D275" i="6"/>
  <c r="K9" i="5"/>
  <c r="AM296" i="2"/>
  <c r="AD371" i="2"/>
  <c r="K189" i="5"/>
  <c r="J61" i="6"/>
  <c r="F21" i="6"/>
  <c r="AL77" i="2"/>
  <c r="E300" i="6"/>
  <c r="AH162" i="2"/>
  <c r="E299" i="6"/>
  <c r="I273" i="6"/>
  <c r="M246" i="5"/>
  <c r="J134" i="6"/>
  <c r="B330" i="6"/>
  <c r="D312" i="6"/>
  <c r="F229" i="5"/>
  <c r="AJ305" i="2"/>
  <c r="J290" i="6"/>
  <c r="H196" i="5"/>
  <c r="AG277" i="2"/>
  <c r="F210" i="6"/>
  <c r="D85" i="5"/>
  <c r="G171" i="6"/>
  <c r="F14" i="6"/>
  <c r="AK17" i="2"/>
  <c r="J111" i="6"/>
  <c r="AK410" i="2"/>
  <c r="AD219" i="2"/>
  <c r="AL351" i="2"/>
  <c r="AE219" i="2"/>
  <c r="E362" i="6"/>
  <c r="AJ134" i="2"/>
  <c r="P347" i="5"/>
  <c r="AI158" i="2"/>
  <c r="M127" i="5"/>
  <c r="B256" i="6"/>
  <c r="AK112" i="2"/>
  <c r="F185" i="6"/>
  <c r="AG276" i="2"/>
  <c r="I286" i="6"/>
  <c r="AI50" i="2"/>
  <c r="J220" i="6"/>
  <c r="E195" i="6"/>
  <c r="AK297" i="2"/>
  <c r="H126" i="6"/>
  <c r="AL431" i="2"/>
  <c r="K88" i="5"/>
  <c r="AM263" i="2"/>
  <c r="K66" i="5"/>
  <c r="AH220" i="2"/>
  <c r="O328" i="5"/>
  <c r="AJ58" i="2"/>
  <c r="AI325" i="2"/>
  <c r="AK250" i="2"/>
  <c r="D110" i="5"/>
  <c r="B208" i="6"/>
  <c r="C101" i="6"/>
  <c r="F138" i="5"/>
  <c r="D27" i="6"/>
  <c r="I17" i="5"/>
  <c r="AJ237" i="2"/>
  <c r="AL433" i="2"/>
  <c r="F230" i="6"/>
  <c r="I28" i="5"/>
  <c r="E21" i="6"/>
  <c r="AM273" i="2"/>
  <c r="G6" i="6"/>
  <c r="F371" i="5"/>
  <c r="AG176" i="2"/>
  <c r="D185" i="6"/>
  <c r="AE213" i="2"/>
  <c r="AG367" i="2"/>
  <c r="AM327" i="2"/>
  <c r="E124" i="6"/>
  <c r="H126" i="5"/>
  <c r="C259" i="6"/>
  <c r="AJ174" i="2"/>
  <c r="E50" i="5"/>
  <c r="E35" i="6"/>
  <c r="AM230" i="2"/>
  <c r="C291" i="6"/>
  <c r="J96" i="6"/>
  <c r="D145" i="5"/>
  <c r="C195" i="6"/>
  <c r="E110" i="6"/>
  <c r="AE335" i="2"/>
  <c r="L33" i="5"/>
  <c r="B323" i="6"/>
  <c r="I287" i="6"/>
  <c r="J84" i="5"/>
  <c r="G50" i="5"/>
  <c r="E374" i="6"/>
  <c r="AL339" i="2"/>
  <c r="K250" i="5"/>
  <c r="F297" i="6"/>
  <c r="I95" i="5"/>
  <c r="E314" i="6"/>
  <c r="I122" i="5"/>
  <c r="K32" i="5"/>
  <c r="P306" i="5"/>
  <c r="AM241" i="2"/>
  <c r="AG18" i="2"/>
  <c r="AR359" i="2"/>
  <c r="D113" i="6"/>
  <c r="E239" i="5"/>
  <c r="H340" i="6"/>
  <c r="B313" i="6"/>
  <c r="K343" i="5"/>
  <c r="N144" i="5"/>
  <c r="H67" i="5"/>
  <c r="C15" i="5"/>
  <c r="D283" i="6"/>
  <c r="D67" i="6"/>
  <c r="I11" i="5"/>
  <c r="AG344" i="2"/>
  <c r="K83" i="5"/>
  <c r="L176" i="5"/>
  <c r="AH35" i="2"/>
  <c r="I233" i="6"/>
  <c r="AM90" i="2"/>
  <c r="G354" i="6"/>
  <c r="AM40" i="2"/>
  <c r="F10" i="5"/>
  <c r="AM352" i="2"/>
  <c r="H40" i="5"/>
  <c r="AJ464" i="2"/>
  <c r="K224" i="5"/>
  <c r="B258" i="6"/>
  <c r="E165" i="6"/>
  <c r="AM282" i="2"/>
  <c r="AK419" i="2"/>
  <c r="J291" i="6"/>
  <c r="B35" i="6"/>
  <c r="D284" i="6"/>
  <c r="I169" i="6"/>
  <c r="H200" i="5"/>
  <c r="M30" i="5"/>
  <c r="B107" i="6"/>
  <c r="AM439" i="2"/>
  <c r="AL74" i="2"/>
  <c r="L120" i="5"/>
  <c r="AD87" i="2"/>
  <c r="AG270" i="2"/>
  <c r="G341" i="6"/>
  <c r="L60" i="5"/>
  <c r="AJ44" i="2"/>
  <c r="B136" i="6"/>
  <c r="G221" i="6"/>
  <c r="AE257" i="2"/>
  <c r="AH138" i="2"/>
  <c r="M106" i="5"/>
  <c r="D269" i="6"/>
  <c r="AL318" i="2"/>
  <c r="K213" i="5"/>
  <c r="C146" i="6"/>
  <c r="B132" i="6"/>
  <c r="B230" i="5"/>
  <c r="M87" i="5"/>
  <c r="N40" i="5"/>
  <c r="D265" i="6"/>
  <c r="AL231" i="2"/>
  <c r="AE145" i="2"/>
  <c r="E64" i="5"/>
  <c r="B339" i="6"/>
  <c r="AL286" i="2"/>
  <c r="AQ439" i="2"/>
  <c r="G225" i="6"/>
  <c r="AI258" i="2"/>
  <c r="M94" i="5"/>
  <c r="J185" i="6"/>
  <c r="H101" i="6"/>
  <c r="G260" i="6"/>
  <c r="G211" i="6"/>
  <c r="D194" i="6"/>
  <c r="C345" i="6"/>
  <c r="AK130" i="2"/>
  <c r="AK218" i="2"/>
  <c r="AM331" i="2"/>
  <c r="C237" i="6"/>
  <c r="J6" i="6"/>
  <c r="G212" i="6"/>
  <c r="B217" i="6"/>
  <c r="F357" i="6"/>
  <c r="AJ264" i="2"/>
  <c r="C344" i="6"/>
  <c r="K202" i="5"/>
  <c r="AI255" i="2"/>
  <c r="K85" i="5"/>
  <c r="K285" i="5"/>
  <c r="AJ339" i="2"/>
  <c r="I367" i="6"/>
  <c r="AD384" i="2"/>
  <c r="AG124" i="2"/>
  <c r="AI186" i="2"/>
  <c r="F128" i="6"/>
  <c r="K78" i="5"/>
  <c r="AK292" i="2"/>
  <c r="C8" i="6"/>
  <c r="AL56" i="2"/>
  <c r="AJ365" i="2"/>
  <c r="E304" i="6"/>
  <c r="AH230" i="2"/>
  <c r="D271" i="6"/>
  <c r="B86" i="6"/>
  <c r="I313" i="6"/>
  <c r="AN248" i="2"/>
  <c r="O109" i="5"/>
  <c r="G250" i="5"/>
  <c r="C273" i="6"/>
  <c r="K374" i="5"/>
  <c r="D312" i="5"/>
  <c r="J340" i="6"/>
  <c r="AF14" i="2"/>
  <c r="K265" i="5"/>
  <c r="AH431" i="2"/>
  <c r="K193" i="5"/>
  <c r="K33" i="5"/>
  <c r="E140" i="6"/>
  <c r="B271" i="6"/>
  <c r="J338" i="6"/>
  <c r="G152" i="5"/>
  <c r="AI268" i="2"/>
  <c r="B180" i="6"/>
  <c r="AN27" i="2"/>
  <c r="N69" i="5"/>
  <c r="D220" i="6"/>
  <c r="F123" i="5"/>
  <c r="AL202" i="2"/>
  <c r="E209" i="6"/>
  <c r="AM396" i="2"/>
  <c r="AG341" i="2"/>
  <c r="AM339" i="2"/>
  <c r="F30" i="5"/>
  <c r="B279" i="6"/>
  <c r="AI454" i="2"/>
  <c r="AK420" i="2"/>
  <c r="I137" i="5"/>
  <c r="AK81" i="2"/>
  <c r="AJ32" i="2"/>
  <c r="K49" i="5"/>
  <c r="G27" i="5"/>
  <c r="AL444" i="2"/>
  <c r="J363" i="6"/>
  <c r="D334" i="6"/>
  <c r="AN170" i="2"/>
  <c r="F308" i="6"/>
  <c r="E47" i="6"/>
  <c r="C340" i="6"/>
  <c r="F273" i="6"/>
  <c r="AL398" i="2"/>
  <c r="J298" i="6"/>
  <c r="D71" i="6"/>
  <c r="AH37" i="2"/>
  <c r="AI86" i="2"/>
  <c r="B340" i="6"/>
  <c r="F360" i="6"/>
  <c r="E290" i="6"/>
  <c r="AH84" i="2"/>
  <c r="H340" i="5"/>
  <c r="AM357" i="2"/>
  <c r="G272" i="6"/>
  <c r="B249" i="6"/>
  <c r="AI340" i="2"/>
  <c r="H366" i="6"/>
  <c r="AL232" i="2"/>
  <c r="K323" i="5"/>
  <c r="AI145" i="2"/>
  <c r="J172" i="6"/>
  <c r="AD325" i="2"/>
  <c r="AJ113" i="2"/>
  <c r="G268" i="6"/>
  <c r="AG456" i="2"/>
  <c r="I252" i="6"/>
  <c r="J243" i="6"/>
  <c r="C19" i="5"/>
  <c r="G77" i="5"/>
  <c r="CG132" i="2"/>
  <c r="B74" i="6"/>
  <c r="AL325" i="2"/>
  <c r="F201" i="6"/>
  <c r="P172" i="5"/>
  <c r="H367" i="6"/>
  <c r="AF156" i="2"/>
  <c r="AM202" i="2"/>
  <c r="AF143" i="2"/>
  <c r="D24" i="5"/>
  <c r="AJ196" i="2"/>
  <c r="AE235" i="2"/>
  <c r="G339" i="6"/>
  <c r="G160" i="6"/>
  <c r="D328" i="6"/>
  <c r="L118" i="5"/>
  <c r="AH303" i="2"/>
  <c r="F150" i="6"/>
  <c r="J333" i="6"/>
  <c r="I283" i="6"/>
  <c r="AF36" i="2"/>
  <c r="H63" i="5"/>
  <c r="AM371" i="2"/>
  <c r="AM234" i="2"/>
  <c r="AE420" i="2"/>
  <c r="AN181" i="2"/>
  <c r="H167" i="6"/>
  <c r="B354" i="6"/>
  <c r="C144" i="5"/>
  <c r="E318" i="6"/>
  <c r="G294" i="6"/>
  <c r="C231" i="6"/>
  <c r="AS154" i="2"/>
  <c r="M137" i="5"/>
  <c r="AI392" i="2"/>
  <c r="O64" i="5"/>
  <c r="K105" i="5"/>
  <c r="F292" i="6"/>
  <c r="D103" i="6"/>
  <c r="I199" i="5"/>
  <c r="O76" i="5"/>
  <c r="AM377" i="2"/>
  <c r="B131" i="5"/>
  <c r="D216" i="6"/>
  <c r="H31" i="6"/>
  <c r="L84" i="5"/>
  <c r="AH237" i="2"/>
  <c r="E100" i="5"/>
  <c r="AL125" i="2"/>
  <c r="AK318" i="2"/>
  <c r="AD291" i="2"/>
  <c r="D116" i="6"/>
  <c r="E365" i="6"/>
  <c r="H128" i="6"/>
  <c r="K278" i="5"/>
  <c r="E136" i="6"/>
  <c r="C25" i="6"/>
  <c r="C20" i="5"/>
  <c r="J153" i="6"/>
  <c r="AL131" i="2"/>
  <c r="AJ350" i="2"/>
  <c r="B206" i="6"/>
  <c r="AJ164" i="2"/>
  <c r="AN403" i="2"/>
  <c r="AE309" i="2"/>
  <c r="AG91" i="2"/>
  <c r="B41" i="6"/>
  <c r="AI276" i="2"/>
  <c r="AD126" i="2"/>
  <c r="AE323" i="2"/>
  <c r="AD215" i="2"/>
  <c r="AJ48" i="2"/>
  <c r="E369" i="6"/>
  <c r="G111" i="6"/>
  <c r="B264" i="6"/>
  <c r="H330" i="6"/>
  <c r="G132" i="6"/>
  <c r="G259" i="6"/>
  <c r="H130" i="5"/>
  <c r="J268" i="6"/>
  <c r="AO235" i="2"/>
  <c r="K119" i="5"/>
  <c r="AI192" i="2"/>
  <c r="J347" i="5"/>
  <c r="M154" i="5"/>
  <c r="CG328" i="2"/>
  <c r="AR262" i="2"/>
  <c r="B359" i="6"/>
  <c r="F19" i="6"/>
  <c r="E242" i="6"/>
  <c r="AF75" i="2"/>
  <c r="G73" i="5"/>
  <c r="AM414" i="2"/>
  <c r="K77" i="5"/>
  <c r="AN235" i="2"/>
  <c r="AP315" i="2"/>
  <c r="AQ265" i="2"/>
  <c r="AO427" i="2"/>
  <c r="CG449" i="2"/>
  <c r="AS291" i="2"/>
  <c r="AT154" i="2"/>
  <c r="AN239" i="2"/>
  <c r="AP245" i="2"/>
  <c r="AQ53" i="2"/>
  <c r="AQ147" i="2"/>
  <c r="AP139" i="2"/>
  <c r="AQ209" i="2"/>
  <c r="AR99" i="2"/>
  <c r="AL206" i="2"/>
  <c r="AR384" i="2"/>
  <c r="AM177" i="2"/>
  <c r="E181" i="6"/>
  <c r="K222" i="5"/>
  <c r="D247" i="6"/>
  <c r="G186" i="6"/>
  <c r="AP157" i="2"/>
  <c r="AN194" i="2"/>
  <c r="AQ139" i="2"/>
  <c r="AO101" i="2"/>
  <c r="CG136" i="2"/>
  <c r="CG145" i="2"/>
  <c r="AS115" i="2"/>
  <c r="AT318" i="2"/>
  <c r="AR202" i="2"/>
  <c r="M22" i="5"/>
  <c r="C176" i="6"/>
  <c r="D40" i="5"/>
  <c r="AM287" i="2"/>
  <c r="AQ46" i="2"/>
  <c r="AR78" i="2"/>
  <c r="AQ102" i="2"/>
  <c r="E273" i="6"/>
  <c r="I229" i="6"/>
  <c r="I374" i="6"/>
  <c r="F131" i="5"/>
  <c r="F367" i="6"/>
  <c r="I90" i="5"/>
  <c r="G13" i="5"/>
  <c r="AM400" i="2"/>
  <c r="AM148" i="2"/>
  <c r="AN278" i="2"/>
  <c r="AP310" i="2"/>
  <c r="AP48" i="2"/>
  <c r="E139" i="5"/>
  <c r="AJ307" i="2"/>
  <c r="I189" i="5"/>
  <c r="I293" i="6"/>
  <c r="AQ331" i="2"/>
  <c r="AP86" i="2"/>
  <c r="AO45" i="2"/>
  <c r="CG438" i="2"/>
  <c r="AS87" i="2"/>
  <c r="AT253" i="2"/>
  <c r="AT210" i="2"/>
  <c r="AR40" i="2"/>
  <c r="CG246" i="2"/>
  <c r="K247" i="5"/>
  <c r="H30" i="5"/>
  <c r="AM44" i="2"/>
  <c r="AP331" i="2"/>
  <c r="AO419" i="2"/>
  <c r="AR217" i="2"/>
  <c r="AO15" i="2"/>
  <c r="AI80" i="2"/>
  <c r="P287" i="5"/>
  <c r="D321" i="6"/>
  <c r="AN277" i="2"/>
  <c r="B32" i="6"/>
  <c r="AE197" i="2"/>
  <c r="AQ460" i="2"/>
  <c r="AP120" i="2"/>
  <c r="AQ272" i="2"/>
  <c r="AR441" i="2"/>
  <c r="AM118" i="2"/>
  <c r="K157" i="5"/>
  <c r="AR386" i="2"/>
  <c r="AO30" i="2"/>
  <c r="CG230" i="2"/>
  <c r="CG439" i="2"/>
  <c r="AS267" i="2"/>
  <c r="AT146" i="2"/>
  <c r="AH63" i="2"/>
  <c r="AD458" i="2"/>
  <c r="I214" i="6"/>
  <c r="AL392" i="2"/>
  <c r="I14" i="5"/>
  <c r="F148" i="6"/>
  <c r="AH180" i="2"/>
  <c r="P80" i="5"/>
  <c r="B197" i="6"/>
  <c r="I350" i="6"/>
  <c r="AM347" i="2"/>
  <c r="G113" i="6"/>
  <c r="AH302" i="2"/>
  <c r="L34" i="5"/>
  <c r="D363" i="6"/>
  <c r="H347" i="6"/>
  <c r="B367" i="6"/>
  <c r="AM195" i="2"/>
  <c r="AE176" i="2"/>
  <c r="E68" i="6"/>
  <c r="G304" i="6"/>
  <c r="I207" i="6"/>
  <c r="AL193" i="2"/>
  <c r="AM244" i="2"/>
  <c r="AK450" i="2"/>
  <c r="D167" i="6"/>
  <c r="E46" i="6"/>
  <c r="AL368" i="2"/>
  <c r="AD147" i="2"/>
  <c r="AH385" i="2"/>
  <c r="AH154" i="2"/>
  <c r="AN206" i="2"/>
  <c r="AM22" i="2"/>
  <c r="G190" i="6"/>
  <c r="AE366" i="2"/>
  <c r="AH321" i="2"/>
  <c r="C277" i="6"/>
  <c r="AJ322" i="2"/>
  <c r="F349" i="6"/>
  <c r="E141" i="6"/>
  <c r="K148" i="5"/>
  <c r="F102" i="6"/>
  <c r="AH304" i="2"/>
  <c r="K72" i="5"/>
  <c r="E143" i="6"/>
  <c r="D138" i="6"/>
  <c r="AN293" i="2"/>
  <c r="G343" i="6"/>
  <c r="K108" i="5"/>
  <c r="I327" i="6"/>
  <c r="AH349" i="2"/>
  <c r="F20" i="6"/>
  <c r="B214" i="6"/>
  <c r="H208" i="5"/>
  <c r="I108" i="5"/>
  <c r="J367" i="6"/>
  <c r="AM450" i="2"/>
  <c r="AM71" i="2"/>
  <c r="AM429" i="2"/>
  <c r="AL288" i="2"/>
  <c r="AM137" i="2"/>
  <c r="J259" i="6"/>
  <c r="AM125" i="2"/>
  <c r="CG426" i="2"/>
  <c r="D88" i="6"/>
  <c r="AM41" i="2"/>
  <c r="C168" i="6"/>
  <c r="AM61" i="2"/>
  <c r="I35" i="6"/>
  <c r="AM154" i="2"/>
  <c r="I299" i="6"/>
  <c r="AM334" i="2"/>
  <c r="J126" i="5"/>
  <c r="I49" i="5"/>
  <c r="I304" i="5"/>
  <c r="J226" i="6"/>
  <c r="AH170" i="2"/>
  <c r="K252" i="5"/>
  <c r="K111" i="5"/>
  <c r="E239" i="6"/>
  <c r="K86" i="5"/>
  <c r="C261" i="6"/>
  <c r="AM330" i="2"/>
  <c r="H163" i="6"/>
  <c r="AM106" i="2"/>
  <c r="D299" i="6"/>
  <c r="AM316" i="2"/>
  <c r="F246" i="6"/>
  <c r="H300" i="6"/>
  <c r="I43" i="5"/>
  <c r="C305" i="6"/>
  <c r="AK152" i="2"/>
  <c r="B325" i="6"/>
  <c r="AE234" i="2"/>
  <c r="L37" i="5"/>
  <c r="AM75" i="2"/>
  <c r="AK340" i="2"/>
  <c r="E252" i="6"/>
  <c r="P52" i="5"/>
  <c r="H244" i="6"/>
  <c r="AD326" i="2"/>
  <c r="F339" i="6"/>
  <c r="K299" i="5"/>
  <c r="AM28" i="2"/>
  <c r="H106" i="6"/>
  <c r="D43" i="6"/>
  <c r="D19" i="6"/>
  <c r="AK370" i="2"/>
  <c r="AJ7" i="2"/>
  <c r="H267" i="6"/>
  <c r="B321" i="6"/>
  <c r="I361" i="6"/>
  <c r="E271" i="6"/>
  <c r="F322" i="6"/>
  <c r="AL360" i="2"/>
  <c r="M50" i="5"/>
  <c r="F255" i="6"/>
  <c r="H353" i="6"/>
  <c r="K39" i="5"/>
  <c r="AI333" i="2"/>
  <c r="H53" i="6"/>
  <c r="C358" i="6"/>
  <c r="C117" i="5"/>
  <c r="AI277" i="2"/>
  <c r="B104" i="6"/>
  <c r="K349" i="5"/>
  <c r="AO365" i="2"/>
  <c r="D70" i="5"/>
  <c r="I290" i="6"/>
  <c r="AK333" i="2"/>
  <c r="D367" i="6"/>
  <c r="C36" i="6"/>
  <c r="I301" i="6"/>
  <c r="J311" i="6"/>
  <c r="G267" i="6"/>
  <c r="O133" i="5"/>
  <c r="J330" i="6"/>
  <c r="G263" i="6"/>
  <c r="I240" i="5"/>
  <c r="AD390" i="2"/>
  <c r="D278" i="6"/>
  <c r="AF453" i="2"/>
  <c r="F37" i="5"/>
  <c r="AE408" i="2"/>
  <c r="E227" i="6"/>
  <c r="H34" i="5"/>
  <c r="B344" i="6"/>
  <c r="AM14" i="2"/>
  <c r="G226" i="6"/>
  <c r="D336" i="6"/>
  <c r="AM384" i="2"/>
  <c r="O132" i="5"/>
  <c r="J177" i="6"/>
  <c r="AP154" i="2"/>
  <c r="AQ75" i="2"/>
  <c r="AR186" i="2"/>
  <c r="AE182" i="2"/>
  <c r="K297" i="5"/>
  <c r="AN66" i="2"/>
  <c r="AP122" i="2"/>
  <c r="AS455" i="2"/>
  <c r="CG305" i="2"/>
  <c r="AH185" i="2"/>
  <c r="C336" i="6"/>
  <c r="AM324" i="2"/>
  <c r="AP167" i="2"/>
  <c r="AQ293" i="2"/>
  <c r="K93" i="5"/>
  <c r="AP51" i="2"/>
  <c r="AQ42" i="2"/>
  <c r="AR339" i="2"/>
  <c r="AN395" i="2"/>
  <c r="AR426" i="2"/>
  <c r="AO283" i="2"/>
  <c r="AJ50" i="2"/>
  <c r="D261" i="6"/>
  <c r="AM293" i="2"/>
  <c r="AI433" i="2"/>
  <c r="AS344" i="2"/>
  <c r="AS167" i="2"/>
  <c r="AR408" i="2"/>
  <c r="CG303" i="2"/>
  <c r="CG14" i="2"/>
  <c r="AO292" i="2"/>
  <c r="B373" i="6"/>
  <c r="AN335" i="2"/>
  <c r="AE78" i="2"/>
  <c r="AN34" i="2"/>
  <c r="AP90" i="2"/>
  <c r="AQ298" i="2"/>
  <c r="AQ323" i="2"/>
  <c r="AS314" i="2"/>
  <c r="AT362" i="2"/>
  <c r="AR345" i="2"/>
  <c r="AM51" i="2"/>
  <c r="AP408" i="2"/>
  <c r="AQ319" i="2"/>
  <c r="AQ414" i="2"/>
  <c r="AP361" i="2"/>
  <c r="AQ30" i="2"/>
  <c r="B244" i="6"/>
  <c r="AM300" i="2"/>
  <c r="AN262" i="2"/>
  <c r="AP294" i="2"/>
  <c r="AQ326" i="2"/>
  <c r="AN233" i="2"/>
  <c r="B97" i="6"/>
  <c r="M64" i="5"/>
  <c r="G136" i="5"/>
  <c r="D173" i="6"/>
  <c r="AN76" i="2"/>
  <c r="AR114" i="2"/>
  <c r="CG157" i="2"/>
  <c r="AS413" i="2"/>
  <c r="AT453" i="2"/>
  <c r="J346" i="6"/>
  <c r="G57" i="5"/>
  <c r="AG458" i="2"/>
  <c r="G49" i="5"/>
  <c r="AP289" i="2"/>
  <c r="AQ112" i="2"/>
  <c r="J46" i="5"/>
  <c r="K371" i="5"/>
  <c r="AT465" i="2"/>
  <c r="AR448" i="2"/>
  <c r="CG301" i="2"/>
  <c r="AP226" i="2"/>
  <c r="AQ434" i="2"/>
  <c r="AM175" i="2"/>
  <c r="F234" i="6"/>
  <c r="G214" i="6"/>
  <c r="AD416" i="2"/>
  <c r="AQ365" i="2"/>
  <c r="AP420" i="2"/>
  <c r="CG350" i="2"/>
  <c r="AS39" i="2"/>
  <c r="AN145" i="2"/>
  <c r="AQ412" i="2"/>
  <c r="AR150" i="2"/>
  <c r="CG165" i="2"/>
  <c r="AS421" i="2"/>
  <c r="AO211" i="2"/>
  <c r="D92" i="6"/>
  <c r="C13" i="5"/>
  <c r="H258" i="6"/>
  <c r="AN272" i="2"/>
  <c r="AP16" i="2"/>
  <c r="AQ343" i="2"/>
  <c r="AT73" i="2"/>
  <c r="F147" i="6"/>
  <c r="AJ27" i="2"/>
  <c r="D226" i="6"/>
  <c r="CG293" i="2"/>
  <c r="I109" i="6"/>
  <c r="AJ312" i="2"/>
  <c r="H364" i="6"/>
  <c r="I105" i="6"/>
  <c r="AL421" i="2"/>
  <c r="C293" i="6"/>
  <c r="B164" i="6"/>
  <c r="D303" i="6"/>
  <c r="AF223" i="2"/>
  <c r="E294" i="6"/>
  <c r="AG331" i="2"/>
  <c r="AL118" i="2"/>
  <c r="AL122" i="2"/>
  <c r="AI224" i="2"/>
  <c r="AH47" i="2"/>
  <c r="J310" i="6"/>
  <c r="G158" i="6"/>
  <c r="K159" i="5"/>
  <c r="B144" i="6"/>
  <c r="AL347" i="2"/>
  <c r="H151" i="6"/>
  <c r="D209" i="6"/>
  <c r="D21" i="5"/>
  <c r="G168" i="6"/>
  <c r="C240" i="6"/>
  <c r="B88" i="6"/>
  <c r="I171" i="6"/>
  <c r="AJ228" i="2"/>
  <c r="J102" i="6"/>
  <c r="H294" i="6"/>
  <c r="J262" i="6"/>
  <c r="K130" i="5"/>
  <c r="C350" i="6"/>
  <c r="AN446" i="2"/>
  <c r="I254" i="6"/>
  <c r="M91" i="5"/>
  <c r="AL104" i="2"/>
  <c r="G34" i="6"/>
  <c r="C373" i="6"/>
  <c r="K120" i="5"/>
  <c r="AL237" i="2"/>
  <c r="I375" i="6"/>
  <c r="AK455" i="2"/>
  <c r="O37" i="5"/>
  <c r="O8" i="5"/>
  <c r="I280" i="6"/>
  <c r="I323" i="6"/>
  <c r="G117" i="5"/>
  <c r="I70" i="5"/>
  <c r="K205" i="5"/>
  <c r="B19" i="5"/>
  <c r="H358" i="6"/>
  <c r="AF316" i="2"/>
  <c r="AM462" i="2"/>
  <c r="AF57" i="2"/>
  <c r="AM346" i="2"/>
  <c r="G257" i="5"/>
  <c r="F347" i="6"/>
  <c r="AM382" i="2"/>
  <c r="AI168" i="2"/>
  <c r="AM297" i="2"/>
  <c r="F12" i="5"/>
  <c r="B297" i="6"/>
  <c r="K117" i="5"/>
  <c r="AN141" i="2"/>
  <c r="K145" i="5"/>
  <c r="AL336" i="2"/>
  <c r="AM376" i="2"/>
  <c r="I296" i="6"/>
  <c r="AL365" i="2"/>
  <c r="I48" i="5"/>
  <c r="AM82" i="2"/>
  <c r="AJ107" i="2"/>
  <c r="I153" i="5"/>
  <c r="AI146" i="2"/>
  <c r="AJ280" i="2"/>
  <c r="AK368" i="2"/>
  <c r="I120" i="6"/>
  <c r="AL141" i="2"/>
  <c r="E340" i="6"/>
  <c r="J239" i="6"/>
  <c r="AJ260" i="2"/>
  <c r="B198" i="6"/>
  <c r="E71" i="5"/>
  <c r="AJ64" i="2"/>
  <c r="C149" i="6"/>
  <c r="AJ435" i="2"/>
  <c r="AL297" i="2"/>
  <c r="B273" i="6"/>
  <c r="AE240" i="2"/>
  <c r="K284" i="5"/>
  <c r="AH284" i="2"/>
  <c r="AN309" i="2"/>
  <c r="K359" i="5"/>
  <c r="F347" i="5"/>
  <c r="I121" i="6"/>
  <c r="E12" i="6"/>
  <c r="AM8" i="2"/>
  <c r="AF416" i="2"/>
  <c r="F145" i="6"/>
  <c r="D244" i="6"/>
  <c r="AM101" i="2"/>
  <c r="J353" i="6"/>
  <c r="B29" i="6"/>
  <c r="F243" i="6"/>
  <c r="J27" i="5"/>
  <c r="H232" i="6"/>
  <c r="AF142" i="2"/>
  <c r="D366" i="6"/>
  <c r="AK6" i="2"/>
  <c r="B296" i="6"/>
  <c r="B249" i="5"/>
  <c r="AK217" i="2"/>
  <c r="AI270" i="2"/>
  <c r="D241" i="6"/>
  <c r="E43" i="5"/>
  <c r="I373" i="6"/>
  <c r="H71" i="5"/>
  <c r="F331" i="6"/>
  <c r="H281" i="6"/>
  <c r="D236" i="6"/>
  <c r="G151" i="6"/>
  <c r="AE286" i="2"/>
  <c r="C361" i="6"/>
  <c r="B289" i="6"/>
  <c r="I181" i="5"/>
  <c r="G373" i="6"/>
  <c r="I337" i="6"/>
  <c r="AR206" i="2"/>
  <c r="AH33" i="2"/>
  <c r="J210" i="6"/>
  <c r="J294" i="6"/>
  <c r="F250" i="6"/>
  <c r="B77" i="6"/>
  <c r="E270" i="6"/>
  <c r="B46" i="5"/>
  <c r="AI436" i="2"/>
  <c r="AI296" i="2"/>
  <c r="AG226" i="2"/>
  <c r="AM421" i="2"/>
  <c r="G233" i="5"/>
  <c r="AM275" i="2"/>
  <c r="AF387" i="2"/>
  <c r="AM79" i="2"/>
  <c r="AG342" i="2"/>
  <c r="C15" i="6"/>
  <c r="AM433" i="2"/>
  <c r="AD169" i="2"/>
  <c r="AK165" i="2"/>
  <c r="L9" i="5"/>
  <c r="N101" i="5"/>
  <c r="AR266" i="2"/>
  <c r="AM26" i="2"/>
  <c r="AP381" i="2"/>
  <c r="D235" i="6"/>
  <c r="AQ27" i="2"/>
  <c r="AR170" i="2"/>
  <c r="AO262" i="2"/>
  <c r="AP52" i="2"/>
  <c r="AR142" i="2"/>
  <c r="AQ235" i="2"/>
  <c r="AO79" i="2"/>
  <c r="K340" i="5"/>
  <c r="G372" i="6"/>
  <c r="AF148" i="2"/>
  <c r="M110" i="5"/>
  <c r="AE65" i="2"/>
  <c r="AN199" i="2"/>
  <c r="AP327" i="2"/>
  <c r="AP75" i="2"/>
  <c r="AP303" i="2"/>
  <c r="AQ341" i="2"/>
  <c r="AR382" i="2"/>
  <c r="AR19" i="2"/>
  <c r="AS159" i="2"/>
  <c r="AT135" i="2"/>
  <c r="AJ211" i="2"/>
  <c r="F11" i="5"/>
  <c r="AH187" i="2"/>
  <c r="D374" i="6"/>
  <c r="AS367" i="2"/>
  <c r="CG455" i="2"/>
  <c r="H171" i="6"/>
  <c r="G365" i="6"/>
  <c r="C260" i="6"/>
  <c r="I152" i="5"/>
  <c r="AM285" i="2"/>
  <c r="AM188" i="2"/>
  <c r="AG211" i="2"/>
  <c r="AP74" i="2"/>
  <c r="AQ234" i="2"/>
  <c r="AR106" i="2"/>
  <c r="AO319" i="2"/>
  <c r="AS313" i="2"/>
  <c r="AT257" i="2"/>
  <c r="AO444" i="2"/>
  <c r="AP396" i="2"/>
  <c r="AQ60" i="2"/>
  <c r="AR204" i="2"/>
  <c r="AR35" i="2"/>
  <c r="AQ34" i="2"/>
  <c r="E80" i="5"/>
  <c r="AN433" i="2"/>
  <c r="AM392" i="2"/>
  <c r="AM442" i="2"/>
  <c r="AP335" i="2"/>
  <c r="AQ349" i="2"/>
  <c r="AR108" i="2"/>
  <c r="J364" i="6"/>
  <c r="H134" i="6"/>
  <c r="G91" i="6"/>
  <c r="AI446" i="2"/>
  <c r="K233" i="5"/>
  <c r="M52" i="5"/>
  <c r="AM298" i="2"/>
  <c r="AM130" i="2"/>
  <c r="AE183" i="2"/>
  <c r="K261" i="5"/>
  <c r="AI238" i="2"/>
  <c r="H117" i="6"/>
  <c r="B331" i="6"/>
  <c r="B360" i="6"/>
  <c r="K360" i="5"/>
  <c r="J312" i="6"/>
  <c r="AK176" i="2"/>
  <c r="G297" i="6"/>
  <c r="AJ35" i="2"/>
  <c r="F41" i="6"/>
  <c r="B292" i="6"/>
  <c r="G26" i="5"/>
  <c r="C64" i="5"/>
  <c r="E317" i="6"/>
  <c r="AH93" i="2"/>
  <c r="G165" i="6"/>
  <c r="G362" i="6"/>
  <c r="AJ252" i="2"/>
  <c r="G199" i="6"/>
  <c r="F309" i="6"/>
  <c r="I38" i="5"/>
  <c r="AN217" i="2"/>
  <c r="K253" i="5"/>
  <c r="L16" i="5"/>
  <c r="AF392" i="2"/>
  <c r="K342" i="5"/>
  <c r="J296" i="6"/>
  <c r="E98" i="5"/>
  <c r="AD373" i="2"/>
  <c r="C302" i="6"/>
  <c r="J322" i="6"/>
  <c r="AI74" i="2"/>
  <c r="AM171" i="2"/>
  <c r="K50" i="5"/>
  <c r="H187" i="6"/>
  <c r="D175" i="6"/>
  <c r="H77" i="6"/>
  <c r="D309" i="6"/>
  <c r="D172" i="5"/>
  <c r="AK90" i="2"/>
  <c r="P169" i="5"/>
  <c r="J28" i="6"/>
  <c r="AM70" i="2"/>
  <c r="AL15" i="2"/>
  <c r="AK157" i="2"/>
  <c r="I30" i="5"/>
  <c r="J142" i="6"/>
  <c r="D107" i="6"/>
  <c r="I253" i="6"/>
  <c r="D81" i="5"/>
  <c r="F132" i="6"/>
  <c r="H161" i="6"/>
  <c r="AM99" i="2"/>
  <c r="AM458" i="2"/>
  <c r="M119" i="5"/>
  <c r="B252" i="6"/>
  <c r="AI164" i="2"/>
  <c r="AF64" i="2"/>
  <c r="E84" i="6"/>
  <c r="K246" i="5"/>
  <c r="K79" i="5"/>
  <c r="AE63" i="2"/>
  <c r="AE365" i="2"/>
  <c r="F263" i="6"/>
  <c r="B142" i="5"/>
  <c r="C332" i="5"/>
  <c r="AF221" i="2"/>
  <c r="H218" i="6"/>
  <c r="AL243" i="2"/>
  <c r="AD105" i="2"/>
  <c r="N162" i="5"/>
  <c r="AL62" i="2"/>
  <c r="H57" i="5"/>
  <c r="AI85" i="2"/>
  <c r="M8" i="5"/>
  <c r="AJ341" i="2"/>
  <c r="K361" i="5"/>
  <c r="AH65" i="2"/>
  <c r="G369" i="6"/>
  <c r="J267" i="6"/>
  <c r="AE296" i="2"/>
  <c r="F213" i="6"/>
  <c r="G138" i="6"/>
  <c r="H142" i="6"/>
  <c r="AQ82" i="2"/>
  <c r="K223" i="5"/>
  <c r="AJ273" i="2"/>
  <c r="E359" i="6"/>
  <c r="AL52" i="2"/>
  <c r="D54" i="5"/>
  <c r="B149" i="6"/>
  <c r="I21" i="6"/>
  <c r="H363" i="6"/>
  <c r="G202" i="6"/>
  <c r="AD189" i="2"/>
  <c r="H34" i="6"/>
  <c r="C215" i="6"/>
  <c r="AI144" i="2"/>
  <c r="J367" i="5"/>
  <c r="B250" i="6"/>
  <c r="AJ213" i="2"/>
  <c r="C35" i="5"/>
  <c r="K249" i="5"/>
  <c r="K212" i="5"/>
  <c r="H199" i="6"/>
  <c r="D229" i="6"/>
  <c r="B171" i="6"/>
  <c r="AM121" i="2"/>
  <c r="H215" i="6"/>
  <c r="I199" i="6"/>
  <c r="L137" i="5"/>
  <c r="G292" i="6"/>
  <c r="AL199" i="2"/>
  <c r="AJ170" i="2"/>
  <c r="B137" i="5"/>
  <c r="K308" i="5"/>
  <c r="AT139" i="2"/>
  <c r="K184" i="5"/>
  <c r="AD328" i="2"/>
  <c r="B62" i="6"/>
  <c r="P10" i="5"/>
  <c r="AF336" i="2"/>
  <c r="L131" i="5"/>
  <c r="G307" i="6"/>
  <c r="AE99" i="2"/>
  <c r="AL198" i="2"/>
  <c r="AM208" i="2"/>
  <c r="AN101" i="2"/>
  <c r="AM207" i="2"/>
  <c r="AM155" i="2"/>
  <c r="H282" i="5"/>
  <c r="AI37" i="2"/>
  <c r="B288" i="5"/>
  <c r="B343" i="6"/>
  <c r="AF63" i="2"/>
  <c r="AJ185" i="2"/>
  <c r="H221" i="6"/>
  <c r="AH294" i="2"/>
  <c r="AJ96" i="2"/>
  <c r="AM354" i="2"/>
  <c r="AP365" i="2"/>
  <c r="AQ173" i="2"/>
  <c r="AN265" i="2"/>
  <c r="AP385" i="2"/>
  <c r="AQ208" i="2"/>
  <c r="AR377" i="2"/>
  <c r="AO429" i="2"/>
  <c r="AT426" i="2"/>
  <c r="AR370" i="2"/>
  <c r="AO29" i="2"/>
  <c r="AP83" i="2"/>
  <c r="AQ383" i="2"/>
  <c r="AR288" i="2"/>
  <c r="AR393" i="2"/>
  <c r="AT409" i="2"/>
  <c r="AO399" i="2"/>
  <c r="CG435" i="2"/>
  <c r="AN260" i="2"/>
  <c r="AO232" i="2"/>
  <c r="CG212" i="2"/>
  <c r="AS412" i="2"/>
  <c r="AO39" i="2"/>
  <c r="AT157" i="2"/>
  <c r="H21" i="6"/>
  <c r="AH107" i="2"/>
  <c r="L52" i="5"/>
  <c r="I79" i="6"/>
  <c r="E182" i="6"/>
  <c r="E189" i="6"/>
  <c r="AM279" i="2"/>
  <c r="D246" i="6"/>
  <c r="AE382" i="2"/>
  <c r="B72" i="5"/>
  <c r="AQ176" i="2"/>
  <c r="C230" i="6"/>
  <c r="AN313" i="2"/>
  <c r="AM306" i="2"/>
  <c r="AN225" i="2"/>
  <c r="AP321" i="2"/>
  <c r="AQ144" i="2"/>
  <c r="AT34" i="2"/>
  <c r="AF24" i="2"/>
  <c r="AE405" i="2"/>
  <c r="K62" i="5"/>
  <c r="AP37" i="2"/>
  <c r="AQ300" i="2"/>
  <c r="AR37" i="2"/>
  <c r="AM165" i="2"/>
  <c r="AQ459" i="2"/>
  <c r="AR330" i="2"/>
  <c r="F76" i="5"/>
  <c r="AP302" i="2"/>
  <c r="AO227" i="2"/>
  <c r="AO297" i="2"/>
  <c r="CG322" i="2"/>
  <c r="E265" i="6"/>
  <c r="J278" i="6"/>
  <c r="H82" i="6"/>
  <c r="E119" i="5"/>
  <c r="E127" i="5"/>
  <c r="B219" i="6"/>
  <c r="AG161" i="2"/>
  <c r="F103" i="5"/>
  <c r="AM37" i="2"/>
  <c r="AM95" i="2"/>
  <c r="J110" i="5"/>
  <c r="AN104" i="2"/>
  <c r="AP320" i="2"/>
  <c r="AN416" i="2"/>
  <c r="AP80" i="2"/>
  <c r="AQ407" i="2"/>
  <c r="AR312" i="2"/>
  <c r="AO156" i="2"/>
  <c r="F216" i="6"/>
  <c r="K230" i="5"/>
  <c r="K298" i="5"/>
  <c r="AQ282" i="2"/>
  <c r="AR428" i="2"/>
  <c r="I77" i="6"/>
  <c r="I197" i="6"/>
  <c r="K166" i="5"/>
  <c r="L12" i="5"/>
  <c r="AO174" i="2"/>
  <c r="CG58" i="2"/>
  <c r="AS316" i="2"/>
  <c r="AT188" i="2"/>
  <c r="AQ233" i="2"/>
  <c r="J277" i="6"/>
  <c r="O101" i="5"/>
  <c r="H293" i="5"/>
  <c r="B108" i="5"/>
  <c r="E302" i="6"/>
  <c r="B30" i="6"/>
  <c r="AH128" i="2"/>
  <c r="G246" i="6"/>
  <c r="AH286" i="2"/>
  <c r="J81" i="6"/>
  <c r="C72" i="6"/>
  <c r="C271" i="6"/>
  <c r="AJ227" i="2"/>
  <c r="AE414" i="2"/>
  <c r="G358" i="6"/>
  <c r="AL428" i="2"/>
  <c r="AG231" i="2"/>
  <c r="E285" i="6"/>
  <c r="J137" i="6"/>
  <c r="I235" i="6"/>
  <c r="M7" i="5"/>
  <c r="H256" i="6"/>
  <c r="K208" i="5"/>
  <c r="J194" i="6"/>
  <c r="D149" i="6"/>
  <c r="I330" i="5"/>
  <c r="I119" i="5"/>
  <c r="I24" i="5"/>
  <c r="AK73" i="2"/>
  <c r="K321" i="5"/>
  <c r="AR191" i="2"/>
  <c r="I7" i="5"/>
  <c r="K174" i="5"/>
  <c r="B348" i="6"/>
  <c r="G28" i="5"/>
  <c r="K191" i="5"/>
  <c r="C196" i="6"/>
  <c r="AF188" i="2"/>
  <c r="AJ158" i="2"/>
  <c r="B211" i="6"/>
  <c r="F258" i="6"/>
  <c r="D28" i="5"/>
  <c r="AL308" i="2"/>
  <c r="I356" i="6"/>
  <c r="E342" i="5"/>
  <c r="H238" i="6"/>
  <c r="N52" i="5"/>
  <c r="AM313" i="2"/>
  <c r="D375" i="6"/>
  <c r="C99" i="6"/>
  <c r="AK304" i="2"/>
  <c r="J163" i="6"/>
  <c r="G176" i="6"/>
  <c r="H73" i="5"/>
  <c r="AL136" i="2"/>
  <c r="F136" i="6"/>
  <c r="D217" i="6"/>
  <c r="AM184" i="2"/>
  <c r="AI257" i="2"/>
  <c r="G317" i="6"/>
  <c r="AK317" i="2"/>
  <c r="AP425" i="2"/>
  <c r="AM284" i="2"/>
  <c r="AI383" i="2"/>
  <c r="E89" i="6"/>
  <c r="F135" i="6"/>
  <c r="AI45" i="2"/>
  <c r="AK53" i="2"/>
  <c r="AL418" i="2"/>
  <c r="E178" i="6"/>
  <c r="E190" i="6"/>
  <c r="I328" i="6"/>
  <c r="K100" i="5"/>
  <c r="AK128" i="2"/>
  <c r="AH114" i="2"/>
  <c r="P106" i="5"/>
  <c r="E325" i="6"/>
  <c r="AF456" i="2"/>
  <c r="E78" i="5"/>
  <c r="E28" i="6"/>
  <c r="J305" i="6"/>
  <c r="J219" i="6"/>
  <c r="I53" i="6"/>
  <c r="D362" i="6"/>
  <c r="J126" i="6"/>
  <c r="AI400" i="2"/>
  <c r="I340" i="6"/>
  <c r="D36" i="5"/>
  <c r="G23" i="6"/>
  <c r="AI337" i="2"/>
  <c r="D65" i="6"/>
  <c r="F196" i="6"/>
  <c r="F155" i="6"/>
  <c r="AR396" i="2"/>
  <c r="AH177" i="2"/>
  <c r="F350" i="6"/>
  <c r="D42" i="6"/>
  <c r="B337" i="6"/>
  <c r="D316" i="6"/>
  <c r="J76" i="6"/>
  <c r="I165" i="6"/>
  <c r="I130" i="5"/>
  <c r="J251" i="6"/>
  <c r="I107" i="6"/>
  <c r="H362" i="6"/>
  <c r="F269" i="6"/>
  <c r="AH27" i="2"/>
  <c r="AD46" i="2"/>
  <c r="G5" i="5"/>
  <c r="AK259" i="2"/>
  <c r="M21" i="5"/>
  <c r="AH279" i="2"/>
  <c r="G351" i="6"/>
  <c r="H231" i="6"/>
  <c r="AM16" i="2"/>
  <c r="AE268" i="2"/>
  <c r="AN37" i="2"/>
  <c r="K102" i="5"/>
  <c r="F71" i="5"/>
  <c r="C329" i="6"/>
  <c r="J55" i="6"/>
  <c r="E40" i="5"/>
  <c r="H136" i="5"/>
  <c r="M96" i="5"/>
  <c r="B334" i="6"/>
  <c r="AT385" i="2"/>
  <c r="K58" i="5"/>
  <c r="K257" i="5"/>
  <c r="H47" i="5"/>
  <c r="G300" i="6"/>
  <c r="P45" i="5"/>
  <c r="AI161" i="2"/>
  <c r="AF105" i="2"/>
  <c r="AK439" i="2"/>
  <c r="E336" i="6"/>
  <c r="AM419" i="2"/>
  <c r="AK132" i="2"/>
  <c r="AM278" i="2"/>
  <c r="E218" i="6"/>
  <c r="I170" i="6"/>
  <c r="K135" i="5"/>
  <c r="AM288" i="2"/>
  <c r="AL323" i="2"/>
  <c r="H293" i="6"/>
  <c r="K181" i="5"/>
  <c r="I136" i="6"/>
  <c r="AH288" i="2"/>
  <c r="E14" i="5"/>
  <c r="AR158" i="2"/>
  <c r="AN92" i="2"/>
  <c r="AP276" i="2"/>
  <c r="AM225" i="2"/>
  <c r="AO31" i="2"/>
  <c r="CG238" i="2"/>
  <c r="AS463" i="2"/>
  <c r="CG216" i="2"/>
  <c r="AT321" i="2"/>
  <c r="AO457" i="2"/>
  <c r="CG29" i="2"/>
  <c r="AQ124" i="2"/>
  <c r="AR268" i="2"/>
  <c r="AN227" i="2"/>
  <c r="AP99" i="2"/>
  <c r="I137" i="6"/>
  <c r="AO282" i="2"/>
  <c r="CG234" i="2"/>
  <c r="AQ110" i="2"/>
  <c r="AO148" i="2"/>
  <c r="CG371" i="2"/>
  <c r="AS185" i="2"/>
  <c r="AQ263" i="2"/>
  <c r="AH97" i="2"/>
  <c r="K122" i="5"/>
  <c r="K219" i="5"/>
  <c r="G228" i="6"/>
  <c r="H160" i="6"/>
  <c r="B300" i="6"/>
  <c r="O12" i="5"/>
  <c r="AN52" i="2"/>
  <c r="AP164" i="2"/>
  <c r="AQ196" i="2"/>
  <c r="K41" i="5"/>
  <c r="AR329" i="2"/>
  <c r="B47" i="5"/>
  <c r="AN220" i="2"/>
  <c r="AQ239" i="2"/>
  <c r="AR401" i="2"/>
  <c r="AO23" i="2"/>
  <c r="CG174" i="2"/>
  <c r="F267" i="6"/>
  <c r="AG242" i="2"/>
  <c r="AL19" i="2"/>
  <c r="AP61" i="2"/>
  <c r="AN366" i="2"/>
  <c r="AP398" i="2"/>
  <c r="AQ430" i="2"/>
  <c r="AQ187" i="2"/>
  <c r="AQ348" i="2"/>
  <c r="AR85" i="2"/>
  <c r="AO403" i="2"/>
  <c r="AN85" i="2"/>
  <c r="AN460" i="2"/>
  <c r="AO231" i="2"/>
  <c r="CG164" i="2"/>
  <c r="P27" i="5"/>
  <c r="I341" i="6"/>
  <c r="E214" i="6"/>
  <c r="C336" i="5"/>
  <c r="F282" i="6"/>
  <c r="N115" i="5"/>
  <c r="AP11" i="2"/>
  <c r="AQ409" i="2"/>
  <c r="AR299" i="2"/>
  <c r="J359" i="6"/>
  <c r="J53" i="6"/>
  <c r="AN105" i="2"/>
  <c r="AP201" i="2"/>
  <c r="AN36" i="2"/>
  <c r="CG317" i="2"/>
  <c r="AS142" i="2"/>
  <c r="AT101" i="2"/>
  <c r="O9" i="5"/>
  <c r="D50" i="6"/>
  <c r="K149" i="5"/>
  <c r="AQ240" i="2"/>
  <c r="AQ405" i="2"/>
  <c r="AR431" i="2"/>
  <c r="D304" i="6"/>
  <c r="J216" i="6"/>
  <c r="AI90" i="2"/>
  <c r="AI54" i="2"/>
  <c r="AO92" i="2"/>
  <c r="AR134" i="2"/>
  <c r="F286" i="6"/>
  <c r="D146" i="5"/>
  <c r="AN364" i="2"/>
  <c r="AN389" i="2"/>
  <c r="AP19" i="2"/>
  <c r="AQ417" i="2"/>
  <c r="G361" i="6"/>
  <c r="AR264" i="2"/>
  <c r="G328" i="6"/>
  <c r="AN41" i="2"/>
  <c r="AT434" i="2"/>
  <c r="AO281" i="2"/>
  <c r="CG226" i="2"/>
  <c r="AS364" i="2"/>
  <c r="B293" i="6"/>
  <c r="AN363" i="2"/>
  <c r="AP220" i="2"/>
  <c r="AM420" i="2"/>
  <c r="AN151" i="2"/>
  <c r="AP207" i="2"/>
  <c r="AQ167" i="2"/>
  <c r="J319" i="6"/>
  <c r="O190" i="5"/>
  <c r="F315" i="6"/>
  <c r="C149" i="5"/>
  <c r="B224" i="6"/>
  <c r="AM84" i="2"/>
  <c r="AK320" i="2"/>
  <c r="AM406" i="2"/>
  <c r="AE418" i="2"/>
  <c r="F344" i="6"/>
  <c r="F338" i="6"/>
  <c r="AD14" i="2"/>
  <c r="D302" i="6"/>
  <c r="K362" i="5"/>
  <c r="C177" i="6"/>
  <c r="E226" i="6"/>
  <c r="B260" i="6"/>
  <c r="M82" i="5"/>
  <c r="AI21" i="2"/>
  <c r="K203" i="5"/>
  <c r="I34" i="5"/>
  <c r="J52" i="5"/>
  <c r="G252" i="6"/>
  <c r="N8" i="5"/>
  <c r="H32" i="5"/>
  <c r="N54" i="5"/>
  <c r="D164" i="5"/>
  <c r="C72" i="5"/>
  <c r="AM345" i="2"/>
  <c r="AE255" i="2"/>
  <c r="AO394" i="2"/>
  <c r="H325" i="6"/>
  <c r="AF194" i="2"/>
  <c r="AM180" i="2"/>
  <c r="AE327" i="2"/>
  <c r="AM77" i="2"/>
  <c r="G100" i="5"/>
  <c r="B41" i="5"/>
  <c r="AF162" i="2"/>
  <c r="M70" i="5"/>
  <c r="AG125" i="2"/>
  <c r="AJ180" i="2"/>
  <c r="C175" i="6"/>
  <c r="J265" i="6"/>
  <c r="H307" i="6"/>
  <c r="F159" i="6"/>
  <c r="H254" i="6"/>
  <c r="B34" i="6"/>
  <c r="AH71" i="2"/>
  <c r="AM239" i="2"/>
  <c r="E320" i="6"/>
  <c r="I267" i="6"/>
  <c r="G65" i="6"/>
  <c r="C127" i="6"/>
  <c r="J274" i="6"/>
  <c r="E286" i="6"/>
  <c r="AL387" i="2"/>
  <c r="B186" i="6"/>
  <c r="AH121" i="2"/>
  <c r="C57" i="6"/>
  <c r="J345" i="6"/>
  <c r="AQ245" i="2"/>
  <c r="I160" i="5"/>
  <c r="E174" i="6"/>
  <c r="AE60" i="2"/>
  <c r="H11" i="5"/>
  <c r="B50" i="6"/>
  <c r="J349" i="6"/>
  <c r="G323" i="6"/>
  <c r="E76" i="5"/>
  <c r="H371" i="6"/>
  <c r="H190" i="6"/>
  <c r="H45" i="5"/>
  <c r="AJ309" i="2"/>
  <c r="AL222" i="2"/>
  <c r="AE209" i="2"/>
  <c r="AK338" i="2"/>
  <c r="AE247" i="2"/>
  <c r="I244" i="6"/>
  <c r="J201" i="6"/>
  <c r="AJ31" i="2"/>
  <c r="D341" i="6"/>
  <c r="K101" i="5"/>
  <c r="E197" i="6"/>
  <c r="AH413" i="2"/>
  <c r="C312" i="6"/>
  <c r="D330" i="6"/>
  <c r="K16" i="5"/>
  <c r="AL135" i="2"/>
  <c r="B361" i="6"/>
  <c r="M111" i="5"/>
  <c r="N237" i="5"/>
  <c r="H297" i="6"/>
  <c r="AR229" i="2"/>
  <c r="J26" i="5"/>
  <c r="B40" i="5"/>
  <c r="K6" i="5"/>
  <c r="K306" i="5"/>
  <c r="B120" i="6"/>
  <c r="C97" i="5"/>
  <c r="B237" i="6"/>
  <c r="AI306" i="2"/>
  <c r="AE330" i="2"/>
  <c r="AL92" i="2"/>
  <c r="AH178" i="2"/>
  <c r="G64" i="5"/>
  <c r="AK189" i="2"/>
  <c r="AN373" i="2"/>
  <c r="G127" i="5"/>
  <c r="K301" i="5"/>
  <c r="AJ46" i="2"/>
  <c r="E210" i="6"/>
  <c r="AF437" i="2"/>
  <c r="M11" i="5"/>
  <c r="F299" i="6"/>
  <c r="G275" i="6"/>
  <c r="I153" i="6"/>
  <c r="B201" i="5"/>
  <c r="H296" i="6"/>
  <c r="AF107" i="2"/>
  <c r="B276" i="6"/>
  <c r="AM355" i="2"/>
  <c r="AF65" i="2"/>
  <c r="J316" i="5"/>
  <c r="AH287" i="2"/>
  <c r="AI53" i="2"/>
  <c r="H127" i="5"/>
  <c r="D280" i="6"/>
  <c r="J172" i="5"/>
  <c r="L188" i="5"/>
  <c r="AM144" i="2"/>
  <c r="AI375" i="2"/>
  <c r="C156" i="6"/>
  <c r="B283" i="6"/>
  <c r="AI120" i="2"/>
  <c r="J238" i="6"/>
  <c r="F120" i="6"/>
  <c r="H43" i="5"/>
  <c r="AL14" i="2"/>
  <c r="AH17" i="2"/>
  <c r="AL124" i="2"/>
  <c r="AM238" i="2"/>
  <c r="AM413" i="2"/>
  <c r="G167" i="6"/>
  <c r="AK161" i="2"/>
  <c r="N173" i="5"/>
  <c r="AP18" i="2"/>
  <c r="AN95" i="2"/>
  <c r="AR368" i="2"/>
  <c r="AN209" i="2"/>
  <c r="AO207" i="2"/>
  <c r="AQ29" i="2"/>
  <c r="CG429" i="2"/>
  <c r="AS366" i="2"/>
  <c r="AT309" i="2"/>
  <c r="AO220" i="2"/>
  <c r="E358" i="6"/>
  <c r="G174" i="6"/>
  <c r="G32" i="5"/>
  <c r="AQ364" i="2"/>
  <c r="AR101" i="2"/>
  <c r="AO405" i="2"/>
  <c r="AT17" i="2"/>
  <c r="H186" i="5"/>
  <c r="AO258" i="2"/>
  <c r="CG90" i="2"/>
  <c r="AO53" i="2"/>
  <c r="AO130" i="2"/>
  <c r="CG368" i="2"/>
  <c r="D30" i="6"/>
  <c r="K23" i="5"/>
  <c r="AM405" i="2"/>
  <c r="K309" i="5"/>
  <c r="D368" i="6"/>
  <c r="H50" i="5"/>
  <c r="AL415" i="2"/>
  <c r="AK442" i="2"/>
  <c r="I253" i="5"/>
  <c r="AP132" i="2"/>
  <c r="AQ180" i="2"/>
  <c r="AR324" i="2"/>
  <c r="AP62" i="2"/>
  <c r="AQ456" i="2"/>
  <c r="AR376" i="2"/>
  <c r="AN236" i="2"/>
  <c r="AN311" i="2"/>
  <c r="AR175" i="2"/>
  <c r="CG365" i="2"/>
  <c r="AS238" i="2"/>
  <c r="AQ447" i="2"/>
  <c r="AR247" i="2"/>
  <c r="AN418" i="2"/>
  <c r="AM34" i="2"/>
  <c r="AO317" i="2"/>
  <c r="CG442" i="2"/>
  <c r="AS203" i="2"/>
  <c r="AP88" i="2"/>
  <c r="CG81" i="2"/>
  <c r="AS393" i="2"/>
  <c r="AT337" i="2"/>
  <c r="AS330" i="2"/>
  <c r="AP262" i="2"/>
  <c r="AO131" i="2"/>
  <c r="CG376" i="2"/>
  <c r="I304" i="6"/>
  <c r="H368" i="6"/>
  <c r="B65" i="6"/>
  <c r="F295" i="6"/>
  <c r="AT310" i="2"/>
  <c r="J58" i="5"/>
  <c r="C193" i="6"/>
  <c r="AK169" i="2"/>
  <c r="H203" i="6"/>
  <c r="AE459" i="2"/>
  <c r="AH343" i="2"/>
  <c r="AM337" i="2"/>
  <c r="H104" i="6"/>
  <c r="AJ254" i="2"/>
  <c r="E8" i="6"/>
  <c r="B142" i="6"/>
  <c r="AM59" i="2"/>
  <c r="J336" i="6"/>
  <c r="F197" i="6"/>
  <c r="E55" i="6"/>
  <c r="AD145" i="2"/>
  <c r="AF77" i="2"/>
  <c r="M81" i="5"/>
  <c r="AD146" i="2"/>
  <c r="B270" i="6"/>
  <c r="AM342" i="2"/>
  <c r="B122" i="5"/>
  <c r="AM453" i="2"/>
  <c r="O69" i="5"/>
  <c r="F233" i="6"/>
  <c r="C58" i="5"/>
  <c r="B18" i="5"/>
  <c r="AM329" i="2"/>
  <c r="H334" i="6"/>
  <c r="AM218" i="2"/>
  <c r="H14" i="5"/>
  <c r="AM100" i="2"/>
  <c r="AM146" i="2"/>
  <c r="F318" i="6"/>
  <c r="G15" i="5"/>
  <c r="AD176" i="2"/>
  <c r="M15" i="5"/>
  <c r="AF18" i="2"/>
  <c r="F330" i="6"/>
  <c r="AH86" i="2"/>
  <c r="AI286" i="2"/>
  <c r="G41" i="5"/>
  <c r="C165" i="6"/>
  <c r="H108" i="5"/>
  <c r="AF182" i="2"/>
  <c r="K216" i="5"/>
  <c r="B301" i="6"/>
  <c r="J232" i="6"/>
  <c r="AJ345" i="2"/>
  <c r="G43" i="6"/>
  <c r="AD216" i="2"/>
  <c r="D60" i="6"/>
  <c r="B99" i="5"/>
  <c r="K196" i="5"/>
  <c r="H8" i="5"/>
  <c r="AH345" i="2"/>
  <c r="AF404" i="2"/>
  <c r="G104" i="6"/>
  <c r="O65" i="5"/>
  <c r="AP30" i="2"/>
  <c r="J120" i="6"/>
  <c r="F295" i="5"/>
  <c r="F371" i="6"/>
  <c r="G123" i="6"/>
  <c r="F202" i="5"/>
  <c r="L81" i="5"/>
  <c r="AE102" i="2"/>
  <c r="B90" i="5"/>
  <c r="AJ226" i="2"/>
  <c r="K90" i="5"/>
  <c r="F290" i="6"/>
  <c r="AE223" i="2"/>
  <c r="AK219" i="2"/>
  <c r="G69" i="5"/>
  <c r="E31" i="5"/>
  <c r="F199" i="6"/>
  <c r="H349" i="6"/>
  <c r="C205" i="6"/>
  <c r="M19" i="5"/>
  <c r="D343" i="6"/>
  <c r="E115" i="6"/>
  <c r="H354" i="6"/>
  <c r="AL242" i="2"/>
  <c r="AJ408" i="2"/>
  <c r="G319" i="6"/>
  <c r="L94" i="5"/>
  <c r="H263" i="6"/>
  <c r="B320" i="6"/>
  <c r="AH53" i="2"/>
  <c r="AJ378" i="2"/>
  <c r="E221" i="6"/>
  <c r="AQ267" i="2"/>
  <c r="I316" i="6"/>
  <c r="B26" i="5"/>
  <c r="F198" i="6"/>
  <c r="F275" i="6"/>
  <c r="M10" i="5"/>
  <c r="AG309" i="2"/>
  <c r="K52" i="5"/>
  <c r="C203" i="5"/>
  <c r="B234" i="6"/>
  <c r="F35" i="5"/>
  <c r="AN124" i="2"/>
  <c r="H253" i="6"/>
  <c r="B193" i="6"/>
  <c r="N113" i="5"/>
  <c r="K214" i="5"/>
  <c r="AF183" i="2"/>
  <c r="J304" i="6"/>
  <c r="AF354" i="2"/>
  <c r="I18" i="5"/>
  <c r="H175" i="5"/>
  <c r="H188" i="5"/>
  <c r="C43" i="6"/>
  <c r="G30" i="5"/>
  <c r="AM422" i="2"/>
  <c r="AE153" i="2"/>
  <c r="AL138" i="2"/>
  <c r="AF176" i="2"/>
  <c r="AH409" i="2"/>
  <c r="AL344" i="2"/>
  <c r="E99" i="6"/>
  <c r="AF62" i="2"/>
  <c r="AP69" i="2"/>
  <c r="AI84" i="2"/>
  <c r="D113" i="5"/>
  <c r="B127" i="6"/>
  <c r="I216" i="5"/>
  <c r="H230" i="6"/>
  <c r="D264" i="6"/>
  <c r="K229" i="5"/>
  <c r="AN397" i="2"/>
  <c r="I101" i="6"/>
  <c r="AK79" i="2"/>
  <c r="G146" i="6"/>
  <c r="AJ374" i="2"/>
  <c r="D141" i="6"/>
  <c r="AJ436" i="2"/>
  <c r="C292" i="6"/>
  <c r="AN326" i="2"/>
  <c r="C322" i="6"/>
  <c r="C289" i="6"/>
  <c r="L190" i="5"/>
  <c r="AK210" i="2"/>
  <c r="AR460" i="2"/>
  <c r="AR343" i="2"/>
  <c r="AT109" i="2"/>
  <c r="AP106" i="2"/>
  <c r="AO157" i="2"/>
  <c r="AO424" i="2"/>
  <c r="CG203" i="2"/>
  <c r="AS252" i="2"/>
  <c r="AT124" i="2"/>
  <c r="AM164" i="2"/>
  <c r="G208" i="6"/>
  <c r="J32" i="5"/>
  <c r="AQ25" i="2"/>
  <c r="AP119" i="2"/>
  <c r="AQ242" i="2"/>
  <c r="AR135" i="2"/>
  <c r="AG77" i="2"/>
  <c r="E324" i="6"/>
  <c r="K164" i="5"/>
  <c r="J196" i="6"/>
  <c r="B189" i="6"/>
  <c r="N37" i="5"/>
  <c r="K199" i="5"/>
  <c r="J307" i="6"/>
  <c r="AR92" i="2"/>
  <c r="AF225" i="2"/>
  <c r="AJ278" i="2"/>
  <c r="D168" i="5"/>
  <c r="F186" i="6"/>
  <c r="C355" i="6"/>
  <c r="AM395" i="2"/>
  <c r="AM200" i="2"/>
  <c r="AN19" i="2"/>
  <c r="AP43" i="2"/>
  <c r="AQ26" i="2"/>
  <c r="AP273" i="2"/>
  <c r="AS270" i="2"/>
  <c r="AT205" i="2"/>
  <c r="AP440" i="2"/>
  <c r="AT149" i="2"/>
  <c r="AO368" i="2"/>
  <c r="CG139" i="2"/>
  <c r="AS188" i="2"/>
  <c r="AR227" i="2"/>
  <c r="AN402" i="2"/>
  <c r="AP458" i="2"/>
  <c r="AQ463" i="2"/>
  <c r="AO212" i="2"/>
  <c r="CG385" i="2"/>
  <c r="AS386" i="2"/>
  <c r="AO299" i="2"/>
  <c r="CG64" i="2"/>
  <c r="AS128" i="2"/>
  <c r="AT80" i="2"/>
  <c r="CG300" i="2"/>
  <c r="E14" i="6"/>
  <c r="M45" i="5"/>
  <c r="D9" i="5"/>
  <c r="AF298" i="2"/>
  <c r="G31" i="5"/>
  <c r="AI101" i="2"/>
  <c r="N155" i="5"/>
  <c r="AP304" i="2"/>
  <c r="AN59" i="2"/>
  <c r="AP250" i="2"/>
  <c r="AQ427" i="2"/>
  <c r="AR314" i="2"/>
  <c r="AQ6" i="2"/>
  <c r="AT412" i="2"/>
  <c r="AQ391" i="2"/>
  <c r="AO86" i="2"/>
  <c r="AO328" i="2"/>
  <c r="CG290" i="2"/>
  <c r="AS51" i="2"/>
  <c r="F23" i="5"/>
  <c r="AN252" i="2"/>
  <c r="I157" i="5"/>
  <c r="AE344" i="2"/>
  <c r="J331" i="6"/>
  <c r="P114" i="5"/>
  <c r="AI11" i="2"/>
  <c r="D279" i="6"/>
  <c r="K236" i="5"/>
  <c r="B363" i="6"/>
  <c r="AN410" i="2"/>
  <c r="K325" i="5"/>
  <c r="AI153" i="2"/>
  <c r="AL280" i="2"/>
  <c r="M79" i="5"/>
  <c r="C370" i="5"/>
  <c r="M78" i="5"/>
  <c r="J71" i="5"/>
  <c r="G63" i="5"/>
  <c r="J321" i="6"/>
  <c r="AM42" i="2"/>
  <c r="F95" i="5"/>
  <c r="AM431" i="2"/>
  <c r="AJ330" i="2"/>
  <c r="J7" i="6"/>
  <c r="AM364" i="2"/>
  <c r="D206" i="6"/>
  <c r="D11" i="6"/>
  <c r="F112" i="5"/>
  <c r="AM49" i="2"/>
  <c r="H180" i="6"/>
  <c r="M228" i="5"/>
  <c r="N27" i="5"/>
  <c r="AJ225" i="2"/>
  <c r="AM246" i="2"/>
  <c r="AH22" i="2"/>
  <c r="K84" i="5"/>
  <c r="I15" i="5"/>
  <c r="AD368" i="2"/>
  <c r="K55" i="5"/>
  <c r="AM312" i="2"/>
  <c r="AF218" i="2"/>
  <c r="AK93" i="2"/>
  <c r="AK21" i="2"/>
  <c r="P277" i="5"/>
  <c r="F362" i="6"/>
  <c r="AI59" i="2"/>
  <c r="AD444" i="2"/>
  <c r="G340" i="6"/>
  <c r="B320" i="5"/>
  <c r="B78" i="6"/>
  <c r="C288" i="6"/>
  <c r="B139" i="6"/>
  <c r="AI60" i="2"/>
  <c r="K69" i="5"/>
  <c r="B233" i="6"/>
  <c r="G288" i="6"/>
  <c r="K370" i="5"/>
  <c r="O97" i="5"/>
  <c r="E351" i="6"/>
  <c r="N31" i="5"/>
  <c r="AL68" i="2"/>
  <c r="D57" i="5"/>
  <c r="AP72" i="2"/>
  <c r="G36" i="6"/>
  <c r="AJ104" i="2"/>
  <c r="I259" i="5"/>
  <c r="G291" i="6"/>
  <c r="J357" i="6"/>
  <c r="AK192" i="2"/>
  <c r="G332" i="5"/>
  <c r="I292" i="6"/>
  <c r="H182" i="6"/>
  <c r="H284" i="6"/>
  <c r="AL117" i="2"/>
  <c r="K26" i="5"/>
  <c r="H64" i="5"/>
  <c r="I23" i="6"/>
  <c r="J152" i="6"/>
  <c r="H326" i="6"/>
  <c r="I357" i="6"/>
  <c r="D326" i="6"/>
  <c r="E58" i="6"/>
  <c r="I178" i="6"/>
  <c r="AD320" i="2"/>
  <c r="AK376" i="2"/>
  <c r="AF262" i="2"/>
  <c r="K71" i="5"/>
  <c r="B317" i="6"/>
  <c r="J211" i="6"/>
  <c r="AM192" i="2"/>
  <c r="F370" i="6"/>
  <c r="AJ328" i="2"/>
  <c r="I97" i="5"/>
  <c r="E249" i="6"/>
  <c r="AS84" i="2"/>
  <c r="G290" i="6"/>
  <c r="B358" i="6"/>
  <c r="F306" i="6"/>
  <c r="AM448" i="2"/>
  <c r="P21" i="5"/>
  <c r="AM107" i="2"/>
  <c r="G193" i="6"/>
  <c r="P20" i="5"/>
  <c r="AM96" i="2"/>
  <c r="F88" i="5"/>
  <c r="AL264" i="2"/>
  <c r="B21" i="5"/>
  <c r="AM138" i="2"/>
  <c r="AI174" i="2"/>
  <c r="AJ452" i="2"/>
  <c r="K59" i="5"/>
  <c r="M31" i="5"/>
  <c r="H148" i="5"/>
  <c r="H222" i="6"/>
  <c r="AD432" i="2"/>
  <c r="B84" i="6"/>
  <c r="B103" i="6"/>
  <c r="H139" i="5"/>
  <c r="K21" i="5"/>
  <c r="F170" i="6"/>
  <c r="L74" i="5"/>
  <c r="AK229" i="2"/>
  <c r="G332" i="6"/>
  <c r="E341" i="6"/>
  <c r="AE273" i="2"/>
  <c r="AR391" i="2"/>
  <c r="AM280" i="2"/>
  <c r="AJ445" i="2"/>
  <c r="B55" i="5"/>
  <c r="AD305" i="2"/>
  <c r="F161" i="6"/>
  <c r="N68" i="5"/>
  <c r="I225" i="6"/>
  <c r="D255" i="6"/>
  <c r="AF417" i="2"/>
  <c r="AJ324" i="2"/>
  <c r="O21" i="5"/>
  <c r="J326" i="6"/>
  <c r="D59" i="6"/>
  <c r="C219" i="6"/>
  <c r="C266" i="6"/>
  <c r="E146" i="6"/>
  <c r="AM443" i="2"/>
  <c r="AK215" i="2"/>
  <c r="F188" i="6"/>
  <c r="E333" i="6"/>
  <c r="H332" i="6"/>
  <c r="CG89" i="2"/>
  <c r="CG443" i="2"/>
  <c r="AT99" i="2"/>
  <c r="AR356" i="2"/>
  <c r="AO59" i="2"/>
  <c r="AT243" i="2"/>
  <c r="D335" i="6"/>
  <c r="F106" i="6"/>
  <c r="D281" i="6"/>
  <c r="AR311" i="2"/>
  <c r="AN283" i="2"/>
  <c r="AP371" i="2"/>
  <c r="AP115" i="2"/>
  <c r="CG411" i="2"/>
  <c r="AS355" i="2"/>
  <c r="AT131" i="2"/>
  <c r="AM459" i="2"/>
  <c r="AN137" i="2"/>
  <c r="AP233" i="2"/>
  <c r="AP279" i="2"/>
  <c r="AN172" i="2"/>
  <c r="AP446" i="2"/>
  <c r="AQ162" i="2"/>
  <c r="AR350" i="2"/>
  <c r="AE155" i="2"/>
  <c r="AN87" i="2"/>
  <c r="K356" i="5"/>
  <c r="AH117" i="2"/>
  <c r="J150" i="5"/>
  <c r="E102" i="6"/>
  <c r="AQ40" i="2"/>
  <c r="AQ337" i="2"/>
  <c r="AP369" i="2"/>
  <c r="AO151" i="2"/>
  <c r="CG451" i="2"/>
  <c r="AR57" i="2"/>
  <c r="AS237" i="2"/>
  <c r="AT460" i="2"/>
  <c r="AR13" i="2"/>
  <c r="AS222" i="2"/>
  <c r="G121" i="5"/>
  <c r="E342" i="6"/>
  <c r="E22" i="5"/>
  <c r="AR60" i="2"/>
  <c r="B309" i="6"/>
  <c r="AN452" i="2"/>
  <c r="AO117" i="2"/>
  <c r="AO194" i="2"/>
  <c r="CG241" i="2"/>
  <c r="AS106" i="2"/>
  <c r="AS363" i="2"/>
  <c r="AG154" i="2"/>
  <c r="L142" i="5"/>
  <c r="H191" i="6"/>
  <c r="I371" i="6"/>
  <c r="K211" i="5"/>
  <c r="AE126" i="2"/>
  <c r="G29" i="5"/>
  <c r="I197" i="5"/>
  <c r="AD302" i="2"/>
  <c r="L106" i="5"/>
  <c r="I162" i="6"/>
  <c r="AI390" i="2"/>
  <c r="AM206" i="2"/>
  <c r="AO95" i="2"/>
  <c r="CG88" i="2"/>
  <c r="AS152" i="2"/>
  <c r="AN240" i="2"/>
  <c r="AT12" i="2"/>
  <c r="AR424" i="2"/>
  <c r="CG359" i="2"/>
  <c r="AT346" i="2"/>
  <c r="G287" i="6"/>
  <c r="I19" i="5"/>
  <c r="G74" i="5"/>
  <c r="AE95" i="2"/>
  <c r="AN161" i="2"/>
  <c r="AP257" i="2"/>
  <c r="AS301" i="2"/>
  <c r="AF245" i="2"/>
  <c r="AQ393" i="2"/>
  <c r="AR335" i="2"/>
  <c r="CG124" i="2"/>
  <c r="AN324" i="2"/>
  <c r="AQ273" i="2"/>
  <c r="AL331" i="2"/>
  <c r="AM11" i="2"/>
  <c r="AR75" i="2"/>
  <c r="AS263" i="2"/>
  <c r="AQ269" i="2"/>
  <c r="AN58" i="2"/>
  <c r="AQ47" i="2"/>
  <c r="D355" i="6"/>
  <c r="AT348" i="2"/>
  <c r="AP416" i="2"/>
  <c r="K198" i="5"/>
  <c r="AR201" i="2"/>
  <c r="AQ94" i="2"/>
  <c r="AO411" i="2"/>
  <c r="AO345" i="2"/>
  <c r="AF165" i="2"/>
  <c r="AO386" i="2"/>
  <c r="CG249" i="2"/>
  <c r="C333" i="6"/>
  <c r="AM7" i="2"/>
  <c r="N10" i="5"/>
  <c r="K260" i="5"/>
  <c r="AR279" i="2"/>
  <c r="AM93" i="2"/>
  <c r="K322" i="5"/>
  <c r="AE307" i="2"/>
  <c r="I354" i="6"/>
  <c r="D71" i="5"/>
  <c r="H35" i="6"/>
  <c r="AJ347" i="2"/>
  <c r="F363" i="6"/>
  <c r="AN377" i="2"/>
  <c r="AP187" i="2"/>
  <c r="I185" i="5"/>
  <c r="AP199" i="2"/>
  <c r="AQ306" i="2"/>
  <c r="AR151" i="2"/>
  <c r="AR452" i="2"/>
  <c r="AT291" i="2"/>
  <c r="AR361" i="2"/>
  <c r="AO22" i="2"/>
  <c r="AM113" i="2"/>
  <c r="K220" i="5"/>
  <c r="AM283" i="2"/>
  <c r="AP153" i="2"/>
  <c r="AO355" i="2"/>
  <c r="AR190" i="2"/>
  <c r="CG189" i="2"/>
  <c r="AR291" i="2"/>
  <c r="AO308" i="2"/>
  <c r="CG386" i="2"/>
  <c r="AS147" i="2"/>
  <c r="AN212" i="2"/>
  <c r="AS215" i="2"/>
  <c r="AN119" i="2"/>
  <c r="AO196" i="2"/>
  <c r="E287" i="6"/>
  <c r="O47" i="5"/>
  <c r="D147" i="6"/>
  <c r="AM60" i="2"/>
  <c r="AM219" i="2"/>
  <c r="K347" i="5"/>
  <c r="AN169" i="2"/>
  <c r="AP265" i="2"/>
  <c r="AQ88" i="2"/>
  <c r="E295" i="6"/>
  <c r="AQ399" i="2"/>
  <c r="AR304" i="2"/>
  <c r="AN208" i="2"/>
  <c r="AQ49" i="2"/>
  <c r="AO383" i="2"/>
  <c r="CG211" i="2"/>
  <c r="AS260" i="2"/>
  <c r="AQ402" i="2"/>
  <c r="H74" i="5"/>
  <c r="AN375" i="2"/>
  <c r="AP195" i="2"/>
  <c r="AO327" i="2"/>
  <c r="CG387" i="2"/>
  <c r="AS331" i="2"/>
  <c r="AQ182" i="2"/>
  <c r="CG137" i="2"/>
  <c r="AS449" i="2"/>
  <c r="AT393" i="2"/>
  <c r="AP212" i="2"/>
  <c r="AQ141" i="2"/>
  <c r="AO122" i="2"/>
  <c r="CG304" i="2"/>
  <c r="I113" i="5"/>
  <c r="B165" i="5"/>
  <c r="H331" i="6"/>
  <c r="C309" i="6"/>
  <c r="AQ388" i="2"/>
  <c r="AP271" i="2"/>
  <c r="AP178" i="2"/>
  <c r="AQ171" i="2"/>
  <c r="AR210" i="2"/>
  <c r="AR222" i="2"/>
  <c r="AT451" i="2"/>
  <c r="AQ128" i="2"/>
  <c r="AO93" i="2"/>
  <c r="CG55" i="2"/>
  <c r="CG218" i="2"/>
  <c r="I156" i="6"/>
  <c r="N84" i="5"/>
  <c r="AM394" i="2"/>
  <c r="AN318" i="2"/>
  <c r="AP350" i="2"/>
  <c r="AO110" i="2"/>
  <c r="CG347" i="2"/>
  <c r="AS177" i="2"/>
  <c r="AT121" i="2"/>
  <c r="AS442" i="2"/>
  <c r="AS375" i="2"/>
  <c r="AM39" i="2"/>
  <c r="AO248" i="2"/>
  <c r="AK417" i="2"/>
  <c r="K315" i="5"/>
  <c r="F64" i="5"/>
  <c r="AD397" i="2"/>
  <c r="B60" i="5"/>
  <c r="AQ211" i="2"/>
  <c r="AQ334" i="2"/>
  <c r="AM162" i="2"/>
  <c r="AN134" i="2"/>
  <c r="AM449" i="2"/>
  <c r="AN130" i="2"/>
  <c r="AP186" i="2"/>
  <c r="AQ195" i="2"/>
  <c r="AQ425" i="2"/>
  <c r="AS20" i="2"/>
  <c r="AT275" i="2"/>
  <c r="AQ327" i="2"/>
  <c r="AF195" i="2"/>
  <c r="AP297" i="2"/>
  <c r="AQ120" i="2"/>
  <c r="AQ308" i="2"/>
  <c r="AS202" i="2"/>
  <c r="AT306" i="2"/>
  <c r="AR182" i="2"/>
  <c r="AR223" i="2"/>
  <c r="AT296" i="2"/>
  <c r="AO306" i="2"/>
  <c r="CG378" i="2"/>
  <c r="AN436" i="2"/>
  <c r="CG214" i="2"/>
  <c r="AS391" i="2"/>
  <c r="AM320" i="2"/>
  <c r="AG116" i="2"/>
  <c r="AM390" i="2"/>
  <c r="AN286" i="2"/>
  <c r="AQ301" i="2"/>
  <c r="AP234" i="2"/>
  <c r="AP263" i="2"/>
  <c r="AR321" i="2"/>
  <c r="AP34" i="2"/>
  <c r="K241" i="5"/>
  <c r="AQ283" i="2"/>
  <c r="AU138" i="2"/>
  <c r="AR224" i="2"/>
  <c r="AN398" i="2"/>
  <c r="D74" i="5"/>
  <c r="AV462" i="2"/>
  <c r="G17" i="5"/>
  <c r="AQ302" i="2"/>
  <c r="AO183" i="2"/>
  <c r="BT261" i="2"/>
  <c r="AP397" i="2"/>
  <c r="AS57" i="2"/>
  <c r="CG349" i="2"/>
  <c r="CG284" i="2"/>
  <c r="K235" i="5"/>
  <c r="O88" i="5"/>
  <c r="AM348" i="2"/>
  <c r="AQ169" i="2"/>
  <c r="AS279" i="2"/>
  <c r="CG464" i="2"/>
  <c r="AR280" i="2"/>
  <c r="BS90" i="2"/>
  <c r="AQ38" i="2"/>
  <c r="AS239" i="2"/>
  <c r="CG155" i="2"/>
  <c r="O40" i="5"/>
  <c r="AR21" i="2"/>
  <c r="AO102" i="2"/>
  <c r="H372" i="6"/>
  <c r="AM78" i="2"/>
  <c r="CG98" i="2"/>
  <c r="AD150" i="2"/>
  <c r="G248" i="6"/>
  <c r="G247" i="6"/>
  <c r="AS49" i="2"/>
  <c r="AK462" i="2"/>
  <c r="D41" i="5"/>
  <c r="AI71" i="2"/>
  <c r="AR55" i="2"/>
  <c r="AQ461" i="2"/>
  <c r="BQ264" i="2"/>
  <c r="AP291" i="2"/>
  <c r="B63" i="5"/>
  <c r="AQ433" i="2"/>
  <c r="CG51" i="2"/>
  <c r="AO142" i="2"/>
  <c r="AT96" i="2"/>
  <c r="AS429" i="2"/>
  <c r="AU413" i="2"/>
  <c r="AR445" i="2"/>
  <c r="I57" i="5"/>
  <c r="AQ288" i="2"/>
  <c r="BQ185" i="2"/>
  <c r="AN368" i="2"/>
  <c r="AN6" i="2"/>
  <c r="AR351" i="2"/>
  <c r="AL284" i="2"/>
  <c r="AK448" i="2"/>
  <c r="AG398" i="2"/>
  <c r="AR388" i="2"/>
  <c r="AO287" i="2"/>
  <c r="AR72" i="2"/>
  <c r="AP87" i="2"/>
  <c r="H42" i="5"/>
  <c r="BQ59" i="2"/>
  <c r="AM103" i="2"/>
  <c r="AR421" i="2"/>
  <c r="AP285" i="2"/>
  <c r="BR72" i="2"/>
  <c r="CG401" i="2"/>
  <c r="AR62" i="2"/>
  <c r="AS462" i="2"/>
  <c r="AU246" i="2"/>
  <c r="D287" i="6"/>
  <c r="I206" i="6"/>
  <c r="AR244" i="2"/>
  <c r="P103" i="5"/>
  <c r="AF184" i="2"/>
  <c r="E107" i="5"/>
  <c r="AN68" i="2"/>
  <c r="AR265" i="2"/>
  <c r="AP10" i="2"/>
  <c r="CG407" i="2"/>
  <c r="K54" i="5"/>
  <c r="C159" i="6"/>
  <c r="AJ269" i="2"/>
  <c r="AM52" i="2"/>
  <c r="AM435" i="2"/>
  <c r="AO456" i="2"/>
  <c r="AQ287" i="2"/>
  <c r="AQ375" i="2"/>
  <c r="AT427" i="2"/>
  <c r="AS101" i="2"/>
  <c r="AP225" i="2"/>
  <c r="AS54" i="2"/>
  <c r="AR458" i="2"/>
  <c r="AT401" i="2"/>
  <c r="F307" i="6"/>
  <c r="AM418" i="2"/>
  <c r="AO316" i="2"/>
  <c r="AE22" i="2"/>
  <c r="AQ324" i="2"/>
  <c r="AR61" i="2"/>
  <c r="AN125" i="2"/>
  <c r="AN408" i="2"/>
  <c r="AR433" i="2"/>
  <c r="K158" i="5"/>
  <c r="I147" i="5"/>
  <c r="D163" i="6"/>
  <c r="AH461" i="2"/>
  <c r="P168" i="5"/>
  <c r="AM135" i="2"/>
  <c r="D323" i="6"/>
  <c r="E106" i="5"/>
  <c r="AN10" i="2"/>
  <c r="AP66" i="2"/>
  <c r="AQ445" i="2"/>
  <c r="AP313" i="2"/>
  <c r="AQ136" i="2"/>
  <c r="AR305" i="2"/>
  <c r="AN430" i="2"/>
  <c r="AT123" i="2"/>
  <c r="AR54" i="2"/>
  <c r="CG101" i="2"/>
  <c r="AP368" i="2"/>
  <c r="AQ311" i="2"/>
  <c r="I22" i="5"/>
  <c r="AE170" i="2"/>
  <c r="AT352" i="2"/>
  <c r="AO409" i="2"/>
  <c r="CG340" i="2"/>
  <c r="AP314" i="2"/>
  <c r="AO241" i="2"/>
  <c r="CG351" i="2"/>
  <c r="AS170" i="2"/>
  <c r="AS66" i="2"/>
  <c r="AT69" i="2"/>
  <c r="AP269" i="2"/>
  <c r="AO178" i="2"/>
  <c r="AF326" i="2"/>
  <c r="H47" i="6"/>
  <c r="AH109" i="2"/>
  <c r="O32" i="5"/>
  <c r="AP423" i="2"/>
  <c r="AN380" i="2"/>
  <c r="AN244" i="2"/>
  <c r="AP324" i="2"/>
  <c r="AQ369" i="2"/>
  <c r="AQ65" i="2"/>
  <c r="AS181" i="2"/>
  <c r="AT404" i="2"/>
  <c r="AP241" i="2"/>
  <c r="AO337" i="2"/>
  <c r="AO354" i="2"/>
  <c r="CG67" i="2"/>
  <c r="I329" i="6"/>
  <c r="AR159" i="2"/>
  <c r="AG49" i="2"/>
  <c r="AN143" i="2"/>
  <c r="AT355" i="2"/>
  <c r="AO203" i="2"/>
  <c r="CG313" i="2"/>
  <c r="AS234" i="2"/>
  <c r="AO46" i="2"/>
  <c r="CG375" i="2"/>
  <c r="AS56" i="2"/>
  <c r="AT8" i="2"/>
  <c r="C199" i="5"/>
  <c r="AD422" i="2"/>
  <c r="O113" i="5"/>
  <c r="AK119" i="2"/>
  <c r="AH306" i="2"/>
  <c r="D181" i="6"/>
  <c r="AM460" i="2"/>
  <c r="G93" i="6"/>
  <c r="AP258" i="2"/>
  <c r="AN304" i="2"/>
  <c r="AO38" i="2"/>
  <c r="CG334" i="2"/>
  <c r="AS31" i="2"/>
  <c r="CG463" i="2"/>
  <c r="AT282" i="2"/>
  <c r="AR232" i="2"/>
  <c r="CG406" i="2"/>
  <c r="F212" i="6"/>
  <c r="E291" i="6"/>
  <c r="H52" i="5"/>
  <c r="O121" i="5"/>
  <c r="I196" i="6"/>
  <c r="AN89" i="2"/>
  <c r="AP185" i="2"/>
  <c r="B52" i="5"/>
  <c r="I150" i="6"/>
  <c r="F264" i="6"/>
  <c r="AG300" i="2"/>
  <c r="J235" i="6"/>
  <c r="C65" i="5"/>
  <c r="H301" i="6"/>
  <c r="D314" i="6"/>
  <c r="C67" i="6"/>
  <c r="J131" i="5"/>
  <c r="D250" i="6"/>
  <c r="K231" i="5"/>
  <c r="P7" i="5"/>
  <c r="D52" i="6"/>
  <c r="AQ91" i="2"/>
  <c r="AR215" i="2"/>
  <c r="AM53" i="2"/>
  <c r="AQ266" i="2"/>
  <c r="AQ455" i="2"/>
  <c r="AO87" i="2"/>
  <c r="CG24" i="2"/>
  <c r="AO412" i="2"/>
  <c r="AS348" i="2"/>
  <c r="AT218" i="2"/>
  <c r="AR80" i="2"/>
  <c r="AP309" i="2"/>
  <c r="AQ117" i="2"/>
  <c r="AR309" i="2"/>
  <c r="L44" i="5"/>
  <c r="AS58" i="2"/>
  <c r="AT457" i="2"/>
  <c r="AO357" i="2"/>
  <c r="AP242" i="2"/>
  <c r="AN17" i="2"/>
  <c r="AO204" i="2"/>
  <c r="CG321" i="2"/>
  <c r="AS146" i="2"/>
  <c r="AD187" i="2"/>
  <c r="AK253" i="2"/>
  <c r="AL89" i="2"/>
  <c r="AR378" i="2"/>
  <c r="AN282" i="2"/>
  <c r="AS186" i="2"/>
  <c r="AO75" i="2"/>
  <c r="AS79" i="2"/>
  <c r="G95" i="5"/>
  <c r="AR323" i="2"/>
  <c r="AP363" i="2"/>
  <c r="K210" i="5"/>
  <c r="AQ193" i="2"/>
  <c r="AW165" i="2"/>
  <c r="AQ103" i="2"/>
  <c r="AN15" i="2"/>
  <c r="AR129" i="2"/>
  <c r="AX187" i="2"/>
  <c r="AT217" i="2"/>
  <c r="AS75" i="2"/>
  <c r="AO133" i="2"/>
  <c r="BT189" i="2"/>
  <c r="AP426" i="2"/>
  <c r="C184" i="6"/>
  <c r="AR253" i="2"/>
  <c r="F332" i="6"/>
  <c r="AR453" i="2"/>
  <c r="AP346" i="2"/>
  <c r="AX390" i="2"/>
  <c r="BQ109" i="2"/>
  <c r="AT173" i="2"/>
  <c r="CG47" i="2"/>
  <c r="AO407" i="2"/>
  <c r="BS206" i="2"/>
  <c r="AR88" i="2"/>
  <c r="AT349" i="2"/>
  <c r="CG412" i="2"/>
  <c r="AO260" i="2"/>
  <c r="AS440" i="2"/>
  <c r="AR461" i="2"/>
  <c r="AR69" i="2"/>
  <c r="AM428" i="2"/>
  <c r="I205" i="5"/>
  <c r="K121" i="5"/>
  <c r="AR111" i="2"/>
  <c r="AO162" i="2"/>
  <c r="H75" i="5"/>
  <c r="AM267" i="2"/>
  <c r="AS52" i="2"/>
  <c r="AM193" i="2"/>
  <c r="AN210" i="2"/>
  <c r="AR132" i="2"/>
  <c r="BR169" i="2"/>
  <c r="AP341" i="2"/>
  <c r="AO387" i="2"/>
  <c r="CG71" i="2"/>
  <c r="CG74" i="2"/>
  <c r="AO60" i="2"/>
  <c r="AN291" i="2"/>
  <c r="AS380" i="2"/>
  <c r="AU160" i="2"/>
  <c r="AN331" i="2"/>
  <c r="AR193" i="2"/>
  <c r="AP65" i="2"/>
  <c r="BS133" i="2"/>
  <c r="AP183" i="2"/>
  <c r="AN280" i="2"/>
  <c r="AQ310" i="2"/>
  <c r="H249" i="5"/>
  <c r="AQ356" i="2"/>
  <c r="AQ453" i="2"/>
  <c r="AP244" i="2"/>
  <c r="AO221" i="2"/>
  <c r="AQ438" i="2"/>
  <c r="AP140" i="2"/>
  <c r="AO315" i="2"/>
  <c r="BR151" i="2"/>
  <c r="AG391" i="2"/>
  <c r="AQ143" i="2"/>
  <c r="AO255" i="2"/>
  <c r="BT455" i="2"/>
  <c r="CG384" i="2"/>
  <c r="AO324" i="2"/>
  <c r="AT444" i="2"/>
  <c r="AV193" i="2"/>
  <c r="I258" i="6"/>
  <c r="AM47" i="2"/>
  <c r="CG233" i="2"/>
  <c r="AP439" i="2"/>
  <c r="AP328" i="2"/>
  <c r="B345" i="6"/>
  <c r="AR168" i="2"/>
  <c r="AS27" i="2"/>
  <c r="AK86" i="2"/>
  <c r="B151" i="6"/>
  <c r="AP211" i="2"/>
  <c r="AR65" i="2"/>
  <c r="AI43" i="2"/>
  <c r="C131" i="6"/>
  <c r="AQ21" i="2"/>
  <c r="I6" i="5"/>
  <c r="B324" i="6"/>
  <c r="AR347" i="2"/>
  <c r="AO165" i="2"/>
  <c r="CG103" i="2"/>
  <c r="AL254" i="2"/>
  <c r="AR283" i="2"/>
  <c r="AN347" i="2"/>
  <c r="AS173" i="2"/>
  <c r="AO356" i="2"/>
  <c r="CG276" i="2"/>
  <c r="AM391" i="2"/>
  <c r="E98" i="6"/>
  <c r="AM220" i="2"/>
  <c r="AR258" i="2"/>
  <c r="H13" i="5"/>
  <c r="H313" i="6"/>
  <c r="AQ378" i="2"/>
  <c r="AQ291" i="2"/>
  <c r="AN428" i="2"/>
  <c r="E321" i="6"/>
  <c r="AQ32" i="2"/>
  <c r="AS109" i="2"/>
  <c r="AR149" i="2"/>
  <c r="AT144" i="2"/>
  <c r="AN200" i="2"/>
  <c r="AO291" i="2"/>
  <c r="AO195" i="2"/>
  <c r="B80" i="6"/>
  <c r="AR45" i="2"/>
  <c r="AO398" i="2"/>
  <c r="AM257" i="2"/>
  <c r="AR338" i="2"/>
  <c r="AT461" i="2"/>
  <c r="AN323" i="2"/>
  <c r="J275" i="6"/>
  <c r="AE312" i="2"/>
  <c r="I372" i="6"/>
  <c r="G293" i="6"/>
  <c r="AR156" i="2"/>
  <c r="AR51" i="2"/>
  <c r="AR440" i="2"/>
  <c r="AN12" i="2"/>
  <c r="AP84" i="2"/>
  <c r="AP192" i="2"/>
  <c r="CG373" i="2"/>
  <c r="AS254" i="2"/>
  <c r="AT189" i="2"/>
  <c r="AT20" i="2"/>
  <c r="AT249" i="2"/>
  <c r="AO442" i="2"/>
  <c r="J33" i="6"/>
  <c r="AQ295" i="2"/>
  <c r="AR200" i="2"/>
  <c r="K218" i="5"/>
  <c r="AS398" i="2"/>
  <c r="F198" i="5"/>
  <c r="AO271" i="2"/>
  <c r="CG162" i="2"/>
  <c r="AT360" i="2"/>
  <c r="AO139" i="2"/>
  <c r="CG440" i="2"/>
  <c r="AS113" i="2"/>
  <c r="J40" i="6"/>
  <c r="K228" i="5"/>
  <c r="J323" i="6"/>
  <c r="H319" i="6"/>
  <c r="P182" i="5"/>
  <c r="K162" i="5"/>
  <c r="B121" i="5"/>
  <c r="D254" i="6"/>
  <c r="AO350" i="2"/>
  <c r="AO286" i="2"/>
  <c r="AQ192" i="2"/>
  <c r="AO94" i="2"/>
  <c r="CG80" i="2"/>
  <c r="AR47" i="2"/>
  <c r="AS187" i="2"/>
  <c r="AT27" i="2"/>
  <c r="AR251" i="2"/>
  <c r="E69" i="6"/>
  <c r="AF196" i="2"/>
  <c r="AN341" i="2"/>
  <c r="AQ97" i="2"/>
  <c r="AQ118" i="2"/>
  <c r="F208" i="6"/>
  <c r="AN156" i="2"/>
  <c r="AS307" i="2"/>
  <c r="AL435" i="2"/>
  <c r="I91" i="5"/>
  <c r="J187" i="6"/>
  <c r="AN256" i="2"/>
  <c r="I190" i="6"/>
  <c r="F365" i="6"/>
  <c r="K351" i="5"/>
  <c r="AM76" i="2"/>
  <c r="AN350" i="2"/>
  <c r="AP382" i="2"/>
  <c r="AN29" i="2"/>
  <c r="AL59" i="2"/>
  <c r="B365" i="6"/>
  <c r="AM341" i="2"/>
  <c r="C341" i="6"/>
  <c r="AR436" i="2"/>
  <c r="AR298" i="2"/>
  <c r="CG229" i="2"/>
  <c r="AS22" i="2"/>
  <c r="AT13" i="2"/>
  <c r="AO304" i="2"/>
  <c r="C331" i="6"/>
  <c r="B250" i="5"/>
  <c r="E280" i="6"/>
  <c r="AP455" i="2"/>
  <c r="AQ184" i="2"/>
  <c r="AR353" i="2"/>
  <c r="AR346" i="2"/>
  <c r="AT370" i="2"/>
  <c r="AR310" i="2"/>
  <c r="CG245" i="2"/>
  <c r="AM221" i="2"/>
  <c r="AM374" i="2"/>
  <c r="AN261" i="2"/>
  <c r="AJ37" i="2"/>
  <c r="F28" i="5"/>
  <c r="J168" i="6"/>
  <c r="AN73" i="2"/>
  <c r="AN111" i="2"/>
  <c r="O11" i="5"/>
  <c r="AK159" i="2"/>
  <c r="K375" i="5"/>
  <c r="I13" i="5"/>
  <c r="AR84" i="2"/>
  <c r="AR419" i="2"/>
  <c r="AQ200" i="2"/>
  <c r="AR369" i="2"/>
  <c r="N131" i="5"/>
  <c r="AN16" i="2"/>
  <c r="AR74" i="2"/>
  <c r="AO37" i="2"/>
  <c r="CG318" i="2"/>
  <c r="AT76" i="2"/>
  <c r="D148" i="6"/>
  <c r="J97" i="6"/>
  <c r="AM97" i="2"/>
  <c r="AP359" i="2"/>
  <c r="AQ357" i="2"/>
  <c r="AR414" i="2"/>
  <c r="AS245" i="2"/>
  <c r="AS120" i="2"/>
  <c r="AT72" i="2"/>
  <c r="AO333" i="2"/>
  <c r="AT263" i="2"/>
  <c r="AN102" i="2"/>
  <c r="AO186" i="2"/>
  <c r="CG177" i="2"/>
  <c r="F239" i="6"/>
  <c r="K279" i="5"/>
  <c r="AM128" i="2"/>
  <c r="K169" i="5"/>
  <c r="AO278" i="2"/>
  <c r="AN379" i="2"/>
  <c r="AT298" i="2"/>
  <c r="AR302" i="2"/>
  <c r="AM189" i="2"/>
  <c r="AQ250" i="2"/>
  <c r="AS208" i="2"/>
  <c r="AN33" i="2"/>
  <c r="AR184" i="2"/>
  <c r="AQ85" i="2"/>
  <c r="AX393" i="2"/>
  <c r="AP342" i="2"/>
  <c r="AN409" i="2"/>
  <c r="AR131" i="2"/>
  <c r="BQ32" i="2"/>
  <c r="AM98" i="2"/>
  <c r="AS130" i="2"/>
  <c r="AO35" i="2"/>
  <c r="AO309" i="2"/>
  <c r="F328" i="6"/>
  <c r="D288" i="6"/>
  <c r="AT64" i="2"/>
  <c r="AQ183" i="2"/>
  <c r="B80" i="5"/>
  <c r="AQ73" i="2"/>
  <c r="BQ403" i="2"/>
  <c r="BQ383" i="2"/>
  <c r="AT60" i="2"/>
  <c r="AH314" i="2"/>
  <c r="AN431" i="2"/>
  <c r="AR220" i="2"/>
  <c r="AK155" i="2"/>
  <c r="AJ265" i="2"/>
  <c r="AQ43" i="2"/>
  <c r="CG310" i="2"/>
  <c r="AN148" i="2"/>
  <c r="B349" i="6"/>
  <c r="AN23" i="2"/>
  <c r="AN70" i="2"/>
  <c r="AN267" i="2"/>
  <c r="AR389" i="2"/>
  <c r="AV205" i="2"/>
  <c r="AT82" i="2"/>
  <c r="AP316" i="2"/>
  <c r="AM424" i="2"/>
  <c r="AW43" i="2"/>
  <c r="AP36" i="2"/>
  <c r="I9" i="5"/>
  <c r="AQ249" i="2"/>
  <c r="AO440" i="2"/>
  <c r="AO206" i="2"/>
  <c r="AT209" i="2"/>
  <c r="CG94" i="2"/>
  <c r="AT30" i="2"/>
  <c r="I108" i="6"/>
  <c r="AK456" i="2"/>
  <c r="AN93" i="2"/>
  <c r="AQ344" i="2"/>
  <c r="AN315" i="2"/>
  <c r="AR195" i="2"/>
  <c r="CG342" i="2"/>
  <c r="BT274" i="2"/>
  <c r="AP372" i="2"/>
  <c r="AM295" i="2"/>
  <c r="AS156" i="2"/>
  <c r="AN459" i="2"/>
  <c r="I255" i="6"/>
  <c r="AQ244" i="2"/>
  <c r="AS95" i="2"/>
  <c r="AO123" i="2"/>
  <c r="AS284" i="2"/>
  <c r="AO6" i="2"/>
  <c r="AT32" i="2"/>
  <c r="BR79" i="2"/>
  <c r="AT178" i="2"/>
  <c r="AS276" i="2"/>
  <c r="AO197" i="2"/>
  <c r="BT247" i="2"/>
  <c r="G14" i="5"/>
  <c r="D311" i="6"/>
  <c r="AQ93" i="2"/>
  <c r="AE319" i="2"/>
  <c r="AN112" i="2"/>
  <c r="H130" i="6"/>
  <c r="BR70" i="2"/>
  <c r="AQ24" i="2"/>
  <c r="AN182" i="2"/>
  <c r="AR120" i="2"/>
  <c r="J225" i="6"/>
  <c r="I246" i="6"/>
  <c r="AP196" i="2"/>
  <c r="H285" i="6"/>
  <c r="AP26" i="2"/>
  <c r="CG432" i="2"/>
  <c r="AF15" i="2"/>
  <c r="I93" i="6"/>
  <c r="G342" i="6"/>
  <c r="AO270" i="2"/>
  <c r="AN193" i="2"/>
  <c r="AP39" i="2"/>
  <c r="AS277" i="2"/>
  <c r="AS125" i="2"/>
  <c r="AN40" i="2"/>
  <c r="AN129" i="2"/>
  <c r="CG253" i="2"/>
  <c r="I79" i="5"/>
  <c r="AS457" i="2"/>
  <c r="G316" i="6"/>
  <c r="AM72" i="2"/>
  <c r="AT199" i="2"/>
  <c r="K335" i="5"/>
  <c r="AP290" i="2"/>
  <c r="AQ51" i="2"/>
  <c r="AR52" i="2"/>
  <c r="F57" i="5"/>
  <c r="CG44" i="2"/>
  <c r="AT324" i="2"/>
  <c r="AQ205" i="2"/>
  <c r="H365" i="6"/>
  <c r="AJ363" i="2"/>
  <c r="AK245" i="2"/>
  <c r="AK326" i="2"/>
  <c r="AR109" i="2"/>
  <c r="AQ338" i="2"/>
  <c r="AT341" i="2"/>
  <c r="AP305" i="2"/>
  <c r="AO150" i="2"/>
  <c r="AR432" i="2"/>
  <c r="CG363" i="2"/>
  <c r="AS340" i="2"/>
  <c r="AT196" i="2"/>
  <c r="AL401" i="2"/>
  <c r="I23" i="5"/>
  <c r="AL403" i="2"/>
  <c r="AN247" i="2"/>
  <c r="AP367" i="2"/>
  <c r="AQ59" i="2"/>
  <c r="AR207" i="2"/>
  <c r="AO28" i="2"/>
  <c r="B314" i="6"/>
  <c r="H219" i="6"/>
  <c r="H335" i="6"/>
  <c r="AS377" i="2"/>
  <c r="AD57" i="2"/>
  <c r="B126" i="6"/>
  <c r="J350" i="6"/>
  <c r="L113" i="5"/>
  <c r="AG169" i="2"/>
  <c r="AN175" i="2"/>
  <c r="AM441" i="2"/>
  <c r="AH208" i="2"/>
  <c r="C23" i="6"/>
  <c r="I37" i="5"/>
  <c r="AK372" i="2"/>
  <c r="AQ19" i="2"/>
  <c r="AP14" i="2"/>
  <c r="AR153" i="2"/>
  <c r="AO12" i="2"/>
  <c r="CG86" i="2"/>
  <c r="AT365" i="2"/>
  <c r="B39" i="5"/>
  <c r="J50" i="5"/>
  <c r="M14" i="5"/>
  <c r="I58" i="5"/>
  <c r="AP162" i="2"/>
  <c r="AQ107" i="2"/>
  <c r="AP422" i="2"/>
  <c r="AS379" i="2"/>
  <c r="AT147" i="2"/>
  <c r="AR209" i="2"/>
  <c r="D78" i="5"/>
  <c r="K179" i="5"/>
  <c r="K238" i="5"/>
  <c r="AM375" i="2"/>
  <c r="AN205" i="2"/>
  <c r="AM149" i="2"/>
  <c r="F375" i="6"/>
  <c r="AI7" i="2"/>
  <c r="AN346" i="2"/>
  <c r="AP402" i="2"/>
  <c r="AQ145" i="2"/>
  <c r="B284" i="6"/>
  <c r="H8" i="6"/>
  <c r="H12" i="6"/>
  <c r="E298" i="6"/>
  <c r="B319" i="6"/>
  <c r="AM248" i="2"/>
  <c r="CG114" i="2"/>
  <c r="CG85" i="2"/>
  <c r="E53" i="6"/>
  <c r="F191" i="6"/>
  <c r="AE294" i="2"/>
  <c r="AN77" i="2"/>
  <c r="J316" i="6"/>
  <c r="B127" i="5"/>
  <c r="AQ181" i="2"/>
  <c r="AR373" i="2"/>
  <c r="AN445" i="2"/>
  <c r="AP144" i="2"/>
  <c r="AT430" i="2"/>
  <c r="AO369" i="2"/>
  <c r="CG147" i="2"/>
  <c r="AP438" i="2"/>
  <c r="AQ58" i="2"/>
  <c r="AM319" i="2"/>
  <c r="AM197" i="2"/>
  <c r="AR125" i="2"/>
  <c r="AN301" i="2"/>
  <c r="AP181" i="2"/>
  <c r="K201" i="5"/>
  <c r="AI132" i="2"/>
  <c r="H345" i="6"/>
  <c r="P85" i="5"/>
  <c r="G16" i="6"/>
  <c r="AQ280" i="2"/>
  <c r="AQ83" i="2"/>
  <c r="AS382" i="2"/>
  <c r="AT325" i="2"/>
  <c r="AN388" i="2"/>
  <c r="AT278" i="2"/>
  <c r="AR46" i="2"/>
  <c r="CG93" i="2"/>
  <c r="AS349" i="2"/>
  <c r="K153" i="5"/>
  <c r="AE47" i="2"/>
  <c r="AK12" i="2"/>
  <c r="AN406" i="2"/>
  <c r="AN343" i="2"/>
  <c r="AP216" i="2"/>
  <c r="AQ271" i="2"/>
  <c r="AD451" i="2"/>
  <c r="K92" i="5"/>
  <c r="K366" i="5"/>
  <c r="AG290" i="2"/>
  <c r="J240" i="6"/>
  <c r="C307" i="6"/>
  <c r="H80" i="5"/>
  <c r="AF424" i="2"/>
  <c r="AP295" i="2"/>
  <c r="AR133" i="2"/>
  <c r="C187" i="6"/>
  <c r="AR261" i="2"/>
  <c r="AR322" i="2"/>
  <c r="AM383" i="2"/>
  <c r="AR124" i="2"/>
  <c r="AN166" i="2"/>
  <c r="AQ175" i="2"/>
  <c r="AO158" i="2"/>
  <c r="AS446" i="2"/>
  <c r="AR336" i="2"/>
  <c r="AT382" i="2"/>
  <c r="CG273" i="2"/>
  <c r="AX321" i="2"/>
  <c r="CG171" i="2"/>
  <c r="AR296" i="2"/>
  <c r="AS16" i="2"/>
  <c r="BQ328" i="2"/>
  <c r="AN195" i="2"/>
  <c r="C315" i="6"/>
  <c r="AP54" i="2"/>
  <c r="AH298" i="2"/>
  <c r="AQ350" i="2"/>
  <c r="AP283" i="2"/>
  <c r="AX136" i="2"/>
  <c r="AN394" i="2"/>
  <c r="AR98" i="2"/>
  <c r="AP156" i="2"/>
  <c r="BS351" i="2"/>
  <c r="BS267" i="2"/>
  <c r="AM58" i="2"/>
  <c r="D134" i="6"/>
  <c r="AS414" i="2"/>
  <c r="AT116" i="2"/>
  <c r="M23" i="5"/>
  <c r="I75" i="5"/>
  <c r="AQ20" i="2"/>
  <c r="AP194" i="2"/>
  <c r="AS465" i="2"/>
  <c r="AQ332" i="2"/>
  <c r="AM463" i="2"/>
  <c r="AR289" i="2"/>
  <c r="AN423" i="2"/>
  <c r="I126" i="6"/>
  <c r="AV88" i="2"/>
  <c r="AN39" i="2"/>
  <c r="AQ437" i="2"/>
  <c r="AN454" i="2"/>
  <c r="AW30" i="2"/>
  <c r="AN174" i="2"/>
  <c r="AO451" i="2"/>
  <c r="CG344" i="2"/>
  <c r="AO330" i="2"/>
  <c r="AO124" i="2"/>
  <c r="AT311" i="2"/>
  <c r="AS157" i="2"/>
  <c r="AU98" i="2"/>
  <c r="AM430" i="2"/>
  <c r="O181" i="5"/>
  <c r="AO185" i="2"/>
  <c r="AO49" i="2"/>
  <c r="AP454" i="2"/>
  <c r="AS80" i="2"/>
  <c r="CG109" i="2"/>
  <c r="BT457" i="2"/>
  <c r="AO14" i="2"/>
  <c r="AN183" i="2"/>
  <c r="AS67" i="2"/>
  <c r="D319" i="6"/>
  <c r="AR334" i="2"/>
  <c r="AN84" i="2"/>
  <c r="CG78" i="2"/>
  <c r="AL255" i="2"/>
  <c r="AS195" i="2"/>
  <c r="CG348" i="2"/>
  <c r="AN370" i="2"/>
  <c r="BS140" i="2"/>
  <c r="AT329" i="2"/>
  <c r="AS339" i="2"/>
  <c r="AO99" i="2"/>
  <c r="BT364" i="2"/>
  <c r="G246" i="5"/>
  <c r="AM258" i="2"/>
  <c r="CG146" i="2"/>
  <c r="AP128" i="2"/>
  <c r="AP288" i="2"/>
  <c r="AO238" i="2"/>
  <c r="BS281" i="2"/>
  <c r="AQ305" i="2"/>
  <c r="AO351" i="2"/>
  <c r="AT397" i="2"/>
  <c r="AU176" i="2"/>
  <c r="G192" i="5"/>
  <c r="H112" i="5"/>
  <c r="AQ258" i="2"/>
  <c r="BR370" i="2"/>
  <c r="J249" i="6"/>
  <c r="AP253" i="2"/>
  <c r="AM172" i="2"/>
  <c r="BS379" i="2"/>
  <c r="F293" i="6"/>
  <c r="AS371" i="2"/>
  <c r="AP300" i="2"/>
  <c r="AK423" i="2"/>
  <c r="AF256" i="2"/>
  <c r="AT57" i="2"/>
  <c r="G196" i="6"/>
  <c r="H48" i="5"/>
  <c r="AQ452" i="2"/>
  <c r="AK319" i="2"/>
  <c r="C22" i="6"/>
  <c r="AP223" i="2"/>
  <c r="P176" i="5"/>
  <c r="AP33" i="2"/>
  <c r="AN26" i="2"/>
  <c r="BS166" i="2"/>
  <c r="AR257" i="2"/>
  <c r="AP278" i="2"/>
  <c r="AN139" i="2"/>
  <c r="AV136" i="2"/>
  <c r="AS439" i="2"/>
  <c r="CG393" i="2"/>
  <c r="AR167" i="2"/>
  <c r="AW67" i="2"/>
  <c r="AP46" i="2"/>
  <c r="AP102" i="2"/>
  <c r="C349" i="6"/>
  <c r="K45" i="5"/>
  <c r="AO326" i="2"/>
  <c r="AP427" i="2"/>
  <c r="AT396" i="2"/>
  <c r="AQ18" i="2"/>
  <c r="AR163" i="2"/>
  <c r="I37" i="6"/>
  <c r="AD300" i="2"/>
  <c r="AR450" i="2"/>
  <c r="AT437" i="2"/>
  <c r="AO434" i="2"/>
  <c r="AP280" i="2"/>
  <c r="AN213" i="2"/>
  <c r="AS76" i="2"/>
  <c r="AN442" i="2"/>
  <c r="AP209" i="2"/>
  <c r="CG28" i="2"/>
  <c r="AM132" i="2"/>
  <c r="AS192" i="2"/>
  <c r="AN419" i="2"/>
  <c r="AP231" i="2"/>
  <c r="AN55" i="2"/>
  <c r="AP255" i="2"/>
  <c r="AP191" i="2"/>
  <c r="CG25" i="2"/>
  <c r="AS337" i="2"/>
  <c r="AT281" i="2"/>
  <c r="AR337" i="2"/>
  <c r="B247" i="6"/>
  <c r="D44" i="6"/>
  <c r="F169" i="6"/>
  <c r="C9" i="5"/>
  <c r="I364" i="6"/>
  <c r="AF101" i="2"/>
  <c r="AP85" i="2"/>
  <c r="AN122" i="2"/>
  <c r="AT245" i="2"/>
  <c r="AR366" i="2"/>
  <c r="AO68" i="2"/>
  <c r="CG201" i="2"/>
  <c r="CG131" i="2"/>
  <c r="D137" i="6"/>
  <c r="C328" i="6"/>
  <c r="H77" i="5"/>
  <c r="AN132" i="2"/>
  <c r="AP268" i="2"/>
  <c r="AN18" i="2"/>
  <c r="CG420" i="2"/>
  <c r="AS61" i="2"/>
  <c r="AT284" i="2"/>
  <c r="AF99" i="2"/>
  <c r="L162" i="5"/>
  <c r="I16" i="6"/>
  <c r="H149" i="5"/>
  <c r="I138" i="5"/>
  <c r="L231" i="5"/>
  <c r="AM151" i="2"/>
  <c r="AM94" i="2"/>
  <c r="AR20" i="2"/>
  <c r="AN171" i="2"/>
  <c r="AP259" i="2"/>
  <c r="AQ188" i="2"/>
  <c r="F116" i="6"/>
  <c r="D105" i="6"/>
  <c r="AH167" i="2"/>
  <c r="I139" i="5"/>
  <c r="AS231" i="2"/>
  <c r="AR362" i="2"/>
  <c r="AR216" i="2"/>
  <c r="CG390" i="2"/>
  <c r="AS383" i="2"/>
  <c r="F25" i="6"/>
  <c r="I73" i="5"/>
  <c r="AM358" i="2"/>
  <c r="D78" i="6"/>
  <c r="AN142" i="2"/>
  <c r="AP174" i="2"/>
  <c r="AQ206" i="2"/>
  <c r="F67" i="5"/>
  <c r="AS426" i="2"/>
  <c r="AT418" i="2"/>
  <c r="AO458" i="2"/>
  <c r="AN279" i="2"/>
  <c r="AP447" i="2"/>
  <c r="AQ247" i="2"/>
  <c r="AQ342" i="2"/>
  <c r="AQ381" i="2"/>
  <c r="AR462" i="2"/>
  <c r="AM307" i="2"/>
  <c r="J44" i="5"/>
  <c r="AN292" i="2"/>
  <c r="AP388" i="2"/>
  <c r="AQ385" i="2"/>
  <c r="AP264" i="2"/>
  <c r="AL25" i="2"/>
  <c r="K232" i="5"/>
  <c r="G269" i="6"/>
  <c r="I245" i="6"/>
  <c r="AP143" i="2"/>
  <c r="M26" i="5"/>
  <c r="AM104" i="2"/>
  <c r="F341" i="6"/>
  <c r="G88" i="6"/>
  <c r="AR416" i="2"/>
  <c r="AN396" i="2"/>
  <c r="AP60" i="2"/>
  <c r="L17" i="5"/>
  <c r="AQ421" i="2"/>
  <c r="AR456" i="2"/>
  <c r="AR30" i="2"/>
  <c r="AT351" i="2"/>
  <c r="AT136" i="2"/>
  <c r="AO344" i="2"/>
  <c r="N153" i="5"/>
  <c r="AQ454" i="2"/>
  <c r="AR95" i="2"/>
  <c r="AE258" i="2"/>
  <c r="G71" i="5"/>
  <c r="AO406" i="2"/>
  <c r="AM136" i="2"/>
  <c r="AP421" i="2"/>
  <c r="AP218" i="2"/>
  <c r="H118" i="6"/>
  <c r="F312" i="6"/>
  <c r="K182" i="5"/>
  <c r="AL212" i="2"/>
  <c r="AO233" i="2"/>
  <c r="AQ256" i="2"/>
  <c r="AS37" i="2"/>
  <c r="AT260" i="2"/>
  <c r="AQ148" i="2"/>
  <c r="CG128" i="2"/>
  <c r="AH405" i="2"/>
  <c r="E258" i="6"/>
  <c r="I332" i="6"/>
  <c r="AQ248" i="2"/>
  <c r="AR352" i="2"/>
  <c r="AN443" i="2"/>
  <c r="AM340" i="2"/>
  <c r="AO410" i="2"/>
  <c r="CG380" i="2"/>
  <c r="AS53" i="2"/>
  <c r="F186" i="5"/>
  <c r="B175" i="6"/>
  <c r="AN356" i="2"/>
  <c r="AN9" i="2"/>
  <c r="AM205" i="2"/>
  <c r="AN303" i="2"/>
  <c r="AP96" i="2"/>
  <c r="AP318" i="2"/>
  <c r="AQ347" i="2"/>
  <c r="B295" i="6"/>
  <c r="AN184" i="2"/>
  <c r="AQ359" i="2"/>
  <c r="AS103" i="2"/>
  <c r="AN50" i="2"/>
  <c r="AS336" i="2"/>
  <c r="AR383" i="2"/>
  <c r="AP107" i="2"/>
  <c r="AT77" i="2"/>
  <c r="D211" i="6"/>
  <c r="AR174" i="2"/>
  <c r="AT268" i="2"/>
  <c r="CG256" i="2"/>
  <c r="BQ343" i="2"/>
  <c r="CG370" i="2"/>
  <c r="AO433" i="2"/>
  <c r="AT439" i="2"/>
  <c r="BR378" i="2"/>
  <c r="AJ177" i="2"/>
  <c r="G19" i="5"/>
  <c r="AT177" i="2"/>
  <c r="AQ379" i="2"/>
  <c r="AR395" i="2"/>
  <c r="AQ115" i="2"/>
  <c r="BQ371" i="2"/>
  <c r="AN216" i="2"/>
  <c r="AR300" i="2"/>
  <c r="AO55" i="2"/>
  <c r="BT354" i="2"/>
  <c r="CG423" i="2"/>
  <c r="AQ197" i="2"/>
  <c r="AN226" i="2"/>
  <c r="AW366" i="2"/>
  <c r="H22" i="6"/>
  <c r="AR243" i="2"/>
  <c r="AP352" i="2"/>
  <c r="AS249" i="2"/>
  <c r="AO66" i="2"/>
  <c r="AR145" i="2"/>
  <c r="AQ237" i="2"/>
  <c r="AO275" i="2"/>
  <c r="AQ11" i="2"/>
  <c r="AN152" i="2"/>
  <c r="AR34" i="2"/>
  <c r="AX188" i="2"/>
  <c r="AR367" i="2"/>
  <c r="AP222" i="2"/>
  <c r="AM253" i="2"/>
  <c r="BQ58" i="2"/>
  <c r="AO285" i="2"/>
  <c r="AT170" i="2"/>
  <c r="CG199" i="2"/>
  <c r="AT271" i="2"/>
  <c r="G103" i="6"/>
  <c r="AH239" i="2"/>
  <c r="AO422" i="2"/>
  <c r="G89" i="5"/>
  <c r="C69" i="5"/>
  <c r="AQ368" i="2"/>
  <c r="BR325" i="2"/>
  <c r="BR369" i="2"/>
  <c r="AR315" i="2"/>
  <c r="AS182" i="2"/>
  <c r="CG331" i="2"/>
  <c r="AT368" i="2"/>
  <c r="CG37" i="2"/>
  <c r="AQ122" i="2"/>
  <c r="AS433" i="2"/>
  <c r="AL236" i="2"/>
  <c r="AO375" i="2"/>
  <c r="CG454" i="2"/>
  <c r="AM303" i="2"/>
  <c r="K237" i="5"/>
  <c r="AS114" i="2"/>
  <c r="AJ325" i="2"/>
  <c r="AM440" i="2"/>
  <c r="AF17" i="2"/>
  <c r="AT303" i="2"/>
  <c r="I311" i="6"/>
  <c r="AN207" i="2"/>
  <c r="G87" i="6"/>
  <c r="AN385" i="2"/>
  <c r="AR107" i="2"/>
  <c r="BR371" i="2"/>
  <c r="AQ202" i="2"/>
  <c r="AN71" i="2"/>
  <c r="AR185" i="2"/>
  <c r="AU186" i="2"/>
  <c r="CG16" i="2"/>
  <c r="AO284" i="2"/>
  <c r="AT204" i="2"/>
  <c r="AV44" i="2"/>
  <c r="AN249" i="2"/>
  <c r="AN351" i="2"/>
  <c r="AR9" i="2"/>
  <c r="BR103" i="2"/>
  <c r="AP177" i="2"/>
  <c r="C76" i="5"/>
  <c r="F88" i="6"/>
  <c r="CG167" i="2"/>
  <c r="CG75" i="2"/>
  <c r="D252" i="6"/>
  <c r="H164" i="5"/>
  <c r="AM211" i="2"/>
  <c r="K277" i="5"/>
  <c r="AM122" i="2"/>
  <c r="E16" i="6"/>
  <c r="AP114" i="2"/>
  <c r="AQ219" i="2"/>
  <c r="AM92" i="2"/>
  <c r="AQ458" i="2"/>
  <c r="AR358" i="2"/>
  <c r="AF311" i="2"/>
  <c r="AQ126" i="2"/>
  <c r="J173" i="5"/>
  <c r="AN97" i="2"/>
  <c r="AM186" i="2"/>
  <c r="B368" i="6"/>
  <c r="AP406" i="2"/>
  <c r="AR285" i="2"/>
  <c r="CG264" i="2"/>
  <c r="AS328" i="2"/>
  <c r="F18" i="5"/>
  <c r="G72" i="5"/>
  <c r="AM344" i="2"/>
  <c r="G266" i="6"/>
  <c r="B52" i="6"/>
  <c r="M71" i="5"/>
  <c r="AN269" i="2"/>
  <c r="D174" i="6"/>
  <c r="CG272" i="2"/>
  <c r="AS30" i="2"/>
  <c r="AT19" i="2"/>
  <c r="AR187" i="2"/>
  <c r="AO50" i="2"/>
  <c r="C107" i="6"/>
  <c r="AN191" i="2"/>
  <c r="K348" i="5"/>
  <c r="F7" i="5"/>
  <c r="C181" i="5"/>
  <c r="AN328" i="2"/>
  <c r="AP360" i="2"/>
  <c r="AQ336" i="2"/>
  <c r="CG332" i="2"/>
  <c r="AS12" i="2"/>
  <c r="AT259" i="2"/>
  <c r="K106" i="5"/>
  <c r="AN65" i="2"/>
  <c r="AP161" i="2"/>
  <c r="AP111" i="2"/>
  <c r="AN342" i="2"/>
  <c r="AP374" i="2"/>
  <c r="AQ406" i="2"/>
  <c r="AM363" i="2"/>
  <c r="AO342" i="2"/>
  <c r="AN28" i="2"/>
  <c r="AP124" i="2"/>
  <c r="AN83" i="2"/>
  <c r="B255" i="6"/>
  <c r="AG232" i="2"/>
  <c r="G239" i="6"/>
  <c r="AJ454" i="2"/>
  <c r="AT293" i="2"/>
  <c r="G308" i="6"/>
  <c r="K187" i="5"/>
  <c r="AM302" i="2"/>
  <c r="AM315" i="2"/>
  <c r="AQ33" i="2"/>
  <c r="AR417" i="2"/>
  <c r="AM343" i="2"/>
  <c r="AM158" i="2"/>
  <c r="AN382" i="2"/>
  <c r="AP414" i="2"/>
  <c r="AQ446" i="2"/>
  <c r="AS287" i="2"/>
  <c r="AS241" i="2"/>
  <c r="AT185" i="2"/>
  <c r="AE103" i="2"/>
  <c r="AP407" i="2"/>
  <c r="AQ231" i="2"/>
  <c r="AR136" i="2"/>
  <c r="E349" i="6"/>
  <c r="AR430" i="2"/>
  <c r="AO462" i="2"/>
  <c r="AM415" i="2"/>
  <c r="AM170" i="2"/>
  <c r="AM410" i="2"/>
  <c r="AP462" i="2"/>
  <c r="AQ277" i="2"/>
  <c r="H173" i="6"/>
  <c r="AN53" i="2"/>
  <c r="AF462" i="2"/>
  <c r="C207" i="6"/>
  <c r="AM368" i="2"/>
  <c r="F311" i="6"/>
  <c r="AN160" i="2"/>
  <c r="AQ146" i="2"/>
  <c r="AR387" i="2"/>
  <c r="B218" i="6"/>
  <c r="AN340" i="2"/>
  <c r="AP44" i="2"/>
  <c r="AQ116" i="2"/>
  <c r="AQ386" i="2"/>
  <c r="AP8" i="2"/>
  <c r="AQ335" i="2"/>
  <c r="AR240" i="2"/>
  <c r="AK457" i="2"/>
  <c r="H96" i="5"/>
  <c r="F27" i="5"/>
  <c r="AP133" i="2"/>
  <c r="AP22" i="2"/>
  <c r="AQ54" i="2"/>
  <c r="H202" i="6"/>
  <c r="AQ443" i="2"/>
  <c r="AR116" i="2"/>
  <c r="AG79" i="2"/>
  <c r="AN127" i="2"/>
  <c r="AN138" i="2"/>
  <c r="I47" i="5"/>
  <c r="AH242" i="2"/>
  <c r="AH313" i="2"/>
  <c r="M220" i="5"/>
  <c r="AO181" i="2"/>
  <c r="AS198" i="2"/>
  <c r="G46" i="6"/>
  <c r="AL184" i="2"/>
  <c r="AJ427" i="2"/>
  <c r="AN384" i="2"/>
  <c r="AF440" i="2"/>
  <c r="M18" i="5"/>
  <c r="B86" i="5"/>
  <c r="AR332" i="2"/>
  <c r="AN387" i="2"/>
  <c r="AP364" i="2"/>
  <c r="AQ264" i="2"/>
  <c r="AO293" i="2"/>
  <c r="CG298" i="2"/>
  <c r="AS59" i="2"/>
  <c r="AQ22" i="2"/>
  <c r="AM260" i="2"/>
  <c r="AN14" i="2"/>
  <c r="AP117" i="2"/>
  <c r="AN243" i="2"/>
  <c r="AP459" i="2"/>
  <c r="AQ435" i="2"/>
  <c r="AM299" i="2"/>
  <c r="AQ216" i="2"/>
  <c r="AR385" i="2"/>
  <c r="AF431" i="2"/>
  <c r="AN11" i="2"/>
  <c r="AT416" i="2"/>
  <c r="AP326" i="2"/>
  <c r="AT288" i="2"/>
  <c r="AR93" i="2"/>
  <c r="AP170" i="2"/>
  <c r="AL110" i="2"/>
  <c r="AJ326" i="2"/>
  <c r="AO335" i="2"/>
  <c r="AT83" i="2"/>
  <c r="CG112" i="2"/>
  <c r="BQ145" i="2"/>
  <c r="CG185" i="2"/>
  <c r="AH366" i="2"/>
  <c r="AK328" i="2"/>
  <c r="AG373" i="2"/>
  <c r="AQ191" i="2"/>
  <c r="AP189" i="2"/>
  <c r="AX97" i="2"/>
  <c r="AN371" i="2"/>
  <c r="AR211" i="2"/>
  <c r="AP442" i="2"/>
  <c r="BR438" i="2"/>
  <c r="AN319" i="2"/>
  <c r="AS201" i="2"/>
  <c r="CG431" i="2"/>
  <c r="BT226" i="2"/>
  <c r="AP284" i="2"/>
  <c r="AQ232" i="2"/>
  <c r="AP266" i="2"/>
  <c r="AX345" i="2"/>
  <c r="AR340" i="2"/>
  <c r="AM445" i="2"/>
  <c r="AQ449" i="2"/>
  <c r="AT193" i="2"/>
  <c r="AQ227" i="2"/>
  <c r="AN106" i="2"/>
  <c r="AR442" i="2"/>
  <c r="AT71" i="2"/>
  <c r="AP351" i="2"/>
  <c r="AN314" i="2"/>
  <c r="AR236" i="2"/>
  <c r="BQ233" i="2"/>
  <c r="AR398" i="2"/>
  <c r="AP57" i="2"/>
  <c r="AO251" i="2"/>
  <c r="BR366" i="2"/>
  <c r="AO188" i="2"/>
  <c r="AT65" i="2"/>
  <c r="AS334" i="2"/>
  <c r="AU307" i="2"/>
  <c r="H66" i="5"/>
  <c r="F190" i="5"/>
  <c r="AO257" i="2"/>
  <c r="AN43" i="2"/>
  <c r="AN32" i="2"/>
  <c r="AR354" i="2"/>
  <c r="BR204" i="2"/>
  <c r="BR254" i="2"/>
  <c r="AI348" i="2"/>
  <c r="H351" i="6"/>
  <c r="AP204" i="2"/>
  <c r="AF304" i="2"/>
  <c r="AE26" i="2"/>
  <c r="P34" i="5"/>
  <c r="AQ129" i="2"/>
  <c r="F249" i="6"/>
  <c r="AJ385" i="2"/>
  <c r="AO11" i="2"/>
  <c r="B186" i="5"/>
  <c r="AP317" i="2"/>
  <c r="K185" i="5"/>
  <c r="AM178" i="2"/>
  <c r="AS405" i="2"/>
  <c r="AS251" i="2"/>
  <c r="AJ255" i="2"/>
  <c r="D306" i="6"/>
  <c r="AT138" i="2"/>
  <c r="AP274" i="2"/>
  <c r="AP465" i="2"/>
  <c r="AO302" i="2"/>
  <c r="BS114" i="2"/>
  <c r="AQ156" i="2"/>
  <c r="AO450" i="2"/>
  <c r="AS230" i="2"/>
  <c r="AU114" i="2"/>
  <c r="CG22" i="2"/>
  <c r="AO171" i="2"/>
  <c r="AT402" i="2"/>
  <c r="AV406" i="2"/>
  <c r="AP137" i="2"/>
  <c r="AM48" i="2"/>
  <c r="AQ151" i="2"/>
  <c r="AT58" i="2"/>
  <c r="AQ382" i="2"/>
  <c r="AP28" i="2"/>
  <c r="K172" i="5"/>
  <c r="AV239" i="2"/>
  <c r="F272" i="6"/>
  <c r="AP348" i="2"/>
  <c r="AM454" i="2"/>
  <c r="AR429" i="2"/>
  <c r="D40" i="6"/>
  <c r="AR402" i="2"/>
  <c r="AQ121" i="2"/>
  <c r="AK54" i="2"/>
  <c r="AP393" i="2"/>
  <c r="D260" i="6"/>
  <c r="J101" i="6"/>
  <c r="AM379" i="2"/>
  <c r="AQ315" i="2"/>
  <c r="AN218" i="2"/>
  <c r="AN31" i="2"/>
  <c r="CG21" i="2"/>
  <c r="AP312" i="2"/>
  <c r="I20" i="6"/>
  <c r="AR272" i="2"/>
  <c r="AO423" i="2"/>
  <c r="H97" i="5"/>
  <c r="AO167" i="2"/>
  <c r="E289" i="6"/>
  <c r="AR41" i="2"/>
  <c r="AS28" i="2"/>
  <c r="AN167" i="2"/>
  <c r="CG235" i="2"/>
  <c r="CG437" i="2"/>
  <c r="CG142" i="2"/>
  <c r="AS430" i="2"/>
  <c r="AN365" i="2"/>
  <c r="AR443" i="2"/>
  <c r="AM335" i="2"/>
  <c r="AN214" i="2"/>
  <c r="AG200" i="2"/>
  <c r="H28" i="5"/>
  <c r="N12" i="5"/>
  <c r="AJ128" i="2"/>
  <c r="CG302" i="2"/>
  <c r="I322" i="5"/>
  <c r="AM150" i="2"/>
  <c r="AM301" i="2"/>
  <c r="M83" i="5"/>
  <c r="AN414" i="2"/>
  <c r="AQ339" i="2"/>
  <c r="AR274" i="2"/>
  <c r="K139" i="5"/>
  <c r="AG50" i="2"/>
  <c r="AN223" i="2"/>
  <c r="AP383" i="2"/>
  <c r="AO242" i="2"/>
  <c r="CG377" i="2"/>
  <c r="AS370" i="2"/>
  <c r="B156" i="5"/>
  <c r="AN49" i="2"/>
  <c r="AP145" i="2"/>
  <c r="AQ307" i="2"/>
  <c r="J174" i="6"/>
  <c r="AP358" i="2"/>
  <c r="AQ390" i="2"/>
  <c r="AR31" i="2"/>
  <c r="AQ158" i="2"/>
  <c r="AR11" i="2"/>
  <c r="AM237" i="2"/>
  <c r="AN238" i="2"/>
  <c r="M61" i="5"/>
  <c r="AM294" i="2"/>
  <c r="AF30" i="2"/>
  <c r="G311" i="6"/>
  <c r="H172" i="5"/>
  <c r="C126" i="6"/>
  <c r="AM412" i="2"/>
  <c r="AP436" i="2"/>
  <c r="AQ268" i="2"/>
  <c r="AQ353" i="2"/>
  <c r="AR437" i="2"/>
  <c r="AM6" i="2"/>
  <c r="AP301" i="2"/>
  <c r="AN447" i="2"/>
  <c r="AN153" i="2"/>
  <c r="AP249" i="2"/>
  <c r="AQ72" i="2"/>
  <c r="AO147" i="2"/>
  <c r="C129" i="5"/>
  <c r="J63" i="5"/>
  <c r="J190" i="6"/>
  <c r="AN438" i="2"/>
  <c r="AP175" i="2"/>
  <c r="AQ274" i="2"/>
  <c r="AP155" i="2"/>
  <c r="AQ420" i="2"/>
  <c r="AR157" i="2"/>
  <c r="E9" i="6"/>
  <c r="AR102" i="2"/>
  <c r="AN204" i="2"/>
  <c r="AO222" i="2"/>
  <c r="CG275" i="2"/>
  <c r="G356" i="6"/>
  <c r="C49" i="5"/>
  <c r="O77" i="5"/>
  <c r="F279" i="6"/>
  <c r="AM203" i="2"/>
  <c r="AP56" i="2"/>
  <c r="AP103" i="2"/>
  <c r="AQ111" i="2"/>
  <c r="O53" i="5"/>
  <c r="AF357" i="2"/>
  <c r="AO421" i="2"/>
  <c r="AN268" i="2"/>
  <c r="AP356" i="2"/>
  <c r="AP101" i="2"/>
  <c r="CG36" i="2"/>
  <c r="AS117" i="2"/>
  <c r="AT340" i="2"/>
  <c r="K380" i="5"/>
  <c r="AN42" i="2"/>
  <c r="AP98" i="2"/>
  <c r="AN113" i="2"/>
  <c r="CG450" i="2"/>
  <c r="AS211" i="2"/>
  <c r="AT51" i="2"/>
  <c r="AQ74" i="2"/>
  <c r="AS401" i="2"/>
  <c r="AT345" i="2"/>
  <c r="AO385" i="2"/>
  <c r="AR213" i="2"/>
  <c r="AK20" i="2"/>
  <c r="AG291" i="2"/>
  <c r="D349" i="6"/>
  <c r="C73" i="5"/>
  <c r="AO83" i="2"/>
  <c r="F62" i="5"/>
  <c r="I232" i="5"/>
  <c r="AM236" i="2"/>
  <c r="AM134" i="2"/>
  <c r="AN451" i="2"/>
  <c r="AP236" i="2"/>
  <c r="AQ345" i="2"/>
  <c r="B110" i="5"/>
  <c r="AR165" i="2"/>
  <c r="AO413" i="2"/>
  <c r="AN355" i="2"/>
  <c r="AO252" i="2"/>
  <c r="AO269" i="2"/>
  <c r="CG154" i="2"/>
  <c r="H206" i="6"/>
  <c r="AR38" i="2"/>
  <c r="AM349" i="2"/>
  <c r="AN254" i="2"/>
  <c r="K178" i="5"/>
  <c r="AN100" i="2"/>
  <c r="AP308" i="2"/>
  <c r="AQ236" i="2"/>
  <c r="AQ86" i="2"/>
  <c r="AQ218" i="2"/>
  <c r="AR427" i="2"/>
  <c r="AO339" i="2"/>
  <c r="AS9" i="2"/>
  <c r="AT252" i="2"/>
  <c r="AQ84" i="2"/>
  <c r="AO396" i="2"/>
  <c r="AO187" i="2"/>
  <c r="AS102" i="2"/>
  <c r="AQ325" i="2"/>
  <c r="AR307" i="2"/>
  <c r="AJ337" i="2"/>
  <c r="AE380" i="2"/>
  <c r="AN465" i="2"/>
  <c r="CG354" i="2"/>
  <c r="N196" i="5"/>
  <c r="AI300" i="2"/>
  <c r="AO322" i="2"/>
  <c r="AQ66" i="2"/>
  <c r="AR76" i="2"/>
  <c r="AQ436" i="2"/>
  <c r="BQ196" i="2"/>
  <c r="AM401" i="2"/>
  <c r="AR405" i="2"/>
  <c r="AO119" i="2"/>
  <c r="BT36" i="2"/>
  <c r="AQ212" i="2"/>
  <c r="AS343" i="2"/>
  <c r="CG12" i="2"/>
  <c r="AS409" i="2"/>
  <c r="AO254" i="2"/>
  <c r="AQ457" i="2"/>
  <c r="AN417" i="2"/>
  <c r="BR100" i="2"/>
  <c r="AN344" i="2"/>
  <c r="AR128" i="2"/>
  <c r="AP79" i="2"/>
  <c r="AO103" i="2"/>
  <c r="CG183" i="2"/>
  <c r="AP429" i="2"/>
  <c r="CG144" i="2"/>
  <c r="AP333" i="2"/>
  <c r="CG125" i="2"/>
  <c r="AR141" i="2"/>
  <c r="AS137" i="2"/>
  <c r="BQ161" i="2"/>
  <c r="AS83" i="2"/>
  <c r="CG117" i="2"/>
  <c r="AF95" i="2"/>
  <c r="BR294" i="2"/>
  <c r="C374" i="6"/>
  <c r="E347" i="6"/>
  <c r="AQ70" i="2"/>
  <c r="AM127" i="2"/>
  <c r="B212" i="6"/>
  <c r="AQ153" i="2"/>
  <c r="BQ352" i="2"/>
  <c r="AP452" i="2"/>
  <c r="G166" i="5"/>
  <c r="AQ243" i="2"/>
  <c r="AS427" i="2"/>
  <c r="AT238" i="2"/>
  <c r="AD447" i="2"/>
  <c r="AK144" i="2"/>
  <c r="AP205" i="2"/>
  <c r="AR178" i="2"/>
  <c r="AM139" i="2"/>
  <c r="AM366" i="2"/>
  <c r="AO57" i="2"/>
  <c r="AS256" i="2"/>
  <c r="AR189" i="2"/>
  <c r="AM66" i="2"/>
  <c r="AP230" i="2"/>
  <c r="AT323" i="2"/>
  <c r="AP203" i="2"/>
  <c r="B155" i="5"/>
  <c r="AW196" i="2"/>
  <c r="K142" i="5"/>
  <c r="AQ419" i="2"/>
  <c r="AN22" i="2"/>
  <c r="AX106" i="2"/>
  <c r="AQ321" i="2"/>
  <c r="AN312" i="2"/>
  <c r="AR90" i="2"/>
  <c r="AU28" i="2"/>
  <c r="CG427" i="2"/>
  <c r="AO370" i="2"/>
  <c r="AT21" i="2"/>
  <c r="AV229" i="2"/>
  <c r="AT388" i="2"/>
  <c r="G262" i="5"/>
  <c r="AQ96" i="2"/>
  <c r="AT208" i="2"/>
  <c r="AO363" i="2"/>
  <c r="B147" i="5"/>
  <c r="AL342" i="2"/>
  <c r="AF166" i="2"/>
  <c r="AR234" i="2"/>
  <c r="AN458" i="2"/>
  <c r="AN383" i="2"/>
  <c r="AM314" i="2"/>
  <c r="AR463" i="2"/>
  <c r="AR271" i="2"/>
  <c r="AQ398" i="2"/>
  <c r="J284" i="6"/>
  <c r="AQ48" i="2"/>
  <c r="G47" i="5"/>
  <c r="C100" i="5"/>
  <c r="AR278" i="2"/>
  <c r="AM290" i="2"/>
  <c r="AN374" i="2"/>
  <c r="CG434" i="2"/>
  <c r="AQ358" i="2"/>
  <c r="G86" i="6"/>
  <c r="H237" i="6"/>
  <c r="L88" i="5"/>
  <c r="AM20" i="2"/>
  <c r="AN198" i="2"/>
  <c r="E162" i="6"/>
  <c r="L28" i="5"/>
  <c r="C21" i="5"/>
  <c r="C285" i="5"/>
  <c r="G189" i="6"/>
  <c r="H39" i="6"/>
  <c r="AE111" i="2"/>
  <c r="AM176" i="2"/>
  <c r="AP453" i="2"/>
  <c r="AP68" i="2"/>
  <c r="AP238" i="2"/>
  <c r="AQ270" i="2"/>
  <c r="AM243" i="2"/>
  <c r="AR33" i="2"/>
  <c r="E363" i="6"/>
  <c r="AN420" i="2"/>
  <c r="AP50" i="2"/>
  <c r="AT272" i="2"/>
  <c r="E276" i="6"/>
  <c r="I201" i="5"/>
  <c r="O13" i="5"/>
  <c r="P125" i="5"/>
  <c r="AN359" i="2"/>
  <c r="AP248" i="2"/>
  <c r="N154" i="5"/>
  <c r="AP160" i="2"/>
  <c r="AQ413" i="2"/>
  <c r="AR455" i="2"/>
  <c r="AQ259" i="2"/>
  <c r="AS280" i="2"/>
  <c r="AT232" i="2"/>
  <c r="AO296" i="2"/>
  <c r="AL94" i="2"/>
  <c r="C310" i="6"/>
  <c r="C318" i="6"/>
  <c r="G325" i="6"/>
  <c r="M69" i="5"/>
  <c r="AN201" i="2"/>
  <c r="AN192" i="2"/>
  <c r="AP25" i="2"/>
  <c r="AQ226" i="2"/>
  <c r="B243" i="6"/>
  <c r="AQ62" i="2"/>
  <c r="AR94" i="2"/>
  <c r="AN20" i="2"/>
  <c r="C139" i="5"/>
  <c r="AR39" i="2"/>
  <c r="CG309" i="2"/>
  <c r="AS126" i="2"/>
  <c r="H122" i="5"/>
  <c r="AN325" i="2"/>
  <c r="AN299" i="2"/>
  <c r="AR318" i="2"/>
  <c r="AO400" i="2"/>
  <c r="CG92" i="2"/>
  <c r="AS404" i="2"/>
  <c r="AN231" i="2"/>
  <c r="CG252" i="2"/>
  <c r="AS460" i="2"/>
  <c r="AT242" i="2"/>
  <c r="AP377" i="2"/>
  <c r="AP311" i="2"/>
  <c r="AO140" i="2"/>
  <c r="CG448" i="2"/>
  <c r="K376" i="5"/>
  <c r="H144" i="5"/>
  <c r="I12" i="5"/>
  <c r="D256" i="6"/>
  <c r="K311" i="5"/>
  <c r="AF361" i="2"/>
  <c r="AP24" i="2"/>
  <c r="AQ351" i="2"/>
  <c r="AR256" i="2"/>
  <c r="AP373" i="2"/>
  <c r="AR263" i="2"/>
  <c r="AP64" i="2"/>
  <c r="AO143" i="2"/>
  <c r="AR327" i="2"/>
  <c r="CG362" i="2"/>
  <c r="AS123" i="2"/>
  <c r="AT390" i="2"/>
  <c r="AM169" i="2"/>
  <c r="AN78" i="2"/>
  <c r="AP110" i="2"/>
  <c r="AQ154" i="2"/>
  <c r="CG50" i="2"/>
  <c r="AS298" i="2"/>
  <c r="AT354" i="2"/>
  <c r="AM126" i="2"/>
  <c r="AS456" i="2"/>
  <c r="D321" i="5"/>
  <c r="AO272" i="2"/>
  <c r="K150" i="5"/>
  <c r="K170" i="5"/>
  <c r="B99" i="6"/>
  <c r="F351" i="6"/>
  <c r="I345" i="6"/>
  <c r="I88" i="5"/>
  <c r="AQ396" i="2"/>
  <c r="AR394" i="2"/>
  <c r="AM323" i="2"/>
  <c r="AD134" i="2"/>
  <c r="AP180" i="2"/>
  <c r="AQ329" i="2"/>
  <c r="AR219" i="2"/>
  <c r="E328" i="6"/>
  <c r="AQ35" i="2"/>
  <c r="AR199" i="2"/>
  <c r="AP319" i="2"/>
  <c r="H373" i="6"/>
  <c r="AM163" i="2"/>
  <c r="D360" i="6"/>
  <c r="AQ312" i="2"/>
  <c r="AR221" i="2"/>
  <c r="J151" i="5"/>
  <c r="AN25" i="2"/>
  <c r="AF226" i="2"/>
  <c r="AM409" i="2"/>
  <c r="AN302" i="2"/>
  <c r="AP334" i="2"/>
  <c r="AP391" i="2"/>
  <c r="CG208" i="2"/>
  <c r="AS272" i="2"/>
  <c r="AT224" i="2"/>
  <c r="AL195" i="2"/>
  <c r="P188" i="5"/>
  <c r="AH386" i="2"/>
  <c r="AP27" i="2"/>
  <c r="AP152" i="2"/>
  <c r="I289" i="6"/>
  <c r="K350" i="5"/>
  <c r="L146" i="5"/>
  <c r="AM46" i="2"/>
  <c r="AP190" i="2"/>
  <c r="AT6" i="2"/>
  <c r="AU44" i="2"/>
  <c r="AN362" i="2"/>
  <c r="AR284" i="2"/>
  <c r="AV20" i="2"/>
  <c r="AN424" i="2"/>
  <c r="AR316" i="2"/>
  <c r="AP292" i="2"/>
  <c r="BR223" i="2"/>
  <c r="I315" i="6"/>
  <c r="AS418" i="2"/>
  <c r="AO69" i="2"/>
  <c r="BT236" i="2"/>
  <c r="AJ428" i="2"/>
  <c r="AH213" i="2"/>
  <c r="AN372" i="2"/>
  <c r="AQ104" i="2"/>
  <c r="AR313" i="2"/>
  <c r="AQ92" i="2"/>
  <c r="AR404" i="2"/>
  <c r="BS162" i="2"/>
  <c r="AN378" i="2"/>
  <c r="AR82" i="2"/>
  <c r="CG319" i="2"/>
  <c r="AS15" i="2"/>
  <c r="AN103" i="2"/>
  <c r="AQ57" i="2"/>
  <c r="AO67" i="2"/>
  <c r="AK435" i="2"/>
  <c r="CG403" i="2"/>
  <c r="AR319" i="2"/>
  <c r="AS207" i="2"/>
  <c r="BR43" i="2"/>
  <c r="AS388" i="2"/>
  <c r="CG19" i="2"/>
  <c r="AP340" i="2"/>
  <c r="BS443" i="2"/>
  <c r="B187" i="5"/>
  <c r="AF355" i="2"/>
  <c r="AO343" i="2"/>
  <c r="AN404" i="2"/>
  <c r="AN305" i="2"/>
  <c r="AR27" i="2"/>
  <c r="BR464" i="2"/>
  <c r="AP20" i="2"/>
  <c r="AO323" i="2"/>
  <c r="AS416" i="2"/>
  <c r="AS82" i="2"/>
  <c r="C360" i="6"/>
  <c r="AR348" i="2"/>
  <c r="AP219" i="2"/>
  <c r="BQ271" i="2"/>
  <c r="J269" i="6"/>
  <c r="AM360" i="2"/>
  <c r="AQ55" i="2"/>
  <c r="BR226" i="2"/>
  <c r="AP93" i="2"/>
  <c r="AQ371" i="2"/>
  <c r="AR28" i="2"/>
  <c r="AP135" i="2"/>
  <c r="AN449" i="2"/>
  <c r="AP247" i="2"/>
  <c r="AN336" i="2"/>
  <c r="AW167" i="2"/>
  <c r="AQ281" i="2"/>
  <c r="AR181" i="2"/>
  <c r="AP38" i="2"/>
  <c r="BQ421" i="2"/>
  <c r="AQ213" i="2"/>
  <c r="AR152" i="2"/>
  <c r="AS423" i="2"/>
  <c r="AU339" i="2"/>
  <c r="CG111" i="2"/>
  <c r="AO239" i="2"/>
  <c r="AT371" i="2"/>
  <c r="AV48" i="2"/>
  <c r="E367" i="6"/>
  <c r="AM249" i="2"/>
  <c r="CG360" i="2"/>
  <c r="AS359" i="2"/>
  <c r="AO78" i="2"/>
  <c r="AF98" i="2"/>
  <c r="AS268" i="2"/>
  <c r="AU308" i="2"/>
  <c r="AS46" i="2"/>
  <c r="AO141" i="2"/>
  <c r="AT162" i="2"/>
  <c r="AE317" i="2"/>
  <c r="AM183" i="2"/>
  <c r="J337" i="6"/>
  <c r="AO334" i="2"/>
  <c r="CG409" i="2"/>
  <c r="G141" i="5"/>
  <c r="AQ318" i="2"/>
  <c r="AN118" i="2"/>
  <c r="BR171" i="2"/>
  <c r="AP357" i="2"/>
  <c r="AO389" i="2"/>
  <c r="AQ100" i="2"/>
  <c r="BS280" i="2"/>
  <c r="AS265" i="2"/>
  <c r="CG219" i="2"/>
  <c r="AQ354" i="2"/>
  <c r="AW333" i="2"/>
  <c r="F74" i="6"/>
  <c r="AK281" i="2"/>
  <c r="AS74" i="2"/>
  <c r="H65" i="5"/>
  <c r="AP182" i="2"/>
  <c r="G318" i="6"/>
  <c r="BS426" i="2"/>
  <c r="AS317" i="2"/>
  <c r="AS196" i="2"/>
  <c r="AT328" i="2"/>
  <c r="AQ284" i="2"/>
  <c r="AQ465" i="2"/>
  <c r="AQ189" i="2"/>
  <c r="AS437" i="2"/>
  <c r="AT459" i="2"/>
  <c r="L45" i="5"/>
  <c r="AT367" i="2"/>
  <c r="AO441" i="2"/>
  <c r="AR364" i="2"/>
  <c r="AM304" i="2"/>
  <c r="AU245" i="2"/>
  <c r="AS310" i="2"/>
  <c r="AN121" i="2"/>
  <c r="AV64" i="2"/>
  <c r="AF19" i="2"/>
  <c r="AN88" i="2"/>
  <c r="AV311" i="2"/>
  <c r="AM24" i="2"/>
  <c r="AP349" i="2"/>
  <c r="AT92" i="2"/>
  <c r="AU255" i="2"/>
  <c r="AR176" i="2"/>
  <c r="CG408" i="2"/>
  <c r="AO449" i="2"/>
  <c r="AW21" i="2"/>
  <c r="AS315" i="2"/>
  <c r="H227" i="6"/>
  <c r="K47" i="5"/>
  <c r="B7" i="5"/>
  <c r="AP95" i="2"/>
  <c r="AQ395" i="2"/>
  <c r="AO58" i="2"/>
  <c r="E39" i="6"/>
  <c r="AO346" i="2"/>
  <c r="AT227" i="2"/>
  <c r="CG184" i="2"/>
  <c r="AU85" i="2"/>
  <c r="CG257" i="2"/>
  <c r="AO418" i="2"/>
  <c r="AT405" i="2"/>
  <c r="AV114" i="2"/>
  <c r="AM166" i="2"/>
  <c r="AP261" i="2"/>
  <c r="AT105" i="2"/>
  <c r="AN96" i="2"/>
  <c r="AR342" i="2"/>
  <c r="AP9" i="2"/>
  <c r="AV274" i="2"/>
  <c r="AG145" i="2"/>
  <c r="AS306" i="2"/>
  <c r="CG462" i="2"/>
  <c r="AW6" i="2"/>
  <c r="AM310" i="2"/>
  <c r="AQ125" i="2"/>
  <c r="AN334" i="2"/>
  <c r="BT252" i="2"/>
  <c r="AN222" i="2"/>
  <c r="AR171" i="2"/>
  <c r="AQ316" i="2"/>
  <c r="AU52" i="2"/>
  <c r="AO166" i="2"/>
  <c r="CG27" i="2"/>
  <c r="AR363" i="2"/>
  <c r="AM159" i="2"/>
  <c r="AP240" i="2"/>
  <c r="AP235" i="2"/>
  <c r="AO430" i="2"/>
  <c r="BS13" i="2"/>
  <c r="AQ387" i="2"/>
  <c r="AQ352" i="2"/>
  <c r="AN155" i="2"/>
  <c r="AU215" i="2"/>
  <c r="AO361" i="2"/>
  <c r="AT395" i="2"/>
  <c r="CG127" i="2"/>
  <c r="AX103" i="2"/>
  <c r="AO115" i="2"/>
  <c r="AT239" i="2"/>
  <c r="AS85" i="2"/>
  <c r="BR165" i="2"/>
  <c r="L168" i="5"/>
  <c r="AQ440" i="2"/>
  <c r="AU402" i="2"/>
  <c r="AU271" i="2"/>
  <c r="AP168" i="2"/>
  <c r="AS136" i="2"/>
  <c r="CG308" i="2"/>
  <c r="AX121" i="2"/>
  <c r="AO21" i="2"/>
  <c r="AQ361" i="2"/>
  <c r="AS50" i="2"/>
  <c r="AG117" i="2"/>
  <c r="AR226" i="2"/>
  <c r="AO159" i="2"/>
  <c r="AD18" i="2"/>
  <c r="AM378" i="2"/>
  <c r="AS250" i="2"/>
  <c r="CG76" i="2"/>
  <c r="AN401" i="2"/>
  <c r="AW370" i="2"/>
  <c r="AT16" i="2"/>
  <c r="AS394" i="2"/>
  <c r="AO90" i="2"/>
  <c r="AX344" i="2"/>
  <c r="AN457" i="2"/>
  <c r="AR179" i="2"/>
  <c r="AV418" i="2"/>
  <c r="AR365" i="2"/>
  <c r="AP293" i="2"/>
  <c r="AR454" i="2"/>
  <c r="AX291" i="2"/>
  <c r="CG457" i="2"/>
  <c r="AO274" i="2"/>
  <c r="AT148" i="2"/>
  <c r="BR293" i="2"/>
  <c r="AQ255" i="2"/>
  <c r="AN348" i="2"/>
  <c r="AR117" i="2"/>
  <c r="AV43" i="2"/>
  <c r="AN251" i="2"/>
  <c r="AP345" i="2"/>
  <c r="AN146" i="2"/>
  <c r="AW305" i="2"/>
  <c r="AR86" i="2"/>
  <c r="AS64" i="2"/>
  <c r="AO20" i="2"/>
  <c r="AE214" i="2"/>
  <c r="AQ204" i="2"/>
  <c r="P40" i="5"/>
  <c r="I310" i="6"/>
  <c r="AT327" i="2"/>
  <c r="CG392" i="2"/>
  <c r="AD68" i="2"/>
  <c r="AM81" i="2"/>
  <c r="AO155" i="2"/>
  <c r="AN150" i="2"/>
  <c r="AQ380" i="2"/>
  <c r="AP208" i="2"/>
  <c r="AX45" i="2"/>
  <c r="AR331" i="2"/>
  <c r="AP206" i="2"/>
  <c r="AP77" i="2"/>
  <c r="BS61" i="2"/>
  <c r="AS23" i="2"/>
  <c r="CG320" i="2"/>
  <c r="AR399" i="2"/>
  <c r="BS335" i="2"/>
  <c r="AR155" i="2"/>
  <c r="AP450" i="2"/>
  <c r="AO381" i="2"/>
  <c r="AX246" i="2"/>
  <c r="F78" i="5"/>
  <c r="AQ275" i="2"/>
  <c r="AN144" i="2"/>
  <c r="BR122" i="2"/>
  <c r="AS372" i="2"/>
  <c r="AO77" i="2"/>
  <c r="AT201" i="2"/>
  <c r="BQ316" i="2"/>
  <c r="AN317" i="2"/>
  <c r="AO439" i="2"/>
  <c r="BS301" i="2"/>
  <c r="AV24" i="2"/>
  <c r="CG225" i="2"/>
  <c r="AT110" i="2"/>
  <c r="AV238" i="2"/>
  <c r="BT336" i="2"/>
  <c r="BS43" i="2"/>
  <c r="BS359" i="2"/>
  <c r="AU132" i="2"/>
  <c r="BT31" i="2"/>
  <c r="BS387" i="2"/>
  <c r="BS222" i="2"/>
  <c r="AU443" i="2"/>
  <c r="AU79" i="2"/>
  <c r="AV115" i="2"/>
  <c r="AX76" i="2"/>
  <c r="AX298" i="2"/>
  <c r="BR266" i="2"/>
  <c r="BT328" i="2"/>
  <c r="AO112" i="2"/>
  <c r="AV386" i="2"/>
  <c r="BT125" i="2"/>
  <c r="BS12" i="2"/>
  <c r="BS256" i="2"/>
  <c r="AU344" i="2"/>
  <c r="AU368" i="2"/>
  <c r="AN178" i="2"/>
  <c r="AT357" i="2"/>
  <c r="AT141" i="2"/>
  <c r="BQ464" i="2"/>
  <c r="AN425" i="2"/>
  <c r="AO240" i="2"/>
  <c r="AP272" i="2"/>
  <c r="AU109" i="2"/>
  <c r="AU345" i="2"/>
  <c r="AV237" i="2"/>
  <c r="AX277" i="2"/>
  <c r="AU400" i="2"/>
  <c r="AS111" i="2"/>
  <c r="AU405" i="2"/>
  <c r="AW261" i="2"/>
  <c r="AU362" i="2"/>
  <c r="AT24" i="2"/>
  <c r="AU292" i="2"/>
  <c r="AO100" i="2"/>
  <c r="AW177" i="2"/>
  <c r="AX365" i="2"/>
  <c r="BR285" i="2"/>
  <c r="BR194" i="2"/>
  <c r="AV66" i="2"/>
  <c r="AU298" i="2"/>
  <c r="AV375" i="2"/>
  <c r="AW62" i="2"/>
  <c r="AM259" i="2"/>
  <c r="AL259" i="2"/>
  <c r="AP323" i="2"/>
  <c r="AQ87" i="2"/>
  <c r="AQ372" i="2"/>
  <c r="AN297" i="2"/>
  <c r="AS311" i="2"/>
  <c r="BR94" i="2"/>
  <c r="AQ159" i="2"/>
  <c r="CG129" i="2"/>
  <c r="AQ429" i="2"/>
  <c r="AV72" i="2"/>
  <c r="AV343" i="2"/>
  <c r="AW228" i="2"/>
  <c r="BQ141" i="2"/>
  <c r="AV457" i="2"/>
  <c r="AU32" i="2"/>
  <c r="AV36" i="2"/>
  <c r="AX284" i="2"/>
  <c r="AV312" i="2"/>
  <c r="AU358" i="2"/>
  <c r="AV434" i="2"/>
  <c r="CG364" i="2"/>
  <c r="AX256" i="2"/>
  <c r="BQ229" i="2"/>
  <c r="BS269" i="2"/>
  <c r="BS44" i="2"/>
  <c r="AW217" i="2"/>
  <c r="AV248" i="2"/>
  <c r="AW141" i="2"/>
  <c r="BQ453" i="2"/>
  <c r="AP375" i="2"/>
  <c r="AN360" i="2"/>
  <c r="AV437" i="2"/>
  <c r="AS274" i="2"/>
  <c r="N174" i="5"/>
  <c r="AS452" i="2"/>
  <c r="C264" i="6"/>
  <c r="AT400" i="2"/>
  <c r="K276" i="5"/>
  <c r="AS132" i="2"/>
  <c r="AX59" i="2"/>
  <c r="AN63" i="2"/>
  <c r="AT26" i="2"/>
  <c r="BQ449" i="2"/>
  <c r="AS436" i="2"/>
  <c r="AM432" i="2"/>
  <c r="AV281" i="2"/>
  <c r="H49" i="5"/>
  <c r="AN361" i="2"/>
  <c r="AW220" i="2"/>
  <c r="AQ198" i="2"/>
  <c r="AN250" i="2"/>
  <c r="AV422" i="2"/>
  <c r="AQ223" i="2"/>
  <c r="AO265" i="2"/>
  <c r="AT438" i="2"/>
  <c r="AV442" i="2"/>
  <c r="AT276" i="2"/>
  <c r="CG8" i="2"/>
  <c r="AO325" i="2"/>
  <c r="AW81" i="2"/>
  <c r="E11" i="5"/>
  <c r="H82" i="5"/>
  <c r="CG198" i="2"/>
  <c r="AN440" i="2"/>
  <c r="AS329" i="2"/>
  <c r="AO109" i="2"/>
  <c r="AM464" i="2"/>
  <c r="AM179" i="2"/>
  <c r="E51" i="6"/>
  <c r="AI150" i="2"/>
  <c r="AN407" i="2"/>
  <c r="AR173" i="2"/>
  <c r="AH69" i="2"/>
  <c r="I125" i="5"/>
  <c r="AN54" i="2"/>
  <c r="B33" i="5"/>
  <c r="AQ119" i="2"/>
  <c r="AP281" i="2"/>
  <c r="AT225" i="2"/>
  <c r="AM227" i="2"/>
  <c r="AR270" i="2"/>
  <c r="AP370" i="2"/>
  <c r="AW215" i="2"/>
  <c r="AN81" i="2"/>
  <c r="AS257" i="2"/>
  <c r="CG84" i="2"/>
  <c r="AX130" i="2"/>
  <c r="AJ272" i="2"/>
  <c r="AR301" i="2"/>
  <c r="AN264" i="2"/>
  <c r="AU258" i="2"/>
  <c r="AP435" i="2"/>
  <c r="AO310" i="2"/>
  <c r="AQ101" i="2"/>
  <c r="AN338" i="2"/>
  <c r="AQ389" i="2"/>
  <c r="J169" i="5"/>
  <c r="AQ152" i="2"/>
  <c r="C155" i="5"/>
  <c r="AQ229" i="2"/>
  <c r="AN386" i="2"/>
  <c r="AR308" i="2"/>
  <c r="AU173" i="2"/>
  <c r="AR275" i="2"/>
  <c r="AP129" i="2"/>
  <c r="AM457" i="2"/>
  <c r="AV202" i="2"/>
  <c r="AO295" i="2"/>
  <c r="AT226" i="2"/>
  <c r="AS223" i="2"/>
  <c r="BQ300" i="2"/>
  <c r="J369" i="5"/>
  <c r="AM398" i="2"/>
  <c r="CG286" i="2"/>
  <c r="AQ56" i="2"/>
  <c r="AN116" i="2"/>
  <c r="AQ14" i="2"/>
  <c r="AV268" i="2"/>
  <c r="AV90" i="2"/>
  <c r="AR242" i="2"/>
  <c r="AT359" i="2"/>
  <c r="CG410" i="2"/>
  <c r="BQ156" i="2"/>
  <c r="CG292" i="2"/>
  <c r="AQ163" i="2"/>
  <c r="AS361" i="2"/>
  <c r="AN215" i="2"/>
  <c r="AS385" i="2"/>
  <c r="AQ422" i="2"/>
  <c r="AM64" i="2"/>
  <c r="AP389" i="2"/>
  <c r="C297" i="6"/>
  <c r="E199" i="6"/>
  <c r="AO307" i="2"/>
  <c r="CG153" i="2"/>
  <c r="P58" i="5"/>
  <c r="O130" i="5"/>
  <c r="AO263" i="2"/>
  <c r="AR119" i="2"/>
  <c r="AP399" i="2"/>
  <c r="AM269" i="2"/>
  <c r="AW406" i="2"/>
  <c r="AQ228" i="2"/>
  <c r="AN464" i="2"/>
  <c r="AR113" i="2"/>
  <c r="BR28" i="2"/>
  <c r="CG72" i="2"/>
  <c r="AO180" i="2"/>
  <c r="AT115" i="2"/>
  <c r="BR391" i="2"/>
  <c r="AQ52" i="2"/>
  <c r="AN219" i="2"/>
  <c r="AR357" i="2"/>
  <c r="AW287" i="2"/>
  <c r="AR42" i="2"/>
  <c r="AP188" i="2"/>
  <c r="O71" i="5"/>
  <c r="BQ326" i="2"/>
  <c r="AP449" i="2"/>
  <c r="AN333" i="2"/>
  <c r="AI46" i="2"/>
  <c r="AQ360" i="2"/>
  <c r="AQ10" i="2"/>
  <c r="M208" i="5"/>
  <c r="AN400" i="2"/>
  <c r="AT299" i="2"/>
  <c r="AT41" i="2"/>
  <c r="AM210" i="2"/>
  <c r="AQ133" i="2"/>
  <c r="AU389" i="2"/>
  <c r="AO446" i="2"/>
  <c r="AQ165" i="2"/>
  <c r="AN413" i="2"/>
  <c r="BQ305" i="2"/>
  <c r="AS209" i="2"/>
  <c r="CG250" i="2"/>
  <c r="AQ333" i="2"/>
  <c r="BS364" i="2"/>
  <c r="AT333" i="2"/>
  <c r="C342" i="6"/>
  <c r="D52" i="5"/>
  <c r="AQ69" i="2"/>
  <c r="AQ410" i="2"/>
  <c r="AP277" i="2"/>
  <c r="AR422" i="2"/>
  <c r="BR217" i="2"/>
  <c r="AR248" i="2"/>
  <c r="AQ241" i="2"/>
  <c r="AR415" i="2"/>
  <c r="BS329" i="2"/>
  <c r="AS396" i="2"/>
  <c r="CG413" i="2"/>
  <c r="AT175" i="2"/>
  <c r="AX160" i="2"/>
  <c r="AO246" i="2"/>
  <c r="AS402" i="2"/>
  <c r="AL44" i="2"/>
  <c r="BS69" i="2"/>
  <c r="CG288" i="2"/>
  <c r="AT38" i="2"/>
  <c r="AV166" i="2"/>
  <c r="AQ320" i="2"/>
  <c r="BS151" i="2"/>
  <c r="BT84" i="2"/>
  <c r="AU94" i="2"/>
  <c r="AO40" i="2"/>
  <c r="BS62" i="2"/>
  <c r="BT442" i="2"/>
  <c r="AP149" i="2"/>
  <c r="AV26" i="2"/>
  <c r="AV254" i="2"/>
  <c r="AX382" i="2"/>
  <c r="BQ39" i="2"/>
  <c r="AU315" i="2"/>
  <c r="CG389" i="2"/>
  <c r="AT440" i="2"/>
  <c r="AV255" i="2"/>
  <c r="AM194" i="2"/>
  <c r="AM214" i="2"/>
  <c r="AQ9" i="2"/>
  <c r="AR392" i="2"/>
  <c r="AP125" i="2"/>
  <c r="AN57" i="2"/>
  <c r="AQ394" i="2"/>
  <c r="BS102" i="2"/>
  <c r="AM213" i="2"/>
  <c r="AR177" i="2"/>
  <c r="G185" i="6"/>
  <c r="AT74" i="2"/>
  <c r="AW222" i="2"/>
  <c r="AV101" i="2"/>
  <c r="AV329" i="2"/>
  <c r="AX377" i="2"/>
  <c r="AN284" i="2"/>
  <c r="AM247" i="2"/>
  <c r="AP441" i="2"/>
  <c r="AQ15" i="2"/>
  <c r="AP217" i="2"/>
  <c r="AP45" i="2"/>
  <c r="AQ130" i="2"/>
  <c r="BS213" i="2"/>
  <c r="BQ413" i="2"/>
  <c r="BQ187" i="2"/>
  <c r="BS451" i="2"/>
  <c r="BS81" i="2"/>
  <c r="AV158" i="2"/>
  <c r="AV100" i="2"/>
  <c r="AV440" i="2"/>
  <c r="AX49" i="2"/>
  <c r="AT195" i="2"/>
  <c r="AT231" i="2"/>
  <c r="CG402" i="2"/>
  <c r="CG425" i="2"/>
  <c r="AO416" i="2"/>
  <c r="AO161" i="2"/>
  <c r="AS353" i="2"/>
  <c r="AP395" i="2"/>
  <c r="AP104" i="2"/>
  <c r="AR325" i="2"/>
  <c r="AO428" i="2"/>
  <c r="AX271" i="2"/>
  <c r="AW92" i="2"/>
  <c r="AW360" i="2"/>
  <c r="BQ217" i="2"/>
  <c r="AN202" i="2"/>
  <c r="AR326" i="2"/>
  <c r="CG326" i="2"/>
  <c r="AS148" i="2"/>
  <c r="AP457" i="2"/>
  <c r="AN147" i="2"/>
  <c r="AS309" i="2"/>
  <c r="AO277" i="2"/>
  <c r="BR389" i="2"/>
  <c r="BR155" i="2"/>
  <c r="AU429" i="2"/>
  <c r="AU164" i="2"/>
  <c r="AX269" i="2"/>
  <c r="AW123" i="2"/>
  <c r="AW32" i="2"/>
  <c r="BQ200" i="2"/>
  <c r="AR103" i="2"/>
  <c r="AO225" i="2"/>
  <c r="AS98" i="2"/>
  <c r="AS289" i="2"/>
  <c r="B63" i="6"/>
  <c r="AP243" i="2"/>
  <c r="AO121" i="2"/>
  <c r="AQ45" i="2"/>
  <c r="AS228" i="2"/>
  <c r="E248" i="6"/>
  <c r="AQ253" i="2"/>
  <c r="AT407" i="2"/>
  <c r="H94" i="5"/>
  <c r="AX126" i="2"/>
  <c r="AO372" i="2"/>
  <c r="AG450" i="2"/>
  <c r="BR429" i="2"/>
  <c r="D342" i="6"/>
  <c r="AN266" i="2"/>
  <c r="AV209" i="2"/>
  <c r="AP47" i="2"/>
  <c r="AQ340" i="2"/>
  <c r="AW127" i="2"/>
  <c r="AQ221" i="2"/>
  <c r="AR36" i="2"/>
  <c r="AX391" i="2"/>
  <c r="AQ138" i="2"/>
  <c r="AO205" i="2"/>
  <c r="AT441" i="2"/>
  <c r="AW326" i="2"/>
  <c r="AT339" i="2"/>
  <c r="AS454" i="2"/>
  <c r="AO301" i="2"/>
  <c r="AX28" i="2"/>
  <c r="AP460" i="2"/>
  <c r="I114" i="5"/>
  <c r="AW309" i="2"/>
  <c r="AK353" i="2"/>
  <c r="E122" i="5"/>
  <c r="AR292" i="2"/>
  <c r="AR412" i="2"/>
  <c r="AR235" i="2"/>
  <c r="H46" i="5"/>
  <c r="AF408" i="2"/>
  <c r="AR24" i="2"/>
  <c r="AO332" i="2"/>
  <c r="M34" i="5"/>
  <c r="AM215" i="2"/>
  <c r="CG59" i="2"/>
  <c r="AN274" i="2"/>
  <c r="AR8" i="2"/>
  <c r="AP347" i="2"/>
  <c r="AV179" i="2"/>
  <c r="AO267" i="2"/>
  <c r="AS19" i="2"/>
  <c r="AO62" i="2"/>
  <c r="AW143" i="2"/>
  <c r="AQ297" i="2"/>
  <c r="AS199" i="2"/>
  <c r="CG220" i="2"/>
  <c r="BQ381" i="2"/>
  <c r="AR87" i="2"/>
  <c r="AQ164" i="2"/>
  <c r="AN345" i="2"/>
  <c r="AW431" i="2"/>
  <c r="AN450" i="2"/>
  <c r="AR154" i="2"/>
  <c r="AP7" i="2"/>
  <c r="AN369" i="2"/>
  <c r="CG17" i="2"/>
  <c r="AQ114" i="2"/>
  <c r="AO215" i="2"/>
  <c r="AN230" i="2"/>
  <c r="AP151" i="2"/>
  <c r="AQ404" i="2"/>
  <c r="AS178" i="2"/>
  <c r="AU101" i="2"/>
  <c r="AR246" i="2"/>
  <c r="CG159" i="2"/>
  <c r="AM387" i="2"/>
  <c r="AV130" i="2"/>
  <c r="AO179" i="2"/>
  <c r="AT392" i="2"/>
  <c r="AS190" i="2"/>
  <c r="BQ190" i="2"/>
  <c r="G240" i="6"/>
  <c r="AQ225" i="2"/>
  <c r="AU465" i="2"/>
  <c r="AQ109" i="2"/>
  <c r="AN429" i="2"/>
  <c r="AQ254" i="2"/>
  <c r="AW384" i="2"/>
  <c r="AW86" i="2"/>
  <c r="I226" i="6"/>
  <c r="E62" i="5"/>
  <c r="AO164" i="2"/>
  <c r="AT421" i="2"/>
  <c r="AM233" i="2"/>
  <c r="H312" i="6"/>
  <c r="AT377" i="2"/>
  <c r="F302" i="6"/>
  <c r="F271" i="6"/>
  <c r="AL112" i="2"/>
  <c r="AP338" i="2"/>
  <c r="AP409" i="2"/>
  <c r="I92" i="5"/>
  <c r="AK223" i="2"/>
  <c r="AS172" i="2"/>
  <c r="AS90" i="2"/>
  <c r="H91" i="5"/>
  <c r="AN94" i="2"/>
  <c r="AT66" i="2"/>
  <c r="AQ262" i="2"/>
  <c r="AN126" i="2"/>
  <c r="AR64" i="2"/>
  <c r="AX275" i="2"/>
  <c r="CG345" i="2"/>
  <c r="AO360" i="2"/>
  <c r="AT350" i="2"/>
  <c r="BR229" i="2"/>
  <c r="AS407" i="2"/>
  <c r="H200" i="6"/>
  <c r="G327" i="6"/>
  <c r="AM38" i="2"/>
  <c r="AP451" i="2"/>
  <c r="AM191" i="2"/>
  <c r="AQ79" i="2"/>
  <c r="BQ268" i="2"/>
  <c r="AQ80" i="2"/>
  <c r="AP260" i="2"/>
  <c r="AO443" i="2"/>
  <c r="BR218" i="2"/>
  <c r="AP252" i="2"/>
  <c r="AP343" i="2"/>
  <c r="AM272" i="2"/>
  <c r="AQ442" i="2"/>
  <c r="AM43" i="2"/>
  <c r="AQ432" i="2"/>
  <c r="AP444" i="2"/>
  <c r="CG266" i="2"/>
  <c r="AP169" i="2"/>
  <c r="AF115" i="2"/>
  <c r="AQ168" i="2"/>
  <c r="AU200" i="2"/>
  <c r="AR29" i="2"/>
  <c r="AP71" i="2"/>
  <c r="AM133" i="2"/>
  <c r="BS390" i="2"/>
  <c r="AS200" i="2"/>
  <c r="CG193" i="2"/>
  <c r="AR250" i="2"/>
  <c r="BS57" i="2"/>
  <c r="AE256" i="2"/>
  <c r="AJ335" i="2"/>
  <c r="AS48" i="2"/>
  <c r="AT445" i="2"/>
  <c r="CG231" i="2"/>
  <c r="AO198" i="2"/>
  <c r="AT379" i="2"/>
  <c r="BR145" i="2"/>
  <c r="AT37" i="2"/>
  <c r="CG207" i="2"/>
  <c r="AO460" i="2"/>
  <c r="BS257" i="2"/>
  <c r="F374" i="6"/>
  <c r="AL163" i="2"/>
  <c r="AR172" i="2"/>
  <c r="AM63" i="2"/>
  <c r="AQ464" i="2"/>
  <c r="CG343" i="2"/>
  <c r="AS324" i="2"/>
  <c r="AU63" i="2"/>
  <c r="AU335" i="2"/>
  <c r="AU188" i="2"/>
  <c r="AW442" i="2"/>
  <c r="AM140" i="2"/>
  <c r="AR420" i="2"/>
  <c r="AP296" i="2"/>
  <c r="AR293" i="2"/>
  <c r="AP197" i="2"/>
  <c r="AN21" i="2"/>
  <c r="AQ190" i="2"/>
  <c r="BQ184" i="2"/>
  <c r="AW22" i="2"/>
  <c r="AX282" i="2"/>
  <c r="BR33" i="2"/>
  <c r="BR264" i="2"/>
  <c r="AU351" i="2"/>
  <c r="AU22" i="2"/>
  <c r="AU418" i="2"/>
  <c r="AW114" i="2"/>
  <c r="AS213" i="2"/>
  <c r="AS368" i="2"/>
  <c r="AO391" i="2"/>
  <c r="AO289" i="2"/>
  <c r="AT10" i="2"/>
  <c r="AN242" i="2"/>
  <c r="CG379" i="2"/>
  <c r="AX101" i="2"/>
  <c r="AQ416" i="2"/>
  <c r="CG158" i="2"/>
  <c r="AR123" i="2"/>
  <c r="AX42" i="2"/>
  <c r="AW122" i="2"/>
  <c r="AV295" i="2"/>
  <c r="AW212" i="2"/>
  <c r="BQ125" i="2"/>
  <c r="AN131" i="2"/>
  <c r="AR425" i="2"/>
  <c r="CG262" i="2"/>
  <c r="AS70" i="2"/>
  <c r="AP362" i="2"/>
  <c r="AR390" i="2"/>
  <c r="AS174" i="2"/>
  <c r="AW219" i="2"/>
  <c r="BR384" i="2"/>
  <c r="BR174" i="2"/>
  <c r="BT119" i="2"/>
  <c r="CH285" i="2"/>
  <c r="AR464" i="2"/>
  <c r="AQ400" i="2"/>
  <c r="AR403" i="2"/>
  <c r="CG45" i="2"/>
  <c r="AX219" i="2"/>
  <c r="AX231" i="2"/>
  <c r="BR111" i="2"/>
  <c r="BR262" i="2"/>
  <c r="BQ321" i="2"/>
  <c r="BR52" i="2"/>
  <c r="BT343" i="2"/>
  <c r="M189" i="5"/>
  <c r="AT85" i="2"/>
  <c r="CG382" i="2"/>
  <c r="BQ385" i="2"/>
  <c r="AX57" i="2"/>
  <c r="AW401" i="2"/>
  <c r="AX75" i="2"/>
  <c r="BR385" i="2"/>
  <c r="AO169" i="2"/>
  <c r="CG333" i="2"/>
  <c r="AT237" i="2"/>
  <c r="AT300" i="2"/>
  <c r="AO105" i="2"/>
  <c r="CG383" i="2"/>
  <c r="AT364" i="2"/>
  <c r="AX207" i="2"/>
  <c r="F235" i="6"/>
  <c r="CG430" i="2"/>
  <c r="AT33" i="2"/>
  <c r="AO191" i="2"/>
  <c r="AV429" i="2"/>
  <c r="CG372" i="2"/>
  <c r="AQ292" i="2"/>
  <c r="AT290" i="2"/>
  <c r="AN399" i="2"/>
  <c r="BS39" i="2"/>
  <c r="AO261" i="2"/>
  <c r="AQ61" i="2"/>
  <c r="CH93" i="2"/>
  <c r="B53" i="5"/>
  <c r="AN221" i="2"/>
  <c r="AW224" i="2"/>
  <c r="AQ39" i="2"/>
  <c r="AR58" i="2"/>
  <c r="AR140" i="2"/>
  <c r="CG194" i="2"/>
  <c r="AR238" i="2"/>
  <c r="CG336" i="2"/>
  <c r="CG166" i="2"/>
  <c r="AO107" i="2"/>
  <c r="AP384" i="2"/>
  <c r="AR67" i="2"/>
  <c r="I219" i="6"/>
  <c r="AM110" i="2"/>
  <c r="CG209" i="2"/>
  <c r="AN354" i="2"/>
  <c r="AP40" i="2"/>
  <c r="AN241" i="2"/>
  <c r="AW264" i="2"/>
  <c r="P152" i="5"/>
  <c r="AO414" i="2"/>
  <c r="I149" i="5"/>
  <c r="AO390" i="2"/>
  <c r="B308" i="6"/>
  <c r="AR225" i="2"/>
  <c r="AP118" i="2"/>
  <c r="BQ202" i="2"/>
  <c r="AJ189" i="2"/>
  <c r="AN290" i="2"/>
  <c r="AR212" i="2"/>
  <c r="BR367" i="2"/>
  <c r="M192" i="5"/>
  <c r="AQ374" i="2"/>
  <c r="AP355" i="2"/>
  <c r="AW312" i="2"/>
  <c r="L70" i="5"/>
  <c r="AS323" i="2"/>
  <c r="CG421" i="2"/>
  <c r="AX83" i="2"/>
  <c r="B13" i="6"/>
  <c r="F325" i="6"/>
  <c r="AN434" i="2"/>
  <c r="CG422" i="2"/>
  <c r="AR241" i="2"/>
  <c r="CG281" i="2"/>
  <c r="AR144" i="2"/>
  <c r="AW358" i="2"/>
  <c r="AP6" i="2"/>
  <c r="AS24" i="2"/>
  <c r="CG99" i="2"/>
  <c r="M88" i="5"/>
  <c r="B327" i="6"/>
  <c r="AP329" i="2"/>
  <c r="AS151" i="2"/>
  <c r="AP228" i="2"/>
  <c r="CG227" i="2"/>
  <c r="AR407" i="2"/>
  <c r="AS193" i="2"/>
  <c r="AU209" i="2"/>
  <c r="AS347" i="2"/>
  <c r="CG173" i="2"/>
  <c r="AP411" i="2"/>
  <c r="AV222" i="2"/>
  <c r="J273" i="6"/>
  <c r="AM262" i="2"/>
  <c r="CG418" i="2"/>
  <c r="AQ322" i="2"/>
  <c r="AM157" i="2"/>
  <c r="AQ370" i="2"/>
  <c r="AV453" i="2"/>
  <c r="AP108" i="2"/>
  <c r="H59" i="5"/>
  <c r="AQ362" i="2"/>
  <c r="BQ174" i="2"/>
  <c r="BQ331" i="2"/>
  <c r="AM229" i="2"/>
  <c r="AP443" i="2"/>
  <c r="CG182" i="2"/>
  <c r="AT111" i="2"/>
  <c r="AM216" i="2"/>
  <c r="AQ127" i="2"/>
  <c r="AU224" i="2"/>
  <c r="AP239" i="2"/>
  <c r="AR180" i="2"/>
  <c r="AF441" i="2"/>
  <c r="AP100" i="2"/>
  <c r="E63" i="6"/>
  <c r="AP410" i="2"/>
  <c r="AN44" i="2"/>
  <c r="BS33" i="2"/>
  <c r="AN197" i="2"/>
  <c r="AQ99" i="2"/>
  <c r="AP146" i="2"/>
  <c r="AS450" i="2"/>
  <c r="AQ285" i="2"/>
  <c r="AN136" i="2"/>
  <c r="AR18" i="2"/>
  <c r="BQ374" i="2"/>
  <c r="CG316" i="2"/>
  <c r="AO250" i="2"/>
  <c r="AT432" i="2"/>
  <c r="BR240" i="2"/>
  <c r="K70" i="5"/>
  <c r="P38" i="5"/>
  <c r="CG68" i="2"/>
  <c r="CG176" i="2"/>
  <c r="AO135" i="2"/>
  <c r="AF463" i="2"/>
  <c r="AS212" i="2"/>
  <c r="BQ172" i="2"/>
  <c r="CG110" i="2"/>
  <c r="AO134" i="2"/>
  <c r="AT106" i="2"/>
  <c r="BR440" i="2"/>
  <c r="AO84" i="2"/>
  <c r="CG116" i="2"/>
  <c r="AQ67" i="2"/>
  <c r="AQ220" i="2"/>
  <c r="AN285" i="2"/>
  <c r="AR411" i="2"/>
  <c r="AP403" i="2"/>
  <c r="AV439" i="2"/>
  <c r="AP17" i="2"/>
  <c r="F324" i="6"/>
  <c r="AQ408" i="2"/>
  <c r="AW52" i="2"/>
  <c r="AS434" i="2"/>
  <c r="CG163" i="2"/>
  <c r="AN294" i="2"/>
  <c r="BS246" i="2"/>
  <c r="AS166" i="2"/>
  <c r="H321" i="6"/>
  <c r="AM455" i="2"/>
  <c r="CG236" i="2"/>
  <c r="AP254" i="2"/>
  <c r="AN115" i="2"/>
  <c r="AW16" i="2"/>
  <c r="AX245" i="2"/>
  <c r="CG222" i="2"/>
  <c r="AO116" i="2"/>
  <c r="AT374" i="2"/>
  <c r="BR132" i="2"/>
  <c r="AT332" i="2"/>
  <c r="AS431" i="2"/>
  <c r="AO313" i="2"/>
  <c r="BT198" i="2"/>
  <c r="K107" i="5"/>
  <c r="C51" i="5"/>
  <c r="AS333" i="2"/>
  <c r="AP394" i="2"/>
  <c r="AP390" i="2"/>
  <c r="AT180" i="2"/>
  <c r="AW404" i="2"/>
  <c r="AV378" i="2"/>
  <c r="AU321" i="2"/>
  <c r="AV221" i="2"/>
  <c r="AX261" i="2"/>
  <c r="AS295" i="2"/>
  <c r="AT375" i="2"/>
  <c r="AO89" i="2"/>
  <c r="AO17" i="2"/>
  <c r="AS150" i="2"/>
  <c r="AT458" i="2"/>
  <c r="AO25" i="2"/>
  <c r="AU256" i="2"/>
  <c r="BQ139" i="2"/>
  <c r="BQ119" i="2"/>
  <c r="BS383" i="2"/>
  <c r="BS142" i="2"/>
  <c r="AM402" i="2"/>
  <c r="AR379" i="2"/>
  <c r="AQ41" i="2"/>
  <c r="CG445" i="2"/>
  <c r="AW68" i="2"/>
  <c r="AW336" i="2"/>
  <c r="BQ193" i="2"/>
  <c r="BQ407" i="2"/>
  <c r="AX355" i="2"/>
  <c r="AX198" i="2"/>
  <c r="BR326" i="2"/>
  <c r="BT234" i="2"/>
  <c r="AN275" i="2"/>
  <c r="AR465" i="2"/>
  <c r="AO362" i="2"/>
  <c r="BQ357" i="2"/>
  <c r="AR26" i="2"/>
  <c r="AQ328" i="2"/>
  <c r="AR423" i="2"/>
  <c r="CG355" i="2"/>
  <c r="AX262" i="2"/>
  <c r="BQ412" i="2"/>
  <c r="BS203" i="2"/>
  <c r="BS58" i="2"/>
  <c r="BQ350" i="2"/>
  <c r="BQ10" i="2"/>
  <c r="BS122" i="2"/>
  <c r="BS144" i="2"/>
  <c r="BR312" i="2"/>
  <c r="BR102" i="2"/>
  <c r="CG100" i="2"/>
  <c r="AS10" i="2"/>
  <c r="CG397" i="2"/>
  <c r="CG324" i="2"/>
  <c r="AT322" i="2"/>
  <c r="AS105" i="2"/>
  <c r="BQ428" i="2"/>
  <c r="BQ306" i="2"/>
  <c r="BS355" i="2"/>
  <c r="AO177" i="2"/>
  <c r="BR124" i="2"/>
  <c r="BR423" i="2"/>
  <c r="AU289" i="2"/>
  <c r="AP121" i="2"/>
  <c r="G95" i="6"/>
  <c r="AU387" i="2"/>
  <c r="BR69" i="2"/>
  <c r="AS247" i="2"/>
  <c r="AS384" i="2"/>
  <c r="AS248" i="2"/>
  <c r="AT91" i="2"/>
  <c r="BR148" i="2"/>
  <c r="BR346" i="2"/>
  <c r="BT282" i="2"/>
  <c r="AR269" i="2"/>
  <c r="BR138" i="2"/>
  <c r="AM353" i="2"/>
  <c r="AM123" i="2"/>
  <c r="AU207" i="2"/>
  <c r="AO43" i="2"/>
  <c r="H160" i="5"/>
  <c r="AM112" i="2"/>
  <c r="CG9" i="2"/>
  <c r="H204" i="6"/>
  <c r="AP415" i="2"/>
  <c r="BS455" i="2"/>
  <c r="AG186" i="2"/>
  <c r="AR237" i="2"/>
  <c r="AT358" i="2"/>
  <c r="AQ194" i="2"/>
  <c r="AP287" i="2"/>
  <c r="AE177" i="2"/>
  <c r="CG107" i="2"/>
  <c r="AR281" i="2"/>
  <c r="AR192" i="2"/>
  <c r="CG248" i="2"/>
  <c r="AT25" i="2"/>
  <c r="AT301" i="2"/>
  <c r="AS357" i="2"/>
  <c r="AJ416" i="2"/>
  <c r="CG87" i="2"/>
  <c r="AS269" i="2"/>
  <c r="AF382" i="2"/>
  <c r="AN393" i="2"/>
  <c r="AT429" i="2"/>
  <c r="AR137" i="2"/>
  <c r="AP73" i="2"/>
  <c r="B123" i="5"/>
  <c r="BQ29" i="2"/>
  <c r="AO223" i="2"/>
  <c r="AQ441" i="2"/>
  <c r="AQ260" i="2"/>
  <c r="AR451" i="2"/>
  <c r="I368" i="6"/>
  <c r="AN109" i="2"/>
  <c r="AQ134" i="2"/>
  <c r="BR333" i="2"/>
  <c r="AP131" i="2"/>
  <c r="AP330" i="2"/>
  <c r="AO366" i="2"/>
  <c r="BS195" i="2"/>
  <c r="AO331" i="2"/>
  <c r="AS220" i="2"/>
  <c r="AO126" i="2"/>
  <c r="AW240" i="2"/>
  <c r="AP12" i="2"/>
  <c r="AS400" i="2"/>
  <c r="CG277" i="2"/>
  <c r="AX86" i="2"/>
  <c r="AM289" i="2"/>
  <c r="AP418" i="2"/>
  <c r="AO80" i="2"/>
  <c r="AT292" i="2"/>
  <c r="AT93" i="2"/>
  <c r="CG395" i="2"/>
  <c r="AO420" i="2"/>
  <c r="AW186" i="2"/>
  <c r="AQ210" i="2"/>
  <c r="AS415" i="2"/>
  <c r="CG42" i="2"/>
  <c r="AN376" i="2"/>
  <c r="AO454" i="2"/>
  <c r="AN114" i="2"/>
  <c r="AI237" i="2"/>
  <c r="AM397" i="2"/>
  <c r="CG170" i="2"/>
  <c r="AR127" i="2"/>
  <c r="AS135" i="2"/>
  <c r="AV460" i="2"/>
  <c r="AS121" i="2"/>
  <c r="CG268" i="2"/>
  <c r="AP49" i="2"/>
  <c r="AW265" i="2"/>
  <c r="AN133" i="2"/>
  <c r="AQ76" i="2"/>
  <c r="AU244" i="2"/>
  <c r="AP166" i="2"/>
  <c r="AM389" i="2"/>
  <c r="AQ95" i="2"/>
  <c r="AW18" i="2"/>
  <c r="AO199" i="2"/>
  <c r="AT153" i="2"/>
  <c r="AS373" i="2"/>
  <c r="BQ397" i="2"/>
  <c r="AN435" i="2"/>
  <c r="AR276" i="2"/>
  <c r="AQ373" i="2"/>
  <c r="AU125" i="2"/>
  <c r="AR444" i="2"/>
  <c r="AN90" i="2"/>
  <c r="AR12" i="2"/>
  <c r="AV154" i="2"/>
  <c r="AO173" i="2"/>
  <c r="AS65" i="2"/>
  <c r="AP387" i="2"/>
  <c r="AP405" i="2"/>
  <c r="AQ296" i="2"/>
  <c r="AQ137" i="2"/>
  <c r="AN253" i="2"/>
  <c r="AT23" i="2"/>
  <c r="AN163" i="2"/>
  <c r="AR73" i="2"/>
  <c r="AP386" i="2"/>
  <c r="AV61" i="2"/>
  <c r="CG258" i="2"/>
  <c r="AO463" i="2"/>
  <c r="AS342" i="2"/>
  <c r="BQ222" i="2"/>
  <c r="CG39" i="2"/>
  <c r="AI329" i="2"/>
  <c r="J317" i="6"/>
  <c r="AM276" i="2"/>
  <c r="AN47" i="2"/>
  <c r="AR161" i="2"/>
  <c r="AV392" i="2"/>
  <c r="AV134" i="2"/>
  <c r="AO85" i="2"/>
  <c r="AP76" i="2"/>
  <c r="AS410" i="2"/>
  <c r="BQ304" i="2"/>
  <c r="AS110" i="2"/>
  <c r="AO52" i="2"/>
  <c r="AT448" i="2"/>
  <c r="AR14" i="2"/>
  <c r="AQ424" i="2"/>
  <c r="G309" i="6"/>
  <c r="AP29" i="2"/>
  <c r="CG356" i="2"/>
  <c r="J76" i="5"/>
  <c r="AQ16" i="2"/>
  <c r="AN46" i="2"/>
  <c r="AW458" i="2"/>
  <c r="AN135" i="2"/>
  <c r="AR79" i="2"/>
  <c r="AQ28" i="2"/>
  <c r="AX432" i="2"/>
  <c r="AS321" i="2"/>
  <c r="CG106" i="2"/>
  <c r="AQ451" i="2"/>
  <c r="BS402" i="2"/>
  <c r="AF122" i="2"/>
  <c r="AN352" i="2"/>
  <c r="AS169" i="2"/>
  <c r="AP171" i="2"/>
  <c r="AQ17" i="2"/>
  <c r="AP123" i="2"/>
  <c r="AX354" i="2"/>
  <c r="AX320" i="2"/>
  <c r="AS285" i="2"/>
  <c r="AI278" i="2"/>
  <c r="N28" i="5"/>
  <c r="F346" i="6"/>
  <c r="AT211" i="2"/>
  <c r="AI233" i="2"/>
  <c r="AP126" i="2"/>
  <c r="F27" i="6"/>
  <c r="AP116" i="2"/>
  <c r="AM25" i="2"/>
  <c r="BS346" i="2"/>
  <c r="AR143" i="2"/>
  <c r="AT447" i="2"/>
  <c r="BR117" i="2"/>
  <c r="AX287" i="2"/>
  <c r="AO294" i="2"/>
  <c r="AQ31" i="2"/>
  <c r="AR410" i="2"/>
  <c r="CG436" i="2"/>
  <c r="AW303" i="2"/>
  <c r="AX140" i="2"/>
  <c r="BR10" i="2"/>
  <c r="BR113" i="2"/>
  <c r="AW166" i="2"/>
  <c r="AX426" i="2"/>
  <c r="BR177" i="2"/>
  <c r="BR341" i="2"/>
  <c r="BQ386" i="2"/>
  <c r="BQ7" i="2"/>
  <c r="BS223" i="2"/>
  <c r="BS70" i="2"/>
  <c r="AR459" i="2"/>
  <c r="AO311" i="2"/>
  <c r="AS243" i="2"/>
  <c r="CG206" i="2"/>
  <c r="AW39" i="2"/>
  <c r="AX115" i="2"/>
  <c r="BR457" i="2"/>
  <c r="AS408" i="2"/>
  <c r="BQ293" i="2"/>
  <c r="BQ282" i="2"/>
  <c r="BS330" i="2"/>
  <c r="BT122" i="2"/>
  <c r="AT43" i="2"/>
  <c r="L58" i="5"/>
  <c r="AX165" i="2"/>
  <c r="BR8" i="2"/>
  <c r="CG105" i="2"/>
  <c r="AS302" i="2"/>
  <c r="CG330" i="2"/>
  <c r="AT424" i="2"/>
  <c r="BQ410" i="2"/>
  <c r="BQ30" i="2"/>
  <c r="CG416" i="2"/>
  <c r="AN189" i="2"/>
  <c r="BQ57" i="2"/>
  <c r="BR187" i="2"/>
  <c r="AS32" i="2"/>
  <c r="BS247" i="2"/>
  <c r="BS368" i="2"/>
  <c r="BS234" i="2"/>
  <c r="AU341" i="2"/>
  <c r="AU392" i="2"/>
  <c r="BR267" i="2"/>
  <c r="BR390" i="2"/>
  <c r="CG118" i="2"/>
  <c r="AT280" i="2"/>
  <c r="BR456" i="2"/>
  <c r="BR246" i="2"/>
  <c r="AU67" i="2"/>
  <c r="AV364" i="2"/>
  <c r="BS152" i="2"/>
  <c r="AS447" i="2"/>
  <c r="AV25" i="2"/>
  <c r="AR169" i="2"/>
  <c r="AM45" i="2"/>
  <c r="BR289" i="2"/>
  <c r="BS216" i="2"/>
  <c r="AS360" i="2"/>
  <c r="AT428" i="2"/>
  <c r="AU146" i="2"/>
  <c r="CG169" i="2"/>
  <c r="BR362" i="2"/>
  <c r="BS333" i="2"/>
  <c r="AU449" i="2"/>
  <c r="CG296" i="2"/>
  <c r="BR309" i="2"/>
  <c r="BS172" i="2"/>
  <c r="AU64" i="2"/>
  <c r="AS406" i="2"/>
  <c r="BT373" i="2"/>
  <c r="AP433" i="2"/>
  <c r="AV292" i="2"/>
  <c r="AV306" i="2"/>
  <c r="BS417" i="2"/>
  <c r="BT352" i="2"/>
  <c r="AU177" i="2"/>
  <c r="AV204" i="2"/>
  <c r="BS273" i="2"/>
  <c r="CG352" i="2"/>
  <c r="AV411" i="2"/>
  <c r="AW103" i="2"/>
  <c r="AU331" i="2"/>
  <c r="BS277" i="2"/>
  <c r="AO259" i="2"/>
  <c r="CG461" i="2"/>
  <c r="AN69" i="2"/>
  <c r="AM407" i="2"/>
  <c r="AP35" i="2"/>
  <c r="AI104" i="2"/>
  <c r="AQ98" i="2"/>
  <c r="AO340" i="2"/>
  <c r="BT348" i="2"/>
  <c r="AR160" i="2"/>
  <c r="CG217" i="2"/>
  <c r="AU411" i="2"/>
  <c r="AP159" i="2"/>
  <c r="AQ135" i="2"/>
  <c r="AR245" i="2"/>
  <c r="CG306" i="2"/>
  <c r="AS97" i="2"/>
  <c r="AR146" i="2"/>
  <c r="G62" i="5"/>
  <c r="AS376" i="2"/>
  <c r="BT275" i="2"/>
  <c r="C357" i="6"/>
  <c r="AN320" i="2"/>
  <c r="BS116" i="2"/>
  <c r="AM62" i="2"/>
  <c r="AQ68" i="2"/>
  <c r="AP215" i="2"/>
  <c r="BT244" i="2"/>
  <c r="AQ279" i="2"/>
  <c r="AP434" i="2"/>
  <c r="AO379" i="2"/>
  <c r="AR183" i="2"/>
  <c r="AF44" i="2"/>
  <c r="G324" i="6"/>
  <c r="AP130" i="2"/>
  <c r="AS273" i="2"/>
  <c r="AN190" i="2"/>
  <c r="AO453" i="2"/>
  <c r="AQ157" i="2"/>
  <c r="BS401" i="2"/>
  <c r="AQ172" i="2"/>
  <c r="AN307" i="2"/>
  <c r="AR203" i="2"/>
  <c r="AU180" i="2"/>
  <c r="AT160" i="2"/>
  <c r="AS131" i="2"/>
  <c r="AO44" i="2"/>
  <c r="AX356" i="2"/>
  <c r="H289" i="6"/>
  <c r="E348" i="6"/>
  <c r="AS129" i="2"/>
  <c r="AN426" i="2"/>
  <c r="AR381" i="2"/>
  <c r="AP430" i="2"/>
  <c r="AU350" i="2"/>
  <c r="AU363" i="2"/>
  <c r="AT132" i="2"/>
  <c r="CG287" i="2"/>
  <c r="AO392" i="2"/>
  <c r="AX455" i="2"/>
  <c r="AR303" i="2"/>
  <c r="AT213" i="2"/>
  <c r="CG419" i="2"/>
  <c r="AP81" i="2"/>
  <c r="AO305" i="2"/>
  <c r="CG367" i="2"/>
  <c r="AE114" i="2"/>
  <c r="AM386" i="2"/>
  <c r="AK105" i="2"/>
  <c r="J80" i="5"/>
  <c r="K368" i="5"/>
  <c r="AQ36" i="2"/>
  <c r="C59" i="6"/>
  <c r="AE193" i="2"/>
  <c r="AO329" i="2"/>
  <c r="AQ261" i="2"/>
  <c r="AM268" i="2"/>
  <c r="AQ367" i="2"/>
  <c r="AU319" i="2"/>
  <c r="AP413" i="2"/>
  <c r="F11" i="6"/>
  <c r="AQ392" i="2"/>
  <c r="AX174" i="2"/>
  <c r="AO149" i="2"/>
  <c r="AM33" i="2"/>
  <c r="AS68" i="2"/>
  <c r="BQ210" i="2"/>
  <c r="AP237" i="2"/>
  <c r="AO374" i="2"/>
  <c r="AP158" i="2"/>
  <c r="AV208" i="2"/>
  <c r="AQ201" i="2"/>
  <c r="AN330" i="2"/>
  <c r="AR252" i="2"/>
  <c r="I125" i="6"/>
  <c r="AQ317" i="2"/>
  <c r="O7" i="5"/>
  <c r="AR320" i="2"/>
  <c r="AO214" i="2"/>
  <c r="AR380" i="2"/>
  <c r="AP404" i="2"/>
  <c r="K324" i="5"/>
  <c r="AV91" i="2"/>
  <c r="E167" i="6"/>
  <c r="AQ215" i="2"/>
  <c r="AP213" i="2"/>
  <c r="AW353" i="2"/>
  <c r="CG465" i="2"/>
  <c r="AO336" i="2"/>
  <c r="AT229" i="2"/>
  <c r="BR205" i="2"/>
  <c r="G338" i="6"/>
  <c r="I262" i="6"/>
  <c r="AO42" i="2"/>
  <c r="E208" i="5"/>
  <c r="AP67" i="2"/>
  <c r="AN332" i="2"/>
  <c r="AW379" i="2"/>
  <c r="AW241" i="2"/>
  <c r="CG278" i="2"/>
  <c r="AP92" i="2"/>
  <c r="AS122" i="2"/>
  <c r="H93" i="6"/>
  <c r="AS124" i="2"/>
  <c r="J205" i="6"/>
  <c r="G183" i="5"/>
  <c r="AN411" i="2"/>
  <c r="CG415" i="2"/>
  <c r="AP89" i="2"/>
  <c r="AS216" i="2"/>
  <c r="CG191" i="2"/>
  <c r="AO459" i="2"/>
  <c r="CG46" i="2"/>
  <c r="AO264" i="2"/>
  <c r="AW386" i="2"/>
  <c r="AO464" i="2"/>
  <c r="AT156" i="2"/>
  <c r="CG400" i="2"/>
  <c r="AX360" i="2"/>
  <c r="AS319" i="2"/>
  <c r="AK344" i="2"/>
  <c r="AF303" i="2"/>
  <c r="AO431" i="2"/>
  <c r="AP127" i="2"/>
  <c r="AN157" i="2"/>
  <c r="AW57" i="2"/>
  <c r="AO318" i="2"/>
  <c r="AQ257" i="2"/>
  <c r="AN322" i="2"/>
  <c r="BQ127" i="2"/>
  <c r="BR58" i="2"/>
  <c r="E188" i="5"/>
  <c r="AE282" i="2"/>
  <c r="CG26" i="2"/>
  <c r="CG134" i="2"/>
  <c r="AM393" i="2"/>
  <c r="K369" i="5"/>
  <c r="AT423" i="2"/>
  <c r="AQ81" i="2"/>
  <c r="AQ403" i="2"/>
  <c r="AM124" i="2"/>
  <c r="AT419" i="2"/>
  <c r="CG181" i="2"/>
  <c r="H76" i="5"/>
  <c r="AV54" i="2"/>
  <c r="BQ396" i="2"/>
  <c r="AO236" i="2"/>
  <c r="AO33" i="2"/>
  <c r="AS55" i="2"/>
  <c r="AO34" i="2"/>
  <c r="AX226" i="2"/>
  <c r="AX446" i="2"/>
  <c r="BR331" i="2"/>
  <c r="CG447" i="2"/>
  <c r="AX217" i="2"/>
  <c r="BQ447" i="2"/>
  <c r="BR62" i="2"/>
  <c r="BR15" i="2"/>
  <c r="BQ231" i="2"/>
  <c r="BR265" i="2"/>
  <c r="BT20" i="2"/>
  <c r="BT210" i="2"/>
  <c r="BQ75" i="2"/>
  <c r="BQ56" i="2"/>
  <c r="BS168" i="2"/>
  <c r="BS210" i="2"/>
  <c r="BQ347" i="2"/>
  <c r="BQ359" i="2"/>
  <c r="AP141" i="2"/>
  <c r="AT190" i="2"/>
  <c r="BR140" i="2"/>
  <c r="BS453" i="2"/>
  <c r="AU442" i="2"/>
  <c r="AE368" i="2"/>
  <c r="CG11" i="2"/>
  <c r="AP380" i="2"/>
  <c r="BS208" i="2"/>
  <c r="BT271" i="2"/>
  <c r="BS399" i="2"/>
  <c r="BS194" i="2"/>
  <c r="AU381" i="2"/>
  <c r="AU267" i="2"/>
  <c r="BS278" i="2"/>
  <c r="BS42" i="2"/>
  <c r="AU278" i="2"/>
  <c r="AU74" i="2"/>
  <c r="BS412" i="2"/>
  <c r="BS209" i="2"/>
  <c r="AV245" i="2"/>
  <c r="AM156" i="2"/>
  <c r="I342" i="6"/>
  <c r="AN108" i="2"/>
  <c r="AP202" i="2"/>
  <c r="AS108" i="2"/>
  <c r="BS397" i="2"/>
  <c r="BS243" i="2"/>
  <c r="AV317" i="2"/>
  <c r="BQ276" i="2"/>
  <c r="BS287" i="2"/>
  <c r="BT83" i="2"/>
  <c r="AU448" i="2"/>
  <c r="BR374" i="2"/>
  <c r="AN45" i="2"/>
  <c r="AS118" i="2"/>
  <c r="AV320" i="2"/>
  <c r="AT18" i="2"/>
  <c r="AQ90" i="2"/>
  <c r="BT143" i="2"/>
  <c r="BQ267" i="2"/>
  <c r="BT349" i="2"/>
  <c r="AN263" i="2"/>
  <c r="AV12" i="2"/>
  <c r="AW278" i="2"/>
  <c r="AS89" i="2"/>
  <c r="AU70" i="2"/>
  <c r="AW349" i="2"/>
  <c r="AW412" i="2"/>
  <c r="AT216" i="2"/>
  <c r="AU440" i="2"/>
  <c r="AW236" i="2"/>
  <c r="AQ12" i="2"/>
  <c r="AP147" i="2"/>
  <c r="AO437" i="2"/>
  <c r="AN353" i="2"/>
  <c r="AU463" i="2"/>
  <c r="AT161" i="2"/>
  <c r="AU53" i="2"/>
  <c r="AW308" i="2"/>
  <c r="BR159" i="2"/>
  <c r="AU384" i="2"/>
  <c r="AP227" i="2"/>
  <c r="AQ444" i="2"/>
  <c r="G203" i="5"/>
  <c r="C145" i="6"/>
  <c r="AS14" i="2"/>
  <c r="AQ132" i="2"/>
  <c r="AQ78" i="2"/>
  <c r="AO273" i="2"/>
  <c r="AT113" i="2"/>
  <c r="AN99" i="2"/>
  <c r="CG456" i="2"/>
  <c r="AQ142" i="2"/>
  <c r="CG61" i="2"/>
  <c r="CG66" i="2"/>
  <c r="AR259" i="2"/>
  <c r="CG121" i="2"/>
  <c r="BT150" i="2"/>
  <c r="AT270" i="2"/>
  <c r="AN187" i="2"/>
  <c r="BT276" i="2"/>
  <c r="AU432" i="2"/>
  <c r="M122" i="5"/>
  <c r="AE440" i="2"/>
  <c r="CG69" i="2"/>
  <c r="M369" i="5"/>
  <c r="AR196" i="2"/>
  <c r="AN62" i="2"/>
  <c r="AU41" i="2"/>
  <c r="AS445" i="2"/>
  <c r="AO70" i="2"/>
  <c r="AT145" i="2"/>
  <c r="D69" i="5"/>
  <c r="CG307" i="2"/>
  <c r="AP412" i="2"/>
  <c r="AR306" i="2"/>
  <c r="AS264" i="2"/>
  <c r="AN288" i="2"/>
  <c r="AR112" i="2"/>
  <c r="CG130" i="2"/>
  <c r="BT46" i="2"/>
  <c r="AP270" i="2"/>
  <c r="AR100" i="2"/>
  <c r="AS81" i="2"/>
  <c r="AU451" i="2"/>
  <c r="AN463" i="2"/>
  <c r="AS42" i="2"/>
  <c r="AO26" i="2"/>
  <c r="AX87" i="2"/>
  <c r="AM120" i="2"/>
  <c r="AP172" i="2"/>
  <c r="AP184" i="2"/>
  <c r="AN296" i="2"/>
  <c r="AO438" i="2"/>
  <c r="AP23" i="2"/>
  <c r="AV353" i="2"/>
  <c r="AV335" i="2"/>
  <c r="I70" i="6"/>
  <c r="AF106" i="2"/>
  <c r="AO253" i="2"/>
  <c r="AS399" i="2"/>
  <c r="B148" i="5"/>
  <c r="B302" i="6"/>
  <c r="CG192" i="2"/>
  <c r="AM356" i="2"/>
  <c r="M35" i="5"/>
  <c r="CG271" i="2"/>
  <c r="AN107" i="2"/>
  <c r="AN154" i="2"/>
  <c r="H257" i="6"/>
  <c r="AM317" i="2"/>
  <c r="CG13" i="2"/>
  <c r="CG82" i="2"/>
  <c r="E366" i="6"/>
  <c r="H211" i="5"/>
  <c r="AS451" i="2"/>
  <c r="AP31" i="2"/>
  <c r="E13" i="5"/>
  <c r="AQ426" i="2"/>
  <c r="AW339" i="2"/>
  <c r="AO276" i="2"/>
  <c r="AT114" i="2"/>
  <c r="CG38" i="2"/>
  <c r="AX102" i="2"/>
  <c r="AO51" i="2"/>
  <c r="AN306" i="2"/>
  <c r="AS259" i="2"/>
  <c r="BR189" i="2"/>
  <c r="AN276" i="2"/>
  <c r="AR267" i="2"/>
  <c r="AP432" i="2"/>
  <c r="AX93" i="2"/>
  <c r="AP58" i="2"/>
  <c r="AN381" i="2"/>
  <c r="AQ238" i="2"/>
  <c r="I64" i="5"/>
  <c r="CG73" i="2"/>
  <c r="AN441" i="2"/>
  <c r="CG396" i="2"/>
  <c r="AO132" i="2"/>
  <c r="AQ366" i="2"/>
  <c r="AO63" i="2"/>
  <c r="AT89" i="2"/>
  <c r="AV19" i="2"/>
  <c r="AO395" i="2"/>
  <c r="AS381" i="2"/>
  <c r="AO190" i="2"/>
  <c r="AW281" i="2"/>
  <c r="CG312" i="2"/>
  <c r="F133" i="6"/>
  <c r="AH79" i="2"/>
  <c r="AF51" i="2"/>
  <c r="AN232" i="2"/>
  <c r="AR66" i="2"/>
  <c r="AV299" i="2"/>
  <c r="AR260" i="2"/>
  <c r="AP332" i="2"/>
  <c r="AO445" i="2"/>
  <c r="AX399" i="2"/>
  <c r="BQ198" i="2"/>
  <c r="E153" i="5"/>
  <c r="C68" i="6"/>
  <c r="AT277" i="2"/>
  <c r="AP198" i="2"/>
  <c r="AM83" i="2"/>
  <c r="M182" i="5"/>
  <c r="CG240" i="2"/>
  <c r="AR44" i="2"/>
  <c r="AM309" i="2"/>
  <c r="AN228" i="2"/>
  <c r="CG150" i="2"/>
  <c r="CG31" i="2"/>
  <c r="AT234" i="2"/>
  <c r="AS38" i="2"/>
  <c r="AO172" i="2"/>
  <c r="AW414" i="2"/>
  <c r="AO384" i="2"/>
  <c r="AT35" i="2"/>
  <c r="CG311" i="2"/>
  <c r="BQ197" i="2"/>
  <c r="AG166" i="2"/>
  <c r="AM86" i="2"/>
  <c r="AS443" i="2"/>
  <c r="AP428" i="2"/>
  <c r="AQ346" i="2"/>
  <c r="AP109" i="2"/>
  <c r="AX68" i="2"/>
  <c r="AR218" i="2"/>
  <c r="AQ149" i="2"/>
  <c r="AQ450" i="2"/>
  <c r="BS251" i="2"/>
  <c r="BS265" i="2"/>
  <c r="AN158" i="2"/>
  <c r="AR96" i="2"/>
  <c r="AV135" i="2"/>
  <c r="AS116" i="2"/>
  <c r="AQ140" i="2"/>
  <c r="AN321" i="2"/>
  <c r="AX309" i="2"/>
  <c r="AR286" i="2"/>
  <c r="AP267" i="2"/>
  <c r="K31" i="5"/>
  <c r="AV380" i="2"/>
  <c r="AO432" i="2"/>
  <c r="AQ214" i="2"/>
  <c r="BR53" i="2"/>
  <c r="BR302" i="2"/>
  <c r="BQ167" i="2"/>
  <c r="BR241" i="2"/>
  <c r="BT404" i="2"/>
  <c r="BT188" i="2"/>
  <c r="BQ254" i="2"/>
  <c r="BR97" i="2"/>
  <c r="AT287" i="2"/>
  <c r="BT307" i="2"/>
  <c r="BR301" i="2"/>
  <c r="BR392" i="2"/>
  <c r="AT46" i="2"/>
  <c r="BS76" i="2"/>
  <c r="AE334" i="2"/>
  <c r="AR97" i="2"/>
  <c r="AN162" i="2"/>
  <c r="AR255" i="2"/>
  <c r="BQ94" i="2"/>
  <c r="BR349" i="2"/>
  <c r="AT118" i="2"/>
  <c r="AW320" i="2"/>
  <c r="BR23" i="2"/>
  <c r="BS220" i="2"/>
  <c r="AQ105" i="2"/>
  <c r="BQ348" i="2"/>
  <c r="BT462" i="2"/>
  <c r="BT66" i="2"/>
  <c r="AU370" i="2"/>
  <c r="BQ416" i="2"/>
  <c r="AI420" i="2"/>
  <c r="AR147" i="2"/>
  <c r="BS136" i="2"/>
  <c r="AT187" i="2"/>
  <c r="BS153" i="2"/>
  <c r="AS153" i="2"/>
  <c r="AV97" i="2"/>
  <c r="BQ390" i="2"/>
  <c r="BT130" i="2"/>
  <c r="BT303" i="2"/>
  <c r="AU126" i="2"/>
  <c r="BR36" i="2"/>
  <c r="BT401" i="2"/>
  <c r="CH413" i="2"/>
  <c r="AV173" i="2"/>
  <c r="CG48" i="2"/>
  <c r="AS107" i="2"/>
  <c r="AR273" i="2"/>
  <c r="AR118" i="2"/>
  <c r="AW346" i="2"/>
  <c r="AU198" i="2"/>
  <c r="AU107" i="2"/>
  <c r="AW202" i="2"/>
  <c r="AO245" i="2"/>
  <c r="BS350" i="2"/>
  <c r="BT380" i="2"/>
  <c r="AU415" i="2"/>
  <c r="AU50" i="2"/>
  <c r="AT398" i="2"/>
  <c r="AU221" i="2"/>
  <c r="BR318" i="2"/>
  <c r="AM57" i="2"/>
  <c r="AN7" i="2"/>
  <c r="AO104" i="2"/>
  <c r="AV141" i="2"/>
  <c r="AU36" i="2"/>
  <c r="AU128" i="2"/>
  <c r="AW128" i="2"/>
  <c r="BS170" i="2"/>
  <c r="AS255" i="2"/>
  <c r="AU421" i="2"/>
  <c r="AW277" i="2"/>
  <c r="BS337" i="2"/>
  <c r="AT48" i="2"/>
  <c r="AU332" i="2"/>
  <c r="AW164" i="2"/>
  <c r="AT317" i="2"/>
  <c r="AQ299" i="2"/>
  <c r="H26" i="5"/>
  <c r="AQ8" i="2"/>
  <c r="AT267" i="2"/>
  <c r="AP21" i="2"/>
  <c r="AP445" i="2"/>
  <c r="E149" i="6"/>
  <c r="AQ203" i="2"/>
  <c r="AO163" i="2"/>
  <c r="G156" i="6"/>
  <c r="AR7" i="2"/>
  <c r="CG414" i="2"/>
  <c r="AR162" i="2"/>
  <c r="CG34" i="2"/>
  <c r="AS210" i="2"/>
  <c r="AS144" i="2"/>
  <c r="AN349" i="2"/>
  <c r="AU412" i="2"/>
  <c r="C281" i="6"/>
  <c r="AN255" i="2"/>
  <c r="AU252" i="2"/>
  <c r="AW29" i="2"/>
  <c r="AN86" i="2"/>
  <c r="AR15" i="2"/>
  <c r="AU455" i="2"/>
  <c r="AO461" i="2"/>
  <c r="AQ313" i="2"/>
  <c r="AN72" i="2"/>
  <c r="AW93" i="2"/>
  <c r="AS45" i="2"/>
  <c r="CG294" i="2"/>
  <c r="AT247" i="2"/>
  <c r="AR197" i="2"/>
  <c r="K46" i="5"/>
  <c r="AN74" i="2"/>
  <c r="CG200" i="2"/>
  <c r="AS294" i="2"/>
  <c r="AR70" i="2"/>
  <c r="AT212" i="2"/>
  <c r="CG329" i="2"/>
  <c r="CG215" i="2"/>
  <c r="CG314" i="2"/>
  <c r="AR17" i="2"/>
  <c r="AS72" i="2"/>
  <c r="AU424" i="2"/>
  <c r="P98" i="5"/>
  <c r="AN271" i="2"/>
  <c r="CG265" i="2"/>
  <c r="AN140" i="2"/>
  <c r="AQ278" i="2"/>
  <c r="AP336" i="2"/>
  <c r="AT254" i="2"/>
  <c r="AM196" i="2"/>
  <c r="AR372" i="2"/>
  <c r="AP299" i="2"/>
  <c r="AW78" i="2"/>
  <c r="AX52" i="2"/>
  <c r="AG327" i="2"/>
  <c r="AN298" i="2"/>
  <c r="AS262" i="2"/>
  <c r="AT44" i="2"/>
  <c r="AM167" i="2"/>
  <c r="AP41" i="2"/>
  <c r="AT117" i="2"/>
  <c r="AN412" i="2"/>
  <c r="AQ428" i="2"/>
  <c r="D313" i="6"/>
  <c r="AN308" i="2"/>
  <c r="N16" i="5"/>
  <c r="AN179" i="2"/>
  <c r="AR317" i="2"/>
  <c r="BR216" i="2"/>
  <c r="AL24" i="2"/>
  <c r="AP419" i="2"/>
  <c r="AN427" i="2"/>
  <c r="BS271" i="2"/>
  <c r="AN246" i="2"/>
  <c r="F149" i="5"/>
  <c r="AQ177" i="2"/>
  <c r="AX191" i="2"/>
  <c r="AO213" i="2"/>
  <c r="AT265" i="2"/>
  <c r="AS229" i="2"/>
  <c r="BQ242" i="2"/>
  <c r="P102" i="5"/>
  <c r="D77" i="6"/>
  <c r="AS138" i="2"/>
  <c r="AT313" i="2"/>
  <c r="AN422" i="2"/>
  <c r="AS145" i="2"/>
  <c r="CG53" i="2"/>
  <c r="AX21" i="2"/>
  <c r="AO71" i="2"/>
  <c r="AN358" i="2"/>
  <c r="AS11" i="2"/>
  <c r="AR449" i="2"/>
  <c r="H323" i="6"/>
  <c r="AQ415" i="2"/>
  <c r="AO76" i="2"/>
  <c r="AO114" i="2"/>
  <c r="AS139" i="2"/>
  <c r="AO13" i="2"/>
  <c r="AN196" i="2"/>
  <c r="AV175" i="2"/>
  <c r="AT273" i="2"/>
  <c r="AS356" i="2"/>
  <c r="AO108" i="2"/>
  <c r="AX333" i="2"/>
  <c r="AM361" i="2"/>
  <c r="F369" i="6"/>
  <c r="AO170" i="2"/>
  <c r="I169" i="5"/>
  <c r="AP53" i="2"/>
  <c r="AM119" i="2"/>
  <c r="AW45" i="2"/>
  <c r="AQ377" i="2"/>
  <c r="AN110" i="2"/>
  <c r="AR48" i="2"/>
  <c r="BR50" i="2"/>
  <c r="BR448" i="2"/>
  <c r="P86" i="5"/>
  <c r="AQ131" i="2"/>
  <c r="AU185" i="2"/>
  <c r="AU62" i="2"/>
  <c r="AP325" i="2"/>
  <c r="AR447" i="2"/>
  <c r="AV198" i="2"/>
  <c r="AO347" i="2"/>
  <c r="AN310" i="2"/>
  <c r="CG152" i="2"/>
  <c r="AL17" i="2"/>
  <c r="AM266" i="2"/>
  <c r="AT129" i="2"/>
  <c r="AS60" i="2"/>
  <c r="AO154" i="2"/>
  <c r="AX305" i="2"/>
  <c r="AO249" i="2"/>
  <c r="AT302" i="2"/>
  <c r="CG270" i="2"/>
  <c r="AR295" i="2"/>
  <c r="AP105" i="2"/>
  <c r="AM9" i="2"/>
  <c r="AW162" i="2"/>
  <c r="AO382" i="2"/>
  <c r="AQ108" i="2"/>
  <c r="AN211" i="2"/>
  <c r="BQ104" i="2"/>
  <c r="AS88" i="2"/>
  <c r="CG337" i="2"/>
  <c r="AR77" i="2"/>
  <c r="BS171" i="2"/>
  <c r="AN295" i="2"/>
  <c r="AP210" i="2"/>
  <c r="AN35" i="2"/>
  <c r="AW410" i="2"/>
  <c r="AP97" i="2"/>
  <c r="AQ431" i="2"/>
  <c r="AP401" i="2"/>
  <c r="AX384" i="2"/>
  <c r="AQ207" i="2"/>
  <c r="AO127" i="2"/>
  <c r="AT50" i="2"/>
  <c r="BQ173" i="2"/>
  <c r="AM54" i="2"/>
  <c r="AQ44" i="2"/>
  <c r="BR395" i="2"/>
  <c r="CG196" i="2"/>
  <c r="BR336" i="2"/>
  <c r="BR126" i="2"/>
  <c r="AU123" i="2"/>
  <c r="AX401" i="2"/>
  <c r="BS115" i="2"/>
  <c r="BS16" i="2"/>
  <c r="AT151" i="2"/>
  <c r="AX440" i="2"/>
  <c r="BS34" i="2"/>
  <c r="BS366" i="2"/>
  <c r="AU416" i="2"/>
  <c r="AT264" i="2"/>
  <c r="AO280" i="2"/>
  <c r="AT347" i="2"/>
  <c r="AT330" i="2"/>
  <c r="AV389" i="2"/>
  <c r="BS106" i="2"/>
  <c r="AO184" i="2"/>
  <c r="AV458" i="2"/>
  <c r="BT197" i="2"/>
  <c r="BR181" i="2"/>
  <c r="BS148" i="2"/>
  <c r="AT387" i="2"/>
  <c r="CG161" i="2"/>
  <c r="BT326" i="2"/>
  <c r="BT388" i="2"/>
  <c r="AV151" i="2"/>
  <c r="BT17" i="2"/>
  <c r="AQ217" i="2"/>
  <c r="CG43" i="2"/>
  <c r="BT356" i="2"/>
  <c r="AX463" i="2"/>
  <c r="AU58" i="2"/>
  <c r="AV309" i="2"/>
  <c r="AX349" i="2"/>
  <c r="AT166" i="2"/>
  <c r="BT58" i="2"/>
  <c r="CG52" i="2"/>
  <c r="AV186" i="2"/>
  <c r="AU182" i="2"/>
  <c r="BT329" i="2"/>
  <c r="AS36" i="2"/>
  <c r="AV265" i="2"/>
  <c r="AV70" i="2"/>
  <c r="AW251" i="2"/>
  <c r="BQ395" i="2"/>
  <c r="BQ235" i="2"/>
  <c r="CG138" i="2"/>
  <c r="AU54" i="2"/>
  <c r="AU434" i="2"/>
  <c r="AW130" i="2"/>
  <c r="AT143" i="2"/>
  <c r="BT203" i="2"/>
  <c r="CG366" i="2"/>
  <c r="AV449" i="2"/>
  <c r="AV165" i="2"/>
  <c r="AU147" i="2"/>
  <c r="AU360" i="2"/>
  <c r="AT230" i="2"/>
  <c r="AK177" i="2"/>
  <c r="AS411" i="2"/>
  <c r="AU270" i="2"/>
  <c r="BQ121" i="2"/>
  <c r="AV8" i="2"/>
  <c r="AW300" i="2"/>
  <c r="BQ213" i="2"/>
  <c r="AV365" i="2"/>
  <c r="AU285" i="2"/>
  <c r="AU234" i="2"/>
  <c r="AW337" i="2"/>
  <c r="AV180" i="2"/>
  <c r="AU456" i="2"/>
  <c r="AU17" i="2"/>
  <c r="AW296" i="2"/>
  <c r="AX181" i="2"/>
  <c r="AX417" i="2"/>
  <c r="BR401" i="2"/>
  <c r="BR235" i="2"/>
  <c r="AU279" i="2"/>
  <c r="AV116" i="2"/>
  <c r="AV17" i="2"/>
  <c r="AX65" i="2"/>
  <c r="AU110" i="2"/>
  <c r="AU232" i="2"/>
  <c r="AU201" i="2"/>
  <c r="AW9" i="2"/>
  <c r="AW156" i="2"/>
  <c r="AV388" i="2"/>
  <c r="AV214" i="2"/>
  <c r="AR194" i="2"/>
  <c r="CG135" i="2"/>
  <c r="D89" i="5"/>
  <c r="CG327" i="2"/>
  <c r="BQ108" i="2"/>
  <c r="AX283" i="2"/>
  <c r="AX303" i="2"/>
  <c r="BR135" i="2"/>
  <c r="BR24" i="2"/>
  <c r="CG269" i="2"/>
  <c r="AS205" i="2"/>
  <c r="CG221" i="2"/>
  <c r="BQ422" i="2"/>
  <c r="AW375" i="2"/>
  <c r="BR239" i="2"/>
  <c r="AU56" i="2"/>
  <c r="AX44" i="2"/>
  <c r="AR23" i="2"/>
  <c r="AT108" i="2"/>
  <c r="BS131" i="2"/>
  <c r="AR81" i="2"/>
  <c r="AU99" i="2"/>
  <c r="AX407" i="2"/>
  <c r="AW364" i="2"/>
  <c r="AV283" i="2"/>
  <c r="AV184" i="2"/>
  <c r="AX416" i="2"/>
  <c r="AW203" i="2"/>
  <c r="AV314" i="2"/>
  <c r="AV447" i="2"/>
  <c r="AX159" i="2"/>
  <c r="BQ45" i="2"/>
  <c r="BQ257" i="2"/>
  <c r="BS289" i="2"/>
  <c r="BS104" i="2"/>
  <c r="AW394" i="2"/>
  <c r="AW139" i="2"/>
  <c r="AW48" i="2"/>
  <c r="BQ216" i="2"/>
  <c r="AW269" i="2"/>
  <c r="AV227" i="2"/>
  <c r="AV159" i="2"/>
  <c r="AX88" i="2"/>
  <c r="AX19" i="2"/>
  <c r="AW137" i="2"/>
  <c r="AX325" i="2"/>
  <c r="AP246" i="2"/>
  <c r="AS358" i="2"/>
  <c r="AR371" i="2"/>
  <c r="AS275" i="2"/>
  <c r="BR81" i="2"/>
  <c r="BQ98" i="2"/>
  <c r="BQ462" i="2"/>
  <c r="BS23" i="2"/>
  <c r="AP13" i="2"/>
  <c r="AT381" i="2"/>
  <c r="AT219" i="2"/>
  <c r="I88" i="6"/>
  <c r="AO118" i="2"/>
  <c r="AQ276" i="2"/>
  <c r="P71" i="5"/>
  <c r="AW243" i="2"/>
  <c r="AT174" i="2"/>
  <c r="AU195" i="2"/>
  <c r="AW83" i="2"/>
  <c r="AW138" i="2"/>
  <c r="BR393" i="2"/>
  <c r="BQ330" i="2"/>
  <c r="B166" i="6"/>
  <c r="B312" i="6"/>
  <c r="AS44" i="2"/>
  <c r="AS296" i="2"/>
  <c r="AU133" i="2"/>
  <c r="AU379" i="2"/>
  <c r="AT411" i="2"/>
  <c r="CG251" i="2"/>
  <c r="AV162" i="2"/>
  <c r="AV217" i="2"/>
  <c r="AO397" i="2"/>
  <c r="AT68" i="2"/>
  <c r="AU190" i="2"/>
  <c r="AS217" i="2"/>
  <c r="K126" i="5"/>
  <c r="AM153" i="2"/>
  <c r="AN159" i="2"/>
  <c r="AQ309" i="2"/>
  <c r="CG197" i="2"/>
  <c r="AT391" i="2"/>
  <c r="AV167" i="2"/>
  <c r="AW294" i="2"/>
  <c r="AS444" i="2"/>
  <c r="AU71" i="2"/>
  <c r="AW422" i="2"/>
  <c r="AU184" i="2"/>
  <c r="AV301" i="2"/>
  <c r="AV387" i="2"/>
  <c r="AX74" i="2"/>
  <c r="AX447" i="2"/>
  <c r="AQ448" i="2"/>
  <c r="AO138" i="2"/>
  <c r="AT394" i="2"/>
  <c r="AM250" i="2"/>
  <c r="CG259" i="2"/>
  <c r="AT62" i="2"/>
  <c r="AV190" i="2"/>
  <c r="AN91" i="2"/>
  <c r="AU72" i="2"/>
  <c r="AV76" i="2"/>
  <c r="AX324" i="2"/>
  <c r="BQ333" i="2"/>
  <c r="AX228" i="2"/>
  <c r="AN462" i="2"/>
  <c r="CG102" i="2"/>
  <c r="AS143" i="2"/>
  <c r="AU325" i="2"/>
  <c r="BT393" i="2"/>
  <c r="BS320" i="2"/>
  <c r="BT309" i="2"/>
  <c r="AU327" i="2"/>
  <c r="AS369" i="2"/>
  <c r="AQ294" i="2"/>
  <c r="AT389" i="2"/>
  <c r="AT372" i="2"/>
  <c r="AT380" i="2"/>
  <c r="AR22" i="2"/>
  <c r="AT436" i="2"/>
  <c r="BR105" i="2"/>
  <c r="AW380" i="2"/>
  <c r="AW161" i="2"/>
  <c r="BQ250" i="2"/>
  <c r="BQ224" i="2"/>
  <c r="O36" i="5"/>
  <c r="G36" i="5"/>
  <c r="AP59" i="2"/>
  <c r="AQ224" i="2"/>
  <c r="AU263" i="2"/>
  <c r="AU124" i="2"/>
  <c r="AW418" i="2"/>
  <c r="AW249" i="2"/>
  <c r="AV219" i="2"/>
  <c r="AV160" i="2"/>
  <c r="AX392" i="2"/>
  <c r="AM199" i="2"/>
  <c r="AT29" i="2"/>
  <c r="AP63" i="2"/>
  <c r="AV419" i="2"/>
  <c r="AU108" i="2"/>
  <c r="CG160" i="2"/>
  <c r="AT22" i="2"/>
  <c r="AV150" i="2"/>
  <c r="CG291" i="2"/>
  <c r="CG6" i="2"/>
  <c r="AP400" i="2"/>
  <c r="AQ230" i="2"/>
  <c r="CG433" i="2"/>
  <c r="AS149" i="2"/>
  <c r="AQ71" i="2"/>
  <c r="AO452" i="2"/>
  <c r="AX411" i="2"/>
  <c r="AX240" i="2"/>
  <c r="BR407" i="2"/>
  <c r="BR243" i="2"/>
  <c r="AR115" i="2"/>
  <c r="AQ89" i="2"/>
  <c r="AN258" i="2"/>
  <c r="AP464" i="2"/>
  <c r="AV77" i="2"/>
  <c r="AV305" i="2"/>
  <c r="AX353" i="2"/>
  <c r="AX328" i="2"/>
  <c r="AW371" i="2"/>
  <c r="AW239" i="2"/>
  <c r="BQ448" i="2"/>
  <c r="BS262" i="2"/>
  <c r="BQ70" i="2"/>
  <c r="BQ241" i="2"/>
  <c r="AT446" i="2"/>
  <c r="AU403" i="2"/>
  <c r="AU82" i="2"/>
  <c r="BR317" i="2"/>
  <c r="BT164" i="2"/>
  <c r="BG148" i="2"/>
  <c r="BH363" i="2"/>
  <c r="AV68" i="2"/>
  <c r="BQ430" i="2"/>
  <c r="C179" i="5"/>
  <c r="BG167" i="2"/>
  <c r="AW359" i="2"/>
  <c r="AT100" i="2"/>
  <c r="CI101" i="2"/>
  <c r="BG118" i="2"/>
  <c r="BQ130" i="2"/>
  <c r="AU14" i="2"/>
  <c r="CI282" i="2"/>
  <c r="BG433" i="2"/>
  <c r="BS339" i="2"/>
  <c r="BS386" i="2"/>
  <c r="AX460" i="2"/>
  <c r="CI349" i="2"/>
  <c r="BR32" i="2"/>
  <c r="CH317" i="2"/>
  <c r="AT134" i="2"/>
  <c r="BQ384" i="2"/>
  <c r="CH140" i="2"/>
  <c r="CI271" i="2"/>
  <c r="AR6" i="2"/>
  <c r="BT456" i="2"/>
  <c r="AV340" i="2"/>
  <c r="BS299" i="2"/>
  <c r="AW188" i="2"/>
  <c r="AW372" i="2"/>
  <c r="AW435" i="2"/>
  <c r="AT158" i="2"/>
  <c r="BH51" i="2"/>
  <c r="BR287" i="2"/>
  <c r="BT453" i="2"/>
  <c r="BR106" i="2"/>
  <c r="BH454" i="2"/>
  <c r="AO353" i="2"/>
  <c r="AV404" i="2"/>
  <c r="AU393" i="2"/>
  <c r="BG270" i="2"/>
  <c r="BH57" i="2"/>
  <c r="AW318" i="2"/>
  <c r="AW149" i="2"/>
  <c r="BG121" i="2"/>
  <c r="BH231" i="2"/>
  <c r="BT21" i="2"/>
  <c r="AS29" i="2"/>
  <c r="BQ151" i="2"/>
  <c r="BT428" i="2"/>
  <c r="CH463" i="2"/>
  <c r="AV157" i="2"/>
  <c r="AV216" i="2"/>
  <c r="CH182" i="2"/>
  <c r="CI336" i="2"/>
  <c r="C86" i="5"/>
  <c r="BR410" i="2"/>
  <c r="AO321" i="2"/>
  <c r="AW95" i="2"/>
  <c r="BQ143" i="2"/>
  <c r="BQ22" i="2"/>
  <c r="BT443" i="2"/>
  <c r="AV176" i="2"/>
  <c r="AX251" i="2"/>
  <c r="CH100" i="2"/>
  <c r="AX13" i="2"/>
  <c r="BS64" i="2"/>
  <c r="AV84" i="2"/>
  <c r="BS56" i="2"/>
  <c r="BR271" i="2"/>
  <c r="AW314" i="2"/>
  <c r="BH120" i="2"/>
  <c r="AU374" i="2"/>
  <c r="BT219" i="2"/>
  <c r="AX288" i="2"/>
  <c r="BH295" i="2"/>
  <c r="AU283" i="2"/>
  <c r="CI148" i="2"/>
  <c r="AX260" i="2"/>
  <c r="AU383" i="2"/>
  <c r="CI210" i="2"/>
  <c r="BG226" i="2"/>
  <c r="AP70" i="2"/>
  <c r="AU357" i="2"/>
  <c r="AV188" i="2"/>
  <c r="AO247" i="2"/>
  <c r="BR272" i="2"/>
  <c r="AS253" i="2"/>
  <c r="BS67" i="2"/>
  <c r="AU273" i="2"/>
  <c r="AT214" i="2"/>
  <c r="AR290" i="2"/>
  <c r="AV233" i="2"/>
  <c r="AU20" i="2"/>
  <c r="AT126" i="2"/>
  <c r="AV374" i="2"/>
  <c r="BR450" i="2"/>
  <c r="AW17" i="2"/>
  <c r="AV278" i="2"/>
  <c r="AW59" i="2"/>
  <c r="BQ283" i="2"/>
  <c r="AW423" i="2"/>
  <c r="AW389" i="2"/>
  <c r="AW178" i="2"/>
  <c r="AP339" i="2"/>
  <c r="BQ183" i="2"/>
  <c r="BR83" i="2"/>
  <c r="AT88" i="2"/>
  <c r="AT54" i="2"/>
  <c r="AX296" i="2"/>
  <c r="AW327" i="2"/>
  <c r="AX164" i="2"/>
  <c r="BR34" i="2"/>
  <c r="AN237" i="2"/>
  <c r="AR121" i="2"/>
  <c r="CG446" i="2"/>
  <c r="AS204" i="2"/>
  <c r="AO175" i="2"/>
  <c r="AQ178" i="2"/>
  <c r="CG391" i="2"/>
  <c r="AP286" i="2"/>
  <c r="AS293" i="2"/>
  <c r="AT215" i="2"/>
  <c r="BS191" i="2"/>
  <c r="BR179" i="2"/>
  <c r="BR291" i="2"/>
  <c r="AN123" i="2"/>
  <c r="AP251" i="2"/>
  <c r="AS183" i="2"/>
  <c r="AT331" i="2"/>
  <c r="AU208" i="2"/>
  <c r="AU159" i="2"/>
  <c r="AT406" i="2"/>
  <c r="AT386" i="2"/>
  <c r="AU343" i="2"/>
  <c r="AO341" i="2"/>
  <c r="AT102" i="2"/>
  <c r="AU51" i="2"/>
  <c r="AW11" i="2"/>
  <c r="AW66" i="2"/>
  <c r="AT452" i="2"/>
  <c r="CG441" i="2"/>
  <c r="AS21" i="2"/>
  <c r="AS332" i="2"/>
  <c r="BS296" i="2"/>
  <c r="BT285" i="2"/>
  <c r="AU447" i="2"/>
  <c r="AM261" i="2"/>
  <c r="AS96" i="2"/>
  <c r="AU445" i="2"/>
  <c r="AW301" i="2"/>
  <c r="AX462" i="2"/>
  <c r="AO7" i="2"/>
  <c r="I203" i="6"/>
  <c r="BQ270" i="2"/>
  <c r="AV412" i="2"/>
  <c r="AO18" i="2"/>
  <c r="CG335" i="2"/>
  <c r="AN337" i="2"/>
  <c r="AR148" i="2"/>
  <c r="AU102" i="2"/>
  <c r="AU458" i="2"/>
  <c r="AW154" i="2"/>
  <c r="AN259" i="2"/>
  <c r="AU361" i="2"/>
  <c r="AU241" i="2"/>
  <c r="AW49" i="2"/>
  <c r="AW322" i="2"/>
  <c r="AV393" i="2"/>
  <c r="AV30" i="2"/>
  <c r="AX158" i="2"/>
  <c r="BQ389" i="2"/>
  <c r="AV352" i="2"/>
  <c r="AV226" i="2"/>
  <c r="AX362" i="2"/>
  <c r="AW245" i="2"/>
  <c r="AV445" i="2"/>
  <c r="AV82" i="2"/>
  <c r="AX218" i="2"/>
  <c r="AX72" i="2"/>
  <c r="AW363" i="2"/>
  <c r="AW192" i="2"/>
  <c r="BQ49" i="2"/>
  <c r="BQ409" i="2"/>
  <c r="AX263" i="2"/>
  <c r="AN188" i="2"/>
  <c r="AR50" i="2"/>
  <c r="AX332" i="2"/>
  <c r="AU136" i="2"/>
  <c r="AM434" i="2"/>
  <c r="AQ161" i="2"/>
  <c r="AN24" i="2"/>
  <c r="AP94" i="2"/>
  <c r="AU274" i="2"/>
  <c r="AV303" i="2"/>
  <c r="AW38" i="2"/>
  <c r="AX383" i="2"/>
  <c r="AU57" i="2"/>
  <c r="AV13" i="2"/>
  <c r="AX53" i="2"/>
  <c r="AW347" i="2"/>
  <c r="AW292" i="2"/>
  <c r="AW89" i="2"/>
  <c r="BQ417" i="2"/>
  <c r="BQ152" i="2"/>
  <c r="CG70" i="2"/>
  <c r="AS226" i="2"/>
  <c r="AR214" i="2"/>
  <c r="AO358" i="2"/>
  <c r="AU10" i="2"/>
  <c r="AV261" i="2"/>
  <c r="AX301" i="2"/>
  <c r="AM325" i="2"/>
  <c r="AV318" i="2"/>
  <c r="AW99" i="2"/>
  <c r="BQ411" i="2"/>
  <c r="AP193" i="2"/>
  <c r="AS221" i="2"/>
  <c r="BQ435" i="2"/>
  <c r="AV382" i="2"/>
  <c r="AR43" i="2"/>
  <c r="AQ462" i="2"/>
  <c r="AN186" i="2"/>
  <c r="AP200" i="2"/>
  <c r="AV224" i="2"/>
  <c r="AW117" i="2"/>
  <c r="BQ429" i="2"/>
  <c r="BQ140" i="2"/>
  <c r="AV7" i="2"/>
  <c r="AW425" i="2"/>
  <c r="BQ204" i="2"/>
  <c r="AX111" i="2"/>
  <c r="AX171" i="2"/>
  <c r="AX168" i="2"/>
  <c r="BR335" i="2"/>
  <c r="BR354" i="2"/>
  <c r="AT52" i="2"/>
  <c r="AT384" i="2"/>
  <c r="CG188" i="2"/>
  <c r="AS17" i="2"/>
  <c r="AV415" i="2"/>
  <c r="AW252" i="2"/>
  <c r="BQ165" i="2"/>
  <c r="AS459" i="2"/>
  <c r="AX429" i="2"/>
  <c r="AX162" i="2"/>
  <c r="BR85" i="2"/>
  <c r="BS107" i="2"/>
  <c r="BR379" i="2"/>
  <c r="AU349" i="2"/>
  <c r="BR74" i="2"/>
  <c r="AV197" i="2"/>
  <c r="AV395" i="2"/>
  <c r="AU6" i="2"/>
  <c r="BT92" i="2"/>
  <c r="BH124" i="2"/>
  <c r="BQ308" i="2"/>
  <c r="BR192" i="2"/>
  <c r="BQ294" i="2"/>
  <c r="BG367" i="2"/>
  <c r="AQ123" i="2"/>
  <c r="AT159" i="2"/>
  <c r="AT171" i="2"/>
  <c r="BG147" i="2"/>
  <c r="BH154" i="2"/>
  <c r="AV203" i="2"/>
  <c r="AV399" i="2"/>
  <c r="BG397" i="2"/>
  <c r="BH425" i="2"/>
  <c r="AQ7" i="2"/>
  <c r="K300" i="5"/>
  <c r="AX439" i="2"/>
  <c r="AW125" i="2"/>
  <c r="BT435" i="2"/>
  <c r="BG438" i="2"/>
  <c r="AU266" i="2"/>
  <c r="BT296" i="2"/>
  <c r="CH131" i="2"/>
  <c r="H180" i="5"/>
  <c r="BQ426" i="2"/>
  <c r="BT250" i="2"/>
  <c r="AT49" i="2"/>
  <c r="AV16" i="2"/>
  <c r="AX248" i="2"/>
  <c r="AX438" i="2"/>
  <c r="BR286" i="2"/>
  <c r="AU226" i="2"/>
  <c r="AW116" i="2"/>
  <c r="BQ63" i="2"/>
  <c r="AV201" i="2"/>
  <c r="BR51" i="2"/>
  <c r="AO367" i="2"/>
  <c r="BR35" i="2"/>
  <c r="BQ147" i="2"/>
  <c r="AV427" i="2"/>
  <c r="BH257" i="2"/>
  <c r="AU459" i="2"/>
  <c r="BS400" i="2"/>
  <c r="AW209" i="2"/>
  <c r="BH56" i="2"/>
  <c r="AW397" i="2"/>
  <c r="CH85" i="2"/>
  <c r="AV280" i="2"/>
  <c r="BS331" i="2"/>
  <c r="CH51" i="2"/>
  <c r="BG331" i="2"/>
  <c r="BQ365" i="2"/>
  <c r="AX316" i="2"/>
  <c r="CI76" i="2"/>
  <c r="P181" i="5"/>
  <c r="AR89" i="2"/>
  <c r="BS459" i="2"/>
  <c r="BS38" i="2"/>
  <c r="BQ52" i="2"/>
  <c r="BS156" i="2"/>
  <c r="BS307" i="2"/>
  <c r="AQ246" i="2"/>
  <c r="AU237" i="2"/>
  <c r="BT216" i="2"/>
  <c r="CI270" i="2"/>
  <c r="AN444" i="2"/>
  <c r="AS236" i="2"/>
  <c r="BS155" i="2"/>
  <c r="AV362" i="2"/>
  <c r="AV432" i="2"/>
  <c r="AX133" i="2"/>
  <c r="BR358" i="2"/>
  <c r="CG254" i="2"/>
  <c r="AW403" i="2"/>
  <c r="BQ11" i="2"/>
  <c r="BS334" i="2"/>
  <c r="BT353" i="2"/>
  <c r="CI177" i="2"/>
  <c r="CH315" i="2"/>
  <c r="AU170" i="2"/>
  <c r="CG7" i="2"/>
  <c r="AU219" i="2"/>
  <c r="CG15" i="2"/>
  <c r="BT135" i="2"/>
  <c r="AU179" i="2"/>
  <c r="AV147" i="2"/>
  <c r="AN79" i="2"/>
  <c r="B375" i="6"/>
  <c r="BS274" i="2"/>
  <c r="AM338" i="2"/>
  <c r="AV146" i="2"/>
  <c r="AX195" i="2"/>
  <c r="BR409" i="2"/>
  <c r="AN61" i="2"/>
  <c r="AR49" i="2"/>
  <c r="CG20" i="2"/>
  <c r="AS290" i="2"/>
  <c r="AP179" i="2"/>
  <c r="AP91" i="2"/>
  <c r="AS420" i="2"/>
  <c r="AU135" i="2"/>
  <c r="BS187" i="2"/>
  <c r="AM425" i="2"/>
  <c r="AV60" i="2"/>
  <c r="AV394" i="2"/>
  <c r="BQ133" i="2"/>
  <c r="AX186" i="2"/>
  <c r="AI342" i="2"/>
  <c r="L126" i="5"/>
  <c r="CG60" i="2"/>
  <c r="CG41" i="2"/>
  <c r="AT361" i="2"/>
  <c r="AT184" i="2"/>
  <c r="AS362" i="2"/>
  <c r="AS119" i="2"/>
  <c r="AU68" i="2"/>
  <c r="AR205" i="2"/>
  <c r="C299" i="6"/>
  <c r="AX127" i="2"/>
  <c r="AU462" i="2"/>
  <c r="AS206" i="2"/>
  <c r="AT200" i="2"/>
  <c r="AS127" i="2"/>
  <c r="BQ463" i="2"/>
  <c r="BT124" i="2"/>
  <c r="AO136" i="2"/>
  <c r="AV410" i="2"/>
  <c r="E213" i="6"/>
  <c r="BT139" i="2"/>
  <c r="CG255" i="2"/>
  <c r="AV275" i="2"/>
  <c r="AV443" i="2"/>
  <c r="AU372" i="2"/>
  <c r="AU281" i="2"/>
  <c r="AW199" i="2"/>
  <c r="AX423" i="2"/>
  <c r="AT39" i="2"/>
  <c r="AU260" i="2"/>
  <c r="AW395" i="2"/>
  <c r="AU264" i="2"/>
  <c r="AT246" i="2"/>
  <c r="AU347" i="2"/>
  <c r="AW155" i="2"/>
  <c r="AW132" i="2"/>
  <c r="AV260" i="2"/>
  <c r="AV161" i="2"/>
  <c r="AX209" i="2"/>
  <c r="AX66" i="2"/>
  <c r="AO447" i="2"/>
  <c r="AQ286" i="2"/>
  <c r="AW396" i="2"/>
  <c r="AW289" i="2"/>
  <c r="AV369" i="2"/>
  <c r="AV6" i="2"/>
  <c r="AX134" i="2"/>
  <c r="AW367" i="2"/>
  <c r="AV225" i="2"/>
  <c r="AW262" i="2"/>
  <c r="BQ440" i="2"/>
  <c r="AW238" i="2"/>
  <c r="AV80" i="2"/>
  <c r="AW388" i="2"/>
  <c r="BQ285" i="2"/>
  <c r="AW286" i="2"/>
  <c r="AW276" i="2"/>
  <c r="AW73" i="2"/>
  <c r="BQ401" i="2"/>
  <c r="AO243" i="2"/>
  <c r="AV105" i="2"/>
  <c r="AW365" i="2"/>
  <c r="BQ247" i="2"/>
  <c r="BR195" i="2"/>
  <c r="AW330" i="2"/>
  <c r="AW23" i="2"/>
  <c r="BQ15" i="2"/>
  <c r="AT414" i="2"/>
  <c r="AX304" i="2"/>
  <c r="BQ277" i="2"/>
  <c r="BS317" i="2"/>
  <c r="CG119" i="2"/>
  <c r="CG357" i="2"/>
  <c r="AT220" i="2"/>
  <c r="E56" i="6"/>
  <c r="BS294" i="2"/>
  <c r="AW420" i="2"/>
  <c r="AS41" i="2"/>
  <c r="AT197" i="2"/>
  <c r="AO153" i="2"/>
  <c r="AR139" i="2"/>
  <c r="AV140" i="2"/>
  <c r="AV41" i="2"/>
  <c r="AX89" i="2"/>
  <c r="AM31" i="2"/>
  <c r="AV331" i="2"/>
  <c r="AV223" i="2"/>
  <c r="AX128" i="2"/>
  <c r="AX257" i="2"/>
  <c r="AW424" i="2"/>
  <c r="AX141" i="2"/>
  <c r="BR12" i="2"/>
  <c r="BR237" i="2"/>
  <c r="AW181" i="2"/>
  <c r="AW377" i="2"/>
  <c r="BQ427" i="2"/>
  <c r="AX33" i="2"/>
  <c r="AW37" i="2"/>
  <c r="AW233" i="2"/>
  <c r="BQ394" i="2"/>
  <c r="BR202" i="2"/>
  <c r="AX346" i="2"/>
  <c r="AX55" i="2"/>
  <c r="BR261" i="2"/>
  <c r="AR25" i="2"/>
  <c r="AG139" i="2"/>
  <c r="AU39" i="2"/>
  <c r="AX410" i="2"/>
  <c r="AT295" i="2"/>
  <c r="AQ330" i="2"/>
  <c r="CG104" i="2"/>
  <c r="AS8" i="2"/>
  <c r="AW163" i="2"/>
  <c r="AW72" i="2"/>
  <c r="BQ240" i="2"/>
  <c r="AP42" i="2"/>
  <c r="AW282" i="2"/>
  <c r="AW391" i="2"/>
  <c r="BQ312" i="2"/>
  <c r="BQ97" i="2"/>
  <c r="AX32" i="2"/>
  <c r="BQ460" i="2"/>
  <c r="BS45" i="2"/>
  <c r="BS163" i="2"/>
  <c r="AX204" i="2"/>
  <c r="AX456" i="2"/>
  <c r="BR252" i="2"/>
  <c r="BR436" i="2"/>
  <c r="AX60" i="2"/>
  <c r="AX312" i="2"/>
  <c r="BR314" i="2"/>
  <c r="BS360" i="2"/>
  <c r="BQ379" i="2"/>
  <c r="BQ150" i="2"/>
  <c r="AO120" i="2"/>
  <c r="B43" i="5"/>
  <c r="L172" i="5"/>
  <c r="AS354" i="2"/>
  <c r="AU66" i="2"/>
  <c r="AW169" i="2"/>
  <c r="AW64" i="2"/>
  <c r="BQ291" i="2"/>
  <c r="CG295" i="2"/>
  <c r="AU313" i="2"/>
  <c r="BT200" i="2"/>
  <c r="AU286" i="2"/>
  <c r="BQ51" i="2"/>
  <c r="H308" i="6"/>
  <c r="AX280" i="2"/>
  <c r="AW335" i="2"/>
  <c r="AU29" i="2"/>
  <c r="BH354" i="2"/>
  <c r="AU236" i="2"/>
  <c r="BQ106" i="2"/>
  <c r="AV58" i="2"/>
  <c r="BH193" i="2"/>
  <c r="AV273" i="2"/>
  <c r="AX464" i="2"/>
  <c r="AU431" i="2"/>
  <c r="BR441" i="2"/>
  <c r="BR157" i="2"/>
  <c r="BG204" i="2"/>
  <c r="AV390" i="2"/>
  <c r="AW293" i="2"/>
  <c r="CH347" i="2"/>
  <c r="AF288" i="2"/>
  <c r="CG341" i="2"/>
  <c r="BR130" i="2"/>
  <c r="CH324" i="2"/>
  <c r="BR454" i="2"/>
  <c r="AX436" i="2"/>
  <c r="BR107" i="2"/>
  <c r="BR425" i="2"/>
  <c r="AR287" i="2"/>
  <c r="BS77" i="2"/>
  <c r="AV211" i="2"/>
  <c r="CH239" i="2"/>
  <c r="E279" i="6"/>
  <c r="AO371" i="2"/>
  <c r="BR453" i="2"/>
  <c r="CI304" i="2"/>
  <c r="CG325" i="2"/>
  <c r="AV22" i="2"/>
  <c r="BR430" i="2"/>
  <c r="CH57" i="2"/>
  <c r="AV93" i="2"/>
  <c r="AX156" i="2"/>
  <c r="BT431" i="2"/>
  <c r="AU193" i="2"/>
  <c r="CH201" i="2"/>
  <c r="BS164" i="2"/>
  <c r="BT344" i="2"/>
  <c r="BG261" i="2"/>
  <c r="BH107" i="2"/>
  <c r="BS201" i="2"/>
  <c r="CG267" i="2"/>
  <c r="AS417" i="2"/>
  <c r="BQ74" i="2"/>
  <c r="AU143" i="2"/>
  <c r="AS271" i="2"/>
  <c r="AU151" i="2"/>
  <c r="AS365" i="2"/>
  <c r="AR71" i="2"/>
  <c r="AN120" i="2"/>
  <c r="AU302" i="2"/>
  <c r="AW464" i="2"/>
  <c r="AW87" i="2"/>
  <c r="AX91" i="2"/>
  <c r="AM369" i="2"/>
  <c r="CG232" i="2"/>
  <c r="AS141" i="2"/>
  <c r="AS395" i="2"/>
  <c r="AT304" i="2"/>
  <c r="CG239" i="2"/>
  <c r="AS435" i="2"/>
  <c r="AT289" i="2"/>
  <c r="BR225" i="2"/>
  <c r="BT224" i="2"/>
  <c r="AP163" i="2"/>
  <c r="AV372" i="2"/>
  <c r="AV322" i="2"/>
  <c r="AS214" i="2"/>
  <c r="CG30" i="2"/>
  <c r="AO417" i="2"/>
  <c r="AO226" i="2"/>
  <c r="BR88" i="2"/>
  <c r="BS438" i="2"/>
  <c r="AT45" i="2"/>
  <c r="AT103" i="2"/>
  <c r="BS127" i="2"/>
  <c r="BT60" i="2"/>
  <c r="AU174" i="2"/>
  <c r="AT107" i="2"/>
  <c r="AP55" i="2"/>
  <c r="AU446" i="2"/>
  <c r="AV138" i="2"/>
  <c r="AU300" i="2"/>
  <c r="AU352" i="2"/>
  <c r="AW175" i="2"/>
  <c r="AV354" i="2"/>
  <c r="AU371" i="2"/>
  <c r="AU111" i="2"/>
  <c r="AW31" i="2"/>
  <c r="AV433" i="2"/>
  <c r="AU130" i="2"/>
  <c r="AV381" i="2"/>
  <c r="AX421" i="2"/>
  <c r="AV95" i="2"/>
  <c r="AV285" i="2"/>
  <c r="AV347" i="2"/>
  <c r="AX58" i="2"/>
  <c r="AN390" i="2"/>
  <c r="AU139" i="2"/>
  <c r="AU310" i="2"/>
  <c r="AW350" i="2"/>
  <c r="BQ132" i="2"/>
  <c r="AV284" i="2"/>
  <c r="AV367" i="2"/>
  <c r="AX176" i="2"/>
  <c r="BR39" i="2"/>
  <c r="AW225" i="2"/>
  <c r="AX413" i="2"/>
  <c r="BQ14" i="2"/>
  <c r="CG280" i="2"/>
  <c r="O52" i="5"/>
  <c r="AQ355" i="2"/>
  <c r="AW323" i="2"/>
  <c r="AM23" i="2"/>
  <c r="AW316" i="2"/>
  <c r="AW113" i="2"/>
  <c r="BQ441" i="2"/>
  <c r="BS50" i="2"/>
  <c r="AX199" i="2"/>
  <c r="AX210" i="2"/>
  <c r="BR277" i="2"/>
  <c r="BS217" i="2"/>
  <c r="AX295" i="2"/>
  <c r="AX201" i="2"/>
  <c r="BR256" i="2"/>
  <c r="AQ113" i="2"/>
  <c r="AO111" i="2"/>
  <c r="AT410" i="2"/>
  <c r="AO393" i="2"/>
  <c r="BQ351" i="2"/>
  <c r="AX37" i="2"/>
  <c r="AX273" i="2"/>
  <c r="BR328" i="2"/>
  <c r="AW248" i="2"/>
  <c r="AW258" i="2"/>
  <c r="AW430" i="2"/>
  <c r="BQ439" i="2"/>
  <c r="BQ180" i="2"/>
  <c r="AX232" i="2"/>
  <c r="BQ205" i="2"/>
  <c r="BS245" i="2"/>
  <c r="AT376" i="2"/>
  <c r="AS155" i="2"/>
  <c r="CG83" i="2"/>
  <c r="AN48" i="2"/>
  <c r="AX402" i="2"/>
  <c r="AX368" i="2"/>
  <c r="AW400" i="2"/>
  <c r="AX117" i="2"/>
  <c r="BR373" i="2"/>
  <c r="BQ227" i="2"/>
  <c r="AW256" i="2"/>
  <c r="AX319" i="2"/>
  <c r="BR427" i="2"/>
  <c r="BQ138" i="2"/>
  <c r="AW159" i="2"/>
  <c r="AX443" i="2"/>
  <c r="BR419" i="2"/>
  <c r="BQ159" i="2"/>
  <c r="AX147" i="2"/>
  <c r="F242" i="6"/>
  <c r="AJ407" i="2"/>
  <c r="AP113" i="2"/>
  <c r="AW136" i="2"/>
  <c r="AX388" i="2"/>
  <c r="BR338" i="2"/>
  <c r="AT122" i="2"/>
  <c r="AX265" i="2"/>
  <c r="BQ408" i="2"/>
  <c r="BR110" i="2"/>
  <c r="AV210" i="2"/>
  <c r="BQ335" i="2"/>
  <c r="BR363" i="2"/>
  <c r="BT436" i="2"/>
  <c r="AT90" i="2"/>
  <c r="AP392" i="2"/>
  <c r="BQ364" i="2"/>
  <c r="BQ368" i="2"/>
  <c r="AX8" i="2"/>
  <c r="BQ340" i="2"/>
  <c r="BS21" i="2"/>
  <c r="BR59" i="2"/>
  <c r="AX119" i="2"/>
  <c r="BQ124" i="2"/>
  <c r="BS228" i="2"/>
  <c r="BR6" i="2"/>
  <c r="AX118" i="2"/>
  <c r="BQ171" i="2"/>
  <c r="BS59" i="2"/>
  <c r="BR242" i="2"/>
  <c r="BQ354" i="2"/>
  <c r="E19" i="5"/>
  <c r="E266" i="6"/>
  <c r="AS341" i="2"/>
  <c r="AX431" i="2"/>
  <c r="BQ420" i="2"/>
  <c r="BS108" i="2"/>
  <c r="AV99" i="2"/>
  <c r="BQ105" i="2"/>
  <c r="BR387" i="2"/>
  <c r="BT222" i="2"/>
  <c r="AW223" i="2"/>
  <c r="BR238" i="2"/>
  <c r="BS51" i="2"/>
  <c r="AO48" i="2"/>
  <c r="AO146" i="2"/>
  <c r="CG369" i="2"/>
  <c r="BQ120" i="2"/>
  <c r="AW413" i="2"/>
  <c r="BQ399" i="2"/>
  <c r="BQ149" i="2"/>
  <c r="AQ411" i="2"/>
  <c r="BR280" i="2"/>
  <c r="BT419" i="2"/>
  <c r="BT155" i="2"/>
  <c r="AX220" i="2"/>
  <c r="BR90" i="2"/>
  <c r="AW454" i="2"/>
  <c r="CH401" i="2"/>
  <c r="BS332" i="2"/>
  <c r="AU464" i="2"/>
  <c r="BQ122" i="2"/>
  <c r="BS183" i="2"/>
  <c r="AS133" i="2"/>
  <c r="AW133" i="2"/>
  <c r="BS14" i="2"/>
  <c r="CH136" i="2"/>
  <c r="BS288" i="2"/>
  <c r="BQ392" i="2"/>
  <c r="BS336" i="2"/>
  <c r="BG404" i="2"/>
  <c r="BH180" i="2"/>
  <c r="AU83" i="2"/>
  <c r="AX18" i="2"/>
  <c r="O197" i="5"/>
  <c r="BG423" i="2"/>
  <c r="AW237" i="2"/>
  <c r="BS17" i="2"/>
  <c r="CH273" i="2"/>
  <c r="AW402" i="2"/>
  <c r="AX364" i="2"/>
  <c r="BR250" i="2"/>
  <c r="BR337" i="2"/>
  <c r="AO279" i="2"/>
  <c r="BT22" i="2"/>
  <c r="CH274" i="2"/>
  <c r="CI27" i="2"/>
  <c r="CG213" i="2"/>
  <c r="BQ61" i="2"/>
  <c r="CI44" i="2"/>
  <c r="CH464" i="2"/>
  <c r="AN8" i="2"/>
  <c r="AW331" i="2"/>
  <c r="CH125" i="2"/>
  <c r="BT56" i="2"/>
  <c r="CG35" i="2"/>
  <c r="AX385" i="2"/>
  <c r="CI388" i="2"/>
  <c r="BS423" i="2"/>
  <c r="BG443" i="2"/>
  <c r="AV256" i="2"/>
  <c r="AO234" i="2"/>
  <c r="BH307" i="2"/>
  <c r="AV363" i="2"/>
  <c r="BS92" i="2"/>
  <c r="BQ289" i="2"/>
  <c r="BG111" i="2"/>
  <c r="CG323" i="2"/>
  <c r="AU378" i="2"/>
  <c r="AU364" i="2"/>
  <c r="AO176" i="2"/>
  <c r="BQ80" i="2"/>
  <c r="BS192" i="2"/>
  <c r="BS431" i="2"/>
  <c r="BR198" i="2"/>
  <c r="CI453" i="2"/>
  <c r="CI350" i="2"/>
  <c r="O19" i="5"/>
  <c r="AW144" i="2"/>
  <c r="CI174" i="2"/>
  <c r="AW12" i="2"/>
  <c r="BT386" i="2"/>
  <c r="AS327" i="2"/>
  <c r="CH319" i="2"/>
  <c r="AV298" i="2"/>
  <c r="BS129" i="2"/>
  <c r="AU305" i="2"/>
  <c r="AV89" i="2"/>
  <c r="BR459" i="2"/>
  <c r="AO47" i="2"/>
  <c r="AT97" i="2"/>
  <c r="AN75" i="2"/>
  <c r="AT248" i="2"/>
  <c r="CG237" i="2"/>
  <c r="E74" i="5"/>
  <c r="AU426" i="2"/>
  <c r="BS300" i="2"/>
  <c r="AW15" i="2"/>
  <c r="C45" i="5"/>
  <c r="CG49" i="2"/>
  <c r="BS149" i="2"/>
  <c r="BS353" i="2"/>
  <c r="AU220" i="2"/>
  <c r="AU460" i="2"/>
  <c r="BS356" i="2"/>
  <c r="BS232" i="2"/>
  <c r="AU409" i="2"/>
  <c r="AU37" i="2"/>
  <c r="AR435" i="2"/>
  <c r="AT442" i="2"/>
  <c r="AV120" i="2"/>
  <c r="AV414" i="2"/>
  <c r="AT454" i="2"/>
  <c r="AT312" i="2"/>
  <c r="AV276" i="2"/>
  <c r="AS33" i="2"/>
  <c r="BS236" i="2"/>
  <c r="BS89" i="2"/>
  <c r="AV132" i="2"/>
  <c r="AU338" i="2"/>
  <c r="AU334" i="2"/>
  <c r="AU251" i="2"/>
  <c r="AW274" i="2"/>
  <c r="D214" i="6"/>
  <c r="AP112" i="2"/>
  <c r="AV244" i="2"/>
  <c r="AM35" i="2"/>
  <c r="AV325" i="2"/>
  <c r="AV459" i="2"/>
  <c r="AX98" i="2"/>
  <c r="BQ158" i="2"/>
  <c r="AV366" i="2"/>
  <c r="AW147" i="2"/>
  <c r="BQ356" i="2"/>
  <c r="BR45" i="2"/>
  <c r="AW246" i="2"/>
  <c r="AW266" i="2"/>
  <c r="BQ274" i="2"/>
  <c r="AQ186" i="2"/>
  <c r="AP378" i="2"/>
  <c r="AT84" i="2"/>
  <c r="AR104" i="2"/>
  <c r="AX427" i="2"/>
  <c r="AW390" i="2"/>
  <c r="AW338" i="2"/>
  <c r="BQ418" i="2"/>
  <c r="AV252" i="2"/>
  <c r="AV267" i="2"/>
  <c r="AV183" i="2"/>
  <c r="AX104" i="2"/>
  <c r="AW151" i="2"/>
  <c r="AW153" i="2"/>
  <c r="AX341" i="2"/>
  <c r="BR149" i="2"/>
  <c r="BS435" i="2"/>
  <c r="AN367" i="2"/>
  <c r="AN176" i="2"/>
  <c r="AW40" i="2"/>
  <c r="BR152" i="2"/>
  <c r="AX376" i="2"/>
  <c r="BQ349" i="2"/>
  <c r="BS389" i="2"/>
  <c r="AX338" i="2"/>
  <c r="AX405" i="2"/>
  <c r="AX138" i="2"/>
  <c r="BR396" i="2"/>
  <c r="AX329" i="2"/>
  <c r="AX428" i="2"/>
  <c r="AX129" i="2"/>
  <c r="BR184" i="2"/>
  <c r="AS422" i="2"/>
  <c r="AS242" i="2"/>
  <c r="AT262" i="2"/>
  <c r="AU238" i="2"/>
  <c r="AV263" i="2"/>
  <c r="BQ155" i="2"/>
  <c r="BQ78" i="2"/>
  <c r="BS238" i="2"/>
  <c r="AX39" i="2"/>
  <c r="AW190" i="2"/>
  <c r="AX450" i="2"/>
  <c r="BR201" i="2"/>
  <c r="BR372" i="2"/>
  <c r="BQ69" i="2"/>
  <c r="BQ281" i="2"/>
  <c r="AN30" i="2"/>
  <c r="AT104" i="2"/>
  <c r="AU404" i="2"/>
  <c r="J133" i="6"/>
  <c r="AR230" i="2"/>
  <c r="AX330" i="2"/>
  <c r="AR406" i="2"/>
  <c r="AX227" i="2"/>
  <c r="AX192" i="2"/>
  <c r="BR359" i="2"/>
  <c r="AU76" i="2"/>
  <c r="BQ341" i="2"/>
  <c r="BQ378" i="2"/>
  <c r="BS434" i="2"/>
  <c r="AU194" i="2"/>
  <c r="BQ116" i="2"/>
  <c r="BQ41" i="2"/>
  <c r="BS73" i="2"/>
  <c r="CG63" i="2"/>
  <c r="AO61" i="2"/>
  <c r="AR397" i="2"/>
  <c r="AO404" i="2"/>
  <c r="BS52" i="2"/>
  <c r="BQ188" i="2"/>
  <c r="BQ113" i="2"/>
  <c r="BS145" i="2"/>
  <c r="BQ405" i="2"/>
  <c r="AX193" i="2"/>
  <c r="BQ375" i="2"/>
  <c r="BR38" i="2"/>
  <c r="BR87" i="2"/>
  <c r="BQ95" i="2"/>
  <c r="BR418" i="2"/>
  <c r="BT220" i="2"/>
  <c r="G220" i="6"/>
  <c r="AP229" i="2"/>
  <c r="BQ323" i="2"/>
  <c r="AT307" i="2"/>
  <c r="BQ434" i="2"/>
  <c r="BQ31" i="2"/>
  <c r="AO192" i="2"/>
  <c r="AW455" i="2"/>
  <c r="BR428" i="2"/>
  <c r="BR258" i="2"/>
  <c r="BT273" i="2"/>
  <c r="AW101" i="2"/>
  <c r="BR89" i="2"/>
  <c r="BR221" i="2"/>
  <c r="BT96" i="2"/>
  <c r="AS350" i="2"/>
  <c r="AO19" i="2"/>
  <c r="AS438" i="2"/>
  <c r="AS308" i="2"/>
  <c r="CG353" i="2"/>
  <c r="BR161" i="2"/>
  <c r="BR31" i="2"/>
  <c r="AU356" i="2"/>
  <c r="BR443" i="2"/>
  <c r="BQ33" i="2"/>
  <c r="BR67" i="2"/>
  <c r="BT445" i="2"/>
  <c r="BT308" i="2"/>
  <c r="BR166" i="2"/>
  <c r="BS340" i="2"/>
  <c r="AT326" i="2"/>
  <c r="AV290" i="2"/>
  <c r="AV383" i="2"/>
  <c r="AU117" i="2"/>
  <c r="AW341" i="2"/>
  <c r="BQ175" i="2"/>
  <c r="BQ77" i="2"/>
  <c r="AT192" i="2"/>
  <c r="BS15" i="2"/>
  <c r="BR311" i="2"/>
  <c r="CH196" i="2"/>
  <c r="AS283" i="2"/>
  <c r="AU21" i="2"/>
  <c r="CH91" i="2"/>
  <c r="CI92" i="2"/>
  <c r="AP456" i="2"/>
  <c r="AU30" i="2"/>
  <c r="AX169" i="2"/>
  <c r="CI325" i="2"/>
  <c r="AP232" i="2"/>
  <c r="AX179" i="2"/>
  <c r="CH164" i="2"/>
  <c r="CH144" i="2"/>
  <c r="BG316" i="2"/>
  <c r="AU293" i="2"/>
  <c r="BS264" i="2"/>
  <c r="BH380" i="2"/>
  <c r="AT186" i="2"/>
  <c r="BQ455" i="2"/>
  <c r="AX465" i="2"/>
  <c r="BG160" i="2"/>
  <c r="BH62" i="2"/>
  <c r="BS450" i="2"/>
  <c r="CH221" i="2"/>
  <c r="BG403" i="2"/>
  <c r="BT133" i="2"/>
  <c r="AX457" i="2"/>
  <c r="BR404" i="2"/>
  <c r="BR71" i="2"/>
  <c r="BQ215" i="2"/>
  <c r="BT399" i="2"/>
  <c r="CH238" i="2"/>
  <c r="CI136" i="2"/>
  <c r="AV113" i="2"/>
  <c r="CH183" i="2"/>
  <c r="CI254" i="2"/>
  <c r="AT206" i="2"/>
  <c r="CG279" i="2"/>
  <c r="BT74" i="2"/>
  <c r="CI40" i="2"/>
  <c r="CI79" i="2"/>
  <c r="AT53" i="2"/>
  <c r="CH206" i="2"/>
  <c r="AW42" i="2"/>
  <c r="BT315" i="2"/>
  <c r="BH219" i="2"/>
  <c r="BR197" i="2"/>
  <c r="AU119" i="2"/>
  <c r="BR66" i="2"/>
  <c r="AU131" i="2"/>
  <c r="AU231" i="2"/>
  <c r="BR324" i="2"/>
  <c r="AN224" i="2"/>
  <c r="BQ263" i="2"/>
  <c r="AX10" i="2"/>
  <c r="AW439" i="2"/>
  <c r="AW205" i="2"/>
  <c r="AM242" i="2"/>
  <c r="AN234" i="2"/>
  <c r="AO209" i="2"/>
  <c r="BS409" i="2"/>
  <c r="CI257" i="2"/>
  <c r="CI105" i="2"/>
  <c r="AR32" i="2"/>
  <c r="AX203" i="2"/>
  <c r="AT443" i="2"/>
  <c r="AU168" i="2"/>
  <c r="AR254" i="2"/>
  <c r="CH374" i="2"/>
  <c r="BS428" i="2"/>
  <c r="AV448" i="2"/>
  <c r="CG168" i="2"/>
  <c r="AT207" i="2"/>
  <c r="I55" i="5"/>
  <c r="AP214" i="2"/>
  <c r="AV228" i="2"/>
  <c r="AX29" i="2"/>
  <c r="BQ320" i="2"/>
  <c r="CG228" i="2"/>
  <c r="AQ166" i="2"/>
  <c r="AO352" i="2"/>
  <c r="AT240" i="2"/>
  <c r="AV391" i="2"/>
  <c r="AO16" i="2"/>
  <c r="CG202" i="2"/>
  <c r="AT182" i="2"/>
  <c r="AV310" i="2"/>
  <c r="AU145" i="2"/>
  <c r="AT86" i="2"/>
  <c r="AU19" i="2"/>
  <c r="AW452" i="2"/>
  <c r="AM416" i="2"/>
  <c r="AO200" i="2"/>
  <c r="AT335" i="2"/>
  <c r="AV127" i="2"/>
  <c r="AW200" i="2"/>
  <c r="AU45" i="2"/>
  <c r="AU401" i="2"/>
  <c r="AW97" i="2"/>
  <c r="BQ195" i="2"/>
  <c r="AV74" i="2"/>
  <c r="AV302" i="2"/>
  <c r="AW150" i="2"/>
  <c r="AM286" i="2"/>
  <c r="AR413" i="2"/>
  <c r="AV9" i="2"/>
  <c r="BQ87" i="2"/>
  <c r="AW297" i="2"/>
  <c r="AX255" i="2"/>
  <c r="BQ86" i="2"/>
  <c r="AV430" i="2"/>
  <c r="AV294" i="2"/>
  <c r="AW75" i="2"/>
  <c r="BQ339" i="2"/>
  <c r="AW374" i="2"/>
  <c r="AW405" i="2"/>
  <c r="AW194" i="2"/>
  <c r="BQ170" i="2"/>
  <c r="AO41" i="2"/>
  <c r="CG243" i="2"/>
  <c r="AT179" i="2"/>
  <c r="AT258" i="2"/>
  <c r="CG115" i="2"/>
  <c r="AX274" i="2"/>
  <c r="AX375" i="2"/>
  <c r="BR260" i="2"/>
  <c r="AW176" i="2"/>
  <c r="AV31" i="2"/>
  <c r="AW28" i="2"/>
  <c r="BQ244" i="2"/>
  <c r="AX38" i="2"/>
  <c r="AX205" i="2"/>
  <c r="AX449" i="2"/>
  <c r="BR449" i="2"/>
  <c r="AP298" i="2"/>
  <c r="AM274" i="2"/>
  <c r="AS282" i="2"/>
  <c r="AX314" i="2"/>
  <c r="AV144" i="2"/>
  <c r="BR420" i="2"/>
  <c r="BR320" i="2"/>
  <c r="BT412" i="2"/>
  <c r="BQ123" i="2"/>
  <c r="AX451" i="2"/>
  <c r="AX222" i="2"/>
  <c r="BR350" i="2"/>
  <c r="BQ91" i="2"/>
  <c r="AX435" i="2"/>
  <c r="BQ278" i="2"/>
  <c r="BS358" i="2"/>
  <c r="BS306" i="2"/>
  <c r="BS63" i="2"/>
  <c r="AU394" i="2"/>
  <c r="AU113" i="2"/>
  <c r="BR153" i="2"/>
  <c r="BQ362" i="2"/>
  <c r="BQ6" i="2"/>
  <c r="BS134" i="2"/>
  <c r="BQ307" i="2"/>
  <c r="AX177" i="2"/>
  <c r="E253" i="6"/>
  <c r="B350" i="6"/>
  <c r="BR176" i="2"/>
  <c r="BQ71" i="2"/>
  <c r="C53" i="5"/>
  <c r="AW98" i="2"/>
  <c r="AV35" i="2"/>
  <c r="AT366" i="2"/>
  <c r="AQ289" i="2"/>
  <c r="AP142" i="2"/>
  <c r="AX414" i="2"/>
  <c r="BT413" i="2"/>
  <c r="BQ400" i="2"/>
  <c r="BR29" i="2"/>
  <c r="AS246" i="2"/>
  <c r="BQ238" i="2"/>
  <c r="BQ269" i="2"/>
  <c r="BQ234" i="2"/>
  <c r="BS282" i="2"/>
  <c r="BR269" i="2"/>
  <c r="BQ44" i="2"/>
  <c r="BQ336" i="2"/>
  <c r="BS436" i="2"/>
  <c r="AT181" i="2"/>
  <c r="AT425" i="2"/>
  <c r="AV461" i="2"/>
  <c r="AV212" i="2"/>
  <c r="AW361" i="2"/>
  <c r="BR115" i="2"/>
  <c r="BS381" i="2"/>
  <c r="CH349" i="2"/>
  <c r="BQ134" i="2"/>
  <c r="BQ398" i="2"/>
  <c r="BQ34" i="2"/>
  <c r="BS146" i="2"/>
  <c r="BS276" i="2"/>
  <c r="BR329" i="2"/>
  <c r="BR199" i="2"/>
  <c r="AX116" i="2"/>
  <c r="AR130" i="2"/>
  <c r="AR341" i="2"/>
  <c r="BR437" i="2"/>
  <c r="AU61" i="2"/>
  <c r="BR310" i="2"/>
  <c r="BS123" i="2"/>
  <c r="AU369" i="2"/>
  <c r="BS179" i="2"/>
  <c r="BR307" i="2"/>
  <c r="BR399" i="2"/>
  <c r="BT201" i="2"/>
  <c r="BS98" i="2"/>
  <c r="BR17" i="2"/>
  <c r="BR212" i="2"/>
  <c r="AO415" i="2"/>
  <c r="AT59" i="2"/>
  <c r="AU197" i="2"/>
  <c r="AW53" i="2"/>
  <c r="AW259" i="2"/>
  <c r="AX182" i="2"/>
  <c r="BS80" i="2"/>
  <c r="BT69" i="2"/>
  <c r="AU140" i="2"/>
  <c r="BS437" i="2"/>
  <c r="BR162" i="2"/>
  <c r="BR48" i="2"/>
  <c r="AQ106" i="2"/>
  <c r="BT259" i="2"/>
  <c r="BS354" i="2"/>
  <c r="BS87" i="2"/>
  <c r="AO182" i="2"/>
  <c r="AW429" i="2"/>
  <c r="AW218" i="2"/>
  <c r="BS445" i="2"/>
  <c r="AW417" i="2"/>
  <c r="BQ292" i="2"/>
  <c r="BQ153" i="2"/>
  <c r="AX264" i="2"/>
  <c r="AW140" i="2"/>
  <c r="BT9" i="2"/>
  <c r="CH344" i="2"/>
  <c r="AU155" i="2"/>
  <c r="BT322" i="2"/>
  <c r="CH231" i="2"/>
  <c r="CI377" i="2"/>
  <c r="AO137" i="2"/>
  <c r="AU461" i="2"/>
  <c r="CH248" i="2"/>
  <c r="CI129" i="2"/>
  <c r="CG126" i="2"/>
  <c r="BT384" i="2"/>
  <c r="CI398" i="2"/>
  <c r="AS34" i="2"/>
  <c r="BH292" i="2"/>
  <c r="AX352" i="2"/>
  <c r="BT117" i="2"/>
  <c r="BQ298" i="2"/>
  <c r="BT109" i="2"/>
  <c r="AO320" i="2"/>
  <c r="AX30" i="2"/>
  <c r="BH262" i="2"/>
  <c r="AV50" i="2"/>
  <c r="AW213" i="2"/>
  <c r="AS352" i="2"/>
  <c r="AX430" i="2"/>
  <c r="AV464" i="2"/>
  <c r="E310" i="6"/>
  <c r="AE427" i="2"/>
  <c r="AS240" i="2"/>
  <c r="BR227" i="2"/>
  <c r="CH289" i="2"/>
  <c r="CI203" i="2"/>
  <c r="AX11" i="2"/>
  <c r="AW60" i="2"/>
  <c r="CI332" i="2"/>
  <c r="CH236" i="2"/>
  <c r="BG238" i="2"/>
  <c r="BS244" i="2"/>
  <c r="CI107" i="2"/>
  <c r="BS398" i="2"/>
  <c r="N165" i="5"/>
  <c r="BT90" i="2"/>
  <c r="CI56" i="2"/>
  <c r="BR421" i="2"/>
  <c r="O67" i="5"/>
  <c r="BI122" i="2"/>
  <c r="AR355" i="2"/>
  <c r="AV152" i="2"/>
  <c r="BT7" i="2"/>
  <c r="CH148" i="2"/>
  <c r="B100" i="6"/>
  <c r="F169" i="5"/>
  <c r="AX150" i="2"/>
  <c r="CI141" i="2"/>
  <c r="BT223" i="2"/>
  <c r="AS134" i="2"/>
  <c r="AP307" i="2"/>
  <c r="AS304" i="2"/>
  <c r="AS63" i="2"/>
  <c r="AX318" i="2"/>
  <c r="AU314" i="2"/>
  <c r="AX242" i="2"/>
  <c r="BG365" i="2"/>
  <c r="BT162" i="2"/>
  <c r="BQ256" i="2"/>
  <c r="AV398" i="2"/>
  <c r="BG396" i="2"/>
  <c r="AT67" i="2"/>
  <c r="AU386" i="2"/>
  <c r="AU419" i="2"/>
  <c r="J14" i="5"/>
  <c r="AV396" i="2"/>
  <c r="AV119" i="2"/>
  <c r="BT80" i="2"/>
  <c r="P66" i="5"/>
  <c r="BQ168" i="2"/>
  <c r="BQ303" i="2"/>
  <c r="AO9" i="2"/>
  <c r="AW115" i="2"/>
  <c r="CH190" i="2"/>
  <c r="CI366" i="2"/>
  <c r="AS78" i="2"/>
  <c r="BR330" i="2"/>
  <c r="CI191" i="2"/>
  <c r="AV123" i="2"/>
  <c r="AR231" i="2"/>
  <c r="BQ355" i="2"/>
  <c r="CG374" i="2"/>
  <c r="BT342" i="2"/>
  <c r="AX62" i="2"/>
  <c r="AU366" i="2"/>
  <c r="AS197" i="2"/>
  <c r="AU86" i="2"/>
  <c r="AP379" i="2"/>
  <c r="BS85" i="2"/>
  <c r="AV307" i="2"/>
  <c r="B140" i="5"/>
  <c r="AO349" i="2"/>
  <c r="AP221" i="2"/>
  <c r="BQ208" i="2"/>
  <c r="AS165" i="2"/>
  <c r="AV96" i="2"/>
  <c r="AX290" i="2"/>
  <c r="AU120" i="2"/>
  <c r="AV124" i="2"/>
  <c r="AX372" i="2"/>
  <c r="AX281" i="2"/>
  <c r="AU87" i="2"/>
  <c r="AV291" i="2"/>
  <c r="AX99" i="2"/>
  <c r="AQ303" i="2"/>
  <c r="AQ314" i="2"/>
  <c r="AR439" i="2"/>
  <c r="AR122" i="2"/>
  <c r="AV71" i="2"/>
  <c r="AU303" i="2"/>
  <c r="AV332" i="2"/>
  <c r="AX211" i="2"/>
  <c r="AS194" i="2"/>
  <c r="AU376" i="2"/>
  <c r="AU217" i="2"/>
  <c r="AW25" i="2"/>
  <c r="AV27" i="2"/>
  <c r="AV452" i="2"/>
  <c r="AV230" i="2"/>
  <c r="BQ315" i="2"/>
  <c r="AQ155" i="2"/>
  <c r="CG186" i="2"/>
  <c r="AW291" i="2"/>
  <c r="AU204" i="2"/>
  <c r="AX46" i="2"/>
  <c r="BQ402" i="2"/>
  <c r="BS372" i="2"/>
  <c r="AX379" i="2"/>
  <c r="AW419" i="2"/>
  <c r="AW263" i="2"/>
  <c r="BQ16" i="2"/>
  <c r="AX266" i="2"/>
  <c r="AW58" i="2"/>
  <c r="AW126" i="2"/>
  <c r="BQ342" i="2"/>
  <c r="BR305" i="2"/>
  <c r="BR175" i="2"/>
  <c r="AO72" i="2"/>
  <c r="AS453" i="2"/>
  <c r="AX110" i="2"/>
  <c r="AX202" i="2"/>
  <c r="AX422" i="2"/>
  <c r="BR211" i="2"/>
  <c r="AX292" i="2"/>
  <c r="AW242" i="2"/>
  <c r="AW398" i="2"/>
  <c r="BQ391" i="2"/>
  <c r="BQ162" i="2"/>
  <c r="AX216" i="2"/>
  <c r="G38" i="6"/>
  <c r="AU121" i="2"/>
  <c r="AW457" i="2"/>
  <c r="AQ170" i="2"/>
  <c r="CG57" i="2"/>
  <c r="AO189" i="2"/>
  <c r="BS380" i="2"/>
  <c r="BR355" i="2"/>
  <c r="BR248" i="2"/>
  <c r="BT379" i="2"/>
  <c r="BQ415" i="2"/>
  <c r="BQ253" i="2"/>
  <c r="C352" i="6"/>
  <c r="J127" i="5"/>
  <c r="BR101" i="2"/>
  <c r="BQ28" i="2"/>
  <c r="E206" i="6"/>
  <c r="AS62" i="2"/>
  <c r="AS322" i="2"/>
  <c r="AU214" i="2"/>
  <c r="AW421" i="2"/>
  <c r="AW244" i="2"/>
  <c r="BR230" i="2"/>
  <c r="BR196" i="2"/>
  <c r="BR19" i="2"/>
  <c r="BT330" i="2"/>
  <c r="AP461" i="2"/>
  <c r="AT334" i="2"/>
  <c r="AO237" i="2"/>
  <c r="AO98" i="2"/>
  <c r="AO27" i="2"/>
  <c r="AS305" i="2"/>
  <c r="AS26" i="2"/>
  <c r="BS461" i="2"/>
  <c r="AW184" i="2"/>
  <c r="AU35" i="2"/>
  <c r="AP173" i="2"/>
  <c r="AO359" i="2"/>
  <c r="BQ275" i="2"/>
  <c r="AX124" i="2"/>
  <c r="BS284" i="2"/>
  <c r="BS137" i="2"/>
  <c r="AT285" i="2"/>
  <c r="BR376" i="2"/>
  <c r="BQ345" i="2"/>
  <c r="BR76" i="2"/>
  <c r="BT407" i="2"/>
  <c r="BR75" i="2"/>
  <c r="BQ144" i="2"/>
  <c r="BR98" i="2"/>
  <c r="D114" i="6"/>
  <c r="J100" i="5"/>
  <c r="AS303" i="2"/>
  <c r="AV368" i="2"/>
  <c r="AV63" i="2"/>
  <c r="BS376" i="2"/>
  <c r="BR463" i="2"/>
  <c r="BS309" i="2"/>
  <c r="AS346" i="2"/>
  <c r="BR348" i="2"/>
  <c r="BQ17" i="2"/>
  <c r="K339" i="5"/>
  <c r="N146" i="5"/>
  <c r="AD20" i="2"/>
  <c r="D372" i="6"/>
  <c r="AQ304" i="2"/>
  <c r="AV371" i="2"/>
  <c r="AR91" i="2"/>
  <c r="CG242" i="2"/>
  <c r="I17" i="6"/>
  <c r="BQ40" i="2"/>
  <c r="BT291" i="2"/>
  <c r="BT160" i="2"/>
  <c r="AU375" i="2"/>
  <c r="BS193" i="2"/>
  <c r="BR263" i="2"/>
  <c r="BS109" i="2"/>
  <c r="AT127" i="2"/>
  <c r="BS72" i="2"/>
  <c r="BR322" i="2"/>
  <c r="BS371" i="2"/>
  <c r="AP82" i="2"/>
  <c r="AU227" i="2"/>
  <c r="AU8" i="2"/>
  <c r="AW8" i="2"/>
  <c r="AW230" i="2"/>
  <c r="CH29" i="2"/>
  <c r="BS8" i="2"/>
  <c r="BT396" i="2"/>
  <c r="AU280" i="2"/>
  <c r="J241" i="6"/>
  <c r="G289" i="6"/>
  <c r="AP282" i="2"/>
  <c r="AQ50" i="2"/>
  <c r="I29" i="5"/>
  <c r="AN173" i="2"/>
  <c r="AR457" i="2"/>
  <c r="BR236" i="2"/>
  <c r="AX337" i="2"/>
  <c r="AW56" i="2"/>
  <c r="AT63" i="2"/>
  <c r="AX348" i="2"/>
  <c r="BR234" i="2"/>
  <c r="AT28" i="2"/>
  <c r="BQ67" i="2"/>
  <c r="BS361" i="2"/>
  <c r="CH372" i="2"/>
  <c r="BT245" i="2"/>
  <c r="AV69" i="2"/>
  <c r="CH266" i="2"/>
  <c r="CI173" i="2"/>
  <c r="G109" i="5"/>
  <c r="BR156" i="2"/>
  <c r="CH276" i="2"/>
  <c r="CI276" i="2"/>
  <c r="BR228" i="2"/>
  <c r="BS75" i="2"/>
  <c r="CI50" i="2"/>
  <c r="CH342" i="2"/>
  <c r="J202" i="5"/>
  <c r="BI19" i="2"/>
  <c r="AQ63" i="2"/>
  <c r="AV269" i="2"/>
  <c r="BS120" i="2"/>
  <c r="BQ192" i="2"/>
  <c r="AW416" i="2"/>
  <c r="BQ273" i="2"/>
  <c r="AT417" i="2"/>
  <c r="CH371" i="2"/>
  <c r="BR432" i="2"/>
  <c r="AU316" i="2"/>
  <c r="AO113" i="2"/>
  <c r="BQ54" i="2"/>
  <c r="CG405" i="2"/>
  <c r="CG299" i="2"/>
  <c r="AW90" i="2"/>
  <c r="CG358" i="2"/>
  <c r="CH15" i="2"/>
  <c r="BG75" i="2"/>
  <c r="BR109" i="2"/>
  <c r="AX120" i="2"/>
  <c r="CI223" i="2"/>
  <c r="J267" i="5"/>
  <c r="CG205" i="2"/>
  <c r="AO64" i="2"/>
  <c r="CI463" i="2"/>
  <c r="L65" i="5"/>
  <c r="AT297" i="2"/>
  <c r="AU169" i="2"/>
  <c r="AV249" i="2"/>
  <c r="P39" i="5"/>
  <c r="AX132" i="2"/>
  <c r="AX418" i="2"/>
  <c r="AR333" i="2"/>
  <c r="BT314" i="2"/>
  <c r="BT304" i="2"/>
  <c r="CH287" i="2"/>
  <c r="AR105" i="2"/>
  <c r="AW306" i="2"/>
  <c r="CH64" i="2"/>
  <c r="CI247" i="2"/>
  <c r="AN80" i="2"/>
  <c r="AU318" i="2"/>
  <c r="AO97" i="2"/>
  <c r="AW272" i="2"/>
  <c r="AW111" i="2"/>
  <c r="AU142" i="2"/>
  <c r="AU242" i="2"/>
  <c r="BG98" i="2"/>
  <c r="BH185" i="2"/>
  <c r="BQ221" i="2"/>
  <c r="BT206" i="2"/>
  <c r="AR434" i="2"/>
  <c r="AX137" i="2"/>
  <c r="AO230" i="2"/>
  <c r="AV465" i="2"/>
  <c r="CG180" i="2"/>
  <c r="AO266" i="2"/>
  <c r="AV424" i="2"/>
  <c r="AN185" i="2"/>
  <c r="AS424" i="2"/>
  <c r="BR303" i="2"/>
  <c r="AS326" i="2"/>
  <c r="AT250" i="2"/>
  <c r="AW35" i="2"/>
  <c r="AU355" i="2"/>
  <c r="AU48" i="2"/>
  <c r="AV52" i="2"/>
  <c r="AX300" i="2"/>
  <c r="AU122" i="2"/>
  <c r="AU390" i="2"/>
  <c r="AV450" i="2"/>
  <c r="AX27" i="2"/>
  <c r="AQ384" i="2"/>
  <c r="AO402" i="2"/>
  <c r="AS77" i="2"/>
  <c r="AS163" i="2"/>
  <c r="BR400" i="2"/>
  <c r="AW211" i="2"/>
  <c r="AW120" i="2"/>
  <c r="BQ360" i="2"/>
  <c r="AV145" i="2"/>
  <c r="AU81" i="2"/>
  <c r="AV37" i="2"/>
  <c r="AX77" i="2"/>
  <c r="AW79" i="2"/>
  <c r="AV94" i="2"/>
  <c r="AW299" i="2"/>
  <c r="AV413" i="2"/>
  <c r="AN339" i="2"/>
  <c r="AO228" i="2"/>
  <c r="AO244" i="2"/>
  <c r="BQ169" i="2"/>
  <c r="BQ376" i="2"/>
  <c r="BQ258" i="2"/>
  <c r="BS283" i="2"/>
  <c r="AX96" i="2"/>
  <c r="AX389" i="2"/>
  <c r="AX122" i="2"/>
  <c r="BR316" i="2"/>
  <c r="AX350" i="2"/>
  <c r="AX412" i="2"/>
  <c r="AX113" i="2"/>
  <c r="CG23" i="2"/>
  <c r="BR190" i="2"/>
  <c r="BS460" i="2"/>
  <c r="AU422" i="2"/>
  <c r="AV253" i="2"/>
  <c r="BQ311" i="2"/>
  <c r="AX286" i="2"/>
  <c r="BQ19" i="2"/>
  <c r="BS227" i="2"/>
  <c r="AN180" i="2"/>
  <c r="AS94" i="2"/>
  <c r="CG285" i="2"/>
  <c r="CG244" i="2"/>
  <c r="AO125" i="2"/>
  <c r="AR282" i="2"/>
  <c r="AO106" i="2"/>
  <c r="BQ211" i="2"/>
  <c r="AK415" i="2"/>
  <c r="AQ397" i="2"/>
  <c r="AS73" i="2"/>
  <c r="AT456" i="2"/>
  <c r="BS26" i="2"/>
  <c r="BR112" i="2"/>
  <c r="BS279" i="2"/>
  <c r="AT420" i="2"/>
  <c r="AQ64" i="2"/>
  <c r="AT403" i="2"/>
  <c r="CG113" i="2"/>
  <c r="CG95" i="2"/>
  <c r="AO36" i="2"/>
  <c r="AR297" i="2"/>
  <c r="CG175" i="2"/>
  <c r="AX63" i="2"/>
  <c r="AV373" i="2"/>
  <c r="AV10" i="2"/>
  <c r="AX146" i="2"/>
  <c r="AX73" i="2"/>
  <c r="D10" i="6"/>
  <c r="E208" i="6"/>
  <c r="AN51" i="2"/>
  <c r="AP417" i="2"/>
  <c r="AT450" i="2"/>
  <c r="AR110" i="2"/>
  <c r="AV51" i="2"/>
  <c r="AV98" i="2"/>
  <c r="AU261" i="2"/>
  <c r="AU210" i="2"/>
  <c r="AW313" i="2"/>
  <c r="AW14" i="2"/>
  <c r="AW112" i="2"/>
  <c r="AS299" i="2"/>
  <c r="AR249" i="2"/>
  <c r="AS312" i="2"/>
  <c r="AO91" i="2"/>
  <c r="BT465" i="2"/>
  <c r="BS212" i="2"/>
  <c r="BS65" i="2"/>
  <c r="AU157" i="2"/>
  <c r="BR30" i="2"/>
  <c r="J10" i="6"/>
  <c r="AP354" i="2"/>
  <c r="AQ290" i="2"/>
  <c r="BS237" i="2"/>
  <c r="J48" i="6"/>
  <c r="AQ376" i="2"/>
  <c r="AV288" i="2"/>
  <c r="AU192" i="2"/>
  <c r="AV196" i="2"/>
  <c r="AX444" i="2"/>
  <c r="AX107" i="2"/>
  <c r="BT446" i="2"/>
  <c r="BS173" i="2"/>
  <c r="BS377" i="2"/>
  <c r="AU84" i="2"/>
  <c r="AQ199" i="2"/>
  <c r="AS86" i="2"/>
  <c r="AS43" i="2"/>
  <c r="AS425" i="2"/>
  <c r="AO290" i="2"/>
  <c r="CG195" i="2"/>
  <c r="AT320" i="2"/>
  <c r="H79" i="6"/>
  <c r="AN203" i="2"/>
  <c r="AO218" i="2"/>
  <c r="AO312" i="2"/>
  <c r="AT176" i="2"/>
  <c r="BT75" i="2"/>
  <c r="AR63" i="2"/>
  <c r="AV75" i="2"/>
  <c r="AM168" i="2"/>
  <c r="F287" i="6"/>
  <c r="AP366" i="2"/>
  <c r="AR53" i="2"/>
  <c r="AN300" i="2"/>
  <c r="AN461" i="2"/>
  <c r="AR446" i="2"/>
  <c r="AX268" i="2"/>
  <c r="AV446" i="2"/>
  <c r="AW227" i="2"/>
  <c r="BQ60" i="2"/>
  <c r="BQ290" i="2"/>
  <c r="AT165" i="2"/>
  <c r="BT148" i="2"/>
  <c r="AO96" i="2"/>
  <c r="AV370" i="2"/>
  <c r="AR126" i="2"/>
  <c r="AO10" i="2"/>
  <c r="AT433" i="2"/>
  <c r="AT256" i="2"/>
  <c r="AS171" i="2"/>
  <c r="AS191" i="2"/>
  <c r="AO300" i="2"/>
  <c r="AV289" i="2"/>
  <c r="BQ142" i="2"/>
  <c r="AS278" i="2"/>
  <c r="AW96" i="2"/>
  <c r="AS93" i="2"/>
  <c r="AS184" i="2"/>
  <c r="AU46" i="2"/>
  <c r="BR283" i="2"/>
  <c r="BT289" i="2"/>
  <c r="BG150" i="2"/>
  <c r="AX327" i="2"/>
  <c r="AW41" i="2"/>
  <c r="CH96" i="2"/>
  <c r="M168" i="5"/>
  <c r="AT203" i="2"/>
  <c r="BR231" i="2"/>
  <c r="CH415" i="2"/>
  <c r="CI305" i="2"/>
  <c r="CG338" i="2"/>
  <c r="CG54" i="2"/>
  <c r="CI439" i="2"/>
  <c r="J77" i="5"/>
  <c r="AW121" i="2"/>
  <c r="AW80" i="2"/>
  <c r="AT308" i="2"/>
  <c r="BS219" i="2"/>
  <c r="AV451" i="2"/>
  <c r="BT300" i="2"/>
  <c r="AT336" i="2"/>
  <c r="BS204" i="2"/>
  <c r="BT172" i="2"/>
  <c r="CH112" i="2"/>
  <c r="AP337" i="2"/>
  <c r="AX190" i="2"/>
  <c r="BS406" i="2"/>
  <c r="AP275" i="2"/>
  <c r="AV241" i="2"/>
  <c r="AV32" i="2"/>
  <c r="AO56" i="2"/>
  <c r="CG156" i="2"/>
  <c r="BG275" i="2"/>
  <c r="BH282" i="2"/>
  <c r="AW105" i="2"/>
  <c r="BR178" i="2"/>
  <c r="C298" i="5"/>
  <c r="BH301" i="2"/>
  <c r="BQ203" i="2"/>
  <c r="AU199" i="2"/>
  <c r="CH16" i="2"/>
  <c r="BG162" i="2"/>
  <c r="BS452" i="2"/>
  <c r="AW221" i="2"/>
  <c r="P235" i="5"/>
  <c r="BG357" i="2"/>
  <c r="BT313" i="2"/>
  <c r="BT249" i="2"/>
  <c r="BQ76" i="2"/>
  <c r="BS25" i="2"/>
  <c r="CH322" i="2"/>
  <c r="CI324" i="2"/>
  <c r="AV333" i="2"/>
  <c r="CH92" i="2"/>
  <c r="CI435" i="2"/>
  <c r="BT196" i="2"/>
  <c r="CG187" i="2"/>
  <c r="AW409" i="2"/>
  <c r="BT402" i="2"/>
  <c r="AX51" i="2"/>
  <c r="AX34" i="2"/>
  <c r="AX294" i="2"/>
  <c r="AV357" i="2"/>
  <c r="BH385" i="2"/>
  <c r="BT325" i="2"/>
  <c r="AS261" i="2"/>
  <c r="BS395" i="2"/>
  <c r="BH464" i="2"/>
  <c r="BQ456" i="2"/>
  <c r="AW463" i="2"/>
  <c r="AV38" i="2"/>
  <c r="BG185" i="2"/>
  <c r="BH319" i="2"/>
  <c r="BQ178" i="2"/>
  <c r="AX172" i="2"/>
  <c r="BG288" i="2"/>
  <c r="BH190" i="2"/>
  <c r="CH120" i="2"/>
  <c r="AE443" i="2"/>
  <c r="BS375" i="2"/>
  <c r="AV246" i="2"/>
  <c r="BS84" i="2"/>
  <c r="BR342" i="2"/>
  <c r="BR11" i="2"/>
  <c r="AX142" i="2"/>
  <c r="AU436" i="2"/>
  <c r="CH363" i="2"/>
  <c r="BI105" i="2"/>
  <c r="AU203" i="2"/>
  <c r="BR13" i="2"/>
  <c r="AE84" i="2"/>
  <c r="BQ387" i="2"/>
  <c r="K317" i="5"/>
  <c r="AU428" i="2"/>
  <c r="BR244" i="2"/>
  <c r="AX326" i="2"/>
  <c r="AV171" i="2"/>
  <c r="BQ194" i="2"/>
  <c r="BQ377" i="2"/>
  <c r="BR403" i="2"/>
  <c r="AW348" i="2"/>
  <c r="BH248" i="2"/>
  <c r="BT253" i="2"/>
  <c r="AV109" i="2"/>
  <c r="BT458" i="2"/>
  <c r="BH60" i="2"/>
  <c r="BR233" i="2"/>
  <c r="BQ363" i="2"/>
  <c r="AX149" i="2"/>
  <c r="BG352" i="2"/>
  <c r="BH254" i="2"/>
  <c r="BR46" i="2"/>
  <c r="BQ27" i="2"/>
  <c r="BG239" i="2"/>
  <c r="CG404" i="2"/>
  <c r="CI263" i="2"/>
  <c r="CG172" i="2"/>
  <c r="AT422" i="2"/>
  <c r="AU171" i="2"/>
  <c r="O103" i="5"/>
  <c r="AO373" i="2"/>
  <c r="AX254" i="2"/>
  <c r="AX148" i="2"/>
  <c r="BT177" i="2"/>
  <c r="BG70" i="2"/>
  <c r="AS292" i="2"/>
  <c r="AS18" i="2"/>
  <c r="BR452" i="2"/>
  <c r="CG79" i="2"/>
  <c r="AT413" i="2"/>
  <c r="AV86" i="2"/>
  <c r="AX214" i="2"/>
  <c r="BQ261" i="2"/>
  <c r="BS124" i="2"/>
  <c r="BS230" i="2"/>
  <c r="AU9" i="2"/>
  <c r="AX371" i="2"/>
  <c r="BR142" i="2"/>
  <c r="AU435" i="2"/>
  <c r="BQ89" i="2"/>
  <c r="I51" i="5"/>
  <c r="AX22" i="2"/>
  <c r="AW342" i="2"/>
  <c r="BR222" i="2"/>
  <c r="AT202" i="2"/>
  <c r="BR214" i="2"/>
  <c r="BQ212" i="2"/>
  <c r="BS205" i="2"/>
  <c r="AW108" i="2"/>
  <c r="E17" i="5"/>
  <c r="BG338" i="2"/>
  <c r="AV126" i="2"/>
  <c r="BS314" i="2"/>
  <c r="CH339" i="2"/>
  <c r="BG267" i="2"/>
  <c r="AW436" i="2"/>
  <c r="AW180" i="2"/>
  <c r="CH60" i="2"/>
  <c r="L179" i="5"/>
  <c r="AU247" i="2"/>
  <c r="AR68" i="2"/>
  <c r="BQ432" i="2"/>
  <c r="AM117" i="2"/>
  <c r="AO128" i="2"/>
  <c r="AT222" i="2"/>
  <c r="BQ107" i="2"/>
  <c r="BH70" i="2"/>
  <c r="AX223" i="2"/>
  <c r="BQ414" i="2"/>
  <c r="AV172" i="2"/>
  <c r="BH321" i="2"/>
  <c r="AO426" i="2"/>
  <c r="BT228" i="2"/>
  <c r="BR273" i="2"/>
  <c r="BH437" i="2"/>
  <c r="CG210" i="2"/>
  <c r="AU359" i="2"/>
  <c r="BS385" i="2"/>
  <c r="BH444" i="2"/>
  <c r="BS286" i="2"/>
  <c r="BT16" i="2"/>
  <c r="AV177" i="2"/>
  <c r="AV182" i="2"/>
  <c r="BT118" i="2"/>
  <c r="AF112" i="2"/>
  <c r="AP448" i="2"/>
  <c r="BS141" i="2"/>
  <c r="CI364" i="2"/>
  <c r="BQ84" i="2"/>
  <c r="AV304" i="2"/>
  <c r="AV456" i="2"/>
  <c r="CI381" i="2"/>
  <c r="AQ185" i="2"/>
  <c r="BR364" i="2"/>
  <c r="AU211" i="2"/>
  <c r="AU450" i="2"/>
  <c r="AV122" i="2"/>
  <c r="BR368" i="2"/>
  <c r="AO219" i="2"/>
  <c r="BR360" i="2"/>
  <c r="BR120" i="2"/>
  <c r="AW195" i="2"/>
  <c r="BH184" i="2"/>
  <c r="AT40" i="2"/>
  <c r="AT79" i="2"/>
  <c r="BS250" i="2"/>
  <c r="BH311" i="2"/>
  <c r="BR412" i="2"/>
  <c r="AV401" i="2"/>
  <c r="BT73" i="2"/>
  <c r="BH371" i="2"/>
  <c r="AU309" i="2"/>
  <c r="CI448" i="2"/>
  <c r="AX71" i="2"/>
  <c r="AX293" i="2"/>
  <c r="CI237" i="2"/>
  <c r="G139" i="5"/>
  <c r="CG190" i="2"/>
  <c r="AT191" i="2"/>
  <c r="BS169" i="2"/>
  <c r="P132" i="5"/>
  <c r="AK282" i="2"/>
  <c r="AW158" i="2"/>
  <c r="AX331" i="2"/>
  <c r="AU406" i="2"/>
  <c r="AW446" i="2"/>
  <c r="AX285" i="2"/>
  <c r="AM65" i="2"/>
  <c r="CG77" i="2"/>
  <c r="BS324" i="2"/>
  <c r="AU60" i="2"/>
  <c r="AW197" i="2"/>
  <c r="BQ262" i="2"/>
  <c r="BR259" i="2"/>
  <c r="BS302" i="2"/>
  <c r="BQ272" i="2"/>
  <c r="AT378" i="2"/>
  <c r="AW94" i="2"/>
  <c r="CH461" i="2"/>
  <c r="BS82" i="2"/>
  <c r="AV351" i="2"/>
  <c r="BR136" i="2"/>
  <c r="BT77" i="2"/>
  <c r="CI404" i="2"/>
  <c r="AX380" i="2"/>
  <c r="BR128" i="2"/>
  <c r="P238" i="5"/>
  <c r="BH109" i="2"/>
  <c r="BS410" i="2"/>
  <c r="AW443" i="2"/>
  <c r="F15" i="5"/>
  <c r="BG106" i="2"/>
  <c r="AU330" i="2"/>
  <c r="BR200" i="2"/>
  <c r="BS150" i="2"/>
  <c r="BG76" i="2"/>
  <c r="BR361" i="2"/>
  <c r="CI264" i="2"/>
  <c r="BQ295" i="2"/>
  <c r="BQ65" i="2"/>
  <c r="BT33" i="2"/>
  <c r="CH351" i="2"/>
  <c r="CI241" i="2"/>
  <c r="BI391" i="2"/>
  <c r="BH330" i="2"/>
  <c r="AO229" i="2"/>
  <c r="AX224" i="2"/>
  <c r="BH165" i="2"/>
  <c r="BG205" i="2"/>
  <c r="CH82" i="2"/>
  <c r="AV168" i="2"/>
  <c r="CI365" i="2"/>
  <c r="BI457" i="2"/>
  <c r="BH344" i="2"/>
  <c r="AW235" i="2"/>
  <c r="BR276" i="2"/>
  <c r="BI396" i="2"/>
  <c r="CI154" i="2"/>
  <c r="BG381" i="2"/>
  <c r="BH276" i="2"/>
  <c r="BI229" i="2"/>
  <c r="BJ397" i="2"/>
  <c r="BH170" i="2"/>
  <c r="BH283" i="2"/>
  <c r="AP148" i="2"/>
  <c r="AN67" i="2"/>
  <c r="BG80" i="2"/>
  <c r="AU115" i="2"/>
  <c r="BR57" i="2"/>
  <c r="CH66" i="2"/>
  <c r="BS103" i="2"/>
  <c r="BH410" i="2"/>
  <c r="AQ423" i="2"/>
  <c r="BS465" i="2"/>
  <c r="BT251" i="2"/>
  <c r="CI455" i="2"/>
  <c r="BG157" i="2"/>
  <c r="CH75" i="2"/>
  <c r="BG115" i="2"/>
  <c r="BH366" i="2"/>
  <c r="BI421" i="2"/>
  <c r="BJ311" i="2"/>
  <c r="K319" i="5"/>
  <c r="BT355" i="2"/>
  <c r="CI236" i="2"/>
  <c r="BJ314" i="2"/>
  <c r="CH237" i="2"/>
  <c r="BG25" i="2"/>
  <c r="BH186" i="2"/>
  <c r="BI59" i="2"/>
  <c r="BQ46" i="2"/>
  <c r="BT378" i="2"/>
  <c r="CH73" i="2"/>
  <c r="K40" i="5"/>
  <c r="BJ86" i="2"/>
  <c r="BJ264" i="2"/>
  <c r="CH421" i="2"/>
  <c r="BG371" i="2"/>
  <c r="BH141" i="2"/>
  <c r="BH150" i="2"/>
  <c r="BI254" i="2"/>
  <c r="BQ444" i="2"/>
  <c r="BS31" i="2"/>
  <c r="BH313" i="2"/>
  <c r="AP15" i="2"/>
  <c r="BT110" i="2"/>
  <c r="CH255" i="2"/>
  <c r="AV377" i="2"/>
  <c r="BG60" i="2"/>
  <c r="CH42" i="2"/>
  <c r="BG126" i="2"/>
  <c r="BH395" i="2"/>
  <c r="BI428" i="2"/>
  <c r="BJ21" i="2"/>
  <c r="BS341" i="2"/>
  <c r="AV270" i="2"/>
  <c r="CH71" i="2"/>
  <c r="BJ9" i="2"/>
  <c r="CI18" i="2"/>
  <c r="BG192" i="2"/>
  <c r="BH89" i="2"/>
  <c r="BI162" i="2"/>
  <c r="CH387" i="2"/>
  <c r="BQ361" i="2"/>
  <c r="BS362" i="2"/>
  <c r="CI97" i="2"/>
  <c r="AO436" i="2"/>
  <c r="BG334" i="2"/>
  <c r="AX244" i="2"/>
  <c r="BG88" i="2"/>
  <c r="BQ296" i="2"/>
  <c r="AV29" i="2"/>
  <c r="CI34" i="2"/>
  <c r="BS139" i="2"/>
  <c r="BR279" i="2"/>
  <c r="BH245" i="2"/>
  <c r="BS260" i="2"/>
  <c r="AU277" i="2"/>
  <c r="BR327" i="2"/>
  <c r="AX54" i="2"/>
  <c r="BR182" i="2"/>
  <c r="BS325" i="2"/>
  <c r="AU290" i="2"/>
  <c r="AW255" i="2"/>
  <c r="AX424" i="2"/>
  <c r="CI323" i="2"/>
  <c r="BQ299" i="2"/>
  <c r="AS403" i="2"/>
  <c r="AV359" i="2"/>
  <c r="BT423" i="2"/>
  <c r="BT156" i="2"/>
  <c r="AX249" i="2"/>
  <c r="BH409" i="2"/>
  <c r="AT152" i="2"/>
  <c r="AU323" i="2"/>
  <c r="BQ287" i="2"/>
  <c r="AN392" i="2"/>
  <c r="BQ92" i="2"/>
  <c r="BT331" i="2"/>
  <c r="BQ176" i="2"/>
  <c r="AV117" i="2"/>
  <c r="G25" i="5"/>
  <c r="BG369" i="2"/>
  <c r="AU12" i="2"/>
  <c r="BR21" i="2"/>
  <c r="BS147" i="2"/>
  <c r="BG140" i="2"/>
  <c r="AT198" i="2"/>
  <c r="AV189" i="2"/>
  <c r="AX452" i="2"/>
  <c r="BS427" i="2"/>
  <c r="AS335" i="2"/>
  <c r="AT36" i="2"/>
  <c r="AS428" i="2"/>
  <c r="AU329" i="2"/>
  <c r="AW24" i="2"/>
  <c r="BT142" i="2"/>
  <c r="AM32" i="2"/>
  <c r="AT95" i="2"/>
  <c r="AW234" i="2"/>
  <c r="CH126" i="2"/>
  <c r="AX259" i="2"/>
  <c r="BR257" i="2"/>
  <c r="AW329" i="2"/>
  <c r="CH443" i="2"/>
  <c r="B141" i="6"/>
  <c r="AT183" i="2"/>
  <c r="BR424" i="2"/>
  <c r="CI38" i="2"/>
  <c r="P138" i="5"/>
  <c r="AX308" i="2"/>
  <c r="AW36" i="2"/>
  <c r="BG57" i="2"/>
  <c r="BH167" i="2"/>
  <c r="BS404" i="2"/>
  <c r="BT230" i="2"/>
  <c r="BG21" i="2"/>
  <c r="BH43" i="2"/>
  <c r="AU233" i="2"/>
  <c r="AX9" i="2"/>
  <c r="C23" i="5"/>
  <c r="BG359" i="2"/>
  <c r="BR27" i="2"/>
  <c r="AU216" i="2"/>
  <c r="BS292" i="2"/>
  <c r="AU225" i="2"/>
  <c r="AU399" i="2"/>
  <c r="AX197" i="2"/>
  <c r="BR68" i="2"/>
  <c r="AV178" i="2"/>
  <c r="CH26" i="2"/>
  <c r="AR409" i="2"/>
  <c r="AV431" i="2"/>
  <c r="BQ96" i="2"/>
  <c r="CH162" i="2"/>
  <c r="AV56" i="2"/>
  <c r="BR7" i="2"/>
  <c r="AS180" i="2"/>
  <c r="BR461" i="2"/>
  <c r="AX322" i="2"/>
  <c r="BT430" i="2"/>
  <c r="AX170" i="2"/>
  <c r="BT414" i="2"/>
  <c r="CH380" i="2"/>
  <c r="AU380" i="2"/>
  <c r="AX339" i="2"/>
  <c r="N134" i="5"/>
  <c r="BG24" i="2"/>
  <c r="AX403" i="2"/>
  <c r="AU301" i="2"/>
  <c r="CI369" i="2"/>
  <c r="BG90" i="2"/>
  <c r="BQ219" i="2"/>
  <c r="AX43" i="2"/>
  <c r="CI442" i="2"/>
  <c r="AW34" i="2"/>
  <c r="AT56" i="2"/>
  <c r="AV191" i="2"/>
  <c r="AV174" i="2"/>
  <c r="K151" i="5"/>
  <c r="O145" i="5"/>
  <c r="BQ8" i="2"/>
  <c r="CI409" i="2"/>
  <c r="AU73" i="2"/>
  <c r="AW118" i="2"/>
  <c r="BQ24" i="2"/>
  <c r="CI402" i="2"/>
  <c r="AX36" i="2"/>
  <c r="BS462" i="2"/>
  <c r="AW107" i="2"/>
  <c r="BS446" i="2"/>
  <c r="BQ206" i="2"/>
  <c r="AT455" i="2"/>
  <c r="BQ214" i="2"/>
  <c r="AN273" i="2"/>
  <c r="CI211" i="2"/>
  <c r="AV199" i="2"/>
  <c r="BQ114" i="2"/>
  <c r="G104" i="5"/>
  <c r="BG30" i="2"/>
  <c r="BQ327" i="2"/>
  <c r="AV339" i="2"/>
  <c r="L86" i="5"/>
  <c r="BG305" i="2"/>
  <c r="BS225" i="2"/>
  <c r="BQ186" i="2"/>
  <c r="BS348" i="2"/>
  <c r="AU262" i="2"/>
  <c r="AW302" i="2"/>
  <c r="AX213" i="2"/>
  <c r="AS297" i="2"/>
  <c r="BR127" i="2"/>
  <c r="CH108" i="2"/>
  <c r="BQ265" i="2"/>
  <c r="AT98" i="2"/>
  <c r="AV319" i="2"/>
  <c r="AX398" i="2"/>
  <c r="CH13" i="2"/>
  <c r="AP437" i="2"/>
  <c r="CG179" i="2"/>
  <c r="BT441" i="2"/>
  <c r="BT350" i="2"/>
  <c r="AQ37" i="2"/>
  <c r="AW229" i="2"/>
  <c r="BQ9" i="2"/>
  <c r="CI164" i="2"/>
  <c r="K328" i="5"/>
  <c r="BT209" i="2"/>
  <c r="BR56" i="2"/>
  <c r="BH309" i="2"/>
  <c r="AT169" i="2"/>
  <c r="AX35" i="2"/>
  <c r="AW315" i="2"/>
  <c r="BG374" i="2"/>
  <c r="BH103" i="2"/>
  <c r="BR147" i="2"/>
  <c r="BS78" i="2"/>
  <c r="BG276" i="2"/>
  <c r="BH52" i="2"/>
  <c r="AW172" i="2"/>
  <c r="BH179" i="2"/>
  <c r="AW267" i="2"/>
  <c r="BR297" i="2"/>
  <c r="CH386" i="2"/>
  <c r="CI37" i="2"/>
  <c r="AS458" i="2"/>
  <c r="AT399" i="2"/>
  <c r="BI206" i="2"/>
  <c r="BQ209" i="2"/>
  <c r="AW51" i="2"/>
  <c r="BJ148" i="2"/>
  <c r="BS318" i="2"/>
  <c r="CH46" i="2"/>
  <c r="BQ431" i="2"/>
  <c r="E241" i="5"/>
  <c r="BJ320" i="2"/>
  <c r="AO193" i="2"/>
  <c r="BT323" i="2"/>
  <c r="CI51" i="2"/>
  <c r="BJ457" i="2"/>
  <c r="BG445" i="2"/>
  <c r="BH130" i="2"/>
  <c r="AP424" i="2"/>
  <c r="AW373" i="2"/>
  <c r="CI7" i="2"/>
  <c r="BJ139" i="2"/>
  <c r="BI63" i="2"/>
  <c r="AX378" i="2"/>
  <c r="CI130" i="2"/>
  <c r="BJ37" i="2"/>
  <c r="BS7" i="2"/>
  <c r="CI60" i="2"/>
  <c r="CH207" i="2"/>
  <c r="CI335" i="2"/>
  <c r="BQ358" i="2"/>
  <c r="CG274" i="2"/>
  <c r="BR439" i="2"/>
  <c r="CI43" i="2"/>
  <c r="BT269" i="2"/>
  <c r="BH463" i="2"/>
  <c r="BG188" i="2"/>
  <c r="BH322" i="2"/>
  <c r="BI251" i="2"/>
  <c r="BJ221" i="2"/>
  <c r="BT86" i="2"/>
  <c r="AV271" i="2"/>
  <c r="BS60" i="2"/>
  <c r="CI392" i="2"/>
  <c r="BQ452" i="2"/>
  <c r="BG353" i="2"/>
  <c r="BH455" i="2"/>
  <c r="AV262" i="2"/>
  <c r="CI340" i="2"/>
  <c r="BT116" i="2"/>
  <c r="I76" i="5"/>
  <c r="BG427" i="2"/>
  <c r="BH197" i="2"/>
  <c r="BH357" i="2"/>
  <c r="AW44" i="2"/>
  <c r="BG77" i="2"/>
  <c r="BH147" i="2"/>
  <c r="BI180" i="2"/>
  <c r="BJ182" i="2"/>
  <c r="AS218" i="2"/>
  <c r="CI391" i="2"/>
  <c r="AW387" i="2"/>
  <c r="BR9" i="2"/>
  <c r="AS227" i="2"/>
  <c r="CH290" i="2"/>
  <c r="CI410" i="2"/>
  <c r="BQ437" i="2"/>
  <c r="BH36" i="2"/>
  <c r="BG123" i="2"/>
  <c r="BH225" i="2"/>
  <c r="G167" i="5"/>
  <c r="CG361" i="2"/>
  <c r="BG181" i="2"/>
  <c r="BT147" i="2"/>
  <c r="BQ191" i="2"/>
  <c r="BQ344" i="2"/>
  <c r="CH138" i="2"/>
  <c r="AU365" i="2"/>
  <c r="AX252" i="2"/>
  <c r="CI62" i="2"/>
  <c r="AX154" i="2"/>
  <c r="BR207" i="2"/>
  <c r="CG123" i="2"/>
  <c r="CH234" i="2"/>
  <c r="AS99" i="2"/>
  <c r="CG18" i="2"/>
  <c r="BR25" i="2"/>
  <c r="BT420" i="2"/>
  <c r="BT403" i="2"/>
  <c r="AS92" i="2"/>
  <c r="AU165" i="2"/>
  <c r="CH142" i="2"/>
  <c r="AW408" i="2"/>
  <c r="AM80" i="2"/>
  <c r="BS97" i="2"/>
  <c r="BT194" i="2"/>
  <c r="BT192" i="2"/>
  <c r="AW84" i="2"/>
  <c r="BQ404" i="2"/>
  <c r="BS35" i="2"/>
  <c r="BT372" i="2"/>
  <c r="AX419" i="2"/>
  <c r="BR426" i="2"/>
  <c r="AX69" i="2"/>
  <c r="CH55" i="2"/>
  <c r="D17" i="5"/>
  <c r="AV328" i="2"/>
  <c r="AV45" i="2"/>
  <c r="BG386" i="2"/>
  <c r="BH304" i="2"/>
  <c r="BQ23" i="2"/>
  <c r="BS167" i="2"/>
  <c r="BG340" i="2"/>
  <c r="BH116" i="2"/>
  <c r="BS186" i="2"/>
  <c r="AW74" i="2"/>
  <c r="AO256" i="2"/>
  <c r="BS418" i="2"/>
  <c r="AU414" i="2"/>
  <c r="AU93" i="2"/>
  <c r="H94" i="6"/>
  <c r="AP176" i="2"/>
  <c r="BT165" i="2"/>
  <c r="CH99" i="2"/>
  <c r="AO201" i="2"/>
  <c r="CH69" i="2"/>
  <c r="CH169" i="2"/>
  <c r="CI443" i="2"/>
  <c r="AS71" i="2"/>
  <c r="AU96" i="2"/>
  <c r="CH28" i="2"/>
  <c r="CI251" i="2"/>
  <c r="CG204" i="2"/>
  <c r="BQ136" i="2"/>
  <c r="CI242" i="2"/>
  <c r="CI71" i="2"/>
  <c r="BG246" i="2"/>
  <c r="BS181" i="2"/>
  <c r="AW168" i="2"/>
  <c r="BH441" i="2"/>
  <c r="AX420" i="2"/>
  <c r="AV39" i="2"/>
  <c r="CG97" i="2"/>
  <c r="BH243" i="2"/>
  <c r="AW459" i="2"/>
  <c r="BR213" i="2"/>
  <c r="AX163" i="2"/>
  <c r="BG96" i="2"/>
  <c r="AL12" i="2"/>
  <c r="AU89" i="2"/>
  <c r="BQ68" i="2"/>
  <c r="BT337" i="2"/>
  <c r="AU153" i="2"/>
  <c r="AU175" i="2"/>
  <c r="CG120" i="2"/>
  <c r="AS288" i="2"/>
  <c r="BT70" i="2"/>
  <c r="CI253" i="2"/>
  <c r="E58" i="5"/>
  <c r="AV163" i="2"/>
  <c r="BT406" i="2"/>
  <c r="AX233" i="2"/>
  <c r="AM388" i="2"/>
  <c r="AT81" i="2"/>
  <c r="BR321" i="2"/>
  <c r="CI127" i="2"/>
  <c r="AP376" i="2"/>
  <c r="AT70" i="2"/>
  <c r="BS241" i="2"/>
  <c r="AX41" i="2"/>
  <c r="N34" i="5"/>
  <c r="BQ425" i="2"/>
  <c r="AX458" i="2"/>
  <c r="BG224" i="2"/>
  <c r="BH126" i="2"/>
  <c r="AU265" i="2"/>
  <c r="AU229" i="2"/>
  <c r="BG166" i="2"/>
  <c r="BH377" i="2"/>
  <c r="AW357" i="2"/>
  <c r="BQ160" i="2"/>
  <c r="G97" i="5"/>
  <c r="BR41" i="2"/>
  <c r="AT279" i="2"/>
  <c r="AV103" i="2"/>
  <c r="AV102" i="2"/>
  <c r="AO82" i="2"/>
  <c r="AX278" i="2"/>
  <c r="CI205" i="2"/>
  <c r="BT170" i="2"/>
  <c r="AT155" i="2"/>
  <c r="AV83" i="2"/>
  <c r="CI341" i="2"/>
  <c r="AX16" i="2"/>
  <c r="AN329" i="2"/>
  <c r="AT435" i="2"/>
  <c r="BS74" i="2"/>
  <c r="AW106" i="2"/>
  <c r="AQ252" i="2"/>
  <c r="AU202" i="2"/>
  <c r="BT280" i="2"/>
  <c r="CH109" i="2"/>
  <c r="G170" i="5"/>
  <c r="BS253" i="2"/>
  <c r="BQ42" i="2"/>
  <c r="BG175" i="2"/>
  <c r="CG178" i="2"/>
  <c r="AV111" i="2"/>
  <c r="AV155" i="2"/>
  <c r="BG178" i="2"/>
  <c r="BH240" i="2"/>
  <c r="AX145" i="2"/>
  <c r="BR394" i="2"/>
  <c r="AX47" i="2"/>
  <c r="AV250" i="2"/>
  <c r="AX386" i="2"/>
  <c r="AX313" i="2"/>
  <c r="AW185" i="2"/>
  <c r="CI279" i="2"/>
  <c r="AV21" i="2"/>
  <c r="BT398" i="2"/>
  <c r="AO208" i="2"/>
  <c r="AU11" i="2"/>
  <c r="BT99" i="2"/>
  <c r="CH403" i="2"/>
  <c r="AN455" i="2"/>
  <c r="BT237" i="2"/>
  <c r="BT357" i="2"/>
  <c r="CH153" i="2"/>
  <c r="AO73" i="2"/>
  <c r="AV92" i="2"/>
  <c r="CH303" i="2"/>
  <c r="CI24" i="2"/>
  <c r="BH221" i="2"/>
  <c r="AW13" i="2"/>
  <c r="BS429" i="2"/>
  <c r="AO455" i="2"/>
  <c r="BS421" i="2"/>
  <c r="BS20" i="2"/>
  <c r="AW71" i="2"/>
  <c r="BH327" i="2"/>
  <c r="BQ36" i="2"/>
  <c r="AU306" i="2"/>
  <c r="BS6" i="2"/>
  <c r="BH252" i="2"/>
  <c r="AW433" i="2"/>
  <c r="BR170" i="2"/>
  <c r="AV286" i="2"/>
  <c r="L238" i="5"/>
  <c r="AR59" i="2"/>
  <c r="CH147" i="2"/>
  <c r="BG139" i="2"/>
  <c r="BQ252" i="2"/>
  <c r="BQ115" i="2"/>
  <c r="BR154" i="2"/>
  <c r="CI461" i="2"/>
  <c r="BT159" i="2"/>
  <c r="CH292" i="2"/>
  <c r="CI158" i="2"/>
  <c r="CI11" i="2"/>
  <c r="BG428" i="2"/>
  <c r="BG191" i="2"/>
  <c r="BG67" i="2"/>
  <c r="AW447" i="2"/>
  <c r="BS270" i="2"/>
  <c r="CG428" i="2"/>
  <c r="CH124" i="2"/>
  <c r="BH224" i="2"/>
  <c r="AW415" i="2"/>
  <c r="AW63" i="2"/>
  <c r="BH392" i="2"/>
  <c r="BI11" i="2"/>
  <c r="BI225" i="2"/>
  <c r="AX24" i="2"/>
  <c r="CH241" i="2"/>
  <c r="AX212" i="2"/>
  <c r="BR339" i="2"/>
  <c r="BT54" i="2"/>
  <c r="F22" i="5"/>
  <c r="BG299" i="2"/>
  <c r="E236" i="6"/>
  <c r="CI459" i="2"/>
  <c r="BR357" i="2"/>
  <c r="CH254" i="2"/>
  <c r="CI287" i="2"/>
  <c r="G158" i="5"/>
  <c r="BI447" i="2"/>
  <c r="BH105" i="2"/>
  <c r="CG32" i="2"/>
  <c r="AV164" i="2"/>
  <c r="BH448" i="2"/>
  <c r="AT128" i="2"/>
  <c r="CI465" i="2"/>
  <c r="BT444" i="2"/>
  <c r="BT246" i="2"/>
  <c r="BI288" i="2"/>
  <c r="BI317" i="2"/>
  <c r="AX310" i="2"/>
  <c r="BS338" i="2"/>
  <c r="BI402" i="2"/>
  <c r="AV220" i="2"/>
  <c r="BG66" i="2"/>
  <c r="BH203" i="2"/>
  <c r="BI236" i="2"/>
  <c r="BJ196" i="2"/>
  <c r="BI413" i="2"/>
  <c r="BH10" i="2"/>
  <c r="AN38" i="2"/>
  <c r="BT212" i="2"/>
  <c r="BH163" i="2"/>
  <c r="BQ380" i="2"/>
  <c r="BQ366" i="2"/>
  <c r="O151" i="5"/>
  <c r="CI67" i="2"/>
  <c r="BS414" i="2"/>
  <c r="AV334" i="2"/>
  <c r="AU154" i="2"/>
  <c r="L75" i="5"/>
  <c r="BI378" i="2"/>
  <c r="BH151" i="2"/>
  <c r="AU189" i="2"/>
  <c r="BH384" i="2"/>
  <c r="BS224" i="2"/>
  <c r="CI252" i="2"/>
  <c r="AV110" i="2"/>
  <c r="BS158" i="2"/>
  <c r="AW65" i="2"/>
  <c r="CH203" i="2"/>
  <c r="AX236" i="2"/>
  <c r="CH233" i="2"/>
  <c r="BH26" i="2"/>
  <c r="BT32" i="2"/>
  <c r="BS268" i="2"/>
  <c r="BR63" i="2"/>
  <c r="BQ243" i="2"/>
  <c r="BS40" i="2"/>
  <c r="AU438" i="2"/>
  <c r="BR245" i="2"/>
  <c r="BT387" i="2"/>
  <c r="BT179" i="2"/>
  <c r="AS225" i="2"/>
  <c r="CH185" i="2"/>
  <c r="CI375" i="2"/>
  <c r="BR18" i="2"/>
  <c r="AF439" i="2"/>
  <c r="BT383" i="2"/>
  <c r="BS160" i="2"/>
  <c r="CH258" i="2"/>
  <c r="AO314" i="2"/>
  <c r="AW7" i="2"/>
  <c r="BR365" i="2"/>
  <c r="CH76" i="2"/>
  <c r="AT338" i="2"/>
  <c r="AV403" i="2"/>
  <c r="CH90" i="2"/>
  <c r="CI354" i="2"/>
  <c r="BG122" i="2"/>
  <c r="BQ353" i="2"/>
  <c r="AV137" i="2"/>
  <c r="BH129" i="2"/>
  <c r="AW304" i="2"/>
  <c r="AU396" i="2"/>
  <c r="BS95" i="2"/>
  <c r="BH316" i="2"/>
  <c r="AU296" i="2"/>
  <c r="AX82" i="2"/>
  <c r="AW465" i="2"/>
  <c r="AV81" i="2"/>
  <c r="BT464" i="2"/>
  <c r="AU137" i="2"/>
  <c r="AU127" i="2"/>
  <c r="AT31" i="2"/>
  <c r="BQ329" i="2"/>
  <c r="BT448" i="2"/>
  <c r="F20" i="5"/>
  <c r="BQ102" i="2"/>
  <c r="CH277" i="2"/>
  <c r="CI437" i="2"/>
  <c r="AT142" i="2"/>
  <c r="AU18" i="2"/>
  <c r="BT120" i="2"/>
  <c r="CH118" i="2"/>
  <c r="CI272" i="2"/>
  <c r="AV326" i="2"/>
  <c r="CI269" i="2"/>
  <c r="BT44" i="2"/>
  <c r="AW460" i="2"/>
  <c r="BH279" i="2"/>
  <c r="AV259" i="2"/>
  <c r="AX442" i="2"/>
  <c r="AS175" i="2"/>
  <c r="AV143" i="2"/>
  <c r="BR137" i="2"/>
  <c r="AU213" i="2"/>
  <c r="BS275" i="2"/>
  <c r="AV356" i="2"/>
  <c r="CG10" i="2"/>
  <c r="BQ325" i="2"/>
  <c r="BH198" i="2"/>
  <c r="AW453" i="2"/>
  <c r="BQ164" i="2"/>
  <c r="AU235" i="2"/>
  <c r="BT265" i="2"/>
  <c r="AV324" i="2"/>
  <c r="AV11" i="2"/>
  <c r="AU243" i="2"/>
  <c r="BT37" i="2"/>
  <c r="CH176" i="2"/>
  <c r="CI218" i="2"/>
  <c r="CG283" i="2"/>
  <c r="BT405" i="2"/>
  <c r="CI145" i="2"/>
  <c r="CI198" i="2"/>
  <c r="CG346" i="2"/>
  <c r="BQ90" i="2"/>
  <c r="CI378" i="2"/>
  <c r="CI290" i="2"/>
  <c r="AT133" i="2"/>
  <c r="BS37" i="2"/>
  <c r="AU333" i="2"/>
  <c r="BT333" i="2"/>
  <c r="BG136" i="2"/>
  <c r="BT137" i="2"/>
  <c r="AX31" i="2"/>
  <c r="BH326" i="2"/>
  <c r="AU31" i="2"/>
  <c r="AX307" i="2"/>
  <c r="AU42" i="2"/>
  <c r="BH162" i="2"/>
  <c r="AX367" i="2"/>
  <c r="BS298" i="2"/>
  <c r="BQ88" i="2"/>
  <c r="BG47" i="2"/>
  <c r="AV153" i="2"/>
  <c r="AU340" i="2"/>
  <c r="AW451" i="2"/>
  <c r="AW378" i="2"/>
  <c r="AV34" i="2"/>
  <c r="CH128" i="2"/>
  <c r="CI431" i="2"/>
  <c r="CI54" i="2"/>
  <c r="AS104" i="2"/>
  <c r="CH264" i="2"/>
  <c r="AU328" i="2"/>
  <c r="BS211" i="2"/>
  <c r="AS464" i="2"/>
  <c r="BS342" i="2"/>
  <c r="CI295" i="2"/>
  <c r="BS96" i="2"/>
  <c r="AP134" i="2"/>
  <c r="BT12" i="2"/>
  <c r="BT18" i="2"/>
  <c r="CH232" i="2"/>
  <c r="BG87" i="2"/>
  <c r="AU106" i="2"/>
  <c r="BQ126" i="2"/>
  <c r="AP32" i="2"/>
  <c r="BQ458" i="2"/>
  <c r="BQ255" i="2"/>
  <c r="AV408" i="2"/>
  <c r="BH65" i="2"/>
  <c r="AX167" i="2"/>
  <c r="BT374" i="2"/>
  <c r="BR422" i="2"/>
  <c r="BT61" i="2"/>
  <c r="AW325" i="2"/>
  <c r="BQ135" i="2"/>
  <c r="AN391" i="2"/>
  <c r="AX196" i="2"/>
  <c r="CI316" i="2"/>
  <c r="BQ148" i="2"/>
  <c r="BG260" i="2"/>
  <c r="AU239" i="2"/>
  <c r="BR247" i="2"/>
  <c r="BT30" i="2"/>
  <c r="AF448" i="2"/>
  <c r="AX6" i="2"/>
  <c r="BQ146" i="2"/>
  <c r="CH253" i="2"/>
  <c r="CH286" i="2"/>
  <c r="BR180" i="2"/>
  <c r="CH338" i="2"/>
  <c r="CI91" i="2"/>
  <c r="CH141" i="2"/>
  <c r="BI260" i="2"/>
  <c r="E6" i="5"/>
  <c r="AR400" i="2"/>
  <c r="BR315" i="2"/>
  <c r="BS32" i="2"/>
  <c r="AV385" i="2"/>
  <c r="AX433" i="2"/>
  <c r="AU40" i="2"/>
  <c r="AW382" i="2"/>
  <c r="AX94" i="2"/>
  <c r="BT114" i="2"/>
  <c r="BS463" i="2"/>
  <c r="BT106" i="2"/>
  <c r="AU348" i="2"/>
  <c r="CI102" i="2"/>
  <c r="BS367" i="2"/>
  <c r="AR239" i="2"/>
  <c r="BG339" i="2"/>
  <c r="BH346" i="2"/>
  <c r="CH355" i="2"/>
  <c r="J158" i="5"/>
  <c r="BR37" i="2"/>
  <c r="CI224" i="2"/>
  <c r="BT248" i="2"/>
  <c r="BI115" i="2"/>
  <c r="CI358" i="2"/>
  <c r="BG51" i="2"/>
  <c r="BH404" i="2"/>
  <c r="BI357" i="2"/>
  <c r="AO268" i="2"/>
  <c r="CI360" i="2"/>
  <c r="BT38" i="2"/>
  <c r="CH59" i="2"/>
  <c r="BI200" i="2"/>
  <c r="AM423" i="2"/>
  <c r="BS242" i="2"/>
  <c r="CH282" i="2"/>
  <c r="BJ282" i="2"/>
  <c r="BJ113" i="2"/>
  <c r="BG400" i="2"/>
  <c r="AU346" i="2"/>
  <c r="CI61" i="2"/>
  <c r="BR119" i="2"/>
  <c r="BI356" i="2"/>
  <c r="BQ251" i="2"/>
  <c r="BG345" i="2"/>
  <c r="BH75" i="2"/>
  <c r="BH98" i="2"/>
  <c r="CI373" i="2"/>
  <c r="BS290" i="2"/>
  <c r="CI98" i="2"/>
  <c r="CH199" i="2"/>
  <c r="AS161" i="2"/>
  <c r="AS40" i="2"/>
  <c r="BJ245" i="2"/>
  <c r="BS229" i="2"/>
  <c r="BT199" i="2"/>
  <c r="BJ388" i="2"/>
  <c r="AV57" i="2"/>
  <c r="AX25" i="2"/>
  <c r="CI372" i="2"/>
  <c r="BR121" i="2"/>
  <c r="AW450" i="2"/>
  <c r="P243" i="5"/>
  <c r="BT341" i="2"/>
  <c r="E118" i="5"/>
  <c r="BS249" i="2"/>
  <c r="CI246" i="2"/>
  <c r="AW376" i="2"/>
  <c r="AW307" i="2"/>
  <c r="AS6" i="2"/>
  <c r="CI299" i="2"/>
  <c r="BG452" i="2"/>
  <c r="AU377" i="2"/>
  <c r="BR95" i="2"/>
  <c r="BR414" i="2"/>
  <c r="AS286" i="2"/>
  <c r="AT315" i="2"/>
  <c r="BT382" i="2"/>
  <c r="BT370" i="2"/>
  <c r="AV104" i="2"/>
  <c r="E57" i="5"/>
  <c r="AX7" i="2"/>
  <c r="AX459" i="2"/>
  <c r="BT351" i="2"/>
  <c r="CH399" i="2"/>
  <c r="CG108" i="2"/>
  <c r="AV323" i="2"/>
  <c r="BT184" i="2"/>
  <c r="CH321" i="2"/>
  <c r="AU80" i="2"/>
  <c r="BT190" i="2"/>
  <c r="CI317" i="2"/>
  <c r="CI31" i="2"/>
  <c r="BH41" i="2"/>
  <c r="AT55" i="2"/>
  <c r="AW20" i="2"/>
  <c r="CH157" i="2"/>
  <c r="CH191" i="2"/>
  <c r="AX95" i="2"/>
  <c r="BT227" i="2"/>
  <c r="BR431" i="2"/>
  <c r="BT195" i="2"/>
  <c r="BS449" i="2"/>
  <c r="AW77" i="2"/>
  <c r="BS441" i="2"/>
  <c r="K57" i="5"/>
  <c r="AN327" i="2"/>
  <c r="AU275" i="2"/>
  <c r="AV402" i="2"/>
  <c r="BS71" i="2"/>
  <c r="F92" i="5"/>
  <c r="AT261" i="2"/>
  <c r="BR80" i="2"/>
  <c r="CH360" i="2"/>
  <c r="CI146" i="2"/>
  <c r="AO32" i="2"/>
  <c r="AV195" i="2"/>
  <c r="CH161" i="2"/>
  <c r="CI12" i="2"/>
  <c r="BQ154" i="2"/>
  <c r="AW26" i="2"/>
  <c r="CI32" i="2"/>
  <c r="CI15" i="2"/>
  <c r="BG165" i="2"/>
  <c r="BI334" i="2"/>
  <c r="AS387" i="2"/>
  <c r="BQ225" i="2"/>
  <c r="CI347" i="2"/>
  <c r="BS119" i="2"/>
  <c r="AN82" i="2"/>
  <c r="AW231" i="2"/>
  <c r="CH139" i="2"/>
  <c r="CH210" i="2"/>
  <c r="AW319" i="2"/>
  <c r="BQ72" i="2"/>
  <c r="AU116" i="2"/>
  <c r="CH294" i="2"/>
  <c r="AP136" i="2"/>
  <c r="AX343" i="2"/>
  <c r="AT255" i="2"/>
  <c r="AV87" i="2"/>
  <c r="BS313" i="2"/>
  <c r="AV463" i="2"/>
  <c r="CH204" i="2"/>
  <c r="CI384" i="2"/>
  <c r="G195" i="5"/>
  <c r="BS405" i="2"/>
  <c r="CI292" i="2"/>
  <c r="AV379" i="2"/>
  <c r="L95" i="5"/>
  <c r="AV455" i="2"/>
  <c r="CH70" i="2"/>
  <c r="AW332" i="2"/>
  <c r="AV405" i="2"/>
  <c r="AX437" i="2"/>
  <c r="CH251" i="2"/>
  <c r="BQ18" i="2"/>
  <c r="BT400" i="2"/>
  <c r="BH238" i="2"/>
  <c r="AW50" i="2"/>
  <c r="BQ26" i="2"/>
  <c r="BT50" i="2"/>
  <c r="BT288" i="2"/>
  <c r="BS128" i="2"/>
  <c r="AV139" i="2"/>
  <c r="AU388" i="2"/>
  <c r="BT128" i="2"/>
  <c r="AV421" i="2"/>
  <c r="BR332" i="2"/>
  <c r="AO425" i="2"/>
  <c r="BS373" i="2"/>
  <c r="AU222" i="2"/>
  <c r="AW270" i="2"/>
  <c r="AW399" i="2"/>
  <c r="AW173" i="2"/>
  <c r="CI35" i="2"/>
  <c r="BS110" i="2"/>
  <c r="BG86" i="2"/>
  <c r="BT93" i="2"/>
  <c r="CH369" i="2"/>
  <c r="AW183" i="2"/>
  <c r="O102" i="5"/>
  <c r="AW47" i="2"/>
  <c r="BQ110" i="2"/>
  <c r="AX434" i="2"/>
  <c r="BT89" i="2"/>
  <c r="BQ301" i="2"/>
  <c r="BR160" i="2"/>
  <c r="CH260" i="2"/>
  <c r="CI214" i="2"/>
  <c r="BI253" i="2"/>
  <c r="AX395" i="2"/>
  <c r="N324" i="5"/>
  <c r="AX408" i="2"/>
  <c r="CI367" i="2"/>
  <c r="AU311" i="2"/>
  <c r="AW283" i="2"/>
  <c r="AU156" i="2"/>
  <c r="CH78" i="2"/>
  <c r="AW273" i="2"/>
  <c r="AP322" i="2"/>
  <c r="AV65" i="2"/>
  <c r="AT140" i="2"/>
  <c r="AO408" i="2"/>
  <c r="BT157" i="2"/>
  <c r="BQ232" i="2"/>
  <c r="AU152" i="2"/>
  <c r="BG460" i="2"/>
  <c r="AU144" i="2"/>
  <c r="AV251" i="2"/>
  <c r="BT268" i="2"/>
  <c r="E91" i="5"/>
  <c r="AT363" i="2"/>
  <c r="BQ313" i="2"/>
  <c r="BT107" i="2"/>
  <c r="CH393" i="2"/>
  <c r="AT369" i="2"/>
  <c r="BR446" i="2"/>
  <c r="CH318" i="2"/>
  <c r="CI200" i="2"/>
  <c r="AS233" i="2"/>
  <c r="AS112" i="2"/>
  <c r="CG263" i="2"/>
  <c r="BR172" i="2"/>
  <c r="CI368" i="2"/>
  <c r="AU205" i="2"/>
  <c r="AT42" i="2"/>
  <c r="BR143" i="2"/>
  <c r="AO88" i="2"/>
  <c r="BT13" i="2"/>
  <c r="AN257" i="2"/>
  <c r="AX131" i="2"/>
  <c r="BT191" i="2"/>
  <c r="BS439" i="2"/>
  <c r="CG140" i="2"/>
  <c r="CI88" i="2"/>
  <c r="AU161" i="2"/>
  <c r="AT168" i="2"/>
  <c r="BH115" i="2"/>
  <c r="BQ369" i="2"/>
  <c r="CI457" i="2"/>
  <c r="BR442" i="2"/>
  <c r="BT242" i="2"/>
  <c r="AX14" i="2"/>
  <c r="P93" i="5"/>
  <c r="BJ193" i="2"/>
  <c r="BG124" i="2"/>
  <c r="BH258" i="2"/>
  <c r="BI131" i="2"/>
  <c r="I326" i="6"/>
  <c r="AW88" i="2"/>
  <c r="AX272" i="2"/>
  <c r="CH178" i="2"/>
  <c r="K76" i="5"/>
  <c r="BJ150" i="2"/>
  <c r="BT316" i="2"/>
  <c r="AS158" i="2"/>
  <c r="CI262" i="2"/>
  <c r="CI445" i="2"/>
  <c r="BR406" i="2"/>
  <c r="AX152" i="2"/>
  <c r="BQ438" i="2"/>
  <c r="CI26" i="2"/>
  <c r="D135" i="5"/>
  <c r="BJ449" i="2"/>
  <c r="BG74" i="2"/>
  <c r="BH280" i="2"/>
  <c r="AO65" i="2"/>
  <c r="BQ220" i="2"/>
  <c r="AW148" i="2"/>
  <c r="AU420" i="2"/>
  <c r="CI415" i="2"/>
  <c r="BG222" i="2"/>
  <c r="BR150" i="2"/>
  <c r="BR86" i="2"/>
  <c r="BS311" i="2"/>
  <c r="BT408" i="2"/>
  <c r="CH368" i="2"/>
  <c r="CI432" i="2"/>
  <c r="BR164" i="2"/>
  <c r="CI353" i="2"/>
  <c r="BG373" i="2"/>
  <c r="BH325" i="2"/>
  <c r="BG223" i="2"/>
  <c r="CH34" i="2"/>
  <c r="CH377" i="2"/>
  <c r="AW110" i="2"/>
  <c r="C60" i="5"/>
  <c r="BH398" i="2"/>
  <c r="AX409" i="2"/>
  <c r="BR173" i="2"/>
  <c r="BI268" i="2"/>
  <c r="BI441" i="2"/>
  <c r="BJ267" i="2"/>
  <c r="BS293" i="2"/>
  <c r="CI217" i="2"/>
  <c r="CH357" i="2"/>
  <c r="CI315" i="2"/>
  <c r="CI346" i="2"/>
  <c r="N99" i="5"/>
  <c r="BR278" i="2"/>
  <c r="AF203" i="2"/>
  <c r="AV409" i="2"/>
  <c r="D63" i="5"/>
  <c r="BG177" i="2"/>
  <c r="BT302" i="2"/>
  <c r="BT182" i="2"/>
  <c r="AU257" i="2"/>
  <c r="BR210" i="2"/>
  <c r="CI160" i="2"/>
  <c r="BT94" i="2"/>
  <c r="CH48" i="2"/>
  <c r="L134" i="5"/>
  <c r="BG43" i="2"/>
  <c r="BH396" i="2"/>
  <c r="BH274" i="2"/>
  <c r="AW317" i="2"/>
  <c r="CI296" i="2"/>
  <c r="CH67" i="2"/>
  <c r="BG385" i="2"/>
  <c r="AU353" i="2"/>
  <c r="CH172" i="2"/>
  <c r="BH372" i="2"/>
  <c r="CI195" i="2"/>
  <c r="AU437" i="2"/>
  <c r="N118" i="5"/>
  <c r="AX183" i="2"/>
  <c r="AR188" i="2"/>
  <c r="BG19" i="2"/>
  <c r="BT346" i="2"/>
  <c r="G56" i="5"/>
  <c r="CI307" i="2"/>
  <c r="AU183" i="2"/>
  <c r="AS13" i="2"/>
  <c r="AV330" i="2"/>
  <c r="AU91" i="2"/>
  <c r="I204" i="5"/>
  <c r="AN270" i="2"/>
  <c r="AS168" i="2"/>
  <c r="AU196" i="2"/>
  <c r="CI41" i="2"/>
  <c r="P57" i="5"/>
  <c r="AT251" i="2"/>
  <c r="BQ66" i="2"/>
  <c r="BT111" i="2"/>
  <c r="CH434" i="2"/>
  <c r="BG323" i="2"/>
  <c r="AU253" i="2"/>
  <c r="BS112" i="2"/>
  <c r="CH390" i="2"/>
  <c r="AU320" i="2"/>
  <c r="AV282" i="2"/>
  <c r="CH240" i="2"/>
  <c r="CI322" i="2"/>
  <c r="N130" i="5"/>
  <c r="BI104" i="2"/>
  <c r="AQ174" i="2"/>
  <c r="BQ297" i="2"/>
  <c r="CH226" i="2"/>
  <c r="CI371" i="2"/>
  <c r="J46" i="6"/>
  <c r="AW260" i="2"/>
  <c r="BS407" i="2"/>
  <c r="BR99" i="2"/>
  <c r="AV240" i="2"/>
  <c r="AU230" i="2"/>
  <c r="AP256" i="2"/>
  <c r="AO217" i="2"/>
  <c r="AO145" i="2"/>
  <c r="CG143" i="2"/>
  <c r="AW343" i="2"/>
  <c r="M156" i="5"/>
  <c r="BG280" i="2"/>
  <c r="AW456" i="2"/>
  <c r="AS325" i="2"/>
  <c r="CI239" i="2"/>
  <c r="BG11" i="2"/>
  <c r="AX12" i="2"/>
  <c r="AW449" i="2"/>
  <c r="CH151" i="2"/>
  <c r="G156" i="5"/>
  <c r="BR47" i="2"/>
  <c r="BQ223" i="2"/>
  <c r="BS420" i="2"/>
  <c r="BG462" i="2"/>
  <c r="BS53" i="2"/>
  <c r="BS235" i="2"/>
  <c r="AT236" i="2"/>
  <c r="CI405" i="2"/>
  <c r="AX363" i="2"/>
  <c r="BT297" i="2"/>
  <c r="AR360" i="2"/>
  <c r="BT218" i="2"/>
  <c r="BT175" i="2"/>
  <c r="CH174" i="2"/>
  <c r="AO303" i="2"/>
  <c r="BS215" i="2"/>
  <c r="BT449" i="2"/>
  <c r="CH167" i="2"/>
  <c r="AX100" i="2"/>
  <c r="AO160" i="2"/>
  <c r="AR56" i="2"/>
  <c r="AN281" i="2"/>
  <c r="AW208" i="2"/>
  <c r="AW146" i="2"/>
  <c r="CH17" i="2"/>
  <c r="H134" i="5"/>
  <c r="AO81" i="2"/>
  <c r="AQ13" i="2"/>
  <c r="CI152" i="2"/>
  <c r="H85" i="5"/>
  <c r="AX342" i="2"/>
  <c r="AW355" i="2"/>
  <c r="CI137" i="2"/>
  <c r="CI413" i="2"/>
  <c r="AN316" i="2"/>
  <c r="AX315" i="2"/>
  <c r="AV327" i="2"/>
  <c r="BT312" i="2"/>
  <c r="BG68" i="2"/>
  <c r="BJ350" i="2"/>
  <c r="AS441" i="2"/>
  <c r="BR323" i="2"/>
  <c r="BS448" i="2"/>
  <c r="CH33" i="2"/>
  <c r="I348" i="6"/>
  <c r="BQ179" i="2"/>
  <c r="BS24" i="2"/>
  <c r="CI291" i="2"/>
  <c r="AI391" i="2"/>
  <c r="D268" i="6"/>
  <c r="BQ228" i="2"/>
  <c r="AU59" i="2"/>
  <c r="AT269" i="2"/>
  <c r="AR375" i="2"/>
  <c r="BQ166" i="2"/>
  <c r="AX81" i="2"/>
  <c r="CI456" i="2"/>
  <c r="O78" i="5"/>
  <c r="AT125" i="2"/>
  <c r="AU337" i="2"/>
  <c r="AO388" i="2"/>
  <c r="P60" i="5"/>
  <c r="AG104" i="2"/>
  <c r="AX323" i="2"/>
  <c r="AT415" i="2"/>
  <c r="BS66" i="2"/>
  <c r="AT449" i="2"/>
  <c r="BQ112" i="2"/>
  <c r="BT105" i="2"/>
  <c r="CH408" i="2"/>
  <c r="AM281" i="2"/>
  <c r="M196" i="5"/>
  <c r="AN128" i="2"/>
  <c r="AV342" i="2"/>
  <c r="CH331" i="2"/>
  <c r="CI9" i="2"/>
  <c r="AO435" i="2"/>
  <c r="BR215" i="2"/>
  <c r="CH121" i="2"/>
  <c r="AR233" i="2"/>
  <c r="K345" i="5"/>
  <c r="AU181" i="2"/>
  <c r="AT316" i="2"/>
  <c r="AO376" i="2"/>
  <c r="CG417" i="2"/>
  <c r="BQ423" i="2"/>
  <c r="BS189" i="2"/>
  <c r="BG421" i="2"/>
  <c r="BH436" i="2"/>
  <c r="AS374" i="2"/>
  <c r="AW206" i="2"/>
  <c r="P30" i="5"/>
  <c r="BG216" i="2"/>
  <c r="AV346" i="2"/>
  <c r="BS261" i="2"/>
  <c r="CH422" i="2"/>
  <c r="BG459" i="2"/>
  <c r="AX237" i="2"/>
  <c r="AT87" i="2"/>
  <c r="CI331" i="2"/>
  <c r="BG418" i="2"/>
  <c r="BR129" i="2"/>
  <c r="BR65" i="2"/>
  <c r="AW437" i="2"/>
  <c r="CI108" i="2"/>
  <c r="CH257" i="2"/>
  <c r="AX20" i="2"/>
  <c r="AT464" i="2"/>
  <c r="CI244" i="2"/>
  <c r="BQ128" i="2"/>
  <c r="BT367" i="2"/>
  <c r="AT266" i="2"/>
  <c r="BS305" i="2"/>
  <c r="AX50" i="2"/>
  <c r="BT95" i="2"/>
  <c r="AU104" i="2"/>
  <c r="P92" i="5"/>
  <c r="AT9" i="2"/>
  <c r="AU172" i="2"/>
  <c r="AV125" i="2"/>
  <c r="AX208" i="2"/>
  <c r="CI255" i="2"/>
  <c r="CH84" i="2"/>
  <c r="CH149" i="2"/>
  <c r="H53" i="5"/>
  <c r="BG304" i="2"/>
  <c r="CH24" i="2"/>
  <c r="BH408" i="2"/>
  <c r="AU249" i="2"/>
  <c r="AV376" i="2"/>
  <c r="BH104" i="2"/>
  <c r="BS391" i="2"/>
  <c r="O41" i="5"/>
  <c r="BG85" i="2"/>
  <c r="BH261" i="2"/>
  <c r="B25" i="5"/>
  <c r="CH56" i="2"/>
  <c r="AX206" i="2"/>
  <c r="CI19" i="2"/>
  <c r="BI289" i="2"/>
  <c r="BI332" i="2"/>
  <c r="BS135" i="2"/>
  <c r="BT277" i="2"/>
  <c r="G65" i="5"/>
  <c r="BG402" i="2"/>
  <c r="CH186" i="2"/>
  <c r="BH174" i="2"/>
  <c r="BR167" i="2"/>
  <c r="BR255" i="2"/>
  <c r="CH189" i="2"/>
  <c r="AW124" i="2"/>
  <c r="AU212" i="2"/>
  <c r="BG250" i="2"/>
  <c r="BH249" i="2"/>
  <c r="AU134" i="2"/>
  <c r="BG132" i="2"/>
  <c r="CH20" i="2"/>
  <c r="AU218" i="2"/>
  <c r="CH166" i="2"/>
  <c r="BI50" i="2"/>
  <c r="CI225" i="2"/>
  <c r="BG229" i="2"/>
  <c r="BH331" i="2"/>
  <c r="BI364" i="2"/>
  <c r="AT462" i="2"/>
  <c r="AU65" i="2"/>
  <c r="CI181" i="2"/>
  <c r="BS198" i="2"/>
  <c r="BI262" i="2"/>
  <c r="CG424" i="2"/>
  <c r="BT185" i="2"/>
  <c r="CI396" i="2"/>
  <c r="BJ393" i="2"/>
  <c r="BJ431" i="2"/>
  <c r="B146" i="5"/>
  <c r="BT433" i="2"/>
  <c r="CH229" i="2"/>
  <c r="CH250" i="2"/>
  <c r="BI394" i="2"/>
  <c r="CH280" i="2"/>
  <c r="BG266" i="2"/>
  <c r="CI228" i="2"/>
  <c r="AX64" i="2"/>
  <c r="AV337" i="2"/>
  <c r="BG377" i="2"/>
  <c r="BH112" i="2"/>
  <c r="BQ177" i="2"/>
  <c r="AS176" i="2"/>
  <c r="BR183" i="2"/>
  <c r="E197" i="5"/>
  <c r="CG452" i="2"/>
  <c r="BS285" i="2"/>
  <c r="BG437" i="2"/>
  <c r="BR49" i="2"/>
  <c r="BH226" i="2"/>
  <c r="CI451" i="2"/>
  <c r="AW324" i="2"/>
  <c r="AV42" i="2"/>
  <c r="BG389" i="2"/>
  <c r="BR388" i="2"/>
  <c r="AV258" i="2"/>
  <c r="BQ131" i="2"/>
  <c r="AT167" i="2"/>
  <c r="AN64" i="2"/>
  <c r="BR188" i="2"/>
  <c r="AV264" i="2"/>
  <c r="O159" i="5"/>
  <c r="BG113" i="2"/>
  <c r="AV133" i="2"/>
  <c r="BR54" i="2"/>
  <c r="BT311" i="2"/>
  <c r="BG245" i="2"/>
  <c r="AV397" i="2"/>
  <c r="AV360" i="2"/>
  <c r="BT202" i="2"/>
  <c r="N26" i="5"/>
  <c r="AX289" i="2"/>
  <c r="AW334" i="2"/>
  <c r="CH38" i="2"/>
  <c r="G200" i="5"/>
  <c r="BS125" i="2"/>
  <c r="BS411" i="2"/>
  <c r="AS461" i="2"/>
  <c r="BT207" i="2"/>
  <c r="AW152" i="2"/>
  <c r="AU240" i="2"/>
  <c r="AT75" i="2"/>
  <c r="BS138" i="2"/>
  <c r="AW428" i="2"/>
  <c r="BT256" i="2"/>
  <c r="AO448" i="2"/>
  <c r="AS25" i="2"/>
  <c r="AT373" i="2"/>
  <c r="BQ286" i="2"/>
  <c r="BR93" i="2"/>
  <c r="AX366" i="2"/>
  <c r="AW271" i="2"/>
  <c r="BG154" i="2"/>
  <c r="BH446" i="2"/>
  <c r="AS448" i="2"/>
  <c r="AS100" i="2"/>
  <c r="BG211" i="2"/>
  <c r="BH218" i="2"/>
  <c r="AV131" i="2"/>
  <c r="BQ85" i="2"/>
  <c r="P160" i="5"/>
  <c r="BG103" i="2"/>
  <c r="AX357" i="2"/>
  <c r="BR435" i="2"/>
  <c r="G78" i="5"/>
  <c r="BH173" i="2"/>
  <c r="CI52" i="2"/>
  <c r="CI348" i="2"/>
  <c r="AR344" i="2"/>
  <c r="AU269" i="2"/>
  <c r="BS29" i="2"/>
  <c r="F175" i="5"/>
  <c r="BQ450" i="2"/>
  <c r="BT254" i="2"/>
  <c r="CH217" i="2"/>
  <c r="CI139" i="2"/>
  <c r="AU118" i="2"/>
  <c r="BR78" i="2"/>
  <c r="CH202" i="2"/>
  <c r="CI109" i="2"/>
  <c r="AV169" i="2"/>
  <c r="AP306" i="2"/>
  <c r="CG460" i="2"/>
  <c r="CG40" i="2"/>
  <c r="AU294" i="2"/>
  <c r="AX302" i="2"/>
  <c r="AE98" i="2"/>
  <c r="BG231" i="2"/>
  <c r="BQ101" i="2"/>
  <c r="AU97" i="2"/>
  <c r="BT144" i="2"/>
  <c r="BG362" i="2"/>
  <c r="BR408" i="2"/>
  <c r="AX374" i="2"/>
  <c r="AO216" i="2"/>
  <c r="K176" i="5"/>
  <c r="AT228" i="2"/>
  <c r="BR298" i="2"/>
  <c r="BQ373" i="2"/>
  <c r="BG268" i="2"/>
  <c r="BS363" i="2"/>
  <c r="BS266" i="2"/>
  <c r="AT112" i="2"/>
  <c r="AX144" i="2"/>
  <c r="CH101" i="2"/>
  <c r="CH23" i="2"/>
  <c r="CG141" i="2"/>
  <c r="AX178" i="2"/>
  <c r="CI389" i="2"/>
  <c r="CI134" i="2"/>
  <c r="AO378" i="2"/>
  <c r="AX453" i="2"/>
  <c r="AX351" i="2"/>
  <c r="AO54" i="2"/>
  <c r="AS232" i="2"/>
  <c r="AS432" i="2"/>
  <c r="AW210" i="2"/>
  <c r="BR292" i="2"/>
  <c r="B181" i="5"/>
  <c r="BH365" i="2"/>
  <c r="BR144" i="2"/>
  <c r="AV47" i="2"/>
  <c r="O23" i="5"/>
  <c r="BG49" i="2"/>
  <c r="AO8" i="2"/>
  <c r="BR253" i="2"/>
  <c r="AX359" i="2"/>
  <c r="BG332" i="2"/>
  <c r="AV425" i="2"/>
  <c r="BS100" i="2"/>
  <c r="CH436" i="2"/>
  <c r="BG395" i="2"/>
  <c r="AW288" i="2"/>
  <c r="AW160" i="2"/>
  <c r="AU454" i="2"/>
  <c r="CH37" i="2"/>
  <c r="CI156" i="2"/>
  <c r="AV121" i="2"/>
  <c r="AS300" i="2"/>
  <c r="CH213" i="2"/>
  <c r="BT281" i="2"/>
  <c r="AV207" i="2"/>
  <c r="AS244" i="2"/>
  <c r="BR380" i="2"/>
  <c r="BQ230" i="2"/>
  <c r="AU457" i="2"/>
  <c r="AU317" i="2"/>
  <c r="CG453" i="2"/>
  <c r="BS117" i="2"/>
  <c r="BH53" i="2"/>
  <c r="AX161" i="2"/>
  <c r="BQ199" i="2"/>
  <c r="AW134" i="2"/>
  <c r="BG416" i="2"/>
  <c r="BH318" i="2"/>
  <c r="BR308" i="2"/>
  <c r="BT211" i="2"/>
  <c r="BG20" i="2"/>
  <c r="BH235" i="2"/>
  <c r="AU297" i="2"/>
  <c r="AT7" i="2"/>
  <c r="BG83" i="2"/>
  <c r="BH90" i="2"/>
  <c r="CI186" i="2"/>
  <c r="BR61" i="2"/>
  <c r="AW392" i="2"/>
  <c r="CI382" i="2"/>
  <c r="AT344" i="2"/>
  <c r="BG93" i="2"/>
  <c r="CG133" i="2"/>
  <c r="AV235" i="2"/>
  <c r="BS319" i="2"/>
  <c r="F38" i="5"/>
  <c r="AX234" i="2"/>
  <c r="AU248" i="2"/>
  <c r="BT166" i="2"/>
  <c r="CH370" i="2"/>
  <c r="BR116" i="2"/>
  <c r="BH424" i="2"/>
  <c r="I123" i="5"/>
  <c r="BR44" i="2"/>
  <c r="AU452" i="2"/>
  <c r="CH184" i="2"/>
  <c r="C130" i="5"/>
  <c r="BS130" i="2"/>
  <c r="BG358" i="2"/>
  <c r="BH397" i="2"/>
  <c r="BH367" i="2"/>
  <c r="BI135" i="2"/>
  <c r="BJ181" i="2"/>
  <c r="BS68" i="2"/>
  <c r="CH205" i="2"/>
  <c r="BJ323" i="2"/>
  <c r="AU254" i="2"/>
  <c r="BG282" i="2"/>
  <c r="BH267" i="2"/>
  <c r="BI300" i="2"/>
  <c r="BT43" i="2"/>
  <c r="CI84" i="2"/>
  <c r="BS255" i="2"/>
  <c r="G58" i="5"/>
  <c r="BJ191" i="2"/>
  <c r="BJ425" i="2"/>
  <c r="AU367" i="2"/>
  <c r="BG244" i="2"/>
  <c r="BG7" i="2"/>
  <c r="BH191" i="2"/>
  <c r="BI192" i="2"/>
  <c r="AU27" i="2"/>
  <c r="BT318" i="2"/>
  <c r="CI48" i="2"/>
  <c r="CG394" i="2"/>
  <c r="AX112" i="2"/>
  <c r="AU47" i="2"/>
  <c r="BH34" i="2"/>
  <c r="BS327" i="2"/>
  <c r="CI46" i="2"/>
  <c r="BS432" i="2"/>
  <c r="CH159" i="2"/>
  <c r="AX336" i="2"/>
  <c r="B74" i="5"/>
  <c r="BJ32" i="2"/>
  <c r="BG59" i="2"/>
  <c r="BH161" i="2"/>
  <c r="AT274" i="2"/>
  <c r="AW434" i="2"/>
  <c r="CH98" i="2"/>
  <c r="AX84" i="2"/>
  <c r="CI434" i="2"/>
  <c r="BG356" i="2"/>
  <c r="BJ207" i="2"/>
  <c r="BR251" i="2"/>
  <c r="BT340" i="2"/>
  <c r="BS83" i="2"/>
  <c r="CI387" i="2"/>
  <c r="CI286" i="2"/>
  <c r="BS357" i="2"/>
  <c r="CH68" i="2"/>
  <c r="CI430" i="2"/>
  <c r="O114" i="5"/>
  <c r="BJ288" i="2"/>
  <c r="BG97" i="2"/>
  <c r="BH143" i="2"/>
  <c r="BT68" i="2"/>
  <c r="BR274" i="2"/>
  <c r="AW461" i="2"/>
  <c r="BH312" i="2"/>
  <c r="BS382" i="2"/>
  <c r="BT149" i="2"/>
  <c r="AU43" i="2"/>
  <c r="CI142" i="2"/>
  <c r="CH61" i="2"/>
  <c r="C78" i="5"/>
  <c r="BJ406" i="2"/>
  <c r="BG417" i="2"/>
  <c r="BH24" i="2"/>
  <c r="BQ324" i="2"/>
  <c r="BS28" i="2"/>
  <c r="BG196" i="2"/>
  <c r="CI180" i="2"/>
  <c r="AS160" i="2"/>
  <c r="BT334" i="2"/>
  <c r="BH138" i="2"/>
  <c r="AU167" i="2"/>
  <c r="BS344" i="2"/>
  <c r="CH214" i="2"/>
  <c r="AW295" i="2"/>
  <c r="CH150" i="2"/>
  <c r="BH45" i="2"/>
  <c r="AW285" i="2"/>
  <c r="AX358" i="2"/>
  <c r="AP431" i="2"/>
  <c r="AX135" i="2"/>
  <c r="AX70" i="2"/>
  <c r="AW19" i="2"/>
  <c r="AV192" i="2"/>
  <c r="BG313" i="2"/>
  <c r="BH48" i="2"/>
  <c r="BR415" i="2"/>
  <c r="BT243" i="2"/>
  <c r="BG84" i="2"/>
  <c r="BH299" i="2"/>
  <c r="AT319" i="2"/>
  <c r="AX221" i="2"/>
  <c r="J170" i="5"/>
  <c r="BG152" i="2"/>
  <c r="AV435" i="2"/>
  <c r="BQ163" i="2"/>
  <c r="B49" i="5"/>
  <c r="BG39" i="2"/>
  <c r="CH187" i="2"/>
  <c r="CH326" i="2"/>
  <c r="BS388" i="2"/>
  <c r="CI209" i="2"/>
  <c r="CH86" i="2"/>
  <c r="J59" i="5"/>
  <c r="AX243" i="2"/>
  <c r="CI33" i="2"/>
  <c r="BS352" i="2"/>
  <c r="CH308" i="2"/>
  <c r="AT194" i="2"/>
  <c r="AQ179" i="2"/>
  <c r="AX153" i="2"/>
  <c r="BR208" i="2"/>
  <c r="BR295" i="2"/>
  <c r="BS159" i="2"/>
  <c r="AX347" i="2"/>
  <c r="BH111" i="2"/>
  <c r="BS126" i="2"/>
  <c r="AW432" i="2"/>
  <c r="AU166" i="2"/>
  <c r="BH418" i="2"/>
  <c r="AR16" i="2"/>
  <c r="BR343" i="2"/>
  <c r="BQ13" i="2"/>
  <c r="BG303" i="2"/>
  <c r="AP150" i="2"/>
  <c r="BT411" i="2"/>
  <c r="BR91" i="2"/>
  <c r="BH373" i="2"/>
  <c r="AS338" i="2"/>
  <c r="AV232" i="2"/>
  <c r="AO288" i="2"/>
  <c r="AU423" i="2"/>
  <c r="AW280" i="2"/>
  <c r="J206" i="5"/>
  <c r="AR10" i="2"/>
  <c r="BR108" i="2"/>
  <c r="CH341" i="2"/>
  <c r="CH446" i="2"/>
  <c r="AR166" i="2"/>
  <c r="AU49" i="2"/>
  <c r="BT151" i="2"/>
  <c r="CH32" i="2"/>
  <c r="AR294" i="2"/>
  <c r="AU112" i="2"/>
  <c r="AU385" i="2"/>
  <c r="BS310" i="2"/>
  <c r="BS308" i="2"/>
  <c r="BR444" i="2"/>
  <c r="AX230" i="2"/>
  <c r="BG431" i="2"/>
  <c r="AP463" i="2"/>
  <c r="AV181" i="2"/>
  <c r="AU25" i="2"/>
  <c r="BG26" i="2"/>
  <c r="BH121" i="2"/>
  <c r="AW462" i="2"/>
  <c r="BR345" i="2"/>
  <c r="F173" i="5"/>
  <c r="BH237" i="2"/>
  <c r="BQ266" i="2"/>
  <c r="BS457" i="2"/>
  <c r="BG13" i="2"/>
  <c r="BH244" i="2"/>
  <c r="BR290" i="2"/>
  <c r="BR141" i="2"/>
  <c r="AU276" i="2"/>
  <c r="BT10" i="2"/>
  <c r="CH58" i="2"/>
  <c r="B206" i="5"/>
  <c r="BR344" i="2"/>
  <c r="CH312" i="2"/>
  <c r="CI193" i="2"/>
  <c r="CI64" i="2"/>
  <c r="AV148" i="2"/>
  <c r="CH154" i="2"/>
  <c r="AV358" i="2"/>
  <c r="AW102" i="2"/>
  <c r="BT221" i="2"/>
  <c r="BT363" i="2"/>
  <c r="BS231" i="2"/>
  <c r="BR84" i="2"/>
  <c r="BH416" i="2"/>
  <c r="AT241" i="2"/>
  <c r="AW33" i="2"/>
  <c r="AV336" i="2"/>
  <c r="BG249" i="2"/>
  <c r="BH440" i="2"/>
  <c r="BQ388" i="2"/>
  <c r="BS378" i="2"/>
  <c r="BG117" i="2"/>
  <c r="BH308" i="2"/>
  <c r="BR118" i="2"/>
  <c r="BT145" i="2"/>
  <c r="BG190" i="2"/>
  <c r="BH171" i="2"/>
  <c r="CH19" i="2"/>
  <c r="AU354" i="2"/>
  <c r="AV361" i="2"/>
  <c r="CH295" i="2"/>
  <c r="CI441" i="2"/>
  <c r="N53" i="5"/>
  <c r="BS161" i="2"/>
  <c r="CI104" i="2"/>
  <c r="CI128" i="2"/>
  <c r="J112" i="5"/>
  <c r="AW171" i="2"/>
  <c r="CG459" i="2"/>
  <c r="CG289" i="2"/>
  <c r="AV18" i="2"/>
  <c r="AV33" i="2"/>
  <c r="AW135" i="2"/>
  <c r="BS185" i="2"/>
  <c r="AU453" i="2"/>
  <c r="BS177" i="2"/>
  <c r="BT381" i="2"/>
  <c r="AX258" i="2"/>
  <c r="BH47" i="2"/>
  <c r="BT347" i="2"/>
  <c r="AV315" i="2"/>
  <c r="BT394" i="2"/>
  <c r="BH435" i="2"/>
  <c r="BS178" i="2"/>
  <c r="AW198" i="2"/>
  <c r="AU299" i="2"/>
  <c r="BH290" i="2"/>
  <c r="AV345" i="2"/>
  <c r="AX15" i="2"/>
  <c r="BS174" i="2"/>
  <c r="BQ157" i="2"/>
  <c r="CH53" i="2"/>
  <c r="BG286" i="2"/>
  <c r="AS281" i="2"/>
  <c r="AU158" i="2"/>
  <c r="AX143" i="2"/>
  <c r="J91" i="5"/>
  <c r="AR438" i="2"/>
  <c r="BQ334" i="2"/>
  <c r="BQ436" i="2"/>
  <c r="BT79" i="2"/>
  <c r="AS419" i="2"/>
  <c r="CH367" i="2"/>
  <c r="BQ103" i="2"/>
  <c r="AO364" i="2"/>
  <c r="BT87" i="2"/>
  <c r="CH212" i="2"/>
  <c r="CI212" i="2"/>
  <c r="BH390" i="2"/>
  <c r="K355" i="5"/>
  <c r="BH403" i="2"/>
  <c r="BI436" i="2"/>
  <c r="BJ408" i="2"/>
  <c r="BS422" i="2"/>
  <c r="BS190" i="2"/>
  <c r="CH455" i="2"/>
  <c r="CH423" i="2"/>
  <c r="AW76" i="2"/>
  <c r="BG390" i="2"/>
  <c r="BH97" i="2"/>
  <c r="CG315" i="2"/>
  <c r="BR203" i="2"/>
  <c r="BT255" i="2"/>
  <c r="CI113" i="2"/>
  <c r="BG300" i="2"/>
  <c r="BG63" i="2"/>
  <c r="BG317" i="2"/>
  <c r="BJ465" i="2"/>
  <c r="G217" i="5"/>
  <c r="BH220" i="2"/>
  <c r="BI173" i="2"/>
  <c r="BI246" i="2"/>
  <c r="BJ142" i="2"/>
  <c r="BS374" i="2"/>
  <c r="BT439" i="2"/>
  <c r="AV350" i="2"/>
  <c r="H298" i="5"/>
  <c r="AV236" i="2"/>
  <c r="AV321" i="2"/>
  <c r="AW10" i="2"/>
  <c r="CH45" i="2"/>
  <c r="AW275" i="2"/>
  <c r="CI17" i="2"/>
  <c r="CI196" i="2"/>
  <c r="BG45" i="2"/>
  <c r="BG255" i="2"/>
  <c r="BG347" i="2"/>
  <c r="BH87" i="2"/>
  <c r="AV107" i="2"/>
  <c r="BQ118" i="2"/>
  <c r="BI455" i="2"/>
  <c r="CH103" i="2"/>
  <c r="F8" i="5"/>
  <c r="BG310" i="2"/>
  <c r="BH332" i="2"/>
  <c r="CG297" i="2"/>
  <c r="CI183" i="2"/>
  <c r="CH414" i="2"/>
  <c r="CI297" i="2"/>
  <c r="BI120" i="2"/>
  <c r="BI362" i="2"/>
  <c r="CH62" i="2"/>
  <c r="CH216" i="2"/>
  <c r="BG446" i="2"/>
  <c r="BG48" i="2"/>
  <c r="O33" i="5"/>
  <c r="BI61" i="2"/>
  <c r="AX461" i="2"/>
  <c r="BG173" i="2"/>
  <c r="AW232" i="2"/>
  <c r="AW352" i="2"/>
  <c r="AW345" i="2"/>
  <c r="CI116" i="2"/>
  <c r="BT279" i="2"/>
  <c r="AX270" i="2"/>
  <c r="CI157" i="2"/>
  <c r="BG318" i="2"/>
  <c r="BH389" i="2"/>
  <c r="BG16" i="2"/>
  <c r="BI381" i="2"/>
  <c r="AW351" i="2"/>
  <c r="CI87" i="2"/>
  <c r="BG370" i="2"/>
  <c r="BS176" i="2"/>
  <c r="L85" i="5"/>
  <c r="BT417" i="2"/>
  <c r="BI376" i="2"/>
  <c r="BG89" i="2"/>
  <c r="BQ182" i="2"/>
  <c r="AX17" i="2"/>
  <c r="P156" i="5"/>
  <c r="BT131" i="2"/>
  <c r="BJ325" i="2"/>
  <c r="CH425" i="2"/>
  <c r="CH379" i="2"/>
  <c r="BQ246" i="2"/>
  <c r="G23" i="5"/>
  <c r="CI118" i="2"/>
  <c r="BT42" i="2"/>
  <c r="CI458" i="2"/>
  <c r="BT101" i="2"/>
  <c r="G81" i="5"/>
  <c r="BJ127" i="2"/>
  <c r="BG72" i="2"/>
  <c r="BS99" i="2"/>
  <c r="BG203" i="2"/>
  <c r="BR347" i="2"/>
  <c r="AX279" i="2"/>
  <c r="AX397" i="2"/>
  <c r="BR402" i="2"/>
  <c r="CI421" i="2"/>
  <c r="CH219" i="2"/>
  <c r="E111" i="5"/>
  <c r="BG107" i="2"/>
  <c r="BH460" i="2"/>
  <c r="BH99" i="2"/>
  <c r="BI196" i="2"/>
  <c r="BQ21" i="2"/>
  <c r="BT187" i="2"/>
  <c r="BI305" i="2"/>
  <c r="BT51" i="2"/>
  <c r="L41" i="5"/>
  <c r="BG17" i="2"/>
  <c r="BH178" i="2"/>
  <c r="BR434" i="2"/>
  <c r="BT415" i="2"/>
  <c r="BT65" i="2"/>
  <c r="CH9" i="2"/>
  <c r="BJ237" i="2"/>
  <c r="BI463" i="2"/>
  <c r="BT425" i="2"/>
  <c r="D18" i="5"/>
  <c r="BG363" i="2"/>
  <c r="BH133" i="2"/>
  <c r="BH101" i="2"/>
  <c r="BI58" i="2"/>
  <c r="AV242" i="2"/>
  <c r="BG18" i="2"/>
  <c r="BT181" i="2"/>
  <c r="BQ454" i="2"/>
  <c r="AU391" i="2"/>
  <c r="CH155" i="2"/>
  <c r="CH300" i="2"/>
  <c r="CI86" i="2"/>
  <c r="J22" i="5"/>
  <c r="BG102" i="2"/>
  <c r="BH387" i="2"/>
  <c r="BH118" i="2"/>
  <c r="BI442" i="2"/>
  <c r="BQ260" i="2"/>
  <c r="AW381" i="2"/>
  <c r="BI128" i="2"/>
  <c r="CI309" i="2"/>
  <c r="K17" i="5"/>
  <c r="BG184" i="2"/>
  <c r="BH81" i="2"/>
  <c r="AU178" i="2"/>
  <c r="CI327" i="2"/>
  <c r="BQ451" i="2"/>
  <c r="CI424" i="2"/>
  <c r="BJ76" i="2"/>
  <c r="BI62" i="2"/>
  <c r="CI28" i="2"/>
  <c r="F70" i="5"/>
  <c r="BG322" i="2"/>
  <c r="BH204" i="2"/>
  <c r="BH296" i="2"/>
  <c r="BI424" i="2"/>
  <c r="CG458" i="2"/>
  <c r="CH345" i="2"/>
  <c r="BJ398" i="2"/>
  <c r="AX61" i="2"/>
  <c r="BG116" i="2"/>
  <c r="AU407" i="2"/>
  <c r="CH426" i="2"/>
  <c r="AX90" i="2"/>
  <c r="CI314" i="2"/>
  <c r="I53" i="5"/>
  <c r="AV128" i="2"/>
  <c r="AV287" i="2"/>
  <c r="BR114" i="2"/>
  <c r="CH411" i="2"/>
  <c r="CH11" i="2"/>
  <c r="BJ166" i="2"/>
  <c r="CI345" i="2"/>
  <c r="BT169" i="2"/>
  <c r="N102" i="5"/>
  <c r="BG434" i="2"/>
  <c r="CH358" i="2"/>
  <c r="AW340" i="2"/>
  <c r="CH284" i="2"/>
  <c r="AV400" i="2"/>
  <c r="BS464" i="2"/>
  <c r="BH29" i="2"/>
  <c r="BI252" i="2"/>
  <c r="BS393" i="2"/>
  <c r="BG348" i="2"/>
  <c r="BH317" i="2"/>
  <c r="BJ462" i="2"/>
  <c r="AS164" i="2"/>
  <c r="CH27" i="2"/>
  <c r="BT233" i="2"/>
  <c r="BJ7" i="2"/>
  <c r="BT306" i="2"/>
  <c r="BT427" i="2"/>
  <c r="L101" i="5"/>
  <c r="BQ302" i="2"/>
  <c r="BT214" i="2"/>
  <c r="AW290" i="2"/>
  <c r="CI25" i="2"/>
  <c r="AU95" i="2"/>
  <c r="BS233" i="2"/>
  <c r="BH23" i="2"/>
  <c r="BH285" i="2"/>
  <c r="BI444" i="2"/>
  <c r="AX180" i="2"/>
  <c r="J95" i="5"/>
  <c r="BG439" i="2"/>
  <c r="CH336" i="2"/>
  <c r="CH385" i="2"/>
  <c r="AW426" i="2"/>
  <c r="BI221" i="2"/>
  <c r="BH202" i="2"/>
  <c r="CG282" i="2"/>
  <c r="BR158" i="2"/>
  <c r="BH236" i="2"/>
  <c r="CI190" i="2"/>
  <c r="BG308" i="2"/>
  <c r="BG71" i="2"/>
  <c r="BH255" i="2"/>
  <c r="BI280" i="2"/>
  <c r="BG214" i="2"/>
  <c r="BG14" i="2"/>
  <c r="BI181" i="2"/>
  <c r="BS36" i="2"/>
  <c r="CH50" i="2"/>
  <c r="F267" i="5"/>
  <c r="BT24" i="2"/>
  <c r="BH181" i="2"/>
  <c r="CI150" i="2"/>
  <c r="BQ37" i="2"/>
  <c r="BR386" i="2"/>
  <c r="CH405" i="2"/>
  <c r="BG451" i="2"/>
  <c r="BJ309" i="2"/>
  <c r="BI168" i="2"/>
  <c r="AV316" i="2"/>
  <c r="CH406" i="2"/>
  <c r="BJ333" i="2"/>
  <c r="BR296" i="2"/>
  <c r="BT88" i="2"/>
  <c r="BT376" i="2"/>
  <c r="N197" i="5"/>
  <c r="BJ129" i="2"/>
  <c r="C276" i="6"/>
  <c r="BS458" i="2"/>
  <c r="CH220" i="2"/>
  <c r="BJ394" i="2"/>
  <c r="BG301" i="2"/>
  <c r="BH211" i="2"/>
  <c r="BI244" i="2"/>
  <c r="BJ302" i="2"/>
  <c r="AU75" i="2"/>
  <c r="BJ300" i="2"/>
  <c r="BI395" i="2"/>
  <c r="BT53" i="2"/>
  <c r="CH418" i="2"/>
  <c r="BJ375" i="2"/>
  <c r="BT136" i="2"/>
  <c r="CI330" i="2"/>
  <c r="BT434" i="2"/>
  <c r="F101" i="5"/>
  <c r="BJ63" i="2"/>
  <c r="AV49" i="2"/>
  <c r="BH102" i="2"/>
  <c r="BH127" i="2"/>
  <c r="CH194" i="2"/>
  <c r="AU7" i="2"/>
  <c r="CH197" i="2"/>
  <c r="BI384" i="2"/>
  <c r="BI425" i="2"/>
  <c r="AW250" i="2"/>
  <c r="BT283" i="2"/>
  <c r="BI358" i="2"/>
  <c r="BJ77" i="2"/>
  <c r="CI161" i="2"/>
  <c r="BJ206" i="2"/>
  <c r="CF214" i="2"/>
  <c r="CD124" i="2"/>
  <c r="CC154" i="2"/>
  <c r="CB295" i="2"/>
  <c r="CB299" i="2"/>
  <c r="CA424" i="2"/>
  <c r="BJ233" i="2"/>
  <c r="CF172" i="2"/>
  <c r="CD115" i="2"/>
  <c r="CD434" i="2"/>
  <c r="CD296" i="2"/>
  <c r="CA179" i="2"/>
  <c r="BY241" i="2"/>
  <c r="AW193" i="2"/>
  <c r="BI294" i="2"/>
  <c r="CB95" i="2"/>
  <c r="CD125" i="2"/>
  <c r="CC379" i="2"/>
  <c r="CB84" i="2"/>
  <c r="BI386" i="2"/>
  <c r="BG78" i="2"/>
  <c r="CD413" i="2"/>
  <c r="CE164" i="2"/>
  <c r="CD323" i="2"/>
  <c r="BY68" i="2"/>
  <c r="CA448" i="2"/>
  <c r="BZ262" i="2"/>
  <c r="BI166" i="2"/>
  <c r="BH300" i="2"/>
  <c r="CD148" i="2"/>
  <c r="CE19" i="2"/>
  <c r="CD410" i="2"/>
  <c r="CC82" i="2"/>
  <c r="BZ413" i="2"/>
  <c r="BI8" i="2"/>
  <c r="BJ248" i="2"/>
  <c r="CE270" i="2"/>
  <c r="CC172" i="2"/>
  <c r="CB337" i="2"/>
  <c r="CA311" i="2"/>
  <c r="CB64" i="2"/>
  <c r="BZ253" i="2"/>
  <c r="BI346" i="2"/>
  <c r="CH332" i="2"/>
  <c r="CH113" i="2"/>
  <c r="CH352" i="2"/>
  <c r="BG440" i="2"/>
  <c r="BH337" i="2"/>
  <c r="CI6" i="2"/>
  <c r="BG149" i="2"/>
  <c r="CH116" i="2"/>
  <c r="BH33" i="2"/>
  <c r="BJ243" i="2"/>
  <c r="BT270" i="2"/>
  <c r="CG65" i="2"/>
  <c r="BT23" i="2"/>
  <c r="CH18" i="2"/>
  <c r="BG420" i="2"/>
  <c r="AV206" i="2"/>
  <c r="BH294" i="2"/>
  <c r="BS46" i="2"/>
  <c r="BT335" i="2"/>
  <c r="AV15" i="2"/>
  <c r="CI20" i="2"/>
  <c r="BS55" i="2"/>
  <c r="BI174" i="2"/>
  <c r="BI177" i="2"/>
  <c r="CI233" i="2"/>
  <c r="CI8" i="2"/>
  <c r="BG236" i="2"/>
  <c r="BG254" i="2"/>
  <c r="BG361" i="2"/>
  <c r="BI155" i="2"/>
  <c r="BR433" i="2"/>
  <c r="BH176" i="2"/>
  <c r="CG91" i="2"/>
  <c r="CG224" i="2"/>
  <c r="AV416" i="2"/>
  <c r="BT104" i="2"/>
  <c r="BG187" i="2"/>
  <c r="BT98" i="2"/>
  <c r="BG153" i="2"/>
  <c r="BH314" i="2"/>
  <c r="BI227" i="2"/>
  <c r="BJ227" i="2"/>
  <c r="AW448" i="2"/>
  <c r="BT239" i="2"/>
  <c r="BS442" i="2"/>
  <c r="BJ199" i="2"/>
  <c r="O38" i="5"/>
  <c r="BG143" i="2"/>
  <c r="BH423" i="2"/>
  <c r="BI145" i="2"/>
  <c r="AX317" i="2"/>
  <c r="CH316" i="2"/>
  <c r="C182" i="5"/>
  <c r="BG419" i="2"/>
  <c r="AO168" i="2"/>
  <c r="BJ120" i="2"/>
  <c r="AX306" i="2"/>
  <c r="BG409" i="2"/>
  <c r="BH139" i="2"/>
  <c r="BI172" i="2"/>
  <c r="BJ132" i="2"/>
  <c r="BQ461" i="2"/>
  <c r="BQ314" i="2"/>
  <c r="BH39" i="2"/>
  <c r="CG260" i="2"/>
  <c r="BT371" i="2"/>
  <c r="BT40" i="2"/>
  <c r="CH54" i="2"/>
  <c r="BG454" i="2"/>
  <c r="CI260" i="2"/>
  <c r="BG320" i="2"/>
  <c r="BH217" i="2"/>
  <c r="BI290" i="2"/>
  <c r="BJ162" i="2"/>
  <c r="BT67" i="2"/>
  <c r="CI438" i="2"/>
  <c r="CH83" i="2"/>
  <c r="BJ94" i="2"/>
  <c r="N120" i="5"/>
  <c r="BH277" i="2"/>
  <c r="BH286" i="2"/>
  <c r="BI144" i="2"/>
  <c r="CH163" i="2"/>
  <c r="CI147" i="2"/>
  <c r="F60" i="5"/>
  <c r="BG309" i="2"/>
  <c r="CI66" i="2"/>
  <c r="AV231" i="2"/>
  <c r="CH306" i="2"/>
  <c r="BG442" i="2"/>
  <c r="BH58" i="2"/>
  <c r="BI299" i="2"/>
  <c r="BJ443" i="2"/>
  <c r="BT437" i="2"/>
  <c r="BT286" i="2"/>
  <c r="BS47" i="2"/>
  <c r="AX396" i="2"/>
  <c r="M53" i="5"/>
  <c r="BH92" i="2"/>
  <c r="CH200" i="2"/>
  <c r="AU69" i="2"/>
  <c r="BQ279" i="2"/>
  <c r="G242" i="5"/>
  <c r="BH429" i="2"/>
  <c r="CH72" i="2"/>
  <c r="CH8" i="2"/>
  <c r="BT39" i="2"/>
  <c r="CI207" i="2"/>
  <c r="CH31" i="2"/>
  <c r="BG46" i="2"/>
  <c r="CH110" i="2"/>
  <c r="I296" i="5"/>
  <c r="BG248" i="2"/>
  <c r="BH145" i="2"/>
  <c r="BI130" i="2"/>
  <c r="CI361" i="2"/>
  <c r="CH235" i="2"/>
  <c r="AX361" i="2"/>
  <c r="BI93" i="2"/>
  <c r="BI41" i="2"/>
  <c r="BS121" i="2"/>
  <c r="CH356" i="2"/>
  <c r="BI22" i="2"/>
  <c r="BJ188" i="2"/>
  <c r="AU408" i="2"/>
  <c r="BQ459" i="2"/>
  <c r="CI30" i="2"/>
  <c r="CH107" i="2"/>
  <c r="BG378" i="2"/>
  <c r="AW438" i="2"/>
  <c r="BG180" i="2"/>
  <c r="BH465" i="2"/>
  <c r="BG413" i="2"/>
  <c r="BT290" i="2"/>
  <c r="AX173" i="2"/>
  <c r="CH170" i="2"/>
  <c r="AX415" i="2"/>
  <c r="BG324" i="2"/>
  <c r="BI78" i="2"/>
  <c r="BI297" i="2"/>
  <c r="AX185" i="2"/>
  <c r="BT161" i="2"/>
  <c r="BI278" i="2"/>
  <c r="AV257" i="2"/>
  <c r="AV313" i="2"/>
  <c r="CI429" i="2"/>
  <c r="C175" i="5"/>
  <c r="BJ451" i="2"/>
  <c r="BI14" i="2"/>
  <c r="BR26" i="2"/>
  <c r="BQ457" i="2"/>
  <c r="BJ20" i="2"/>
  <c r="G138" i="5"/>
  <c r="BH284" i="2"/>
  <c r="BI237" i="2"/>
  <c r="BI310" i="2"/>
  <c r="BJ262" i="2"/>
  <c r="BJ286" i="2"/>
  <c r="BI186" i="2"/>
  <c r="BT258" i="2"/>
  <c r="BR413" i="2"/>
  <c r="BI151" i="2"/>
  <c r="BS196" i="2"/>
  <c r="CH130" i="2"/>
  <c r="AV194" i="2"/>
  <c r="CI82" i="2"/>
  <c r="BR351" i="2"/>
  <c r="BT171" i="2"/>
  <c r="BG12" i="2"/>
  <c r="AU427" i="2"/>
  <c r="AU187" i="2"/>
  <c r="AV349" i="2"/>
  <c r="BT447" i="2"/>
  <c r="CI318" i="2"/>
  <c r="BS272" i="2"/>
  <c r="CH146" i="2"/>
  <c r="CH180" i="2"/>
  <c r="H296" i="5"/>
  <c r="BG240" i="2"/>
  <c r="CI151" i="2"/>
  <c r="BT324" i="2"/>
  <c r="CI320" i="2"/>
  <c r="CH334" i="2"/>
  <c r="BT375" i="2"/>
  <c r="BH74" i="2"/>
  <c r="AS351" i="2"/>
  <c r="BS440" i="2"/>
  <c r="BH419" i="2"/>
  <c r="BI205" i="2"/>
  <c r="BH359" i="2"/>
  <c r="BR455" i="2"/>
  <c r="BS41" i="2"/>
  <c r="AS224" i="2"/>
  <c r="AT244" i="2"/>
  <c r="CG261" i="2"/>
  <c r="AU259" i="2"/>
  <c r="BG172" i="2"/>
  <c r="BH417" i="2"/>
  <c r="BG105" i="2"/>
  <c r="BT361" i="2"/>
  <c r="CI376" i="2"/>
  <c r="AX139" i="2"/>
  <c r="BG380" i="2"/>
  <c r="CH456" i="2"/>
  <c r="CH445" i="2"/>
  <c r="BJ422" i="2"/>
  <c r="BT338" i="2"/>
  <c r="AV213" i="2"/>
  <c r="CI243" i="2"/>
  <c r="BJ176" i="2"/>
  <c r="BI148" i="2"/>
  <c r="BI341" i="2"/>
  <c r="J78" i="5"/>
  <c r="CD438" i="2"/>
  <c r="CE465" i="2"/>
  <c r="CD91" i="2"/>
  <c r="BZ137" i="2"/>
  <c r="CA97" i="2"/>
  <c r="BZ152" i="2"/>
  <c r="CI188" i="2"/>
  <c r="CF171" i="2"/>
  <c r="CF98" i="2"/>
  <c r="CB349" i="2"/>
  <c r="CB43" i="2"/>
  <c r="CB174" i="2"/>
  <c r="BZ397" i="2"/>
  <c r="BJ91" i="2"/>
  <c r="BH457" i="2"/>
  <c r="CE308" i="2"/>
  <c r="CE340" i="2"/>
  <c r="BZ385" i="2"/>
  <c r="CA339" i="2"/>
  <c r="BG183" i="2"/>
  <c r="BJ269" i="2"/>
  <c r="CF178" i="2"/>
  <c r="CD83" i="2"/>
  <c r="CC156" i="2"/>
  <c r="CB338" i="2"/>
  <c r="CB117" i="2"/>
  <c r="CA274" i="2"/>
  <c r="BH458" i="2"/>
  <c r="BJ36" i="2"/>
  <c r="CF289" i="2"/>
  <c r="CD394" i="2"/>
  <c r="CC239" i="2"/>
  <c r="CB449" i="2"/>
  <c r="CB131" i="2"/>
  <c r="BI224" i="2"/>
  <c r="N87" i="5"/>
  <c r="CD213" i="2"/>
  <c r="CE206" i="2"/>
  <c r="CB115" i="2"/>
  <c r="BX81" i="2"/>
  <c r="BZ148" i="2"/>
  <c r="BY448" i="2"/>
  <c r="AN432" i="2"/>
  <c r="I238" i="5"/>
  <c r="AT61" i="2"/>
  <c r="CH14" i="2"/>
  <c r="AX80" i="2"/>
  <c r="BQ81" i="2"/>
  <c r="BR134" i="2"/>
  <c r="CI416" i="2"/>
  <c r="BI123" i="2"/>
  <c r="CH80" i="2"/>
  <c r="BR281" i="2"/>
  <c r="CH114" i="2"/>
  <c r="AV279" i="2"/>
  <c r="BQ419" i="2"/>
  <c r="CI49" i="2"/>
  <c r="BG292" i="2"/>
  <c r="BJ79" i="2"/>
  <c r="BJ103" i="2"/>
  <c r="CI313" i="2"/>
  <c r="BG346" i="2"/>
  <c r="BH212" i="2"/>
  <c r="BI165" i="2"/>
  <c r="BJ317" i="2"/>
  <c r="AU33" i="2"/>
  <c r="BT366" i="2"/>
  <c r="BR268" i="2"/>
  <c r="AT233" i="2"/>
  <c r="CI460" i="2"/>
  <c r="BS415" i="2"/>
  <c r="CH444" i="2"/>
  <c r="BH394" i="2"/>
  <c r="BG306" i="2"/>
  <c r="BH88" i="2"/>
  <c r="AS392" i="2"/>
  <c r="BQ280" i="2"/>
  <c r="CH441" i="2"/>
  <c r="AT223" i="2"/>
  <c r="CI401" i="2"/>
  <c r="BT391" i="2"/>
  <c r="BG429" i="2"/>
  <c r="BG151" i="2"/>
  <c r="BI309" i="2"/>
  <c r="BQ446" i="2"/>
  <c r="CH135" i="2"/>
  <c r="CI418" i="2"/>
  <c r="N177" i="5"/>
  <c r="BG465" i="2"/>
  <c r="BH195" i="2"/>
  <c r="BI213" i="2"/>
  <c r="CI171" i="2"/>
  <c r="BG186" i="2"/>
  <c r="BH376" i="2"/>
  <c r="AQ77" i="2"/>
  <c r="BT362" i="2"/>
  <c r="CH268" i="2"/>
  <c r="CH384" i="2"/>
  <c r="CI155" i="2"/>
  <c r="BS91" i="2"/>
  <c r="AU425" i="2"/>
  <c r="BS175" i="2"/>
  <c r="CH97" i="2"/>
  <c r="CI355" i="2"/>
  <c r="BH297" i="2"/>
  <c r="BG290" i="2"/>
  <c r="BH447" i="2"/>
  <c r="AU228" i="2"/>
  <c r="BT25" i="2"/>
  <c r="CH79" i="2"/>
  <c r="CH373" i="2"/>
  <c r="AT163" i="2"/>
  <c r="CI303" i="2"/>
  <c r="BH381" i="2"/>
  <c r="BH93" i="2"/>
  <c r="BI316" i="2"/>
  <c r="BR131" i="2"/>
  <c r="K255" i="5"/>
  <c r="BT176" i="2"/>
  <c r="G169" i="5"/>
  <c r="BG142" i="2"/>
  <c r="BH114" i="2"/>
  <c r="BI27" i="2"/>
  <c r="CI39" i="2"/>
  <c r="BG161" i="2"/>
  <c r="BH207" i="2"/>
  <c r="BQ237" i="2"/>
  <c r="BT295" i="2"/>
  <c r="CH81" i="2"/>
  <c r="CI176" i="2"/>
  <c r="CH396" i="2"/>
  <c r="CI138" i="2"/>
  <c r="BH335" i="2"/>
  <c r="BH91" i="2"/>
  <c r="AN287" i="2"/>
  <c r="CI267" i="2"/>
  <c r="AW91" i="2"/>
  <c r="BQ55" i="2"/>
  <c r="BG38" i="2"/>
  <c r="AS258" i="2"/>
  <c r="CH263" i="2"/>
  <c r="BR92" i="2"/>
  <c r="CH353" i="2"/>
  <c r="AV300" i="2"/>
  <c r="CI68" i="2"/>
  <c r="BJ268" i="2"/>
  <c r="J300" i="5"/>
  <c r="BH341" i="2"/>
  <c r="BH358" i="2"/>
  <c r="BI208" i="2"/>
  <c r="AW69" i="2"/>
  <c r="AW344" i="2"/>
  <c r="CI268" i="2"/>
  <c r="D152" i="5"/>
  <c r="BJ442" i="2"/>
  <c r="BQ346" i="2"/>
  <c r="BR224" i="2"/>
  <c r="CI55" i="2"/>
  <c r="AQ222" i="2"/>
  <c r="BI57" i="2"/>
  <c r="CG399" i="2"/>
  <c r="CH211" i="2"/>
  <c r="CH427" i="2"/>
  <c r="CH88" i="2"/>
  <c r="BJ157" i="2"/>
  <c r="H146" i="5"/>
  <c r="BH156" i="2"/>
  <c r="BI109" i="2"/>
  <c r="AV266" i="2"/>
  <c r="BR416" i="2"/>
  <c r="BQ433" i="2"/>
  <c r="AS345" i="2"/>
  <c r="BG109" i="2"/>
  <c r="AW284" i="2"/>
  <c r="AW131" i="2"/>
  <c r="AU38" i="2"/>
  <c r="AW204" i="2"/>
  <c r="CI178" i="2"/>
  <c r="BJ143" i="2"/>
  <c r="AW441" i="2"/>
  <c r="BQ137" i="2"/>
  <c r="C25" i="5"/>
  <c r="BG73" i="2"/>
  <c r="CI162" i="2"/>
  <c r="BR383" i="2"/>
  <c r="CI115" i="2"/>
  <c r="BT113" i="2"/>
  <c r="BR411" i="2"/>
  <c r="BH347" i="2"/>
  <c r="AN56" i="2"/>
  <c r="BS321" i="2"/>
  <c r="BG336" i="2"/>
  <c r="BH137" i="2"/>
  <c r="CH359" i="2"/>
  <c r="AW70" i="2"/>
  <c r="CI194" i="2"/>
  <c r="CH291" i="2"/>
  <c r="BJ28" i="2"/>
  <c r="CI261" i="2"/>
  <c r="CH271" i="2"/>
  <c r="CH119" i="2"/>
  <c r="BQ129" i="2"/>
  <c r="BT389" i="2"/>
  <c r="BG212" i="2"/>
  <c r="BH427" i="2"/>
  <c r="BT241" i="2"/>
  <c r="BT153" i="2"/>
  <c r="BT299" i="2"/>
  <c r="CH432" i="2"/>
  <c r="AV59" i="2"/>
  <c r="BI349" i="2"/>
  <c r="BT392" i="2"/>
  <c r="BG405" i="2"/>
  <c r="BH333" i="2"/>
  <c r="BH342" i="2"/>
  <c r="BG387" i="2"/>
  <c r="CH275" i="2"/>
  <c r="AW247" i="2"/>
  <c r="CI204" i="2"/>
  <c r="BI377" i="2"/>
  <c r="BJ415" i="2"/>
  <c r="BR445" i="2"/>
  <c r="BR375" i="2"/>
  <c r="BJ403" i="2"/>
  <c r="BJ395" i="2"/>
  <c r="BG29" i="2"/>
  <c r="CI281" i="2"/>
  <c r="CH437" i="2"/>
  <c r="CH208" i="2"/>
  <c r="BH183" i="2"/>
  <c r="CI208" i="2"/>
  <c r="BG170" i="2"/>
  <c r="BH148" i="2"/>
  <c r="BI101" i="2"/>
  <c r="AV308" i="2"/>
  <c r="CH398" i="2"/>
  <c r="BS304" i="2"/>
  <c r="BI465" i="2"/>
  <c r="BI452" i="2"/>
  <c r="CH428" i="2"/>
  <c r="CH337" i="2"/>
  <c r="BG40" i="2"/>
  <c r="CH382" i="2"/>
  <c r="BS322" i="2"/>
  <c r="CI103" i="2"/>
  <c r="BH298" i="2"/>
  <c r="BG82" i="2"/>
  <c r="BG321" i="2"/>
  <c r="BJ270" i="2"/>
  <c r="CF370" i="2"/>
  <c r="CD52" i="2"/>
  <c r="CC138" i="2"/>
  <c r="CB411" i="2"/>
  <c r="CB309" i="2"/>
  <c r="CA419" i="2"/>
  <c r="BJ463" i="2"/>
  <c r="CF28" i="2"/>
  <c r="CE321" i="2"/>
  <c r="CD40" i="2"/>
  <c r="CB109" i="2"/>
  <c r="BY397" i="2"/>
  <c r="BY97" i="2"/>
  <c r="AU268" i="2"/>
  <c r="N39" i="5"/>
  <c r="CD425" i="2"/>
  <c r="CD324" i="2"/>
  <c r="CA73" i="2"/>
  <c r="CC406" i="2"/>
  <c r="BJ433" i="2"/>
  <c r="BI366" i="2"/>
  <c r="CE18" i="2"/>
  <c r="CE139" i="2"/>
  <c r="CC274" i="2"/>
  <c r="CA370" i="2"/>
  <c r="CA464" i="2"/>
  <c r="BZ161" i="2"/>
  <c r="BJ16" i="2"/>
  <c r="BJ17" i="2"/>
  <c r="CE192" i="2"/>
  <c r="CE242" i="2"/>
  <c r="CC161" i="2"/>
  <c r="CA399" i="2"/>
  <c r="CA218" i="2"/>
  <c r="BI69" i="2"/>
  <c r="C96" i="5"/>
  <c r="CE329" i="2"/>
  <c r="CC166" i="2"/>
  <c r="CC198" i="2"/>
  <c r="CB313" i="2"/>
  <c r="BZ180" i="2"/>
  <c r="BI448" i="2"/>
  <c r="BG294" i="2"/>
  <c r="BG130" i="2"/>
  <c r="BS86" i="2"/>
  <c r="BH353" i="2"/>
  <c r="AV423" i="2"/>
  <c r="F296" i="5"/>
  <c r="BH228" i="2"/>
  <c r="BJ278" i="2"/>
  <c r="BS218" i="2"/>
  <c r="BS297" i="2"/>
  <c r="BT29" i="2"/>
  <c r="CI397" i="2"/>
  <c r="CH36" i="2"/>
  <c r="CI363" i="2"/>
  <c r="CH156" i="2"/>
  <c r="BG328" i="2"/>
  <c r="CH350" i="2"/>
  <c r="BG69" i="2"/>
  <c r="CI189" i="2"/>
  <c r="E120" i="5"/>
  <c r="BG341" i="2"/>
  <c r="BH268" i="2"/>
  <c r="BH177" i="2"/>
  <c r="BT298" i="2"/>
  <c r="BG189" i="2"/>
  <c r="BH66" i="2"/>
  <c r="AQ401" i="2"/>
  <c r="AW328" i="2"/>
  <c r="BT213" i="2"/>
  <c r="BS370" i="2"/>
  <c r="K365" i="5"/>
  <c r="CH105" i="2"/>
  <c r="AT408" i="2"/>
  <c r="AX387" i="2"/>
  <c r="BT409" i="2"/>
  <c r="L93" i="5"/>
  <c r="BI361" i="2"/>
  <c r="BI445" i="2"/>
  <c r="AV272" i="2"/>
  <c r="BS165" i="2"/>
  <c r="BI363" i="2"/>
  <c r="AW82" i="2"/>
  <c r="BT395" i="2"/>
  <c r="CI462" i="2"/>
  <c r="CH52" i="2"/>
  <c r="BJ405" i="2"/>
  <c r="BI314" i="2"/>
  <c r="BR209" i="2"/>
  <c r="AX404" i="2"/>
  <c r="BI48" i="2"/>
  <c r="CI72" i="2"/>
  <c r="BG128" i="2"/>
  <c r="BH25" i="2"/>
  <c r="BI98" i="2"/>
  <c r="BJ419" i="2"/>
  <c r="BI90" i="2"/>
  <c r="BH302" i="2"/>
  <c r="BQ249" i="2"/>
  <c r="BR104" i="2"/>
  <c r="BI140" i="2"/>
  <c r="AX166" i="2"/>
  <c r="CI403" i="2"/>
  <c r="BG458" i="2"/>
  <c r="CI81" i="2"/>
  <c r="AU55" i="2"/>
  <c r="CH181" i="2"/>
  <c r="CH87" i="2"/>
  <c r="G128" i="5"/>
  <c r="BI360" i="2"/>
  <c r="BI324" i="2"/>
  <c r="AX157" i="2"/>
  <c r="BT140" i="2"/>
  <c r="BI385" i="2"/>
  <c r="BT100" i="2"/>
  <c r="CH323" i="2"/>
  <c r="AW411" i="2"/>
  <c r="CI426" i="2"/>
  <c r="BJ204" i="2"/>
  <c r="BI169" i="2"/>
  <c r="BR133" i="2"/>
  <c r="CH381" i="2"/>
  <c r="BI102" i="2"/>
  <c r="O43" i="5"/>
  <c r="BG79" i="2"/>
  <c r="BH263" i="2"/>
  <c r="BI81" i="2"/>
  <c r="BJ121" i="2"/>
  <c r="BI416" i="2"/>
  <c r="BI125" i="2"/>
  <c r="BS197" i="2"/>
  <c r="BS312" i="2"/>
  <c r="BI234" i="2"/>
  <c r="BT310" i="2"/>
  <c r="CH327" i="2"/>
  <c r="CH209" i="2"/>
  <c r="N272" i="5"/>
  <c r="BJ266" i="2"/>
  <c r="BI398" i="2"/>
  <c r="BQ445" i="2"/>
  <c r="CI342" i="2"/>
  <c r="AW100" i="2"/>
  <c r="BR73" i="2"/>
  <c r="AO348" i="2"/>
  <c r="BR193" i="2"/>
  <c r="AT353" i="2"/>
  <c r="BT215" i="2"/>
  <c r="CH310" i="2"/>
  <c r="E5" i="5"/>
  <c r="BG99" i="2"/>
  <c r="BT263" i="2"/>
  <c r="BH157" i="2"/>
  <c r="BI380" i="2"/>
  <c r="BQ43" i="2"/>
  <c r="G114" i="5"/>
  <c r="BQ367" i="2"/>
  <c r="BR55" i="2"/>
  <c r="J41" i="5"/>
  <c r="BG9" i="2"/>
  <c r="CH391" i="2"/>
  <c r="CI122" i="2"/>
  <c r="BT167" i="2"/>
  <c r="BT287" i="2"/>
  <c r="BH64" i="2"/>
  <c r="BG464" i="2"/>
  <c r="BQ181" i="2"/>
  <c r="CH378" i="2"/>
  <c r="C147" i="5"/>
  <c r="BG355" i="2"/>
  <c r="BT59" i="2"/>
  <c r="BH155" i="2"/>
  <c r="AP165" i="2"/>
  <c r="AU163" i="2"/>
  <c r="AU410" i="2"/>
  <c r="AW354" i="2"/>
  <c r="BS424" i="2"/>
  <c r="BG326" i="2"/>
  <c r="BH462" i="2"/>
  <c r="AU304" i="2"/>
  <c r="AU206" i="2"/>
  <c r="CI294" i="2"/>
  <c r="BS30" i="2"/>
  <c r="CI14" i="2"/>
  <c r="BH42" i="2"/>
  <c r="CH362" i="2"/>
  <c r="BG436" i="2"/>
  <c r="BG199" i="2"/>
  <c r="BH8" i="2"/>
  <c r="J68" i="5"/>
  <c r="BS416" i="2"/>
  <c r="CI206" i="2"/>
  <c r="CH165" i="2"/>
  <c r="BI323" i="2"/>
  <c r="BI191" i="2"/>
  <c r="AW191" i="2"/>
  <c r="CI187" i="2"/>
  <c r="BJ101" i="2"/>
  <c r="BJ27" i="2"/>
  <c r="AX78" i="2"/>
  <c r="CH329" i="2"/>
  <c r="AX189" i="2"/>
  <c r="CI226" i="2"/>
  <c r="BH196" i="2"/>
  <c r="CH442" i="2"/>
  <c r="BG307" i="2"/>
  <c r="CH296" i="2"/>
  <c r="AQ251" i="2"/>
  <c r="BT317" i="2"/>
  <c r="BH188" i="2"/>
  <c r="AX109" i="2"/>
  <c r="CH74" i="2"/>
  <c r="AV454" i="2"/>
  <c r="AU148" i="2"/>
  <c r="CH230" i="2"/>
  <c r="N156" i="5"/>
  <c r="BJ42" i="2"/>
  <c r="BG453" i="2"/>
  <c r="BH339" i="2"/>
  <c r="BI372" i="2"/>
  <c r="BJ351" i="2"/>
  <c r="BT45" i="2"/>
  <c r="CI245" i="2"/>
  <c r="BR270" i="2"/>
  <c r="G199" i="5"/>
  <c r="BJ279" i="2"/>
  <c r="BR451" i="2"/>
  <c r="CI58" i="2"/>
  <c r="BT15" i="2"/>
  <c r="CH218" i="2"/>
  <c r="AS397" i="2"/>
  <c r="BR304" i="2"/>
  <c r="BT368" i="2"/>
  <c r="CH314" i="2"/>
  <c r="N304" i="5"/>
  <c r="BJ378" i="2"/>
  <c r="BG379" i="2"/>
  <c r="BH450" i="2"/>
  <c r="AQ363" i="2"/>
  <c r="BQ93" i="2"/>
  <c r="BT146" i="2"/>
  <c r="CI289" i="2"/>
  <c r="BG242" i="2"/>
  <c r="BS369" i="2"/>
  <c r="BR42" i="2"/>
  <c r="CI248" i="2"/>
  <c r="CH30" i="2"/>
  <c r="BT28" i="2"/>
  <c r="CI393" i="2"/>
  <c r="BT138" i="2"/>
  <c r="CH129" i="2"/>
  <c r="BJ171" i="2"/>
  <c r="BJ461" i="2"/>
  <c r="BJ26" i="2"/>
  <c r="BI137" i="2"/>
  <c r="CE210" i="2"/>
  <c r="CE427" i="2"/>
  <c r="CC195" i="2"/>
  <c r="CA50" i="2"/>
  <c r="CA196" i="2"/>
  <c r="BZ353" i="2"/>
  <c r="BI367" i="2"/>
  <c r="CE51" i="2"/>
  <c r="CD31" i="2"/>
  <c r="CB197" i="2"/>
  <c r="CA371" i="2"/>
  <c r="CB102" i="2"/>
  <c r="BZ325" i="2"/>
  <c r="BI111" i="2"/>
  <c r="H182" i="5"/>
  <c r="CE166" i="2"/>
  <c r="CE71" i="2"/>
  <c r="CB264" i="2"/>
  <c r="CA408" i="2"/>
  <c r="BS22" i="2"/>
  <c r="F42" i="5"/>
  <c r="CD239" i="2"/>
  <c r="CD444" i="2"/>
  <c r="CC204" i="2"/>
  <c r="CB199" i="2"/>
  <c r="CA240" i="2"/>
  <c r="BW346" i="2"/>
  <c r="C59" i="5"/>
  <c r="L152" i="5"/>
  <c r="CC373" i="2"/>
  <c r="CD272" i="2"/>
  <c r="CC164" i="2"/>
  <c r="CB77" i="2"/>
  <c r="CA279" i="2"/>
  <c r="BJ295" i="2"/>
  <c r="CF129" i="2"/>
  <c r="CD39" i="2"/>
  <c r="CD33" i="2"/>
  <c r="CC325" i="2"/>
  <c r="CA335" i="2"/>
  <c r="BY326" i="2"/>
  <c r="BH388" i="2"/>
  <c r="AU23" i="2"/>
  <c r="BQ82" i="2"/>
  <c r="BH442" i="2"/>
  <c r="AO74" i="2"/>
  <c r="BQ239" i="2"/>
  <c r="BT432" i="2"/>
  <c r="BH250" i="2"/>
  <c r="BI203" i="2"/>
  <c r="BI132" i="2"/>
  <c r="BQ442" i="2"/>
  <c r="BH259" i="2"/>
  <c r="CH244" i="2"/>
  <c r="BG182" i="2"/>
  <c r="BH122" i="2"/>
  <c r="BI459" i="2"/>
  <c r="BJ35" i="2"/>
  <c r="BI211" i="2"/>
  <c r="BH96" i="2"/>
  <c r="BQ248" i="2"/>
  <c r="AX250" i="2"/>
  <c r="BH182" i="2"/>
  <c r="AU250" i="2"/>
  <c r="CH460" i="2"/>
  <c r="BH239" i="2"/>
  <c r="AW46" i="2"/>
  <c r="AV436" i="2"/>
  <c r="BS326" i="2"/>
  <c r="E165" i="5"/>
  <c r="AU417" i="2"/>
  <c r="AU444" i="2"/>
  <c r="BQ38" i="2"/>
  <c r="AU24" i="2"/>
  <c r="BT71" i="2"/>
  <c r="BJ73" i="2"/>
  <c r="AT221" i="2"/>
  <c r="BT440" i="2"/>
  <c r="CI312" i="2"/>
  <c r="BG325" i="2"/>
  <c r="BS394" i="2"/>
  <c r="AS235" i="2"/>
  <c r="CI85" i="2"/>
  <c r="CH440" i="2"/>
  <c r="BJ30" i="2"/>
  <c r="BG264" i="2"/>
  <c r="BH230" i="2"/>
  <c r="AX448" i="2"/>
  <c r="AX125" i="2"/>
  <c r="J10" i="5"/>
  <c r="BJ64" i="2"/>
  <c r="AO144" i="2"/>
  <c r="BT8" i="2"/>
  <c r="CI153" i="2"/>
  <c r="BJ329" i="2"/>
  <c r="CH433" i="2"/>
  <c r="CI249" i="2"/>
  <c r="AS35" i="2"/>
  <c r="CH454" i="2"/>
  <c r="AW27" i="2"/>
  <c r="CH122" i="2"/>
  <c r="J160" i="5"/>
  <c r="AV200" i="2"/>
  <c r="AV384" i="2"/>
  <c r="AV417" i="2"/>
  <c r="BT257" i="2"/>
  <c r="BR377" i="2"/>
  <c r="BJ303" i="2"/>
  <c r="CH302" i="2"/>
  <c r="CI230" i="2"/>
  <c r="O91" i="5"/>
  <c r="BG35" i="2"/>
  <c r="BR288" i="2"/>
  <c r="AX194" i="2"/>
  <c r="BQ218" i="2"/>
  <c r="CI232" i="2"/>
  <c r="BJ38" i="2"/>
  <c r="BG23" i="2"/>
  <c r="BI245" i="2"/>
  <c r="BR186" i="2"/>
  <c r="BS316" i="2"/>
  <c r="BG410" i="2"/>
  <c r="BJ255" i="2"/>
  <c r="AW444" i="2"/>
  <c r="BR163" i="2"/>
  <c r="AU295" i="2"/>
  <c r="BJ168" i="2"/>
  <c r="CH193" i="2"/>
  <c r="AU77" i="2"/>
  <c r="AE320" i="2"/>
  <c r="BG329" i="2"/>
  <c r="CI284" i="2"/>
  <c r="BQ337" i="2"/>
  <c r="AW393" i="2"/>
  <c r="BG241" i="2"/>
  <c r="AV23" i="2"/>
  <c r="AN177" i="2"/>
  <c r="BQ236" i="2"/>
  <c r="CI258" i="2"/>
  <c r="C56" i="5"/>
  <c r="BR398" i="2"/>
  <c r="B75" i="5"/>
  <c r="BG145" i="2"/>
  <c r="BH306" i="2"/>
  <c r="BI92" i="2"/>
  <c r="BI233" i="2"/>
  <c r="BQ25" i="2"/>
  <c r="BT63" i="2"/>
  <c r="BI190" i="2"/>
  <c r="CI93" i="2"/>
  <c r="BG372" i="2"/>
  <c r="BG135" i="2"/>
  <c r="BH375" i="2"/>
  <c r="BQ370" i="2"/>
  <c r="BQ73" i="2"/>
  <c r="CH252" i="2"/>
  <c r="C159" i="5"/>
  <c r="BJ299" i="2"/>
  <c r="BJ133" i="2"/>
  <c r="AU284" i="2"/>
  <c r="D60" i="5"/>
  <c r="BG401" i="2"/>
  <c r="BH131" i="2"/>
  <c r="BI85" i="2"/>
  <c r="BI431" i="2"/>
  <c r="AX151" i="2"/>
  <c r="CI120" i="2"/>
  <c r="CI184" i="2"/>
  <c r="AX184" i="2"/>
  <c r="BS303" i="2"/>
  <c r="BH117" i="2"/>
  <c r="AW226" i="2"/>
  <c r="BS157" i="2"/>
  <c r="AT94" i="2"/>
  <c r="CI288" i="2"/>
  <c r="BT460" i="2"/>
  <c r="CI131" i="2"/>
  <c r="BJ107" i="2"/>
  <c r="O83" i="5"/>
  <c r="BH412" i="2"/>
  <c r="BI365" i="2"/>
  <c r="BI287" i="2"/>
  <c r="BR447" i="2"/>
  <c r="BT134" i="2"/>
  <c r="CH272" i="2"/>
  <c r="O289" i="5"/>
  <c r="BJ65" i="2"/>
  <c r="AX299" i="2"/>
  <c r="CH346" i="2"/>
  <c r="AW189" i="2"/>
  <c r="AW54" i="2"/>
  <c r="BJ123" i="2"/>
  <c r="AW207" i="2"/>
  <c r="CI125" i="2"/>
  <c r="BR300" i="2"/>
  <c r="CI215" i="2"/>
  <c r="BJ12" i="2"/>
  <c r="BG444" i="2"/>
  <c r="BH83" i="2"/>
  <c r="L139" i="5"/>
  <c r="BS328" i="2"/>
  <c r="AR374" i="2"/>
  <c r="AS91" i="2"/>
  <c r="BT377" i="2"/>
  <c r="CH305" i="2"/>
  <c r="AV441" i="2"/>
  <c r="AX297" i="2"/>
  <c r="B38" i="5"/>
  <c r="BG137" i="2"/>
  <c r="CH450" i="2"/>
  <c r="BH266" i="2"/>
  <c r="AS7" i="2"/>
  <c r="BQ79" i="2"/>
  <c r="BH438" i="2"/>
  <c r="BQ35" i="2"/>
  <c r="CI395" i="2"/>
  <c r="BG364" i="2"/>
  <c r="BG127" i="2"/>
  <c r="B168" i="5"/>
  <c r="BT132" i="2"/>
  <c r="BR352" i="2"/>
  <c r="CH188" i="2"/>
  <c r="BI179" i="2"/>
  <c r="BH95" i="2"/>
  <c r="BT85" i="2"/>
  <c r="CI440" i="2"/>
  <c r="O165" i="5"/>
  <c r="BG393" i="2"/>
  <c r="CH269" i="2"/>
  <c r="BH32" i="2"/>
  <c r="BR219" i="2"/>
  <c r="AX23" i="2"/>
  <c r="BI383" i="2"/>
  <c r="CH438" i="2"/>
  <c r="F39" i="5"/>
  <c r="AT15" i="2"/>
  <c r="BI247" i="2"/>
  <c r="BT62" i="2"/>
  <c r="D123" i="5"/>
  <c r="BG227" i="2"/>
  <c r="CI77" i="2"/>
  <c r="CI222" i="2"/>
  <c r="L61" i="5"/>
  <c r="BG342" i="2"/>
  <c r="AU78" i="2"/>
  <c r="AU287" i="2"/>
  <c r="BR96" i="2"/>
  <c r="G252" i="5"/>
  <c r="CD192" i="2"/>
  <c r="CD306" i="2"/>
  <c r="BY458" i="2"/>
  <c r="CC22" i="2"/>
  <c r="CA145" i="2"/>
  <c r="BJ362" i="2"/>
  <c r="BI277" i="2"/>
  <c r="CD179" i="2"/>
  <c r="CE249" i="2"/>
  <c r="CD32" i="2"/>
  <c r="CC56" i="2"/>
  <c r="BY291" i="2"/>
  <c r="BY141" i="2"/>
  <c r="BH9" i="2"/>
  <c r="CE380" i="2"/>
  <c r="CB357" i="2"/>
  <c r="CC27" i="2"/>
  <c r="CC186" i="2"/>
  <c r="BY334" i="2"/>
  <c r="BJ293" i="2"/>
  <c r="L48" i="5"/>
  <c r="CD397" i="2"/>
  <c r="CD240" i="2"/>
  <c r="CA380" i="2"/>
  <c r="CA237" i="2"/>
  <c r="BZ287" i="2"/>
  <c r="BY10" i="2"/>
  <c r="BJ211" i="2"/>
  <c r="CF447" i="2"/>
  <c r="CD132" i="2"/>
  <c r="CD173" i="2"/>
  <c r="BZ434" i="2"/>
  <c r="CA308" i="2"/>
  <c r="BY427" i="2"/>
  <c r="P36" i="5"/>
  <c r="CF321" i="2"/>
  <c r="CF17" i="2"/>
  <c r="CB314" i="2"/>
  <c r="CB119" i="2"/>
  <c r="CA229" i="2"/>
  <c r="BZ275" i="2"/>
  <c r="BJ177" i="2"/>
  <c r="CI112" i="2"/>
  <c r="CH376" i="2"/>
  <c r="BG315" i="2"/>
  <c r="AT14" i="2"/>
  <c r="CI69" i="2"/>
  <c r="BJ209" i="2"/>
  <c r="AX381" i="2"/>
  <c r="BJ74" i="2"/>
  <c r="AW445" i="2"/>
  <c r="CG149" i="2"/>
  <c r="BS365" i="2"/>
  <c r="CH195" i="2"/>
  <c r="AU16" i="2"/>
  <c r="L67" i="5"/>
  <c r="AX56" i="2"/>
  <c r="G105" i="5"/>
  <c r="AU88" i="2"/>
  <c r="BG289" i="2"/>
  <c r="BH271" i="2"/>
  <c r="AX373" i="2"/>
  <c r="CI446" i="2"/>
  <c r="BS263" i="2"/>
  <c r="BJ225" i="2"/>
  <c r="AM362" i="2"/>
  <c r="BS408" i="2"/>
  <c r="CH177" i="2"/>
  <c r="BJ178" i="2"/>
  <c r="BS403" i="2"/>
  <c r="CH281" i="2"/>
  <c r="CH451" i="2"/>
  <c r="AS318" i="2"/>
  <c r="AW440" i="2"/>
  <c r="N61" i="5"/>
  <c r="BG344" i="2"/>
  <c r="AO152" i="2"/>
  <c r="CG96" i="2"/>
  <c r="CH435" i="2"/>
  <c r="CH123" i="2"/>
  <c r="AU441" i="2"/>
  <c r="H203" i="5"/>
  <c r="BT232" i="2"/>
  <c r="M44" i="5"/>
  <c r="BG450" i="2"/>
  <c r="BH323" i="2"/>
  <c r="BI414" i="2"/>
  <c r="CH348" i="2"/>
  <c r="AU103" i="2"/>
  <c r="CI117" i="2"/>
  <c r="BH125" i="2"/>
  <c r="BI68" i="2"/>
  <c r="BS258" i="2"/>
  <c r="BT121" i="2"/>
  <c r="BI129" i="2"/>
  <c r="BI326" i="2"/>
  <c r="BS101" i="2"/>
  <c r="BS188" i="2"/>
  <c r="BT345" i="2"/>
  <c r="CH364" i="2"/>
  <c r="CI408" i="2"/>
  <c r="CH132" i="2"/>
  <c r="G189" i="5"/>
  <c r="BT229" i="2"/>
  <c r="AO377" i="2"/>
  <c r="AX48" i="2"/>
  <c r="O81" i="5"/>
  <c r="BG295" i="2"/>
  <c r="BT180" i="2"/>
  <c r="BT452" i="2"/>
  <c r="CI417" i="2"/>
  <c r="CI250" i="2"/>
  <c r="BT305" i="2"/>
  <c r="BG274" i="2"/>
  <c r="BS295" i="2"/>
  <c r="E25" i="5"/>
  <c r="BG81" i="2"/>
  <c r="BH242" i="2"/>
  <c r="BI371" i="2"/>
  <c r="CI179" i="2"/>
  <c r="BT225" i="2"/>
  <c r="BR220" i="2"/>
  <c r="BH320" i="2"/>
  <c r="BI250" i="2"/>
  <c r="BS154" i="2"/>
  <c r="BQ20" i="2"/>
  <c r="BI263" i="2"/>
  <c r="BJ389" i="2"/>
  <c r="BT6" i="2"/>
  <c r="CH63" i="2"/>
  <c r="CH47" i="2"/>
  <c r="BR82" i="2"/>
  <c r="K346" i="5"/>
  <c r="CI65" i="2"/>
  <c r="BG174" i="2"/>
  <c r="BG455" i="2"/>
  <c r="BH264" i="2"/>
  <c r="BI281" i="2"/>
  <c r="AW383" i="2"/>
  <c r="CH228" i="2"/>
  <c r="AO202" i="2"/>
  <c r="AO210" i="2"/>
  <c r="AX241" i="2"/>
  <c r="CH6" i="2"/>
  <c r="AX445" i="2"/>
  <c r="BG225" i="2"/>
  <c r="G9" i="5"/>
  <c r="BG271" i="2"/>
  <c r="BH80" i="2"/>
  <c r="BI273" i="2"/>
  <c r="BJ313" i="2"/>
  <c r="AV108" i="2"/>
  <c r="AX67" i="2"/>
  <c r="CI337" i="2"/>
  <c r="BJ423" i="2"/>
  <c r="N41" i="5"/>
  <c r="BH348" i="2"/>
  <c r="BI301" i="2"/>
  <c r="BI374" i="2"/>
  <c r="CI63" i="2"/>
  <c r="CI339" i="2"/>
  <c r="D48" i="5"/>
  <c r="BG457" i="2"/>
  <c r="AX235" i="2"/>
  <c r="O92" i="5"/>
  <c r="AU13" i="2"/>
  <c r="BG64" i="2"/>
  <c r="BH352" i="2"/>
  <c r="BI34" i="2"/>
  <c r="BJ418" i="2"/>
  <c r="BQ382" i="2"/>
  <c r="CH320" i="2"/>
  <c r="BQ99" i="2"/>
  <c r="BT422" i="2"/>
  <c r="AX40" i="2"/>
  <c r="BS18" i="2"/>
  <c r="AT130" i="2"/>
  <c r="BS10" i="2"/>
  <c r="BT459" i="2"/>
  <c r="CI259" i="2"/>
  <c r="AX175" i="2"/>
  <c r="J176" i="5"/>
  <c r="BG62" i="2"/>
  <c r="BT129" i="2"/>
  <c r="BH100" i="2"/>
  <c r="BI139" i="2"/>
  <c r="BQ284" i="2"/>
  <c r="BG169" i="2"/>
  <c r="CH41" i="2"/>
  <c r="CH242" i="2"/>
  <c r="K61" i="5"/>
  <c r="BG176" i="2"/>
  <c r="J192" i="5"/>
  <c r="AO24" i="2"/>
  <c r="CI390" i="2"/>
  <c r="BQ201" i="2"/>
  <c r="BI462" i="2"/>
  <c r="BH108" i="2"/>
  <c r="CH448" i="2"/>
  <c r="CI90" i="2"/>
  <c r="D100" i="5"/>
  <c r="BG298" i="2"/>
  <c r="BS392" i="2"/>
  <c r="BH361" i="2"/>
  <c r="AT11" i="2"/>
  <c r="BH430" i="2"/>
  <c r="I123" i="6"/>
  <c r="BQ322" i="2"/>
  <c r="BT173" i="2"/>
  <c r="BT205" i="2"/>
  <c r="P118" i="5"/>
  <c r="AW55" i="2"/>
  <c r="BG61" i="2"/>
  <c r="BG263" i="2"/>
  <c r="BH72" i="2"/>
  <c r="BI25" i="2"/>
  <c r="BI142" i="2"/>
  <c r="BQ318" i="2"/>
  <c r="AX114" i="2"/>
  <c r="BJ84" i="2"/>
  <c r="CI45" i="2"/>
  <c r="BG350" i="2"/>
  <c r="BH340" i="2"/>
  <c r="BI293" i="2"/>
  <c r="BR77" i="2"/>
  <c r="CH395" i="2"/>
  <c r="CI10" i="2"/>
  <c r="D121" i="5"/>
  <c r="BJ464" i="2"/>
  <c r="BJ338" i="2"/>
  <c r="CI235" i="2"/>
  <c r="BG333" i="2"/>
  <c r="BG56" i="2"/>
  <c r="BH328" i="2"/>
  <c r="BI369" i="2"/>
  <c r="N18" i="5"/>
  <c r="BS207" i="2"/>
  <c r="CH256" i="2"/>
  <c r="BJ114" i="2"/>
  <c r="BR275" i="2"/>
  <c r="BG281" i="2"/>
  <c r="CI406" i="2"/>
  <c r="AX369" i="2"/>
  <c r="BT55" i="2"/>
  <c r="BG273" i="2"/>
  <c r="BH459" i="2"/>
  <c r="CH89" i="2"/>
  <c r="J130" i="5"/>
  <c r="BG376" i="2"/>
  <c r="BH273" i="2"/>
  <c r="BI298" i="2"/>
  <c r="CI334" i="2"/>
  <c r="BJ271" i="2"/>
  <c r="J109" i="5"/>
  <c r="CD414" i="2"/>
  <c r="CE134" i="2"/>
  <c r="CA445" i="2"/>
  <c r="CA429" i="2"/>
  <c r="BZ200" i="2"/>
  <c r="BI370" i="2"/>
  <c r="BJ436" i="2"/>
  <c r="CF423" i="2"/>
  <c r="CD351" i="2"/>
  <c r="CB173" i="2"/>
  <c r="CB335" i="2"/>
  <c r="CB330" i="2"/>
  <c r="CA110" i="2"/>
  <c r="BH55" i="2"/>
  <c r="CE275" i="2"/>
  <c r="CE461" i="2"/>
  <c r="BZ76" i="2"/>
  <c r="CC299" i="2"/>
  <c r="CA443" i="2"/>
  <c r="BJ261" i="2"/>
  <c r="CD274" i="2"/>
  <c r="CF365" i="2"/>
  <c r="CA434" i="2"/>
  <c r="CC33" i="2"/>
  <c r="CB362" i="2"/>
  <c r="CA152" i="2"/>
  <c r="BZ300" i="2"/>
  <c r="AU223" i="2"/>
  <c r="AE399" i="2"/>
  <c r="CF220" i="2"/>
  <c r="CC304" i="2"/>
  <c r="CC294" i="2"/>
  <c r="CB368" i="2"/>
  <c r="CA454" i="2"/>
  <c r="BJ291" i="2"/>
  <c r="CF122" i="2"/>
  <c r="CE311" i="2"/>
  <c r="CD14" i="2"/>
  <c r="CB265" i="2"/>
  <c r="CB406" i="2"/>
  <c r="BY134" i="2"/>
  <c r="BT141" i="2"/>
  <c r="AU395" i="2"/>
  <c r="BI71" i="2"/>
  <c r="BI83" i="2"/>
  <c r="BR313" i="2"/>
  <c r="CI319" i="2"/>
  <c r="BJ239" i="2"/>
  <c r="AU373" i="2"/>
  <c r="CI362" i="2"/>
  <c r="BI133" i="2"/>
  <c r="AS69" i="2"/>
  <c r="BS444" i="2"/>
  <c r="BI350" i="2"/>
  <c r="BT321" i="2"/>
  <c r="BG258" i="2"/>
  <c r="BI217" i="2"/>
  <c r="BI189" i="2"/>
  <c r="BR340" i="2"/>
  <c r="BS433" i="2"/>
  <c r="BI322" i="2"/>
  <c r="BI264" i="2"/>
  <c r="AT383" i="2"/>
  <c r="BT332" i="2"/>
  <c r="AU129" i="2"/>
  <c r="CI380" i="2"/>
  <c r="BS199" i="2"/>
  <c r="AV234" i="2"/>
  <c r="AE353" i="2"/>
  <c r="CH449" i="2"/>
  <c r="AP344" i="2"/>
  <c r="AW368" i="2"/>
  <c r="BG354" i="2"/>
  <c r="BH432" i="2"/>
  <c r="CH21" i="2"/>
  <c r="BQ47" i="2"/>
  <c r="CI256" i="2"/>
  <c r="CH95" i="2"/>
  <c r="AX79" i="2"/>
  <c r="BI223" i="2"/>
  <c r="CI75" i="2"/>
  <c r="BG256" i="2"/>
  <c r="BH153" i="2"/>
  <c r="BI226" i="2"/>
  <c r="CG444" i="2"/>
  <c r="CH39" i="2"/>
  <c r="AX370" i="2"/>
  <c r="CI298" i="2"/>
  <c r="BJ140" i="2"/>
  <c r="BS456" i="2"/>
  <c r="CH420" i="2"/>
  <c r="BT19" i="2"/>
  <c r="BJ71" i="2"/>
  <c r="BT127" i="2"/>
  <c r="AN448" i="2"/>
  <c r="CI94" i="2"/>
  <c r="CH419" i="2"/>
  <c r="AO298" i="2"/>
  <c r="BI32" i="2"/>
  <c r="L30" i="5"/>
  <c r="BG6" i="2"/>
  <c r="BR462" i="2"/>
  <c r="AU433" i="2"/>
  <c r="AX335" i="2"/>
  <c r="BG32" i="2"/>
  <c r="N107" i="5"/>
  <c r="CI100" i="2"/>
  <c r="AV338" i="2"/>
  <c r="BS254" i="2"/>
  <c r="CI78" i="2"/>
  <c r="CH299" i="2"/>
  <c r="BJ214" i="2"/>
  <c r="C123" i="5"/>
  <c r="BG207" i="2"/>
  <c r="BH16" i="2"/>
  <c r="BI209" i="2"/>
  <c r="AX155" i="2"/>
  <c r="CI22" i="2"/>
  <c r="CH245" i="2"/>
  <c r="G94" i="5"/>
  <c r="BJ340" i="2"/>
  <c r="AU336" i="2"/>
  <c r="CI275" i="2"/>
  <c r="CH409" i="2"/>
  <c r="BJ78" i="2"/>
  <c r="BH106" i="2"/>
  <c r="AW109" i="2"/>
  <c r="AW174" i="2"/>
  <c r="CI338" i="2"/>
  <c r="BT260" i="2"/>
  <c r="BI94" i="2"/>
  <c r="D49" i="5"/>
  <c r="BH85" i="2"/>
  <c r="BH94" i="2"/>
  <c r="BI255" i="2"/>
  <c r="BQ465" i="2"/>
  <c r="BS111" i="2"/>
  <c r="CH309" i="2"/>
  <c r="AW129" i="2"/>
  <c r="AV355" i="2"/>
  <c r="CH49" i="2"/>
  <c r="CI73" i="2"/>
  <c r="CI29" i="2"/>
  <c r="BH160" i="2"/>
  <c r="BG279" i="2"/>
  <c r="BI437" i="2"/>
  <c r="AV55" i="2"/>
  <c r="CH77" i="2"/>
  <c r="BG283" i="2"/>
  <c r="CI13" i="2"/>
  <c r="BT11" i="2"/>
  <c r="CI126" i="2"/>
  <c r="BH201" i="2"/>
  <c r="BH411" i="2"/>
  <c r="K156" i="5"/>
  <c r="BR465" i="2"/>
  <c r="BG293" i="2"/>
  <c r="CI411" i="2"/>
  <c r="K22" i="5"/>
  <c r="BG120" i="2"/>
  <c r="BH17" i="2"/>
  <c r="BI449" i="2"/>
  <c r="CH400" i="2"/>
  <c r="BG200" i="2"/>
  <c r="BH166" i="2"/>
  <c r="BQ48" i="2"/>
  <c r="CH429" i="2"/>
  <c r="AE449" i="2"/>
  <c r="AV296" i="2"/>
  <c r="CI227" i="2"/>
  <c r="AX441" i="2"/>
  <c r="BG408" i="2"/>
  <c r="AW182" i="2"/>
  <c r="AR208" i="2"/>
  <c r="BS214" i="2"/>
  <c r="CI302" i="2"/>
  <c r="L187" i="5"/>
  <c r="CH223" i="2"/>
  <c r="F53" i="5"/>
  <c r="BG312" i="2"/>
  <c r="BH209" i="2"/>
  <c r="BI210" i="2"/>
  <c r="BI40" i="2"/>
  <c r="AV112" i="2"/>
  <c r="CI310" i="2"/>
  <c r="BJ253" i="2"/>
  <c r="BT193" i="2"/>
  <c r="BG101" i="2"/>
  <c r="BH269" i="2"/>
  <c r="BH278" i="2"/>
  <c r="AX92" i="2"/>
  <c r="AX247" i="2"/>
  <c r="CI83" i="2"/>
  <c r="C70" i="5"/>
  <c r="BJ298" i="2"/>
  <c r="BJ404" i="2"/>
  <c r="BT294" i="2"/>
  <c r="G103" i="5"/>
  <c r="BG426" i="2"/>
  <c r="BH50" i="2"/>
  <c r="BI307" i="2"/>
  <c r="BJ230" i="2"/>
  <c r="CI386" i="2"/>
  <c r="AX26" i="2"/>
  <c r="AT305" i="2"/>
  <c r="BS184" i="2"/>
  <c r="BQ393" i="2"/>
  <c r="CH173" i="2"/>
  <c r="BG343" i="2"/>
  <c r="B102" i="5"/>
  <c r="BH382" i="2"/>
  <c r="BI429" i="2"/>
  <c r="BI39" i="2"/>
  <c r="BJ416" i="2"/>
  <c r="BR232" i="2"/>
  <c r="CI300" i="2"/>
  <c r="BT123" i="2"/>
  <c r="CI123" i="2"/>
  <c r="BG398" i="2"/>
  <c r="BH194" i="2"/>
  <c r="C6" i="6"/>
  <c r="CG398" i="2"/>
  <c r="CH175" i="2"/>
  <c r="CH137" i="2"/>
  <c r="K81" i="5"/>
  <c r="BG112" i="2"/>
  <c r="D38" i="5"/>
  <c r="BI79" i="2"/>
  <c r="J177" i="5"/>
  <c r="BH149" i="2"/>
  <c r="BH158" i="2"/>
  <c r="BI16" i="2"/>
  <c r="BJ263" i="2"/>
  <c r="BT72" i="2"/>
  <c r="AV79" i="2"/>
  <c r="CI163" i="2"/>
  <c r="BQ372" i="2"/>
  <c r="BG158" i="2"/>
  <c r="BH216" i="2"/>
  <c r="AU291" i="2"/>
  <c r="BG349" i="2"/>
  <c r="C146" i="5"/>
  <c r="BH208" i="2"/>
  <c r="BI401" i="2"/>
  <c r="D33" i="5"/>
  <c r="BH350" i="2"/>
  <c r="BH7" i="2"/>
  <c r="BI336" i="2"/>
  <c r="BJ216" i="2"/>
  <c r="BI72" i="2"/>
  <c r="BI136" i="2"/>
  <c r="CD456" i="2"/>
  <c r="CF319" i="2"/>
  <c r="CB164" i="2"/>
  <c r="CC345" i="2"/>
  <c r="CB380" i="2"/>
  <c r="BU397" i="2"/>
  <c r="BT278" i="2"/>
  <c r="C22" i="5"/>
  <c r="CE174" i="2"/>
  <c r="CE160" i="2"/>
  <c r="CB408" i="2"/>
  <c r="BZ314" i="2"/>
  <c r="CA120" i="2"/>
  <c r="BY107" i="2"/>
  <c r="BJ383" i="2"/>
  <c r="CF463" i="2"/>
  <c r="CD197" i="2"/>
  <c r="CC411" i="2"/>
  <c r="BZ32" i="2"/>
  <c r="CB418" i="2"/>
  <c r="BI75" i="2"/>
  <c r="CD229" i="2"/>
  <c r="CE236" i="2"/>
  <c r="CD347" i="2"/>
  <c r="CC395" i="2"/>
  <c r="CA168" i="2"/>
  <c r="BZ7" i="2"/>
  <c r="BX383" i="2"/>
  <c r="BI161" i="2"/>
  <c r="CF391" i="2"/>
  <c r="CE91" i="2"/>
  <c r="CD426" i="2"/>
  <c r="CC159" i="2"/>
  <c r="BZ406" i="2"/>
  <c r="BY83" i="2"/>
  <c r="AX123" i="2"/>
  <c r="CE345" i="2"/>
  <c r="BJ296" i="2"/>
  <c r="BR168" i="2"/>
  <c r="CH7" i="2"/>
  <c r="BT204" i="2"/>
  <c r="BJ458" i="2"/>
  <c r="AW61" i="2"/>
  <c r="AV407" i="2"/>
  <c r="BJ240" i="2"/>
  <c r="CH333" i="2"/>
  <c r="AW369" i="2"/>
  <c r="BJ135" i="2"/>
  <c r="AV444" i="2"/>
  <c r="BQ245" i="2"/>
  <c r="AT356" i="2"/>
  <c r="BJ232" i="2"/>
  <c r="BJ238" i="2"/>
  <c r="AQ150" i="2"/>
  <c r="CH111" i="2"/>
  <c r="BR60" i="2"/>
  <c r="CI419" i="2"/>
  <c r="BI201" i="2"/>
  <c r="BS413" i="2"/>
  <c r="BG463" i="2"/>
  <c r="CI159" i="2"/>
  <c r="BS9" i="2"/>
  <c r="AX239" i="2"/>
  <c r="BH175" i="2"/>
  <c r="BS259" i="2"/>
  <c r="CH168" i="2"/>
  <c r="BT78" i="2"/>
  <c r="AV438" i="2"/>
  <c r="CI132" i="2"/>
  <c r="BG37" i="2"/>
  <c r="BJ273" i="2"/>
  <c r="BG456" i="2"/>
  <c r="BH374" i="2"/>
  <c r="AV218" i="2"/>
  <c r="CH246" i="2"/>
  <c r="CH412" i="2"/>
  <c r="CI356" i="2"/>
  <c r="F155" i="5"/>
  <c r="BG262" i="2"/>
  <c r="CH354" i="2"/>
  <c r="AX340" i="2"/>
  <c r="CI119" i="2"/>
  <c r="CH452" i="2"/>
  <c r="BG129" i="2"/>
  <c r="AV40" i="2"/>
  <c r="BS349" i="2"/>
  <c r="CH283" i="2"/>
  <c r="CH152" i="2"/>
  <c r="BG406" i="2"/>
  <c r="BJ22" i="2"/>
  <c r="BH439" i="2"/>
  <c r="BI117" i="2"/>
  <c r="AW310" i="2"/>
  <c r="AR138" i="2"/>
  <c r="BQ100" i="2"/>
  <c r="BH134" i="2"/>
  <c r="AW201" i="2"/>
  <c r="CI407" i="2"/>
  <c r="CI266" i="2"/>
  <c r="BT97" i="2"/>
  <c r="CI124" i="2"/>
  <c r="BG278" i="2"/>
  <c r="BQ406" i="2"/>
  <c r="BG215" i="2"/>
  <c r="BI373" i="2"/>
  <c r="AW214" i="2"/>
  <c r="CI140" i="2"/>
  <c r="CI240" i="2"/>
  <c r="CH65" i="2"/>
  <c r="F135" i="5"/>
  <c r="BG234" i="2"/>
  <c r="AU15" i="2"/>
  <c r="CH410" i="2"/>
  <c r="AV78" i="2"/>
  <c r="CI379" i="2"/>
  <c r="BH452" i="2"/>
  <c r="BG197" i="2"/>
  <c r="CH127" i="2"/>
  <c r="BR417" i="2"/>
  <c r="CI359" i="2"/>
  <c r="BG228" i="2"/>
  <c r="BJ102" i="2"/>
  <c r="BH420" i="2"/>
  <c r="BI124" i="2"/>
  <c r="AT342" i="2"/>
  <c r="BG131" i="2"/>
  <c r="BT112" i="2"/>
  <c r="BT240" i="2"/>
  <c r="BG441" i="2"/>
  <c r="AU324" i="2"/>
  <c r="AV62" i="2"/>
  <c r="CI220" i="2"/>
  <c r="AU26" i="2"/>
  <c r="K372" i="5"/>
  <c r="BI127" i="2"/>
  <c r="BI235" i="2"/>
  <c r="AX85" i="2"/>
  <c r="AU342" i="2"/>
  <c r="BI216" i="2"/>
  <c r="AV293" i="2"/>
  <c r="CI111" i="2"/>
  <c r="BT327" i="2"/>
  <c r="CI199" i="2"/>
  <c r="BJ43" i="2"/>
  <c r="BI311" i="2"/>
  <c r="AW427" i="2"/>
  <c r="CI21" i="2"/>
  <c r="BJ165" i="2"/>
  <c r="C263" i="5"/>
  <c r="BH213" i="2"/>
  <c r="BH222" i="2"/>
  <c r="BI80" i="2"/>
  <c r="BJ455" i="2"/>
  <c r="BI15" i="2"/>
  <c r="BI291" i="2"/>
  <c r="BT410" i="2"/>
  <c r="BT463" i="2"/>
  <c r="BI49" i="2"/>
  <c r="BQ319" i="2"/>
  <c r="BS454" i="2"/>
  <c r="CI185" i="2"/>
  <c r="CI59" i="2"/>
  <c r="AV187" i="2"/>
  <c r="AS378" i="2"/>
  <c r="BR356" i="2"/>
  <c r="BR206" i="2"/>
  <c r="AX425" i="2"/>
  <c r="BG392" i="2"/>
  <c r="P56" i="5"/>
  <c r="BH405" i="2"/>
  <c r="BH399" i="2"/>
  <c r="BI272" i="2"/>
  <c r="BJ152" i="2"/>
  <c r="AV129" i="2"/>
  <c r="CH293" i="2"/>
  <c r="AT47" i="2"/>
  <c r="BS200" i="2"/>
  <c r="BG206" i="2"/>
  <c r="BH275" i="2"/>
  <c r="BI308" i="2"/>
  <c r="BJ430" i="2"/>
  <c r="BR14" i="2"/>
  <c r="BS48" i="2"/>
  <c r="G126" i="5"/>
  <c r="BG94" i="2"/>
  <c r="BR334" i="2"/>
  <c r="BH206" i="2"/>
  <c r="P134" i="5"/>
  <c r="BG15" i="2"/>
  <c r="BH199" i="2"/>
  <c r="BI17" i="2"/>
  <c r="BJ57" i="2"/>
  <c r="BS132" i="2"/>
  <c r="CI412" i="2"/>
  <c r="CI277" i="2"/>
  <c r="AX225" i="2"/>
  <c r="AV149" i="2"/>
  <c r="BT154" i="2"/>
  <c r="CH265" i="2"/>
  <c r="BI335" i="2"/>
  <c r="BH164" i="2"/>
  <c r="BI275" i="2"/>
  <c r="AX108" i="2"/>
  <c r="BG425" i="2"/>
  <c r="E179" i="5"/>
  <c r="BS221" i="2"/>
  <c r="CI47" i="2"/>
  <c r="BT47" i="2"/>
  <c r="BI35" i="2"/>
  <c r="BH288" i="2"/>
  <c r="AV247" i="2"/>
  <c r="AW187" i="2"/>
  <c r="BH223" i="2"/>
  <c r="BT103" i="2"/>
  <c r="BG435" i="2"/>
  <c r="BH205" i="2"/>
  <c r="BH214" i="2"/>
  <c r="BI342" i="2"/>
  <c r="BG119" i="2"/>
  <c r="BH414" i="2"/>
  <c r="BI188" i="2"/>
  <c r="BT81" i="2"/>
  <c r="BG53" i="2"/>
  <c r="AR349" i="2"/>
  <c r="CI436" i="2"/>
  <c r="BS93" i="2"/>
  <c r="CI121" i="2"/>
  <c r="BI121" i="2"/>
  <c r="BH110" i="2"/>
  <c r="CG223" i="2"/>
  <c r="BG291" i="2"/>
  <c r="CI213" i="2"/>
  <c r="BH19" i="2"/>
  <c r="AS389" i="2"/>
  <c r="BR405" i="2"/>
  <c r="BH349" i="2"/>
  <c r="BI327" i="2"/>
  <c r="AW157" i="2"/>
  <c r="J36" i="5"/>
  <c r="BG232" i="2"/>
  <c r="BJ54" i="2"/>
  <c r="BI292" i="2"/>
  <c r="CE144" i="2"/>
  <c r="CE77" i="2"/>
  <c r="CD99" i="2"/>
  <c r="CC106" i="2"/>
  <c r="CA193" i="2"/>
  <c r="BZ207" i="2"/>
  <c r="BH37" i="2"/>
  <c r="J323" i="5"/>
  <c r="CB222" i="2"/>
  <c r="CC317" i="2"/>
  <c r="CC249" i="2"/>
  <c r="CB442" i="2"/>
  <c r="BZ134" i="2"/>
  <c r="BG202" i="2"/>
  <c r="BR458" i="2"/>
  <c r="CE182" i="2"/>
  <c r="CE389" i="2"/>
  <c r="BZ449" i="2"/>
  <c r="BZ84" i="2"/>
  <c r="CA131" i="2"/>
  <c r="BJ432" i="2"/>
  <c r="CF22" i="2"/>
  <c r="CD307" i="2"/>
  <c r="CC188" i="2"/>
  <c r="CB230" i="2"/>
  <c r="CB226" i="2"/>
  <c r="CA80" i="2"/>
  <c r="BX189" i="2"/>
  <c r="CI301" i="2"/>
  <c r="CE101" i="2"/>
  <c r="CD363" i="2"/>
  <c r="CC263" i="2"/>
  <c r="CA453" i="2"/>
  <c r="CB200" i="2"/>
  <c r="BJ119" i="2"/>
  <c r="BI338" i="2"/>
  <c r="CD71" i="2"/>
  <c r="CE215" i="2"/>
  <c r="CD6" i="2"/>
  <c r="CC286" i="2"/>
  <c r="CC41" i="2"/>
  <c r="BX256" i="2"/>
  <c r="BJ186" i="2"/>
  <c r="CG33" i="2"/>
  <c r="BI6" i="2"/>
  <c r="CI197" i="2"/>
  <c r="CC108" i="2"/>
  <c r="BT186" i="2"/>
  <c r="BT126" i="2"/>
  <c r="BI319" i="2"/>
  <c r="AR198" i="2"/>
  <c r="O198" i="5"/>
  <c r="BG201" i="2"/>
  <c r="BR249" i="2"/>
  <c r="BG104" i="2"/>
  <c r="CI383" i="2"/>
  <c r="J178" i="5"/>
  <c r="CD118" i="2"/>
  <c r="CD297" i="2"/>
  <c r="CC179" i="2"/>
  <c r="CB333" i="2"/>
  <c r="CA319" i="2"/>
  <c r="BJ280" i="2"/>
  <c r="BI67" i="2"/>
  <c r="CD208" i="2"/>
  <c r="CE104" i="2"/>
  <c r="CD358" i="2"/>
  <c r="CC72" i="2"/>
  <c r="CC297" i="2"/>
  <c r="BY127" i="2"/>
  <c r="BJ254" i="2"/>
  <c r="CD92" i="2"/>
  <c r="CF429" i="2"/>
  <c r="CB22" i="2"/>
  <c r="CC145" i="2"/>
  <c r="CB123" i="2"/>
  <c r="BJ315" i="2"/>
  <c r="CF328" i="2"/>
  <c r="CD196" i="2"/>
  <c r="CD237" i="2"/>
  <c r="BZ309" i="2"/>
  <c r="CA28" i="2"/>
  <c r="BY197" i="2"/>
  <c r="BY312" i="2"/>
  <c r="BJ371" i="2"/>
  <c r="CF156" i="2"/>
  <c r="CD346" i="2"/>
  <c r="CD268" i="2"/>
  <c r="CD8" i="2"/>
  <c r="CA266" i="2"/>
  <c r="BY162" i="2"/>
  <c r="BG257" i="2"/>
  <c r="CF184" i="2"/>
  <c r="CF216" i="2"/>
  <c r="CB6" i="2"/>
  <c r="CA202" i="2"/>
  <c r="CA20" i="2"/>
  <c r="BZ74" i="2"/>
  <c r="BJ175" i="2"/>
  <c r="CI423" i="2"/>
  <c r="CI450" i="2"/>
  <c r="CI144" i="2"/>
  <c r="BG391" i="2"/>
  <c r="BH200" i="2"/>
  <c r="BR185" i="2"/>
  <c r="BG52" i="2"/>
  <c r="BH461" i="2"/>
  <c r="BH443" i="2"/>
  <c r="BI231" i="2"/>
  <c r="BG422" i="2"/>
  <c r="BJ450" i="2"/>
  <c r="CF269" i="2"/>
  <c r="CD123" i="2"/>
  <c r="CD228" i="2"/>
  <c r="CD304" i="2"/>
  <c r="CA268" i="2"/>
  <c r="BY187" i="2"/>
  <c r="BI238" i="2"/>
  <c r="BJ326" i="2"/>
  <c r="CE221" i="2"/>
  <c r="CC242" i="2"/>
  <c r="CB407" i="2"/>
  <c r="CA437" i="2"/>
  <c r="CB63" i="2"/>
  <c r="BZ396" i="2"/>
  <c r="BI417" i="2"/>
  <c r="CA241" i="2"/>
  <c r="CE219" i="2"/>
  <c r="CD340" i="2"/>
  <c r="CC464" i="2"/>
  <c r="CA14" i="2"/>
  <c r="CH383" i="2"/>
  <c r="CF165" i="2"/>
  <c r="CF99" i="2"/>
  <c r="CC246" i="2"/>
  <c r="CB261" i="2"/>
  <c r="CB87" i="2"/>
  <c r="BZ335" i="2"/>
  <c r="BZ337" i="2"/>
  <c r="AT314" i="2"/>
  <c r="CF251" i="2"/>
  <c r="AV344" i="2"/>
  <c r="AW279" i="2"/>
  <c r="BG58" i="2"/>
  <c r="BI45" i="2"/>
  <c r="BI118" i="2"/>
  <c r="BG252" i="2"/>
  <c r="BH386" i="2"/>
  <c r="BI451" i="2"/>
  <c r="BJ285" i="2"/>
  <c r="BS79" i="2"/>
  <c r="BJ44" i="2"/>
  <c r="CH340" i="2"/>
  <c r="CF443" i="2"/>
  <c r="CF162" i="2"/>
  <c r="CB206" i="2"/>
  <c r="CB387" i="2"/>
  <c r="CB286" i="2"/>
  <c r="BZ461" i="2"/>
  <c r="BS291" i="2"/>
  <c r="I244" i="5"/>
  <c r="CD459" i="2"/>
  <c r="CD245" i="2"/>
  <c r="CA367" i="2"/>
  <c r="CC384" i="2"/>
  <c r="BY453" i="2"/>
  <c r="BX437" i="2"/>
  <c r="BH128" i="2"/>
  <c r="CE68" i="2"/>
  <c r="CD153" i="2"/>
  <c r="CC238" i="2"/>
  <c r="CA69" i="2"/>
  <c r="CB79" i="2"/>
  <c r="BJ453" i="2"/>
  <c r="CF75" i="2"/>
  <c r="CE193" i="2"/>
  <c r="CD311" i="2"/>
  <c r="CB172" i="2"/>
  <c r="BY256" i="2"/>
  <c r="BY235" i="2"/>
  <c r="BV286" i="2"/>
  <c r="BJ356" i="2"/>
  <c r="CF186" i="2"/>
  <c r="CE448" i="2"/>
  <c r="CD78" i="2"/>
  <c r="CB409" i="2"/>
  <c r="CB151" i="2"/>
  <c r="BH172" i="2"/>
  <c r="CI202" i="2"/>
  <c r="CD416" i="2"/>
  <c r="CE197" i="2"/>
  <c r="CD452" i="2"/>
  <c r="BZ34" i="2"/>
  <c r="CA353" i="2"/>
  <c r="BZ448" i="2"/>
  <c r="BJ136" i="2"/>
  <c r="CF154" i="2"/>
  <c r="CD161" i="2"/>
  <c r="CD235" i="2"/>
  <c r="CD110" i="2"/>
  <c r="CA201" i="2"/>
  <c r="BI106" i="2"/>
  <c r="F79" i="5"/>
  <c r="CE56" i="2"/>
  <c r="CE41" i="2"/>
  <c r="BH69" i="2"/>
  <c r="CI283" i="2"/>
  <c r="BI53" i="2"/>
  <c r="AU150" i="2"/>
  <c r="BH82" i="2"/>
  <c r="BH215" i="2"/>
  <c r="BT27" i="2"/>
  <c r="BQ83" i="2"/>
  <c r="BI261" i="2"/>
  <c r="BI282" i="2"/>
  <c r="BI30" i="2"/>
  <c r="BJ412" i="2"/>
  <c r="CF442" i="2"/>
  <c r="CE240" i="2"/>
  <c r="CD191" i="2"/>
  <c r="CB386" i="2"/>
  <c r="CC70" i="2"/>
  <c r="BY315" i="2"/>
  <c r="BI199" i="2"/>
  <c r="F206" i="5"/>
  <c r="CE230" i="2"/>
  <c r="CE135" i="2"/>
  <c r="CB137" i="2"/>
  <c r="CB54" i="2"/>
  <c r="BZ249" i="2"/>
  <c r="BJ98" i="2"/>
  <c r="BI149" i="2"/>
  <c r="CD314" i="2"/>
  <c r="CE185" i="2"/>
  <c r="CD264" i="2"/>
  <c r="CC416" i="2"/>
  <c r="BY128" i="2"/>
  <c r="AU100" i="2"/>
  <c r="CE90" i="2"/>
  <c r="CC141" i="2"/>
  <c r="CB403" i="2"/>
  <c r="CA66" i="2"/>
  <c r="CA285" i="2"/>
  <c r="BZ435" i="2"/>
  <c r="BJ335" i="2"/>
  <c r="AW170" i="2"/>
  <c r="CE264" i="2"/>
  <c r="CC17" i="2"/>
  <c r="CA312" i="2"/>
  <c r="CA65" i="2"/>
  <c r="CA12" i="2"/>
  <c r="BH61" i="2"/>
  <c r="BJ117" i="2"/>
  <c r="CF50" i="2"/>
  <c r="CD387" i="2"/>
  <c r="CC377" i="2"/>
  <c r="CB130" i="2"/>
  <c r="CB396" i="2"/>
  <c r="CA377" i="2"/>
  <c r="O105" i="5"/>
  <c r="CF217" i="2"/>
  <c r="BH140" i="2"/>
  <c r="AU282" i="2"/>
  <c r="BI60" i="2"/>
  <c r="BQ317" i="2"/>
  <c r="BI389" i="2"/>
  <c r="BH46" i="2"/>
  <c r="AU322" i="2"/>
  <c r="BS447" i="2"/>
  <c r="BI43" i="2"/>
  <c r="BI97" i="2"/>
  <c r="BJ145" i="2"/>
  <c r="BJ11" i="2"/>
  <c r="CF116" i="2"/>
  <c r="CE95" i="2"/>
  <c r="CC231" i="2"/>
  <c r="CB40" i="2"/>
  <c r="CB381" i="2"/>
  <c r="BX309" i="2"/>
  <c r="BJ318" i="2"/>
  <c r="F81" i="5"/>
  <c r="CD302" i="2"/>
  <c r="CE70" i="2"/>
  <c r="CA189" i="2"/>
  <c r="CA365" i="2"/>
  <c r="BZ223" i="2"/>
  <c r="BJ88" i="2"/>
  <c r="BI411" i="2"/>
  <c r="CD112" i="2"/>
  <c r="CE40" i="2"/>
  <c r="CD214" i="2"/>
  <c r="CC271" i="2"/>
  <c r="BI143" i="2"/>
  <c r="BT49" i="2"/>
  <c r="CE328" i="2"/>
  <c r="CC10" i="2"/>
  <c r="CB238" i="2"/>
  <c r="CA153" i="2"/>
  <c r="CA76" i="2"/>
  <c r="BZ130" i="2"/>
  <c r="AR228" i="2"/>
  <c r="CI96" i="2"/>
  <c r="CE119" i="2"/>
  <c r="CF118" i="2"/>
  <c r="CA258" i="2"/>
  <c r="CA78" i="2"/>
  <c r="CA362" i="2"/>
  <c r="BH119" i="2"/>
  <c r="BJ459" i="2"/>
  <c r="CF225" i="2"/>
  <c r="CD210" i="2"/>
  <c r="CC119" i="2"/>
  <c r="CB385" i="2"/>
  <c r="CB27" i="2"/>
  <c r="CA136" i="2"/>
  <c r="BS19" i="2"/>
  <c r="BI182" i="2"/>
  <c r="N258" i="5"/>
  <c r="CH261" i="2"/>
  <c r="CI414" i="2"/>
  <c r="BJ201" i="2"/>
  <c r="AR164" i="2"/>
  <c r="BT91" i="2"/>
  <c r="BQ117" i="2"/>
  <c r="BJ368" i="2"/>
  <c r="AX229" i="2"/>
  <c r="BJ321" i="2"/>
  <c r="CH402" i="2"/>
  <c r="CE8" i="2"/>
  <c r="CB416" i="2"/>
  <c r="CA60" i="2"/>
  <c r="CA135" i="2"/>
  <c r="CA452" i="2"/>
  <c r="BZ91" i="2"/>
  <c r="BJ174" i="2"/>
  <c r="AE385" i="2"/>
  <c r="CF356" i="2"/>
  <c r="CC97" i="2"/>
  <c r="CC312" i="2"/>
  <c r="CB177" i="2"/>
  <c r="CA15" i="2"/>
  <c r="BI158" i="2"/>
  <c r="AU326" i="2"/>
  <c r="CE157" i="2"/>
  <c r="CC244" i="2"/>
  <c r="CB256" i="2"/>
  <c r="CA373" i="2"/>
  <c r="BT421" i="2"/>
  <c r="BI152" i="2"/>
  <c r="CC331" i="2"/>
  <c r="CD382" i="2"/>
  <c r="CC212" i="2"/>
  <c r="CB213" i="2"/>
  <c r="CC318" i="2"/>
  <c r="BX248" i="2"/>
  <c r="F181" i="5"/>
  <c r="BI126" i="2"/>
  <c r="BG337" i="2"/>
  <c r="BJ259" i="2"/>
  <c r="AW142" i="2"/>
  <c r="CI344" i="2"/>
  <c r="BT64" i="2"/>
  <c r="AX238" i="2"/>
  <c r="CH10" i="2"/>
  <c r="AU382" i="2"/>
  <c r="CI229" i="2"/>
  <c r="BJ332" i="2"/>
  <c r="BI406" i="2"/>
  <c r="BJ219" i="2"/>
  <c r="BH451" i="2"/>
  <c r="CE43" i="2"/>
  <c r="CE61" i="2"/>
  <c r="BZ174" i="2"/>
  <c r="CA27" i="2"/>
  <c r="CA405" i="2"/>
  <c r="BZ412" i="2"/>
  <c r="BH362" i="2"/>
  <c r="CE132" i="2"/>
  <c r="CD233" i="2"/>
  <c r="CC334" i="2"/>
  <c r="CA133" i="2"/>
  <c r="CB255" i="2"/>
  <c r="BZ160" i="2"/>
  <c r="BI257" i="2"/>
  <c r="J119" i="5"/>
  <c r="CE231" i="2"/>
  <c r="CE216" i="2"/>
  <c r="CB435" i="2"/>
  <c r="CB15" i="2"/>
  <c r="BT235" i="2"/>
  <c r="F213" i="5"/>
  <c r="CD345" i="2"/>
  <c r="CD267" i="2"/>
  <c r="CA159" i="2"/>
  <c r="CC342" i="2"/>
  <c r="CA465" i="2"/>
  <c r="BX417" i="2"/>
  <c r="CH424" i="2"/>
  <c r="O87" i="5"/>
  <c r="CD63" i="2"/>
  <c r="CD315" i="2"/>
  <c r="CC52" i="2"/>
  <c r="CB438" i="2"/>
  <c r="CA160" i="2"/>
  <c r="BJ200" i="2"/>
  <c r="CF266" i="2"/>
  <c r="CD241" i="2"/>
  <c r="CD412" i="2"/>
  <c r="CD174" i="2"/>
  <c r="CA289" i="2"/>
  <c r="BY376" i="2"/>
  <c r="BG27" i="2"/>
  <c r="BJ439" i="2"/>
  <c r="CA112" i="2"/>
  <c r="CD180" i="2"/>
  <c r="CC282" i="2"/>
  <c r="CB75" i="2"/>
  <c r="BJ198" i="2"/>
  <c r="BH402" i="2"/>
  <c r="CD379" i="2"/>
  <c r="CE331" i="2"/>
  <c r="CD75" i="2"/>
  <c r="BJ386" i="2"/>
  <c r="CD415" i="2"/>
  <c r="BJ256" i="2"/>
  <c r="CD119" i="2"/>
  <c r="CA398" i="2"/>
  <c r="CC73" i="2"/>
  <c r="BS226" i="2"/>
  <c r="CE63" i="2"/>
  <c r="CC235" i="2"/>
  <c r="CC67" i="2"/>
  <c r="CB300" i="2"/>
  <c r="CC62" i="2"/>
  <c r="BW36" i="2"/>
  <c r="BZ77" i="2"/>
  <c r="BW307" i="2"/>
  <c r="BW16" i="2"/>
  <c r="BW343" i="2"/>
  <c r="D202" i="5"/>
  <c r="H315" i="5"/>
  <c r="BY154" i="2"/>
  <c r="BY209" i="2"/>
  <c r="BV37" i="2"/>
  <c r="BU345" i="2"/>
  <c r="I100" i="5"/>
  <c r="BU426" i="2"/>
  <c r="BX280" i="2"/>
  <c r="BU60" i="2"/>
  <c r="BW398" i="2"/>
  <c r="BU114" i="2"/>
  <c r="E155" i="5"/>
  <c r="P49" i="5"/>
  <c r="CA200" i="2"/>
  <c r="BY112" i="2"/>
  <c r="BW385" i="2"/>
  <c r="BU61" i="2"/>
  <c r="O315" i="5"/>
  <c r="BV170" i="2"/>
  <c r="BX52" i="2"/>
  <c r="BV309" i="2"/>
  <c r="BU300" i="2"/>
  <c r="BX61" i="2"/>
  <c r="BY118" i="2"/>
  <c r="BW120" i="2"/>
  <c r="BV302" i="2"/>
  <c r="BX292" i="2"/>
  <c r="BY297" i="2"/>
  <c r="BW227" i="2"/>
  <c r="BU222" i="2"/>
  <c r="BV363" i="2"/>
  <c r="CA277" i="2"/>
  <c r="BV431" i="2"/>
  <c r="BV299" i="2"/>
  <c r="O257" i="5"/>
  <c r="CA372" i="2"/>
  <c r="CC316" i="2"/>
  <c r="CC190" i="2"/>
  <c r="CF437" i="2"/>
  <c r="CD226" i="2"/>
  <c r="CA423" i="2"/>
  <c r="CA366" i="2"/>
  <c r="BJ61" i="2"/>
  <c r="CF52" i="2"/>
  <c r="CE263" i="2"/>
  <c r="CA327" i="2"/>
  <c r="CA246" i="2"/>
  <c r="BZ16" i="2"/>
  <c r="BY402" i="2"/>
  <c r="BX411" i="2"/>
  <c r="BX184" i="2"/>
  <c r="BW431" i="2"/>
  <c r="BV110" i="2"/>
  <c r="C126" i="5"/>
  <c r="BZ184" i="2"/>
  <c r="BX199" i="2"/>
  <c r="BW30" i="2"/>
  <c r="BU427" i="2"/>
  <c r="BV334" i="2"/>
  <c r="BU434" i="2"/>
  <c r="BW154" i="2"/>
  <c r="BX107" i="2"/>
  <c r="BV455" i="2"/>
  <c r="BU364" i="2"/>
  <c r="D182" i="5"/>
  <c r="BV311" i="2"/>
  <c r="F183" i="5"/>
  <c r="BX379" i="2"/>
  <c r="BY333" i="2"/>
  <c r="BX110" i="2"/>
  <c r="BV195" i="2"/>
  <c r="M173" i="5"/>
  <c r="BY59" i="2"/>
  <c r="BY419" i="2"/>
  <c r="BW86" i="2"/>
  <c r="O27" i="5"/>
  <c r="BZ230" i="2"/>
  <c r="BV256" i="2"/>
  <c r="BW320" i="2"/>
  <c r="BU156" i="2"/>
  <c r="BY296" i="2"/>
  <c r="BV236" i="2"/>
  <c r="BX344" i="2"/>
  <c r="BW70" i="2"/>
  <c r="F184" i="5"/>
  <c r="CA402" i="2"/>
  <c r="BY368" i="2"/>
  <c r="CE367" i="2"/>
  <c r="BT208" i="2"/>
  <c r="CB444" i="2"/>
  <c r="BI74" i="2"/>
  <c r="CC90" i="2"/>
  <c r="CD258" i="2"/>
  <c r="CB326" i="2"/>
  <c r="BI286" i="2"/>
  <c r="CF388" i="2"/>
  <c r="CE69" i="2"/>
  <c r="CC177" i="2"/>
  <c r="CB452" i="2"/>
  <c r="CB180" i="2"/>
  <c r="CA249" i="2"/>
  <c r="BY269" i="2"/>
  <c r="BV372" i="2"/>
  <c r="BU452" i="2"/>
  <c r="BV140" i="2"/>
  <c r="M103" i="5"/>
  <c r="CC233" i="2"/>
  <c r="BY456" i="2"/>
  <c r="BY455" i="2"/>
  <c r="BV304" i="2"/>
  <c r="BU15" i="2"/>
  <c r="M76" i="5"/>
  <c r="BZ427" i="2"/>
  <c r="BW140" i="2"/>
  <c r="BX182" i="2"/>
  <c r="BV412" i="2"/>
  <c r="BU328" i="2"/>
  <c r="CB345" i="2"/>
  <c r="BH86" i="2"/>
  <c r="D153" i="5"/>
  <c r="BH123" i="2"/>
  <c r="AW362" i="2"/>
  <c r="BG327" i="2"/>
  <c r="BH136" i="2"/>
  <c r="BI113" i="2"/>
  <c r="L173" i="5"/>
  <c r="BJ180" i="2"/>
  <c r="E121" i="5"/>
  <c r="CD77" i="2"/>
  <c r="CD429" i="2"/>
  <c r="CA49" i="2"/>
  <c r="CA220" i="2"/>
  <c r="BY220" i="2"/>
  <c r="BI440" i="2"/>
  <c r="BJ153" i="2"/>
  <c r="CF78" i="2"/>
  <c r="CC237" i="2"/>
  <c r="CB258" i="2"/>
  <c r="CB126" i="2"/>
  <c r="CB33" i="2"/>
  <c r="BZ222" i="2"/>
  <c r="BI36" i="2"/>
  <c r="CD447" i="2"/>
  <c r="CE388" i="2"/>
  <c r="CD348" i="2"/>
  <c r="CC300" i="2"/>
  <c r="CA25" i="2"/>
  <c r="AO465" i="2"/>
  <c r="AF343" i="2"/>
  <c r="CF12" i="2"/>
  <c r="CC80" i="2"/>
  <c r="CC390" i="2"/>
  <c r="CB49" i="2"/>
  <c r="CA255" i="2"/>
  <c r="BZ348" i="2"/>
  <c r="AV426" i="2"/>
  <c r="CF85" i="2"/>
  <c r="CF418" i="2"/>
  <c r="CC142" i="2"/>
  <c r="CB133" i="2"/>
  <c r="CB7" i="2"/>
  <c r="BZ159" i="2"/>
  <c r="BJ10" i="2"/>
  <c r="CF297" i="2"/>
  <c r="CE222" i="2"/>
  <c r="CC165" i="2"/>
  <c r="CA381" i="2"/>
  <c r="CB61" i="2"/>
  <c r="BX300" i="2"/>
  <c r="F45" i="5"/>
  <c r="CH143" i="2"/>
  <c r="BR306" i="2"/>
  <c r="BG243" i="2"/>
  <c r="BH30" i="2"/>
  <c r="BI167" i="2"/>
  <c r="N86" i="5"/>
  <c r="BH28" i="2"/>
  <c r="BI295" i="2"/>
  <c r="BI54" i="2"/>
  <c r="BR381" i="2"/>
  <c r="BJ197" i="2"/>
  <c r="BS239" i="2"/>
  <c r="CF421" i="2"/>
  <c r="CF300" i="2"/>
  <c r="CC168" i="2"/>
  <c r="CB175" i="2"/>
  <c r="CB16" i="2"/>
  <c r="CA62" i="2"/>
  <c r="BJ45" i="2"/>
  <c r="C107" i="5"/>
  <c r="CD276" i="2"/>
  <c r="CD288" i="2"/>
  <c r="CB186" i="2"/>
  <c r="CC321" i="2"/>
  <c r="BZ163" i="2"/>
  <c r="BY133" i="2"/>
  <c r="CH313" i="2"/>
  <c r="CE229" i="2"/>
  <c r="CD106" i="2"/>
  <c r="CC64" i="2"/>
  <c r="CA414" i="2"/>
  <c r="CB41" i="2"/>
  <c r="BI183" i="2"/>
  <c r="CF133" i="2"/>
  <c r="CE322" i="2"/>
  <c r="CD129" i="2"/>
  <c r="CC54" i="2"/>
  <c r="BZ379" i="2"/>
  <c r="BY146" i="2"/>
  <c r="BW446" i="2"/>
  <c r="BJ365" i="2"/>
  <c r="CF396" i="2"/>
  <c r="BG447" i="2"/>
  <c r="CI74" i="2"/>
  <c r="BH38" i="2"/>
  <c r="AV420" i="2"/>
  <c r="BG31" i="2"/>
  <c r="BH169" i="2"/>
  <c r="AS390" i="2"/>
  <c r="AU34" i="2"/>
  <c r="BH241" i="2"/>
  <c r="BI212" i="2"/>
  <c r="BI404" i="2"/>
  <c r="BI46" i="2"/>
  <c r="CF308" i="2"/>
  <c r="CE449" i="2"/>
  <c r="CD104" i="2"/>
  <c r="CB237" i="2"/>
  <c r="BZ150" i="2"/>
  <c r="BY225" i="2"/>
  <c r="BI345" i="2"/>
  <c r="O218" i="5"/>
  <c r="CE335" i="2"/>
  <c r="CE280" i="2"/>
  <c r="CB83" i="2"/>
  <c r="CB103" i="2"/>
  <c r="BZ323" i="2"/>
  <c r="BJ324" i="2"/>
  <c r="BH49" i="2"/>
  <c r="CD292" i="2"/>
  <c r="CE314" i="2"/>
  <c r="CD185" i="2"/>
  <c r="CC329" i="2"/>
  <c r="BZ347" i="2"/>
  <c r="BJ173" i="2"/>
  <c r="CE332" i="2"/>
  <c r="CD422" i="2"/>
  <c r="CB268" i="2"/>
  <c r="CA43" i="2"/>
  <c r="CA360" i="2"/>
  <c r="BZ197" i="2"/>
  <c r="BX392" i="2"/>
  <c r="AV118" i="2"/>
  <c r="CE26" i="2"/>
  <c r="CC45" i="2"/>
  <c r="CB298" i="2"/>
  <c r="CA396" i="2"/>
  <c r="CA221" i="2"/>
  <c r="BG54" i="2"/>
  <c r="BI38" i="2"/>
  <c r="CA333" i="2"/>
  <c r="CD244" i="2"/>
  <c r="CC346" i="2"/>
  <c r="CB227" i="2"/>
  <c r="CB262" i="2"/>
  <c r="BV88" i="2"/>
  <c r="CH361" i="2"/>
  <c r="CF346" i="2"/>
  <c r="CF465" i="2"/>
  <c r="CB28" i="2"/>
  <c r="CB450" i="2"/>
  <c r="CA271" i="2"/>
  <c r="BT426" i="2"/>
  <c r="CF238" i="2"/>
  <c r="CC149" i="2"/>
  <c r="AU312" i="2"/>
  <c r="BI347" i="2"/>
  <c r="CH335" i="2"/>
  <c r="BR139" i="2"/>
  <c r="BT34" i="2"/>
  <c r="BJ115" i="2"/>
  <c r="AS179" i="2"/>
  <c r="BT429" i="2"/>
  <c r="CH198" i="2"/>
  <c r="BJ364" i="2"/>
  <c r="BJ208" i="2"/>
  <c r="BH406" i="2"/>
  <c r="BJ48" i="2"/>
  <c r="CE282" i="2"/>
  <c r="CC445" i="2"/>
  <c r="CB211" i="2"/>
  <c r="CA314" i="2"/>
  <c r="CA214" i="2"/>
  <c r="BZ116" i="2"/>
  <c r="BH187" i="2"/>
  <c r="CE123" i="2"/>
  <c r="CC207" i="2"/>
  <c r="CC155" i="2"/>
  <c r="CC258" i="2"/>
  <c r="BY384" i="2"/>
  <c r="BW164" i="2"/>
  <c r="BI202" i="2"/>
  <c r="BJ307" i="2"/>
  <c r="CF215" i="2"/>
  <c r="CD406" i="2"/>
  <c r="CB45" i="2"/>
  <c r="CB127" i="2"/>
  <c r="BJ24" i="2"/>
  <c r="BI243" i="2"/>
  <c r="CD432" i="2"/>
  <c r="CE376" i="2"/>
  <c r="CD134" i="2"/>
  <c r="CC414" i="2"/>
  <c r="CC169" i="2"/>
  <c r="BY270" i="2"/>
  <c r="AX406" i="2"/>
  <c r="BI241" i="2"/>
  <c r="CC255" i="2"/>
  <c r="CE214" i="2"/>
  <c r="CC221" i="2"/>
  <c r="CB223" i="2"/>
  <c r="CC143" i="2"/>
  <c r="BJ241" i="2"/>
  <c r="BJ414" i="2"/>
  <c r="CE273" i="2"/>
  <c r="CE11" i="2"/>
  <c r="CC130" i="2"/>
  <c r="CA385" i="2"/>
  <c r="CA219" i="2"/>
  <c r="BZ17" i="2"/>
  <c r="BJ203" i="2"/>
  <c r="BR319" i="2"/>
  <c r="BI464" i="2"/>
  <c r="CI326" i="2"/>
  <c r="BS118" i="2"/>
  <c r="CH311" i="2"/>
  <c r="BJ50" i="2"/>
  <c r="AX454" i="2"/>
  <c r="AS47" i="2"/>
  <c r="AX267" i="2"/>
  <c r="BJ137" i="2"/>
  <c r="BJ47" i="2"/>
  <c r="BI100" i="2"/>
  <c r="BQ288" i="2"/>
  <c r="CE153" i="2"/>
  <c r="CC83" i="2"/>
  <c r="CB120" i="2"/>
  <c r="CA409" i="2"/>
  <c r="CA300" i="2"/>
  <c r="BZ83" i="2"/>
  <c r="BI110" i="2"/>
  <c r="CD293" i="2"/>
  <c r="CF127" i="2"/>
  <c r="CB410" i="2"/>
  <c r="CC241" i="2"/>
  <c r="CB323" i="2"/>
  <c r="CA9" i="2"/>
  <c r="BI352" i="2"/>
  <c r="BJ89" i="2"/>
  <c r="CF14" i="2"/>
  <c r="CC125" i="2"/>
  <c r="CB82" i="2"/>
  <c r="CB62" i="2"/>
  <c r="AU430" i="2"/>
  <c r="BI321" i="2"/>
  <c r="CC176" i="2"/>
  <c r="CE302" i="2"/>
  <c r="CC285" i="2"/>
  <c r="CB383" i="2"/>
  <c r="CC223" i="2"/>
  <c r="BX139" i="2"/>
  <c r="CI99" i="2"/>
  <c r="BI64" i="2"/>
  <c r="CC123" i="2"/>
  <c r="CD270" i="2"/>
  <c r="CC355" i="2"/>
  <c r="CB149" i="2"/>
  <c r="CC254" i="2"/>
  <c r="BJ247" i="2"/>
  <c r="BJ327" i="2"/>
  <c r="CE128" i="2"/>
  <c r="CE178" i="2"/>
  <c r="CC57" i="2"/>
  <c r="CA47" i="2"/>
  <c r="CA146" i="2"/>
  <c r="BZ422" i="2"/>
  <c r="CI449" i="2"/>
  <c r="BI12" i="2"/>
  <c r="BH233" i="2"/>
  <c r="CH267" i="2"/>
  <c r="CI143" i="2"/>
  <c r="CH43" i="2"/>
  <c r="CI274" i="2"/>
  <c r="CI427" i="2"/>
  <c r="BT339" i="2"/>
  <c r="BG91" i="2"/>
  <c r="CI182" i="2"/>
  <c r="CH192" i="2"/>
  <c r="BI408" i="2"/>
  <c r="CC77" i="2"/>
  <c r="CD312" i="2"/>
  <c r="CC268" i="2"/>
  <c r="CB405" i="2"/>
  <c r="CC375" i="2"/>
  <c r="BX441" i="2"/>
  <c r="BI10" i="2"/>
  <c r="CC426" i="2"/>
  <c r="CE323" i="2"/>
  <c r="CD34" i="2"/>
  <c r="CC120" i="2"/>
  <c r="CA142" i="2"/>
  <c r="BY44" i="2"/>
  <c r="BJ156" i="2"/>
  <c r="F54" i="5"/>
  <c r="CD204" i="2"/>
  <c r="CD319" i="2"/>
  <c r="CB329" i="2"/>
  <c r="CC257" i="2"/>
  <c r="BJ316" i="2"/>
  <c r="CI110" i="2"/>
  <c r="CE300" i="2"/>
  <c r="CE381" i="2"/>
  <c r="CA58" i="2"/>
  <c r="CA100" i="2"/>
  <c r="CA391" i="2"/>
  <c r="BZ59" i="2"/>
  <c r="BJ251" i="2"/>
  <c r="BI276" i="2"/>
  <c r="BR382" i="2"/>
  <c r="BI306" i="2"/>
  <c r="CI464" i="2"/>
  <c r="BT264" i="2"/>
  <c r="BG100" i="2"/>
  <c r="BT35" i="2"/>
  <c r="CH407" i="2"/>
  <c r="N22" i="5"/>
  <c r="BG163" i="2"/>
  <c r="BS248" i="2"/>
  <c r="BJ190" i="2"/>
  <c r="CH133" i="2"/>
  <c r="P239" i="5"/>
  <c r="CD155" i="2"/>
  <c r="CD108" i="2"/>
  <c r="CA436" i="2"/>
  <c r="CC447" i="2"/>
  <c r="CA283" i="2"/>
  <c r="BJ149" i="2"/>
  <c r="BH305" i="2"/>
  <c r="CD51" i="2"/>
  <c r="CE378" i="2"/>
  <c r="CD249" i="2"/>
  <c r="CC393" i="2"/>
  <c r="BZ170" i="2"/>
  <c r="BY242" i="2"/>
  <c r="AV14" i="2"/>
  <c r="CE342" i="2"/>
  <c r="CC324" i="2"/>
  <c r="CC405" i="2"/>
  <c r="CC43" i="2"/>
  <c r="BZ346" i="2"/>
  <c r="BI23" i="2"/>
  <c r="E47" i="5"/>
  <c r="CE102" i="2"/>
  <c r="CE7" i="2"/>
  <c r="CB56" i="2"/>
  <c r="CA455" i="2"/>
  <c r="BZ121" i="2"/>
  <c r="BY35" i="2"/>
  <c r="BJ205" i="2"/>
  <c r="C48" i="5"/>
  <c r="CD333" i="2"/>
  <c r="CD295" i="2"/>
  <c r="CA348" i="2"/>
  <c r="CA173" i="2"/>
  <c r="BZ31" i="2"/>
  <c r="BT284" i="2"/>
  <c r="CF458" i="2"/>
  <c r="CF227" i="2"/>
  <c r="CB156" i="2"/>
  <c r="CB18" i="2"/>
  <c r="CA431" i="2"/>
  <c r="BZ141" i="2"/>
  <c r="BJ154" i="2"/>
  <c r="BI330" i="2"/>
  <c r="CE338" i="2"/>
  <c r="CE28" i="2"/>
  <c r="CC196" i="2"/>
  <c r="CA178" i="2"/>
  <c r="BI461" i="2"/>
  <c r="BJ195" i="2"/>
  <c r="CF97" i="2"/>
  <c r="CD305" i="2"/>
  <c r="CC418" i="2"/>
  <c r="BH31" i="2"/>
  <c r="CC137" i="2"/>
  <c r="BI175" i="2"/>
  <c r="CD114" i="2"/>
  <c r="CC289" i="2"/>
  <c r="CA117" i="2"/>
  <c r="BI204" i="2"/>
  <c r="CF60" i="2"/>
  <c r="CD116" i="2"/>
  <c r="CA166" i="2"/>
  <c r="CA115" i="2"/>
  <c r="CA190" i="2"/>
  <c r="BZ58" i="2"/>
  <c r="BY464" i="2"/>
  <c r="BY421" i="2"/>
  <c r="BW108" i="2"/>
  <c r="BU47" i="2"/>
  <c r="B176" i="5"/>
  <c r="BZ132" i="2"/>
  <c r="BX370" i="2"/>
  <c r="BX201" i="2"/>
  <c r="BW456" i="2"/>
  <c r="BV144" i="2"/>
  <c r="BV61" i="2"/>
  <c r="BX210" i="2"/>
  <c r="BX175" i="2"/>
  <c r="BW303" i="2"/>
  <c r="BU368" i="2"/>
  <c r="L164" i="5"/>
  <c r="BU421" i="2"/>
  <c r="BW198" i="2"/>
  <c r="BZ332" i="2"/>
  <c r="BX166" i="2"/>
  <c r="BU102" i="2"/>
  <c r="BV349" i="2"/>
  <c r="I44" i="5"/>
  <c r="BY206" i="2"/>
  <c r="BV447" i="2"/>
  <c r="BX168" i="2"/>
  <c r="BV131" i="2"/>
  <c r="BY394" i="2"/>
  <c r="BW73" i="2"/>
  <c r="BX361" i="2"/>
  <c r="BW159" i="2"/>
  <c r="BW427" i="2"/>
  <c r="BX313" i="2"/>
  <c r="BV30" i="2"/>
  <c r="BW167" i="2"/>
  <c r="C167" i="5"/>
  <c r="BZ113" i="2"/>
  <c r="BV116" i="2"/>
  <c r="C24" i="5"/>
  <c r="D125" i="5"/>
  <c r="CB122" i="2"/>
  <c r="CC451" i="2"/>
  <c r="BX16" i="2"/>
  <c r="CE173" i="2"/>
  <c r="CE151" i="2"/>
  <c r="CC458" i="2"/>
  <c r="CA250" i="2"/>
  <c r="CI95" i="2"/>
  <c r="CD430" i="2"/>
  <c r="CC46" i="2"/>
  <c r="CC441" i="2"/>
  <c r="CB50" i="2"/>
  <c r="BV384" i="2"/>
  <c r="BZ28" i="2"/>
  <c r="BY373" i="2"/>
  <c r="BW391" i="2"/>
  <c r="BX169" i="2"/>
  <c r="BW463" i="2"/>
  <c r="BV196" i="2"/>
  <c r="BZ398" i="2"/>
  <c r="BW454" i="2"/>
  <c r="BW92" i="2"/>
  <c r="BV314" i="2"/>
  <c r="E266" i="5"/>
  <c r="F31" i="5"/>
  <c r="BY124" i="2"/>
  <c r="BU163" i="2"/>
  <c r="BW344" i="2"/>
  <c r="BU187" i="2"/>
  <c r="F201" i="5"/>
  <c r="C151" i="5"/>
  <c r="C39" i="5"/>
  <c r="BW352" i="2"/>
  <c r="BX162" i="2"/>
  <c r="BV347" i="2"/>
  <c r="BV261" i="2"/>
  <c r="CA334" i="2"/>
  <c r="BX19" i="2"/>
  <c r="BX404" i="2"/>
  <c r="BW356" i="2"/>
  <c r="CA290" i="2"/>
  <c r="BX453" i="2"/>
  <c r="BX36" i="2"/>
  <c r="BX414" i="2"/>
  <c r="BU285" i="2"/>
  <c r="BX88" i="2"/>
  <c r="BX44" i="2"/>
  <c r="BW406" i="2"/>
  <c r="BU237" i="2"/>
  <c r="D170" i="5"/>
  <c r="BZ100" i="2"/>
  <c r="BX31" i="2"/>
  <c r="BX333" i="2"/>
  <c r="BJ306" i="2"/>
  <c r="CB160" i="2"/>
  <c r="BJ275" i="2"/>
  <c r="CC253" i="2"/>
  <c r="CB422" i="2"/>
  <c r="CA297" i="2"/>
  <c r="BJ328" i="2"/>
  <c r="CF404" i="2"/>
  <c r="CD151" i="2"/>
  <c r="CC404" i="2"/>
  <c r="CA217" i="2"/>
  <c r="CA428" i="2"/>
  <c r="BZ72" i="2"/>
  <c r="CA441" i="2"/>
  <c r="BY304" i="2"/>
  <c r="BW98" i="2"/>
  <c r="BU253" i="2"/>
  <c r="F139" i="5"/>
  <c r="BY359" i="2"/>
  <c r="BX231" i="2"/>
  <c r="BW133" i="2"/>
  <c r="BW404" i="2"/>
  <c r="BU447" i="2"/>
  <c r="BU9" i="2"/>
  <c r="CA307" i="2"/>
  <c r="AT119" i="2"/>
  <c r="BH71" i="2"/>
  <c r="AT294" i="2"/>
  <c r="BH431" i="2"/>
  <c r="BI271" i="2"/>
  <c r="BI103" i="2"/>
  <c r="BJ55" i="2"/>
  <c r="BI134" i="2"/>
  <c r="BJ400" i="2"/>
  <c r="CA430" i="2"/>
  <c r="CF45" i="2"/>
  <c r="CC209" i="2"/>
  <c r="CC71" i="2"/>
  <c r="CB241" i="2"/>
  <c r="CA95" i="2"/>
  <c r="BI141" i="2"/>
  <c r="G50" i="6"/>
  <c r="CD182" i="2"/>
  <c r="CE15" i="2"/>
  <c r="CB100" i="2"/>
  <c r="BY178" i="2"/>
  <c r="BZ199" i="2"/>
  <c r="BY313" i="2"/>
  <c r="BJ184" i="2"/>
  <c r="CF86" i="2"/>
  <c r="CD388" i="2"/>
  <c r="CC456" i="2"/>
  <c r="CB350" i="2"/>
  <c r="CB346" i="2"/>
  <c r="BI329" i="2"/>
  <c r="CF168" i="2"/>
  <c r="CE155" i="2"/>
  <c r="CD283" i="2"/>
  <c r="CC391" i="2"/>
  <c r="BZ263" i="2"/>
  <c r="BY387" i="2"/>
  <c r="BX378" i="2"/>
  <c r="BI95" i="2"/>
  <c r="CF69" i="2"/>
  <c r="CE258" i="2"/>
  <c r="CD65" i="2"/>
  <c r="CB447" i="2"/>
  <c r="BZ242" i="2"/>
  <c r="BJ29" i="2"/>
  <c r="BT390" i="2"/>
  <c r="CE200" i="2"/>
  <c r="CC366" i="2"/>
  <c r="CA310" i="2"/>
  <c r="CA256" i="2"/>
  <c r="CA451" i="2"/>
  <c r="BZ444" i="2"/>
  <c r="BJ19" i="2"/>
  <c r="BG218" i="2"/>
  <c r="CI422" i="2"/>
  <c r="BH79" i="2"/>
  <c r="AV215" i="2"/>
  <c r="BG394" i="2"/>
  <c r="BH27" i="2"/>
  <c r="AO338" i="2"/>
  <c r="AW145" i="2"/>
  <c r="BH421" i="2"/>
  <c r="BH334" i="2"/>
  <c r="C238" i="5"/>
  <c r="BI248" i="2"/>
  <c r="CF325" i="2"/>
  <c r="CE347" i="2"/>
  <c r="CD321" i="2"/>
  <c r="CC374" i="2"/>
  <c r="BZ284" i="2"/>
  <c r="BY434" i="2"/>
  <c r="BI315" i="2"/>
  <c r="J186" i="5"/>
  <c r="CE73" i="2"/>
  <c r="CA138" i="2"/>
  <c r="CB342" i="2"/>
  <c r="CB57" i="2"/>
  <c r="BZ283" i="2"/>
  <c r="BI47" i="2"/>
  <c r="BH229" i="2"/>
  <c r="CD300" i="2"/>
  <c r="CE147" i="2"/>
  <c r="CD284" i="2"/>
  <c r="CC210" i="2"/>
  <c r="BZ215" i="2"/>
  <c r="BI439" i="2"/>
  <c r="CE393" i="2"/>
  <c r="CD73" i="2"/>
  <c r="CC134" i="2"/>
  <c r="CA460" i="2"/>
  <c r="CB424" i="2"/>
  <c r="BZ143" i="2"/>
  <c r="BW283" i="2"/>
  <c r="BJ284" i="2"/>
  <c r="AT463" i="2"/>
  <c r="BI195" i="2"/>
  <c r="AW298" i="2"/>
  <c r="AU398" i="2"/>
  <c r="AU397" i="2"/>
  <c r="BJ276" i="2"/>
  <c r="BJ373" i="2"/>
  <c r="BR22" i="2"/>
  <c r="BT360" i="2"/>
  <c r="BJ51" i="2"/>
  <c r="BJ369" i="2"/>
  <c r="BG10" i="2"/>
  <c r="BI56" i="2"/>
  <c r="CE115" i="2"/>
  <c r="CD175" i="2"/>
  <c r="CB325" i="2"/>
  <c r="CA412" i="2"/>
  <c r="CB166" i="2"/>
  <c r="BZ389" i="2"/>
  <c r="CH22" i="2"/>
  <c r="CE408" i="2"/>
  <c r="CC124" i="2"/>
  <c r="CC295" i="2"/>
  <c r="CC107" i="2"/>
  <c r="BZ276" i="2"/>
  <c r="BX114" i="2"/>
  <c r="BI422" i="2"/>
  <c r="BJ452" i="2"/>
  <c r="CF80" i="2"/>
  <c r="CD49" i="2"/>
  <c r="CC230" i="2"/>
  <c r="CB65" i="2"/>
  <c r="BJ34" i="2"/>
  <c r="BI21" i="2"/>
  <c r="CD433" i="2"/>
  <c r="CE121" i="2"/>
  <c r="CD287" i="2"/>
  <c r="CC144" i="2"/>
  <c r="BY6" i="2"/>
  <c r="BY336" i="2"/>
  <c r="BJ183" i="2"/>
  <c r="BI426" i="2"/>
  <c r="CD263" i="2"/>
  <c r="CE287" i="2"/>
  <c r="CD70" i="2"/>
  <c r="CC350" i="2"/>
  <c r="CC105" i="2"/>
  <c r="BJ354" i="2"/>
  <c r="BI51" i="2"/>
  <c r="CE402" i="2"/>
  <c r="CE92" i="2"/>
  <c r="CC428" i="2"/>
  <c r="CA282" i="2"/>
  <c r="CA85" i="2"/>
  <c r="BZ290" i="2"/>
  <c r="BJ125" i="2"/>
  <c r="CF347" i="2"/>
  <c r="CE409" i="2"/>
  <c r="CD424" i="2"/>
  <c r="CB19" i="2"/>
  <c r="BX167" i="2"/>
  <c r="BG168" i="2"/>
  <c r="CF430" i="2"/>
  <c r="CF167" i="2"/>
  <c r="BQ53" i="2"/>
  <c r="BG287" i="2"/>
  <c r="BH413" i="2"/>
  <c r="CI351" i="2"/>
  <c r="CH394" i="2"/>
  <c r="BT163" i="2"/>
  <c r="CH325" i="2"/>
  <c r="BQ111" i="2"/>
  <c r="CI265" i="2"/>
  <c r="CI219" i="2"/>
  <c r="CH328" i="2"/>
  <c r="BJ424" i="2"/>
  <c r="BI187" i="2"/>
  <c r="CD17" i="2"/>
  <c r="CE168" i="2"/>
  <c r="CD167" i="2"/>
  <c r="CC376" i="2"/>
  <c r="CC361" i="2"/>
  <c r="BY303" i="2"/>
  <c r="BH192" i="2"/>
  <c r="CE12" i="2"/>
  <c r="CE374" i="2"/>
  <c r="BZ63" i="2"/>
  <c r="CC68" i="2"/>
  <c r="CA34" i="2"/>
  <c r="BZ177" i="2"/>
  <c r="CH307" i="2"/>
  <c r="E193" i="5"/>
  <c r="CE110" i="2"/>
  <c r="CE96" i="2"/>
  <c r="CB263" i="2"/>
  <c r="BZ308" i="2"/>
  <c r="BI184" i="2"/>
  <c r="BJ25" i="2"/>
  <c r="CE391" i="2"/>
  <c r="CC21" i="2"/>
  <c r="CB243" i="2"/>
  <c r="CA432" i="2"/>
  <c r="CB192" i="2"/>
  <c r="BZ381" i="2"/>
  <c r="BJ287" i="2"/>
  <c r="BS347" i="2"/>
  <c r="CE29" i="2"/>
  <c r="CC262" i="2"/>
  <c r="CA264" i="2"/>
  <c r="CA245" i="2"/>
  <c r="CB143" i="2"/>
  <c r="CI216" i="2"/>
  <c r="B151" i="5"/>
  <c r="CD248" i="2"/>
  <c r="CD370" i="2"/>
  <c r="CC420" i="2"/>
  <c r="CB310" i="2"/>
  <c r="CA96" i="2"/>
  <c r="BW271" i="2"/>
  <c r="AX311" i="2"/>
  <c r="CH430" i="2"/>
  <c r="BH338" i="2"/>
  <c r="BH356" i="2"/>
  <c r="AW254" i="2"/>
  <c r="CI106" i="2"/>
  <c r="CH388" i="2"/>
  <c r="BT320" i="2"/>
  <c r="CH453" i="2"/>
  <c r="AS219" i="2"/>
  <c r="CI328" i="2"/>
  <c r="CH298" i="2"/>
  <c r="AR83" i="2"/>
  <c r="BI82" i="2"/>
  <c r="CD278" i="2"/>
  <c r="CE23" i="2"/>
  <c r="CC191" i="2"/>
  <c r="CC94" i="2"/>
  <c r="CC24" i="2"/>
  <c r="BX117" i="2"/>
  <c r="BI164" i="2"/>
  <c r="CE425" i="2"/>
  <c r="CE13" i="2"/>
  <c r="CD35" i="2"/>
  <c r="CC34" i="2"/>
  <c r="CA105" i="2"/>
  <c r="BZ224" i="2"/>
  <c r="BI379" i="2"/>
  <c r="C50" i="5"/>
  <c r="CD405" i="2"/>
  <c r="CE383" i="2"/>
  <c r="CB308" i="2"/>
  <c r="BY347" i="2"/>
  <c r="BI70" i="2"/>
  <c r="BQ62" i="2"/>
  <c r="CE93" i="2"/>
  <c r="CC104" i="2"/>
  <c r="CB214" i="2"/>
  <c r="CA309" i="2"/>
  <c r="CB351" i="2"/>
  <c r="BZ108" i="2"/>
  <c r="BJ252" i="2"/>
  <c r="BG412" i="2"/>
  <c r="CE355" i="2"/>
  <c r="CE317" i="2"/>
  <c r="CA226" i="2"/>
  <c r="CA36" i="2"/>
  <c r="CA231" i="2"/>
  <c r="O48" i="5"/>
  <c r="C94" i="5"/>
  <c r="CC269" i="2"/>
  <c r="CD144" i="2"/>
  <c r="CC347" i="2"/>
  <c r="CB13" i="2"/>
  <c r="CA63" i="2"/>
  <c r="BJ235" i="2"/>
  <c r="BG146" i="2"/>
  <c r="BJ391" i="2"/>
  <c r="BR16" i="2"/>
  <c r="CH179" i="2"/>
  <c r="AV185" i="2"/>
  <c r="BS345" i="2"/>
  <c r="BS396" i="2"/>
  <c r="CI167" i="2"/>
  <c r="BT102" i="2"/>
  <c r="BJ382" i="2"/>
  <c r="BI344" i="2"/>
  <c r="BJ213" i="2"/>
  <c r="CI311" i="2"/>
  <c r="CE124" i="2"/>
  <c r="CA227" i="2"/>
  <c r="CA44" i="2"/>
  <c r="CA388" i="2"/>
  <c r="CB94" i="2"/>
  <c r="BZ364" i="2"/>
  <c r="CH117" i="2"/>
  <c r="CE293" i="2"/>
  <c r="CD194" i="2"/>
  <c r="CC360" i="2"/>
  <c r="CA183" i="2"/>
  <c r="CB105" i="2"/>
  <c r="CA439" i="2"/>
  <c r="BI407" i="2"/>
  <c r="J220" i="5"/>
  <c r="CE9" i="2"/>
  <c r="BZ336" i="2"/>
  <c r="CB413" i="2"/>
  <c r="CB400" i="2"/>
  <c r="AV53" i="2"/>
  <c r="O51" i="5"/>
  <c r="CD386" i="2"/>
  <c r="CD117" i="2"/>
  <c r="CA205" i="2"/>
  <c r="CC287" i="2"/>
  <c r="BX354" i="2"/>
  <c r="BX77" i="2"/>
  <c r="CH247" i="2"/>
  <c r="B30" i="5"/>
  <c r="BT183" i="2"/>
  <c r="D189" i="6"/>
  <c r="CI452" i="2"/>
  <c r="BG50" i="2"/>
  <c r="BH76" i="2"/>
  <c r="BQ64" i="2"/>
  <c r="N198" i="5"/>
  <c r="BG209" i="2"/>
  <c r="BH370" i="2"/>
  <c r="BI220" i="2"/>
  <c r="CI201" i="2"/>
  <c r="BI88" i="2"/>
  <c r="N161" i="5"/>
  <c r="CE334" i="2"/>
  <c r="CE199" i="2"/>
  <c r="CB281" i="2"/>
  <c r="CB118" i="2"/>
  <c r="BZ313" i="2"/>
  <c r="BI77" i="2"/>
  <c r="BJ67" i="2"/>
  <c r="CF304" i="2"/>
  <c r="CD145" i="2"/>
  <c r="CC326" i="2"/>
  <c r="CB129" i="2"/>
  <c r="CB402" i="2"/>
  <c r="CA239" i="2"/>
  <c r="BH253" i="2"/>
  <c r="CF102" i="2"/>
  <c r="CF318" i="2"/>
  <c r="CA139" i="2"/>
  <c r="BZ288" i="2"/>
  <c r="CA459" i="2"/>
  <c r="BI13" i="2"/>
  <c r="CE458" i="2"/>
  <c r="CB291" i="2"/>
  <c r="CC434" i="2"/>
  <c r="CC114" i="2"/>
  <c r="BX299" i="2"/>
  <c r="BW457" i="2"/>
  <c r="BZ45" i="2"/>
  <c r="BJ92" i="2"/>
  <c r="CD281" i="2"/>
  <c r="CF301" i="2"/>
  <c r="BY451" i="2"/>
  <c r="CC128" i="2"/>
  <c r="CB234" i="2"/>
  <c r="CA88" i="2"/>
  <c r="BJ277" i="2"/>
  <c r="CF140" i="2"/>
  <c r="CE65" i="2"/>
  <c r="CD55" i="2"/>
  <c r="CB307" i="2"/>
  <c r="BX11" i="2"/>
  <c r="BY232" i="2"/>
  <c r="CH365" i="2"/>
  <c r="D355" i="5"/>
  <c r="CD89" i="2"/>
  <c r="CD371" i="2"/>
  <c r="BZ131" i="2"/>
  <c r="CC150" i="2"/>
  <c r="BJ111" i="2"/>
  <c r="B31" i="6"/>
  <c r="CE457" i="2"/>
  <c r="CE50" i="2"/>
  <c r="CA86" i="2"/>
  <c r="CF428" i="2"/>
  <c r="CA170" i="2"/>
  <c r="D104" i="5"/>
  <c r="CF375" i="2"/>
  <c r="CD224" i="2"/>
  <c r="CB461" i="2"/>
  <c r="BI355" i="2"/>
  <c r="CE217" i="2"/>
  <c r="CE288" i="2"/>
  <c r="CA330" i="2"/>
  <c r="CC344" i="2"/>
  <c r="CA292" i="2"/>
  <c r="BX212" i="2"/>
  <c r="BX91" i="2"/>
  <c r="BX186" i="2"/>
  <c r="BV423" i="2"/>
  <c r="BU278" i="2"/>
  <c r="D157" i="5"/>
  <c r="CA263" i="2"/>
  <c r="BZ24" i="2"/>
  <c r="BX65" i="2"/>
  <c r="BV199" i="2"/>
  <c r="BU7" i="2"/>
  <c r="P137" i="5"/>
  <c r="BY289" i="2"/>
  <c r="BW422" i="2"/>
  <c r="BX41" i="2"/>
  <c r="BW326" i="2"/>
  <c r="B81" i="5"/>
  <c r="BV342" i="2"/>
  <c r="E248" i="5"/>
  <c r="BW263" i="2"/>
  <c r="BX140" i="2"/>
  <c r="BV429" i="2"/>
  <c r="BU396" i="2"/>
  <c r="F315" i="5"/>
  <c r="BW360" i="2"/>
  <c r="BX364" i="2"/>
  <c r="BV301" i="2"/>
  <c r="BW46" i="2"/>
  <c r="BX373" i="2"/>
  <c r="BX413" i="2"/>
  <c r="BW112" i="2"/>
  <c r="BV230" i="2"/>
  <c r="BX92" i="2"/>
  <c r="BY54" i="2"/>
  <c r="BW56" i="2"/>
  <c r="BV238" i="2"/>
  <c r="N32" i="5"/>
  <c r="BX236" i="2"/>
  <c r="BW400" i="2"/>
  <c r="E92" i="5"/>
  <c r="CE387" i="2"/>
  <c r="CA407" i="2"/>
  <c r="CD445" i="2"/>
  <c r="BX190" i="2"/>
  <c r="CE455" i="2"/>
  <c r="CE189" i="2"/>
  <c r="CC261" i="2"/>
  <c r="CB72" i="2"/>
  <c r="BJ380" i="2"/>
  <c r="CE279" i="2"/>
  <c r="CD243" i="2"/>
  <c r="CC178" i="2"/>
  <c r="CA281" i="2"/>
  <c r="BZ144" i="2"/>
  <c r="BY63" i="2"/>
  <c r="BX323" i="2"/>
  <c r="BX221" i="2"/>
  <c r="BW423" i="2"/>
  <c r="BU109" i="2"/>
  <c r="M150" i="5"/>
  <c r="BZ202" i="2"/>
  <c r="BX137" i="2"/>
  <c r="BV367" i="2"/>
  <c r="BU425" i="2"/>
  <c r="H317" i="5"/>
  <c r="BZ339" i="2"/>
  <c r="BX133" i="2"/>
  <c r="BX35" i="2"/>
  <c r="BX94" i="2"/>
  <c r="BV162" i="2"/>
  <c r="F180" i="5"/>
  <c r="O118" i="5"/>
  <c r="F342" i="5"/>
  <c r="BY211" i="2"/>
  <c r="BY45" i="2"/>
  <c r="BW182" i="2"/>
  <c r="BV433" i="2"/>
  <c r="BW313" i="2"/>
  <c r="BU257" i="2"/>
  <c r="BX385" i="2"/>
  <c r="BV408" i="2"/>
  <c r="BY250" i="2"/>
  <c r="BW254" i="2"/>
  <c r="CA157" i="2"/>
  <c r="AS266" i="2"/>
  <c r="BT359" i="2"/>
  <c r="AU288" i="2"/>
  <c r="BI375" i="2"/>
  <c r="AW85" i="2"/>
  <c r="BG198" i="2"/>
  <c r="BH315" i="2"/>
  <c r="BR397" i="2"/>
  <c r="BI178" i="2"/>
  <c r="CC301" i="2"/>
  <c r="CE459" i="2"/>
  <c r="CD98" i="2"/>
  <c r="CC25" i="2"/>
  <c r="CA350" i="2"/>
  <c r="BY132" i="2"/>
  <c r="BH310" i="2"/>
  <c r="C92" i="5"/>
  <c r="CE202" i="2"/>
  <c r="CC267" i="2"/>
  <c r="CC400" i="2"/>
  <c r="CB378" i="2"/>
  <c r="BZ236" i="2"/>
  <c r="BI107" i="2"/>
  <c r="BG195" i="2"/>
  <c r="CD206" i="2"/>
  <c r="CE228" i="2"/>
  <c r="CD316" i="2"/>
  <c r="BZ327" i="2"/>
  <c r="CA128" i="2"/>
  <c r="CI374" i="2"/>
  <c r="CE165" i="2"/>
  <c r="CD10" i="2"/>
  <c r="CC248" i="2"/>
  <c r="CA294" i="2"/>
  <c r="CB336" i="2"/>
  <c r="CA438" i="2"/>
  <c r="BX244" i="2"/>
  <c r="BI171" i="2"/>
  <c r="CE324" i="2"/>
  <c r="CD336" i="2"/>
  <c r="CC14" i="2"/>
  <c r="CA252" i="2"/>
  <c r="CB375" i="2"/>
  <c r="BR191" i="2"/>
  <c r="BI153" i="2"/>
  <c r="CC381" i="2"/>
  <c r="CE150" i="2"/>
  <c r="CC157" i="2"/>
  <c r="CB454" i="2"/>
  <c r="CC79" i="2"/>
  <c r="BX442" i="2"/>
  <c r="AT283" i="2"/>
  <c r="BI108" i="2"/>
  <c r="CH417" i="2"/>
  <c r="AV243" i="2"/>
  <c r="CH392" i="2"/>
  <c r="BJ246" i="2"/>
  <c r="BI270" i="2"/>
  <c r="BQ443" i="2"/>
  <c r="AV28" i="2"/>
  <c r="BJ212" i="2"/>
  <c r="BJ234" i="2"/>
  <c r="E212" i="5"/>
  <c r="BG311" i="2"/>
  <c r="CE196" i="2"/>
  <c r="CD329" i="2"/>
  <c r="CC438" i="2"/>
  <c r="CA197" i="2"/>
  <c r="CB455" i="2"/>
  <c r="BZ408" i="2"/>
  <c r="BJ359" i="2"/>
  <c r="CF383" i="2"/>
  <c r="CD102" i="2"/>
  <c r="CD359" i="2"/>
  <c r="CC69" i="2"/>
  <c r="BZ375" i="2"/>
  <c r="BX317" i="2"/>
  <c r="BH393" i="2"/>
  <c r="BJ164" i="2"/>
  <c r="CF417" i="2"/>
  <c r="CD448" i="2"/>
  <c r="CC40" i="2"/>
  <c r="CB394" i="2"/>
  <c r="BJ260" i="2"/>
  <c r="BH168" i="2"/>
  <c r="CD251" i="2"/>
  <c r="CE250" i="2"/>
  <c r="CD121" i="2"/>
  <c r="CC265" i="2"/>
  <c r="BZ226" i="2"/>
  <c r="BY34" i="2"/>
  <c r="BJ274" i="2"/>
  <c r="BI412" i="2"/>
  <c r="BS252" i="2"/>
  <c r="CI433" i="2"/>
  <c r="BG8" i="2"/>
  <c r="CH375" i="2"/>
  <c r="BR299" i="2"/>
  <c r="BT57" i="2"/>
  <c r="BS49" i="2"/>
  <c r="AW179" i="2"/>
  <c r="CH297" i="2"/>
  <c r="CH431" i="2"/>
  <c r="AV348" i="2"/>
  <c r="BJ283" i="2"/>
  <c r="BI405" i="2"/>
  <c r="CD451" i="2"/>
  <c r="CE313" i="2"/>
  <c r="CD96" i="2"/>
  <c r="CC192" i="2"/>
  <c r="BY404" i="2"/>
  <c r="BY73" i="2"/>
  <c r="BH303" i="2"/>
  <c r="CF230" i="2"/>
  <c r="CF382" i="2"/>
  <c r="CA108" i="2"/>
  <c r="CA336" i="2"/>
  <c r="CA11" i="2"/>
  <c r="BZ107" i="2"/>
  <c r="BJ374" i="2"/>
  <c r="O108" i="5"/>
  <c r="CE175" i="2"/>
  <c r="CE241" i="2"/>
  <c r="CC95" i="2"/>
  <c r="BZ399" i="2"/>
  <c r="BI114" i="2"/>
  <c r="BJ346" i="2"/>
  <c r="CF462" i="2"/>
  <c r="CD190" i="2"/>
  <c r="CB236" i="2"/>
  <c r="CB23" i="2"/>
  <c r="CB417" i="2"/>
  <c r="BZ376" i="2"/>
  <c r="BI96" i="2"/>
  <c r="BJ336" i="2"/>
  <c r="CE406" i="2"/>
  <c r="CC84" i="2"/>
  <c r="CB282" i="2"/>
  <c r="CA224" i="2"/>
  <c r="CB128" i="2"/>
  <c r="AX276" i="2"/>
  <c r="J179" i="5"/>
  <c r="CD169" i="2"/>
  <c r="CD428" i="2"/>
  <c r="BZ357" i="2"/>
  <c r="CC214" i="2"/>
  <c r="CA337" i="2"/>
  <c r="BX360" i="2"/>
  <c r="BJ290" i="2"/>
  <c r="CE410" i="2"/>
  <c r="CC408" i="2"/>
  <c r="CB179" i="2"/>
  <c r="CA211" i="2"/>
  <c r="CA462" i="2"/>
  <c r="BJ370" i="2"/>
  <c r="CF169" i="2"/>
  <c r="CE94" i="2"/>
  <c r="C201" i="5"/>
  <c r="BJ265" i="2"/>
  <c r="BJ437" i="2"/>
  <c r="CI192" i="2"/>
  <c r="CH224" i="2"/>
  <c r="CG56" i="2"/>
  <c r="CI36" i="2"/>
  <c r="BT108" i="2"/>
  <c r="CI23" i="2"/>
  <c r="BI456" i="2"/>
  <c r="BI91" i="2"/>
  <c r="BI9" i="2"/>
  <c r="BJ217" i="2"/>
  <c r="CF142" i="2"/>
  <c r="CC333" i="2"/>
  <c r="CB147" i="2"/>
  <c r="CB198" i="2"/>
  <c r="CB97" i="2"/>
  <c r="BZ342" i="2"/>
  <c r="BJ456" i="2"/>
  <c r="CF312" i="2"/>
  <c r="CD261" i="2"/>
  <c r="CC252" i="2"/>
  <c r="BZ26" i="2"/>
  <c r="CB187" i="2"/>
  <c r="BW420" i="2"/>
  <c r="BH364" i="2"/>
  <c r="D47" i="5"/>
  <c r="CB11" i="2"/>
  <c r="CC213" i="2"/>
  <c r="CC153" i="2"/>
  <c r="CB322" i="2"/>
  <c r="BI242" i="2"/>
  <c r="F241" i="5"/>
  <c r="CD341" i="2"/>
  <c r="CE414" i="2"/>
  <c r="CB99" i="2"/>
  <c r="BY39" i="2"/>
  <c r="BZ373" i="2"/>
  <c r="BY57" i="2"/>
  <c r="BJ396" i="2"/>
  <c r="D29" i="5"/>
  <c r="CD76" i="2"/>
  <c r="CD366" i="2"/>
  <c r="CB272" i="2"/>
  <c r="CC129" i="2"/>
  <c r="BZ128" i="2"/>
  <c r="BJ69" i="2"/>
  <c r="D166" i="5"/>
  <c r="CD269" i="2"/>
  <c r="CD103" i="2"/>
  <c r="CA298" i="2"/>
  <c r="CA109" i="2"/>
  <c r="BZ302" i="2"/>
  <c r="BJ343" i="2"/>
  <c r="BI258" i="2"/>
  <c r="BG134" i="2"/>
  <c r="BJ104" i="2"/>
  <c r="AT137" i="2"/>
  <c r="BS343" i="2"/>
  <c r="CI16" i="2"/>
  <c r="AX200" i="2"/>
  <c r="CH278" i="2"/>
  <c r="CH40" i="2"/>
  <c r="AW216" i="2"/>
  <c r="BI55" i="2"/>
  <c r="BI18" i="2"/>
  <c r="BI430" i="2"/>
  <c r="BJ23" i="2"/>
  <c r="CE285" i="2"/>
  <c r="CC275" i="2"/>
  <c r="CB112" i="2"/>
  <c r="CA262" i="2"/>
  <c r="CB231" i="2"/>
  <c r="BZ61" i="2"/>
  <c r="BJ118" i="2"/>
  <c r="CF150" i="2"/>
  <c r="CD60" i="2"/>
  <c r="CC74" i="2"/>
  <c r="CB71" i="2"/>
  <c r="CB91" i="2"/>
  <c r="CA208" i="2"/>
  <c r="BH54" i="2"/>
  <c r="L195" i="5"/>
  <c r="CE138" i="2"/>
  <c r="CC234" i="2"/>
  <c r="CC351" i="2"/>
  <c r="CB250" i="2"/>
  <c r="BJ410" i="2"/>
  <c r="P8" i="5"/>
  <c r="CD140" i="2"/>
  <c r="CD135" i="2"/>
  <c r="CB145" i="2"/>
  <c r="CC193" i="2"/>
  <c r="BZ201" i="2"/>
  <c r="BY295" i="2"/>
  <c r="AV73" i="2"/>
  <c r="J82" i="5"/>
  <c r="CD218" i="2"/>
  <c r="CD53" i="2"/>
  <c r="CA276" i="2"/>
  <c r="CC167" i="2"/>
  <c r="BW341" i="2"/>
  <c r="BJ147" i="2"/>
  <c r="CF223" i="2"/>
  <c r="CD68" i="2"/>
  <c r="CD109" i="2"/>
  <c r="BZ129" i="2"/>
  <c r="CA299" i="2"/>
  <c r="BY99" i="2"/>
  <c r="BS105" i="2"/>
  <c r="BR123" i="2"/>
  <c r="BI228" i="2"/>
  <c r="CH439" i="2"/>
  <c r="CH94" i="2"/>
  <c r="BG213" i="2"/>
  <c r="CI394" i="2"/>
  <c r="BT418" i="2"/>
  <c r="CH106" i="2"/>
  <c r="BG36" i="2"/>
  <c r="BQ12" i="2"/>
  <c r="BJ358" i="2"/>
  <c r="AR277" i="2"/>
  <c r="C341" i="5"/>
  <c r="CD43" i="2"/>
  <c r="CD309" i="2"/>
  <c r="CB150" i="2"/>
  <c r="CC48" i="2"/>
  <c r="BY377" i="2"/>
  <c r="BI24" i="2"/>
  <c r="BG95" i="2"/>
  <c r="CD29" i="2"/>
  <c r="CE211" i="2"/>
  <c r="CD26" i="2"/>
  <c r="BW171" i="2"/>
  <c r="BZ352" i="2"/>
  <c r="BY117" i="2"/>
  <c r="BJ87" i="2"/>
  <c r="CF71" i="2"/>
  <c r="CC440" i="2"/>
  <c r="CD95" i="2"/>
  <c r="CC452" i="2"/>
  <c r="BZ414" i="2"/>
  <c r="BI89" i="2"/>
  <c r="C105" i="5"/>
  <c r="CE167" i="2"/>
  <c r="CE152" i="2"/>
  <c r="CB67" i="2"/>
  <c r="CB439" i="2"/>
  <c r="BZ458" i="2"/>
  <c r="BZ214" i="2"/>
  <c r="BI318" i="2"/>
  <c r="J121" i="5"/>
  <c r="CH145" i="2"/>
  <c r="BI147" i="2"/>
  <c r="D171" i="5"/>
  <c r="BH345" i="2"/>
  <c r="BI418" i="2"/>
  <c r="CI399" i="2"/>
  <c r="BG335" i="2"/>
  <c r="BH144" i="2"/>
  <c r="BI337" i="2"/>
  <c r="BJ377" i="2"/>
  <c r="BI249" i="2"/>
  <c r="BH189" i="2"/>
  <c r="CE339" i="2"/>
  <c r="CC113" i="2"/>
  <c r="CC435" i="2"/>
  <c r="CC322" i="2"/>
  <c r="BY74" i="2"/>
  <c r="BW325" i="2"/>
  <c r="BJ319" i="2"/>
  <c r="F216" i="5"/>
  <c r="CE239" i="2"/>
  <c r="CE305" i="2"/>
  <c r="CC215" i="2"/>
  <c r="CA30" i="2"/>
  <c r="CA83" i="2"/>
  <c r="BY196" i="2"/>
  <c r="BJ289" i="2"/>
  <c r="CF336" i="2"/>
  <c r="CD367" i="2"/>
  <c r="CC12" i="2"/>
  <c r="CA186" i="2"/>
  <c r="CB60" i="2"/>
  <c r="BH270" i="2"/>
  <c r="CE99" i="2"/>
  <c r="CE397" i="2"/>
  <c r="BZ19" i="2"/>
  <c r="CC442" i="2"/>
  <c r="CA155" i="2"/>
  <c r="BZ33" i="2"/>
  <c r="BY40" i="2"/>
  <c r="BI435" i="2"/>
  <c r="CD28" i="2"/>
  <c r="CE172" i="2"/>
  <c r="CD171" i="2"/>
  <c r="CC433" i="2"/>
  <c r="CA40" i="2"/>
  <c r="BZ278" i="2"/>
  <c r="BJ59" i="2"/>
  <c r="CE267" i="2"/>
  <c r="CD94" i="2"/>
  <c r="CB456" i="2"/>
  <c r="CA379" i="2"/>
  <c r="CA247" i="2"/>
  <c r="BZ69" i="2"/>
  <c r="BI150" i="2"/>
  <c r="P55" i="5"/>
  <c r="CD391" i="2"/>
  <c r="CE278" i="2"/>
  <c r="CB134" i="2"/>
  <c r="CA374" i="2"/>
  <c r="BG92" i="2"/>
  <c r="B145" i="5"/>
  <c r="CC61" i="2"/>
  <c r="CD383" i="2"/>
  <c r="BW465" i="2"/>
  <c r="CD234" i="2"/>
  <c r="BZ312" i="2"/>
  <c r="E27" i="5"/>
  <c r="CD411" i="2"/>
  <c r="CA253" i="2"/>
  <c r="CA106" i="2"/>
  <c r="BI222" i="2"/>
  <c r="CF434" i="2"/>
  <c r="CB459" i="2"/>
  <c r="CB465" i="2"/>
  <c r="CB190" i="2"/>
  <c r="BZ377" i="2"/>
  <c r="BY92" i="2"/>
  <c r="BY103" i="2"/>
  <c r="BY438" i="2"/>
  <c r="BW113" i="2"/>
  <c r="BV215" i="2"/>
  <c r="F196" i="5"/>
  <c r="BZ211" i="2"/>
  <c r="BY318" i="2"/>
  <c r="BW319" i="2"/>
  <c r="BU267" i="2"/>
  <c r="BV8" i="2"/>
  <c r="BV346" i="2"/>
  <c r="BX362" i="2"/>
  <c r="BX93" i="2"/>
  <c r="BW295" i="2"/>
  <c r="BU303" i="2"/>
  <c r="E42" i="5"/>
  <c r="BV392" i="2"/>
  <c r="F61" i="5"/>
  <c r="BY390" i="2"/>
  <c r="BV344" i="2"/>
  <c r="BX424" i="2"/>
  <c r="BV276" i="2"/>
  <c r="F40" i="5"/>
  <c r="BY389" i="2"/>
  <c r="BU55" i="2"/>
  <c r="BW351" i="2"/>
  <c r="I245" i="5"/>
  <c r="BZ392" i="2"/>
  <c r="BW118" i="2"/>
  <c r="BW452" i="2"/>
  <c r="BU293" i="2"/>
  <c r="BY306" i="2"/>
  <c r="BW216" i="2"/>
  <c r="BX297" i="2"/>
  <c r="BW95" i="2"/>
  <c r="L183" i="5"/>
  <c r="BX196" i="2"/>
  <c r="BW376" i="2"/>
  <c r="B296" i="5"/>
  <c r="CA77" i="2"/>
  <c r="BZ277" i="2"/>
  <c r="CC109" i="2"/>
  <c r="BI99" i="2"/>
  <c r="CD328" i="2"/>
  <c r="CD48" i="2"/>
  <c r="BY249" i="2"/>
  <c r="CH243" i="2"/>
  <c r="D162" i="5"/>
  <c r="CF109" i="2"/>
  <c r="CC226" i="2"/>
  <c r="CB320" i="2"/>
  <c r="CB340" i="2"/>
  <c r="BU124" i="2"/>
  <c r="BY198" i="2"/>
  <c r="BZ400" i="2"/>
  <c r="BV204" i="2"/>
  <c r="BW289" i="2"/>
  <c r="BU79" i="2"/>
  <c r="P215" i="5"/>
  <c r="BZ95" i="2"/>
  <c r="BY416" i="2"/>
  <c r="BW84" i="2"/>
  <c r="BV242" i="2"/>
  <c r="D6" i="5"/>
  <c r="BY104" i="2"/>
  <c r="BV155" i="2"/>
  <c r="BU372" i="2"/>
  <c r="BV315" i="2"/>
  <c r="BU273" i="2"/>
  <c r="F134" i="5"/>
  <c r="O72" i="5"/>
  <c r="CA23" i="2"/>
  <c r="BX83" i="2"/>
  <c r="BX74" i="2"/>
  <c r="BW37" i="2"/>
  <c r="M99" i="5"/>
  <c r="BZ317" i="2"/>
  <c r="BY159" i="2"/>
  <c r="BW136" i="2"/>
  <c r="BU211" i="2"/>
  <c r="BV35" i="2"/>
  <c r="BY275" i="2"/>
  <c r="BZ404" i="2"/>
  <c r="CI238" i="2"/>
  <c r="CI280" i="2"/>
  <c r="P68" i="5"/>
  <c r="AU162" i="2"/>
  <c r="CH447" i="2"/>
  <c r="BJ421" i="2"/>
  <c r="BJ331" i="2"/>
  <c r="AV170" i="2"/>
  <c r="AW268" i="2"/>
  <c r="CE357" i="2"/>
  <c r="CD330" i="2"/>
  <c r="CC89" i="2"/>
  <c r="CA351" i="2"/>
  <c r="CB169" i="2"/>
  <c r="CA7" i="2"/>
  <c r="BJ231" i="2"/>
  <c r="CF259" i="2"/>
  <c r="CD184" i="2"/>
  <c r="CD369" i="2"/>
  <c r="CC152" i="2"/>
  <c r="CA176" i="2"/>
  <c r="BY411" i="2"/>
  <c r="BG194" i="2"/>
  <c r="BJ357" i="2"/>
  <c r="CF242" i="2"/>
  <c r="CD291" i="2"/>
  <c r="CC444" i="2"/>
  <c r="CB458" i="2"/>
  <c r="BI454" i="2"/>
  <c r="BH368" i="2"/>
  <c r="CD212" i="2"/>
  <c r="CE83" i="2"/>
  <c r="CD259" i="2"/>
  <c r="CC146" i="2"/>
  <c r="BZ326" i="2"/>
  <c r="BY51" i="2"/>
  <c r="BJ68" i="2"/>
  <c r="BH287" i="2"/>
  <c r="CD402" i="2"/>
  <c r="CE186" i="2"/>
  <c r="CD57" i="2"/>
  <c r="CC201" i="2"/>
  <c r="BZ257" i="2"/>
  <c r="BJ334" i="2"/>
  <c r="BT272" i="2"/>
  <c r="CE444" i="2"/>
  <c r="CB101" i="2"/>
  <c r="CA278" i="2"/>
  <c r="CA181" i="2"/>
  <c r="CB382" i="2"/>
  <c r="BZ372" i="2"/>
  <c r="CI343" i="2"/>
  <c r="CI53" i="2"/>
  <c r="BG33" i="2"/>
  <c r="BT266" i="2"/>
  <c r="CH44" i="2"/>
  <c r="AX215" i="2"/>
  <c r="BQ207" i="2"/>
  <c r="CH262" i="2"/>
  <c r="BS425" i="2"/>
  <c r="BQ338" i="2"/>
  <c r="BJ304" i="2"/>
  <c r="BJ229" i="2"/>
  <c r="BH146" i="2"/>
  <c r="CD147" i="2"/>
  <c r="CE442" i="2"/>
  <c r="CD313" i="2"/>
  <c r="CC457" i="2"/>
  <c r="BZ307" i="2"/>
  <c r="BY338" i="2"/>
  <c r="BG28" i="2"/>
  <c r="CF112" i="2"/>
  <c r="CF56" i="2"/>
  <c r="CB168" i="2"/>
  <c r="CA141" i="2"/>
  <c r="CA332" i="2"/>
  <c r="BZ99" i="2"/>
  <c r="BJ144" i="2"/>
  <c r="BJ122" i="2"/>
  <c r="CE320" i="2"/>
  <c r="CE370" i="2"/>
  <c r="CC369" i="2"/>
  <c r="CA184" i="2"/>
  <c r="BI340" i="2"/>
  <c r="BJ363" i="2"/>
  <c r="CF424" i="2"/>
  <c r="CD280" i="2"/>
  <c r="CC118" i="2"/>
  <c r="CB440" i="2"/>
  <c r="CB162" i="2"/>
  <c r="CA440" i="2"/>
  <c r="BI26" i="2"/>
  <c r="BJ194" i="2"/>
  <c r="O167" i="5"/>
  <c r="BJ179" i="2"/>
  <c r="BI296" i="2"/>
  <c r="CI170" i="2"/>
  <c r="BT293" i="2"/>
  <c r="BG388" i="2"/>
  <c r="CH462" i="2"/>
  <c r="CG148" i="2"/>
  <c r="CH279" i="2"/>
  <c r="BI138" i="2"/>
  <c r="BI325" i="2"/>
  <c r="BI458" i="2"/>
  <c r="BJ66" i="2"/>
  <c r="CF280" i="2"/>
  <c r="CD15" i="2"/>
  <c r="CB301" i="2"/>
  <c r="CB312" i="2"/>
  <c r="CB59" i="2"/>
  <c r="CA174" i="2"/>
  <c r="BJ353" i="2"/>
  <c r="CF41" i="2"/>
  <c r="CD344" i="2"/>
  <c r="CC100" i="2"/>
  <c r="CA355" i="2"/>
  <c r="CB124" i="2"/>
  <c r="BX259" i="2"/>
  <c r="BG330" i="2"/>
  <c r="H87" i="5"/>
  <c r="CC259" i="2"/>
  <c r="CD327" i="2"/>
  <c r="CC194" i="2"/>
  <c r="CB12" i="2"/>
  <c r="L36" i="5"/>
  <c r="L133" i="5"/>
  <c r="CE46" i="2"/>
  <c r="CE32" i="2"/>
  <c r="CB358" i="2"/>
  <c r="BZ362" i="2"/>
  <c r="CA191" i="2"/>
  <c r="BY330" i="2"/>
  <c r="BI393" i="2"/>
  <c r="O63" i="5"/>
  <c r="CD277" i="2"/>
  <c r="CE294" i="2"/>
  <c r="CB451" i="2"/>
  <c r="BX28" i="2"/>
  <c r="BZ165" i="2"/>
  <c r="BI230" i="2"/>
  <c r="J19" i="5"/>
  <c r="CD368" i="2"/>
  <c r="CE398" i="2"/>
  <c r="CB271" i="2"/>
  <c r="CA119" i="2"/>
  <c r="BZ280" i="2"/>
  <c r="BJ249" i="2"/>
  <c r="BI156" i="2"/>
  <c r="CD177" i="2"/>
  <c r="CE296" i="2"/>
  <c r="CD384" i="2"/>
  <c r="CC111" i="2"/>
  <c r="BJ170" i="2"/>
  <c r="BR284" i="2"/>
  <c r="CE72" i="2"/>
  <c r="CB370" i="2"/>
  <c r="BH135" i="2"/>
  <c r="BG296" i="2"/>
  <c r="CI149" i="2"/>
  <c r="AV106" i="2"/>
  <c r="F48" i="5"/>
  <c r="CH389" i="2"/>
  <c r="CI231" i="2"/>
  <c r="BT262" i="2"/>
  <c r="O173" i="5"/>
  <c r="BJ367" i="2"/>
  <c r="BJ169" i="2"/>
  <c r="BI397" i="2"/>
  <c r="J249" i="5"/>
  <c r="CD318" i="2"/>
  <c r="CE79" i="2"/>
  <c r="CB228" i="2"/>
  <c r="BY276" i="2"/>
  <c r="BZ320" i="2"/>
  <c r="BG366" i="2"/>
  <c r="CH102" i="2"/>
  <c r="CE246" i="2"/>
  <c r="CE453" i="2"/>
  <c r="BZ315" i="2"/>
  <c r="BZ101" i="2"/>
  <c r="CA387" i="2"/>
  <c r="BZ105" i="2"/>
  <c r="BJ105" i="2"/>
  <c r="CF299" i="2"/>
  <c r="CD250" i="2"/>
  <c r="CD290" i="2"/>
  <c r="CD303" i="2"/>
  <c r="CA354" i="2"/>
  <c r="BI453" i="2"/>
  <c r="L204" i="5"/>
  <c r="CE74" i="2"/>
  <c r="CC220" i="2"/>
  <c r="CC398" i="2"/>
  <c r="CB441" i="2"/>
  <c r="BZ68" i="2"/>
  <c r="BZ146" i="2"/>
  <c r="BI450" i="2"/>
  <c r="L262" i="5"/>
  <c r="CE248" i="2"/>
  <c r="CE233" i="2"/>
  <c r="CB157" i="2"/>
  <c r="CB152" i="2"/>
  <c r="BZ282" i="2"/>
  <c r="BJ420" i="2"/>
  <c r="CD79" i="2"/>
  <c r="CF237" i="2"/>
  <c r="CC339" i="2"/>
  <c r="CC8" i="2"/>
  <c r="CB433" i="2"/>
  <c r="CA24" i="2"/>
  <c r="BI119" i="2"/>
  <c r="BJ56" i="2"/>
  <c r="BI116" i="2"/>
  <c r="BH379" i="2"/>
  <c r="BT319" i="2"/>
  <c r="BT152" i="2"/>
  <c r="N45" i="5"/>
  <c r="BT48" i="2"/>
  <c r="AT286" i="2"/>
  <c r="CI293" i="2"/>
  <c r="BG133" i="2"/>
  <c r="BJ58" i="2"/>
  <c r="BJ8" i="2"/>
  <c r="BJ341" i="2"/>
  <c r="P260" i="5"/>
  <c r="CD21" i="2"/>
  <c r="CE14" i="2"/>
  <c r="CB219" i="2"/>
  <c r="CC385" i="2"/>
  <c r="BZ98" i="2"/>
  <c r="BI348" i="2"/>
  <c r="BG230" i="2"/>
  <c r="CD326" i="2"/>
  <c r="CE364" i="2"/>
  <c r="CD27" i="2"/>
  <c r="BZ40" i="2"/>
  <c r="CA344" i="2"/>
  <c r="BZ191" i="2"/>
  <c r="BJ167" i="2"/>
  <c r="CF441" i="2"/>
  <c r="CD80" i="2"/>
  <c r="CD289" i="2"/>
  <c r="CC319" i="2"/>
  <c r="CA48" i="2"/>
  <c r="BI267" i="2"/>
  <c r="L278" i="5"/>
  <c r="CE312" i="2"/>
  <c r="CE297" i="2"/>
  <c r="CB285" i="2"/>
  <c r="CB216" i="2"/>
  <c r="BZ418" i="2"/>
  <c r="BZ168" i="2"/>
  <c r="BI415" i="2"/>
  <c r="P150" i="5"/>
  <c r="CE103" i="2"/>
  <c r="CE88" i="2"/>
  <c r="CB218" i="2"/>
  <c r="CB215" i="2"/>
  <c r="BZ330" i="2"/>
  <c r="AW356" i="2"/>
  <c r="CF296" i="2"/>
  <c r="CF395" i="2"/>
  <c r="CC335" i="2"/>
  <c r="CC182" i="2"/>
  <c r="CB208" i="2"/>
  <c r="CA318" i="2"/>
  <c r="BJ158" i="2"/>
  <c r="AV142" i="2"/>
  <c r="BJ14" i="2"/>
  <c r="CH25" i="2"/>
  <c r="BG235" i="2"/>
  <c r="BH426" i="2"/>
  <c r="CI175" i="2"/>
  <c r="D223" i="5"/>
  <c r="BG382" i="2"/>
  <c r="BH12" i="2"/>
  <c r="BH422" i="2"/>
  <c r="CH134" i="2"/>
  <c r="BI433" i="2"/>
  <c r="H137" i="5"/>
  <c r="CE401" i="2"/>
  <c r="CE344" i="2"/>
  <c r="CB260" i="2"/>
  <c r="CB303" i="2"/>
  <c r="BZ244" i="2"/>
  <c r="BH234" i="2"/>
  <c r="BJ228" i="2"/>
  <c r="CF83" i="2"/>
  <c r="CD82" i="2"/>
  <c r="CC296" i="2"/>
  <c r="CB163" i="2"/>
  <c r="CB52" i="2"/>
  <c r="CA121" i="2"/>
  <c r="BG219" i="2"/>
  <c r="CF288" i="2"/>
  <c r="CF287" i="2"/>
  <c r="CB376" i="2"/>
  <c r="CA188" i="2"/>
  <c r="CA212" i="2"/>
  <c r="AW321" i="2"/>
  <c r="CE365" i="2"/>
  <c r="CC251" i="2"/>
  <c r="CC309" i="2"/>
  <c r="CC372" i="2"/>
  <c r="BZ321" i="2"/>
  <c r="BX273" i="2"/>
  <c r="BZ310" i="2"/>
  <c r="BI20" i="2"/>
  <c r="CE226" i="2"/>
  <c r="BG164" i="2"/>
  <c r="BT231" i="2"/>
  <c r="BH21" i="2"/>
  <c r="BS11" i="2"/>
  <c r="CI168" i="2"/>
  <c r="BG407" i="2"/>
  <c r="BI303" i="2"/>
  <c r="AU105" i="2"/>
  <c r="AX400" i="2"/>
  <c r="BG156" i="2"/>
  <c r="BJ159" i="2"/>
  <c r="BH73" i="2"/>
  <c r="CE180" i="2"/>
  <c r="CE327" i="2"/>
  <c r="CA406" i="2"/>
  <c r="CC340" i="2"/>
  <c r="CA98" i="2"/>
  <c r="BZ241" i="2"/>
  <c r="BG430" i="2"/>
  <c r="P75" i="5"/>
  <c r="CC356" i="2"/>
  <c r="CD7" i="2"/>
  <c r="CC266" i="2"/>
  <c r="CB76" i="2"/>
  <c r="CA70" i="2"/>
  <c r="BJ448" i="2"/>
  <c r="BT238" i="2"/>
  <c r="CE247" i="2"/>
  <c r="BZ140" i="2"/>
  <c r="CA458" i="2"/>
  <c r="CA103" i="2"/>
  <c r="CA267" i="2"/>
  <c r="BJ223" i="2"/>
  <c r="CF247" i="2"/>
  <c r="CD133" i="2"/>
  <c r="CC243" i="2"/>
  <c r="BY381" i="2"/>
  <c r="CB290" i="2"/>
  <c r="BW455" i="2"/>
  <c r="BY383" i="2"/>
  <c r="BJ151" i="2"/>
  <c r="CE415" i="2"/>
  <c r="CD107" i="2"/>
  <c r="CC315" i="2"/>
  <c r="CB142" i="2"/>
  <c r="CB425" i="2"/>
  <c r="BJ441" i="2"/>
  <c r="BI284" i="2"/>
  <c r="CD273" i="2"/>
  <c r="CE432" i="2"/>
  <c r="CD47" i="2"/>
  <c r="CC175" i="2"/>
  <c r="BX334" i="2"/>
  <c r="BY80" i="2"/>
  <c r="BI313" i="2"/>
  <c r="CE208" i="2"/>
  <c r="BZ103" i="2"/>
  <c r="CC367" i="2"/>
  <c r="CC443" i="2"/>
  <c r="CB114" i="2"/>
  <c r="BJ411" i="2"/>
  <c r="CF349" i="2"/>
  <c r="CD331" i="2"/>
  <c r="CD332" i="2"/>
  <c r="CC278" i="2"/>
  <c r="CD202" i="2"/>
  <c r="BY58" i="2"/>
  <c r="CF279" i="2"/>
  <c r="CE58" i="2"/>
  <c r="CC140" i="2"/>
  <c r="CA260" i="2"/>
  <c r="AV67" i="2"/>
  <c r="CE350" i="2"/>
  <c r="CC28" i="2"/>
  <c r="CC386" i="2"/>
  <c r="BY147" i="2"/>
  <c r="BX318" i="2"/>
  <c r="BZ301" i="2"/>
  <c r="BY445" i="2"/>
  <c r="BW434" i="2"/>
  <c r="BX42" i="2"/>
  <c r="BU206" i="2"/>
  <c r="BU59" i="2"/>
  <c r="BZ153" i="2"/>
  <c r="BW114" i="2"/>
  <c r="BW253" i="2"/>
  <c r="BV395" i="2"/>
  <c r="BU430" i="2"/>
  <c r="F111" i="5"/>
  <c r="BZ231" i="2"/>
  <c r="BV338" i="2"/>
  <c r="BW161" i="2"/>
  <c r="BU348" i="2"/>
  <c r="E264" i="5"/>
  <c r="H308" i="5"/>
  <c r="BU127" i="2"/>
  <c r="BW272" i="2"/>
  <c r="BX43" i="2"/>
  <c r="BV421" i="2"/>
  <c r="BU217" i="2"/>
  <c r="BY236" i="2"/>
  <c r="BX460" i="2"/>
  <c r="BX435" i="2"/>
  <c r="BW296" i="2"/>
  <c r="CA328" i="2"/>
  <c r="BY278" i="2"/>
  <c r="BX341" i="2"/>
  <c r="BU422" i="2"/>
  <c r="BV132" i="2"/>
  <c r="BX13" i="2"/>
  <c r="BX349" i="2"/>
  <c r="BW48" i="2"/>
  <c r="BV166" i="2"/>
  <c r="L92" i="5"/>
  <c r="BX68" i="2"/>
  <c r="BX207" i="2"/>
  <c r="BV452" i="2"/>
  <c r="CD198" i="2"/>
  <c r="CI285" i="2"/>
  <c r="CC203" i="2"/>
  <c r="AW104" i="2"/>
  <c r="CE171" i="2"/>
  <c r="CD256" i="2"/>
  <c r="CA325" i="2"/>
  <c r="BH132" i="2"/>
  <c r="I221" i="5"/>
  <c r="CE304" i="2"/>
  <c r="CD219" i="2"/>
  <c r="BZ393" i="2"/>
  <c r="CA177" i="2"/>
  <c r="BZ135" i="2"/>
  <c r="CA21" i="2"/>
  <c r="BY86" i="2"/>
  <c r="BX149" i="2"/>
  <c r="BX103" i="2"/>
  <c r="BV316" i="2"/>
  <c r="N179" i="5"/>
  <c r="BW337" i="2"/>
  <c r="BX111" i="2"/>
  <c r="BV359" i="2"/>
  <c r="BU353" i="2"/>
  <c r="L316" i="5"/>
  <c r="CA57" i="2"/>
  <c r="BY176" i="2"/>
  <c r="BW449" i="2"/>
  <c r="BU125" i="2"/>
  <c r="BV26" i="2"/>
  <c r="I215" i="5"/>
  <c r="F34" i="5"/>
  <c r="BX206" i="2"/>
  <c r="BU299" i="2"/>
  <c r="BX449" i="2"/>
  <c r="BV65" i="2"/>
  <c r="F150" i="5"/>
  <c r="BZ394" i="2"/>
  <c r="BW387" i="2"/>
  <c r="BX54" i="2"/>
  <c r="BV284" i="2"/>
  <c r="BZ53" i="2"/>
  <c r="BX415" i="2"/>
  <c r="BU226" i="2"/>
  <c r="BW206" i="2"/>
  <c r="BY50" i="2"/>
  <c r="BW22" i="2"/>
  <c r="BV7" i="2"/>
  <c r="BV396" i="2"/>
  <c r="BU444" i="2"/>
  <c r="F117" i="5"/>
  <c r="BX446" i="2"/>
  <c r="BX356" i="2"/>
  <c r="CA287" i="2"/>
  <c r="CF354" i="2"/>
  <c r="BZ23" i="2"/>
  <c r="CD201" i="2"/>
  <c r="CE86" i="2"/>
  <c r="CC60" i="2"/>
  <c r="CA31" i="2"/>
  <c r="B139" i="5"/>
  <c r="CD85" i="2"/>
  <c r="CC305" i="2"/>
  <c r="CC183" i="2"/>
  <c r="CB305" i="2"/>
  <c r="CA295" i="2"/>
  <c r="BZ338" i="2"/>
  <c r="BY460" i="2"/>
  <c r="BV426" i="2"/>
  <c r="BX247" i="2"/>
  <c r="BV358" i="2"/>
  <c r="BU349" i="2"/>
  <c r="BY331" i="2"/>
  <c r="BV257" i="2"/>
  <c r="BW83" i="2"/>
  <c r="BV273" i="2"/>
  <c r="F125" i="5"/>
  <c r="O166" i="5"/>
  <c r="BY268" i="2"/>
  <c r="BY293" i="2"/>
  <c r="BW286" i="2"/>
  <c r="BU258" i="2"/>
  <c r="H121" i="5"/>
  <c r="BJ444" i="2"/>
  <c r="AO224" i="2"/>
  <c r="BT115" i="2"/>
  <c r="BI232" i="2"/>
  <c r="BT41" i="2"/>
  <c r="CI221" i="2"/>
  <c r="BR353" i="2"/>
  <c r="BJ399" i="2"/>
  <c r="BI112" i="2"/>
  <c r="BG351" i="2"/>
  <c r="CD93" i="2"/>
  <c r="CE307" i="2"/>
  <c r="CD90" i="2"/>
  <c r="BX363" i="2"/>
  <c r="CA102" i="2"/>
  <c r="BY28" i="2"/>
  <c r="CH215" i="2"/>
  <c r="CF42" i="2"/>
  <c r="CF273" i="2"/>
  <c r="CB267" i="2"/>
  <c r="CB89" i="2"/>
  <c r="CA230" i="2"/>
  <c r="BZ124" i="2"/>
  <c r="BJ258" i="2"/>
  <c r="BI279" i="2"/>
  <c r="CE82" i="2"/>
  <c r="CE203" i="2"/>
  <c r="CC338" i="2"/>
  <c r="CA235" i="2"/>
  <c r="BH256" i="2"/>
  <c r="BJ100" i="2"/>
  <c r="CF353" i="2"/>
  <c r="CD339" i="2"/>
  <c r="CC216" i="2"/>
  <c r="CB266" i="2"/>
  <c r="CB339" i="2"/>
  <c r="CA392" i="2"/>
  <c r="BI84" i="2"/>
  <c r="BJ426" i="2"/>
  <c r="CF160" i="2"/>
  <c r="CD152" i="2"/>
  <c r="CB432" i="2"/>
  <c r="CB224" i="2"/>
  <c r="CB98" i="2"/>
  <c r="BJ337" i="2"/>
  <c r="N114" i="5"/>
  <c r="CD12" i="2"/>
  <c r="CD254" i="2"/>
  <c r="CB104" i="2"/>
  <c r="CC65" i="2"/>
  <c r="BZ368" i="2"/>
  <c r="BY414" i="2"/>
  <c r="AV341" i="2"/>
  <c r="BJ348" i="2"/>
  <c r="BI351" i="2"/>
  <c r="CH458" i="2"/>
  <c r="CI135" i="2"/>
  <c r="BH142" i="2"/>
  <c r="AX334" i="2"/>
  <c r="CI329" i="2"/>
  <c r="BT451" i="2"/>
  <c r="BI387" i="2"/>
  <c r="BH369" i="2"/>
  <c r="BI333" i="2"/>
  <c r="BJ131" i="2"/>
  <c r="CF33" i="2"/>
  <c r="CD225" i="2"/>
  <c r="CC430" i="2"/>
  <c r="CB193" i="2"/>
  <c r="CB171" i="2"/>
  <c r="CA447" i="2"/>
  <c r="BJ387" i="2"/>
  <c r="CF307" i="2"/>
  <c r="CE31" i="2"/>
  <c r="CC421" i="2"/>
  <c r="CB159" i="2"/>
  <c r="CB317" i="2"/>
  <c r="BX125" i="2"/>
  <c r="CI447" i="2"/>
  <c r="J94" i="5"/>
  <c r="CC96" i="2"/>
  <c r="CD137" i="2"/>
  <c r="CC51" i="2"/>
  <c r="CB205" i="2"/>
  <c r="BJ134" i="2"/>
  <c r="P140" i="5"/>
  <c r="CE111" i="2"/>
  <c r="CE177" i="2"/>
  <c r="CC432" i="2"/>
  <c r="BZ446" i="2"/>
  <c r="CA425" i="2"/>
  <c r="BY20" i="2"/>
  <c r="BG461" i="2"/>
  <c r="C7" i="5"/>
  <c r="BH272" i="2"/>
  <c r="BG284" i="2"/>
  <c r="BT454" i="2"/>
  <c r="CI80" i="2"/>
  <c r="P166" i="5"/>
  <c r="BS113" i="2"/>
  <c r="CH104" i="2"/>
  <c r="AW257" i="2"/>
  <c r="D23" i="5"/>
  <c r="BJ96" i="2"/>
  <c r="BJ18" i="2"/>
  <c r="BT178" i="2"/>
  <c r="P128" i="5"/>
  <c r="CE238" i="2"/>
  <c r="CE224" i="2"/>
  <c r="CC110" i="2"/>
  <c r="BZ268" i="2"/>
  <c r="CA304" i="2"/>
  <c r="BJ160" i="2"/>
  <c r="CI114" i="2"/>
  <c r="CE375" i="2"/>
  <c r="CA195" i="2"/>
  <c r="CA51" i="2"/>
  <c r="CA296" i="2"/>
  <c r="CA435" i="2"/>
  <c r="BZ426" i="2"/>
  <c r="BJ146" i="2"/>
  <c r="CF93" i="2"/>
  <c r="CD435" i="2"/>
  <c r="CD100" i="2"/>
  <c r="CD136" i="2"/>
  <c r="CA147" i="2"/>
  <c r="BH291" i="2"/>
  <c r="H237" i="5"/>
  <c r="CB73" i="2"/>
  <c r="CC117" i="2"/>
  <c r="CC49" i="2"/>
  <c r="CB194" i="2"/>
  <c r="BZ341" i="2"/>
  <c r="BZ114" i="2"/>
  <c r="BI197" i="2"/>
  <c r="M180" i="5"/>
  <c r="CE10" i="2"/>
  <c r="CC352" i="2"/>
  <c r="CC302" i="2"/>
  <c r="CB377" i="2"/>
  <c r="BZ452" i="2"/>
  <c r="BI219" i="2"/>
  <c r="CE353" i="2"/>
  <c r="CA124" i="2"/>
  <c r="CC363" i="2"/>
  <c r="CC332" i="2"/>
  <c r="BW246" i="2"/>
  <c r="BW222" i="2"/>
  <c r="BI265" i="2"/>
  <c r="BJ345" i="2"/>
  <c r="CF270" i="2"/>
  <c r="CC359" i="2"/>
  <c r="CB107" i="2"/>
  <c r="CB446" i="2"/>
  <c r="CH249" i="2"/>
  <c r="BI427" i="2"/>
  <c r="CC181" i="2"/>
  <c r="CE22" i="2"/>
  <c r="BS315" i="2"/>
  <c r="BJ385" i="2"/>
  <c r="CI234" i="2"/>
  <c r="BG253" i="2"/>
  <c r="BG383" i="2"/>
  <c r="AW311" i="2"/>
  <c r="CH35" i="2"/>
  <c r="BG44" i="2"/>
  <c r="BH453" i="2"/>
  <c r="BG272" i="2"/>
  <c r="AS162" i="2"/>
  <c r="BH400" i="2"/>
  <c r="M95" i="5"/>
  <c r="CE266" i="2"/>
  <c r="CC35" i="2"/>
  <c r="CC87" i="2"/>
  <c r="CB139" i="2"/>
  <c r="BZ21" i="2"/>
  <c r="AU90" i="2"/>
  <c r="BI382" i="2"/>
  <c r="CC55" i="2"/>
  <c r="CD189" i="2"/>
  <c r="CC228" i="2"/>
  <c r="CB148" i="2"/>
  <c r="CB232" i="2"/>
  <c r="BW273" i="2"/>
  <c r="BS384" i="2"/>
  <c r="CF436" i="2"/>
  <c r="CF34" i="2"/>
  <c r="CB221" i="2"/>
  <c r="CB371" i="2"/>
  <c r="CB110" i="2"/>
  <c r="BJ39" i="2"/>
  <c r="CF329" i="2"/>
  <c r="CD360" i="2"/>
  <c r="CD209" i="2"/>
  <c r="CC453" i="2"/>
  <c r="CA375" i="2"/>
  <c r="BY175" i="2"/>
  <c r="BX96" i="2"/>
  <c r="BJ46" i="2"/>
  <c r="CF303" i="2"/>
  <c r="CC461" i="2"/>
  <c r="CD279" i="2"/>
  <c r="CC44" i="2"/>
  <c r="BZ285" i="2"/>
  <c r="BX12" i="2"/>
  <c r="BI259" i="2"/>
  <c r="CD138" i="2"/>
  <c r="CE108" i="2"/>
  <c r="CD378" i="2"/>
  <c r="CC337" i="2"/>
  <c r="CA343" i="2"/>
  <c r="BZ126" i="2"/>
  <c r="BI159" i="2"/>
  <c r="P144" i="5"/>
  <c r="BT397" i="2"/>
  <c r="BJ224" i="2"/>
  <c r="CI169" i="2"/>
  <c r="BG108" i="2"/>
  <c r="BH351" i="2"/>
  <c r="CH12" i="2"/>
  <c r="D154" i="5"/>
  <c r="BG171" i="2"/>
  <c r="BH391" i="2"/>
  <c r="BH355" i="2"/>
  <c r="BQ226" i="2"/>
  <c r="BI76" i="2"/>
  <c r="F56" i="5"/>
  <c r="CE137" i="2"/>
  <c r="CB366" i="2"/>
  <c r="CB239" i="2"/>
  <c r="CB121" i="2"/>
  <c r="BZ156" i="2"/>
  <c r="BG65" i="2"/>
  <c r="BJ445" i="2"/>
  <c r="CF306" i="2"/>
  <c r="CD356" i="2"/>
  <c r="CC66" i="2"/>
  <c r="CB251" i="2"/>
  <c r="CB245" i="2"/>
  <c r="CA203" i="2"/>
  <c r="AW119" i="2"/>
  <c r="CF188" i="2"/>
  <c r="CF209" i="2"/>
  <c r="CB354" i="2"/>
  <c r="CB240" i="2"/>
  <c r="CA421" i="2"/>
  <c r="BJ447" i="2"/>
  <c r="CF248" i="2"/>
  <c r="CC463" i="2"/>
  <c r="CD464" i="2"/>
  <c r="CC180" i="2"/>
  <c r="BZ437" i="2"/>
  <c r="BX396" i="2"/>
  <c r="BV117" i="2"/>
  <c r="BR125" i="2"/>
  <c r="CE181" i="2"/>
  <c r="CC91" i="2"/>
  <c r="CC205" i="2"/>
  <c r="CC132" i="2"/>
  <c r="BZ57" i="2"/>
  <c r="BX73" i="2"/>
  <c r="BI73" i="2"/>
  <c r="CF199" i="2"/>
  <c r="CE27" i="2"/>
  <c r="CD282" i="2"/>
  <c r="CC63" i="2"/>
  <c r="BZ421" i="2"/>
  <c r="BY277" i="2"/>
  <c r="BJ112" i="2"/>
  <c r="BS88" i="2"/>
  <c r="BI438" i="2"/>
  <c r="M65" i="5"/>
  <c r="BH11" i="2"/>
  <c r="BI44" i="2"/>
  <c r="CH222" i="2"/>
  <c r="BG384" i="2"/>
  <c r="BH281" i="2"/>
  <c r="BI354" i="2"/>
  <c r="BJ250" i="2"/>
  <c r="BI434" i="2"/>
  <c r="AX105" i="2"/>
  <c r="CF110" i="2"/>
  <c r="CC53" i="2"/>
  <c r="CC288" i="2"/>
  <c r="CC171" i="2"/>
  <c r="BZ298" i="2"/>
  <c r="BX314" i="2"/>
  <c r="BJ272" i="2"/>
  <c r="BJ347" i="2"/>
  <c r="CE17" i="2"/>
  <c r="CE434" i="2"/>
  <c r="CC211" i="2"/>
  <c r="CA41" i="2"/>
  <c r="CA251" i="2"/>
  <c r="BZ391" i="2"/>
  <c r="BJ322" i="2"/>
  <c r="CF107" i="2"/>
  <c r="CE431" i="2"/>
  <c r="CC357" i="2"/>
  <c r="CB462" i="2"/>
  <c r="CB253" i="2"/>
  <c r="BH433" i="2"/>
  <c r="CE368" i="2"/>
  <c r="CF254" i="2"/>
  <c r="CA187" i="2"/>
  <c r="BZ157" i="2"/>
  <c r="CA291" i="2"/>
  <c r="BZ322" i="2"/>
  <c r="BY417" i="2"/>
  <c r="BH14" i="2"/>
  <c r="CE356" i="2"/>
  <c r="BH401" i="2"/>
  <c r="AW385" i="2"/>
  <c r="BS180" i="2"/>
  <c r="BS54" i="2"/>
  <c r="BI66" i="2"/>
  <c r="BI331" i="2"/>
  <c r="AW407" i="2"/>
  <c r="AT431" i="2"/>
  <c r="BI304" i="2"/>
  <c r="BJ376" i="2"/>
  <c r="CH270" i="2"/>
  <c r="BJ128" i="2"/>
  <c r="CF39" i="2"/>
  <c r="CD325" i="2"/>
  <c r="CC11" i="2"/>
  <c r="BZ93" i="2"/>
  <c r="CB347" i="2"/>
  <c r="BW52" i="2"/>
  <c r="BJ226" i="2"/>
  <c r="CF181" i="2"/>
  <c r="CD19" i="2"/>
  <c r="CD164" i="2"/>
  <c r="CD200" i="2"/>
  <c r="CA315" i="2"/>
  <c r="BY442" i="2"/>
  <c r="CI278" i="2"/>
  <c r="BI240" i="2"/>
  <c r="CC436" i="2"/>
  <c r="CD159" i="2"/>
  <c r="CC448" i="2"/>
  <c r="CB277" i="2"/>
  <c r="BG314" i="2"/>
  <c r="CH366" i="2"/>
  <c r="CE118" i="2"/>
  <c r="CE325" i="2"/>
  <c r="BY148" i="2"/>
  <c r="BZ139" i="2"/>
  <c r="CA306" i="2"/>
  <c r="BZ192" i="2"/>
  <c r="BI42" i="2"/>
  <c r="BG138" i="2"/>
  <c r="CD349" i="2"/>
  <c r="CE100" i="2"/>
  <c r="CD131" i="2"/>
  <c r="BY370" i="2"/>
  <c r="CA215" i="2"/>
  <c r="BI353" i="2"/>
  <c r="BJ409" i="2"/>
  <c r="CF334" i="2"/>
  <c r="CC336" i="2"/>
  <c r="CB348" i="2"/>
  <c r="CB247" i="2"/>
  <c r="CB289" i="2"/>
  <c r="BZ279" i="2"/>
  <c r="BI157" i="2"/>
  <c r="CE170" i="2"/>
  <c r="CE205" i="2"/>
  <c r="CD427" i="2"/>
  <c r="CC250" i="2"/>
  <c r="CA361" i="2"/>
  <c r="AU272" i="2"/>
  <c r="CF175" i="2"/>
  <c r="CF43" i="2"/>
  <c r="CF23" i="2"/>
  <c r="CB170" i="2"/>
  <c r="CE122" i="2"/>
  <c r="BY457" i="2"/>
  <c r="CE286" i="2"/>
  <c r="CB146" i="2"/>
  <c r="CD215" i="2"/>
  <c r="CB297" i="2"/>
  <c r="BJ438" i="2"/>
  <c r="CE201" i="2"/>
  <c r="CA64" i="2"/>
  <c r="BW180" i="2"/>
  <c r="CA162" i="2"/>
  <c r="BZ305" i="2"/>
  <c r="BY380" i="2"/>
  <c r="BY231" i="2"/>
  <c r="BY46" i="2"/>
  <c r="BW105" i="2"/>
  <c r="BV38" i="2"/>
  <c r="M165" i="5"/>
  <c r="BZ164" i="2"/>
  <c r="BX178" i="2"/>
  <c r="BV18" i="2"/>
  <c r="BU402" i="2"/>
  <c r="J87" i="5"/>
  <c r="CA59" i="2"/>
  <c r="BX304" i="2"/>
  <c r="BX21" i="2"/>
  <c r="BX368" i="2"/>
  <c r="BV243" i="2"/>
  <c r="J15" i="5"/>
  <c r="M144" i="5"/>
  <c r="F349" i="5"/>
  <c r="BY60" i="2"/>
  <c r="BU34" i="2"/>
  <c r="BW415" i="2"/>
  <c r="BV124" i="2"/>
  <c r="BY286" i="2"/>
  <c r="BV385" i="2"/>
  <c r="BX258" i="2"/>
  <c r="BV59" i="2"/>
  <c r="BZ442" i="2"/>
  <c r="BW26" i="2"/>
  <c r="BV333" i="2"/>
  <c r="BW374" i="2"/>
  <c r="C108" i="5"/>
  <c r="BZ447" i="2"/>
  <c r="BV365" i="2"/>
  <c r="BW417" i="2"/>
  <c r="BU229" i="2"/>
  <c r="O46" i="5"/>
  <c r="BY150" i="2"/>
  <c r="BW103" i="2"/>
  <c r="N70" i="5"/>
  <c r="CC412" i="2"/>
  <c r="O104" i="5"/>
  <c r="CC323" i="2"/>
  <c r="BG237" i="2"/>
  <c r="CC173" i="2"/>
  <c r="CA225" i="2"/>
  <c r="CC222" i="2"/>
  <c r="BH247" i="2"/>
  <c r="CC19" i="2"/>
  <c r="CE295" i="2"/>
  <c r="CC218" i="2"/>
  <c r="CB428" i="2"/>
  <c r="CB373" i="2"/>
  <c r="CA456" i="2"/>
  <c r="BZ8" i="2"/>
  <c r="BW392" i="2"/>
  <c r="BV251" i="2"/>
  <c r="BW62" i="2"/>
  <c r="G317" i="5"/>
  <c r="P155" i="5"/>
  <c r="BY321" i="2"/>
  <c r="BY344" i="2"/>
  <c r="BV386" i="2"/>
  <c r="BU184" i="2"/>
  <c r="M230" i="5"/>
  <c r="BZ203" i="2"/>
  <c r="BX294" i="2"/>
  <c r="BU166" i="2"/>
  <c r="BV413" i="2"/>
  <c r="BU137" i="2"/>
  <c r="BU136" i="2"/>
  <c r="G275" i="5"/>
  <c r="BZ445" i="2"/>
  <c r="BY223" i="2"/>
  <c r="BW200" i="2"/>
  <c r="BU307" i="2"/>
  <c r="BV212" i="2"/>
  <c r="BZ365" i="2"/>
  <c r="BX315" i="2"/>
  <c r="BV227" i="2"/>
  <c r="BU139" i="2"/>
  <c r="BX144" i="2"/>
  <c r="BX293" i="2"/>
  <c r="BW23" i="2"/>
  <c r="BU373" i="2"/>
  <c r="BU68" i="2"/>
  <c r="BY432" i="2"/>
  <c r="BW226" i="2"/>
  <c r="BU381" i="2"/>
  <c r="BV282" i="2"/>
  <c r="P14" i="5"/>
  <c r="BZ54" i="2"/>
  <c r="CE54" i="2"/>
  <c r="CA433" i="2"/>
  <c r="CD56" i="2"/>
  <c r="CA199" i="2"/>
  <c r="CE251" i="2"/>
  <c r="CE404" i="2"/>
  <c r="CC76" i="2"/>
  <c r="CB398" i="2"/>
  <c r="BJ130" i="2"/>
  <c r="CD207" i="2"/>
  <c r="CD162" i="2"/>
  <c r="CC121" i="2"/>
  <c r="CA303" i="2"/>
  <c r="BY212" i="2"/>
  <c r="BX76" i="2"/>
  <c r="BW453" i="2"/>
  <c r="BX427" i="2"/>
  <c r="BW190" i="2"/>
  <c r="BU435" i="2"/>
  <c r="N140" i="5"/>
  <c r="BZ401" i="2"/>
  <c r="BX431" i="2"/>
  <c r="BU133" i="2"/>
  <c r="BU264" i="2"/>
  <c r="M112" i="5"/>
  <c r="CA32" i="2"/>
  <c r="AO129" i="2"/>
  <c r="BG269" i="2"/>
  <c r="BG42" i="2"/>
  <c r="AT150" i="2"/>
  <c r="CH465" i="2"/>
  <c r="AU141" i="2"/>
  <c r="BI446" i="2"/>
  <c r="BH336" i="2"/>
  <c r="BH59" i="2"/>
  <c r="BJ292" i="2"/>
  <c r="CF283" i="2"/>
  <c r="CD178" i="2"/>
  <c r="CC81" i="2"/>
  <c r="CB379" i="2"/>
  <c r="CB116" i="2"/>
  <c r="CA185" i="2"/>
  <c r="BJ236" i="2"/>
  <c r="CF378" i="2"/>
  <c r="CE176" i="2"/>
  <c r="CD374" i="2"/>
  <c r="CB154" i="2"/>
  <c r="CC6" i="2"/>
  <c r="BY319" i="2"/>
  <c r="CI42" i="2"/>
  <c r="I247" i="5"/>
  <c r="CD392" i="2"/>
  <c r="CD74" i="2"/>
  <c r="CC13" i="2"/>
  <c r="CB367" i="2"/>
  <c r="BJ80" i="2"/>
  <c r="BJ401" i="2"/>
  <c r="CE256" i="2"/>
  <c r="CE306" i="2"/>
  <c r="CC273" i="2"/>
  <c r="CA56" i="2"/>
  <c r="CA346" i="2"/>
  <c r="BZ455" i="2"/>
  <c r="BJ70" i="2"/>
  <c r="E10" i="5"/>
  <c r="CE47" i="2"/>
  <c r="CE113" i="2"/>
  <c r="CC399" i="2"/>
  <c r="BZ158" i="2"/>
  <c r="CA345" i="2"/>
  <c r="BI274" i="2"/>
  <c r="B59" i="5"/>
  <c r="CE184" i="2"/>
  <c r="CE169" i="2"/>
  <c r="CB29" i="2"/>
  <c r="CB88" i="2"/>
  <c r="BZ154" i="2"/>
  <c r="BJ366" i="2"/>
  <c r="BH449" i="2"/>
  <c r="BS430" i="2"/>
  <c r="BS419" i="2"/>
  <c r="CH288" i="2"/>
  <c r="E39" i="5"/>
  <c r="BQ424" i="2"/>
  <c r="BT292" i="2"/>
  <c r="CI70" i="2"/>
  <c r="P81" i="5"/>
  <c r="BJ257" i="2"/>
  <c r="BJ83" i="2"/>
  <c r="BJ384" i="2"/>
  <c r="I83" i="5"/>
  <c r="CE351" i="2"/>
  <c r="CE369" i="2"/>
  <c r="CC184" i="2"/>
  <c r="CA158" i="2"/>
  <c r="CA363" i="2"/>
  <c r="BI218" i="2"/>
  <c r="BT76" i="2"/>
  <c r="CE89" i="2"/>
  <c r="CC427" i="2"/>
  <c r="CB344" i="2"/>
  <c r="CA321" i="2"/>
  <c r="CA204" i="2"/>
  <c r="BZ386" i="2"/>
  <c r="BJ52" i="2"/>
  <c r="L100" i="5"/>
  <c r="CD260" i="2"/>
  <c r="CD301" i="2"/>
  <c r="CA38" i="2"/>
  <c r="CA92" i="2"/>
  <c r="BG297" i="2"/>
  <c r="N271" i="5"/>
  <c r="CC99" i="2"/>
  <c r="CD390" i="2"/>
  <c r="CC122" i="2"/>
  <c r="CB419" i="2"/>
  <c r="BZ240" i="2"/>
  <c r="BZ387" i="2"/>
  <c r="BH35" i="2"/>
  <c r="C164" i="5"/>
  <c r="BT174" i="2"/>
  <c r="BJ379" i="2"/>
  <c r="CH115" i="2"/>
  <c r="J45" i="5"/>
  <c r="BG432" i="2"/>
  <c r="CI370" i="2"/>
  <c r="CI357" i="2"/>
  <c r="BG141" i="2"/>
  <c r="BG319" i="2"/>
  <c r="BG220" i="2"/>
  <c r="BJ372" i="2"/>
  <c r="BH293" i="2"/>
  <c r="J241" i="5"/>
  <c r="CC208" i="2"/>
  <c r="CC429" i="2"/>
  <c r="CC353" i="2"/>
  <c r="CB235" i="2"/>
  <c r="BZ270" i="2"/>
  <c r="CI400" i="2"/>
  <c r="BI320" i="2"/>
  <c r="CC236" i="2"/>
  <c r="CD343" i="2"/>
  <c r="CC92" i="2"/>
  <c r="CB341" i="2"/>
  <c r="CC446" i="2"/>
  <c r="BX241" i="2"/>
  <c r="AT78" i="2"/>
  <c r="CF253" i="2"/>
  <c r="CF275" i="2"/>
  <c r="CC358" i="2"/>
  <c r="CB389" i="2"/>
  <c r="CB279" i="2"/>
  <c r="BJ41" i="2"/>
  <c r="CF19" i="2"/>
  <c r="CD417" i="2"/>
  <c r="CD146" i="2"/>
  <c r="CD446" i="2"/>
  <c r="CA457" i="2"/>
  <c r="BY341" i="2"/>
  <c r="BX75" i="2"/>
  <c r="BJ352" i="2"/>
  <c r="CF241" i="2"/>
  <c r="CD199" i="2"/>
  <c r="CD113" i="2"/>
  <c r="CC389" i="2"/>
  <c r="CA39" i="2"/>
  <c r="BY461" i="2"/>
  <c r="BI285" i="2"/>
  <c r="CE426" i="2"/>
  <c r="CE269" i="2"/>
  <c r="BY191" i="2"/>
  <c r="CC314" i="2"/>
  <c r="CA449" i="2"/>
  <c r="BZ96" i="2"/>
  <c r="BH260" i="2"/>
  <c r="L71" i="5"/>
  <c r="CD231" i="2"/>
  <c r="CE207" i="2"/>
  <c r="CB165" i="2"/>
  <c r="BZ256" i="2"/>
  <c r="BJ301" i="2"/>
  <c r="CI273" i="2"/>
  <c r="CE188" i="2"/>
  <c r="CB47" i="2"/>
  <c r="CH459" i="2"/>
  <c r="BH428" i="2"/>
  <c r="CH158" i="2"/>
  <c r="BH13" i="2"/>
  <c r="BH22" i="2"/>
  <c r="BT82" i="2"/>
  <c r="BG414" i="2"/>
  <c r="BH20" i="2"/>
  <c r="BI239" i="2"/>
  <c r="BJ85" i="2"/>
  <c r="BH343" i="2"/>
  <c r="BJ407" i="2"/>
  <c r="CF228" i="2"/>
  <c r="CD376" i="2"/>
  <c r="CD465" i="2"/>
  <c r="CC368" i="2"/>
  <c r="CA33" i="2"/>
  <c r="BY413" i="2"/>
  <c r="BJ155" i="2"/>
  <c r="BH265" i="2"/>
  <c r="CE360" i="2"/>
  <c r="CE385" i="2"/>
  <c r="BZ43" i="2"/>
  <c r="CA316" i="2"/>
  <c r="CA341" i="2"/>
  <c r="BZ451" i="2"/>
  <c r="BJ454" i="2"/>
  <c r="CF267" i="2"/>
  <c r="CE257" i="2"/>
  <c r="CD320" i="2"/>
  <c r="CB364" i="2"/>
  <c r="BY181" i="2"/>
  <c r="BT14" i="2"/>
  <c r="CF203" i="2"/>
  <c r="CF145" i="2"/>
  <c r="CB138" i="2"/>
  <c r="CB48" i="2"/>
  <c r="CA357" i="2"/>
  <c r="BZ420" i="2"/>
  <c r="BY260" i="2"/>
  <c r="BG210" i="2"/>
  <c r="CF55" i="2"/>
  <c r="CF464" i="2"/>
  <c r="CB334" i="2"/>
  <c r="CA395" i="2"/>
  <c r="CA84" i="2"/>
  <c r="BZ138" i="2"/>
  <c r="BJ110" i="2"/>
  <c r="CE422" i="2"/>
  <c r="CD11" i="2"/>
  <c r="CC401" i="2"/>
  <c r="CB78" i="2"/>
  <c r="CB361" i="2"/>
  <c r="CA232" i="2"/>
  <c r="BI460" i="2"/>
  <c r="F200" i="5"/>
  <c r="CI385" i="2"/>
  <c r="BH40" i="2"/>
  <c r="BS240" i="2"/>
  <c r="BH84" i="2"/>
  <c r="BI37" i="2"/>
  <c r="BT461" i="2"/>
  <c r="BG217" i="2"/>
  <c r="BH378" i="2"/>
  <c r="BI419" i="2"/>
  <c r="BJ355" i="2"/>
  <c r="BI420" i="2"/>
  <c r="BJ62" i="2"/>
  <c r="CF320" i="2"/>
  <c r="CD246" i="2"/>
  <c r="CD24" i="2"/>
  <c r="CC133" i="2"/>
  <c r="CA22" i="2"/>
  <c r="BX215" i="2"/>
  <c r="BJ402" i="2"/>
  <c r="BI312" i="2"/>
  <c r="CE146" i="2"/>
  <c r="CE291" i="2"/>
  <c r="CC402" i="2"/>
  <c r="CA324" i="2"/>
  <c r="CA132" i="2"/>
  <c r="BZ289" i="2"/>
  <c r="BJ172" i="2"/>
  <c r="CF314" i="2"/>
  <c r="CE112" i="2"/>
  <c r="CD230" i="2"/>
  <c r="CB10" i="2"/>
  <c r="CB280" i="2"/>
  <c r="BG34" i="2"/>
  <c r="CF311" i="2"/>
  <c r="CF111" i="2"/>
  <c r="CB31" i="2"/>
  <c r="CA403" i="2"/>
  <c r="CA148" i="2"/>
  <c r="BZ266" i="2"/>
  <c r="BY299" i="2"/>
  <c r="BH68" i="2"/>
  <c r="CE326" i="2"/>
  <c r="CF190" i="2"/>
  <c r="CA122" i="2"/>
  <c r="BZ90" i="2"/>
  <c r="CA123" i="2"/>
  <c r="BZ194" i="2"/>
  <c r="CI306" i="2"/>
  <c r="CE37" i="2"/>
  <c r="CD442" i="2"/>
  <c r="CC127" i="2"/>
  <c r="CA389" i="2"/>
  <c r="CB136" i="2"/>
  <c r="CA182" i="2"/>
  <c r="BI194" i="2"/>
  <c r="BG110" i="2"/>
  <c r="BS27" i="2"/>
  <c r="BH415" i="2"/>
  <c r="CG62" i="2"/>
  <c r="CH301" i="2"/>
  <c r="BG221" i="2"/>
  <c r="BH15" i="2"/>
  <c r="BT26" i="2"/>
  <c r="AV85" i="2"/>
  <c r="BT385" i="2"/>
  <c r="BJ344" i="2"/>
  <c r="BG375" i="2"/>
  <c r="CF326" i="2"/>
  <c r="CF446" i="2"/>
  <c r="CA61" i="2"/>
  <c r="CA272" i="2"/>
  <c r="CA91" i="2"/>
  <c r="BZ299" i="2"/>
  <c r="BT416" i="2"/>
  <c r="J8" i="5"/>
  <c r="CD22" i="2"/>
  <c r="CD217" i="2"/>
  <c r="CC115" i="2"/>
  <c r="CB269" i="2"/>
  <c r="CA111" i="2"/>
  <c r="BI33" i="2"/>
  <c r="AV277" i="2"/>
  <c r="CE25" i="2"/>
  <c r="CC298" i="2"/>
  <c r="CB352" i="2"/>
  <c r="CA233" i="2"/>
  <c r="CA140" i="2"/>
  <c r="BJ161" i="2"/>
  <c r="CF88" i="2"/>
  <c r="CD183" i="2"/>
  <c r="CC260" i="2"/>
  <c r="CA259" i="2"/>
  <c r="CB436" i="2"/>
  <c r="BX17" i="2"/>
  <c r="BY137" i="2"/>
  <c r="BJ95" i="2"/>
  <c r="CH227" i="2"/>
  <c r="BJ413" i="2"/>
  <c r="AF455" i="2"/>
  <c r="BS94" i="2"/>
  <c r="AX253" i="2"/>
  <c r="BJ40" i="2"/>
  <c r="BQ310" i="2"/>
  <c r="CH457" i="2"/>
  <c r="CH404" i="2"/>
  <c r="BJ294" i="2"/>
  <c r="BG155" i="2"/>
  <c r="CG339" i="2"/>
  <c r="BT168" i="2"/>
  <c r="CE366" i="2"/>
  <c r="CE358" i="2"/>
  <c r="BZ286" i="2"/>
  <c r="BZ349" i="2"/>
  <c r="CA18" i="2"/>
  <c r="BZ169" i="2"/>
  <c r="BT301" i="2"/>
  <c r="CF341" i="2"/>
  <c r="CF459" i="2"/>
  <c r="CC462" i="2"/>
  <c r="CB294" i="2"/>
  <c r="CB248" i="2"/>
  <c r="BZ440" i="2"/>
  <c r="BJ13" i="2"/>
  <c r="CH397" i="2"/>
  <c r="CE416" i="2"/>
  <c r="CE445" i="2"/>
  <c r="CA426" i="2"/>
  <c r="CA164" i="2"/>
  <c r="N14" i="5"/>
  <c r="BI214" i="2"/>
  <c r="CB283" i="2"/>
  <c r="CD61" i="2"/>
  <c r="CC227" i="2"/>
  <c r="CB20" i="2"/>
  <c r="CB135" i="2"/>
  <c r="BV461" i="2"/>
  <c r="BH456" i="2"/>
  <c r="BJ189" i="2"/>
  <c r="CF114" i="2"/>
  <c r="CD460" i="2"/>
  <c r="CC283" i="2"/>
  <c r="CB202" i="2"/>
  <c r="CB53" i="2"/>
  <c r="BG55" i="2"/>
  <c r="B16" i="5"/>
  <c r="CD407" i="2"/>
  <c r="CE271" i="2"/>
  <c r="CB293" i="2"/>
  <c r="BZ65" i="2"/>
  <c r="CA151" i="2"/>
  <c r="BY122" i="2"/>
  <c r="BJ312" i="2"/>
  <c r="CF342" i="2"/>
  <c r="CD252" i="2"/>
  <c r="CC290" i="2"/>
  <c r="CB39" i="2"/>
  <c r="CB42" i="2"/>
  <c r="BI328" i="2"/>
  <c r="CF389" i="2"/>
  <c r="CE252" i="2"/>
  <c r="CD265" i="2"/>
  <c r="CA401" i="2"/>
  <c r="CD187" i="2"/>
  <c r="CI321" i="2"/>
  <c r="CD130" i="2"/>
  <c r="CD186" i="2"/>
  <c r="CA331" i="2"/>
  <c r="BZ271" i="2"/>
  <c r="C120" i="5"/>
  <c r="CF96" i="2"/>
  <c r="CC75" i="2"/>
  <c r="BZ439" i="2"/>
  <c r="CB356" i="2"/>
  <c r="BW213" i="2"/>
  <c r="BY272" i="2"/>
  <c r="BZ73" i="2"/>
  <c r="BW208" i="2"/>
  <c r="BW322" i="2"/>
  <c r="BU409" i="2"/>
  <c r="E166" i="5"/>
  <c r="BX143" i="2"/>
  <c r="BY281" i="2"/>
  <c r="BW245" i="2"/>
  <c r="BV323" i="2"/>
  <c r="J140" i="5"/>
  <c r="BZ38" i="2"/>
  <c r="BW288" i="2"/>
  <c r="BV425" i="2"/>
  <c r="BV389" i="2"/>
  <c r="BU250" i="2"/>
  <c r="F162" i="5"/>
  <c r="O150" i="5"/>
  <c r="BZ457" i="2"/>
  <c r="BX69" i="2"/>
  <c r="BX332" i="2"/>
  <c r="BX30" i="2"/>
  <c r="N109" i="5"/>
  <c r="CA72" i="2"/>
  <c r="BY48" i="2"/>
  <c r="BW321" i="2"/>
  <c r="BU420" i="2"/>
  <c r="BX445" i="2"/>
  <c r="BY361" i="2"/>
  <c r="BW291" i="2"/>
  <c r="BU286" i="2"/>
  <c r="CA326" i="2"/>
  <c r="BY214" i="2"/>
  <c r="BX277" i="2"/>
  <c r="BX399" i="2"/>
  <c r="BV68" i="2"/>
  <c r="F174" i="5"/>
  <c r="BX225" i="2"/>
  <c r="BW31" i="2"/>
  <c r="F26" i="5"/>
  <c r="CB132" i="2"/>
  <c r="BI343" i="2"/>
  <c r="CB85" i="2"/>
  <c r="BJ53" i="2"/>
  <c r="CD455" i="2"/>
  <c r="CC23" i="2"/>
  <c r="CA323" i="2"/>
  <c r="BI176" i="2"/>
  <c r="CF163" i="2"/>
  <c r="CD322" i="2"/>
  <c r="CC371" i="2"/>
  <c r="CA114" i="2"/>
  <c r="CA284" i="2"/>
  <c r="BZ417" i="2"/>
  <c r="BX282" i="2"/>
  <c r="BY169" i="2"/>
  <c r="BW99" i="2"/>
  <c r="BU94" i="2"/>
  <c r="F160" i="5"/>
  <c r="BZ272" i="2"/>
  <c r="BX345" i="2"/>
  <c r="BX456" i="2"/>
  <c r="BH77" i="2"/>
  <c r="AU439" i="2"/>
  <c r="BI400" i="2"/>
  <c r="AV156" i="2"/>
  <c r="CH343" i="2"/>
  <c r="L148" i="5"/>
  <c r="BJ106" i="2"/>
  <c r="BJ244" i="2"/>
  <c r="BJ392" i="2"/>
  <c r="BJ187" i="2"/>
  <c r="CE81" i="2"/>
  <c r="CE315" i="2"/>
  <c r="CC116" i="2"/>
  <c r="CA129" i="2"/>
  <c r="CA411" i="2"/>
  <c r="BZ424" i="2"/>
  <c r="BJ310" i="2"/>
  <c r="CE218" i="2"/>
  <c r="CC341" i="2"/>
  <c r="CB306" i="2"/>
  <c r="CA194" i="2"/>
  <c r="CA413" i="2"/>
  <c r="BZ52" i="2"/>
  <c r="BJ381" i="2"/>
  <c r="D10" i="5"/>
  <c r="CD461" i="2"/>
  <c r="CE6" i="2"/>
  <c r="CA236" i="2"/>
  <c r="CA301" i="2"/>
  <c r="BT369" i="2"/>
  <c r="J107" i="5"/>
  <c r="CC454" i="2"/>
  <c r="CD41" i="2"/>
  <c r="CC396" i="2"/>
  <c r="CB141" i="2"/>
  <c r="CA248" i="2"/>
  <c r="BZ181" i="2"/>
  <c r="BG41" i="2"/>
  <c r="B153" i="5"/>
  <c r="CC284" i="2"/>
  <c r="CD166" i="2"/>
  <c r="CC50" i="2"/>
  <c r="CB203" i="2"/>
  <c r="BZ351" i="2"/>
  <c r="AV297" i="2"/>
  <c r="CF438" i="2"/>
  <c r="CC365" i="2"/>
  <c r="CD334" i="2"/>
  <c r="CC388" i="2"/>
  <c r="BZ29" i="2"/>
  <c r="BX179" i="2"/>
  <c r="BH78" i="2"/>
  <c r="BS143" i="2"/>
  <c r="BJ93" i="2"/>
  <c r="BR146" i="2"/>
  <c r="E171" i="5"/>
  <c r="BG265" i="2"/>
  <c r="BT158" i="2"/>
  <c r="BT438" i="2"/>
  <c r="F130" i="5"/>
  <c r="BG368" i="2"/>
  <c r="BT52" i="2"/>
  <c r="BI154" i="2"/>
  <c r="BG259" i="2"/>
  <c r="M164" i="5"/>
  <c r="CC148" i="2"/>
  <c r="CD111" i="2"/>
  <c r="CC330" i="2"/>
  <c r="CB140" i="2"/>
  <c r="CA134" i="2"/>
  <c r="CG247" i="2"/>
  <c r="BI423" i="2"/>
  <c r="CD126" i="2"/>
  <c r="CE407" i="2"/>
  <c r="CC413" i="2"/>
  <c r="CC30" i="2"/>
  <c r="CC272" i="2"/>
  <c r="BX164" i="2"/>
  <c r="AT172" i="2"/>
  <c r="AF84" i="2"/>
  <c r="CF132" i="2"/>
  <c r="CC392" i="2"/>
  <c r="CC327" i="2"/>
  <c r="CB113" i="2"/>
  <c r="BJ82" i="2"/>
  <c r="CF13" i="2"/>
  <c r="CD211" i="2"/>
  <c r="CD36" i="2"/>
  <c r="CD72" i="2"/>
  <c r="CA394" i="2"/>
  <c r="BY266" i="2"/>
  <c r="BY222" i="2"/>
  <c r="BJ360" i="2"/>
  <c r="CF362" i="2"/>
  <c r="BS323" i="2"/>
  <c r="G143" i="5"/>
  <c r="AV428" i="2"/>
  <c r="BH383" i="2"/>
  <c r="BH63" i="2"/>
  <c r="CH416" i="2"/>
  <c r="BG179" i="2"/>
  <c r="BH407" i="2"/>
  <c r="BI215" i="2"/>
  <c r="BJ440" i="2"/>
  <c r="BH324" i="2"/>
  <c r="BJ297" i="2"/>
  <c r="CF11" i="2"/>
  <c r="CD395" i="2"/>
  <c r="CD299" i="2"/>
  <c r="CD23" i="2"/>
  <c r="CA244" i="2"/>
  <c r="BY369" i="2"/>
  <c r="BJ141" i="2"/>
  <c r="AT120" i="2"/>
  <c r="CE60" i="2"/>
  <c r="BZ147" i="2"/>
  <c r="CA35" i="2"/>
  <c r="CA228" i="2"/>
  <c r="CB30" i="2"/>
  <c r="BZ395" i="2"/>
  <c r="BI399" i="2"/>
  <c r="CF197" i="2"/>
  <c r="CE386" i="2"/>
  <c r="CD193" i="2"/>
  <c r="CC174" i="2"/>
  <c r="BZ186" i="2"/>
  <c r="CH225" i="2"/>
  <c r="CF100" i="2"/>
  <c r="CF316" i="2"/>
  <c r="CB93" i="2"/>
  <c r="CB434" i="2"/>
  <c r="CB46" i="2"/>
  <c r="BZ269" i="2"/>
  <c r="BZ328" i="2"/>
  <c r="CI165" i="2"/>
  <c r="CF433" i="2"/>
  <c r="CF81" i="2"/>
  <c r="CB427" i="2"/>
  <c r="CB207" i="2"/>
  <c r="CA293" i="2"/>
  <c r="BZ459" i="2"/>
  <c r="BJ31" i="2"/>
  <c r="CF406" i="2"/>
  <c r="CD436" i="2"/>
  <c r="CC354" i="2"/>
  <c r="CB183" i="2"/>
  <c r="CB106" i="2"/>
  <c r="BV123" i="2"/>
  <c r="BH113" i="2"/>
  <c r="H150" i="5"/>
  <c r="CE394" i="2"/>
  <c r="CC459" i="2"/>
  <c r="CC455" i="2"/>
  <c r="CB412" i="2"/>
  <c r="BJ15" i="2"/>
  <c r="J141" i="5"/>
  <c r="CD139" i="2"/>
  <c r="CD373" i="2"/>
  <c r="P82" i="5"/>
  <c r="BR20" i="2"/>
  <c r="BG448" i="2"/>
  <c r="BI52" i="2"/>
  <c r="BJ349" i="2"/>
  <c r="BG251" i="2"/>
  <c r="BH289" i="2"/>
  <c r="CG122" i="2"/>
  <c r="BR460" i="2"/>
  <c r="AW253" i="2"/>
  <c r="BJ434" i="2"/>
  <c r="BT450" i="2"/>
  <c r="CF146" i="2"/>
  <c r="CF337" i="2"/>
  <c r="CB460" i="2"/>
  <c r="CB273" i="2"/>
  <c r="CA358" i="2"/>
  <c r="BZ212" i="2"/>
  <c r="BT358" i="2"/>
  <c r="B111" i="5"/>
  <c r="CD298" i="2"/>
  <c r="CD44" i="2"/>
  <c r="CA417" i="2"/>
  <c r="CC247" i="2"/>
  <c r="CA450" i="2"/>
  <c r="BX226" i="2"/>
  <c r="BJ429" i="2"/>
  <c r="CE424" i="2"/>
  <c r="CD423" i="2"/>
  <c r="CB69" i="2"/>
  <c r="CA171" i="2"/>
  <c r="CB38" i="2"/>
  <c r="BJ108" i="2"/>
  <c r="CF250" i="2"/>
  <c r="CE48" i="2"/>
  <c r="CD142" i="2"/>
  <c r="CB426" i="2"/>
  <c r="CB327" i="2"/>
  <c r="BY462" i="2"/>
  <c r="BY76" i="2"/>
  <c r="BJ138" i="2"/>
  <c r="CF361" i="2"/>
  <c r="CE318" i="2"/>
  <c r="CC229" i="2"/>
  <c r="CA167" i="2"/>
  <c r="CB125" i="2"/>
  <c r="BI193" i="2"/>
  <c r="BG233" i="2"/>
  <c r="CD285" i="2"/>
  <c r="CE36" i="2"/>
  <c r="CD362" i="2"/>
  <c r="BY121" i="2"/>
  <c r="CA400" i="2"/>
  <c r="BZ22" i="2"/>
  <c r="BJ222" i="2"/>
  <c r="CF25" i="2"/>
  <c r="AF186" i="2"/>
  <c r="AO401" i="2"/>
  <c r="BG399" i="2"/>
  <c r="AP78" i="2"/>
  <c r="BR64" i="2"/>
  <c r="BG277" i="2"/>
  <c r="BH152" i="2"/>
  <c r="AT343" i="2"/>
  <c r="CI308" i="2"/>
  <c r="BS202" i="2"/>
  <c r="BJ218" i="2"/>
  <c r="BG125" i="2"/>
  <c r="CF9" i="2"/>
  <c r="CF352" i="2"/>
  <c r="CB25" i="2"/>
  <c r="CA397" i="2"/>
  <c r="CA37" i="2"/>
  <c r="BZ259" i="2"/>
  <c r="CH330" i="2"/>
  <c r="N190" i="5"/>
  <c r="CD88" i="2"/>
  <c r="CD170" i="2"/>
  <c r="BX122" i="2"/>
  <c r="CB328" i="2"/>
  <c r="CA81" i="2"/>
  <c r="BW85" i="2"/>
  <c r="AS320" i="2"/>
  <c r="CE154" i="2"/>
  <c r="CC245" i="2"/>
  <c r="CB90" i="2"/>
  <c r="CA130" i="2"/>
  <c r="CA349" i="2"/>
  <c r="BJ210" i="2"/>
  <c r="CF425" i="2"/>
  <c r="CE446" i="2"/>
  <c r="CC293" i="2"/>
  <c r="CB70" i="2"/>
  <c r="CB189" i="2"/>
  <c r="BX452" i="2"/>
  <c r="BY378" i="2"/>
  <c r="BJ97" i="2"/>
  <c r="CF456" i="2"/>
  <c r="CD398" i="2"/>
  <c r="CC387" i="2"/>
  <c r="CA305" i="2"/>
  <c r="CB363" i="2"/>
  <c r="BI86" i="2"/>
  <c r="BH44" i="2"/>
  <c r="CD84" i="2"/>
  <c r="CE420" i="2"/>
  <c r="CD266" i="2"/>
  <c r="CC18" i="2"/>
  <c r="BZ221" i="2"/>
  <c r="BY443" i="2"/>
  <c r="BQ50" i="2"/>
  <c r="BH67" i="2"/>
  <c r="CI352" i="2"/>
  <c r="CG151" i="2"/>
  <c r="BR282" i="2"/>
  <c r="BI163" i="2"/>
  <c r="BI388" i="2"/>
  <c r="AV46" i="2"/>
  <c r="BT365" i="2"/>
  <c r="BI403" i="2"/>
  <c r="BI207" i="2"/>
  <c r="AX394" i="2"/>
  <c r="BJ417" i="2"/>
  <c r="CF105" i="2"/>
  <c r="CE30" i="2"/>
  <c r="CC308" i="2"/>
  <c r="CA347" i="2"/>
  <c r="CB188" i="2"/>
  <c r="BX58" i="2"/>
  <c r="BJ116" i="2"/>
  <c r="L20" i="5"/>
  <c r="CD13" i="2"/>
  <c r="CD365" i="2"/>
  <c r="CA55" i="2"/>
  <c r="CA156" i="2"/>
  <c r="BY140" i="2"/>
  <c r="AU191" i="2"/>
  <c r="BI409" i="2"/>
  <c r="CD30" i="2"/>
  <c r="CE430" i="2"/>
  <c r="CC349" i="2"/>
  <c r="CB360" i="2"/>
  <c r="BJ435" i="2"/>
  <c r="CH304" i="2"/>
  <c r="CE183" i="2"/>
  <c r="CF182" i="2"/>
  <c r="CA74" i="2"/>
  <c r="CA222" i="2"/>
  <c r="CA99" i="2"/>
  <c r="BZ178" i="2"/>
  <c r="BG22" i="2"/>
  <c r="CI444" i="2"/>
  <c r="CI428" i="2"/>
  <c r="BI146" i="2"/>
  <c r="BH360" i="2"/>
  <c r="CI133" i="2"/>
  <c r="BS182" i="2"/>
  <c r="BG411" i="2"/>
  <c r="BT267" i="2"/>
  <c r="CI454" i="2"/>
  <c r="CH259" i="2"/>
  <c r="BG247" i="2"/>
  <c r="J67" i="5"/>
  <c r="CI57" i="2"/>
  <c r="BI7" i="2"/>
  <c r="CC313" i="2"/>
  <c r="CD253" i="2"/>
  <c r="CC460" i="2"/>
  <c r="CB212" i="2"/>
  <c r="CB464" i="2"/>
  <c r="BW388" i="2"/>
  <c r="BI160" i="2"/>
  <c r="CF261" i="2"/>
  <c r="CE450" i="2"/>
  <c r="CD257" i="2"/>
  <c r="CC270" i="2"/>
  <c r="BZ331" i="2"/>
  <c r="BY354" i="2"/>
  <c r="AT164" i="2"/>
  <c r="D92" i="5"/>
  <c r="CD227" i="2"/>
  <c r="CD181" i="2"/>
  <c r="CA461" i="2"/>
  <c r="CC88" i="2"/>
  <c r="BJ427" i="2"/>
  <c r="BI269" i="2"/>
  <c r="CE379" i="2"/>
  <c r="CE220" i="2"/>
  <c r="BY309" i="2"/>
  <c r="CA163" i="2"/>
  <c r="CA213" i="2"/>
  <c r="BZ75" i="2"/>
  <c r="BJ305" i="2"/>
  <c r="BI198" i="2"/>
  <c r="CE337" i="2"/>
  <c r="CE75" i="2"/>
  <c r="CC202" i="2"/>
  <c r="CA210" i="2"/>
  <c r="CA427" i="2"/>
  <c r="BH210" i="2"/>
  <c r="H29" i="5"/>
  <c r="CA127" i="2"/>
  <c r="CC36" i="2"/>
  <c r="CC16" i="2"/>
  <c r="CB58" i="2"/>
  <c r="BZ213" i="2"/>
  <c r="BH18" i="2"/>
  <c r="L29" i="5"/>
  <c r="CD431" i="2"/>
  <c r="CE133" i="2"/>
  <c r="CD403" i="2"/>
  <c r="BZ27" i="2"/>
  <c r="CA265" i="2"/>
  <c r="BG193" i="2"/>
  <c r="CE276" i="2"/>
  <c r="CD409" i="2"/>
  <c r="CD69" i="2"/>
  <c r="BJ460" i="2"/>
  <c r="CD408" i="2"/>
  <c r="BG285" i="2"/>
  <c r="CE260" i="2"/>
  <c r="CD67" i="2"/>
  <c r="CB14" i="2"/>
  <c r="BG114" i="2"/>
  <c r="O117" i="5"/>
  <c r="CE66" i="2"/>
  <c r="CA238" i="2"/>
  <c r="BZ206" i="2"/>
  <c r="CA90" i="2"/>
  <c r="BZ233" i="2"/>
  <c r="CB225" i="2"/>
  <c r="BY119" i="2"/>
  <c r="BX352" i="2"/>
  <c r="BU354" i="2"/>
  <c r="BW302" i="2"/>
  <c r="I117" i="5"/>
  <c r="BW76" i="2"/>
  <c r="BX289" i="2"/>
  <c r="BV10" i="2"/>
  <c r="BU330" i="2"/>
  <c r="J221" i="5"/>
  <c r="BX47" i="2"/>
  <c r="BY41" i="2"/>
  <c r="BW364" i="2"/>
  <c r="BV54" i="2"/>
  <c r="BV107" i="2"/>
  <c r="M238" i="5"/>
  <c r="F307" i="5"/>
  <c r="BY167" i="2"/>
  <c r="BV210" i="2"/>
  <c r="BU230" i="2"/>
  <c r="BV187" i="2"/>
  <c r="L15" i="5"/>
  <c r="BZ371" i="2"/>
  <c r="BX38" i="2"/>
  <c r="BX200" i="2"/>
  <c r="BV285" i="2"/>
  <c r="BX78" i="2"/>
  <c r="BX401" i="2"/>
  <c r="BV182" i="2"/>
  <c r="BW231" i="2"/>
  <c r="BZ369" i="2"/>
  <c r="BW329" i="2"/>
  <c r="BV462" i="2"/>
  <c r="BW278" i="2"/>
  <c r="BU339" i="2"/>
  <c r="N296" i="5"/>
  <c r="BW64" i="2"/>
  <c r="BV443" i="2"/>
  <c r="M280" i="5"/>
  <c r="CC224" i="2"/>
  <c r="CE21" i="2"/>
  <c r="BZ232" i="2"/>
  <c r="M339" i="5"/>
  <c r="CF62" i="2"/>
  <c r="CC232" i="2"/>
  <c r="CB292" i="2"/>
  <c r="BJ81" i="2"/>
  <c r="CE319" i="2"/>
  <c r="CE143" i="2"/>
  <c r="BZ193" i="2"/>
  <c r="CC86" i="2"/>
  <c r="CA209" i="2"/>
  <c r="BX296" i="2"/>
  <c r="BV205" i="2"/>
  <c r="BX145" i="2"/>
  <c r="BU197" i="2"/>
  <c r="BW39" i="2"/>
  <c r="O340" i="5"/>
  <c r="BZ133" i="2"/>
  <c r="BZ318" i="2"/>
  <c r="BX79" i="2"/>
  <c r="BW444" i="2"/>
  <c r="BX316" i="2"/>
  <c r="BU284" i="2"/>
  <c r="BX118" i="2"/>
  <c r="BY53" i="2"/>
  <c r="BV77" i="2"/>
  <c r="BW134" i="2"/>
  <c r="BX151" i="2"/>
  <c r="BW142" i="2"/>
  <c r="CA416" i="2"/>
  <c r="CE38" i="2"/>
  <c r="CC38" i="2"/>
  <c r="CC277" i="2"/>
  <c r="CC225" i="2"/>
  <c r="E90" i="5"/>
  <c r="CC185" i="2"/>
  <c r="CB233" i="2"/>
  <c r="BX27" i="2"/>
  <c r="BV70" i="2"/>
  <c r="BV371" i="2"/>
  <c r="BY444" i="2"/>
  <c r="BW75" i="2"/>
  <c r="N186" i="5"/>
  <c r="BX230" i="2"/>
  <c r="BX307" i="2"/>
  <c r="BU291" i="2"/>
  <c r="D300" i="5"/>
  <c r="J7" i="5"/>
  <c r="N292" i="5"/>
  <c r="BW323" i="2"/>
  <c r="BX121" i="2"/>
  <c r="BV225" i="2"/>
  <c r="BV179" i="2"/>
  <c r="BZ82" i="2"/>
  <c r="BX138" i="2"/>
  <c r="BX176" i="2"/>
  <c r="BW315" i="2"/>
  <c r="BX239" i="2"/>
  <c r="BX188" i="2"/>
  <c r="BX267" i="2"/>
  <c r="BW421" i="2"/>
  <c r="BU148" i="2"/>
  <c r="BV198" i="2"/>
  <c r="BX291" i="2"/>
  <c r="BV45" i="2"/>
  <c r="BU100" i="2"/>
  <c r="D226" i="5"/>
  <c r="BZ218" i="2"/>
  <c r="BW173" i="2"/>
  <c r="BX374" i="2"/>
  <c r="CC311" i="2"/>
  <c r="CE235" i="2"/>
  <c r="CA446" i="2"/>
  <c r="CF350" i="2"/>
  <c r="CC292" i="2"/>
  <c r="CC256" i="2"/>
  <c r="BZ334" i="2"/>
  <c r="BJ192" i="2"/>
  <c r="CF206" i="2"/>
  <c r="CD238" i="2"/>
  <c r="BX329" i="2"/>
  <c r="CA19" i="2"/>
  <c r="BY364" i="2"/>
  <c r="BY423" i="2"/>
  <c r="BZ87" i="2"/>
  <c r="BX115" i="2"/>
  <c r="BV308" i="2"/>
  <c r="BU44" i="2"/>
  <c r="F238" i="5"/>
  <c r="BY64" i="2"/>
  <c r="BX412" i="2"/>
  <c r="BV409" i="2"/>
  <c r="BU167" i="2"/>
  <c r="BU268" i="2"/>
  <c r="J39" i="5"/>
  <c r="BW451" i="2"/>
  <c r="BX209" i="2"/>
  <c r="BV353" i="2"/>
  <c r="BU266" i="2"/>
  <c r="D26" i="5"/>
  <c r="BU140" i="2"/>
  <c r="L14" i="5"/>
  <c r="BZ70" i="2"/>
  <c r="BY288" i="2"/>
  <c r="BW459" i="2"/>
  <c r="BV32" i="2"/>
  <c r="L76" i="5"/>
  <c r="BY129" i="2"/>
  <c r="BY152" i="2"/>
  <c r="BV458" i="2"/>
  <c r="F299" i="5"/>
  <c r="BY410" i="2"/>
  <c r="BY465" i="2"/>
  <c r="BV446" i="2"/>
  <c r="BU66" i="2"/>
  <c r="BX353" i="2"/>
  <c r="BY123" i="2"/>
  <c r="BW437" i="2"/>
  <c r="BV84" i="2"/>
  <c r="M97" i="5"/>
  <c r="BZ44" i="2"/>
  <c r="BY446" i="2"/>
  <c r="BW447" i="2"/>
  <c r="BU19" i="2"/>
  <c r="BV136" i="2"/>
  <c r="M209" i="5"/>
  <c r="N127" i="5"/>
  <c r="C131" i="5"/>
  <c r="CF198" i="2"/>
  <c r="BW218" i="2"/>
  <c r="BW212" i="2"/>
  <c r="BU46" i="2"/>
  <c r="E66" i="5"/>
  <c r="L169" i="5"/>
  <c r="BX32" i="2"/>
  <c r="CE194" i="2"/>
  <c r="BY85" i="2"/>
  <c r="CF212" i="2"/>
  <c r="CD458" i="2"/>
  <c r="CB220" i="2"/>
  <c r="BZ344" i="2"/>
  <c r="BH6" i="2"/>
  <c r="CD9" i="2"/>
  <c r="CB55" i="2"/>
  <c r="CB68" i="2"/>
  <c r="CB414" i="2"/>
  <c r="BZ254" i="2"/>
  <c r="BZ81" i="2"/>
  <c r="BX271" i="2"/>
  <c r="BY345" i="2"/>
  <c r="BW309" i="2"/>
  <c r="BV387" i="2"/>
  <c r="BV60" i="2"/>
  <c r="BY398" i="2"/>
  <c r="BY374" i="2"/>
  <c r="BW49" i="2"/>
  <c r="BV151" i="2"/>
  <c r="C55" i="5"/>
  <c r="C315" i="5"/>
  <c r="BY257" i="2"/>
  <c r="BY280" i="2"/>
  <c r="BV258" i="2"/>
  <c r="BU120" i="2"/>
  <c r="D93" i="5"/>
  <c r="C161" i="5"/>
  <c r="D42" i="5"/>
  <c r="BV460" i="2"/>
  <c r="BW21" i="2"/>
  <c r="BU347" i="2"/>
  <c r="BU413" i="2"/>
  <c r="BX436" i="2"/>
  <c r="BX183" i="2"/>
  <c r="BW100" i="2"/>
  <c r="BW281" i="2"/>
  <c r="BZ123" i="2"/>
  <c r="BX50" i="2"/>
  <c r="BX48" i="2"/>
  <c r="BW251" i="2"/>
  <c r="BU81" i="2"/>
  <c r="BW370" i="2"/>
  <c r="BX56" i="2"/>
  <c r="BV312" i="2"/>
  <c r="BU10" i="2"/>
  <c r="F93" i="5"/>
  <c r="BY449" i="2"/>
  <c r="BU269" i="2"/>
  <c r="I61" i="5"/>
  <c r="CB316" i="2"/>
  <c r="BJ33" i="2"/>
  <c r="CA192" i="2"/>
  <c r="BH227" i="2"/>
  <c r="CE463" i="2"/>
  <c r="CC264" i="2"/>
  <c r="CB321" i="2"/>
  <c r="CH160" i="2"/>
  <c r="CE440" i="2"/>
  <c r="CE232" i="2"/>
  <c r="CB276" i="2"/>
  <c r="CB318" i="2"/>
  <c r="CB161" i="2"/>
  <c r="BZ462" i="2"/>
  <c r="BZ261" i="2"/>
  <c r="BZ454" i="2"/>
  <c r="BX159" i="2"/>
  <c r="BU13" i="2"/>
  <c r="O163" i="5"/>
  <c r="CA68" i="2"/>
  <c r="BY22" i="2"/>
  <c r="BX85" i="2"/>
  <c r="BX39" i="2"/>
  <c r="BV307" i="2"/>
  <c r="BV197" i="2"/>
  <c r="BY91" i="2"/>
  <c r="BV376" i="2"/>
  <c r="BW19" i="2"/>
  <c r="BV209" i="2"/>
  <c r="L180" i="5"/>
  <c r="BU131" i="2"/>
  <c r="I146" i="5"/>
  <c r="BY111" i="2"/>
  <c r="BX339" i="2"/>
  <c r="BV153" i="2"/>
  <c r="BU39" i="2"/>
  <c r="BU122" i="2"/>
  <c r="BZ198" i="2"/>
  <c r="BW436" i="2"/>
  <c r="BX298" i="2"/>
  <c r="BU223" i="2"/>
  <c r="BZ187" i="2"/>
  <c r="BX384" i="2"/>
  <c r="BV262" i="2"/>
  <c r="BU169" i="2"/>
  <c r="BY108" i="2"/>
  <c r="BX173" i="2"/>
  <c r="BV438" i="2"/>
  <c r="BU177" i="2"/>
  <c r="BV14" i="2"/>
  <c r="E230" i="5"/>
  <c r="BY101" i="2"/>
  <c r="CE333" i="2"/>
  <c r="BZ248" i="2"/>
  <c r="CB343" i="2"/>
  <c r="BI256" i="2"/>
  <c r="CF159" i="2"/>
  <c r="CD350" i="2"/>
  <c r="CA125" i="2"/>
  <c r="BJ390" i="2"/>
  <c r="P119" i="5"/>
  <c r="CE141" i="2"/>
  <c r="CB17" i="2"/>
  <c r="CA242" i="2"/>
  <c r="CA29" i="2"/>
  <c r="BZ235" i="2"/>
  <c r="BV434" i="2"/>
  <c r="BY395" i="2"/>
  <c r="BY388" i="2"/>
  <c r="BV432" i="2"/>
  <c r="BU378" i="2"/>
  <c r="BU12" i="2"/>
  <c r="BW292" i="2"/>
  <c r="BX219" i="2"/>
  <c r="BW94" i="2"/>
  <c r="BU45" i="2"/>
  <c r="O82" i="5"/>
  <c r="BY323" i="2"/>
  <c r="BY386" i="2"/>
  <c r="BW141" i="2"/>
  <c r="BU88" i="2"/>
  <c r="BV189" i="2"/>
  <c r="M275" i="5"/>
  <c r="N316" i="5"/>
  <c r="BZ402" i="2"/>
  <c r="BW362" i="2"/>
  <c r="BW350" i="2"/>
  <c r="BW87" i="2"/>
  <c r="G201" i="5"/>
  <c r="BX160" i="2"/>
  <c r="BX203" i="2"/>
  <c r="BV310" i="2"/>
  <c r="BU22" i="2"/>
  <c r="BY441" i="2"/>
  <c r="BX116" i="2"/>
  <c r="BV19" i="2"/>
  <c r="BU80" i="2"/>
  <c r="BX87" i="2"/>
  <c r="BX214" i="2"/>
  <c r="BW347" i="2"/>
  <c r="BW153" i="2"/>
  <c r="BU221" i="2"/>
  <c r="F74" i="5"/>
  <c r="BY379" i="2"/>
  <c r="BY143" i="2"/>
  <c r="CE129" i="2"/>
  <c r="BR40" i="2"/>
  <c r="CA161" i="2"/>
  <c r="BJ242" i="2"/>
  <c r="CE413" i="2"/>
  <c r="CD45" i="2"/>
  <c r="CA383" i="2"/>
  <c r="CI425" i="2"/>
  <c r="F99" i="5"/>
  <c r="CE452" i="2"/>
  <c r="CA13" i="2"/>
  <c r="CA352" i="2"/>
  <c r="CA75" i="2"/>
  <c r="BZ267" i="2"/>
  <c r="CB437" i="2"/>
  <c r="BY8" i="2"/>
  <c r="BY7" i="2"/>
  <c r="BV246" i="2"/>
  <c r="BU240" i="2"/>
  <c r="C44" i="5"/>
  <c r="BX358" i="2"/>
  <c r="BX330" i="2"/>
  <c r="BV172" i="2"/>
  <c r="BU275" i="2"/>
  <c r="H264" i="5"/>
  <c r="BY213" i="2"/>
  <c r="BY308" i="2"/>
  <c r="BW380" i="2"/>
  <c r="BU295" i="2"/>
  <c r="BV188" i="2"/>
  <c r="G173" i="5"/>
  <c r="H119" i="5"/>
  <c r="BY165" i="2"/>
  <c r="BW311" i="2"/>
  <c r="BV129" i="2"/>
  <c r="BV269" i="2"/>
  <c r="J54" i="5"/>
  <c r="BZ117" i="2"/>
  <c r="BX416" i="2"/>
  <c r="BU283" i="2"/>
  <c r="BW270" i="2"/>
  <c r="BX439" i="2"/>
  <c r="BX410" i="2"/>
  <c r="BV368" i="2"/>
  <c r="BU271" i="2"/>
  <c r="BZ374" i="2"/>
  <c r="BW60" i="2"/>
  <c r="BW17" i="2"/>
  <c r="BW328" i="2"/>
  <c r="BU84" i="2"/>
  <c r="F109" i="5"/>
  <c r="BY340" i="2"/>
  <c r="BY110" i="2"/>
  <c r="BW169" i="2"/>
  <c r="BV207" i="2"/>
  <c r="N123" i="5"/>
  <c r="BU343" i="2"/>
  <c r="BU212" i="2"/>
  <c r="AF352" i="2"/>
  <c r="CE126" i="2"/>
  <c r="BX408" i="2"/>
  <c r="BU158" i="2"/>
  <c r="G46" i="5"/>
  <c r="O177" i="5"/>
  <c r="F6" i="5"/>
  <c r="B133" i="5"/>
  <c r="J152" i="5"/>
  <c r="D186" i="5"/>
  <c r="BY253" i="2"/>
  <c r="H142" i="5"/>
  <c r="BU108" i="2"/>
  <c r="BV208" i="2"/>
  <c r="M239" i="5"/>
  <c r="CD418" i="2"/>
  <c r="BU423" i="2"/>
  <c r="I132" i="5"/>
  <c r="CF210" i="2"/>
  <c r="O58" i="5"/>
  <c r="BV268" i="2"/>
  <c r="CC417" i="2"/>
  <c r="BW6" i="2"/>
  <c r="N36" i="5"/>
  <c r="F205" i="5"/>
  <c r="BV113" i="2"/>
  <c r="BX14" i="2"/>
  <c r="CE109" i="2"/>
  <c r="H255" i="5"/>
  <c r="C343" i="5"/>
  <c r="AF134" i="2"/>
  <c r="CF37" i="2"/>
  <c r="L111" i="5"/>
  <c r="G171" i="5"/>
  <c r="CF315" i="2"/>
  <c r="CF457" i="2"/>
  <c r="E177" i="5"/>
  <c r="L57" i="5"/>
  <c r="J34" i="5"/>
  <c r="CF281" i="2"/>
  <c r="BU65" i="2"/>
  <c r="CF57" i="2"/>
  <c r="BU132" i="2"/>
  <c r="BV169" i="2"/>
  <c r="BU276" i="2"/>
  <c r="BV355" i="2"/>
  <c r="BX82" i="2"/>
  <c r="BX132" i="2"/>
  <c r="BU301" i="2"/>
  <c r="BX229" i="2"/>
  <c r="BU309" i="2"/>
  <c r="BY195" i="2"/>
  <c r="CE261" i="2"/>
  <c r="CB287" i="2"/>
  <c r="CE209" i="2"/>
  <c r="CA116" i="2"/>
  <c r="F152" i="5"/>
  <c r="CD154" i="2"/>
  <c r="CA270" i="2"/>
  <c r="CA254" i="2"/>
  <c r="BX195" i="2"/>
  <c r="BV154" i="2"/>
  <c r="BW38" i="2"/>
  <c r="BU77" i="2"/>
  <c r="F212" i="5"/>
  <c r="BX163" i="2"/>
  <c r="BW264" i="2"/>
  <c r="BV340" i="2"/>
  <c r="F292" i="5"/>
  <c r="D108" i="5"/>
  <c r="N209" i="5"/>
  <c r="BY26" i="2"/>
  <c r="BY81" i="2"/>
  <c r="BV292" i="2"/>
  <c r="BV206" i="2"/>
  <c r="CA118" i="2"/>
  <c r="BZ183" i="2"/>
  <c r="BX64" i="2"/>
  <c r="BV222" i="2"/>
  <c r="BX272" i="2"/>
  <c r="BV33" i="2"/>
  <c r="BX194" i="2"/>
  <c r="BV362" i="2"/>
  <c r="E46" i="5"/>
  <c r="BY355" i="2"/>
  <c r="BY234" i="2"/>
  <c r="BW207" i="2"/>
  <c r="BU355" i="2"/>
  <c r="P77" i="5"/>
  <c r="BZ239" i="2"/>
  <c r="BX243" i="2"/>
  <c r="BV436" i="2"/>
  <c r="CA369" i="2"/>
  <c r="CF126" i="2"/>
  <c r="BZ433" i="2"/>
  <c r="CF453" i="2"/>
  <c r="CD381" i="2"/>
  <c r="CC102" i="2"/>
  <c r="BZ229" i="2"/>
  <c r="BG144" i="2"/>
  <c r="CD419" i="2"/>
  <c r="CC31" i="2"/>
  <c r="CB304" i="2"/>
  <c r="CB80" i="2"/>
  <c r="CA126" i="2"/>
  <c r="BZ378" i="2"/>
  <c r="BX53" i="2"/>
  <c r="BU219" i="2"/>
  <c r="BX302" i="2"/>
  <c r="BV374" i="2"/>
  <c r="BU376" i="2"/>
  <c r="BY49" i="2"/>
  <c r="BU224" i="2"/>
  <c r="BW82" i="2"/>
  <c r="BV232" i="2"/>
  <c r="H113" i="5"/>
  <c r="C337" i="5"/>
  <c r="BY90" i="2"/>
  <c r="BY145" i="2"/>
  <c r="BV420" i="2"/>
  <c r="BU281" i="2"/>
  <c r="G221" i="5"/>
  <c r="I40" i="5"/>
  <c r="M139" i="5"/>
  <c r="BW9" i="2"/>
  <c r="BX391" i="2"/>
  <c r="BV103" i="2"/>
  <c r="BV16" i="2"/>
  <c r="BY317" i="2"/>
  <c r="BX89" i="2"/>
  <c r="BX254" i="2"/>
  <c r="BW314" i="2"/>
  <c r="CA6" i="2"/>
  <c r="BX268" i="2"/>
  <c r="BX387" i="2"/>
  <c r="BW260" i="2"/>
  <c r="BU58" i="2"/>
  <c r="BW109" i="2"/>
  <c r="BX419" i="2"/>
  <c r="BV394" i="2"/>
  <c r="BU379" i="2"/>
  <c r="D203" i="5"/>
  <c r="BZ345" i="2"/>
  <c r="BW332" i="2"/>
  <c r="BW381" i="2"/>
  <c r="BV92" i="2"/>
  <c r="BU424" i="2"/>
  <c r="BU87" i="2"/>
  <c r="B315" i="5"/>
  <c r="F32" i="5"/>
  <c r="CF390" i="2"/>
  <c r="BX331" i="2"/>
  <c r="BV211" i="2"/>
  <c r="C91" i="5"/>
  <c r="E94" i="5"/>
  <c r="CB217" i="2"/>
  <c r="CB390" i="2"/>
  <c r="CE49" i="2"/>
  <c r="BY283" i="2"/>
  <c r="CE136" i="2"/>
  <c r="CE384" i="2"/>
  <c r="CC431" i="2"/>
  <c r="CA243" i="2"/>
  <c r="BJ215" i="2"/>
  <c r="CD18" i="2"/>
  <c r="CD168" i="2"/>
  <c r="CB365" i="2"/>
  <c r="BZ295" i="2"/>
  <c r="BY353" i="2"/>
  <c r="BW280" i="2"/>
  <c r="BW204" i="2"/>
  <c r="BX377" i="2"/>
  <c r="BV138" i="2"/>
  <c r="BU417" i="2"/>
  <c r="F72" i="5"/>
  <c r="BY179" i="2"/>
  <c r="BW282" i="2"/>
  <c r="BX372" i="2"/>
  <c r="BU142" i="2"/>
  <c r="N105" i="5"/>
  <c r="BZ142" i="2"/>
  <c r="BX265" i="2"/>
  <c r="BX335" i="2"/>
  <c r="BW442" i="2"/>
  <c r="BV450" i="2"/>
  <c r="F235" i="5"/>
  <c r="L136" i="5"/>
  <c r="CC407" i="2"/>
  <c r="BY328" i="2"/>
  <c r="BY327" i="2"/>
  <c r="BV48" i="2"/>
  <c r="BU287" i="2"/>
  <c r="BZ25" i="2"/>
  <c r="BY67" i="2"/>
  <c r="BX6" i="2"/>
  <c r="BU263" i="2"/>
  <c r="BZ303" i="2"/>
  <c r="BZ304" i="2"/>
  <c r="BX448" i="2"/>
  <c r="BV94" i="2"/>
  <c r="F69" i="5"/>
  <c r="BY339" i="2"/>
  <c r="BY292" i="2"/>
  <c r="BV339" i="2"/>
  <c r="BU25" i="2"/>
  <c r="F351" i="5"/>
  <c r="BZ151" i="2"/>
  <c r="BV11" i="2"/>
  <c r="F218" i="5"/>
  <c r="CB108" i="2"/>
  <c r="D189" i="5"/>
  <c r="CC103" i="2"/>
  <c r="BG360" i="2"/>
  <c r="CF195" i="2"/>
  <c r="CA384" i="2"/>
  <c r="BW128" i="2"/>
  <c r="BJ72" i="2"/>
  <c r="CE421" i="2"/>
  <c r="CE125" i="2"/>
  <c r="CB37" i="2"/>
  <c r="BZ71" i="2"/>
  <c r="CA94" i="2"/>
  <c r="BY372" i="2"/>
  <c r="BZ97" i="2"/>
  <c r="BX359" i="2"/>
  <c r="BW126" i="2"/>
  <c r="BU26" i="2"/>
  <c r="J209" i="5"/>
  <c r="BZ255" i="2"/>
  <c r="BW144" i="2"/>
  <c r="BV330" i="2"/>
  <c r="BV430" i="2"/>
  <c r="BU314" i="2"/>
  <c r="M124" i="5"/>
  <c r="BZ273" i="2"/>
  <c r="BX406" i="2"/>
  <c r="BU252" i="2"/>
  <c r="BU200" i="2"/>
  <c r="N141" i="5"/>
  <c r="BV260" i="2"/>
  <c r="BW71" i="2"/>
  <c r="BY440" i="2"/>
  <c r="BY279" i="2"/>
  <c r="BW433" i="2"/>
  <c r="BV104" i="2"/>
  <c r="N15" i="5"/>
  <c r="BY400" i="2"/>
  <c r="BY302" i="2"/>
  <c r="BW361" i="2"/>
  <c r="BU456" i="2"/>
  <c r="BY156" i="2"/>
  <c r="BY160" i="2"/>
  <c r="BW331" i="2"/>
  <c r="BV457" i="2"/>
  <c r="BY436" i="2"/>
  <c r="BV379" i="2"/>
  <c r="BW275" i="2"/>
  <c r="BV465" i="2"/>
  <c r="G129" i="5"/>
  <c r="BY113" i="2"/>
  <c r="BX24" i="2"/>
  <c r="CE156" i="2"/>
  <c r="BG208" i="2"/>
  <c r="CC364" i="2"/>
  <c r="BI302" i="2"/>
  <c r="CD355" i="2"/>
  <c r="CB399" i="2"/>
  <c r="BY367" i="2"/>
  <c r="BJ90" i="2"/>
  <c r="CF144" i="2"/>
  <c r="CD463" i="2"/>
  <c r="CC383" i="2"/>
  <c r="CC158" i="2"/>
  <c r="CC112" i="2"/>
  <c r="BX269" i="2"/>
  <c r="BY248" i="2"/>
  <c r="BX224" i="2"/>
  <c r="BW261" i="2"/>
  <c r="BW58" i="2"/>
  <c r="BU104" i="2"/>
  <c r="F143" i="5"/>
  <c r="BY188" i="2"/>
  <c r="BU141" i="2"/>
  <c r="BW40" i="2"/>
  <c r="BU259" i="2"/>
  <c r="M166" i="5"/>
  <c r="BY431" i="2"/>
  <c r="BX180" i="2"/>
  <c r="BV281" i="2"/>
  <c r="BU103" i="2"/>
  <c r="BU204" i="2"/>
  <c r="D230" i="5"/>
  <c r="L132" i="5"/>
  <c r="BY454" i="2"/>
  <c r="BY227" i="2"/>
  <c r="BW419" i="2"/>
  <c r="BU414" i="2"/>
  <c r="M100" i="5"/>
  <c r="BX397" i="2"/>
  <c r="BY182" i="2"/>
  <c r="BW184" i="2"/>
  <c r="BV382" i="2"/>
  <c r="BY114" i="2"/>
  <c r="BV190" i="2"/>
  <c r="BW338" i="2"/>
  <c r="BV17" i="2"/>
  <c r="BZ423" i="2"/>
  <c r="BY21" i="2"/>
  <c r="BW397" i="2"/>
  <c r="BU416" i="2"/>
  <c r="BV445" i="2"/>
  <c r="O275" i="5"/>
  <c r="BV417" i="2"/>
  <c r="BW363" i="2"/>
  <c r="CE447" i="2"/>
  <c r="BI432" i="2"/>
  <c r="CB26" i="2"/>
  <c r="BJ339" i="2"/>
  <c r="CD42" i="2"/>
  <c r="CB393" i="2"/>
  <c r="CC276" i="2"/>
  <c r="BJ49" i="2"/>
  <c r="CE20" i="2"/>
  <c r="CC439" i="2"/>
  <c r="CC29" i="2"/>
  <c r="CB182" i="2"/>
  <c r="CC240" i="2"/>
  <c r="BX34" i="2"/>
  <c r="BV411" i="2"/>
  <c r="BW462" i="2"/>
  <c r="BW51" i="2"/>
  <c r="BW25" i="2"/>
  <c r="E117" i="5"/>
  <c r="F14" i="5"/>
  <c r="BY157" i="2"/>
  <c r="BY42" i="2"/>
  <c r="BW382" i="2"/>
  <c r="BU322" i="2"/>
  <c r="L69" i="5"/>
  <c r="BX26" i="2"/>
  <c r="BX18" i="2"/>
  <c r="BV159" i="2"/>
  <c r="BU150" i="2"/>
  <c r="BU43" i="2"/>
  <c r="L315" i="5"/>
  <c r="O126" i="5"/>
  <c r="BW197" i="2"/>
  <c r="BY301" i="2"/>
  <c r="BW418" i="2"/>
  <c r="BU400" i="2"/>
  <c r="F280" i="5"/>
  <c r="BX161" i="2"/>
  <c r="BX357" i="2"/>
  <c r="BW127" i="2"/>
  <c r="BU437" i="2"/>
  <c r="BY56" i="2"/>
  <c r="BY151" i="2"/>
  <c r="BW305" i="2"/>
  <c r="BV407" i="2"/>
  <c r="BY452" i="2"/>
  <c r="BY130" i="2"/>
  <c r="BW236" i="2"/>
  <c r="BU175" i="2"/>
  <c r="BV444" i="2"/>
  <c r="J69" i="5"/>
  <c r="BU449" i="2"/>
  <c r="BW57" i="2"/>
  <c r="BW386" i="2"/>
  <c r="BU198" i="2"/>
  <c r="J225" i="5"/>
  <c r="N256" i="5"/>
  <c r="D142" i="5"/>
  <c r="CD216" i="2"/>
  <c r="CE283" i="2"/>
  <c r="BX285" i="2"/>
  <c r="BV174" i="2"/>
  <c r="F44" i="5"/>
  <c r="BU374" i="2"/>
  <c r="P127" i="5"/>
  <c r="E290" i="5"/>
  <c r="F33" i="5"/>
  <c r="BV34" i="2"/>
  <c r="BW211" i="2"/>
  <c r="BV369" i="2"/>
  <c r="BU36" i="2"/>
  <c r="C250" i="5"/>
  <c r="CE16" i="2"/>
  <c r="BW389" i="2"/>
  <c r="I243" i="5"/>
  <c r="N97" i="5"/>
  <c r="CF455" i="2"/>
  <c r="F247" i="5"/>
  <c r="BU329" i="2"/>
  <c r="BU432" i="2"/>
  <c r="L77" i="5"/>
  <c r="M197" i="5"/>
  <c r="BV62" i="2"/>
  <c r="CE76" i="2"/>
  <c r="L64" i="5"/>
  <c r="BU450" i="2"/>
  <c r="M117" i="5"/>
  <c r="CF322" i="2"/>
  <c r="BW203" i="2"/>
  <c r="C54" i="5"/>
  <c r="J132" i="5"/>
  <c r="BU190" i="2"/>
  <c r="CE382" i="2"/>
  <c r="CE98" i="2"/>
  <c r="C156" i="5"/>
  <c r="E158" i="5"/>
  <c r="E267" i="5"/>
  <c r="CF95" i="2"/>
  <c r="CD37" i="2"/>
  <c r="D275" i="5"/>
  <c r="M277" i="5"/>
  <c r="CF51" i="2"/>
  <c r="CF393" i="2"/>
  <c r="BU386" i="2"/>
  <c r="CF221" i="2"/>
  <c r="BV63" i="2"/>
  <c r="BV451" i="2"/>
  <c r="BU390" i="2"/>
  <c r="BV348" i="2"/>
  <c r="BX46" i="2"/>
  <c r="BV303" i="2"/>
  <c r="M92" i="5"/>
  <c r="BV391" i="2"/>
  <c r="BU92" i="2"/>
  <c r="BX62" i="2"/>
  <c r="CB359" i="2"/>
  <c r="CB415" i="2"/>
  <c r="CE44" i="2"/>
  <c r="CB404" i="2"/>
  <c r="CD255" i="2"/>
  <c r="CC307" i="2"/>
  <c r="CA320" i="2"/>
  <c r="BZ36" i="2"/>
  <c r="BU288" i="2"/>
  <c r="N94" i="5"/>
  <c r="BY237" i="2"/>
  <c r="BU358" i="2"/>
  <c r="F167" i="5"/>
  <c r="BU260" i="2"/>
  <c r="BV52" i="2"/>
  <c r="BU195" i="2"/>
  <c r="E132" i="5"/>
  <c r="D264" i="5"/>
  <c r="BZ115" i="2"/>
  <c r="BX218" i="2"/>
  <c r="BX25" i="2"/>
  <c r="BW379" i="2"/>
  <c r="I140" i="5"/>
  <c r="BZ243" i="2"/>
  <c r="BY126" i="2"/>
  <c r="BW55" i="2"/>
  <c r="BU282" i="2"/>
  <c r="CA79" i="2"/>
  <c r="BY365" i="2"/>
  <c r="BW257" i="2"/>
  <c r="BU308" i="2"/>
  <c r="CA26" i="2"/>
  <c r="BX84" i="2"/>
  <c r="BX450" i="2"/>
  <c r="BW357" i="2"/>
  <c r="BV377" i="2"/>
  <c r="F346" i="5"/>
  <c r="BX205" i="2"/>
  <c r="BU205" i="2"/>
  <c r="CD353" i="2"/>
  <c r="BX251" i="2"/>
  <c r="CE253" i="2"/>
  <c r="BZ234" i="2"/>
  <c r="CE281" i="2"/>
  <c r="CE114" i="2"/>
  <c r="CC450" i="2"/>
  <c r="CA93" i="2"/>
  <c r="BJ281" i="2"/>
  <c r="CD141" i="2"/>
  <c r="CD385" i="2"/>
  <c r="CC303" i="2"/>
  <c r="BZ292" i="2"/>
  <c r="BY171" i="2"/>
  <c r="BX153" i="2"/>
  <c r="BX255" i="2"/>
  <c r="BX394" i="2"/>
  <c r="BV300" i="2"/>
  <c r="BU394" i="2"/>
  <c r="D75" i="5"/>
  <c r="BZ432" i="2"/>
  <c r="BW29" i="2"/>
  <c r="BU160" i="2"/>
  <c r="BU95" i="2"/>
  <c r="N247" i="5"/>
  <c r="BZ291" i="2"/>
  <c r="BX306" i="2"/>
  <c r="BX113" i="2"/>
  <c r="BW443" i="2"/>
  <c r="BV80" i="2"/>
  <c r="F106" i="5"/>
  <c r="B114" i="5"/>
  <c r="J155" i="5"/>
  <c r="BY193" i="2"/>
  <c r="BY216" i="2"/>
  <c r="BV130" i="2"/>
  <c r="BU388" i="2"/>
  <c r="BZ251" i="2"/>
  <c r="BZ30" i="2"/>
  <c r="BX367" i="2"/>
  <c r="BU298" i="2"/>
  <c r="BV406" i="2"/>
  <c r="BZ49" i="2"/>
  <c r="BX321" i="2"/>
  <c r="BV280" i="2"/>
  <c r="F55" i="5"/>
  <c r="BY346" i="2"/>
  <c r="BY401" i="2"/>
  <c r="BV397" i="2"/>
  <c r="BU448" i="2"/>
  <c r="F194" i="5"/>
  <c r="BZ109" i="2"/>
  <c r="BX338" i="2"/>
  <c r="BV274" i="2"/>
  <c r="BU403" i="2"/>
  <c r="I338" i="5"/>
  <c r="BV22" i="2"/>
  <c r="F172" i="5"/>
  <c r="L191" i="5"/>
  <c r="CF379" i="2"/>
  <c r="BX216" i="2"/>
  <c r="BW123" i="2"/>
  <c r="D61" i="5"/>
  <c r="N122" i="5"/>
  <c r="CB176" i="2"/>
  <c r="BW88" i="2"/>
  <c r="CD440" i="2"/>
  <c r="BQ189" i="2"/>
  <c r="CF372" i="2"/>
  <c r="CE105" i="2"/>
  <c r="CB246" i="2"/>
  <c r="BJ99" i="2"/>
  <c r="G253" i="5"/>
  <c r="CF40" i="2"/>
  <c r="CB453" i="2"/>
  <c r="CA52" i="2"/>
  <c r="CB270" i="2"/>
  <c r="BZ453" i="2"/>
  <c r="BV332" i="2"/>
  <c r="BY218" i="2"/>
  <c r="BY273" i="2"/>
  <c r="BV165" i="2"/>
  <c r="BV127" i="2"/>
  <c r="BU310" i="2"/>
  <c r="BY47" i="2"/>
  <c r="BX376" i="2"/>
  <c r="BW41" i="2"/>
  <c r="BV79" i="2"/>
  <c r="D56" i="5"/>
  <c r="BZ436" i="2"/>
  <c r="BZ182" i="2"/>
  <c r="BX15" i="2"/>
  <c r="BU227" i="2"/>
  <c r="BW199" i="2"/>
  <c r="N166" i="5"/>
  <c r="D198" i="5"/>
  <c r="BX141" i="2"/>
  <c r="BX328" i="2"/>
  <c r="BW228" i="2"/>
  <c r="BW345" i="2"/>
  <c r="D117" i="5"/>
  <c r="BY18" i="2"/>
  <c r="BX420" i="2"/>
  <c r="BV147" i="2"/>
  <c r="BU144" i="2"/>
  <c r="BZ410" i="2"/>
  <c r="BY62" i="2"/>
  <c r="BW438" i="2"/>
  <c r="BU218" i="2"/>
  <c r="BZ441" i="2"/>
  <c r="BX308" i="2"/>
  <c r="BX288" i="2"/>
  <c r="BW187" i="2"/>
  <c r="BV255" i="2"/>
  <c r="I342" i="5"/>
  <c r="BW399" i="2"/>
  <c r="BU371" i="2"/>
  <c r="F85" i="5"/>
  <c r="CB178" i="2"/>
  <c r="CF200" i="2"/>
  <c r="CB155" i="2"/>
  <c r="C163" i="5"/>
  <c r="CE223" i="2"/>
  <c r="CC7" i="2"/>
  <c r="CB302" i="2"/>
  <c r="BH329" i="2"/>
  <c r="CD97" i="2"/>
  <c r="CD393" i="2"/>
  <c r="CC199" i="2"/>
  <c r="CB355" i="2"/>
  <c r="BZ85" i="2"/>
  <c r="BZ219" i="2"/>
  <c r="BZ127" i="2"/>
  <c r="BW247" i="2"/>
  <c r="BW156" i="2"/>
  <c r="BV378" i="2"/>
  <c r="N176" i="5"/>
  <c r="BX400" i="2"/>
  <c r="BY105" i="2"/>
  <c r="BW35" i="2"/>
  <c r="BU30" i="2"/>
  <c r="BV171" i="2"/>
  <c r="N100" i="5"/>
  <c r="BY267" i="2"/>
  <c r="BY463" i="2"/>
  <c r="BW11" i="2"/>
  <c r="BV137" i="2"/>
  <c r="M140" i="5"/>
  <c r="BW110" i="2"/>
  <c r="O17" i="5"/>
  <c r="BZ382" i="2"/>
  <c r="BW124" i="2"/>
  <c r="BU38" i="2"/>
  <c r="BU14" i="2"/>
  <c r="L184" i="5"/>
  <c r="BV6" i="2"/>
  <c r="BW90" i="2"/>
  <c r="BW67" i="2"/>
  <c r="BU412" i="2"/>
  <c r="BW424" i="2"/>
  <c r="BX270" i="2"/>
  <c r="BV254" i="2"/>
  <c r="BU97" i="2"/>
  <c r="BZ51" i="2"/>
  <c r="BX375" i="2"/>
  <c r="BV134" i="2"/>
  <c r="BU105" i="2"/>
  <c r="E243" i="5"/>
  <c r="BZ66" i="2"/>
  <c r="BY100" i="2"/>
  <c r="BZ311" i="2"/>
  <c r="BI410" i="2"/>
  <c r="CA180" i="2"/>
  <c r="BH246" i="2"/>
  <c r="CD205" i="2"/>
  <c r="CC101" i="2"/>
  <c r="CB96" i="2"/>
  <c r="BG159" i="2"/>
  <c r="CE289" i="2"/>
  <c r="CE87" i="2"/>
  <c r="CB9" i="2"/>
  <c r="CA382" i="2"/>
  <c r="CB431" i="2"/>
  <c r="BZ125" i="2"/>
  <c r="BZ172" i="2"/>
  <c r="BY36" i="2"/>
  <c r="BX262" i="2"/>
  <c r="BU455" i="2"/>
  <c r="B177" i="5"/>
  <c r="BZ294" i="2"/>
  <c r="BX197" i="2"/>
  <c r="BX99" i="2"/>
  <c r="BX158" i="2"/>
  <c r="BV226" i="2"/>
  <c r="BV278" i="2"/>
  <c r="BY13" i="2"/>
  <c r="BY343" i="2"/>
  <c r="BW18" i="2"/>
  <c r="BV168" i="2"/>
  <c r="H125" i="5"/>
  <c r="BU202" i="2"/>
  <c r="D315" i="5"/>
  <c r="BX185" i="2"/>
  <c r="BX172" i="2"/>
  <c r="BV31" i="2"/>
  <c r="BU86" i="2"/>
  <c r="BV410" i="2"/>
  <c r="BY75" i="2"/>
  <c r="BW249" i="2"/>
  <c r="BX425" i="2"/>
  <c r="BW223" i="2"/>
  <c r="BZ416" i="2"/>
  <c r="BX22" i="2"/>
  <c r="BU418" i="2"/>
  <c r="BU8" i="2"/>
  <c r="BY185" i="2"/>
  <c r="BX275" i="2"/>
  <c r="BV322" i="2"/>
  <c r="BU16" i="2"/>
  <c r="BU85" i="2"/>
  <c r="CB311" i="2"/>
  <c r="BY72" i="2"/>
  <c r="BY71" i="2"/>
  <c r="CD143" i="2"/>
  <c r="BT217" i="2"/>
  <c r="BZ264" i="2"/>
  <c r="BI65" i="2"/>
  <c r="CD420" i="2"/>
  <c r="CC139" i="2"/>
  <c r="CA143" i="2"/>
  <c r="BH232" i="2"/>
  <c r="CD352" i="2"/>
  <c r="CD317" i="2"/>
  <c r="CA420" i="2"/>
  <c r="CA53" i="2"/>
  <c r="CB158" i="2"/>
  <c r="BZ227" i="2"/>
  <c r="BZ110" i="2"/>
  <c r="BY155" i="2"/>
  <c r="BW269" i="2"/>
  <c r="BU216" i="2"/>
  <c r="G54" i="5"/>
  <c r="CA17" i="2"/>
  <c r="BX347" i="2"/>
  <c r="BX242" i="2"/>
  <c r="BW165" i="2"/>
  <c r="BV185" i="2"/>
  <c r="BU145" i="2"/>
  <c r="BY70" i="2"/>
  <c r="BY310" i="2"/>
  <c r="BW368" i="2"/>
  <c r="BV87" i="2"/>
  <c r="C162" i="5"/>
  <c r="BU64" i="2"/>
  <c r="D155" i="5"/>
  <c r="BZ245" i="2"/>
  <c r="BX80" i="2"/>
  <c r="BU155" i="2"/>
  <c r="BW334" i="2"/>
  <c r="BU76" i="2"/>
  <c r="BY33" i="2"/>
  <c r="BV373" i="2"/>
  <c r="BX128" i="2"/>
  <c r="BV213" i="2"/>
  <c r="BZ78" i="2"/>
  <c r="BW371" i="2"/>
  <c r="BX234" i="2"/>
  <c r="BU398" i="2"/>
  <c r="BX253" i="2"/>
  <c r="BX346" i="2"/>
  <c r="BV240" i="2"/>
  <c r="BU406" i="2"/>
  <c r="BU363" i="2"/>
  <c r="CB210" i="2"/>
  <c r="BY183" i="2"/>
  <c r="BY38" i="2"/>
  <c r="BU27" i="2"/>
  <c r="BV459" i="2"/>
  <c r="N277" i="5"/>
  <c r="N183" i="5"/>
  <c r="P337" i="5"/>
  <c r="CB423" i="2"/>
  <c r="BU370" i="2"/>
  <c r="BX213" i="2"/>
  <c r="BV102" i="2"/>
  <c r="H155" i="5"/>
  <c r="O155" i="5"/>
  <c r="CF119" i="2"/>
  <c r="BU265" i="2"/>
  <c r="C137" i="5"/>
  <c r="AE407" i="2"/>
  <c r="BW294" i="2"/>
  <c r="CF373" i="2"/>
  <c r="BV313" i="2"/>
  <c r="O164" i="5"/>
  <c r="CF293" i="2"/>
  <c r="BU463" i="2"/>
  <c r="O73" i="5"/>
  <c r="I190" i="5"/>
  <c r="CE403" i="2"/>
  <c r="BU71" i="2"/>
  <c r="BU151" i="2"/>
  <c r="BU304" i="2"/>
  <c r="O50" i="5"/>
  <c r="CE161" i="2"/>
  <c r="CF120" i="2"/>
  <c r="BU54" i="2"/>
  <c r="BX55" i="2"/>
  <c r="J105" i="5"/>
  <c r="BU203" i="2"/>
  <c r="BV219" i="2"/>
  <c r="BW290" i="2"/>
  <c r="CA169" i="2"/>
  <c r="BX324" i="2"/>
  <c r="BV418" i="2"/>
  <c r="BY168" i="2"/>
  <c r="BZ450" i="2"/>
  <c r="CB34" i="2"/>
  <c r="CD64" i="2"/>
  <c r="BZ12" i="2"/>
  <c r="CF15" i="2"/>
  <c r="CA393" i="2"/>
  <c r="BZ46" i="2"/>
  <c r="BW69" i="2"/>
  <c r="BW214" i="2"/>
  <c r="D122" i="5"/>
  <c r="BX340" i="2"/>
  <c r="BU384" i="2"/>
  <c r="D129" i="5"/>
  <c r="BY287" i="2"/>
  <c r="BX174" i="2"/>
  <c r="BV121" i="2"/>
  <c r="P100" i="5"/>
  <c r="F204" i="5"/>
  <c r="CA302" i="2"/>
  <c r="BZ367" i="2"/>
  <c r="BX152" i="2"/>
  <c r="BV350" i="2"/>
  <c r="F147" i="5"/>
  <c r="BZ64" i="2"/>
  <c r="BW81" i="2"/>
  <c r="BW61" i="2"/>
  <c r="BV203" i="2"/>
  <c r="BZ35" i="2"/>
  <c r="BW429" i="2"/>
  <c r="BX311" i="2"/>
  <c r="BV221" i="2"/>
  <c r="BX220" i="2"/>
  <c r="BV128" i="2"/>
  <c r="BX130" i="2"/>
  <c r="BV234" i="2"/>
  <c r="BU17" i="2"/>
  <c r="D8" i="5"/>
  <c r="BU464" i="2"/>
  <c r="BX458" i="2"/>
  <c r="CD337" i="2"/>
  <c r="BY307" i="2"/>
  <c r="CA386" i="2"/>
  <c r="CI166" i="2"/>
  <c r="CC370" i="2"/>
  <c r="CB332" i="2"/>
  <c r="CC280" i="2"/>
  <c r="BI368" i="2"/>
  <c r="D141" i="5"/>
  <c r="CF401" i="2"/>
  <c r="CC136" i="2"/>
  <c r="CA261" i="2"/>
  <c r="CB8" i="2"/>
  <c r="CA54" i="2"/>
  <c r="BX191" i="2"/>
  <c r="BY11" i="2"/>
  <c r="BY106" i="2"/>
  <c r="BW440" i="2"/>
  <c r="BV249" i="2"/>
  <c r="BV400" i="2"/>
  <c r="BY265" i="2"/>
  <c r="BY15" i="2"/>
  <c r="BW74" i="2"/>
  <c r="BV160" i="2"/>
  <c r="D183" i="5"/>
  <c r="CA223" i="2"/>
  <c r="BZ296" i="2"/>
  <c r="BX440" i="2"/>
  <c r="BV71" i="2"/>
  <c r="BU367" i="2"/>
  <c r="F126" i="5"/>
  <c r="C121" i="5"/>
  <c r="BY52" i="2"/>
  <c r="BX177" i="2"/>
  <c r="BX382" i="2"/>
  <c r="BW378" i="2"/>
  <c r="C42" i="5"/>
  <c r="BZ246" i="2"/>
  <c r="BX301" i="2"/>
  <c r="BV229" i="2"/>
  <c r="BU305" i="2"/>
  <c r="BZ189" i="2"/>
  <c r="BY95" i="2"/>
  <c r="BW72" i="2"/>
  <c r="BU147" i="2"/>
  <c r="BZ47" i="2"/>
  <c r="BX395" i="2"/>
  <c r="BX457" i="2"/>
  <c r="BW196" i="2"/>
  <c r="BV336" i="2"/>
  <c r="F118" i="5"/>
  <c r="BX120" i="2"/>
  <c r="BY409" i="2"/>
  <c r="BW373" i="2"/>
  <c r="BV20" i="2"/>
  <c r="M204" i="5"/>
  <c r="BV439" i="2"/>
  <c r="BU161" i="2"/>
  <c r="CF302" i="2"/>
  <c r="CF340" i="2"/>
  <c r="BX305" i="2"/>
  <c r="BU90" i="2"/>
  <c r="E93" i="5"/>
  <c r="G155" i="5"/>
  <c r="CD404" i="2"/>
  <c r="BJ6" i="2"/>
  <c r="CC422" i="2"/>
  <c r="BH434" i="2"/>
  <c r="CE303" i="2"/>
  <c r="CC409" i="2"/>
  <c r="CA104" i="2"/>
  <c r="BI31" i="2"/>
  <c r="CF219" i="2"/>
  <c r="CD188" i="2"/>
  <c r="CD160" i="2"/>
  <c r="CC9" i="2"/>
  <c r="BZ62" i="2"/>
  <c r="BY201" i="2"/>
  <c r="BZ149" i="2"/>
  <c r="BX434" i="2"/>
  <c r="BX281" i="2"/>
  <c r="BW68" i="2"/>
  <c r="BU332" i="2"/>
  <c r="C198" i="5"/>
  <c r="BZ9" i="2"/>
  <c r="BW24" i="2"/>
  <c r="BW258" i="2"/>
  <c r="BU70" i="2"/>
  <c r="F137" i="5"/>
  <c r="BZ39" i="2"/>
  <c r="BX429" i="2"/>
  <c r="BV453" i="2"/>
  <c r="BU433" i="2"/>
  <c r="BV270" i="2"/>
  <c r="N280" i="5"/>
  <c r="F97" i="5"/>
  <c r="BZ297" i="2"/>
  <c r="BY251" i="2"/>
  <c r="BX70" i="2"/>
  <c r="BU57" i="2"/>
  <c r="F166" i="5"/>
  <c r="BY210" i="2"/>
  <c r="BV135" i="2"/>
  <c r="BW402" i="2"/>
  <c r="BV81" i="2"/>
  <c r="BZ360" i="2"/>
  <c r="BW256" i="2"/>
  <c r="BW428" i="2"/>
  <c r="BV139" i="2"/>
  <c r="BZ15" i="2"/>
  <c r="BZ359" i="2"/>
  <c r="BX192" i="2"/>
  <c r="BU375" i="2"/>
  <c r="BU246" i="2"/>
  <c r="D337" i="5"/>
  <c r="BY332" i="2"/>
  <c r="BV191" i="2"/>
  <c r="J24" i="5"/>
  <c r="CB463" i="2"/>
  <c r="CD122" i="2"/>
  <c r="BU461" i="2"/>
  <c r="CC397" i="2"/>
  <c r="CE464" i="2"/>
  <c r="CB242" i="2"/>
  <c r="CB144" i="2"/>
  <c r="BQ332" i="2"/>
  <c r="CE107" i="2"/>
  <c r="CD354" i="2"/>
  <c r="CD46" i="2"/>
  <c r="CA113" i="2"/>
  <c r="BY120" i="2"/>
  <c r="BX348" i="2"/>
  <c r="BZ11" i="2"/>
  <c r="BX217" i="2"/>
  <c r="BV64" i="2"/>
  <c r="BU395" i="2"/>
  <c r="J146" i="5"/>
  <c r="BV175" i="2"/>
  <c r="BX57" i="2"/>
  <c r="BU316" i="2"/>
  <c r="BW312" i="2"/>
  <c r="BU178" i="2"/>
  <c r="M57" i="5"/>
  <c r="BV245" i="2"/>
  <c r="BW149" i="2"/>
  <c r="BU196" i="2"/>
  <c r="BU128" i="2"/>
  <c r="O292" i="5"/>
  <c r="BU73" i="2"/>
  <c r="BV51" i="2"/>
  <c r="BY435" i="2"/>
  <c r="BY366" i="2"/>
  <c r="BW425" i="2"/>
  <c r="BU225" i="2"/>
  <c r="CB324" i="2"/>
  <c r="BY375" i="2"/>
  <c r="BY230" i="2"/>
  <c r="BU69" i="2"/>
  <c r="F230" i="5"/>
  <c r="BY65" i="2"/>
  <c r="BY88" i="2"/>
  <c r="BV345" i="2"/>
  <c r="BU335" i="2"/>
  <c r="BY349" i="2"/>
  <c r="BY96" i="2"/>
  <c r="BW267" i="2"/>
  <c r="BV393" i="2"/>
  <c r="E145" i="5"/>
  <c r="BY69" i="2"/>
  <c r="BX109" i="2"/>
  <c r="BX428" i="2"/>
  <c r="L66" i="5"/>
  <c r="CB51" i="2"/>
  <c r="BJ109" i="2"/>
  <c r="CF290" i="2"/>
  <c r="CD242" i="2"/>
  <c r="CC424" i="2"/>
  <c r="BJ126" i="2"/>
  <c r="CE179" i="2"/>
  <c r="CE396" i="2"/>
  <c r="CB74" i="2"/>
  <c r="CC449" i="2"/>
  <c r="BZ155" i="2"/>
  <c r="BY192" i="2"/>
  <c r="BY43" i="2"/>
  <c r="BX45" i="2"/>
  <c r="BV228" i="2"/>
  <c r="BU49" i="2"/>
  <c r="O230" i="5"/>
  <c r="BY360" i="2"/>
  <c r="BV76" i="2"/>
  <c r="BU99" i="2"/>
  <c r="BV12" i="2"/>
  <c r="BU337" i="2"/>
  <c r="E114" i="5"/>
  <c r="BZ383" i="2"/>
  <c r="BW252" i="2"/>
  <c r="BU392" i="2"/>
  <c r="BU31" i="2"/>
  <c r="N35" i="5"/>
  <c r="BV98" i="2"/>
  <c r="BV328" i="2"/>
  <c r="BX407" i="2"/>
  <c r="BY246" i="2"/>
  <c r="BW248" i="2"/>
  <c r="BV23" i="2"/>
  <c r="F90" i="5"/>
  <c r="BX287" i="2"/>
  <c r="BX135" i="2"/>
  <c r="BW176" i="2"/>
  <c r="BU153" i="2"/>
  <c r="BY186" i="2"/>
  <c r="BY271" i="2"/>
  <c r="BW330" i="2"/>
  <c r="BV416" i="2"/>
  <c r="BY348" i="2"/>
  <c r="BU261" i="2"/>
  <c r="BW274" i="2"/>
  <c r="BV424" i="2"/>
  <c r="M133" i="5"/>
  <c r="BW155" i="2"/>
  <c r="BX86" i="2"/>
  <c r="BW219" i="2"/>
  <c r="CB421" i="2"/>
  <c r="O184" i="5"/>
  <c r="CB430" i="2"/>
  <c r="BJ446" i="2"/>
  <c r="CF240" i="2"/>
  <c r="CD441" i="2"/>
  <c r="CC39" i="2"/>
  <c r="BG449" i="2"/>
  <c r="CE346" i="2"/>
  <c r="CE435" i="2"/>
  <c r="CB319" i="2"/>
  <c r="CC160" i="2"/>
  <c r="BY243" i="2"/>
  <c r="BY78" i="2"/>
  <c r="BY320" i="2"/>
  <c r="BX59" i="2"/>
  <c r="BV66" i="2"/>
  <c r="BU247" i="2"/>
  <c r="F66" i="5"/>
  <c r="BX249" i="2"/>
  <c r="BU279" i="2"/>
  <c r="BX204" i="2"/>
  <c r="BV321" i="2"/>
  <c r="BU176" i="2"/>
  <c r="D167" i="5"/>
  <c r="BY27" i="2"/>
  <c r="BW106" i="2"/>
  <c r="BX443" i="2"/>
  <c r="BU78" i="2"/>
  <c r="N58" i="5"/>
  <c r="BV57" i="2"/>
  <c r="BU315" i="2"/>
  <c r="BX409" i="2"/>
  <c r="BX421" i="2"/>
  <c r="BW239" i="2"/>
  <c r="BU327" i="2"/>
  <c r="P173" i="5"/>
  <c r="BX337" i="2"/>
  <c r="BX284" i="2"/>
  <c r="BW119" i="2"/>
  <c r="BV383" i="2"/>
  <c r="BY144" i="2"/>
  <c r="BY238" i="2"/>
  <c r="BW297" i="2"/>
  <c r="BV335" i="2"/>
  <c r="BY93" i="2"/>
  <c r="BY87" i="2"/>
  <c r="BW241" i="2"/>
  <c r="BV343" i="2"/>
  <c r="P190" i="5"/>
  <c r="BZ333" i="2"/>
  <c r="BW435" i="2"/>
  <c r="BW192" i="2"/>
  <c r="BW407" i="2"/>
  <c r="BU20" i="2"/>
  <c r="F145" i="5"/>
  <c r="H221" i="5"/>
  <c r="M260" i="5"/>
  <c r="CE191" i="2"/>
  <c r="BW137" i="2"/>
  <c r="BW163" i="2"/>
  <c r="BU165" i="2"/>
  <c r="BV317" i="2"/>
  <c r="P84" i="5"/>
  <c r="CF101" i="2"/>
  <c r="G48" i="5"/>
  <c r="CE140" i="2"/>
  <c r="CF344" i="2"/>
  <c r="BX286" i="2"/>
  <c r="BX403" i="2"/>
  <c r="BV177" i="2"/>
  <c r="H132" i="5"/>
  <c r="CF291" i="2"/>
  <c r="BW122" i="2"/>
  <c r="N368" i="5"/>
  <c r="E61" i="5"/>
  <c r="BU441" i="2"/>
  <c r="C296" i="5"/>
  <c r="N75" i="5"/>
  <c r="CF59" i="2"/>
  <c r="L108" i="5"/>
  <c r="M290" i="5"/>
  <c r="C112" i="5"/>
  <c r="BX326" i="2"/>
  <c r="BW162" i="2"/>
  <c r="BU168" i="2"/>
  <c r="G146" i="5"/>
  <c r="CC403" i="2"/>
  <c r="BU173" i="2"/>
  <c r="J212" i="5"/>
  <c r="CF64" i="2"/>
  <c r="BV247" i="2"/>
  <c r="BU53" i="2"/>
  <c r="BZ67" i="2"/>
  <c r="I331" i="5"/>
  <c r="BV294" i="2"/>
  <c r="BX40" i="2"/>
  <c r="BZ356" i="2"/>
  <c r="BU451" i="2"/>
  <c r="BU393" i="2"/>
  <c r="BX325" i="2"/>
  <c r="BZ41" i="2"/>
  <c r="BJ60" i="2"/>
  <c r="CC320" i="2"/>
  <c r="BH159" i="2"/>
  <c r="CF226" i="2"/>
  <c r="CA288" i="2"/>
  <c r="CA87" i="2"/>
  <c r="BY252" i="2"/>
  <c r="BW104" i="2"/>
  <c r="I315" i="5"/>
  <c r="BY420" i="2"/>
  <c r="BV201" i="2"/>
  <c r="BX8" i="2"/>
  <c r="BX388" i="2"/>
  <c r="BV44" i="2"/>
  <c r="BU112" i="2"/>
  <c r="BV73" i="2"/>
  <c r="B14" i="5"/>
  <c r="BZ122" i="2"/>
  <c r="BY190" i="2"/>
  <c r="BW151" i="2"/>
  <c r="BU346" i="2"/>
  <c r="BU138" i="2"/>
  <c r="BZ363" i="2"/>
  <c r="BX100" i="2"/>
  <c r="BV105" i="2"/>
  <c r="BU210" i="2"/>
  <c r="BV167" i="2"/>
  <c r="BX380" i="2"/>
  <c r="BV181" i="2"/>
  <c r="BU236" i="2"/>
  <c r="CA415" i="2"/>
  <c r="BY37" i="2"/>
  <c r="BW193" i="2"/>
  <c r="BU244" i="2"/>
  <c r="BV241" i="2"/>
  <c r="N335" i="5"/>
  <c r="BY115" i="2"/>
  <c r="BY170" i="2"/>
  <c r="CE57" i="2"/>
  <c r="BJ124" i="2"/>
  <c r="CA137" i="2"/>
  <c r="BG424" i="2"/>
  <c r="CE64" i="2"/>
  <c r="CC380" i="2"/>
  <c r="CA418" i="2"/>
  <c r="BI185" i="2"/>
  <c r="C145" i="5"/>
  <c r="CD389" i="2"/>
  <c r="CD377" i="2"/>
  <c r="CC419" i="2"/>
  <c r="BZ252" i="2"/>
  <c r="BY426" i="2"/>
  <c r="CA273" i="2"/>
  <c r="BX260" i="2"/>
  <c r="BX322" i="2"/>
  <c r="BW229" i="2"/>
  <c r="BV72" i="2"/>
  <c r="O99" i="5"/>
  <c r="BV216" i="2"/>
  <c r="BW91" i="2"/>
  <c r="BU96" i="2"/>
  <c r="BU23" i="2"/>
  <c r="F177" i="5"/>
  <c r="BZ370" i="2"/>
  <c r="BY254" i="2"/>
  <c r="BW255" i="2"/>
  <c r="BU410" i="2"/>
  <c r="BV375" i="2"/>
  <c r="L337" i="5"/>
  <c r="F289" i="5"/>
  <c r="BZ388" i="2"/>
  <c r="BZ94" i="2"/>
  <c r="BX264" i="2"/>
  <c r="BU356" i="2"/>
  <c r="F24" i="5"/>
  <c r="BY180" i="2"/>
  <c r="BV109" i="2"/>
  <c r="BW403" i="2"/>
  <c r="BV122" i="2"/>
  <c r="BZ274" i="2"/>
  <c r="BW259" i="2"/>
  <c r="BW416" i="2"/>
  <c r="BV220" i="2"/>
  <c r="BV120" i="2"/>
  <c r="BZ384" i="2"/>
  <c r="BX257" i="2"/>
  <c r="BV152" i="2"/>
  <c r="BU199" i="2"/>
  <c r="L127" i="5"/>
  <c r="BW372" i="2"/>
  <c r="BX465" i="2"/>
  <c r="BV266" i="2"/>
  <c r="BU458" i="2"/>
  <c r="D20" i="5"/>
  <c r="J143" i="5"/>
  <c r="BU238" i="2"/>
  <c r="CF185" i="2"/>
  <c r="CF67" i="2"/>
  <c r="BX312" i="2"/>
  <c r="BU18" i="2"/>
  <c r="F276" i="5"/>
  <c r="BU357" i="2"/>
  <c r="CC170" i="2"/>
  <c r="BI390" i="2"/>
  <c r="CB111" i="2"/>
  <c r="CH171" i="2"/>
  <c r="CE120" i="2"/>
  <c r="CD232" i="2"/>
  <c r="CB66" i="2"/>
  <c r="CI420" i="2"/>
  <c r="CF121" i="2"/>
  <c r="CE417" i="2"/>
  <c r="CB429" i="2"/>
  <c r="CB32" i="2"/>
  <c r="CB275" i="2"/>
  <c r="CA286" i="2"/>
  <c r="CA16" i="2"/>
  <c r="BZ88" i="2"/>
  <c r="BX129" i="2"/>
  <c r="BV327" i="2"/>
  <c r="D143" i="5"/>
  <c r="CB296" i="2"/>
  <c r="BY55" i="2"/>
  <c r="BX463" i="2"/>
  <c r="BU98" i="2"/>
  <c r="BV388" i="2"/>
  <c r="BU220" i="2"/>
  <c r="BZ86" i="2"/>
  <c r="BW158" i="2"/>
  <c r="BW28" i="2"/>
  <c r="BV250" i="2"/>
  <c r="E204" i="5"/>
  <c r="BU429" i="2"/>
  <c r="F337" i="5"/>
  <c r="BY226" i="2"/>
  <c r="BX60" i="2"/>
  <c r="BV275" i="2"/>
  <c r="BU208" i="2"/>
  <c r="BV115" i="2"/>
  <c r="BZ145" i="2"/>
  <c r="BX150" i="2"/>
  <c r="BU91" i="2"/>
  <c r="BU72" i="2"/>
  <c r="BZ179" i="2"/>
  <c r="BX147" i="2"/>
  <c r="BV448" i="2"/>
  <c r="BU146" i="2"/>
  <c r="BZ162" i="2"/>
  <c r="BX432" i="2"/>
  <c r="BW342" i="2"/>
  <c r="BU154" i="2"/>
  <c r="BV119" i="2"/>
  <c r="BZ185" i="2"/>
  <c r="BY139" i="2"/>
  <c r="BV55" i="2"/>
  <c r="BU296" i="2"/>
  <c r="CA376" i="2"/>
  <c r="CD286" i="2"/>
  <c r="BX63" i="2"/>
  <c r="CF58" i="2"/>
  <c r="CD401" i="2"/>
  <c r="CB195" i="2"/>
  <c r="CB278" i="2"/>
  <c r="BI28" i="2"/>
  <c r="CD262" i="2"/>
  <c r="CB259" i="2"/>
  <c r="CB457" i="2"/>
  <c r="CA71" i="2"/>
  <c r="BZ13" i="2"/>
  <c r="BZ111" i="2"/>
  <c r="BU193" i="2"/>
  <c r="BY203" i="2"/>
  <c r="BW148" i="2"/>
  <c r="BV265" i="2"/>
  <c r="BV142" i="2"/>
  <c r="BX418" i="2"/>
  <c r="BX343" i="2"/>
  <c r="BW367" i="2"/>
  <c r="BV46" i="2"/>
  <c r="C202" i="5"/>
  <c r="CC328" i="2"/>
  <c r="BY392" i="2"/>
  <c r="BY391" i="2"/>
  <c r="BV176" i="2"/>
  <c r="BU383" i="2"/>
  <c r="J208" i="5"/>
  <c r="F141" i="5"/>
  <c r="D25" i="5"/>
  <c r="BV326" i="2"/>
  <c r="BW242" i="2"/>
  <c r="BW131" i="2"/>
  <c r="BU186" i="2"/>
  <c r="CA198" i="2"/>
  <c r="BW340" i="2"/>
  <c r="BW377" i="2"/>
  <c r="BW96" i="2"/>
  <c r="BY362" i="2"/>
  <c r="BX9" i="2"/>
  <c r="BX126" i="2"/>
  <c r="BW250" i="2"/>
  <c r="BV427" i="2"/>
  <c r="BW327" i="2"/>
  <c r="BX142" i="2"/>
  <c r="BV126" i="2"/>
  <c r="BU33" i="2"/>
  <c r="O29" i="5"/>
  <c r="BY219" i="2"/>
  <c r="BV27" i="2"/>
  <c r="CC378" i="2"/>
  <c r="CE371" i="2"/>
  <c r="CB167" i="2"/>
  <c r="N226" i="5"/>
  <c r="CE158" i="2"/>
  <c r="CB374" i="2"/>
  <c r="CA45" i="2"/>
  <c r="BI29" i="2"/>
  <c r="CD223" i="2"/>
  <c r="CC343" i="2"/>
  <c r="CB384" i="2"/>
  <c r="CB185" i="2"/>
  <c r="BZ460" i="2"/>
  <c r="BZ217" i="2"/>
  <c r="BY125" i="2"/>
  <c r="BV82" i="2"/>
  <c r="BW147" i="2"/>
  <c r="BV337" i="2"/>
  <c r="F13" i="5"/>
  <c r="CA313" i="2"/>
  <c r="BY240" i="2"/>
  <c r="BW34" i="2"/>
  <c r="BU189" i="2"/>
  <c r="BV90" i="2"/>
  <c r="BV441" i="2"/>
  <c r="BY9" i="2"/>
  <c r="BY430" i="2"/>
  <c r="BW10" i="2"/>
  <c r="BV96" i="2"/>
  <c r="J6" i="5"/>
  <c r="BV125" i="2"/>
  <c r="D194" i="5"/>
  <c r="BY77" i="2"/>
  <c r="BW401" i="2"/>
  <c r="BX235" i="2"/>
  <c r="BW262" i="2"/>
  <c r="O193" i="5"/>
  <c r="BZ48" i="2"/>
  <c r="BW358" i="2"/>
  <c r="BW66" i="2"/>
  <c r="BU457" i="2"/>
  <c r="BV163" i="2"/>
  <c r="BW116" i="2"/>
  <c r="BU362" i="2"/>
  <c r="BU359" i="2"/>
  <c r="BZ136" i="2"/>
  <c r="BW413" i="2"/>
  <c r="BU162" i="2"/>
  <c r="BU391" i="2"/>
  <c r="N231" i="5"/>
  <c r="BZ438" i="2"/>
  <c r="BY363" i="2"/>
  <c r="BW333" i="2"/>
  <c r="CB44" i="2"/>
  <c r="CE55" i="2"/>
  <c r="CA234" i="2"/>
  <c r="J157" i="5"/>
  <c r="CD453" i="2"/>
  <c r="CB153" i="2"/>
  <c r="CA107" i="2"/>
  <c r="BI266" i="2"/>
  <c r="CC98" i="2"/>
  <c r="CC163" i="2"/>
  <c r="CB92" i="2"/>
  <c r="CB288" i="2"/>
  <c r="BZ18" i="2"/>
  <c r="BZ456" i="2"/>
  <c r="BY305" i="2"/>
  <c r="BU234" i="2"/>
  <c r="BW146" i="2"/>
  <c r="BV296" i="2"/>
  <c r="F82" i="5"/>
  <c r="BZ463" i="2"/>
  <c r="BY351" i="2"/>
  <c r="BW432" i="2"/>
  <c r="BU52" i="2"/>
  <c r="BV49" i="2"/>
  <c r="BU311" i="2"/>
  <c r="BY350" i="2"/>
  <c r="BX112" i="2"/>
  <c r="BW336" i="2"/>
  <c r="BV15" i="2"/>
  <c r="J136" i="5"/>
  <c r="BV43" i="2"/>
  <c r="L119" i="5"/>
  <c r="BY161" i="2"/>
  <c r="BW150" i="2"/>
  <c r="BX320" i="2"/>
  <c r="BV277" i="2"/>
  <c r="F304" i="5"/>
  <c r="BZ366" i="2"/>
  <c r="BV161" i="2"/>
  <c r="BW33" i="2"/>
  <c r="B91" i="5"/>
  <c r="BU324" i="2"/>
  <c r="BW393" i="2"/>
  <c r="BW464" i="2"/>
  <c r="BU326" i="2"/>
  <c r="BY172" i="2"/>
  <c r="BW243" i="2"/>
  <c r="BX170" i="2"/>
  <c r="BU334" i="2"/>
  <c r="N59" i="5"/>
  <c r="BY329" i="2"/>
  <c r="BY66" i="2"/>
  <c r="BW172" i="2"/>
  <c r="BU111" i="2"/>
  <c r="BV380" i="2"/>
  <c r="I69" i="5"/>
  <c r="F306" i="5"/>
  <c r="J315" i="5"/>
  <c r="CD156" i="2"/>
  <c r="BY98" i="2"/>
  <c r="BU453" i="2"/>
  <c r="BU442" i="2"/>
  <c r="N125" i="5"/>
  <c r="N208" i="5"/>
  <c r="CF285" i="2"/>
  <c r="D335" i="5"/>
  <c r="CF8" i="2"/>
  <c r="BV218" i="2"/>
  <c r="BU317" i="2"/>
  <c r="BW310" i="2"/>
  <c r="I272" i="5"/>
  <c r="I277" i="5"/>
  <c r="CE390" i="2"/>
  <c r="BU113" i="2"/>
  <c r="BU401" i="2"/>
  <c r="J20" i="5"/>
  <c r="BW89" i="2"/>
  <c r="F165" i="5"/>
  <c r="G280" i="5"/>
  <c r="CD361" i="2"/>
  <c r="M195" i="5"/>
  <c r="E315" i="5"/>
  <c r="CF343" i="2"/>
  <c r="BX447" i="2"/>
  <c r="BX366" i="2"/>
  <c r="M191" i="5"/>
  <c r="BV50" i="2"/>
  <c r="CF32" i="2"/>
  <c r="BV401" i="2"/>
  <c r="BU171" i="2"/>
  <c r="CE372" i="2"/>
  <c r="BU248" i="2"/>
  <c r="D11" i="5"/>
  <c r="C258" i="5"/>
  <c r="N19" i="5"/>
  <c r="D239" i="5"/>
  <c r="C62" i="5"/>
  <c r="J217" i="5"/>
  <c r="CF387" i="2"/>
  <c r="CF136" i="2"/>
  <c r="CF31" i="2"/>
  <c r="CE131" i="2"/>
  <c r="CF366" i="2"/>
  <c r="CF403" i="2"/>
  <c r="CF74" i="2"/>
  <c r="CF272" i="2"/>
  <c r="CF444" i="2"/>
  <c r="BW168" i="2"/>
  <c r="F77" i="5"/>
  <c r="CE97" i="2"/>
  <c r="F260" i="5"/>
  <c r="CD150" i="2"/>
  <c r="G215" i="5"/>
  <c r="P244" i="5"/>
  <c r="C138" i="5"/>
  <c r="H228" i="5"/>
  <c r="CF123" i="2"/>
  <c r="CF282" i="2"/>
  <c r="CD357" i="2"/>
  <c r="AF231" i="2"/>
  <c r="E60" i="5"/>
  <c r="CF134" i="2"/>
  <c r="CF402" i="2"/>
  <c r="P76" i="5"/>
  <c r="BV89" i="2"/>
  <c r="I107" i="5"/>
  <c r="CE42" i="2"/>
  <c r="P17" i="5"/>
  <c r="CF191" i="2"/>
  <c r="P316" i="5"/>
  <c r="BV341" i="2"/>
  <c r="BZ429" i="2"/>
  <c r="BV214" i="2"/>
  <c r="BU404" i="2"/>
  <c r="BW15" i="2"/>
  <c r="BX232" i="2"/>
  <c r="BW414" i="2"/>
  <c r="J85" i="5"/>
  <c r="BV237" i="2"/>
  <c r="BI339" i="2"/>
  <c r="BQ309" i="2"/>
  <c r="CD158" i="2"/>
  <c r="BI283" i="2"/>
  <c r="CE159" i="2"/>
  <c r="BX181" i="2"/>
  <c r="BY116" i="2"/>
  <c r="BX261" i="2"/>
  <c r="BX222" i="2"/>
  <c r="L114" i="5"/>
  <c r="BW277" i="2"/>
  <c r="BU192" i="2"/>
  <c r="BZ119" i="2"/>
  <c r="BU183" i="2"/>
  <c r="BW101" i="2"/>
  <c r="BV456" i="2"/>
  <c r="BU194" i="2"/>
  <c r="BU408" i="2"/>
  <c r="BZ464" i="2"/>
  <c r="BW265" i="2"/>
  <c r="BW125" i="2"/>
  <c r="BV267" i="2"/>
  <c r="L227" i="5"/>
  <c r="BW170" i="2"/>
  <c r="BY89" i="2"/>
  <c r="BW53" i="2"/>
  <c r="BU365" i="2"/>
  <c r="BY30" i="2"/>
  <c r="BV47" i="2"/>
  <c r="BX279" i="2"/>
  <c r="BV149" i="2"/>
  <c r="BZ354" i="2"/>
  <c r="BW301" i="2"/>
  <c r="BX438" i="2"/>
  <c r="BV157" i="2"/>
  <c r="BU232" i="2"/>
  <c r="CA322" i="2"/>
  <c r="BX20" i="2"/>
  <c r="BX386" i="2"/>
  <c r="CD66" i="2"/>
  <c r="BH251" i="2"/>
  <c r="BZ120" i="2"/>
  <c r="CI333" i="2"/>
  <c r="CE265" i="2"/>
  <c r="CD449" i="2"/>
  <c r="CB21" i="2"/>
  <c r="BT424" i="2"/>
  <c r="CF258" i="2"/>
  <c r="CE443" i="2"/>
  <c r="CC423" i="2"/>
  <c r="CB257" i="2"/>
  <c r="CB331" i="2"/>
  <c r="CA8" i="2"/>
  <c r="BX187" i="2"/>
  <c r="BV318" i="2"/>
  <c r="BX464" i="2"/>
  <c r="BV449" i="2"/>
  <c r="E140" i="5"/>
  <c r="CB181" i="2"/>
  <c r="BY173" i="2"/>
  <c r="BY422" i="2"/>
  <c r="BV118" i="2"/>
  <c r="BU62" i="2"/>
  <c r="BV9" i="2"/>
  <c r="BZ89" i="2"/>
  <c r="BW441" i="2"/>
  <c r="BW189" i="2"/>
  <c r="BV331" i="2"/>
  <c r="BU366" i="2"/>
  <c r="BV366" i="2"/>
  <c r="C215" i="5"/>
  <c r="BZ167" i="2"/>
  <c r="BX365" i="2"/>
  <c r="BV357" i="2"/>
  <c r="BU369" i="2"/>
  <c r="BU130" i="2"/>
  <c r="BZ403" i="2"/>
  <c r="BX72" i="2"/>
  <c r="BV454" i="2"/>
  <c r="BU233" i="2"/>
  <c r="BZ237" i="2"/>
  <c r="BX131" i="2"/>
  <c r="BV99" i="2"/>
  <c r="BU75" i="2"/>
  <c r="BZ196" i="2"/>
  <c r="BY31" i="2"/>
  <c r="BW8" i="2"/>
  <c r="BU83" i="2"/>
  <c r="BV200" i="2"/>
  <c r="H209" i="5"/>
  <c r="BY282" i="2"/>
  <c r="BY337" i="2"/>
  <c r="BV293" i="2"/>
  <c r="BU331" i="2"/>
  <c r="J194" i="5"/>
  <c r="M48" i="5"/>
  <c r="F197" i="5"/>
  <c r="CF16" i="2"/>
  <c r="D91" i="5"/>
  <c r="BX295" i="2"/>
  <c r="BV370" i="2"/>
  <c r="J280" i="5"/>
  <c r="F228" i="5"/>
  <c r="CC410" i="2"/>
  <c r="F19" i="5"/>
  <c r="BZ293" i="2"/>
  <c r="CI172" i="2"/>
  <c r="CF173" i="2"/>
  <c r="CA269" i="2"/>
  <c r="BZ37" i="2"/>
  <c r="BJ361" i="2"/>
  <c r="CF278" i="2"/>
  <c r="CC59" i="2"/>
  <c r="CC206" i="2"/>
  <c r="BZ20" i="2"/>
  <c r="CA89" i="2"/>
  <c r="BY205" i="2"/>
  <c r="BZ411" i="2"/>
  <c r="BY382" i="2"/>
  <c r="BW383" i="2"/>
  <c r="BU419" i="2"/>
  <c r="B69" i="5"/>
  <c r="BZ60" i="2"/>
  <c r="BW179" i="2"/>
  <c r="BW335" i="2"/>
  <c r="BW279" i="2"/>
  <c r="BU251" i="2"/>
  <c r="O259" i="5"/>
  <c r="BZ106" i="2"/>
  <c r="BX49" i="2"/>
  <c r="BV239" i="2"/>
  <c r="BU361" i="2"/>
  <c r="D161" i="5"/>
  <c r="BU446" i="2"/>
  <c r="BU51" i="2"/>
  <c r="BY314" i="2"/>
  <c r="BV435" i="2"/>
  <c r="BW300" i="2"/>
  <c r="BV145" i="2"/>
  <c r="O199" i="5"/>
  <c r="BY290" i="2"/>
  <c r="BY335" i="2"/>
  <c r="BW394" i="2"/>
  <c r="BU67" i="2"/>
  <c r="BW47" i="2"/>
  <c r="BY25" i="2"/>
  <c r="BW396" i="2"/>
  <c r="BV67" i="2"/>
  <c r="BZ343" i="2"/>
  <c r="BW80" i="2"/>
  <c r="BW284" i="2"/>
  <c r="BV75" i="2"/>
  <c r="BU110" i="2"/>
  <c r="BZ238" i="2"/>
  <c r="BW230" i="2"/>
  <c r="M66" i="5"/>
  <c r="CF398" i="2"/>
  <c r="CB353" i="2"/>
  <c r="CD364" i="2"/>
  <c r="BX228" i="2"/>
  <c r="CE456" i="2"/>
  <c r="CE142" i="2"/>
  <c r="CC78" i="2"/>
  <c r="CA154" i="2"/>
  <c r="BH445" i="2"/>
  <c r="CD81" i="2"/>
  <c r="CD399" i="2"/>
  <c r="CB315" i="2"/>
  <c r="BV419" i="2"/>
  <c r="BY325" i="2"/>
  <c r="BZ166" i="2"/>
  <c r="BW42" i="2"/>
  <c r="BX351" i="2"/>
  <c r="BV56" i="2"/>
  <c r="BU256" i="2"/>
  <c r="P54" i="5"/>
  <c r="BY300" i="2"/>
  <c r="BW183" i="2"/>
  <c r="BX105" i="2"/>
  <c r="BW390" i="2"/>
  <c r="J81" i="5"/>
  <c r="BY142" i="2"/>
  <c r="BX71" i="2"/>
  <c r="BW460" i="2"/>
  <c r="BW409" i="2"/>
  <c r="BU239" i="2"/>
  <c r="F21" i="5"/>
  <c r="D32" i="5"/>
  <c r="CB388" i="2"/>
  <c r="BY439" i="2"/>
  <c r="BY294" i="2"/>
  <c r="BU325" i="2"/>
  <c r="E142" i="5"/>
  <c r="BY131" i="2"/>
  <c r="BY258" i="2"/>
  <c r="BW13" i="2"/>
  <c r="BU431" i="2"/>
  <c r="BZ419" i="2"/>
  <c r="BY228" i="2"/>
  <c r="BX462" i="2"/>
  <c r="BU42" i="2"/>
  <c r="J368" i="5"/>
  <c r="BY429" i="2"/>
  <c r="BY24" i="2"/>
  <c r="BV217" i="2"/>
  <c r="BU207" i="2"/>
  <c r="E54" i="5"/>
  <c r="BZ258" i="2"/>
  <c r="BX127" i="2"/>
  <c r="CA410" i="2"/>
  <c r="CC362" i="2"/>
  <c r="BZ175" i="2"/>
  <c r="CF439" i="2"/>
  <c r="CE428" i="2"/>
  <c r="CB391" i="2"/>
  <c r="CB191" i="2"/>
  <c r="BI392" i="2"/>
  <c r="CE274" i="2"/>
  <c r="CD128" i="2"/>
  <c r="CC197" i="2"/>
  <c r="CA150" i="2"/>
  <c r="BX336" i="2"/>
  <c r="BW411" i="2"/>
  <c r="BZ465" i="2"/>
  <c r="BX23" i="2"/>
  <c r="BU389" i="2"/>
  <c r="BU352" i="2"/>
  <c r="M155" i="5"/>
  <c r="BZ340" i="2"/>
  <c r="BX422" i="2"/>
  <c r="BU119" i="2"/>
  <c r="BV390" i="2"/>
  <c r="BU201" i="2"/>
  <c r="D179" i="5"/>
  <c r="BV295" i="2"/>
  <c r="BW426" i="2"/>
  <c r="BU319" i="2"/>
  <c r="BU415" i="2"/>
  <c r="O250" i="5"/>
  <c r="BU302" i="2"/>
  <c r="BV415" i="2"/>
  <c r="BY14" i="2"/>
  <c r="BX319" i="2"/>
  <c r="BW240" i="2"/>
  <c r="BU454" i="2"/>
  <c r="CB254" i="2"/>
  <c r="BY342" i="2"/>
  <c r="BX405" i="2"/>
  <c r="BU32" i="2"/>
  <c r="CC382" i="2"/>
  <c r="BY200" i="2"/>
  <c r="BY199" i="2"/>
  <c r="BV223" i="2"/>
  <c r="BU318" i="2"/>
  <c r="BY82" i="2"/>
  <c r="BY207" i="2"/>
  <c r="BW266" i="2"/>
  <c r="BV352" i="2"/>
  <c r="J57" i="5"/>
  <c r="BY61" i="2"/>
  <c r="BX123" i="2"/>
  <c r="BV194" i="2"/>
  <c r="BZ329" i="2"/>
  <c r="CE39" i="2"/>
  <c r="BZ210" i="2"/>
  <c r="CF108" i="2"/>
  <c r="CE451" i="2"/>
  <c r="CA404" i="2"/>
  <c r="CA165" i="2"/>
  <c r="BJ330" i="2"/>
  <c r="CE145" i="2"/>
  <c r="CD54" i="2"/>
  <c r="CC291" i="2"/>
  <c r="BZ228" i="2"/>
  <c r="BX211" i="2"/>
  <c r="BZ415" i="2"/>
  <c r="BZ319" i="2"/>
  <c r="BW157" i="2"/>
  <c r="BU185" i="2"/>
  <c r="BU159" i="2"/>
  <c r="BV399" i="2"/>
  <c r="BZ380" i="2"/>
  <c r="BW268" i="2"/>
  <c r="BX246" i="2"/>
  <c r="BV414" i="2"/>
  <c r="BU40" i="2"/>
  <c r="P194" i="5"/>
  <c r="BZ216" i="2"/>
  <c r="BW375" i="2"/>
  <c r="BW194" i="2"/>
  <c r="BU6" i="2"/>
  <c r="D72" i="5"/>
  <c r="N180" i="5"/>
  <c r="BV183" i="2"/>
  <c r="BX146" i="2"/>
  <c r="BX29" i="2"/>
  <c r="BW215" i="2"/>
  <c r="BU123" i="2"/>
  <c r="CA82" i="2"/>
  <c r="BX263" i="2"/>
  <c r="BX124" i="2"/>
  <c r="BX223" i="2"/>
  <c r="CB274" i="2"/>
  <c r="BY311" i="2"/>
  <c r="BY166" i="2"/>
  <c r="BU188" i="2"/>
  <c r="BV133" i="2"/>
  <c r="BY16" i="2"/>
  <c r="BY174" i="2"/>
  <c r="BW233" i="2"/>
  <c r="BV271" i="2"/>
  <c r="E123" i="5"/>
  <c r="BX156" i="2"/>
  <c r="BX274" i="2"/>
  <c r="BV112" i="2"/>
  <c r="BU342" i="2"/>
  <c r="BU243" i="2"/>
  <c r="N315" i="5"/>
  <c r="E215" i="5"/>
  <c r="F151" i="5"/>
  <c r="CF79" i="2"/>
  <c r="BZ247" i="2"/>
  <c r="BX233" i="2"/>
  <c r="BU306" i="2"/>
  <c r="D195" i="5"/>
  <c r="J147" i="5"/>
  <c r="BU249" i="2"/>
  <c r="CF408" i="2"/>
  <c r="BV39" i="2"/>
  <c r="BV290" i="2"/>
  <c r="BU245" i="2"/>
  <c r="BV428" i="2"/>
  <c r="D97" i="5"/>
  <c r="BU213" i="2"/>
  <c r="CF252" i="2"/>
  <c r="BU41" i="2"/>
  <c r="C87" i="5"/>
  <c r="CC85" i="2"/>
  <c r="BU407" i="2"/>
  <c r="F47" i="5"/>
  <c r="E201" i="5"/>
  <c r="BU385" i="2"/>
  <c r="D160" i="5"/>
  <c r="CB36" i="2"/>
  <c r="BW111" i="2"/>
  <c r="N30" i="5"/>
  <c r="BV329" i="2"/>
  <c r="F266" i="5"/>
  <c r="O175" i="5"/>
  <c r="I311" i="5"/>
  <c r="CF435" i="2"/>
  <c r="AE253" i="2"/>
  <c r="CF385" i="2"/>
  <c r="CE244" i="2"/>
  <c r="CC151" i="2"/>
  <c r="CF196" i="2"/>
  <c r="CF202" i="2"/>
  <c r="CF360" i="2"/>
  <c r="J122" i="5"/>
  <c r="G135" i="5"/>
  <c r="L287" i="5"/>
  <c r="CE45" i="2"/>
  <c r="CE190" i="2"/>
  <c r="CF357" i="2"/>
  <c r="BW121" i="2"/>
  <c r="J125" i="5"/>
  <c r="BW12" i="2"/>
  <c r="BX202" i="2"/>
  <c r="BY424" i="2"/>
  <c r="BV13" i="2"/>
  <c r="BZ118" i="2"/>
  <c r="BW232" i="2"/>
  <c r="I177" i="5"/>
  <c r="BX165" i="2"/>
  <c r="CF420" i="2"/>
  <c r="P284" i="5"/>
  <c r="CC93" i="2"/>
  <c r="BQ259" i="2"/>
  <c r="CE78" i="2"/>
  <c r="CB397" i="2"/>
  <c r="BV202" i="2"/>
  <c r="BX104" i="2"/>
  <c r="BW14" i="2"/>
  <c r="BZ306" i="2"/>
  <c r="BX198" i="2"/>
  <c r="BW238" i="2"/>
  <c r="BZ190" i="2"/>
  <c r="BX250" i="2"/>
  <c r="BV193" i="2"/>
  <c r="I187" i="5"/>
  <c r="BU115" i="2"/>
  <c r="N129" i="5"/>
  <c r="BZ316" i="2"/>
  <c r="BX10" i="2"/>
  <c r="BV233" i="2"/>
  <c r="BU274" i="2"/>
  <c r="BV463" i="2"/>
  <c r="BW195" i="2"/>
  <c r="BX33" i="2"/>
  <c r="BV97" i="2"/>
  <c r="O141" i="5"/>
  <c r="BV289" i="2"/>
  <c r="BX459" i="2"/>
  <c r="BV173" i="2"/>
  <c r="BU164" i="2"/>
  <c r="BU290" i="2"/>
  <c r="BX451" i="2"/>
  <c r="BV53" i="2"/>
  <c r="BU172" i="2"/>
  <c r="J31" i="5"/>
  <c r="BX155" i="2"/>
  <c r="BV263" i="2"/>
  <c r="BX66" i="2"/>
  <c r="CD127" i="2"/>
  <c r="BG302" i="2"/>
  <c r="CA340" i="2"/>
  <c r="BJ202" i="2"/>
  <c r="CC306" i="2"/>
  <c r="CB201" i="2"/>
  <c r="CA359" i="2"/>
  <c r="BJ308" i="2"/>
  <c r="CF183" i="2"/>
  <c r="CC437" i="2"/>
  <c r="CC32" i="2"/>
  <c r="CA390" i="2"/>
  <c r="CA10" i="2"/>
  <c r="BZ102" i="2"/>
  <c r="CA46" i="2"/>
  <c r="BY415" i="2"/>
  <c r="BW65" i="2"/>
  <c r="BU116" i="2"/>
  <c r="H166" i="5"/>
  <c r="CA216" i="2"/>
  <c r="BW349" i="2"/>
  <c r="BW410" i="2"/>
  <c r="BW304" i="2"/>
  <c r="BU29" i="2"/>
  <c r="H131" i="5"/>
  <c r="BZ92" i="2"/>
  <c r="BX90" i="2"/>
  <c r="BV361" i="2"/>
  <c r="BU338" i="2"/>
  <c r="N259" i="5"/>
  <c r="BU56" i="2"/>
  <c r="BV464" i="2"/>
  <c r="BZ6" i="2"/>
  <c r="BV437" i="2"/>
  <c r="BW308" i="2"/>
  <c r="BV186" i="2"/>
  <c r="C84" i="5"/>
  <c r="BY244" i="2"/>
  <c r="BY224" i="2"/>
  <c r="BW395" i="2"/>
  <c r="BU228" i="2"/>
  <c r="BX276" i="2"/>
  <c r="BY459" i="2"/>
  <c r="BW384" i="2"/>
  <c r="BV148" i="2"/>
  <c r="BZ409" i="2"/>
  <c r="BW115" i="2"/>
  <c r="BW445" i="2"/>
  <c r="BV156" i="2"/>
  <c r="BU63" i="2"/>
  <c r="BZ405" i="2"/>
  <c r="BX227" i="2"/>
  <c r="BX369" i="2"/>
  <c r="BW132" i="2"/>
  <c r="BV272" i="2"/>
  <c r="F217" i="5"/>
  <c r="O178" i="5"/>
  <c r="BV264" i="2"/>
  <c r="CF82" i="2"/>
  <c r="BZ225" i="2"/>
  <c r="BX327" i="2"/>
  <c r="BU312" i="2"/>
  <c r="BU101" i="2"/>
  <c r="F302" i="5"/>
  <c r="CC42" i="2"/>
  <c r="CF452" i="2"/>
  <c r="BZ265" i="2"/>
  <c r="C153" i="5"/>
  <c r="CE130" i="2"/>
  <c r="CC281" i="2"/>
  <c r="CB24" i="2"/>
  <c r="J23" i="5"/>
  <c r="CD50" i="2"/>
  <c r="CD450" i="2"/>
  <c r="CC465" i="2"/>
  <c r="CB395" i="2"/>
  <c r="BZ390" i="2"/>
  <c r="BZ195" i="2"/>
  <c r="BZ281" i="2"/>
  <c r="BW298" i="2"/>
  <c r="BW317" i="2"/>
  <c r="BV28" i="2"/>
  <c r="F208" i="5"/>
  <c r="BY208" i="2"/>
  <c r="BY109" i="2"/>
  <c r="BW44" i="2"/>
  <c r="BU360" i="2"/>
  <c r="BV252" i="2"/>
  <c r="L49" i="5"/>
  <c r="BZ350" i="2"/>
  <c r="BY352" i="2"/>
  <c r="BW20" i="2"/>
  <c r="BV178" i="2"/>
  <c r="E108" i="5"/>
  <c r="BU438" i="2"/>
  <c r="P42" i="5"/>
  <c r="BZ209" i="2"/>
  <c r="BX278" i="2"/>
  <c r="BU428" i="2"/>
  <c r="BU439" i="2"/>
  <c r="BU174" i="2"/>
  <c r="BV108" i="2"/>
  <c r="BW244" i="2"/>
  <c r="BU35" i="2"/>
  <c r="F368" i="5"/>
  <c r="BW43" i="2"/>
  <c r="BX208" i="2"/>
  <c r="BV440" i="2"/>
  <c r="BU74" i="2"/>
  <c r="BZ355" i="2"/>
  <c r="BX393" i="2"/>
  <c r="BV320" i="2"/>
  <c r="BU82" i="2"/>
  <c r="C66" i="5"/>
  <c r="BZ407" i="2"/>
  <c r="BV192" i="2"/>
  <c r="L166" i="5"/>
  <c r="CF427" i="2"/>
  <c r="BZ205" i="2"/>
  <c r="CC219" i="2"/>
  <c r="BG415" i="2"/>
  <c r="CF161" i="2"/>
  <c r="CE423" i="2"/>
  <c r="CB81" i="2"/>
  <c r="BJ185" i="2"/>
  <c r="H35" i="5"/>
  <c r="CE433" i="2"/>
  <c r="CB372" i="2"/>
  <c r="CA442" i="2"/>
  <c r="CA342" i="2"/>
  <c r="BZ204" i="2"/>
  <c r="BX102" i="2"/>
  <c r="BY385" i="2"/>
  <c r="BY408" i="2"/>
  <c r="BV83" i="2"/>
  <c r="BU93" i="2"/>
  <c r="BV305" i="2"/>
  <c r="BX355" i="2"/>
  <c r="BX157" i="2"/>
  <c r="BW359" i="2"/>
  <c r="BU336" i="2"/>
  <c r="D220" i="5"/>
  <c r="BZ425" i="2"/>
  <c r="BY356" i="2"/>
  <c r="BX134" i="2"/>
  <c r="BU313" i="2"/>
  <c r="BW174" i="2"/>
  <c r="O49" i="5"/>
  <c r="E30" i="5"/>
  <c r="CA463" i="2"/>
  <c r="BW93" i="2"/>
  <c r="BW50" i="2"/>
  <c r="BW160" i="2"/>
  <c r="O95" i="5"/>
  <c r="BY262" i="2"/>
  <c r="BX171" i="2"/>
  <c r="BV25" i="2"/>
  <c r="BU320" i="2"/>
  <c r="BZ14" i="2"/>
  <c r="BX237" i="2"/>
  <c r="BV101" i="2"/>
  <c r="BU241" i="2"/>
  <c r="BY149" i="2"/>
  <c r="BX136" i="2"/>
  <c r="BW448" i="2"/>
  <c r="BW186" i="2"/>
  <c r="BV150" i="2"/>
  <c r="F318" i="5"/>
  <c r="BY316" i="2"/>
  <c r="BY32" i="2"/>
  <c r="CA338" i="2"/>
  <c r="CD176" i="2"/>
  <c r="BZ358" i="2"/>
  <c r="CF233" i="2"/>
  <c r="CD439" i="2"/>
  <c r="CA356" i="2"/>
  <c r="CB420" i="2"/>
  <c r="BI170" i="2"/>
  <c r="CC217" i="2"/>
  <c r="CB209" i="2"/>
  <c r="CA207" i="2"/>
  <c r="CA101" i="2"/>
  <c r="BZ443" i="2"/>
  <c r="BY396" i="2"/>
  <c r="BY163" i="2"/>
  <c r="BY285" i="2"/>
  <c r="BW139" i="2"/>
  <c r="BV224" i="2"/>
  <c r="BU191" i="2"/>
  <c r="BW306" i="2"/>
  <c r="BX37" i="2"/>
  <c r="BW102" i="2"/>
  <c r="BU117" i="2"/>
  <c r="J233" i="5"/>
  <c r="CB244" i="2"/>
  <c r="BY284" i="2"/>
  <c r="BY358" i="2"/>
  <c r="BU399" i="2"/>
  <c r="BV325" i="2"/>
  <c r="B316" i="5"/>
  <c r="N204" i="5"/>
  <c r="E77" i="5"/>
  <c r="BZ112" i="2"/>
  <c r="BW175" i="2"/>
  <c r="BW130" i="2"/>
  <c r="BU48" i="2"/>
  <c r="BZ10" i="2"/>
  <c r="BW178" i="2"/>
  <c r="BW54" i="2"/>
  <c r="BW408" i="2"/>
  <c r="BX283" i="2"/>
  <c r="BX342" i="2"/>
  <c r="BW348" i="2"/>
  <c r="BW217" i="2"/>
  <c r="BU149" i="2"/>
  <c r="BV298" i="2"/>
  <c r="BW412" i="2"/>
  <c r="BU106" i="2"/>
  <c r="BU215" i="2"/>
  <c r="O187" i="5"/>
  <c r="BY433" i="2"/>
  <c r="BU460" i="2"/>
  <c r="BW210" i="2"/>
  <c r="BY158" i="2"/>
  <c r="CF54" i="2"/>
  <c r="BZ361" i="2"/>
  <c r="CF359" i="2"/>
  <c r="CC187" i="2"/>
  <c r="BY274" i="2"/>
  <c r="CB35" i="2"/>
  <c r="BI87" i="2"/>
  <c r="CE330" i="2"/>
  <c r="CA317" i="2"/>
  <c r="CA329" i="2"/>
  <c r="CA275" i="2"/>
  <c r="BZ220" i="2"/>
  <c r="BY202" i="2"/>
  <c r="BY393" i="2"/>
  <c r="BY79" i="2"/>
  <c r="BW138" i="2"/>
  <c r="BV143" i="2"/>
  <c r="C178" i="5"/>
  <c r="BZ430" i="2"/>
  <c r="BX51" i="2"/>
  <c r="BV180" i="2"/>
  <c r="BU459" i="2"/>
  <c r="I193" i="5"/>
  <c r="CB448" i="2"/>
  <c r="BY405" i="2"/>
  <c r="BX303" i="2"/>
  <c r="BU377" i="2"/>
  <c r="BV324" i="2"/>
  <c r="O119" i="5"/>
  <c r="H227" i="5"/>
  <c r="D290" i="5"/>
  <c r="BZ55" i="2"/>
  <c r="BV42" i="2"/>
  <c r="BW97" i="2"/>
  <c r="BW135" i="2"/>
  <c r="BY324" i="2"/>
  <c r="BW63" i="2"/>
  <c r="BV248" i="2"/>
  <c r="BV141" i="2"/>
  <c r="BZ208" i="2"/>
  <c r="BW188" i="2"/>
  <c r="BW201" i="2"/>
  <c r="BW32" i="2"/>
  <c r="J43" i="5"/>
  <c r="BU443" i="2"/>
  <c r="BW209" i="2"/>
  <c r="BW450" i="2"/>
  <c r="BU262" i="2"/>
  <c r="B225" i="5"/>
  <c r="BY255" i="2"/>
  <c r="BY23" i="2"/>
  <c r="BW177" i="2"/>
  <c r="BV279" i="2"/>
  <c r="C90" i="5"/>
  <c r="BU126" i="2"/>
  <c r="O182" i="5"/>
  <c r="P99" i="5"/>
  <c r="AI275" i="2"/>
  <c r="BW145" i="2"/>
  <c r="BW353" i="2"/>
  <c r="N38" i="5"/>
  <c r="C93" i="5"/>
  <c r="BV356" i="2"/>
  <c r="BU280" i="2"/>
  <c r="CF323" i="2"/>
  <c r="BV398" i="2"/>
  <c r="BV319" i="2"/>
  <c r="BV354" i="2"/>
  <c r="BW293" i="2"/>
  <c r="F63" i="5"/>
  <c r="BW7" i="2"/>
  <c r="CF268" i="2"/>
  <c r="BU344" i="2"/>
  <c r="H92" i="5"/>
  <c r="CF208" i="2"/>
  <c r="BU157" i="2"/>
  <c r="CF262" i="2"/>
  <c r="CF68" i="2"/>
  <c r="BU231" i="2"/>
  <c r="CF115" i="2"/>
  <c r="CF166" i="2"/>
  <c r="BU28" i="2"/>
  <c r="BW78" i="2"/>
  <c r="BV106" i="2"/>
  <c r="L8" i="5"/>
  <c r="N137" i="5"/>
  <c r="AF356" i="2"/>
  <c r="BU143" i="2"/>
  <c r="N76" i="5"/>
  <c r="CF345" i="2"/>
  <c r="H275" i="5"/>
  <c r="D44" i="5"/>
  <c r="L21" i="5"/>
  <c r="B116" i="5"/>
  <c r="B82" i="5"/>
  <c r="E240" i="5"/>
  <c r="CF358" i="2"/>
  <c r="CF255" i="2"/>
  <c r="CE187" i="2"/>
  <c r="CE268" i="2"/>
  <c r="CE373" i="2"/>
  <c r="AE108" i="2"/>
  <c r="J352" i="5"/>
  <c r="B45" i="5"/>
  <c r="CE254" i="2"/>
  <c r="BY239" i="2"/>
  <c r="M109" i="5"/>
  <c r="BX108" i="2"/>
  <c r="BW365" i="2"/>
  <c r="BX97" i="2"/>
  <c r="BU445" i="2"/>
  <c r="BX389" i="2"/>
  <c r="BX350" i="2"/>
  <c r="F281" i="5"/>
  <c r="BV291" i="2"/>
  <c r="CF335" i="2"/>
  <c r="CF92" i="2"/>
  <c r="CC58" i="2"/>
  <c r="BJ75" i="2"/>
  <c r="CE198" i="2"/>
  <c r="CA364" i="2"/>
  <c r="BY177" i="2"/>
  <c r="BX101" i="2"/>
  <c r="BU181" i="2"/>
  <c r="BY403" i="2"/>
  <c r="BV100" i="2"/>
  <c r="BU405" i="2"/>
  <c r="BX67" i="2"/>
  <c r="BX154" i="2"/>
  <c r="BU380" i="2"/>
  <c r="M68" i="5"/>
  <c r="BU277" i="2"/>
  <c r="N126" i="5"/>
  <c r="BW299" i="2"/>
  <c r="BY153" i="2"/>
  <c r="BW117" i="2"/>
  <c r="BV114" i="2"/>
  <c r="L368" i="5"/>
  <c r="BY221" i="2"/>
  <c r="BY17" i="2"/>
  <c r="BV164" i="2"/>
  <c r="F316" i="5"/>
  <c r="BY29" i="2"/>
  <c r="BY298" i="2"/>
  <c r="BW287" i="2"/>
  <c r="BU436" i="2"/>
  <c r="BX381" i="2"/>
  <c r="BV158" i="2"/>
  <c r="BX430" i="2"/>
  <c r="BV85" i="2"/>
  <c r="M120" i="5"/>
  <c r="CA422" i="2"/>
  <c r="BY371" i="2"/>
  <c r="BW129" i="2"/>
  <c r="CD294" i="2"/>
  <c r="CE341" i="2"/>
  <c r="CA378" i="2"/>
  <c r="H128" i="5"/>
  <c r="CE436" i="2"/>
  <c r="CC131" i="2"/>
  <c r="CB249" i="2"/>
  <c r="AU92" i="2"/>
  <c r="CD157" i="2"/>
  <c r="CD172" i="2"/>
  <c r="CC394" i="2"/>
  <c r="CB204" i="2"/>
  <c r="CA206" i="2"/>
  <c r="BZ188" i="2"/>
  <c r="BZ50" i="2"/>
  <c r="BW45" i="2"/>
  <c r="BX310" i="2"/>
  <c r="BV29" i="2"/>
  <c r="L121" i="5"/>
  <c r="BY204" i="2"/>
  <c r="BY450" i="2"/>
  <c r="BW205" i="2"/>
  <c r="BU152" i="2"/>
  <c r="BV253" i="2"/>
  <c r="F234" i="5"/>
  <c r="BW324" i="2"/>
  <c r="BY217" i="2"/>
  <c r="BW181" i="2"/>
  <c r="BV259" i="2"/>
  <c r="D118" i="5"/>
  <c r="BU209" i="2"/>
  <c r="J245" i="5"/>
  <c r="BZ42" i="2"/>
  <c r="BX240" i="2"/>
  <c r="BV111" i="2"/>
  <c r="BU297" i="2"/>
  <c r="BV78" i="2"/>
  <c r="BW152" i="2"/>
  <c r="BX398" i="2"/>
  <c r="BV422" i="2"/>
  <c r="P198" i="5"/>
  <c r="BW237" i="2"/>
  <c r="BX444" i="2"/>
  <c r="BV91" i="2"/>
  <c r="BU440" i="2"/>
  <c r="BZ173" i="2"/>
  <c r="BX402" i="2"/>
  <c r="BV402" i="2"/>
  <c r="BU11" i="2"/>
  <c r="I82" i="5"/>
  <c r="CA144" i="2"/>
  <c r="BZ176" i="2"/>
  <c r="BX193" i="2"/>
  <c r="BV24" i="2"/>
  <c r="BU135" i="2"/>
  <c r="C127" i="5"/>
  <c r="F362" i="5"/>
  <c r="O54" i="5"/>
  <c r="CF449" i="2"/>
  <c r="BZ171" i="2"/>
  <c r="BW220" i="2"/>
  <c r="BU182" i="2"/>
  <c r="BU462" i="2"/>
  <c r="C110" i="5"/>
  <c r="CB443" i="2"/>
  <c r="CE400" i="2"/>
  <c r="CA257" i="2"/>
  <c r="CE204" i="2"/>
  <c r="CB229" i="2"/>
  <c r="CC310" i="2"/>
  <c r="CB369" i="2"/>
  <c r="BJ342" i="2"/>
  <c r="CE349" i="2"/>
  <c r="CD396" i="2"/>
  <c r="CD87" i="2"/>
  <c r="CA42" i="2"/>
  <c r="BY259" i="2"/>
  <c r="BX245" i="2"/>
  <c r="BZ324" i="2"/>
  <c r="BX266" i="2"/>
  <c r="BV146" i="2"/>
  <c r="BU235" i="2"/>
  <c r="C209" i="5"/>
  <c r="BX426" i="2"/>
  <c r="BX98" i="2"/>
  <c r="BV287" i="2"/>
  <c r="BU214" i="2"/>
  <c r="BU107" i="2"/>
  <c r="N150" i="5"/>
  <c r="BW185" i="2"/>
  <c r="BX7" i="2"/>
  <c r="BV231" i="2"/>
  <c r="BU289" i="2"/>
  <c r="O55" i="5"/>
  <c r="BU50" i="2"/>
  <c r="P230" i="5"/>
  <c r="BY19" i="2"/>
  <c r="BY399" i="2"/>
  <c r="BW458" i="2"/>
  <c r="BU292" i="2"/>
  <c r="CC15" i="2"/>
  <c r="BY264" i="2"/>
  <c r="BY263" i="2"/>
  <c r="BV351" i="2"/>
  <c r="E49" i="5"/>
  <c r="BY412" i="2"/>
  <c r="BY189" i="2"/>
  <c r="BV36" i="2"/>
  <c r="BU89" i="2"/>
  <c r="BV364" i="2"/>
  <c r="BY229" i="2"/>
  <c r="BW276" i="2"/>
  <c r="BV442" i="2"/>
  <c r="D73" i="5"/>
  <c r="BV297" i="2"/>
  <c r="BV184" i="2"/>
  <c r="BU387" i="2"/>
  <c r="CD86" i="2"/>
  <c r="AU149" i="2"/>
  <c r="CA444" i="2"/>
  <c r="BI359" i="2"/>
  <c r="CD149" i="2"/>
  <c r="CC135" i="2"/>
  <c r="BZ79" i="2"/>
  <c r="BJ428" i="2"/>
  <c r="CF66" i="2"/>
  <c r="CD195" i="2"/>
  <c r="CD375" i="2"/>
  <c r="CC47" i="2"/>
  <c r="CC425" i="2"/>
  <c r="BY447" i="2"/>
  <c r="BZ104" i="2"/>
  <c r="BX433" i="2"/>
  <c r="BX95" i="2"/>
  <c r="BW59" i="2"/>
  <c r="BU242" i="2"/>
  <c r="F308" i="5"/>
  <c r="BZ431" i="2"/>
  <c r="BV283" i="2"/>
  <c r="BW225" i="2"/>
  <c r="BU37" i="2"/>
  <c r="F326" i="5"/>
  <c r="BY418" i="2"/>
  <c r="BX148" i="2"/>
  <c r="BV403" i="2"/>
  <c r="BU272" i="2"/>
  <c r="BU341" i="2"/>
  <c r="M146" i="5"/>
  <c r="F73" i="5"/>
  <c r="BY245" i="2"/>
  <c r="BY322" i="2"/>
  <c r="BW77" i="2"/>
  <c r="BU24" i="2"/>
  <c r="H173" i="5"/>
  <c r="BY184" i="2"/>
  <c r="BY215" i="2"/>
  <c r="BW369" i="2"/>
  <c r="BV40" i="2"/>
  <c r="BY12" i="2"/>
  <c r="BV244" i="2"/>
  <c r="BW339" i="2"/>
  <c r="BV58" i="2"/>
  <c r="BZ250" i="2"/>
  <c r="BY164" i="2"/>
  <c r="BX390" i="2"/>
  <c r="BU321" i="2"/>
  <c r="BW430" i="2"/>
  <c r="C166" i="5"/>
  <c r="BW79" i="2"/>
  <c r="CE243" i="2"/>
  <c r="CA149" i="2"/>
  <c r="CD62" i="2"/>
  <c r="CI89" i="2"/>
  <c r="CD221" i="2"/>
  <c r="CD437" i="2"/>
  <c r="CB196" i="2"/>
  <c r="CA175" i="2"/>
  <c r="BI443" i="2"/>
  <c r="CD462" i="2"/>
  <c r="CC415" i="2"/>
  <c r="CB184" i="2"/>
  <c r="CB445" i="2"/>
  <c r="BX461" i="2"/>
  <c r="BY437" i="2"/>
  <c r="BW318" i="2"/>
  <c r="BW405" i="2"/>
  <c r="BU333" i="2"/>
  <c r="BU134" i="2"/>
  <c r="F159" i="5"/>
  <c r="BY407" i="2"/>
  <c r="BV74" i="2"/>
  <c r="BX119" i="2"/>
  <c r="BV405" i="2"/>
  <c r="M185" i="5"/>
  <c r="CA280" i="2"/>
  <c r="BW221" i="2"/>
  <c r="BW234" i="2"/>
  <c r="BW224" i="2"/>
  <c r="BU340" i="2"/>
  <c r="F144" i="5"/>
  <c r="D213" i="5"/>
  <c r="CB392" i="2"/>
  <c r="BY406" i="2"/>
  <c r="BX454" i="2"/>
  <c r="BU121" i="2"/>
  <c r="I164" i="5"/>
  <c r="BY94" i="2"/>
  <c r="BY425" i="2"/>
  <c r="BW355" i="2"/>
  <c r="BU350" i="2"/>
  <c r="BZ80" i="2"/>
  <c r="BY357" i="2"/>
  <c r="BW461" i="2"/>
  <c r="BU294" i="2"/>
  <c r="CC126" i="2"/>
  <c r="BY136" i="2"/>
  <c r="BY135" i="2"/>
  <c r="BV95" i="2"/>
  <c r="BU254" i="2"/>
  <c r="J290" i="5"/>
  <c r="BZ56" i="2"/>
  <c r="BW285" i="2"/>
  <c r="CD400" i="2"/>
  <c r="CA368" i="2"/>
  <c r="CE24" i="2"/>
  <c r="BJ163" i="2"/>
  <c r="CD20" i="2"/>
  <c r="CD236" i="2"/>
  <c r="CB86" i="2"/>
  <c r="BZ260" i="2"/>
  <c r="BJ220" i="2"/>
  <c r="CC26" i="2"/>
  <c r="CC37" i="2"/>
  <c r="CA172" i="2"/>
  <c r="CB252" i="2"/>
  <c r="BX290" i="2"/>
  <c r="BY261" i="2"/>
  <c r="BV41" i="2"/>
  <c r="BW235" i="2"/>
  <c r="BU129" i="2"/>
  <c r="BU411" i="2"/>
  <c r="F261" i="5"/>
  <c r="BX371" i="2"/>
  <c r="BU170" i="2"/>
  <c r="BX238" i="2"/>
  <c r="BV404" i="2"/>
  <c r="M257" i="5"/>
  <c r="BZ428" i="2"/>
  <c r="BW27" i="2"/>
  <c r="BW143" i="2"/>
  <c r="BW191" i="2"/>
  <c r="BU179" i="2"/>
  <c r="F224" i="5"/>
  <c r="O157" i="5"/>
  <c r="CA67" i="2"/>
  <c r="BX423" i="2"/>
  <c r="BX252" i="2"/>
  <c r="BX455" i="2"/>
  <c r="B259" i="5"/>
  <c r="BW439" i="2"/>
  <c r="BY428" i="2"/>
  <c r="BW354" i="2"/>
  <c r="BU351" i="2"/>
  <c r="BY138" i="2"/>
  <c r="BY194" i="2"/>
  <c r="BW316" i="2"/>
  <c r="BU255" i="2"/>
  <c r="CB284" i="2"/>
  <c r="BY247" i="2"/>
  <c r="BY102" i="2"/>
  <c r="BU323" i="2"/>
  <c r="BV69" i="2"/>
  <c r="C316" i="5"/>
  <c r="BY84" i="2"/>
  <c r="BW107" i="2"/>
  <c r="BX106" i="2"/>
  <c r="BU270" i="2"/>
  <c r="N79" i="5"/>
  <c r="BU118" i="2"/>
  <c r="D215" i="5"/>
  <c r="CF405" i="2"/>
  <c r="CD222" i="2"/>
  <c r="BY233" i="2"/>
  <c r="BW166" i="2"/>
  <c r="P183" i="5"/>
  <c r="H100" i="5"/>
  <c r="BW366" i="2"/>
  <c r="BV288" i="2"/>
  <c r="AF38" i="2"/>
  <c r="BV381" i="2"/>
  <c r="CF87" i="2"/>
  <c r="F94" i="5"/>
  <c r="BU180" i="2"/>
  <c r="E335" i="5"/>
  <c r="L203" i="5"/>
  <c r="CF158" i="2"/>
  <c r="BV86" i="2"/>
  <c r="I275" i="5"/>
  <c r="CE460" i="2"/>
  <c r="N95" i="5"/>
  <c r="CF73" i="2"/>
  <c r="CF18" i="2"/>
  <c r="BU21" i="2"/>
  <c r="CF38" i="2"/>
  <c r="CE316" i="2"/>
  <c r="BV235" i="2"/>
  <c r="BU465" i="2"/>
  <c r="BV93" i="2"/>
  <c r="BV306" i="2"/>
  <c r="C26" i="5"/>
  <c r="CF21" i="2"/>
  <c r="O129" i="5"/>
  <c r="BU382" i="2"/>
  <c r="BW202" i="2"/>
  <c r="G265" i="5"/>
  <c r="J93" i="5"/>
  <c r="M295" i="5"/>
  <c r="L298" i="5"/>
  <c r="B282" i="5"/>
  <c r="G12" i="5"/>
  <c r="P29" i="5"/>
  <c r="CD372" i="2"/>
  <c r="CE462" i="2"/>
  <c r="CF414" i="2"/>
  <c r="CF153" i="2"/>
  <c r="CF91" i="2"/>
  <c r="CF368" i="2"/>
  <c r="CF63" i="2"/>
  <c r="C230" i="5"/>
  <c r="CF213" i="2"/>
  <c r="BV21" i="2"/>
  <c r="CF371" i="2"/>
  <c r="L145" i="5"/>
  <c r="F127" i="5"/>
  <c r="BV360" i="2"/>
  <c r="E88" i="5"/>
  <c r="J89" i="5"/>
  <c r="I237" i="5"/>
  <c r="N319" i="5"/>
  <c r="CF117" i="2"/>
  <c r="CF410" i="2"/>
  <c r="CE395" i="2"/>
  <c r="CE272" i="2"/>
  <c r="AF104" i="2"/>
  <c r="CF137" i="2"/>
  <c r="CE412" i="2"/>
  <c r="CE62" i="2"/>
  <c r="F278" i="5"/>
  <c r="CF130" i="2"/>
  <c r="CE290" i="2"/>
  <c r="E275" i="5"/>
  <c r="E104" i="5"/>
  <c r="CF90" i="2"/>
  <c r="CF367" i="2"/>
  <c r="CF451" i="2"/>
  <c r="CE227" i="2"/>
  <c r="CE212" i="2"/>
  <c r="CF397" i="2"/>
  <c r="CC348" i="2"/>
  <c r="CF76" i="2"/>
  <c r="CF244" i="2"/>
  <c r="CB401" i="2"/>
  <c r="CF295" i="2"/>
  <c r="CE34" i="2"/>
  <c r="CC200" i="2"/>
  <c r="CF174" i="2"/>
  <c r="CF239" i="2"/>
  <c r="CE195" i="2"/>
  <c r="CF124" i="2"/>
  <c r="CD59" i="2"/>
  <c r="CF276" i="2"/>
  <c r="CF407" i="2"/>
  <c r="CF89" i="2"/>
  <c r="CF265" i="2"/>
  <c r="CF24" i="2"/>
  <c r="CF46" i="2"/>
  <c r="CF445" i="2"/>
  <c r="CE411" i="2"/>
  <c r="CF27" i="2"/>
  <c r="CD203" i="2"/>
  <c r="CF331" i="2"/>
  <c r="CE106" i="2"/>
  <c r="CF351" i="2"/>
  <c r="CF194" i="2"/>
  <c r="AF269" i="2"/>
  <c r="AF25" i="2"/>
  <c r="CC147" i="2"/>
  <c r="CF431" i="2"/>
  <c r="AG319" i="2"/>
  <c r="CF65" i="2"/>
  <c r="CF286" i="2"/>
  <c r="AG58" i="2"/>
  <c r="CD335" i="2"/>
  <c r="CE437" i="2"/>
  <c r="CF277" i="2"/>
  <c r="CE354" i="2"/>
  <c r="CF204" i="2"/>
  <c r="CF232" i="2"/>
  <c r="CD454" i="2"/>
  <c r="CF257" i="2"/>
  <c r="AG22" i="2"/>
  <c r="CF339" i="2"/>
  <c r="CE429" i="2"/>
  <c r="CE298" i="2"/>
  <c r="BH1" i="2" l="1"/>
  <c r="BI1" i="2"/>
  <c r="BG1" i="2"/>
  <c r="AS1" i="2"/>
  <c r="AU1" i="2"/>
  <c r="AR1" i="2"/>
  <c r="AP1" i="2"/>
  <c r="AT1" i="2"/>
  <c r="AM1" i="2"/>
  <c r="AO1" i="2"/>
  <c r="AN1" i="2"/>
  <c r="AQ1" i="2"/>
  <c r="AK1" i="2"/>
  <c r="AD1" i="2"/>
  <c r="AJ1" i="2"/>
  <c r="AE1" i="2"/>
  <c r="AH1" i="2"/>
  <c r="AG1" i="2"/>
  <c r="AL1" i="2"/>
  <c r="AF1" i="2"/>
  <c r="AI1" i="2"/>
  <c r="B360" i="2"/>
  <c r="B397" i="2"/>
  <c r="B112" i="2"/>
  <c r="B438" i="2"/>
  <c r="B50" i="2"/>
  <c r="B250" i="2"/>
  <c r="B22" i="2"/>
  <c r="B413" i="2"/>
  <c r="B107" i="2"/>
  <c r="B423" i="2"/>
  <c r="B311" i="2"/>
  <c r="B229" i="2"/>
  <c r="B85" i="2"/>
  <c r="B216" i="2"/>
  <c r="B70" i="2"/>
  <c r="B81" i="2"/>
  <c r="B217" i="2"/>
  <c r="B44" i="2"/>
  <c r="B207" i="2"/>
  <c r="B449" i="2"/>
  <c r="B316" i="2"/>
  <c r="B465" i="2"/>
  <c r="B124" i="2"/>
  <c r="B105" i="2"/>
  <c r="B335" i="2"/>
  <c r="B267" i="2"/>
  <c r="B455" i="2"/>
  <c r="B32" i="2"/>
  <c r="B376" i="2"/>
  <c r="B98" i="2"/>
  <c r="B442" i="2"/>
  <c r="B459" i="2"/>
  <c r="B443" i="2"/>
  <c r="B369" i="2"/>
  <c r="B296" i="2"/>
  <c r="B340" i="2"/>
  <c r="B384" i="2"/>
  <c r="B203" i="2"/>
  <c r="B142" i="2"/>
  <c r="B170" i="2"/>
  <c r="B76" i="2"/>
  <c r="B371" i="2"/>
  <c r="B242" i="2"/>
  <c r="B420" i="2"/>
  <c r="B269" i="2"/>
  <c r="B246" i="2"/>
  <c r="B284" i="2"/>
  <c r="B315" i="2"/>
  <c r="B259" i="2"/>
  <c r="B370" i="2"/>
  <c r="B20" i="2"/>
  <c r="B285" i="2"/>
  <c r="B349" i="2"/>
  <c r="B395" i="2"/>
  <c r="B337" i="2"/>
  <c r="B42" i="2"/>
  <c r="B35" i="2"/>
  <c r="B101" i="2"/>
  <c r="B271" i="2"/>
  <c r="B434" i="2"/>
  <c r="B410" i="2"/>
  <c r="B435" i="2"/>
  <c r="B364" i="2"/>
  <c r="B327" i="2"/>
  <c r="B69" i="2"/>
  <c r="B331" i="2"/>
  <c r="B287" i="2"/>
  <c r="B172" i="2"/>
  <c r="B165" i="2"/>
  <c r="B359" i="2"/>
  <c r="B280" i="2"/>
  <c r="B387" i="2"/>
  <c r="B113" i="2"/>
  <c r="B252" i="2"/>
  <c r="B157" i="2"/>
  <c r="B260" i="2"/>
  <c r="B356" i="2"/>
  <c r="B255" i="2"/>
  <c r="B227" i="2"/>
  <c r="B408" i="2"/>
  <c r="B343" i="2"/>
  <c r="B298" i="2"/>
  <c r="B456" i="2"/>
  <c r="B8" i="2"/>
  <c r="B441" i="2"/>
  <c r="B254" i="2"/>
  <c r="B9" i="2"/>
  <c r="B446" i="2"/>
  <c r="B209" i="2"/>
  <c r="B116" i="2"/>
  <c r="B100" i="2"/>
  <c r="B56" i="2"/>
  <c r="B144" i="2"/>
  <c r="B400" i="2"/>
  <c r="B153" i="2"/>
  <c r="B181" i="2"/>
  <c r="B274" i="2"/>
  <c r="B338" i="2"/>
  <c r="B385" i="2"/>
  <c r="B71" i="2"/>
  <c r="B168" i="2"/>
  <c r="B313" i="2"/>
  <c r="B320" i="2"/>
  <c r="B448" i="2"/>
  <c r="B348" i="2"/>
  <c r="B243" i="2"/>
  <c r="B33" i="2"/>
  <c r="B40" i="2"/>
  <c r="B61" i="2"/>
  <c r="B184" i="2"/>
  <c r="B194" i="2"/>
  <c r="B34" i="2"/>
  <c r="B192" i="2"/>
  <c r="B268" i="2"/>
  <c r="B415" i="2"/>
  <c r="B256" i="2"/>
  <c r="B136" i="2"/>
  <c r="B458" i="2"/>
  <c r="B358" i="2"/>
  <c r="B440" i="2"/>
  <c r="B128" i="2"/>
  <c r="B122" i="2"/>
  <c r="B127" i="2"/>
  <c r="B131" i="2"/>
  <c r="B106" i="2"/>
  <c r="B222" i="2"/>
  <c r="B419" i="2"/>
  <c r="B49" i="2"/>
  <c r="B301" i="2"/>
  <c r="B253" i="2"/>
  <c r="B251" i="2"/>
  <c r="B146" i="2"/>
  <c r="B37" i="2"/>
  <c r="B53" i="2"/>
  <c r="B239" i="2"/>
  <c r="B171" i="2"/>
  <c r="B275" i="2"/>
  <c r="B28" i="2"/>
  <c r="B23" i="2"/>
  <c r="B80" i="2"/>
  <c r="B270" i="2"/>
  <c r="B323" i="2"/>
  <c r="B201" i="2"/>
  <c r="B12" i="2"/>
  <c r="B58" i="2"/>
  <c r="B41" i="2"/>
  <c r="B190" i="2"/>
  <c r="B245" i="2"/>
  <c r="B392" i="2"/>
  <c r="B453" i="2"/>
  <c r="B68" i="2"/>
  <c r="B306" i="2"/>
  <c r="B460" i="2"/>
  <c r="B414" i="2"/>
  <c r="B47" i="2"/>
  <c r="B292" i="2"/>
  <c r="B394" i="2"/>
  <c r="B163" i="2"/>
  <c r="B230" i="2"/>
  <c r="B186" i="2"/>
  <c r="B74" i="2"/>
  <c r="B373" i="2"/>
  <c r="B77" i="2"/>
  <c r="B143" i="2"/>
  <c r="B62" i="2"/>
  <c r="B357" i="2"/>
  <c r="B197" i="2"/>
  <c r="B417" i="2"/>
  <c r="B7" i="2"/>
  <c r="B155" i="2"/>
  <c r="B162" i="2"/>
  <c r="B293" i="2"/>
  <c r="B174" i="2"/>
  <c r="B393" i="2"/>
  <c r="B104" i="2"/>
  <c r="B213" i="2"/>
  <c r="B211" i="2"/>
  <c r="B433" i="2"/>
  <c r="B83" i="2"/>
  <c r="B345" i="2"/>
  <c r="B31" i="2"/>
  <c r="B463" i="2"/>
  <c r="B189" i="2"/>
  <c r="B13" i="2"/>
  <c r="B161" i="2"/>
  <c r="B193" i="2"/>
  <c r="B424" i="2"/>
  <c r="B294" i="2"/>
  <c r="B238" i="2"/>
  <c r="B247" i="2"/>
  <c r="B461" i="2"/>
  <c r="B381" i="2"/>
  <c r="B279" i="2"/>
  <c r="B72" i="2"/>
  <c r="B75" i="2"/>
  <c r="B263" i="2"/>
  <c r="B342" i="2"/>
  <c r="B409" i="2"/>
  <c r="B234" i="2"/>
  <c r="B428" i="2"/>
  <c r="B236" i="2"/>
  <c r="B132" i="2"/>
  <c r="B226" i="2"/>
  <c r="B218" i="2"/>
  <c r="B276" i="2"/>
  <c r="B389" i="2"/>
  <c r="B233" i="2"/>
  <c r="B339" i="2"/>
  <c r="B451" i="2"/>
  <c r="B82" i="2"/>
  <c r="B374" i="2"/>
  <c r="B26" i="2"/>
  <c r="B307" i="2"/>
  <c r="B272" i="2"/>
  <c r="B289" i="2"/>
  <c r="B429" i="2"/>
  <c r="B55" i="2"/>
  <c r="B29" i="2"/>
  <c r="B452" i="2"/>
  <c r="B396" i="2"/>
  <c r="B324" i="2"/>
  <c r="B63" i="2"/>
  <c r="B14" i="2"/>
  <c r="B325" i="2"/>
  <c r="B223" i="2"/>
  <c r="B437" i="2"/>
  <c r="B297" i="2"/>
  <c r="B344" i="2"/>
  <c r="B291" i="2"/>
  <c r="B367" i="2"/>
  <c r="B421" i="2"/>
  <c r="B262" i="2"/>
  <c r="B86" i="2"/>
  <c r="B273" i="2"/>
  <c r="B94" i="2"/>
  <c r="B141" i="2"/>
  <c r="B109" i="2"/>
  <c r="B57" i="2"/>
  <c r="B96" i="2"/>
  <c r="B52" i="2"/>
  <c r="B214" i="2"/>
  <c r="B129" i="2"/>
  <c r="B45" i="2"/>
  <c r="B183" i="2"/>
  <c r="B27" i="2"/>
  <c r="B444" i="2"/>
  <c r="B198" i="2"/>
  <c r="B351" i="2"/>
  <c r="B248" i="2"/>
  <c r="B447" i="2"/>
  <c r="B159" i="2"/>
  <c r="B354" i="2"/>
  <c r="B173" i="2"/>
  <c r="B404" i="2"/>
  <c r="B224" i="2"/>
  <c r="B328" i="2"/>
  <c r="B232" i="2"/>
  <c r="B416" i="2"/>
  <c r="B318" i="2"/>
  <c r="B352" i="2"/>
  <c r="B115" i="2"/>
  <c r="B402" i="2"/>
  <c r="B16" i="2"/>
  <c r="B121" i="2"/>
  <c r="B391" i="2"/>
  <c r="B299" i="2"/>
  <c r="B204" i="2"/>
  <c r="B220" i="2"/>
  <c r="B231" i="2"/>
  <c r="B66" i="2"/>
  <c r="B295" i="2"/>
  <c r="B332" i="2"/>
  <c r="B212" i="2"/>
  <c r="B334" i="2"/>
  <c r="B303" i="2"/>
  <c r="B237" i="2"/>
  <c r="B118" i="2"/>
  <c r="B179" i="2"/>
  <c r="B178" i="2"/>
  <c r="B379" i="2"/>
  <c r="B422" i="2"/>
  <c r="B439" i="2"/>
  <c r="B78" i="2"/>
  <c r="B149" i="2"/>
  <c r="B15" i="2"/>
  <c r="B346" i="2"/>
  <c r="B288" i="2"/>
  <c r="B290" i="2"/>
  <c r="B188" i="2"/>
  <c r="B464" i="2"/>
  <c r="B431" i="2"/>
  <c r="B126" i="2"/>
  <c r="B205" i="2"/>
  <c r="B321" i="2"/>
  <c r="B92" i="2"/>
  <c r="B305" i="2"/>
  <c r="B24" i="2"/>
  <c r="B398" i="2"/>
  <c r="B418" i="2"/>
  <c r="B187" i="2"/>
  <c r="B206" i="2"/>
  <c r="B145" i="2"/>
  <c r="B368" i="2"/>
  <c r="B336" i="2"/>
  <c r="B388" i="2"/>
  <c r="B156" i="2"/>
  <c r="B38" i="2"/>
  <c r="B390" i="2"/>
  <c r="B138" i="2"/>
  <c r="B88" i="2"/>
  <c r="B405" i="2"/>
  <c r="B19" i="2"/>
  <c r="B196" i="2"/>
  <c r="B426" i="2"/>
  <c r="B278" i="2"/>
  <c r="B79" i="2"/>
  <c r="B341" i="2"/>
  <c r="B281" i="2"/>
  <c r="B427" i="2"/>
  <c r="B152" i="2"/>
  <c r="B329" i="2"/>
  <c r="B383" i="2"/>
  <c r="B265" i="2"/>
  <c r="B30" i="2"/>
  <c r="B114" i="2"/>
  <c r="B17" i="2"/>
  <c r="B177" i="2"/>
  <c r="B372" i="2"/>
  <c r="B399" i="2"/>
  <c r="B403" i="2"/>
  <c r="B347" i="2"/>
  <c r="B84" i="2"/>
  <c r="B103" i="2"/>
  <c r="B425" i="2"/>
  <c r="B185" i="2"/>
  <c r="B215" i="2"/>
  <c r="B169" i="2"/>
  <c r="B123" i="2"/>
  <c r="B462" i="2"/>
  <c r="B150" i="2"/>
  <c r="B310" i="2"/>
  <c r="B228" i="2"/>
  <c r="B140" i="2"/>
  <c r="B111" i="2"/>
  <c r="B182" i="2"/>
  <c r="B302" i="2"/>
  <c r="B406" i="2"/>
  <c r="B317" i="2"/>
  <c r="B54" i="2"/>
  <c r="B377" i="2"/>
  <c r="B60" i="2"/>
  <c r="B110" i="2"/>
  <c r="B355" i="2"/>
  <c r="B158" i="2"/>
  <c r="B46" i="2"/>
  <c r="B330" i="2"/>
  <c r="B51" i="2"/>
  <c r="B361" i="2"/>
  <c r="B386" i="2"/>
  <c r="B119" i="2"/>
  <c r="B235" i="2"/>
  <c r="B300" i="2"/>
  <c r="B221" i="2"/>
  <c r="B382" i="2"/>
  <c r="B195" i="2"/>
  <c r="B135" i="2"/>
  <c r="B333" i="2"/>
  <c r="B430" i="2"/>
  <c r="B90" i="2"/>
  <c r="B362" i="2"/>
  <c r="B59" i="2"/>
  <c r="B160" i="2"/>
  <c r="B137" i="2"/>
  <c r="B314" i="2"/>
  <c r="B366" i="2"/>
  <c r="B210" i="2"/>
  <c r="B154" i="2"/>
  <c r="B266" i="2"/>
  <c r="B91" i="2"/>
  <c r="B401" i="2"/>
  <c r="B363" i="2"/>
  <c r="B353" i="2"/>
  <c r="B286" i="2"/>
  <c r="B283" i="2"/>
  <c r="B257" i="2"/>
  <c r="B93" i="2"/>
  <c r="B326" i="2"/>
  <c r="B312" i="2"/>
  <c r="B445" i="2"/>
  <c r="B249" i="2"/>
  <c r="B139" i="2"/>
  <c r="B319" i="2"/>
  <c r="B304" i="2"/>
  <c r="B219" i="2"/>
  <c r="B240" i="2"/>
  <c r="B450" i="2"/>
  <c r="B412" i="2"/>
  <c r="B241" i="2"/>
  <c r="B95" i="2"/>
  <c r="B258" i="2"/>
  <c r="B133" i="2"/>
  <c r="B202" i="2"/>
  <c r="B407" i="2"/>
  <c r="B99" i="2"/>
  <c r="B225" i="2"/>
  <c r="B125" i="2"/>
  <c r="B208" i="2"/>
  <c r="B134" i="2"/>
  <c r="B43" i="2"/>
  <c r="B36" i="2"/>
  <c r="B244" i="2"/>
  <c r="B21" i="2"/>
  <c r="B175" i="2"/>
  <c r="B18" i="2"/>
  <c r="B120" i="2"/>
  <c r="B10" i="2"/>
  <c r="B130" i="2"/>
  <c r="B411" i="2"/>
  <c r="B148" i="2"/>
  <c r="B97" i="2"/>
  <c r="B457" i="2"/>
  <c r="B380" i="2"/>
  <c r="B199" i="2"/>
  <c r="B67" i="2"/>
  <c r="B25" i="2"/>
  <c r="B64" i="2"/>
  <c r="B264" i="2"/>
  <c r="B261" i="2"/>
  <c r="B166" i="2"/>
  <c r="B282" i="2"/>
  <c r="B277" i="2"/>
  <c r="B322" i="2"/>
  <c r="B176" i="2"/>
  <c r="B147" i="2"/>
  <c r="B164" i="2"/>
  <c r="B309" i="2"/>
  <c r="B308" i="2"/>
  <c r="B454" i="2"/>
  <c r="B350" i="2"/>
  <c r="B365" i="2"/>
  <c r="B378" i="2"/>
  <c r="B102" i="2"/>
  <c r="B180" i="2"/>
  <c r="B6" i="2"/>
  <c r="B11" i="2"/>
  <c r="B200" i="2"/>
  <c r="B65" i="2"/>
  <c r="B436" i="2"/>
  <c r="B87" i="2"/>
  <c r="B151" i="2"/>
  <c r="B432" i="2"/>
  <c r="B191" i="2"/>
  <c r="B89" i="2"/>
  <c r="B48" i="2"/>
  <c r="B73" i="2"/>
  <c r="B117" i="2"/>
  <c r="B375" i="2"/>
  <c r="B108" i="2"/>
  <c r="B167" i="2"/>
  <c r="B3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e2324605-5df0-4e1a-a31e-0edd63db7f20 Model" type="5" refreshedVersion="7" background="1" refreshOnLoad="1" saveData="1">
    <dbPr connection="Provider=MSOLAP.8;Integrated Security=ClaimsToken;Persist Security Info=True;Initial Catalog=sobe_wowvirtualserver-e2324605-5df0-4e1a-a31e-0edd63db7f20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10">
    <s v="pbiazure://api.powerbi.com 1f9c6029-648a-4433-91ca-ec7a4f6bfafd Model"/>
    <s v="[Measures].[SDI_00_07]"/>
    <s v="[Measures].[SDI_15+]"/>
    <s v="[Facilities].[DATIMID_USG].&amp;[SMQHXlvCu3E]"/>
    <s v="0"/>
    <s v="[Measures].[SDI_08_14]"/>
    <s v="[Facilities].[DATIMID_USG].&amp;[HFdnPaEfFVn]"/>
    <s v="[Facilities].[DATIMID_USG].&amp;[ElPj16KSNVJ]"/>
    <s v="[Facilities].[DATIMID_USG].&amp;[KDX3TYylacB]"/>
    <s v="[Facilities].[DATIMID_USG].&amp;[TCbZv0rA0KH]"/>
    <s v="[Facilities].[DATIMID_USG].&amp;[kKhP3RHvrjS]"/>
    <s v="[Facilities].[DATIMID_USG].&amp;[k5JdPt9uWMm]"/>
    <s v="[Facilities].[DATIMID_USG].&amp;[dXm9x7MJyQN]"/>
    <s v="[Facilities].[DATIMID_USG].&amp;[VuiYHy2vsKJ]"/>
    <s v="[Facilities].[DATIMID_USG].&amp;[Js4r1kNLEOW]"/>
    <s v="[Facilities].[DATIMID_USG].&amp;[NNN5tv8JzZ7]"/>
    <s v="[Facilities].[DATIMID_USG].&amp;[vc2vrM0eRa9]"/>
    <s v="[Facilities].[DATIMID_USG].&amp;[FjbY4bEV8FN]"/>
    <s v="[Facilities].[DATIMID_USG].&amp;[e3CnSFj0AJJ]"/>
    <s v="[Facilities].[DATIMID].&amp;[cO2BEfldruW]"/>
    <s v="[Facilities].[DATIMID_USG].&amp;[uLmEopM5eak]"/>
    <s v="[Facilities].[DATIMID_USG].&amp;[PMbjVVW8qTt]"/>
    <s v="[Facilities].[DATIMID_USG].&amp;[ogZZ5O3QhWj]"/>
    <s v="[Facilities].[DATIMID_USG].&amp;[t2MTbiuns7N]"/>
    <s v="[Facilities].[DATIMID_USG].&amp;[dphEnEyZusY]"/>
    <s v="[Facilities].[DATIMID_USG].&amp;[DewMRPsDa4i]"/>
    <s v="[Facilities].[DATIMID_USG].&amp;[bhPZMJIRI9k]"/>
    <s v="[Facilities].[DATIMID_USG].&amp;[Gpy7ai3okAi]"/>
    <s v="[Facilities].[DATIMID_USG].&amp;[srRT7qdx6aW]"/>
    <s v="[Facilities].[DATIMID_USG].&amp;[yuvleWr5Lr2]"/>
    <s v="[Facilities].[DATIMID_USG].&amp;[wbOGKMKaR6b]"/>
    <s v="[Facilities].[DATIMID_USG].&amp;[eGNP1huD9zy]"/>
    <s v="[Facilities].[DATIMID_USG].&amp;[Z3O0K5r3pM4]"/>
    <s v="[Facilities].[DATIMID_USG].&amp;[X7QTHbbT1ae]"/>
    <s v="[Facilities].[DATIMID_USG].&amp;[UmFKGzYIRlH]"/>
    <s v="[Facilities].[DATIMID_USG].&amp;[lpS3qrn0282]"/>
    <s v="[Facilities].[DATIMID_USG].&amp;[Jpw4LOb2lPd]"/>
    <s v="[Facilities].[DATIMID_USG].&amp;[Lh12f6DN46Q]"/>
    <s v="[Facilities].[DATIMID_USG].&amp;[F6q6yi4hTZ4]"/>
    <s v="[Facilities].[DATIMID_USG].&amp;[RpQ3yUtKCjx]"/>
    <s v="[Facilities].[DATIMID_USG].&amp;[zgztK7Zhycv]"/>
    <s v="[Facilities].[DATIMID_USG].&amp;[s3GjZrhH2MN]"/>
    <s v="[Facilities].[DATIMID_USG].&amp;[XbmFgmYboW4]"/>
    <s v="[Facilities].[DATIMID_USG].&amp;[bptuZLv5bzt]"/>
    <s v="[Facilities].[DATIMID_USG].&amp;[VchcmEoue4p]"/>
    <s v="[Facilities].[DATIMID_USG].&amp;[GdSLs01rdPN]"/>
    <s v="[Facilities].[DATIMID_USG].&amp;[A40gRVDVynG]"/>
    <s v="[Facilities].[DATIMID_USG].&amp;[MojsOgY49E7]"/>
    <s v="[Facilities].[DATIMID_USG].&amp;[DQOuGZTSrMh]"/>
    <s v="[Facilities].[ShortName].&amp;[muriet]"/>
    <s v="[Facilities].[DATIMID_USG].&amp;[sq0JPWanBtn]"/>
    <s v="[Facilities].[DATIMID_USG].&amp;[pHiOvopsoCQ]"/>
    <s v="[Facilities].[DATIMID_USG].&amp;[AJp5NT1cN7O]"/>
    <s v="[Facilities].[DATIMID_USG].&amp;[PyXqJHKvdcL]"/>
    <s v="[Facilities].[DATIMID_USG].&amp;[palE7ZPMBeJ]"/>
    <s v="[Facilities].[DATIMID_USG].&amp;[zRODh1oUwN3]"/>
    <s v="[Facilities].[DATIMID_USG].&amp;[S4Ad0TiiKg9]"/>
    <s v="[Facilities].[DATIMID_USG].&amp;[z1s0nhA2AwA]"/>
    <s v="[Facilities].[DATIMID_USG].&amp;[UmFBkUDnRNw]"/>
    <s v="[Facilities].[DATIMID_USG].&amp;[Cl2R3A3CXLz]"/>
    <s v="[Facilities].[DATIMID_USG].&amp;[lZvN4Uk0xtC]"/>
    <s v="[Facilities].[DATIMID_USG].&amp;[d8wL2A0qjsW]"/>
    <s v="[Facilities].[DATIMID_USG].&amp;[MsbIhftosap]"/>
    <s v="[Facilities].[DATIMID_USG].&amp;[OvYKTP1NCmG]"/>
    <s v="[Facilities].[DATIMID_USG].&amp;[ekk83JtC1b5]"/>
    <s v="[Facilities].[DATIMID_USG].&amp;[fTr17NWmmTU]"/>
    <s v="[Facilities].[DATIMID_USG].&amp;[qZVg6nPZGJN]"/>
    <s v="[Facilities].[DATIMID_USG].&amp;[RzIULFwpOAp]"/>
    <s v="[Facilities].[DATIMID_USG].&amp;[sAbhLuicNGv]"/>
    <s v="[Facilities].[DATIMID_USG].&amp;[GoZObLKJsH7]"/>
    <s v="[Facilities].[DATIMID_USG].&amp;[egABWArYbm6]"/>
    <s v="[Facilities].[DATIMID_USG].&amp;[xVYspAZ2gIs]"/>
    <s v="[Facilities].[DATIMID_USG].&amp;[G3K7MWu2FkG]"/>
    <s v="[Facilities].[DATIMID_USG].&amp;[TiAhCvzxgfw]"/>
    <s v="[Facilities].[DATIMID_USG].&amp;[ItWmY6sJUVT]"/>
    <s v="[Facilities].[DATIMID_USG].&amp;[avNfPOuDrZP]"/>
    <s v="[Facilities].[DATIMID_USG].&amp;[r8T82ZWjItm]"/>
    <s v="[Facilities].[DATIMID_USG].&amp;[Bpzm6iRYANd]"/>
    <s v="[Facilities].[DATIMID_USG].&amp;[WkMCo6Urj7W]"/>
    <s v="[Facilities].[DATIMID_USG].&amp;[hh4I018dlYf]"/>
    <s v="[Facilities].[DATIMID_USG].&amp;[U5YX4pAJTog]"/>
    <s v="[Facilities].[DATIMID_USG].&amp;[bWxKiL0V3wH]"/>
    <s v="[Facilities].[DATIMID_USG].&amp;[NutklHYs98l]"/>
    <s v="[Facilities].[DATIMID_USG].&amp;[Qrg4fTo2egd]"/>
    <s v="[Facilities].[DATIMID_USG].&amp;[hD1ajlgmDlr]"/>
    <s v="[Facilities].[DATIMID_USG].&amp;[fK0WApsPTnR]"/>
    <s v="[Facilities].[DATIMID_USG].&amp;[onnSlIb3fov]"/>
    <s v="[Facilities].[DATIMID_USG].&amp;[mWf5sYJssot]"/>
    <s v="[Facilities].[DATIMID_USG].&amp;[Zq16fskl8Xm]"/>
    <s v="[Facilities].[DATIMID_USG].&amp;[dKlgstRMZOX]"/>
    <s v="[Facilities].[DATIMID_USG].&amp;[RGYr7gq0WGk]"/>
    <s v="[Facilities].[DATIMID_USG].&amp;[OGdMaRMXR9V]"/>
    <s v="[Facilities].[DATIMID_USG].&amp;[MVyAgeKXn1e]"/>
    <s v="[Facilities].[DATIMID_USG].&amp;[euYn6gh0LBD]"/>
    <s v="[Facilities].[DATIMID_USG].&amp;[rMvxuDOq0Ap]"/>
    <s v="[Facilities].[DATIMID_USG].&amp;[ype7as8vCCz]"/>
    <s v="[Facilities].[DATIMID_USG].&amp;[rqIZSNUrges]"/>
    <s v="[Facilities].[DATIMID_USG].&amp;[trixg6G3fxg]"/>
    <s v="[Facilities].[DATIMID_USG].&amp;[YfXdS5hPW2h]"/>
    <s v="[Facilities].[DATIMID_USG].&amp;[VsgxkJoBDhS]"/>
    <s v="[Facilities].[DATIMID_USG].&amp;[ZUoOfY6Hp8w]"/>
    <s v="[Facilities].[DATIMID_USG].&amp;[GJTtdD5NFe7]"/>
    <s v="[Facilities].[DATIMID_USG].&amp;[ZqIbJ9o2jNc]"/>
    <s v="[Facilities].[DATIMID_USG].&amp;[BnkYj0nDiTt]"/>
    <s v="[Facilities].[DATIMID_USG].&amp;[c3mdURjYLhI]"/>
    <s v="[Facilities].[DATIMID_USG].&amp;[CEU9yO371Mi]"/>
    <s v="[Facilities].[DATIMID_USG].&amp;[U4KlQrYnLuT]"/>
    <s v="[Facilities].[DATIMID_USG].&amp;[oYIw1dx2Urj]"/>
    <s v="[Facilities].[DATIMID_USG].&amp;[T3328UF2Fk2]"/>
    <s v="[Facilities].[DATIMID_USG].&amp;[G6odWxL3Lot]"/>
    <s v="[Facilities].[DATIMID_USG].&amp;[XYkVymEGXVv]"/>
    <s v="[Facilities].[DATIMID_USG].&amp;[BgrsUOuExCC]"/>
    <s v="[Facilities].[DATIMID_USG].&amp;[iUaEAyiSm6i]"/>
    <s v="[Facilities].[DATIMID_USG].&amp;[eDEOZVZ8rp4]"/>
    <s v="[Facilities].[DATIMID_USG].&amp;[C1MQYO4pETs]"/>
    <s v="[Facilities].[DATIMID_USG].&amp;[BqLWxJKhoov]"/>
    <s v="[Facilities].[DATIMID_USG].&amp;[EnUhkzNgKk1]"/>
    <s v="[Facilities].[DATIMID_USG].&amp;[GpyJTjJFzf0]"/>
    <s v="[Facilities].[DATIMID_USG].&amp;[jhI1z4GFcrl]"/>
    <s v="[Facilities].[DATIMID_USG].&amp;[yFiYgAMf4Rw]"/>
    <s v="[Facilities].[DATIMID_USG].&amp;[Bjz6d6dIFv7]"/>
    <s v="[Facilities].[DATIMID_USG].&amp;[j3mYl9szVpe]"/>
    <s v="[Facilities].[DATIMID_USG].&amp;[YSRFsacHvd8]"/>
    <s v="[Facilities].[DATIMID_USG].&amp;[aQpQuVSdSfa]"/>
    <s v="[Facilities].[DATIMID_USG].&amp;[DSjSuEp7VsC]"/>
    <s v="[Facilities].[DATIMID_USG].&amp;[S2NRGJ8zrIK]"/>
    <s v="[Facilities].[DATIMID_USG].&amp;[h74zk3vHZvn]"/>
    <s v="[Facilities].[DATIMID_USG].&amp;[VMnMmQCzyGF]"/>
    <s v="[Facilities].[DATIMID_USG].&amp;[ELQDeDWVGrk]"/>
    <s v="[Facilities].[DATIMID_USG].&amp;[qkw5QhFNuKU]"/>
    <s v="[Facilities].[DATIMID_USG].&amp;[Klv29JoYvNz]"/>
    <s v="[Facilities].[DATIMID_USG].&amp;[eNjUkmSHksk]"/>
    <s v="[Facilities].[DATIMID_USG].&amp;[YbLGEdUJKxq]"/>
    <s v="[Facilities].[DATIMID_USG].&amp;[Ku7PUMHKneW]"/>
    <s v="[Facilities].[DATIMID_USG].&amp;[SXKUGqmjUFL]"/>
    <s v="[Facilities].[DATIMID_USG].&amp;[NDbc1PHxClB]"/>
    <s v="[Facilities].[DATIMID_USG].&amp;[F0YRADCbTWW]"/>
    <s v="[Facilities].[DATIMID_USG].&amp;[ex0HWmhH8xE]"/>
    <s v="[Facilities].[DATIMID_USG].&amp;[wAE3jX0VttC]"/>
    <s v="[Facilities].[DATIMID_USG].&amp;[ycSpyYkBfsY]"/>
    <s v="[Facilities].[DATIMID_USG].&amp;[bKMjDPMnFoj]"/>
    <s v="[Facilities].[DATIMID_USG].&amp;[sAiUHL6o4Zy]"/>
    <s v="[Facilities].[DATIMID_USG].&amp;[R1C6X7xTgBl]"/>
    <s v="[Facilities].[DATIMID_USG].&amp;[gX2Cg14njcr]"/>
    <s v="[Facilities].[DATIMID_USG].&amp;[Wju5tA8Pa8z]"/>
    <s v="[Facilities].[DATIMID_USG].&amp;[wNc2OpUaFRF]"/>
    <s v="[Facilities].[DATIMID_USG].&amp;[ChgS0lWHqdu]"/>
    <s v="[Facilities].[DATIMID_USG].&amp;[pupmcjQ2Yhq]"/>
    <s v="[Facilities].[DATIMID_USG].&amp;[QYd2sBZMbHk]"/>
    <s v="[Facilities].[DATIMID_USG].&amp;[Ud7qGxaoZo6]"/>
    <s v="[Facilities].[DATIMID_USG].&amp;[Kh1JbOLW00R]"/>
    <s v="[Facilities].[DATIMID_USG].&amp;[AjiiSQ0MyeM]"/>
    <s v="[Facilities].[DATIMID_USG].&amp;[mbQl11CbcGn]"/>
    <s v="[Facilities].[DATIMID_USG].&amp;[RFGXom1x5Jg]"/>
    <s v="[Facilities].[DATIMID_USG].&amp;[mDrVnC7TQve]"/>
    <s v="[Facilities].[DATIMID_USG].&amp;[Iwf7mFEFBQb]"/>
    <s v="[Facilities].[DATIMID_USG].&amp;[DhxPPEcKWwn]"/>
    <s v="[Facilities].[DATIMID_USG].&amp;[PFkGSMrtBcu]"/>
    <s v="[Facilities].[DATIMID_USG].&amp;[RSL8MgCVxmo]"/>
    <s v="[Facilities].[DATIMID_USG].&amp;[YxOIfEqAGHJ]"/>
    <s v="[Facilities].[DATIMID_USG].&amp;[FI8yz55dz7t]"/>
    <s v="[Facilities].[DATIMID_USG].&amp;[CTT3AYSV96z]"/>
    <s v="[Facilities].[DATIMID_USG].&amp;[iaZW53FrWzp]"/>
    <s v="[Facilities].[DATIMID_USG].&amp;[I3bnCBLIOUg]"/>
    <s v="[Facilities].[DATIMID_USG].&amp;[Ewp1SOEYY4A]"/>
    <s v="[Facilities].[DATIMID_USG].&amp;[NcKkqQ0weuO]"/>
    <s v="[Facilities].[DATIMID_USG].&amp;[SbOeezkgkxi]"/>
    <s v="[Facilities].[DATIMID_USG].&amp;[e0rnqByy8ia]"/>
    <s v="[Facilities].[DATIMID_USG].&amp;[yjiBGeQ9eSm]"/>
    <s v="[Facilities].[DATIMID_USG].&amp;[q0RTM91LPKf]"/>
    <s v="[Facilities].[DATIMID_USG].&amp;[hfz4dPBVK9F]"/>
    <s v="[Facilities].[DATIMID_USG].&amp;[KY53V8ao3xr]"/>
    <s v="[Facilities].[DATIMID_USG].&amp;[T53PQVYgYbk]"/>
    <s v="[Facilities].[DATIMID_USG].&amp;[dndcoOmSVRn]"/>
    <s v="[Facilities].[DATIMID_USG].&amp;[a6ayJWzVm6Z]"/>
    <s v="[Facilities].[DATIMID_USG].&amp;[umsQSO7x6oq]"/>
    <s v="[Facilities].[DATIMID_USG].&amp;[KQrPeIlbLUK]"/>
    <s v="[Facilities].[DATIMID_USG].&amp;[ae8wbmpnrol]"/>
    <s v="[Facilities].[DATIMID_USG].&amp;[xvkbTM2WUqk]"/>
    <s v="[Facilities].[DATIMID_USG].&amp;[muQgzuM2tnC]"/>
    <s v="[Facilities].[DATIMID_USG].&amp;[PN06yVOKBWp]"/>
    <s v="[Facilities].[DATIMID_USG].&amp;[GO6UJtTT70U]"/>
    <s v="[Facilities].[DATIMID_USG].&amp;[JjndrWlUdky]"/>
    <s v="[Facilities].[DATIMID_USG].&amp;[nDEdjpWNurX]"/>
    <s v="[Facilities].[DATIMID_USG].&amp;[iCWGDfcMrLf]"/>
    <s v="[Facilities].[DATIMID_USG].&amp;[RDEW3Qh4CeM]"/>
    <s v="[Facilities].[DATIMID_USG].&amp;[TqhUMoFeJiw]"/>
    <s v="[Facilities].[DATIMID_USG].&amp;[sWnqop46NE4]"/>
    <s v="[Facilities].[DATIMID_USG].&amp;[qqFsT5vwiNj]"/>
    <s v="[Facilities].[DATIMID_USG].&amp;[vYSh1bCczUX]"/>
    <s v="[Facilities].[DATIMID_USG].&amp;[U7KZ5felBfl]"/>
    <s v="[Facilities].[DATIMID_USG].&amp;[gUHKrTOKCD8]"/>
    <s v="[Facilities].[DATIMID_USG].&amp;[qY2EeAWVZrA]"/>
    <s v="[Facilities].[DATIMID_USG].&amp;[guC2e5acV6k]"/>
    <s v="[Facilities].[DATIMID_USG].&amp;[IlbcsFglOas]"/>
    <s v="[Facilities].[DATIMID_USG].&amp;[sH0BZ50HC3G]"/>
    <s v="[Facilities].[DATIMID_USG].&amp;[UVtBvguGE1l]"/>
    <s v="[Facilities].[DATIMID_USG].&amp;[LvMXzjGSGKV]"/>
    <s v="[Facilities].[DATIMID_USG].&amp;[EaRRViOvC5g]"/>
    <s v="[Facilities].[DATIMID_USG].&amp;[CKpAgVkDXi0]"/>
    <s v="[Facilities].[DATIMID_USG].&amp;[C4TxOq9JMl2]"/>
    <s v="[Facilities].[DATIMID_USG].&amp;[URMOjIdUz8v]"/>
    <s v="[Facilities].[DATIMID_USG].&amp;[J0GYmZwVn6j]"/>
    <s v="[Facilities].[DATIMID_USG].&amp;[pVpMQjbiWGe]"/>
    <s v="[Facilities].[DATIMID_USG].&amp;[DzZANKgWLsZ]"/>
    <s v="[Facilities].[DATIMID_USG].&amp;[UbJHGsxvxEe]"/>
    <s v="[Facilities].[DATIMID_USG].&amp;[zzbRHWE2TyL]"/>
    <s v="[Facilities].[DATIMID_USG].&amp;[ZUuECn6hGeF]"/>
    <s v="[Facilities].[DATIMID_USG].&amp;[tUY31w3gRzj]"/>
    <s v="[Facilities].[DATIMID_USG].&amp;[PnwaZxmugHM]"/>
    <s v="[Facilities].[DATIMID_USG].&amp;[OO4wczWBizi]"/>
    <s v="[Facilities].[DATIMID_USG].&amp;[fH5EQ7VQj7z]"/>
    <s v="[Facilities].[DATIMID_USG].&amp;[YnzHDqtim6s]"/>
    <s v="[Facilities].[DATIMID_USG].&amp;[jgV66kom6Mz]"/>
    <s v="[Facilities].[DATIMID_USG].&amp;[MsddktaHsa7]"/>
    <s v="[Facilities].[DATIMID_USG].&amp;[a7335V3rMOm]"/>
    <s v="[Facilities].[DATIMID_USG].&amp;[lOrNfZGGes9]"/>
    <s v="[Facilities].[DATIMID_USG].&amp;[gPkyxeE8Pz8]"/>
    <s v="[Facilities].[DATIMID_USG].&amp;[umgWbKkUInS]"/>
    <s v="[Facilities].[DATIMID_USG].&amp;[H32wglLsifS]"/>
    <s v="[Facilities].[DATIMID_USG].&amp;[Z2QHwX0smcB]"/>
    <s v="[Facilities].[DATIMID_USG].&amp;[Xime4FtcA5r]"/>
    <s v="[Facilities].[DATIMID_USG].&amp;[FuQ8to06axT]"/>
    <s v="[Facilities].[DATIMID_USG].&amp;[RSd6t37kTWD]"/>
    <s v="[Facilities].[DATIMID_USG].&amp;[l57aKtqj9SK]"/>
    <s v="[Facilities].[DATIMID_USG].&amp;[SkkagomuCDx]"/>
    <s v="[Facilities].[DATIMID_USG].&amp;[S2T9PNNSILo]"/>
    <s v="[Facilities].[DATIMID_USG].&amp;[MNkhHqkgd5n]"/>
    <s v="[Facilities].[DATIMID_USG].&amp;[uoqb9h9OYWB]"/>
    <s v="[Facilities].[DATIMID_USG].&amp;[OIWlSbw0KRp]"/>
    <s v="[Facilities].[DATIMID_USG].&amp;[mzSbzgFfiEv]"/>
    <s v="[Facilities].[DATIMID_USG].&amp;[Q7U7EjRbDDp]"/>
    <s v="[Facilities].[DATIMID_USG].&amp;[Gl6fMdljbLX]"/>
    <s v="[Facilities].[DATIMID_USG].&amp;[GSXct5moJkF]"/>
    <s v="[Facilities].[DATIMID_USG].&amp;[EXLpGRLfKW6]"/>
    <s v="[Facilities].[DATIMID_USG].&amp;[BdNBVRJ34pX]"/>
    <s v="[Facilities].[DATIMID_USG].&amp;[XJFi3MHLdb6]"/>
    <s v="[Facilities].[DATIMID_USG].&amp;[w11N4JPT0x6]"/>
    <s v="[Facilities].[DATIMID_USG].&amp;[iVZSZDNIlZI]"/>
    <s v="[Facilities].[DATIMID_USG].&amp;[PPrMXOyJp96]"/>
    <s v="[Facilities].[DATIMID_USG].&amp;[swmn854gwLX]"/>
    <s v="[Facilities].[DATIMID_USG].&amp;[jzgT3RN1k0K]"/>
    <s v="[Facilities].[DATIMID_USG].&amp;[iSW2OEfgaB0]"/>
    <s v="[Facilities].[DATIMID_USG].&amp;[XdhcW1ZJmIy]"/>
    <s v="[Facilities].[DATIMID_USG].&amp;[pEvTGcRiuyU]"/>
    <s v="[Facilities].[DATIMID_USG].&amp;[yt8dRMOX3Pm]"/>
    <s v="[Facilities].[DATIMID_USG].&amp;[x64PignSHiF]"/>
    <s v="[Facilities].[DATIMID_USG].&amp;[yJrvCXphLJg]"/>
    <s v="[Facilities].[DATIMID_USG].&amp;[pmFxsXjnZTR]"/>
    <s v="[Facilities].[DATIMID_USG].&amp;[ZOdvlLfTctk]"/>
    <s v="[Facilities].[DATIMID_USG].&amp;[eJoop7PVwYf]"/>
    <s v="[Facilities].[DATIMID_USG].&amp;[Lx9O6vI0TSs]"/>
    <s v="[Facilities].[DATIMID_USG].&amp;[vwQnm09aNfp]"/>
    <s v="[Facilities].[DATIMID_USG].&amp;[CqzwqgXZzHW]"/>
    <s v="[Facilities].[DATIMID_USG].&amp;[vWwDK254Okb]"/>
    <s v="[Facilities].[DATIMID_USG].&amp;[uQasoVPqvTG]"/>
    <s v="[Facilities].[DATIMID_USG].&amp;[e18PQnXrGHz]"/>
    <s v="[Facilities].[DATIMID_USG].&amp;[ziS0w5Z0gp9]"/>
    <s v="[Facilities].[DATIMID_USG].&amp;[heqdTuQ4nVI]"/>
    <s v="[Facilities].[DATIMID_USG].&amp;[zlTchTQkMY4]"/>
    <s v="[Facilities].[DATIMID_USG].&amp;[MgKoXfwe0qs]"/>
    <s v="[Facilities].[DATIMID_USG].&amp;[EA9QSH5E9rT]"/>
    <s v="[Facilities].[DATIMID_USG].&amp;[aS8xS9udCEb]"/>
    <s v="[Facilities].[DATIMID_USG].&amp;[TbP7lvi2d6U]"/>
    <s v="[Facilities].[DATIMID_USG].&amp;[O4nN5UviHtb]"/>
    <s v="[Facilities].[DATIMID_USG].&amp;[IMo8jiYPN3x]"/>
    <s v="[Facilities].[DATIMID_USG].&amp;[FX3sU5mzgXC]"/>
    <s v="[Facilities].[DATIMID_USG].&amp;[CeYHbVX07Aa]"/>
    <s v="[Facilities].[DATIMID_USG].&amp;[Wg3kxqZvjy6]"/>
    <s v="[Facilities].[DATIMID_USG].&amp;[VHdizOLlCcM]"/>
    <s v="[Facilities].[DATIMID_USG].&amp;[L8c8qYknyd1]"/>
    <s v="[Facilities].[DATIMID_USG].&amp;[bX98B3p125A]"/>
    <s v="[Facilities].[DATIMID_USG].&amp;[oOHflfGAo0t]"/>
    <s v="[Facilities].[DATIMID_USG].&amp;[dZ6O2x9Nbc3]"/>
    <s v="[Facilities].[DATIMID_USG].&amp;[H8MHwDT5LEX]"/>
    <s v="[Facilities].[DATIMID_USG].&amp;[RqxywsnxG5B]"/>
    <s v="[Facilities].[DATIMID_USG].&amp;[V2m0GCVZ735]"/>
    <s v="[Facilities].[DATIMID_USG].&amp;[fyXn8nk3SVx]"/>
    <s v="[Facilities].[DATIMID_USG].&amp;[fJm3k6nWBv9]"/>
    <s v="[Facilities].[DATIMID_USG].&amp;[AK9l0Uij1A3]"/>
    <s v="[Facilities].[DATIMID_USG].&amp;[BSq5SofHdES]"/>
    <s v="[Facilities].[DATIMID_USG].&amp;[ER0AFFZz9bE]"/>
    <s v="[Facilities].[DATIMID_USG].&amp;[SySFSGmIUr6]"/>
    <s v="[Facilities].[DATIMID_USG].&amp;[N3j9hD0lIWP]"/>
    <s v="[Facilities].[DATIMID_USG].&amp;[D9gdIGY57dl]"/>
    <s v="[Facilities].[DATIMID_USG].&amp;[fOZAy8vpDh7]"/>
    <s v="[Facilities].[DATIMID_USG].&amp;[OlnAUL94Brl]"/>
    <s v="[Facilities].[DATIMID_USG].&amp;[tAtz6KnCWrH]"/>
    <s v="[Facilities].[DATIMID_USG].&amp;[VsbAhLi12A5]"/>
    <s v="[Facilities].[DATIMID_USG].&amp;[jEIVE89LvkC]"/>
    <s v="[Facilities].[DATIMID_USG].&amp;[RLkTSPu66Ty]"/>
    <s v="[Facilities].[DATIMID_USG].&amp;[R2vEVSiQPQC]"/>
    <s v="[Facilities].[DATIMID_USG].&amp;[Ox24wFnPHiN]"/>
    <s v="[Facilities].[DATIMID_USG].&amp;[OIO0oNhelQM]"/>
    <s v="[Facilities].[DATIMID_USG].&amp;[xCQBwPBz5Xj]"/>
    <s v="[Facilities].[DATIMID_USG].&amp;[Fxsr7ZDyNcu]"/>
    <s v="[Facilities].[DATIMID_USG].&amp;[kN5szzGVVPA]"/>
    <s v="[Facilities].[DATIMID_USG].&amp;[bZTYSMB1mzT]"/>
    <s v="[Facilities].[DATIMID_USG].&amp;[XRyLwWX2FCr]"/>
    <s v="[Facilities].[DATIMID_USG].&amp;[xU715Z9uoPN]"/>
    <s v="[Facilities].[DATIMID_USG].&amp;[Hm48W2usGXa]"/>
    <s v="[Facilities].[DATIMID_USG].&amp;[oRTNggd3OxT]"/>
    <s v="[Facilities].[DATIMID_USG].&amp;[YC4myequeDn]"/>
    <s v="[Facilities].[DATIMID_USG].&amp;[eCNrWanqg0w]"/>
    <s v="[Facilities].[DATIMID_USG].&amp;[qMa6PmSTFDb]"/>
    <s v="[Facilities].[DATIMID_USG].&amp;[NbGMoYOcMOY]"/>
    <s v="[Facilities].[DATIMID_USG].&amp;[tXhoKpdkzMD]"/>
    <s v="[Facilities].[DATIMID_USG].&amp;[tNtahLAJhOR]"/>
    <s v="[Facilities].[DATIMID_USG].&amp;[F9A1y0XBwgi]"/>
    <s v="[Facilities].[DATIMID_USG].&amp;[Dp3rtgtfIFF]"/>
    <s v="[Facilities].[DATIMID_USG].&amp;[vvy5cPW2NnJ]"/>
    <s v="[Facilities].[DATIMID_USG].&amp;[clfMiN7t4oi]"/>
    <s v="[Facilities].[DATIMID_USG].&amp;[keCluxPGkqO]"/>
    <s v="[Facilities].[DATIMID_USG].&amp;[OWzlK0QFLyf]"/>
    <s v="[Facilities].[DATIMID_USG].&amp;[Pl878H0dW6t]"/>
    <s v="[Facilities].[DATIMID_USG].&amp;[p6OQT6Wjl35]"/>
    <s v="[Facilities].[DATIMID_USG].&amp;[RYJZ1FyyRmL]"/>
    <s v="[Facilities].[DATIMID_USG].&amp;[uS3QKrq2t9W]"/>
    <s v="[Facilities].[DATIMID_USG].&amp;[POxTI7ekTAs]"/>
    <s v="[Facilities].[DATIMID_USG].&amp;[JhASbKPHApc]"/>
    <s v="[Facilities].[DATIMID_USG].&amp;[jMADqQzHl46]"/>
    <s v="[Facilities].[DATIMID_USG].&amp;[KFI7eRyi92B]"/>
    <s v="[Facilities].[DATIMID_USG].&amp;[QRvQodV8ctU]"/>
    <s v="[Facilities].[DATIMID_USG].&amp;[OWMG9Wj9MzK]"/>
    <s v="[Facilities].[DATIMID_USG].&amp;[Si2ovtj1kIW]"/>
    <s v="[Facilities].[DATIMID_USG].&amp;[s7n2YHCY9R2]"/>
    <s v="[Facilities].[DATIMID_USG].&amp;[TIAOn3flmSf]"/>
    <s v="[Facilities].[DATIMID_USG].&amp;[ha5KY2J0lIZ]"/>
    <s v="[Facilities].[DATIMID_USG].&amp;[OSjAZHq3PNR]"/>
    <s v="[Facilities].[DATIMID_USG].&amp;[Wl8wGdHRGN1]"/>
    <s v="[Facilities].[DATIMID_USG].&amp;[EoebORoQaqz]"/>
    <s v="[Facilities].[DATIMID_USG].&amp;[oxDoMGkDQzy]"/>
    <s v="[Facilities].[DATIMID_USG].&amp;[y6wjTE92baX]"/>
    <s v="[Facilities].[DATIMID_USG].&amp;[o0Q8LkjToOP]"/>
    <s v="[Facilities].[DATIMID_USG].&amp;[opwbxzA0SxO]"/>
    <s v="[Facilities].[DATIMID_USG].&amp;[xnLQ6iHEMl0]"/>
    <s v="[Facilities].[DATIMID_USG].&amp;[i3FmyyPnFsY]"/>
    <s v="[Facilities].[DATIMID_USG].&amp;[u8Z5X7umrKF]"/>
    <s v="[Facilities].[DATIMID_USG].&amp;[V3AT5xzqmnd]"/>
    <s v="[Facilities].[DATIMID_USG].&amp;[NSjnORHNMsq]"/>
    <s v="[Facilities].[DATIMID_USG].&amp;[UhZhYnEVIlk]"/>
    <s v="[Facilities].[DATIMID_USG].&amp;[cM3Y5if2Jqp]"/>
    <s v="[Facilities].[DATIMID_USG].&amp;[wE4pOav0ksB]"/>
    <s v="[Facilities].[DATIMID_USG].&amp;[LHXkMX09pp6]"/>
    <s v="[Facilities].[DATIMID_USG].&amp;[sPnks3ULfzh]"/>
    <s v="[Facilities].[DATIMID_USG].&amp;[wbI3tayWWm3]"/>
    <s v="[Facilities].[DATIMID_USG].&amp;[kCo6yS73mKp]"/>
    <s v="[Facilities].[DATIMID_USG].&amp;[OxiUumWLJry]"/>
    <s v="[Facilities].[DATIMID_USG].&amp;[yyh3ldMnCqw]"/>
    <s v="[Facilities].[DATIMID_USG].&amp;[k0THP58Q2jA]"/>
    <s v="[Facilities].[DATIMID_USG].&amp;[TTzq8jvhQLa]"/>
    <s v="[Facilities].[DATIMID_USG].&amp;[Sas4inTdsn7]"/>
    <s v="[Facilities].[DATIMID_USG].&amp;[DPvLCtVV1fE]"/>
    <s v="[Facilities].[DATIMID_USG].&amp;[F3LX6VorS69]"/>
    <s v="[Facilities].[DATIMID_USG].&amp;[JFi5ZngxtG9]"/>
    <s v="[Facilities].[DATIMID_USG].&amp;[OVww8PN6jdv]"/>
    <s v="[Facilities].[DATIMID_USG].&amp;[s2mEKIAhowY]"/>
    <s v="[Facilities].[DATIMID_USG].&amp;[FBxZJ72lHQM]"/>
    <s v="[Facilities].[DATIMID_USG].&amp;[USpZAV2rtji]"/>
    <s v="[Facilities].[DATIMID_USG].&amp;[aH7J4xxE7qg]"/>
    <s v="[Facilities].[DATIMID_USG].&amp;[eUe2oj8pBRp]"/>
    <s v="[Facilities].[DATIMID_USG].&amp;[kgkqXguSvhF]"/>
    <s v="[Facilities].[DATIMID_USG].&amp;[Rug5Jx8xMVJ]"/>
    <s v="[Facilities].[DATIMID_USG].&amp;[fBDng9a6xmT]"/>
    <s v="[Facilities].[DATIMID_USG].&amp;[Zuoti8S10SH]"/>
    <s v="[Facilities].[DATIMID_USG].&amp;[Fb3mHHm2pEs]"/>
    <s v="[Facilities].[DATIMID_USG].&amp;[m4O6PehLsi1]"/>
    <s v="[Facilities].[DATIMID_USG].&amp;[xUFgvQYf66Q]"/>
    <s v="[Facilities].[DATIMID_USG].&amp;[UEh5yPxgWcB]"/>
    <s v="[Facilities].[DATIMID_USG].&amp;[QTDhqPadI7q]"/>
    <s v="[Facilities].[DATIMID_USG].&amp;[Uog0cksni8j]"/>
    <s v="[Facilities].[DATIMID_USG].&amp;[gFz5EsVW0LX]"/>
    <s v="[Facilities].[DATIMID_USG].&amp;[E3b007udXJO]"/>
    <s v="[Facilities].[DATIMID_USG].&amp;[Ds6hoqP633F]"/>
    <s v="[Facilities].[DATIMID_USG].&amp;[Wh43rnbHu0k]"/>
    <s v="[Facilities].[DATIMID_USG].&amp;[m9IPB5W2ui5]"/>
    <s v="[Facilities].[DATIMID_USG].&amp;[HOdPAXnaKgD]"/>
    <s v="[Facilities].[DATIMID_USG].&amp;[F5YLv2Qe3LH]"/>
    <s v="[Facilities].[DATIMID_USG].&amp;[y3UeJKrJ3wp]"/>
    <s v="[Facilities].[DATIMID_USG].&amp;[BmMyrNuj6RH]"/>
    <s v="[Facilities].[DATIMID_USG].&amp;[oP49AJl9PMe]"/>
    <s v="[Facilities].[DATIMID_USG].&amp;[jOG25nSDBbR]"/>
    <s v="[Facilities].[DATIMID_USG].&amp;[vk4LrOLhUey]"/>
    <s v="[Facilities].[DATIMID_USG].&amp;[gw5xiUIssDi]"/>
    <s v="[Facilities].[DATIMID_USG].&amp;[uPPW9FYgBKQ]"/>
    <s v="[Facilities].[DATIMID_USG].&amp;[Ksl44TAO0xF]"/>
    <s v="[Facilities].[DATIMID_USG].&amp;[eXBYDeWs7sl]"/>
    <s v="[Facilities].[DATIMID_USG].&amp;[c0MndohPBsb]"/>
    <s v="[Facilities].[DATIMID_USG].&amp;[JGa5loOablm]"/>
    <s v="[Facilities].[DATIMID_USG].&amp;[fA9JHQsNQIh]"/>
    <s v="[Facilities].[DATIMID_USG].&amp;[F4ocpWKl1zu]"/>
    <s v="[Facilities].[DATIMID_USG].&amp;[zBK0Swy4PWU]"/>
    <s v="[Facilities].[DATIMID_USG].&amp;[A7H0Bj3oEUb]"/>
    <s v="[Facilities].[DATIMID_USG].&amp;[xNuTBqUD1CF]"/>
    <s v="[Facilities].[DATIMID_USG].&amp;[tktiBXhdLNC]"/>
    <s v="[Facilities].[DATIMID_USG].&amp;[wj0v8Ax2R2k]"/>
    <s v="[Facilities].[DATIMID_USG].&amp;[Y5NLQUn0ySZ]"/>
    <s v="[Facilities].[DATIMID_USG].&amp;[z3qmLgwuQwS]"/>
    <s v="[Facilities].[DATIMID_USG].&amp;[DvMZMOliEMg]"/>
    <s v="[Facilities].[DATIMID_USG].&amp;[uTu73s9Jyd4]"/>
    <s v="[Facilities].[DATIMID_USG].&amp;[cziV9MZvghm]"/>
    <s v="[Facilities].[DATIMID_USG].&amp;[iHa4SxjJIqs]"/>
    <s v="[Facilities].[DATIMID_USG].&amp;[N5xJgGNQEbZ]"/>
    <s v="[Facilities].[DATIMID_USG].&amp;[bXn9b3ySqcY]"/>
    <s v="[Facilities].[DATIMID_USG].&amp;[j9lfgNapcK6]"/>
    <s v="[Facilities].[DATIMID_USG].&amp;[vznSllthow8]"/>
    <s v="[Facilities].[DATIMID_USG].&amp;[xt7npagKTti]"/>
    <s v="[Facilities].[DATIMID_USG].&amp;[rXOwjCuPoqu]"/>
    <s v="[Facilities].[DATIMID_USG].&amp;[AQkzUHYZhin]"/>
    <s v="[Facilities].[DATIMID_USG].&amp;[f8d2QFShGCb]"/>
    <s v="[Facilities].[DATIMID_USG].&amp;[a2Ze7109ES6]"/>
    <s v="[Facilities].[DATIMID_USG].&amp;[YIHta2d6BMG]"/>
    <s v="[Facilities].[DATIMID_USG].&amp;[NeGbQFFTVgt]"/>
    <s v="[Facilities].[DATIMID_USG].&amp;[qpQLGtXO1lL]"/>
    <s v="[Facilities].[DATIMID_USG].&amp;[gocLA3DsGuo]"/>
    <s v="[Facilities].[DATIMID_USG].&amp;[lRsqzpXRdqm]"/>
    <s v="[Facilities].[DATIMID_USG].&amp;[OJloEEIlMCR]"/>
    <s v="[Facilities].[DATIMID_USG].&amp;[KDhxY3quLCY]"/>
    <s v="[Facilities].[DATIMID_USG].&amp;[imzp3bxAiR7]"/>
    <s v="[Facilities].[DATIMID_USG].&amp;[XEEVmTsbgr7]"/>
    <s v="[Facilities].[DATIMID_USG].&amp;[fYDKTeRRa00]"/>
    <s v="[Facilities].[DATIMID_USG].&amp;[c70Hpw2wvsl]"/>
    <s v="[Facilities].[DATIMID_USG].&amp;[djak6fHOzPk]"/>
    <s v="[Facilities].[DATIMID_USG].&amp;[mflVv9PoWrX]"/>
    <s v="[Facilities].[DATIMID_USG].&amp;[oz4wV0RCA8A]"/>
    <s v="[Facilities].[DATIMID_USG].&amp;[v2hoVpNNLLz]"/>
    <s v="[Facilities].[DATIMID_USG].&amp;[DvLBPHEyZPY]"/>
    <s v="[Facilities].[DATIMID_USG].&amp;[XUJUFm4ohAC]"/>
    <s v="[Facilities].[DATIMID_USG].&amp;[a0GBRdGUhKN]"/>
    <s v="[Facilities].[DATIMID_USG].&amp;[LSliDW416R5]"/>
    <s v="[Facilities].[DATIMID_USG].&amp;[WQrJcX9pXpe]"/>
    <s v="[Facilities].[DATIMID_USG].&amp;[evT0ozlNfnY]"/>
    <s v="[Facilities].[DATIMID_USG].&amp;[OpvjykY5Rg3]"/>
    <s v="[Facilities].[DATIMID_USG].&amp;[eYYJ2x33LSm]"/>
    <s v="[Facilities].[DATIMID_USG].&amp;[Q3WrXxmuaJx]"/>
    <s v="[Facilities].[DATIMID_USG].&amp;[hMSI3KCb55X]"/>
    <s v="[Facilities].[DATIMID_USG].&amp;[p0N8H8sexN7]"/>
    <s v="[Facilities].[DATIMID_USG].&amp;[gATcaCjhtlu]"/>
    <s v="[Facilities].[DATIMID_USG].&amp;[M40HNlw3PvV]"/>
    <s v="[Facilities].[DATIMID_USG].&amp;[rXbnN1N3miY]"/>
    <s v="[Facilities].[DATIMID_USG].&amp;[NmIIrhkWSy5]"/>
    <s v="[Facilities].[DATIMID_USG].&amp;[zSKx1i3INce]"/>
    <s v="[Facilities].[DATIMID_USG].&amp;[jko4TJ7zXdc]"/>
    <s v="[Facilities].[DATIMID_USG].&amp;[gyLYKSdPL50]"/>
    <s v="[Facilities].[DATIMID_USG].&amp;[PCc1DGsj8fV]"/>
    <s v="[Facilities].[DATIMID_USG].&amp;[Z6wIHssPEOm]"/>
    <s v="[Facilities].[DATIMID_USG].&amp;[zF3bQsmyhVR]"/>
    <s v="[Facilities].[DATIMID_USG].&amp;[rWXqL4f2ua3]"/>
    <s v="[Facilities].[DATIMID_USG].&amp;[OLgVGknNnhd]"/>
    <s v="[Facilities].[DATIMID_USG].&amp;[i7OQo6Nb1LR]"/>
    <s v="[Facilities].[DATIMID_USG].&amp;[MoAxgdrUeiF]"/>
    <s v="[Facilities].[DATIMID_USG].&amp;[kHLU2PGkMNV]"/>
    <s v="[Facilities].[DATIMID_USG].&amp;[vu43BvILKnh]"/>
    <s v="[Facilities].[DATIMID_USG].&amp;[q0iU4ijqSYm]"/>
    <s v="[Facilities].[DATIMID_USG].&amp;[S1EY8S9iohH]"/>
    <s v="[Facilities].[DATIMID_USG].&amp;[ShwCDL3Zk6K]"/>
    <s v="[Facilities].[DATIMID_USG].&amp;[mAYmZpFCe2h]"/>
    <s v="[Facilities].[DATIMID_USG].&amp;[j3SElBP8EH7]"/>
    <s v="[Facilities].[DATIMID_USG].&amp;[tSUpf6UUCSh]"/>
    <s v="[Facilities].[DATIMID_USG].&amp;[TssW05z275O]"/>
    <s v="[Facilities].[DATIMID_USG].&amp;[FfTauIa3plC]"/>
    <s v="[Facilities].[DATIMID_USG].&amp;[g5He5r5b8jn]"/>
    <s v="[Facilities].[DATIMID_USG].&amp;[pdB8DCmTUY5]"/>
    <s v="[Facilities].[DATIMID_USG].&amp;[rLOIAw0yDYl]"/>
    <s v="[Facilities].[DATIMID_USG].&amp;[vX7k6iVXzce]"/>
    <s v="{[DimDate].[MonthYear].&amp;[Dec-2020]}"/>
    <s v="[Measures].[MMS_01_31]"/>
    <s v="[Measures].[TX_CURR_PRIOR_MONTH]"/>
    <s v="[Measures].[MMS_32_62]"/>
    <s v="[Measures].[DIED]"/>
    <s v="[Measures].[TI]"/>
    <s v="[Measures].[MMS_63+]"/>
    <s v="[Measures].[TO]"/>
    <s v="[Measures].[TX_NEW_2VIS]"/>
    <s v="[Measures].[TX_CURR]"/>
    <s v="#,0"/>
    <s v="[Measures].[TBPREV_D]"/>
    <s v="[Measures].[TBPREV_N]"/>
    <s v="[Measures].[TBPREV_NEW]"/>
    <s v="[Measures].[MISSEDAPP]"/>
    <s v="[Measures].[HVL_ELIG_P]"/>
    <s v="[Measures].[HVL_D_P]"/>
    <s v="[Measures].[HVL_N_P]"/>
    <s v="[Measures].[HVL_ELIG_A]"/>
    <s v="[Measures].[HVL_D_A]"/>
    <s v="[Measures].[HVL_N_A]"/>
    <s v="[Measures].[TX_CURR_F_P]"/>
    <s v="[Measures].[TX_CURR_M_P]"/>
    <s v="[Measures].[TX_CURR_F_A]"/>
    <s v="[Measures].[TX_CURR_M_A]"/>
    <s v="[Measures].[MMS_180+_P]"/>
    <s v="[Measures].[MMS_180+_A]"/>
    <s v="[Measures].[TX_NEW_F_A]"/>
    <s v="[Measures].[TX_NEW_M_A]"/>
    <s v="[Measures].[TX_NEW_F_P]"/>
    <s v="[Measures].[TX_NEW_M_P]"/>
    <s v="[Measures].[MMS_180+_M_A]"/>
    <s v="[Measures].[MMS_180+_F_A]"/>
    <s v="[Measures].[MMS_180+_M_P]"/>
    <s v="[Measures].[MMS_180+_F_P]"/>
    <s v="[Measures].[MMS_90_179_M_A]"/>
    <s v="[Measures].[MMS_90_179_F_A]"/>
    <s v="[Measures].[MMS_90_179_M_P]"/>
    <s v="[Measures].[MMS_90_179_F_P]"/>
    <s v="[Measures].[MMS_01_89_M_A]"/>
    <s v="[Measures].[MMS_01_89_F_A]"/>
    <s v="[Measures].[MMS_01_89_M_P]"/>
    <s v="[Measures].[MMS_01_89_F_P]"/>
    <s v="pbiazure://api.powerbi.com e2324605-5df0-4e1a-a31e-0edd63db7f20 Model"/>
    <s v="[DimDate].[MonthYear].&amp;[Mar-2021]"/>
  </metadataStrings>
  <mdxMetadata count="20244">
    <mdx n="0" f="m">
      <t c="1">
        <n x="1"/>
      </t>
    </mdx>
    <mdx n="0" f="m">
      <t c="1">
        <n x="2"/>
      </t>
    </mdx>
    <mdx n="508" f="s">
      <ms ns="465" c="0"/>
    </mdx>
    <mdx n="508" f="m">
      <t c="1">
        <n x="509"/>
      </t>
    </mdx>
    <mdx n="508" f="v">
      <t c="3" si="4">
        <n x="509"/>
        <n x="58"/>
        <n x="498"/>
      </t>
    </mdx>
    <mdx n="508" f="v">
      <t c="3" si="4">
        <n x="509"/>
        <n x="20"/>
        <n x="497"/>
      </t>
    </mdx>
    <mdx n="508" f="v">
      <t c="3" si="4">
        <n x="509"/>
        <n x="3"/>
        <n x="496"/>
      </t>
    </mdx>
    <mdx n="508" f="v">
      <t c="3" si="4">
        <n x="509"/>
        <n x="452"/>
        <n x="496"/>
      </t>
    </mdx>
    <mdx n="508" f="v">
      <t c="3" si="4">
        <n x="509"/>
        <n x="269"/>
        <n x="496"/>
      </t>
    </mdx>
    <mdx n="508" f="v">
      <t c="3" si="4">
        <n x="509"/>
        <n x="137"/>
        <n x="496"/>
      </t>
    </mdx>
    <mdx n="508" f="v">
      <t c="3" si="4">
        <n x="509"/>
        <n x="246"/>
        <n x="496"/>
      </t>
    </mdx>
    <mdx n="508" f="v">
      <t c="3" si="4">
        <n x="509"/>
        <n x="136"/>
        <n x="499"/>
      </t>
    </mdx>
    <mdx n="508" f="v">
      <t c="3" si="4">
        <n x="509"/>
        <n x="353"/>
        <n x="497"/>
      </t>
    </mdx>
    <mdx n="508" f="v">
      <t c="3" si="4">
        <n x="509"/>
        <n x="146"/>
        <n x="497"/>
      </t>
    </mdx>
    <mdx n="508" f="v">
      <t c="3" si="4">
        <n x="509"/>
        <n x="444"/>
        <n x="496"/>
      </t>
    </mdx>
    <mdx n="508" f="v">
      <t c="3" si="4">
        <n x="509"/>
        <n x="101"/>
        <n x="496"/>
      </t>
    </mdx>
    <mdx n="508" f="v">
      <t c="3" si="4">
        <n x="509"/>
        <n x="335"/>
        <n x="496"/>
      </t>
    </mdx>
    <mdx n="508" f="v">
      <t c="3" si="4">
        <n x="509"/>
        <n x="242"/>
        <n x="496"/>
      </t>
    </mdx>
    <mdx n="508" f="v">
      <t c="3" si="4">
        <n x="509"/>
        <n x="208"/>
        <n x="496"/>
      </t>
    </mdx>
    <mdx n="508" f="v">
      <t c="3" si="4">
        <n x="509"/>
        <n x="386"/>
        <n x="1"/>
      </t>
    </mdx>
    <mdx n="508" f="v">
      <t c="3" si="4">
        <n x="509"/>
        <n x="304"/>
        <n x="499"/>
      </t>
    </mdx>
    <mdx n="508" f="v">
      <t c="3" si="4">
        <n x="509"/>
        <n x="148"/>
        <n x="497"/>
      </t>
    </mdx>
    <mdx n="508" f="v">
      <t c="3" si="4">
        <n x="509"/>
        <n x="321"/>
        <n x="497"/>
      </t>
    </mdx>
    <mdx n="508" f="v">
      <t c="3" si="4">
        <n x="509"/>
        <n x="159"/>
        <n x="496"/>
      </t>
    </mdx>
    <mdx n="508" f="v">
      <t c="3" si="4">
        <n x="509"/>
        <n x="153"/>
        <n x="496"/>
      </t>
    </mdx>
    <mdx n="508" f="v">
      <t c="3" si="4">
        <n x="509"/>
        <n x="322"/>
        <n x="496"/>
      </t>
    </mdx>
    <mdx n="508" f="v">
      <t c="3" si="4">
        <n x="509"/>
        <n x="46"/>
        <n x="496"/>
      </t>
    </mdx>
    <mdx n="508" f="v">
      <t c="3" si="4">
        <n x="509"/>
        <n x="190"/>
        <n x="496"/>
      </t>
    </mdx>
    <mdx n="508" f="v">
      <t c="3" si="4">
        <n x="509"/>
        <n x="336"/>
        <n x="498"/>
      </t>
    </mdx>
    <mdx n="508" f="v">
      <t c="3" si="4">
        <n x="509"/>
        <n x="181"/>
        <n x="497"/>
      </t>
    </mdx>
    <mdx n="508" f="v">
      <t c="3" si="4">
        <n x="509"/>
        <n x="423"/>
        <n x="497"/>
      </t>
    </mdx>
    <mdx n="508" f="v">
      <t c="3" si="4">
        <n x="509"/>
        <n x="10"/>
        <n x="496"/>
      </t>
    </mdx>
    <mdx n="508" f="v">
      <t c="3" si="4">
        <n x="509"/>
        <n x="427"/>
        <n x="496"/>
      </t>
    </mdx>
    <mdx n="508" f="v">
      <t c="3" si="4">
        <n x="509"/>
        <n x="453"/>
        <n x="496"/>
      </t>
    </mdx>
    <mdx n="508" f="v">
      <t c="3" si="4">
        <n x="509"/>
        <n x="265"/>
        <n x="496"/>
      </t>
    </mdx>
    <mdx n="508" f="v">
      <t c="3" si="4">
        <n x="509"/>
        <n x="248"/>
        <n x="496"/>
      </t>
    </mdx>
    <mdx n="508" f="v">
      <t c="3" si="4">
        <n x="509"/>
        <n x="432"/>
        <n x="498"/>
      </t>
    </mdx>
    <mdx n="508" f="v">
      <t c="3" si="4">
        <n x="509"/>
        <n x="127"/>
        <n x="497"/>
      </t>
    </mdx>
    <mdx n="508" f="v">
      <t c="3" si="4">
        <n x="509"/>
        <n x="285"/>
        <n x="497"/>
      </t>
    </mdx>
    <mdx n="508" f="v">
      <t c="3" si="4">
        <n x="509"/>
        <n x="287"/>
        <n x="496"/>
      </t>
    </mdx>
    <mdx n="508" f="v">
      <t c="3" si="4">
        <n x="509"/>
        <n x="106"/>
        <n x="496"/>
      </t>
    </mdx>
    <mdx n="508" f="v">
      <t c="3" si="4">
        <n x="509"/>
        <n x="141"/>
        <n x="496"/>
      </t>
    </mdx>
    <mdx n="508" f="v">
      <t c="3" si="4">
        <n x="509"/>
        <n x="42"/>
        <n x="496"/>
      </t>
    </mdx>
    <mdx n="508" f="v">
      <t c="3" si="4">
        <n x="509"/>
        <n x="363"/>
        <n x="1"/>
      </t>
    </mdx>
    <mdx n="508" f="v">
      <t c="3" si="4">
        <n x="509"/>
        <n x="80"/>
        <n x="2"/>
      </t>
    </mdx>
    <mdx n="508" f="v">
      <t c="3" si="4">
        <n x="509"/>
        <n x="64"/>
        <n x="500"/>
      </t>
    </mdx>
    <mdx n="508" f="v">
      <t c="3" si="4">
        <n x="509"/>
        <n x="378"/>
        <n x="497"/>
      </t>
    </mdx>
    <mdx n="508" f="v">
      <t c="3" si="4">
        <n x="509"/>
        <n x="281"/>
        <n x="497"/>
      </t>
    </mdx>
    <mdx n="508" f="v">
      <t c="3" si="4">
        <n x="509"/>
        <n x="229"/>
        <n x="496"/>
      </t>
    </mdx>
    <mdx n="508" f="v">
      <t c="3" si="4">
        <n x="509"/>
        <n x="278"/>
        <n x="496"/>
      </t>
    </mdx>
    <mdx n="508" f="v">
      <t c="3" si="4">
        <n x="509"/>
        <n x="348"/>
        <n x="496"/>
      </t>
    </mdx>
    <mdx n="508" f="v">
      <t c="3" si="4">
        <n x="509"/>
        <n x="306"/>
        <n x="496"/>
      </t>
    </mdx>
    <mdx n="508" f="v">
      <t c="3" si="4">
        <n x="509"/>
        <n x="423"/>
        <n x="496"/>
      </t>
    </mdx>
    <mdx n="508" f="v">
      <t c="3" si="4">
        <n x="509"/>
        <n x="383"/>
        <n x="5"/>
      </t>
    </mdx>
    <mdx n="508" f="v">
      <t c="3" si="4">
        <n x="509"/>
        <n x="77"/>
        <n x="498"/>
      </t>
    </mdx>
    <mdx n="508" f="v">
      <t c="3" si="4">
        <n x="509"/>
        <n x="86"/>
        <n x="497"/>
      </t>
    </mdx>
    <mdx n="508" f="v">
      <t c="3" si="4">
        <n x="509"/>
        <n x="309"/>
        <n x="497"/>
      </t>
    </mdx>
    <mdx n="508" f="v">
      <t c="3" si="4">
        <n x="509"/>
        <n x="379"/>
        <n x="496"/>
      </t>
    </mdx>
    <mdx n="508" f="v">
      <t c="3" si="4">
        <n x="509"/>
        <n x="237"/>
        <n x="496"/>
      </t>
    </mdx>
    <mdx n="508" f="v">
      <t c="3" si="4">
        <n x="509"/>
        <n x="156"/>
        <n x="496"/>
      </t>
    </mdx>
    <mdx n="508" f="v">
      <t c="3" si="4">
        <n x="509"/>
        <n x="304"/>
        <n x="496"/>
      </t>
    </mdx>
    <mdx n="508" f="v">
      <t c="3" si="4">
        <n x="509"/>
        <n x="421"/>
        <n x="496"/>
      </t>
    </mdx>
    <mdx n="508" f="v">
      <t c="3" si="4">
        <n x="509"/>
        <n x="90"/>
        <n x="498"/>
      </t>
    </mdx>
    <mdx n="508" f="v">
      <t c="3" si="4">
        <n x="509"/>
        <n x="85"/>
        <n x="497"/>
      </t>
    </mdx>
    <mdx n="508" f="v">
      <t c="3" si="4">
        <n x="509"/>
        <n x="265"/>
        <n x="497"/>
      </t>
    </mdx>
    <mdx n="508" f="v">
      <t c="3" si="4">
        <n x="509"/>
        <n x="188"/>
        <n x="496"/>
      </t>
    </mdx>
    <mdx n="508" f="v">
      <t c="3" si="4">
        <n x="509"/>
        <n x="380"/>
        <n x="496"/>
      </t>
    </mdx>
    <mdx n="508" f="v">
      <t c="3" si="4">
        <n x="509"/>
        <n x="250"/>
        <n x="496"/>
      </t>
    </mdx>
    <mdx n="508" f="v">
      <t c="3" si="4">
        <n x="509"/>
        <n x="133"/>
        <n x="496"/>
      </t>
    </mdx>
    <mdx n="508" f="v">
      <t c="3" si="4">
        <n x="509"/>
        <n x="214"/>
        <n x="496"/>
      </t>
    </mdx>
    <mdx n="508" f="v">
      <t c="3" si="4">
        <n x="509"/>
        <n x="263"/>
        <n x="1"/>
      </t>
    </mdx>
    <mdx n="508" f="v">
      <t c="3" si="4">
        <n x="509"/>
        <n x="311"/>
        <n x="498"/>
      </t>
    </mdx>
    <mdx n="508" f="v">
      <t c="3" si="4">
        <n x="509"/>
        <n x="454"/>
        <n x="497"/>
      </t>
    </mdx>
    <mdx n="508" f="v">
      <t c="3" si="4">
        <n x="509"/>
        <n x="370"/>
        <n x="497"/>
      </t>
    </mdx>
    <mdx n="508" f="v">
      <t c="3" si="4">
        <n x="509"/>
        <n x="199"/>
        <n x="496"/>
      </t>
    </mdx>
    <mdx n="508" f="v">
      <t c="3" si="4">
        <n x="509"/>
        <n x="447"/>
        <n x="496"/>
      </t>
    </mdx>
    <mdx n="508" f="v">
      <t c="3" si="4">
        <n x="509"/>
        <n x="27"/>
        <n x="496"/>
      </t>
    </mdx>
    <mdx n="508" f="v">
      <t c="3" si="4">
        <n x="509"/>
        <n x="273"/>
        <n x="5"/>
      </t>
    </mdx>
    <mdx n="508" f="v">
      <t c="3" si="4">
        <n x="509"/>
        <n x="233"/>
        <n x="499"/>
      </t>
    </mdx>
    <mdx n="508" f="v">
      <t c="3" si="4">
        <n x="509"/>
        <n x="228"/>
        <n x="497"/>
      </t>
    </mdx>
    <mdx n="508" f="v">
      <t c="3" si="4">
        <n x="509"/>
        <n x="8"/>
        <n x="497"/>
      </t>
    </mdx>
    <mdx n="508" f="v">
      <t c="3" si="4">
        <n x="509"/>
        <n x="344"/>
        <n x="496"/>
      </t>
    </mdx>
    <mdx n="508" f="v">
      <t c="3" si="4">
        <n x="509"/>
        <n x="405"/>
        <n x="496"/>
      </t>
    </mdx>
    <mdx n="508" f="v">
      <t c="3" si="4">
        <n x="509"/>
        <n x="14"/>
        <n x="496"/>
      </t>
    </mdx>
    <mdx n="508" f="v">
      <t c="3" si="4">
        <n x="509"/>
        <n x="343"/>
        <n x="496"/>
      </t>
    </mdx>
    <mdx n="508" f="v">
      <t c="3" si="4">
        <n x="509"/>
        <n x="58"/>
        <n x="496"/>
      </t>
    </mdx>
    <mdx n="508" f="v">
      <t c="3" si="4">
        <n x="509"/>
        <n x="71"/>
        <n x="498"/>
      </t>
    </mdx>
    <mdx n="508" f="v">
      <t c="3" si="4">
        <n x="509"/>
        <n x="162"/>
        <n x="497"/>
      </t>
    </mdx>
    <mdx n="508" f="v">
      <t c="3" si="4">
        <n x="509"/>
        <n x="145"/>
        <n x="497"/>
      </t>
    </mdx>
    <mdx n="508" f="v">
      <t c="3" si="4">
        <n x="509"/>
        <n x="57"/>
        <n x="496"/>
      </t>
    </mdx>
    <mdx n="508" f="v">
      <t c="3" si="4">
        <n x="509"/>
        <n x="149"/>
        <n x="496"/>
      </t>
    </mdx>
    <mdx n="508" f="v">
      <t c="3" si="4">
        <n x="509"/>
        <n x="194"/>
        <n x="496"/>
      </t>
    </mdx>
    <mdx n="508" f="v">
      <t c="3" si="4">
        <n x="509"/>
        <n x="146"/>
        <n x="496"/>
      </t>
    </mdx>
    <mdx n="508" f="v">
      <t c="3" si="4">
        <n x="509"/>
        <n x="392"/>
        <n x="496"/>
      </t>
    </mdx>
    <mdx n="508" f="v">
      <t c="3" si="4">
        <n x="509"/>
        <n x="392"/>
        <n x="498"/>
      </t>
    </mdx>
    <mdx n="508" f="v">
      <t c="3" si="4">
        <n x="509"/>
        <n x="92"/>
        <n x="497"/>
      </t>
    </mdx>
    <mdx n="508" f="v">
      <t c="3" si="4">
        <n x="509"/>
        <n x="219"/>
        <n x="497"/>
      </t>
    </mdx>
    <mdx n="508" f="v">
      <t c="3" si="4">
        <n x="509"/>
        <n x="223"/>
        <n x="496"/>
      </t>
    </mdx>
    <mdx n="508" f="v">
      <t c="3" si="4">
        <n x="509"/>
        <n x="130"/>
        <n x="496"/>
      </t>
    </mdx>
    <mdx n="508" f="v">
      <t c="3" si="4">
        <n x="509"/>
        <n x="165"/>
        <n x="496"/>
      </t>
    </mdx>
    <mdx n="508" f="v">
      <t c="3" si="4">
        <n x="509"/>
        <n x="88"/>
        <n x="496"/>
      </t>
    </mdx>
    <mdx n="508" f="v">
      <t c="3" si="4">
        <n x="509"/>
        <n x="163"/>
        <n x="496"/>
      </t>
    </mdx>
    <mdx n="508" f="v">
      <t c="3" si="4">
        <n x="509"/>
        <n x="229"/>
        <n x="5"/>
      </t>
    </mdx>
    <mdx n="508" f="v">
      <t c="3" si="4">
        <n x="509"/>
        <n x="89"/>
        <n x="498"/>
      </t>
    </mdx>
    <mdx n="508" f="v">
      <t c="3" si="4">
        <n x="509"/>
        <n x="87"/>
        <n x="497"/>
      </t>
    </mdx>
    <mdx n="508" f="v">
      <t c="3" si="4">
        <n x="509"/>
        <n x="73"/>
        <n x="497"/>
      </t>
    </mdx>
    <mdx n="508" f="v">
      <t c="3" si="4">
        <n x="509"/>
        <n x="142"/>
        <n x="496"/>
      </t>
    </mdx>
    <mdx n="508" f="v">
      <t c="3" si="4">
        <n x="509"/>
        <n x="20"/>
        <n x="496"/>
      </t>
    </mdx>
    <mdx n="508" f="v">
      <t c="3" si="4">
        <n x="509"/>
        <n x="454"/>
        <n x="496"/>
      </t>
    </mdx>
    <mdx n="508" f="v">
      <t c="3" si="4">
        <n x="509"/>
        <n x="425"/>
        <n x="499"/>
      </t>
    </mdx>
    <mdx n="508" f="v">
      <t c="3" si="4">
        <n x="509"/>
        <n x="153"/>
        <n x="497"/>
      </t>
    </mdx>
    <mdx n="508" f="v">
      <t c="3" si="4">
        <n x="509"/>
        <n x="139"/>
        <n x="497"/>
      </t>
    </mdx>
    <mdx n="508" f="v">
      <t c="3" si="4">
        <n x="509"/>
        <n x="357"/>
        <n x="496"/>
      </t>
    </mdx>
    <mdx n="508" f="v">
      <t c="3" si="4">
        <n x="509"/>
        <n x="97"/>
        <n x="496"/>
      </t>
    </mdx>
    <mdx n="508" f="v">
      <t c="3" si="4">
        <n x="509"/>
        <n x="400"/>
        <n x="496"/>
      </t>
    </mdx>
    <mdx n="508" f="v">
      <t c="3" si="4">
        <n x="509"/>
        <n x="119"/>
        <n x="496"/>
      </t>
    </mdx>
    <mdx n="508" f="v">
      <t c="3" si="4">
        <n x="509"/>
        <n x="372"/>
        <n x="496"/>
      </t>
    </mdx>
    <mdx n="508" f="v">
      <t c="3" si="4">
        <n x="509"/>
        <n x="155"/>
        <n x="498"/>
      </t>
    </mdx>
    <mdx n="508" f="v">
      <t c="3" si="4">
        <n x="509"/>
        <n x="166"/>
        <n x="497"/>
      </t>
    </mdx>
    <mdx n="508" f="v">
      <t c="3" si="4">
        <n x="509"/>
        <n x="450"/>
        <n x="497"/>
      </t>
    </mdx>
    <mdx n="508" f="v">
      <t c="3" si="4">
        <n x="509"/>
        <n x="445"/>
        <n x="496"/>
      </t>
    </mdx>
    <mdx n="508" f="v">
      <t c="3" si="4">
        <n x="509"/>
        <n x="276"/>
        <n x="496"/>
      </t>
    </mdx>
    <mdx n="508" f="v">
      <t c="3" si="4">
        <n x="509"/>
        <n x="394"/>
        <n x="496"/>
      </t>
    </mdx>
    <mdx n="508" f="v">
      <t c="3" si="4">
        <n x="509"/>
        <n x="84"/>
        <n x="496"/>
      </t>
    </mdx>
    <mdx n="508" f="v">
      <t c="3" si="4">
        <n x="509"/>
        <n x="363"/>
        <n x="496"/>
      </t>
    </mdx>
    <mdx n="508" f="v">
      <t c="3" si="4">
        <n x="509"/>
        <n x="436"/>
        <n x="2"/>
      </t>
    </mdx>
    <mdx n="508" f="v">
      <t c="3" si="4">
        <n x="509"/>
        <n x="439"/>
        <n x="498"/>
      </t>
    </mdx>
    <mdx n="508" f="v">
      <t c="3" si="4">
        <n x="509"/>
        <n x="165"/>
        <n x="497"/>
      </t>
    </mdx>
    <mdx n="508" f="v">
      <t c="3" si="4">
        <n x="509"/>
        <n x="37"/>
        <n x="497"/>
      </t>
    </mdx>
    <mdx n="508" f="v">
      <t c="3" si="4">
        <n x="509"/>
        <n x="195"/>
        <n x="496"/>
      </t>
    </mdx>
    <mdx n="508" f="v">
      <t c="3" si="4">
        <n x="509"/>
        <n x="40"/>
        <n x="496"/>
      </t>
    </mdx>
    <mdx n="508" f="v">
      <t c="3" si="4">
        <n x="509"/>
        <n x="282"/>
        <n x="496"/>
      </t>
    </mdx>
    <mdx n="508" f="v">
      <t c="3" si="4">
        <n x="509"/>
        <n x="151"/>
        <n x="496"/>
      </t>
    </mdx>
    <mdx n="508" f="v">
      <t c="3" si="4">
        <n x="509"/>
        <n x="325"/>
        <n x="496"/>
      </t>
    </mdx>
    <mdx n="508" f="v">
      <t c="3" si="4">
        <n x="509"/>
        <n x="142"/>
        <n x="5"/>
      </t>
    </mdx>
    <mdx n="508" f="v">
      <t c="3" si="4">
        <n x="509"/>
        <n x="438"/>
        <n x="5"/>
      </t>
    </mdx>
    <mdx n="508" f="v">
      <t c="3" si="4">
        <n x="509"/>
        <n x="271"/>
        <n x="498"/>
      </t>
    </mdx>
    <mdx n="508" f="v">
      <t c="3" si="4">
        <n x="509"/>
        <n x="132"/>
        <n x="497"/>
      </t>
    </mdx>
    <mdx n="508" f="v">
      <t c="3" si="4">
        <n x="509"/>
        <n x="375"/>
        <n x="496"/>
      </t>
    </mdx>
    <mdx n="508" f="v">
      <t c="3" si="4">
        <n x="509"/>
        <n x="324"/>
        <n x="496"/>
      </t>
    </mdx>
    <mdx n="508" f="v">
      <t c="3" si="4">
        <n x="509"/>
        <n x="283"/>
        <n x="496"/>
      </t>
    </mdx>
    <mdx n="508" f="v">
      <t c="3" si="4">
        <n x="509"/>
        <n x="351"/>
        <n x="496"/>
      </t>
    </mdx>
    <mdx n="508" f="v">
      <t c="3" si="4">
        <n x="509"/>
        <n x="33"/>
        <n x="496"/>
      </t>
    </mdx>
    <mdx n="508" f="v">
      <t c="3" si="4">
        <n x="509"/>
        <n x="241"/>
        <n x="498"/>
      </t>
    </mdx>
    <mdx n="508" f="v">
      <t c="3" si="4">
        <n x="509"/>
        <n x="455"/>
        <n x="497"/>
      </t>
    </mdx>
    <mdx n="508" f="v">
      <t c="3" si="4">
        <n x="509"/>
        <n x="415"/>
        <n x="497"/>
      </t>
    </mdx>
    <mdx n="508" f="v">
      <t c="3" si="4">
        <n x="509"/>
        <n x="74"/>
        <n x="496"/>
      </t>
    </mdx>
    <mdx n="508" f="v">
      <t c="3" si="4">
        <n x="509"/>
        <n x="280"/>
        <n x="496"/>
      </t>
    </mdx>
    <mdx n="508" f="v">
      <t c="3" si="4">
        <n x="509"/>
        <n x="339"/>
        <n x="496"/>
      </t>
    </mdx>
    <mdx n="508" f="v">
      <t c="3" si="4">
        <n x="509"/>
        <n x="377"/>
        <n x="496"/>
      </t>
    </mdx>
    <mdx n="508" f="v">
      <t c="3" si="4">
        <n x="509"/>
        <n x="352"/>
        <n x="498"/>
      </t>
    </mdx>
    <mdx n="508" f="v">
      <t c="3" si="4">
        <n x="509"/>
        <n x="275"/>
        <n x="497"/>
      </t>
    </mdx>
    <mdx n="508" f="v">
      <t c="3" si="4">
        <n x="509"/>
        <n x="374"/>
        <n x="497"/>
      </t>
    </mdx>
    <mdx n="508" f="v">
      <t c="3" si="4">
        <n x="509"/>
        <n x="297"/>
        <n x="496"/>
      </t>
    </mdx>
    <mdx n="508" f="v">
      <t c="3" si="4">
        <n x="509"/>
        <n x="230"/>
        <n x="496"/>
      </t>
    </mdx>
    <mdx n="508" f="v">
      <t c="3" si="4">
        <n x="509"/>
        <n x="422"/>
        <n x="496"/>
      </t>
    </mdx>
    <mdx n="508" f="v">
      <t c="3" si="4">
        <n x="509"/>
        <n x="207"/>
        <n x="496"/>
      </t>
    </mdx>
    <mdx n="508" f="v">
      <t c="3" si="4">
        <n x="509"/>
        <n x="260"/>
        <n x="496"/>
      </t>
    </mdx>
    <mdx n="508" f="v">
      <t c="3" si="4">
        <n x="509"/>
        <n x="252"/>
        <n x="498"/>
      </t>
    </mdx>
    <mdx n="508" f="v">
      <t c="3" si="4">
        <n x="509"/>
        <n x="62"/>
        <n x="497"/>
      </t>
    </mdx>
    <mdx n="508" f="v">
      <t c="3" si="4">
        <n x="509"/>
        <n x="201"/>
        <n x="497"/>
      </t>
    </mdx>
    <mdx n="508" f="v">
      <t c="3" si="4">
        <n x="509"/>
        <n x="395"/>
        <n x="496"/>
      </t>
    </mdx>
    <mdx n="508" f="v">
      <t c="3" si="4">
        <n x="509"/>
        <n x="71"/>
        <n x="496"/>
      </t>
    </mdx>
    <mdx n="508" f="v">
      <t c="3" si="4">
        <n x="509"/>
        <n x="184"/>
        <n x="496"/>
      </t>
    </mdx>
    <mdx n="508" f="v">
      <t c="3" si="4">
        <n x="509"/>
        <n x="116"/>
        <n x="496"/>
      </t>
    </mdx>
    <mdx n="508" f="v">
      <t c="3" si="4">
        <n x="509"/>
        <n x="19"/>
        <n x="5"/>
      </t>
    </mdx>
    <mdx n="508" f="v">
      <t c="3" si="4">
        <n x="509"/>
        <n x="359"/>
        <n x="498"/>
      </t>
    </mdx>
    <mdx n="508" f="v">
      <t c="3" si="4">
        <n x="509"/>
        <n x="184"/>
        <n x="497"/>
      </t>
    </mdx>
    <mdx n="508" f="v">
      <t c="3" si="4">
        <n x="509"/>
        <n x="459"/>
        <n x="497"/>
      </t>
    </mdx>
    <mdx n="508" f="v">
      <t c="3" si="4">
        <n x="509"/>
        <n x="196"/>
        <n x="496"/>
      </t>
    </mdx>
    <mdx n="508" f="v">
      <t c="3" si="4">
        <n x="509"/>
        <n x="62"/>
        <n x="496"/>
      </t>
    </mdx>
    <mdx n="508" f="v">
      <t c="3" si="4">
        <n x="509"/>
        <n x="233"/>
        <n x="496"/>
      </t>
    </mdx>
    <mdx n="508" f="v">
      <t c="3" si="4">
        <n x="509"/>
        <n x="89"/>
        <n x="496"/>
      </t>
    </mdx>
    <mdx n="508" f="v">
      <t c="3" si="4">
        <n x="509"/>
        <n x="289"/>
        <n x="496"/>
      </t>
    </mdx>
    <mdx n="508" f="v">
      <t c="3" si="4">
        <n x="509"/>
        <n x="376"/>
        <n x="2"/>
      </t>
    </mdx>
    <mdx n="508" f="v">
      <t c="3" si="4">
        <n x="509"/>
        <n x="124"/>
        <n x="499"/>
      </t>
    </mdx>
    <mdx n="508" f="v">
      <t c="3" si="4">
        <n x="509"/>
        <n x="152"/>
        <n x="497"/>
      </t>
    </mdx>
    <mdx n="508" f="v">
      <t c="3" si="4">
        <n x="509"/>
        <n x="55"/>
        <n x="497"/>
      </t>
    </mdx>
    <mdx n="508" f="v">
      <t c="3" si="4">
        <n x="509"/>
        <n x="403"/>
        <n x="496"/>
      </t>
    </mdx>
    <mdx n="508" f="v">
      <t c="3" si="4">
        <n x="509"/>
        <n x="82"/>
        <n x="496"/>
      </t>
    </mdx>
    <mdx n="508" f="v">
      <t c="3" si="4">
        <n x="509"/>
        <n x="300"/>
        <n x="496"/>
      </t>
    </mdx>
    <mdx n="508" f="v">
      <t c="3" si="4">
        <n x="509"/>
        <n x="220"/>
        <n x="496"/>
      </t>
    </mdx>
    <mdx n="508" f="v">
      <t c="3" si="4">
        <n x="509"/>
        <n x="171"/>
        <n x="496"/>
      </t>
    </mdx>
    <mdx n="508" f="v">
      <t c="3" si="4">
        <n x="509"/>
        <n x="110"/>
        <n x="498"/>
      </t>
    </mdx>
    <mdx n="508" f="v">
      <t c="3" si="4">
        <n x="509"/>
        <n x="311"/>
        <n x="497"/>
      </t>
    </mdx>
    <mdx n="508" f="v">
      <t c="3" si="4">
        <n x="509"/>
        <n x="274"/>
        <n x="497"/>
      </t>
    </mdx>
    <mdx n="508" f="v">
      <t c="3" si="4">
        <n x="509"/>
        <n x="148"/>
        <n x="496"/>
      </t>
    </mdx>
    <mdx n="508" f="v">
      <t c="3" si="4">
        <n x="509"/>
        <n x="125"/>
        <n x="496"/>
      </t>
    </mdx>
    <mdx n="508" f="v">
      <t c="3" si="4">
        <n x="509"/>
        <n x="69"/>
        <n x="496"/>
      </t>
    </mdx>
    <mdx n="508" f="v">
      <t c="3" si="4">
        <n x="509"/>
        <n x="235"/>
        <n x="496"/>
      </t>
    </mdx>
    <mdx n="508" f="v">
      <t c="3" si="4">
        <n x="509"/>
        <n x="412"/>
        <n x="497"/>
      </t>
    </mdx>
    <mdx n="508" f="v">
      <t c="3" si="4">
        <n x="509"/>
        <n x="460"/>
        <n x="496"/>
      </t>
    </mdx>
    <mdx n="508" f="v">
      <t c="3" si="4">
        <n x="509"/>
        <n x="448"/>
        <n x="496"/>
      </t>
    </mdx>
    <mdx n="508" f="v">
      <t c="3" si="4">
        <n x="509"/>
        <n x="384"/>
        <n x="496"/>
      </t>
    </mdx>
    <mdx n="508" f="v">
      <t c="3" si="4">
        <n x="509"/>
        <n x="297"/>
        <n x="498"/>
      </t>
    </mdx>
    <mdx n="508" f="v">
      <t c="3" si="4">
        <n x="509"/>
        <n x="383"/>
        <n x="496"/>
      </t>
    </mdx>
    <mdx n="508" f="v">
      <t c="3" si="4">
        <n x="509"/>
        <n x="217"/>
        <n x="496"/>
      </t>
    </mdx>
    <mdx n="508" f="v">
      <t c="3" si="4">
        <n x="509"/>
        <n x="53"/>
        <n x="497"/>
      </t>
    </mdx>
    <mdx n="508" f="v">
      <t c="3" si="4">
        <n x="509"/>
        <n x="279"/>
        <n x="1"/>
      </t>
    </mdx>
    <mdx n="508" f="v">
      <t c="3" si="4">
        <n x="509"/>
        <n x="371"/>
        <n x="496"/>
      </t>
    </mdx>
    <mdx n="508" f="v">
      <t c="3" si="4">
        <n x="509"/>
        <n x="168"/>
        <n x="5"/>
      </t>
    </mdx>
    <mdx n="508" f="v">
      <t c="3" si="4">
        <n x="509"/>
        <n x="363"/>
        <n x="497"/>
      </t>
    </mdx>
    <mdx n="508" f="v">
      <t c="3" si="4">
        <n x="509"/>
        <n x="247"/>
        <n x="496"/>
      </t>
    </mdx>
    <mdx n="508" f="v">
      <t c="3" si="4">
        <n x="509"/>
        <n x="30"/>
        <n x="497"/>
      </t>
    </mdx>
    <mdx n="508" f="v">
      <t c="3" si="4">
        <n x="509"/>
        <n x="442"/>
        <n x="496"/>
      </t>
    </mdx>
    <mdx n="508" f="v">
      <t c="3" si="4">
        <n x="509"/>
        <n x="226"/>
        <n x="496"/>
      </t>
    </mdx>
    <mdx n="508" f="v">
      <t c="3" si="4">
        <n x="509"/>
        <n x="354"/>
        <n x="496"/>
      </t>
    </mdx>
    <mdx n="508" f="v">
      <t c="3" si="4">
        <n x="509"/>
        <n x="384"/>
        <n x="497"/>
      </t>
    </mdx>
    <mdx n="508" f="v">
      <t c="3" si="4">
        <n x="509"/>
        <n x="34"/>
        <n x="496"/>
      </t>
    </mdx>
    <mdx n="508" f="v">
      <t c="3" si="4">
        <n x="509"/>
        <n x="350"/>
        <n x="496"/>
      </t>
    </mdx>
    <mdx n="508" f="v">
      <t c="3" si="4">
        <n x="509"/>
        <n x="179"/>
        <n x="497"/>
      </t>
    </mdx>
    <mdx n="508" f="v">
      <t c="3" si="4">
        <n x="509"/>
        <n x="462"/>
        <n x="5"/>
      </t>
    </mdx>
    <mdx n="508" f="v">
      <t c="3" si="4">
        <n x="509"/>
        <n x="120"/>
        <n x="496"/>
      </t>
    </mdx>
    <mdx n="508" f="v">
      <t c="3" si="4">
        <n x="509"/>
        <n x="67"/>
        <n x="496"/>
      </t>
    </mdx>
    <mdx n="508" f="v">
      <t c="3" si="4">
        <n x="509"/>
        <n x="123"/>
        <n x="5"/>
      </t>
    </mdx>
    <mdx n="508" f="v">
      <t c="3" si="4">
        <n x="509"/>
        <n x="50"/>
        <n x="496"/>
      </t>
    </mdx>
    <mdx n="508" f="v">
      <t c="3" si="4">
        <n x="509"/>
        <n x="144"/>
        <n x="496"/>
      </t>
    </mdx>
    <mdx n="508" f="v">
      <t c="3" si="4">
        <n x="509"/>
        <n x="309"/>
        <n x="496"/>
      </t>
    </mdx>
    <mdx n="508" f="v">
      <t c="3" si="4">
        <n x="509"/>
        <n x="424"/>
        <n x="5"/>
      </t>
    </mdx>
    <mdx n="508" f="v">
      <t c="3" si="4">
        <n x="509"/>
        <n x="358"/>
        <n x="497"/>
      </t>
    </mdx>
    <mdx n="508" f="v">
      <t c="3" si="4">
        <n x="509"/>
        <n x="334"/>
        <n x="496"/>
      </t>
    </mdx>
    <mdx n="508" f="v">
      <t c="3" si="4">
        <n x="509"/>
        <n x="258"/>
        <n x="496"/>
      </t>
    </mdx>
    <mdx n="508" f="v">
      <t c="3" si="4">
        <n x="509"/>
        <n x="253"/>
        <n x="496"/>
      </t>
    </mdx>
    <mdx n="508" f="v">
      <t c="3" si="4">
        <n x="509"/>
        <n x="455"/>
        <n x="496"/>
      </t>
    </mdx>
    <mdx n="508" f="v">
      <t c="3" si="4">
        <n x="509"/>
        <n x="334"/>
        <n x="5"/>
      </t>
    </mdx>
    <mdx n="508" f="v">
      <t c="3" si="4">
        <n x="509"/>
        <n x="115"/>
        <n x="496"/>
      </t>
    </mdx>
    <mdx n="508" f="v">
      <t c="3" si="4">
        <n x="509"/>
        <n x="271"/>
        <n x="5"/>
      </t>
    </mdx>
    <mdx n="508" f="v">
      <t c="3" si="4">
        <n x="509"/>
        <n x="413"/>
        <n x="1"/>
      </t>
    </mdx>
    <mdx n="508" f="v">
      <t c="3" si="4">
        <n x="509"/>
        <n x="262"/>
        <n x="496"/>
      </t>
    </mdx>
    <mdx n="508" f="v">
      <t c="3" si="4">
        <n x="509"/>
        <n x="138"/>
        <n x="496"/>
      </t>
    </mdx>
    <mdx n="508" f="v">
      <t c="3" si="4">
        <n x="509"/>
        <n x="267"/>
        <n x="498"/>
      </t>
    </mdx>
    <mdx n="508" f="v">
      <t c="3" si="4">
        <n x="509"/>
        <n x="55"/>
        <n x="499"/>
      </t>
    </mdx>
    <mdx n="508" f="v">
      <t c="3" si="4">
        <n x="509"/>
        <n x="232"/>
        <n x="496"/>
      </t>
    </mdx>
    <mdx n="508" f="v">
      <t c="3" si="4">
        <n x="509"/>
        <n x="256"/>
        <n x="497"/>
      </t>
    </mdx>
    <mdx n="508" f="v">
      <t c="3" si="4">
        <n x="509"/>
        <n x="170"/>
        <n x="496"/>
      </t>
    </mdx>
    <mdx n="508" f="v">
      <t c="3" si="4">
        <n x="509"/>
        <n x="434"/>
        <n x="496"/>
      </t>
    </mdx>
    <mdx n="508" f="v">
      <t c="3" si="4">
        <n x="509"/>
        <n x="316"/>
        <n x="496"/>
      </t>
    </mdx>
    <mdx n="508" f="v">
      <t c="3" si="4">
        <n x="509"/>
        <n x="259"/>
        <n x="473"/>
      </t>
    </mdx>
    <mdx n="508" f="v">
      <t c="3" si="4">
        <n x="509"/>
        <n x="373"/>
        <n x="5"/>
      </t>
    </mdx>
    <mdx n="508" f="v">
      <t c="3" si="4">
        <n x="509"/>
        <n x="411"/>
        <n x="5"/>
      </t>
    </mdx>
    <mdx n="508" f="v">
      <t c="3" si="4">
        <n x="509"/>
        <n x="286"/>
        <n x="496"/>
      </t>
    </mdx>
    <mdx n="508" f="v">
      <t c="3" si="4">
        <n x="509"/>
        <n x="116"/>
        <n x="1"/>
      </t>
    </mdx>
    <mdx n="508" f="v">
      <t c="3" si="4">
        <n x="509"/>
        <n x="412"/>
        <n x="496"/>
      </t>
    </mdx>
    <mdx n="508" f="v">
      <t c="3" si="4">
        <n x="509"/>
        <n x="192"/>
        <n x="5"/>
      </t>
    </mdx>
    <mdx n="508" f="v">
      <t c="3" si="4">
        <n x="509"/>
        <n x="294"/>
        <n x="5"/>
      </t>
    </mdx>
    <mdx n="508" f="v">
      <t c="3" si="4">
        <n x="509"/>
        <n x="423"/>
        <n x="1"/>
      </t>
    </mdx>
    <mdx n="508" f="v">
      <t c="3" si="4">
        <n x="509"/>
        <n x="321"/>
        <n x="496"/>
      </t>
    </mdx>
    <mdx n="508" f="v">
      <t c="3" si="4">
        <n x="509"/>
        <n x="192"/>
        <n x="496"/>
      </t>
    </mdx>
    <mdx n="508" f="v">
      <t c="3" si="4">
        <n x="509"/>
        <n x="202"/>
        <n x="497"/>
      </t>
    </mdx>
    <mdx n="508" f="v">
      <t c="3" si="4">
        <n x="509"/>
        <n x="195"/>
        <n x="497"/>
      </t>
    </mdx>
    <mdx n="508" f="v">
      <t c="3" si="4">
        <n x="509"/>
        <n x="364"/>
        <n x="496"/>
      </t>
    </mdx>
    <mdx n="508" f="v">
      <t c="3" si="4">
        <n x="509"/>
        <n x="116"/>
        <n x="497"/>
      </t>
    </mdx>
    <mdx n="508" f="v">
      <t c="3" si="4">
        <n x="509"/>
        <n x="206"/>
        <n x="496"/>
      </t>
    </mdx>
    <mdx n="508" f="v">
      <t c="3" si="4">
        <n x="509"/>
        <n x="112"/>
        <n x="496"/>
      </t>
    </mdx>
    <mdx n="508" f="v">
      <t c="3" si="4">
        <n x="509"/>
        <n x="213"/>
        <n x="496"/>
      </t>
    </mdx>
    <mdx n="508" f="v">
      <t c="3" si="4">
        <n x="509"/>
        <n x="323"/>
        <n x="473"/>
      </t>
    </mdx>
    <mdx n="508" f="v">
      <t c="3" si="4">
        <n x="509"/>
        <n x="246"/>
        <n x="499"/>
      </t>
    </mdx>
    <mdx n="508" f="v">
      <t c="3" si="4">
        <n x="509"/>
        <n x="439"/>
        <n x="1"/>
      </t>
    </mdx>
    <mdx n="508" f="v">
      <t c="3" si="4">
        <n x="509"/>
        <n x="157"/>
        <n x="5"/>
      </t>
    </mdx>
    <mdx n="508" f="v">
      <t c="3" si="4">
        <n x="509"/>
        <n x="55"/>
        <n x="496"/>
      </t>
    </mdx>
    <mdx n="508" f="v">
      <t c="3" si="4">
        <n x="509"/>
        <n x="239"/>
        <n x="2"/>
      </t>
    </mdx>
    <mdx n="508" f="v">
      <t c="3" si="4">
        <n x="509"/>
        <n x="342"/>
        <n x="5"/>
      </t>
    </mdx>
    <mdx n="508" f="v">
      <t c="3" si="4">
        <n x="509"/>
        <n x="201"/>
        <n x="1"/>
      </t>
    </mdx>
    <mdx n="508" f="v">
      <t c="3" si="4">
        <n x="509"/>
        <n x="288"/>
        <n x="496"/>
      </t>
    </mdx>
    <mdx n="508" f="v">
      <t c="3" si="4">
        <n x="509"/>
        <n x="407"/>
        <n x="496"/>
      </t>
    </mdx>
    <mdx n="508" f="v">
      <t c="3" si="4">
        <n x="509"/>
        <n x="457"/>
        <n x="498"/>
      </t>
    </mdx>
    <mdx n="508" f="v">
      <t c="3" si="4">
        <n x="509"/>
        <n x="297"/>
        <n x="497"/>
      </t>
    </mdx>
    <mdx n="508" f="v">
      <t c="3" si="4">
        <n x="509"/>
        <n x="368"/>
        <n x="5"/>
      </t>
    </mdx>
    <mdx n="508" f="v">
      <t c="3" si="4">
        <n x="509"/>
        <n x="225"/>
        <n x="497"/>
      </t>
    </mdx>
    <mdx n="508" f="v">
      <t c="3" si="4">
        <n x="509"/>
        <n x="461"/>
        <n x="496"/>
      </t>
    </mdx>
    <mdx n="508" f="v">
      <t c="3" si="4">
        <n x="509"/>
        <n x="168"/>
        <n x="497"/>
      </t>
    </mdx>
    <mdx n="508" f="v">
      <t c="3" si="4">
        <n x="509"/>
        <n x="178"/>
        <n x="496"/>
      </t>
    </mdx>
    <mdx n="508" f="v">
      <t c="3" si="4">
        <n x="509"/>
        <n x="185"/>
        <n x="496"/>
      </t>
    </mdx>
    <mdx n="508" f="v">
      <t c="3" si="4">
        <n x="509"/>
        <n x="231"/>
        <n x="496"/>
      </t>
    </mdx>
    <mdx n="508" f="v">
      <t c="3" si="4">
        <n x="509"/>
        <n x="359"/>
        <n x="5"/>
      </t>
    </mdx>
    <mdx n="508" f="v">
      <t c="3" si="4">
        <n x="509"/>
        <n x="320"/>
        <n x="497"/>
      </t>
    </mdx>
    <mdx n="508" f="v">
      <t c="3" si="4">
        <n x="509"/>
        <n x="166"/>
        <n x="467"/>
      </t>
    </mdx>
    <mdx n="508" f="v">
      <t c="3" si="4">
        <n x="509"/>
        <n x="124"/>
        <n x="496"/>
      </t>
    </mdx>
    <mdx n="508" f="v">
      <t c="3" si="4">
        <n x="509"/>
        <n x="301"/>
        <n x="5"/>
      </t>
    </mdx>
    <mdx n="508" f="v">
      <t c="3" si="4">
        <n x="509"/>
        <n x="259"/>
        <n x="1"/>
      </t>
    </mdx>
    <mdx n="508" f="v">
      <t c="3" si="4">
        <n x="509"/>
        <n x="113"/>
        <n x="498"/>
      </t>
    </mdx>
    <mdx n="508" f="v">
      <t c="3" si="4">
        <n x="509"/>
        <n x="96"/>
        <n x="496"/>
      </t>
    </mdx>
    <mdx n="508" f="v">
      <t c="3" si="4">
        <n x="509"/>
        <n x="241"/>
        <n x="497"/>
      </t>
    </mdx>
    <mdx n="508" f="v">
      <t c="3" si="4">
        <n x="509"/>
        <n x="338"/>
        <n x="496"/>
      </t>
    </mdx>
    <mdx n="508" f="v">
      <t c="3" si="4">
        <n x="509"/>
        <n x="428"/>
        <n x="496"/>
      </t>
    </mdx>
    <mdx n="508" f="v">
      <t c="3" si="4">
        <n x="509"/>
        <n x="373"/>
        <n x="498"/>
      </t>
    </mdx>
    <mdx n="508" f="v">
      <t c="3" si="4">
        <n x="509"/>
        <n x="12"/>
        <n x="496"/>
      </t>
    </mdx>
    <mdx n="508" f="v">
      <t c="3" si="4">
        <n x="509"/>
        <n x="458"/>
        <n x="496"/>
      </t>
    </mdx>
    <mdx n="508" f="v">
      <t c="3" si="4">
        <n x="509"/>
        <n x="340"/>
        <n x="496"/>
      </t>
    </mdx>
    <mdx n="508" f="v">
      <t c="3" si="4">
        <n x="509"/>
        <n x="238"/>
        <n x="5"/>
      </t>
    </mdx>
    <mdx n="508" f="v">
      <t c="3" si="4">
        <n x="509"/>
        <n x="270"/>
        <n x="496"/>
      </t>
    </mdx>
    <mdx n="508" f="v">
      <t c="3" si="4">
        <n x="509"/>
        <n x="234"/>
        <n x="497"/>
      </t>
    </mdx>
    <mdx n="508" f="v">
      <t c="3" si="4">
        <n x="509"/>
        <n x="260"/>
        <n x="5"/>
      </t>
    </mdx>
    <mdx n="508" f="v">
      <t c="3" si="4">
        <n x="509"/>
        <n x="146"/>
        <n x="2"/>
      </t>
    </mdx>
    <mdx n="508" f="v">
      <t c="3" si="4">
        <n x="509"/>
        <n x="414"/>
        <n x="498"/>
      </t>
    </mdx>
    <mdx n="508" f="v">
      <t c="3" si="4">
        <n x="509"/>
        <n x="317"/>
        <n x="1"/>
      </t>
    </mdx>
    <mdx n="508" f="v">
      <t c="3" si="4">
        <n x="509"/>
        <n x="176"/>
        <n x="5"/>
      </t>
    </mdx>
    <mdx n="508" f="v">
      <t c="3" si="4">
        <n x="509"/>
        <n x="239"/>
        <n x="473"/>
      </t>
    </mdx>
    <mdx n="508" f="v">
      <t c="3" si="4">
        <n x="509"/>
        <n x="128"/>
        <n x="497"/>
      </t>
    </mdx>
    <mdx n="508" f="v">
      <t c="3" si="4">
        <n x="509"/>
        <n x="61"/>
        <n x="496"/>
      </t>
    </mdx>
    <mdx n="508" f="v">
      <t c="3" si="4">
        <n x="509"/>
        <n x="189"/>
        <n x="498"/>
      </t>
    </mdx>
    <mdx n="508" f="v">
      <t c="3" si="4">
        <n x="509"/>
        <n x="128"/>
        <n x="499"/>
      </t>
    </mdx>
    <mdx n="508" f="v">
      <t c="3" si="4">
        <n x="509"/>
        <n x="221"/>
        <n x="5"/>
      </t>
    </mdx>
    <mdx n="508" f="v">
      <t c="3" si="4">
        <n x="509"/>
        <n x="347"/>
        <n x="1"/>
      </t>
    </mdx>
    <mdx n="508" f="v">
      <t c="3" si="4">
        <n x="509"/>
        <n x="239"/>
        <n x="1"/>
      </t>
    </mdx>
    <mdx n="508" f="v">
      <t c="3" si="4">
        <n x="509"/>
        <n x="463"/>
        <n x="496"/>
      </t>
    </mdx>
    <mdx n="508" f="v">
      <t c="3" si="4">
        <n x="509"/>
        <n x="122"/>
        <n x="496"/>
      </t>
    </mdx>
    <mdx n="508" f="v">
      <t c="3" si="4">
        <n x="509"/>
        <n x="272"/>
        <n x="467"/>
      </t>
    </mdx>
    <mdx n="508" f="v">
      <t c="3" si="4">
        <n x="509"/>
        <n x="431"/>
        <n x="2"/>
      </t>
    </mdx>
    <mdx n="508" f="v">
      <t c="3" si="4">
        <n x="509"/>
        <n x="189"/>
        <n x="496"/>
      </t>
    </mdx>
    <mdx n="508" f="v">
      <t c="3" si="4">
        <n x="509"/>
        <n x="438"/>
        <n x="1"/>
      </t>
    </mdx>
    <mdx n="508" f="v">
      <t c="3" si="4">
        <n x="509"/>
        <n x="307"/>
        <n x="496"/>
      </t>
    </mdx>
    <mdx n="508" f="v">
      <t c="3" si="4">
        <n x="509"/>
        <n x="59"/>
        <n x="496"/>
      </t>
    </mdx>
    <mdx n="508" f="v">
      <t c="3" si="4">
        <n x="509"/>
        <n x="316"/>
        <n x="2"/>
      </t>
    </mdx>
    <mdx n="508" f="v">
      <t c="3" si="4">
        <n x="509"/>
        <n x="341"/>
        <n x="497"/>
      </t>
    </mdx>
    <mdx n="508" f="v">
      <t c="3" si="4">
        <n x="509"/>
        <n x="156"/>
        <n x="5"/>
      </t>
    </mdx>
    <mdx n="508" f="v">
      <t c="3" si="4">
        <n x="509"/>
        <n x="346"/>
        <n x="496"/>
      </t>
    </mdx>
    <mdx n="508" f="v">
      <t c="3" si="4">
        <n x="509"/>
        <n x="235"/>
        <n x="497"/>
      </t>
    </mdx>
    <mdx n="508" f="v">
      <t c="3" si="4">
        <n x="509"/>
        <n x="343"/>
        <n x="5"/>
      </t>
    </mdx>
    <mdx n="508" f="v">
      <t c="3" si="4">
        <n x="509"/>
        <n x="142"/>
        <n x="1"/>
      </t>
    </mdx>
    <mdx n="508" f="v">
      <t c="3" si="4">
        <n x="509"/>
        <n x="333"/>
        <n x="1"/>
      </t>
    </mdx>
    <mdx n="508" f="v">
      <t c="3" si="4">
        <n x="509"/>
        <n x="376"/>
        <n x="498"/>
      </t>
    </mdx>
    <mdx n="508" f="v">
      <t c="3" si="4">
        <n x="509"/>
        <n x="365"/>
        <n x="5"/>
      </t>
    </mdx>
    <mdx n="508" f="v">
      <t c="3" si="4">
        <n x="509"/>
        <n x="419"/>
        <n x="5"/>
      </t>
    </mdx>
    <mdx n="508" f="v">
      <t c="3" si="4">
        <n x="509"/>
        <n x="257"/>
        <n x="5"/>
      </t>
    </mdx>
    <mdx n="508" f="v">
      <t c="3" si="4">
        <n x="509"/>
        <n x="294"/>
        <n x="498"/>
      </t>
    </mdx>
    <mdx n="508" f="v">
      <t c="3" si="4">
        <n x="509"/>
        <n x="236"/>
        <n x="5"/>
      </t>
    </mdx>
    <mdx n="508" f="v">
      <t c="3" si="4">
        <n x="509"/>
        <n x="149"/>
        <n x="5"/>
      </t>
    </mdx>
    <mdx n="508" f="v">
      <t c="3" si="4">
        <n x="509"/>
        <n x="200"/>
        <n x="5"/>
      </t>
    </mdx>
    <mdx n="508" f="v">
      <t c="3" si="4">
        <n x="509"/>
        <n x="359"/>
        <n x="473"/>
      </t>
    </mdx>
    <mdx n="508" f="v">
      <t c="3" si="4">
        <n x="509"/>
        <n x="327"/>
        <n x="496"/>
      </t>
    </mdx>
    <mdx n="508" f="v">
      <t c="3" si="4">
        <n x="509"/>
        <n x="408"/>
        <n x="496"/>
      </t>
    </mdx>
    <mdx n="508" f="v">
      <t c="3" si="4">
        <n x="509"/>
        <n x="393"/>
        <n x="1"/>
      </t>
    </mdx>
    <mdx n="508" f="v">
      <t c="3" si="4">
        <n x="509"/>
        <n x="196"/>
        <n x="1"/>
      </t>
    </mdx>
    <mdx n="508" f="v">
      <t c="3" si="475">
        <n x="509"/>
        <n x="106"/>
        <n x="474"/>
      </t>
    </mdx>
    <mdx n="508" f="v">
      <t c="3" si="4">
        <n x="509"/>
        <n x="291"/>
        <n x="497"/>
      </t>
    </mdx>
    <mdx n="508" f="v">
      <t c="3" si="4">
        <n x="509"/>
        <n x="155"/>
        <n x="472"/>
      </t>
    </mdx>
    <mdx n="508" f="v">
      <t c="3" si="4">
        <n x="509"/>
        <n x="42"/>
        <n x="497"/>
      </t>
    </mdx>
    <mdx n="508" f="v">
      <t c="3" si="4">
        <n x="509"/>
        <n x="118"/>
        <n x="5"/>
      </t>
    </mdx>
    <mdx n="508" f="v">
      <t c="3" si="4">
        <n x="509"/>
        <n x="221"/>
        <n x="1"/>
      </t>
    </mdx>
    <mdx n="508" f="v">
      <t c="3" si="4">
        <n x="509"/>
        <n x="27"/>
        <n x="5"/>
      </t>
    </mdx>
    <mdx n="508" f="v">
      <t c="3" si="4">
        <n x="509"/>
        <n x="87"/>
        <n x="496"/>
      </t>
    </mdx>
    <mdx n="508" f="v">
      <t c="3" si="4">
        <n x="509"/>
        <n x="439"/>
        <n x="496"/>
      </t>
    </mdx>
    <mdx n="508" f="v">
      <t c="3" si="4">
        <n x="509"/>
        <n x="131"/>
        <n x="5"/>
      </t>
    </mdx>
    <mdx n="508" f="v">
      <t c="3" si="4">
        <n x="509"/>
        <n x="171"/>
        <n x="497"/>
      </t>
    </mdx>
    <mdx n="508" f="v">
      <t c="3" si="4">
        <n x="509"/>
        <n x="462"/>
        <n x="2"/>
      </t>
    </mdx>
    <mdx n="508" f="v">
      <t c="3" si="4">
        <n x="509"/>
        <n x="335"/>
        <n x="2"/>
      </t>
    </mdx>
    <mdx n="508" f="v">
      <t c="3" si="4">
        <n x="509"/>
        <n x="236"/>
        <n x="496"/>
      </t>
    </mdx>
    <mdx n="508" f="v">
      <t c="3" si="4">
        <n x="509"/>
        <n x="95"/>
        <n x="496"/>
      </t>
    </mdx>
    <mdx n="508" f="v">
      <t c="3" si="4">
        <n x="509"/>
        <n x="314"/>
        <n x="497"/>
      </t>
    </mdx>
    <mdx n="508" f="v">
      <t c="3" si="4">
        <n x="509"/>
        <n x="59"/>
        <n x="5"/>
      </t>
    </mdx>
    <mdx n="508" f="v">
      <t c="3" si="4">
        <n x="509"/>
        <n x="253"/>
        <n x="1"/>
      </t>
    </mdx>
    <mdx n="508" f="v">
      <t c="3" si="4">
        <n x="509"/>
        <n x="170"/>
        <n x="5"/>
      </t>
    </mdx>
    <mdx n="508" f="v">
      <t c="3" si="4">
        <n x="509"/>
        <n x="440"/>
        <n x="1"/>
      </t>
    </mdx>
    <mdx n="508" f="v">
      <t c="3" si="4">
        <n x="509"/>
        <n x="449"/>
        <n x="5"/>
      </t>
    </mdx>
    <mdx n="508" f="v">
      <t c="3" si="4">
        <n x="509"/>
        <n x="318"/>
        <n x="496"/>
      </t>
    </mdx>
    <mdx n="508" f="v">
      <t c="3" si="4">
        <n x="509"/>
        <n x="320"/>
        <n x="5"/>
      </t>
    </mdx>
    <mdx n="508" f="v">
      <t c="3" si="4">
        <n x="509"/>
        <n x="11"/>
        <n x="5"/>
      </t>
    </mdx>
    <mdx n="508" f="v">
      <t c="3" si="4">
        <n x="509"/>
        <n x="401"/>
        <n x="5"/>
      </t>
    </mdx>
    <mdx n="508" f="v">
      <t c="3" si="4">
        <n x="509"/>
        <n x="164"/>
        <n x="2"/>
      </t>
    </mdx>
    <mdx n="508" f="v">
      <t c="3" si="4">
        <n x="509"/>
        <n x="9"/>
        <n x="1"/>
      </t>
    </mdx>
    <mdx n="508" f="v">
      <t c="3" si="4">
        <n x="509"/>
        <n x="366"/>
        <n x="1"/>
      </t>
    </mdx>
    <mdx n="508" f="v">
      <t c="3" si="4">
        <n x="509"/>
        <n x="228"/>
        <n x="1"/>
      </t>
    </mdx>
    <mdx n="508" f="v">
      <t c="3" si="4">
        <n x="509"/>
        <n x="82"/>
        <n x="2"/>
      </t>
    </mdx>
    <mdx n="508" f="v">
      <t c="3" si="4">
        <n x="509"/>
        <n x="143"/>
        <n x="472"/>
      </t>
    </mdx>
    <mdx n="508" f="v">
      <t c="3" si="4">
        <n x="509"/>
        <n x="7"/>
        <n x="5"/>
      </t>
    </mdx>
    <mdx n="508" f="v">
      <t c="3" si="4">
        <n x="509"/>
        <n x="62"/>
        <n x="2"/>
      </t>
    </mdx>
    <mdx n="508" f="v">
      <t c="3" si="4">
        <n x="509"/>
        <n x="449"/>
        <n x="473"/>
      </t>
    </mdx>
    <mdx n="508" f="v">
      <t c="3" si="4">
        <n x="509"/>
        <n x="122"/>
        <n x="2"/>
      </t>
    </mdx>
    <mdx n="508" f="v">
      <t c="3" si="4">
        <n x="509"/>
        <n x="206"/>
        <n x="1"/>
      </t>
    </mdx>
    <mdx n="508" f="v">
      <t c="3" si="4">
        <n x="509"/>
        <n x="187"/>
        <n x="5"/>
      </t>
    </mdx>
    <mdx n="508" f="v">
      <t c="3" si="4">
        <n x="509"/>
        <n x="289"/>
        <n x="2"/>
      </t>
    </mdx>
    <mdx n="508" f="v">
      <t c="3" si="4">
        <n x="509"/>
        <n x="43"/>
        <n x="5"/>
      </t>
    </mdx>
    <mdx n="508" f="v">
      <t c="3" si="4">
        <n x="509"/>
        <n x="316"/>
        <n x="5"/>
      </t>
    </mdx>
    <mdx n="508" f="v">
      <t c="3" si="4">
        <n x="509"/>
        <n x="123"/>
        <n x="1"/>
      </t>
    </mdx>
    <mdx n="508" f="v">
      <t c="3" si="4">
        <n x="509"/>
        <n x="106"/>
        <n x="2"/>
      </t>
    </mdx>
    <mdx n="508" f="v">
      <t c="3" si="475">
        <n x="509"/>
        <n x="245"/>
        <n x="474"/>
      </t>
    </mdx>
    <mdx n="508" f="v">
      <t c="3" si="4">
        <n x="509"/>
        <n x="364"/>
        <n x="472"/>
      </t>
    </mdx>
    <mdx n="508" f="v">
      <t c="3" si="4">
        <n x="509"/>
        <n x="72"/>
        <n x="467"/>
      </t>
    </mdx>
    <mdx n="508" f="v">
      <t c="3" si="4">
        <n x="509"/>
        <n x="409"/>
        <n x="1"/>
      </t>
    </mdx>
    <mdx n="508" f="v">
      <t c="3" si="4">
        <n x="509"/>
        <n x="169"/>
        <n x="5"/>
      </t>
    </mdx>
    <mdx n="508" f="v">
      <t c="3" si="4">
        <n x="509"/>
        <n x="184"/>
        <n x="5"/>
      </t>
    </mdx>
    <mdx n="508" f="v">
      <t c="3" si="4">
        <n x="509"/>
        <n x="16"/>
        <n x="473"/>
      </t>
    </mdx>
    <mdx n="508" f="v">
      <t c="3" si="4">
        <n x="509"/>
        <n x="250"/>
        <n x="5"/>
      </t>
    </mdx>
    <mdx n="508" f="v">
      <t c="3" si="4">
        <n x="509"/>
        <n x="410"/>
        <n x="467"/>
      </t>
    </mdx>
    <mdx n="508" f="v">
      <t c="3" si="4">
        <n x="509"/>
        <n x="275"/>
        <n x="1"/>
      </t>
    </mdx>
    <mdx n="508" f="v">
      <t c="3" si="4">
        <n x="509"/>
        <n x="324"/>
        <n x="469"/>
      </t>
    </mdx>
    <mdx n="508" f="v">
      <t c="3" si="475">
        <n x="509"/>
        <n x="67"/>
        <n x="474"/>
      </t>
    </mdx>
    <mdx n="508" f="v">
      <t c="3" si="4">
        <n x="509"/>
        <n x="11"/>
        <n x="467"/>
      </t>
    </mdx>
    <mdx n="508" f="v">
      <t c="3" si="4">
        <n x="509"/>
        <n x="241"/>
        <n x="1"/>
      </t>
    </mdx>
    <mdx n="508" f="v">
      <t c="3" si="4">
        <n x="509"/>
        <n x="255"/>
        <n x="1"/>
      </t>
    </mdx>
    <mdx n="508" f="v">
      <t c="3" si="4">
        <n x="509"/>
        <n x="291"/>
        <n x="5"/>
      </t>
    </mdx>
    <mdx n="508" f="v">
      <t c="3" si="4">
        <n x="509"/>
        <n x="204"/>
        <n x="473"/>
      </t>
    </mdx>
    <mdx n="508" f="v">
      <t c="3" si="4">
        <n x="509"/>
        <n x="232"/>
        <n x="1"/>
      </t>
    </mdx>
    <mdx n="508" f="v">
      <t c="3" si="4">
        <n x="509"/>
        <n x="440"/>
        <n x="5"/>
      </t>
    </mdx>
    <mdx n="508" f="v">
      <t c="3" si="4">
        <n x="509"/>
        <n x="243"/>
        <n x="498"/>
      </t>
    </mdx>
    <mdx n="508" f="v">
      <t c="3" si="4">
        <n x="509"/>
        <n x="118"/>
        <n x="473"/>
      </t>
    </mdx>
    <mdx n="508" f="v">
      <t c="3" si="4">
        <n x="509"/>
        <n x="421"/>
        <n x="498"/>
      </t>
    </mdx>
    <mdx n="508" f="v">
      <t c="3" si="4">
        <n x="509"/>
        <n x="452"/>
        <n x="473"/>
      </t>
    </mdx>
    <mdx n="508" f="v">
      <t c="3" si="4">
        <n x="509"/>
        <n x="344"/>
        <n x="1"/>
      </t>
    </mdx>
    <mdx n="508" f="v">
      <t c="3" si="4">
        <n x="509"/>
        <n x="229"/>
        <n x="1"/>
      </t>
    </mdx>
    <mdx n="508" f="v">
      <t c="3" si="4">
        <n x="509"/>
        <n x="423"/>
        <n x="5"/>
      </t>
    </mdx>
    <mdx n="508" f="v">
      <t c="3" si="4">
        <n x="509"/>
        <n x="190"/>
        <n x="469"/>
      </t>
    </mdx>
    <mdx n="508" f="v">
      <t c="3" si="4">
        <n x="509"/>
        <n x="178"/>
        <n x="5"/>
      </t>
    </mdx>
    <mdx n="508" f="v">
      <t c="3" si="4">
        <n x="509"/>
        <n x="188"/>
        <n x="473"/>
      </t>
    </mdx>
    <mdx n="508" f="v">
      <t c="3" si="4">
        <n x="509"/>
        <n x="411"/>
        <n x="467"/>
      </t>
    </mdx>
    <mdx n="508" f="v">
      <t c="3" si="4">
        <n x="509"/>
        <n x="305"/>
        <n x="473"/>
      </t>
    </mdx>
    <mdx n="508" f="v">
      <t c="3" si="4">
        <n x="509"/>
        <n x="326"/>
        <n x="5"/>
      </t>
    </mdx>
    <mdx n="508" f="v">
      <t c="3" si="4">
        <n x="509"/>
        <n x="330"/>
        <n x="2"/>
      </t>
    </mdx>
    <mdx n="508" f="v">
      <t c="3" si="4">
        <n x="509"/>
        <n x="150"/>
        <n x="497"/>
      </t>
    </mdx>
    <mdx n="508" f="v">
      <t c="3" si="4">
        <n x="509"/>
        <n x="243"/>
        <n x="1"/>
      </t>
    </mdx>
    <mdx n="508" f="v">
      <t c="3" si="4">
        <n x="509"/>
        <n x="360"/>
        <n x="467"/>
      </t>
    </mdx>
    <mdx n="508" f="v">
      <t c="3" si="4">
        <n x="509"/>
        <n x="457"/>
        <n x="5"/>
      </t>
    </mdx>
    <mdx n="508" f="v">
      <t c="3" si="4">
        <n x="509"/>
        <n x="76"/>
        <n x="467"/>
      </t>
    </mdx>
    <mdx n="508" f="v">
      <t c="3" si="4">
        <n x="509"/>
        <n x="441"/>
        <n x="469"/>
      </t>
    </mdx>
    <mdx n="508" f="v">
      <t c="3" si="4">
        <n x="509"/>
        <n x="55"/>
        <n x="1"/>
      </t>
    </mdx>
    <mdx n="508" f="v">
      <t c="3" si="4">
        <n x="509"/>
        <n x="378"/>
        <n x="2"/>
      </t>
    </mdx>
    <mdx n="508" f="v">
      <t c="3" si="475">
        <n x="509"/>
        <n x="195"/>
        <n x="474"/>
      </t>
    </mdx>
    <mdx n="508" f="v">
      <t c="3" si="4">
        <n x="509"/>
        <n x="102"/>
        <n x="472"/>
      </t>
    </mdx>
    <mdx n="508" f="v">
      <t c="3" si="4">
        <n x="509"/>
        <n x="437"/>
        <n x="467"/>
      </t>
    </mdx>
    <mdx n="508" f="v">
      <t c="3" si="475">
        <n x="509"/>
        <n x="212"/>
        <n x="474"/>
      </t>
    </mdx>
    <mdx n="508" f="v">
      <t c="3" si="4">
        <n x="509"/>
        <n x="204"/>
        <n x="5"/>
      </t>
    </mdx>
    <mdx n="508" f="v">
      <t c="3" si="4">
        <n x="509"/>
        <n x="45"/>
        <n x="5"/>
      </t>
    </mdx>
    <mdx n="508" f="v">
      <t c="3" si="4">
        <n x="509"/>
        <n x="109"/>
        <n x="5"/>
      </t>
    </mdx>
    <mdx n="508" f="v">
      <t c="3" si="4">
        <n x="509"/>
        <n x="451"/>
        <n x="5"/>
      </t>
    </mdx>
    <mdx n="508" f="v">
      <t c="3" si="4">
        <n x="509"/>
        <n x="293"/>
        <n x="497"/>
      </t>
    </mdx>
    <mdx n="508" f="v">
      <t c="3" si="4">
        <n x="509"/>
        <n x="148"/>
        <n x="2"/>
      </t>
    </mdx>
    <mdx n="508" f="v">
      <t c="3" si="4">
        <n x="509"/>
        <n x="284"/>
        <n x="467"/>
      </t>
    </mdx>
    <mdx n="508" f="v">
      <t c="3" si="4">
        <n x="509"/>
        <n x="8"/>
        <n x="1"/>
      </t>
    </mdx>
    <mdx n="508" f="v">
      <t c="3" si="4">
        <n x="509"/>
        <n x="413"/>
        <n x="5"/>
      </t>
    </mdx>
    <mdx n="508" f="v">
      <t c="3" si="4">
        <n x="509"/>
        <n x="137"/>
        <n x="1"/>
      </t>
    </mdx>
    <mdx n="508" f="v">
      <t c="3" si="4">
        <n x="509"/>
        <n x="337"/>
        <n x="2"/>
      </t>
    </mdx>
    <mdx n="508" f="v">
      <t c="3" si="4">
        <n x="509"/>
        <n x="297"/>
        <n x="1"/>
      </t>
    </mdx>
    <mdx n="508" f="v">
      <t c="3" si="475">
        <n x="509"/>
        <n x="7"/>
        <n x="474"/>
      </t>
    </mdx>
    <mdx n="508" f="v">
      <t c="3" si="475">
        <n x="509"/>
        <n x="184"/>
        <n x="474"/>
      </t>
    </mdx>
    <mdx n="508" f="v">
      <t c="3" si="475">
        <n x="509"/>
        <n x="298"/>
        <n x="474"/>
      </t>
    </mdx>
    <mdx n="508" f="v">
      <t c="3" si="4">
        <n x="509"/>
        <n x="35"/>
        <n x="473"/>
      </t>
    </mdx>
    <mdx n="508" f="v">
      <t c="3" si="4">
        <n x="509"/>
        <n x="159"/>
        <n x="473"/>
      </t>
    </mdx>
    <mdx n="508" f="v">
      <t c="3" si="4">
        <n x="509"/>
        <n x="49"/>
        <n x="473"/>
      </t>
    </mdx>
    <mdx n="508" f="v">
      <t c="3" si="4">
        <n x="509"/>
        <n x="433"/>
        <n x="496"/>
      </t>
    </mdx>
    <mdx n="508" f="v">
      <t c="3" si="4">
        <n x="509"/>
        <n x="404"/>
        <n x="1"/>
      </t>
    </mdx>
    <mdx n="508" f="v">
      <t c="3" si="4">
        <n x="509"/>
        <n x="432"/>
        <n x="497"/>
      </t>
    </mdx>
    <mdx n="508" f="v">
      <t c="3" si="4">
        <n x="509"/>
        <n x="39"/>
        <n x="496"/>
      </t>
    </mdx>
    <mdx n="508" f="v">
      <t c="3" si="4">
        <n x="509"/>
        <n x="306"/>
        <n x="472"/>
      </t>
    </mdx>
    <mdx n="508" f="v">
      <t c="3" si="4">
        <n x="509"/>
        <n x="322"/>
        <n x="1"/>
      </t>
    </mdx>
    <mdx n="508" f="v">
      <t c="3" si="4">
        <n x="509"/>
        <n x="252"/>
        <n x="1"/>
      </t>
    </mdx>
    <mdx n="508" f="v">
      <t c="3" si="4">
        <n x="509"/>
        <n x="9"/>
        <n x="2"/>
      </t>
    </mdx>
    <mdx n="508" f="v">
      <t c="3" si="4">
        <n x="509"/>
        <n x="155"/>
        <n x="467"/>
      </t>
    </mdx>
    <mdx n="508" f="v">
      <t c="3" si="4">
        <n x="509"/>
        <n x="307"/>
        <n x="473"/>
      </t>
    </mdx>
    <mdx n="508" f="v">
      <t c="3" si="4">
        <n x="509"/>
        <n x="144"/>
        <n x="5"/>
      </t>
    </mdx>
    <mdx n="508" f="v">
      <t c="3" si="4">
        <n x="509"/>
        <n x="250"/>
        <n x="2"/>
      </t>
    </mdx>
    <mdx n="508" f="v">
      <t c="3" si="4">
        <n x="509"/>
        <n x="426"/>
        <n x="5"/>
      </t>
    </mdx>
    <mdx n="508" f="v">
      <t c="3" si="4">
        <n x="509"/>
        <n x="458"/>
        <n x="1"/>
      </t>
    </mdx>
    <mdx n="508" f="v">
      <t c="3" si="4">
        <n x="509"/>
        <n x="48"/>
        <n x="5"/>
      </t>
    </mdx>
    <mdx n="508" f="v">
      <t c="3" si="4">
        <n x="509"/>
        <n x="367"/>
        <n x="467"/>
      </t>
    </mdx>
    <mdx n="508" f="v">
      <t c="3" si="4">
        <n x="509"/>
        <n x="304"/>
        <n x="1"/>
      </t>
    </mdx>
    <mdx n="508" f="v">
      <t c="3" si="4">
        <n x="509"/>
        <n x="303"/>
        <n x="2"/>
      </t>
    </mdx>
    <mdx n="508" f="v">
      <t c="3" si="4">
        <n x="509"/>
        <n x="350"/>
        <n x="5"/>
      </t>
    </mdx>
    <mdx n="508" f="v">
      <t c="3" si="4">
        <n x="509"/>
        <n x="23"/>
        <n x="469"/>
      </t>
    </mdx>
    <mdx n="508" f="v">
      <t c="3" si="475">
        <n x="509"/>
        <n x="315"/>
        <n x="474"/>
      </t>
    </mdx>
    <mdx n="508" f="v">
      <t c="3" si="4">
        <n x="509"/>
        <n x="105"/>
        <n x="2"/>
      </t>
    </mdx>
    <mdx n="508" f="v">
      <t c="3" si="4">
        <n x="509"/>
        <n x="374"/>
        <n x="1"/>
      </t>
    </mdx>
    <mdx n="508" f="v">
      <t c="3" si="4">
        <n x="509"/>
        <n x="418"/>
        <n x="467"/>
      </t>
    </mdx>
    <mdx n="508" f="v">
      <t c="3" si="4">
        <n x="509"/>
        <n x="79"/>
        <n x="469"/>
      </t>
    </mdx>
    <mdx n="508" f="v">
      <t c="3" si="4">
        <n x="509"/>
        <n x="95"/>
        <n x="2"/>
      </t>
    </mdx>
    <mdx n="508" f="v">
      <t c="3" si="4">
        <n x="509"/>
        <n x="194"/>
        <n x="473"/>
      </t>
    </mdx>
    <mdx n="508" f="v">
      <t c="3" si="4">
        <n x="509"/>
        <n x="285"/>
        <n x="473"/>
      </t>
    </mdx>
    <mdx n="508" f="v">
      <t c="3" si="4">
        <n x="509"/>
        <n x="425"/>
        <n x="2"/>
      </t>
    </mdx>
    <mdx n="508" f="v">
      <t c="3" si="4">
        <n x="509"/>
        <n x="445"/>
        <n x="5"/>
      </t>
    </mdx>
    <mdx n="508" f="v">
      <t c="3" si="4">
        <n x="509"/>
        <n x="230"/>
        <n x="5"/>
      </t>
    </mdx>
    <mdx n="508" f="v">
      <t c="3" si="4">
        <n x="509"/>
        <n x="15"/>
        <n x="1"/>
      </t>
    </mdx>
    <mdx n="508" f="v">
      <t c="3" si="4">
        <n x="509"/>
        <n x="66"/>
        <n x="496"/>
      </t>
    </mdx>
    <mdx n="508" f="v">
      <t c="3" si="4">
        <n x="509"/>
        <n x="398"/>
        <n x="1"/>
      </t>
    </mdx>
    <mdx n="508" f="v">
      <t c="3" si="4">
        <n x="509"/>
        <n x="25"/>
        <n x="496"/>
      </t>
    </mdx>
    <mdx n="508" f="v">
      <t c="3" si="4">
        <n x="509"/>
        <n x="212"/>
        <n x="5"/>
      </t>
    </mdx>
    <mdx n="508" f="v">
      <t c="3" si="4">
        <n x="509"/>
        <n x="60"/>
        <n x="2"/>
      </t>
    </mdx>
    <mdx n="508" f="v">
      <t c="3" si="4">
        <n x="509"/>
        <n x="388"/>
        <n x="473"/>
      </t>
    </mdx>
    <mdx n="508" f="v">
      <t c="3" si="4">
        <n x="509"/>
        <n x="296"/>
        <n x="2"/>
      </t>
    </mdx>
    <mdx n="508" f="v">
      <t c="3" si="4">
        <n x="509"/>
        <n x="432"/>
        <n x="496"/>
      </t>
    </mdx>
    <mdx n="508" f="v">
      <t c="3" si="4">
        <n x="509"/>
        <n x="143"/>
        <n x="496"/>
      </t>
    </mdx>
    <mdx n="508" f="v">
      <t c="3" si="4">
        <n x="509"/>
        <n x="94"/>
        <n x="496"/>
      </t>
    </mdx>
    <mdx n="508" f="v">
      <t c="3" si="4">
        <n x="509"/>
        <n x="144"/>
        <n x="1"/>
      </t>
    </mdx>
    <mdx n="508" f="v">
      <t c="3" si="4">
        <n x="509"/>
        <n x="322"/>
        <n x="5"/>
      </t>
    </mdx>
    <mdx n="508" f="v">
      <t c="3" si="4">
        <n x="509"/>
        <n x="340"/>
        <n x="1"/>
      </t>
    </mdx>
    <mdx n="508" f="v">
      <t c="3" si="4">
        <n x="509"/>
        <n x="238"/>
        <n x="1"/>
      </t>
    </mdx>
    <mdx n="508" f="v">
      <t c="3" si="4">
        <n x="509"/>
        <n x="443"/>
        <n x="467"/>
      </t>
    </mdx>
    <mdx n="508" f="v">
      <t c="3" si="4">
        <n x="509"/>
        <n x="385"/>
        <n x="2"/>
      </t>
    </mdx>
    <mdx n="508" f="v">
      <t c="3" si="475">
        <n x="509"/>
        <n x="151"/>
        <n x="474"/>
      </t>
    </mdx>
    <mdx n="508" f="v">
      <t c="3" si="4">
        <n x="509"/>
        <n x="232"/>
        <n x="2"/>
      </t>
    </mdx>
    <mdx n="508" f="v">
      <t c="3" si="4">
        <n x="509"/>
        <n x="342"/>
        <n x="467"/>
      </t>
    </mdx>
    <mdx n="508" f="v">
      <t c="3" si="4">
        <n x="509"/>
        <n x="252"/>
        <n x="5"/>
      </t>
    </mdx>
    <mdx n="508" f="v">
      <t c="3" si="4">
        <n x="509"/>
        <n x="327"/>
        <n x="467"/>
      </t>
    </mdx>
    <mdx n="508" f="v">
      <t c="3" si="4">
        <n x="509"/>
        <n x="334"/>
        <n x="2"/>
      </t>
    </mdx>
    <mdx n="508" f="v">
      <t c="3" si="4">
        <n x="509"/>
        <n x="30"/>
        <n x="5"/>
      </t>
    </mdx>
    <mdx n="508" f="v">
      <t c="3" si="4">
        <n x="509"/>
        <n x="268"/>
        <n x="5"/>
      </t>
    </mdx>
    <mdx n="508" f="v">
      <t c="3" si="4">
        <n x="509"/>
        <n x="277"/>
        <n x="5"/>
      </t>
    </mdx>
    <mdx n="508" f="v">
      <t c="3" si="4">
        <n x="509"/>
        <n x="246"/>
        <n x="467"/>
      </t>
    </mdx>
    <mdx n="508" f="v">
      <t c="3" si="4">
        <n x="509"/>
        <n x="421"/>
        <n x="469"/>
      </t>
    </mdx>
    <mdx n="508" f="v">
      <t c="3" si="4">
        <n x="509"/>
        <n x="16"/>
        <n x="2"/>
      </t>
    </mdx>
    <mdx n="508" f="v">
      <t c="3" si="475">
        <n x="509"/>
        <n x="261"/>
        <n x="474"/>
      </t>
    </mdx>
    <mdx n="508" f="v">
      <t c="3" si="4">
        <n x="509"/>
        <n x="316"/>
        <n x="467"/>
      </t>
    </mdx>
    <mdx n="508" f="v">
      <t c="3" si="4">
        <n x="509"/>
        <n x="286"/>
        <n x="5"/>
      </t>
    </mdx>
    <mdx n="508" f="v">
      <t c="3" si="4">
        <n x="509"/>
        <n x="277"/>
        <n x="1"/>
      </t>
    </mdx>
    <mdx n="508" f="v">
      <t c="3" si="4">
        <n x="509"/>
        <n x="120"/>
        <n x="1"/>
      </t>
    </mdx>
    <mdx n="508" f="v">
      <t c="3" si="4">
        <n x="509"/>
        <n x="84"/>
        <n x="472"/>
      </t>
    </mdx>
    <mdx n="508" f="v">
      <t c="3" si="4">
        <n x="509"/>
        <n x="249"/>
        <n x="473"/>
      </t>
    </mdx>
    <mdx n="508" f="v">
      <t c="3" si="4">
        <n x="509"/>
        <n x="274"/>
        <n x="1"/>
      </t>
    </mdx>
    <mdx n="508" f="v">
      <t c="3" si="4">
        <n x="509"/>
        <n x="346"/>
        <n x="467"/>
      </t>
    </mdx>
    <mdx n="508" f="v">
      <t c="3" si="475">
        <n x="509"/>
        <n x="333"/>
        <n x="474"/>
      </t>
    </mdx>
    <mdx n="508" f="v">
      <t c="3" si="4">
        <n x="509"/>
        <n x="428"/>
        <n x="5"/>
      </t>
    </mdx>
    <mdx n="508" f="v">
      <t c="3" si="4">
        <n x="509"/>
        <n x="135"/>
        <n x="473"/>
      </t>
    </mdx>
    <mdx n="508" f="v">
      <t c="3" si="4">
        <n x="509"/>
        <n x="280"/>
        <n x="2"/>
      </t>
    </mdx>
    <mdx n="508" f="v">
      <t c="3" si="4">
        <n x="509"/>
        <n x="355"/>
        <n x="467"/>
      </t>
    </mdx>
    <mdx n="508" f="v">
      <t c="3" si="4">
        <n x="509"/>
        <n x="105"/>
        <n x="472"/>
      </t>
    </mdx>
    <mdx n="508" f="v">
      <t c="3" si="4">
        <n x="509"/>
        <n x="48"/>
        <n x="469"/>
      </t>
    </mdx>
    <mdx n="508" f="v">
      <t c="3" si="4">
        <n x="509"/>
        <n x="278"/>
        <n x="2"/>
      </t>
    </mdx>
    <mdx n="508" f="v">
      <t c="3" si="4">
        <n x="509"/>
        <n x="197"/>
        <n x="470"/>
      </t>
    </mdx>
    <mdx n="508" f="v">
      <t c="3" si="4">
        <n x="509"/>
        <n x="117"/>
        <n x="5"/>
      </t>
    </mdx>
    <mdx n="508" f="v">
      <t c="3" si="4">
        <n x="509"/>
        <n x="350"/>
        <n x="1"/>
      </t>
    </mdx>
    <mdx n="508" f="v">
      <t c="3" si="475">
        <n x="509"/>
        <n x="232"/>
        <n x="474"/>
      </t>
    </mdx>
    <mdx n="508" f="v">
      <t c="3" si="4">
        <n x="509"/>
        <n x="451"/>
        <n x="1"/>
      </t>
    </mdx>
    <mdx n="508" f="v">
      <t c="3" si="4">
        <n x="509"/>
        <n x="309"/>
        <n x="473"/>
      </t>
    </mdx>
    <mdx n="508" f="v">
      <t c="3" si="4">
        <n x="509"/>
        <n x="13"/>
        <n x="1"/>
      </t>
    </mdx>
    <mdx n="508" f="v">
      <t c="3" si="4">
        <n x="509"/>
        <n x="166"/>
        <n x="473"/>
      </t>
    </mdx>
    <mdx n="508" f="v">
      <t c="3" si="4">
        <n x="509"/>
        <n x="84"/>
        <n x="1"/>
      </t>
    </mdx>
    <mdx n="508" f="v">
      <t c="3" si="4">
        <n x="509"/>
        <n x="223"/>
        <n x="467"/>
      </t>
    </mdx>
    <mdx n="508" f="v">
      <t c="3" si="4">
        <n x="509"/>
        <n x="268"/>
        <n x="1"/>
      </t>
    </mdx>
    <mdx n="508" f="v">
      <t c="3" si="4">
        <n x="509"/>
        <n x="129"/>
        <n x="473"/>
      </t>
    </mdx>
    <mdx n="508" f="v">
      <t c="3" si="4">
        <n x="509"/>
        <n x="407"/>
        <n x="2"/>
      </t>
    </mdx>
    <mdx n="508" f="v">
      <t c="3" si="4">
        <n x="509"/>
        <n x="316"/>
        <n x="1"/>
      </t>
    </mdx>
    <mdx n="508" f="v">
      <t c="3" si="4">
        <n x="509"/>
        <n x="441"/>
        <n x="5"/>
      </t>
    </mdx>
    <mdx n="508" f="v">
      <t c="3" si="4">
        <n x="509"/>
        <n x="356"/>
        <n x="5"/>
      </t>
    </mdx>
    <mdx n="508" f="v">
      <t c="3" si="4">
        <n x="509"/>
        <n x="347"/>
        <n x="472"/>
      </t>
    </mdx>
    <mdx n="508" f="v">
      <t c="3" si="4">
        <n x="509"/>
        <n x="13"/>
        <n x="5"/>
      </t>
    </mdx>
    <mdx n="508" f="v">
      <t c="3" si="4">
        <n x="509"/>
        <n x="307"/>
        <n x="1"/>
      </t>
    </mdx>
    <mdx n="508" f="v">
      <t c="3" si="4">
        <n x="509"/>
        <n x="399"/>
        <n x="5"/>
      </t>
    </mdx>
    <mdx n="508" f="v">
      <t c="3" si="475">
        <n x="509"/>
        <n x="395"/>
        <n x="474"/>
      </t>
    </mdx>
    <mdx n="508" f="v">
      <t c="3" si="4">
        <n x="509"/>
        <n x="318"/>
        <n x="473"/>
      </t>
    </mdx>
    <mdx n="508" f="v">
      <t c="3" si="4">
        <n x="509"/>
        <n x="27"/>
        <n x="2"/>
      </t>
    </mdx>
    <mdx n="508" f="v">
      <t c="3" si="4">
        <n x="509"/>
        <n x="322"/>
        <n x="473"/>
      </t>
    </mdx>
    <mdx n="508" f="v">
      <t c="3" si="4">
        <n x="509"/>
        <n x="457"/>
        <n x="1"/>
      </t>
    </mdx>
    <mdx n="508" f="v">
      <t c="3" si="4">
        <n x="509"/>
        <n x="58"/>
        <n x="473"/>
      </t>
    </mdx>
    <mdx n="508" f="v">
      <t c="3" si="4">
        <n x="509"/>
        <n x="234"/>
        <n x="467"/>
      </t>
    </mdx>
    <mdx n="508" f="v">
      <t c="3" si="4">
        <n x="509"/>
        <n x="284"/>
        <n x="470"/>
      </t>
    </mdx>
    <mdx n="508" f="v">
      <t c="3" si="4">
        <n x="509"/>
        <n x="107"/>
        <n x="496"/>
      </t>
    </mdx>
    <mdx n="508" f="v">
      <t c="3" si="4">
        <n x="509"/>
        <n x="34"/>
        <n x="1"/>
      </t>
    </mdx>
    <mdx n="508" f="v">
      <t c="3" si="4">
        <n x="509"/>
        <n x="319"/>
        <n x="1"/>
      </t>
    </mdx>
    <mdx n="508" f="v">
      <t c="3" si="4">
        <n x="509"/>
        <n x="281"/>
        <n x="473"/>
      </t>
    </mdx>
    <mdx n="508" f="v">
      <t c="3" si="4">
        <n x="509"/>
        <n x="353"/>
        <n x="2"/>
      </t>
    </mdx>
    <mdx n="508" f="v">
      <t c="3" si="4">
        <n x="509"/>
        <n x="442"/>
        <n x="473"/>
      </t>
    </mdx>
    <mdx n="508" f="v">
      <t c="3" si="4">
        <n x="509"/>
        <n x="85"/>
        <n x="5"/>
      </t>
    </mdx>
    <mdx n="508" f="v">
      <t c="3" si="4">
        <n x="509"/>
        <n x="384"/>
        <n x="467"/>
      </t>
    </mdx>
    <mdx n="508" f="v">
      <t c="3" si="4">
        <n x="509"/>
        <n x="459"/>
        <n x="1"/>
      </t>
    </mdx>
    <mdx n="508" f="v">
      <t c="3" si="4">
        <n x="509"/>
        <n x="90"/>
        <n x="472"/>
      </t>
    </mdx>
    <mdx n="508" f="v">
      <t c="3" si="4">
        <n x="509"/>
        <n x="125"/>
        <n x="2"/>
      </t>
    </mdx>
    <mdx n="508" f="v">
      <t c="3" si="4">
        <n x="509"/>
        <n x="267"/>
        <n x="1"/>
      </t>
    </mdx>
    <mdx n="508" f="v">
      <t c="3" si="4">
        <n x="509"/>
        <n x="131"/>
        <n x="470"/>
      </t>
    </mdx>
    <mdx n="508" f="v">
      <t c="3" si="4">
        <n x="509"/>
        <n x="315"/>
        <n x="1"/>
      </t>
    </mdx>
    <mdx n="508" f="v">
      <t c="3" si="4">
        <n x="509"/>
        <n x="89"/>
        <n x="1"/>
      </t>
    </mdx>
    <mdx n="508" f="v">
      <t c="3" si="4">
        <n x="509"/>
        <n x="198"/>
        <n x="2"/>
      </t>
    </mdx>
    <mdx n="508" f="v">
      <t c="3" si="4">
        <n x="509"/>
        <n x="319"/>
        <n x="5"/>
      </t>
    </mdx>
    <mdx n="508" f="v">
      <t c="3" si="4">
        <n x="509"/>
        <n x="72"/>
        <n x="5"/>
      </t>
    </mdx>
    <mdx n="508" f="v">
      <t c="3" si="4">
        <n x="509"/>
        <n x="185"/>
        <n x="467"/>
      </t>
    </mdx>
    <mdx n="508" f="v">
      <t c="3" si="4">
        <n x="509"/>
        <n x="43"/>
        <n x="469"/>
      </t>
    </mdx>
    <mdx n="508" f="v">
      <t c="3" si="4">
        <n x="509"/>
        <n x="337"/>
        <n x="1"/>
      </t>
    </mdx>
    <mdx n="508" f="v">
      <t c="3" si="4">
        <n x="509"/>
        <n x="331"/>
        <n x="2"/>
      </t>
    </mdx>
    <mdx n="508" f="v">
      <t c="3" si="475">
        <n x="509"/>
        <n x="47"/>
        <n x="474"/>
      </t>
    </mdx>
    <mdx n="508" f="v">
      <t c="3" si="4">
        <n x="509"/>
        <n x="53"/>
        <n x="470"/>
      </t>
    </mdx>
    <mdx n="508" f="v">
      <t c="3" si="4">
        <n x="509"/>
        <n x="30"/>
        <n x="2"/>
      </t>
    </mdx>
    <mdx n="508" f="v">
      <t c="3" si="4">
        <n x="509"/>
        <n x="104"/>
        <n x="1"/>
      </t>
    </mdx>
    <mdx n="508" f="v">
      <t c="3" si="475">
        <n x="509"/>
        <n x="357"/>
        <n x="474"/>
      </t>
    </mdx>
    <mdx n="508" f="v">
      <t c="3" si="4">
        <n x="509"/>
        <n x="339"/>
        <n x="5"/>
      </t>
    </mdx>
    <mdx n="508" f="v">
      <t c="3" si="4">
        <n x="509"/>
        <n x="436"/>
        <n x="470"/>
      </t>
    </mdx>
    <mdx n="508" f="v">
      <t c="3" si="4">
        <n x="509"/>
        <n x="294"/>
        <n x="472"/>
      </t>
    </mdx>
    <mdx n="508" f="v">
      <t c="3" si="475">
        <n x="509"/>
        <n x="253"/>
        <n x="474"/>
      </t>
    </mdx>
    <mdx n="508" f="v">
      <t c="3" si="475">
        <n x="509"/>
        <n x="214"/>
        <n x="474"/>
      </t>
    </mdx>
    <mdx n="508" f="v">
      <t c="3" si="4">
        <n x="509"/>
        <n x="68"/>
        <n x="5"/>
      </t>
    </mdx>
    <mdx n="508" f="v">
      <t c="3" si="4">
        <n x="509"/>
        <n x="300"/>
        <n x="472"/>
      </t>
    </mdx>
    <mdx n="508" f="v">
      <t c="3" si="475">
        <n x="509"/>
        <n x="445"/>
        <n x="474"/>
      </t>
    </mdx>
    <mdx n="508" f="v">
      <t c="3" si="4">
        <n x="509"/>
        <n x="88"/>
        <n x="467"/>
      </t>
    </mdx>
    <mdx n="508" f="v">
      <t c="3" si="4">
        <n x="509"/>
        <n x="40"/>
        <n x="5"/>
      </t>
    </mdx>
    <mdx n="508" f="v">
      <t c="3" si="4">
        <n x="509"/>
        <n x="277"/>
        <n x="2"/>
      </t>
    </mdx>
    <mdx n="508" f="v">
      <t c="3" si="475">
        <n x="509"/>
        <n x="341"/>
        <n x="474"/>
      </t>
    </mdx>
    <mdx n="508" f="v">
      <t c="3" si="475">
        <n x="509"/>
        <n x="258"/>
        <n x="474"/>
      </t>
    </mdx>
    <mdx n="508" f="v">
      <t c="3" si="4">
        <n x="509"/>
        <n x="328"/>
        <n x="473"/>
      </t>
    </mdx>
    <mdx n="508" f="v">
      <t c="3" si="4">
        <n x="509"/>
        <n x="152"/>
        <n x="2"/>
      </t>
    </mdx>
    <mdx n="508" f="v">
      <t c="3" si="4">
        <n x="509"/>
        <n x="225"/>
        <n x="1"/>
      </t>
    </mdx>
    <mdx n="508" f="v">
      <t c="3" si="4">
        <n x="509"/>
        <n x="160"/>
        <n x="1"/>
      </t>
    </mdx>
    <mdx n="508" f="v">
      <t c="3" si="4">
        <n x="509"/>
        <n x="14"/>
        <n x="1"/>
      </t>
    </mdx>
    <mdx n="508" f="v">
      <t c="3" si="4">
        <n x="509"/>
        <n x="220"/>
        <n x="1"/>
      </t>
    </mdx>
    <mdx n="508" f="v">
      <t c="3" si="4">
        <n x="509"/>
        <n x="262"/>
        <n x="5"/>
      </t>
    </mdx>
    <mdx n="508" f="v">
      <t c="3" si="4">
        <n x="509"/>
        <n x="174"/>
        <n x="472"/>
      </t>
    </mdx>
    <mdx n="508" f="v">
      <t c="3" si="4">
        <n x="509"/>
        <n x="272"/>
        <n x="473"/>
      </t>
    </mdx>
    <mdx n="508" f="v">
      <t c="3" si="4">
        <n x="509"/>
        <n x="21"/>
        <n x="2"/>
      </t>
    </mdx>
    <mdx n="508" f="v">
      <t c="3" si="4">
        <n x="509"/>
        <n x="101"/>
        <n x="2"/>
      </t>
    </mdx>
    <mdx n="508" f="v">
      <t c="3" si="4">
        <n x="509"/>
        <n x="263"/>
        <n x="2"/>
      </t>
    </mdx>
    <mdx n="508" f="v">
      <t c="3" si="4">
        <n x="509"/>
        <n x="157"/>
        <n x="1"/>
      </t>
    </mdx>
    <mdx n="508" f="v">
      <t c="3" si="475">
        <n x="509"/>
        <n x="77"/>
        <n x="474"/>
      </t>
    </mdx>
    <mdx n="508" f="v">
      <t c="3" si="475">
        <n x="509"/>
        <n x="91"/>
        <n x="474"/>
      </t>
    </mdx>
    <mdx n="508" f="v">
      <t c="3" si="475">
        <n x="509"/>
        <n x="215"/>
        <n x="474"/>
      </t>
    </mdx>
    <mdx n="508" f="v">
      <t c="3" si="4">
        <n x="509"/>
        <n x="269"/>
        <n x="1"/>
      </t>
    </mdx>
    <mdx n="508" f="v">
      <t c="3" si="4">
        <n x="509"/>
        <n x="337"/>
        <n x="5"/>
      </t>
    </mdx>
    <mdx n="508" f="v">
      <t c="3" si="4">
        <n x="509"/>
        <n x="421"/>
        <n x="473"/>
      </t>
    </mdx>
    <mdx n="508" f="v">
      <t c="3" si="4">
        <n x="509"/>
        <n x="419"/>
        <n x="2"/>
      </t>
    </mdx>
    <mdx n="508" f="v">
      <t c="3" si="4">
        <n x="509"/>
        <n x="51"/>
        <n x="5"/>
      </t>
    </mdx>
    <mdx n="508" f="v">
      <t c="3" si="475">
        <n x="509"/>
        <n x="146"/>
        <n x="474"/>
      </t>
    </mdx>
    <mdx n="508" f="v">
      <t c="3" si="4">
        <n x="509"/>
        <n x="408"/>
        <n x="5"/>
      </t>
    </mdx>
    <mdx n="508" f="v">
      <t c="3" si="4">
        <n x="509"/>
        <n x="124"/>
        <n x="5"/>
      </t>
    </mdx>
    <mdx n="508" f="v">
      <t c="3" si="4">
        <n x="509"/>
        <n x="126"/>
        <n x="5"/>
      </t>
    </mdx>
    <mdx n="508" f="v">
      <t c="3" si="4">
        <n x="509"/>
        <n x="334"/>
        <n x="470"/>
      </t>
    </mdx>
    <mdx n="508" f="v">
      <t c="3" si="4">
        <n x="509"/>
        <n x="266"/>
        <n x="1"/>
      </t>
    </mdx>
    <mdx n="508" f="v">
      <t c="3" si="4">
        <n x="509"/>
        <n x="196"/>
        <n x="467"/>
      </t>
    </mdx>
    <mdx n="508" f="v">
      <t c="3" si="4">
        <n x="509"/>
        <n x="327"/>
        <n x="2"/>
      </t>
    </mdx>
    <mdx n="508" f="v">
      <t c="3" si="4">
        <n x="509"/>
        <n x="155"/>
        <n x="2"/>
      </t>
    </mdx>
    <mdx n="508" f="v">
      <t c="3" si="4">
        <n x="509"/>
        <n x="62"/>
        <n x="473"/>
      </t>
    </mdx>
    <mdx n="508" f="v">
      <t c="3" si="4">
        <n x="509"/>
        <n x="389"/>
        <n x="1"/>
      </t>
    </mdx>
    <mdx n="508" f="v">
      <t c="3" si="4">
        <n x="509"/>
        <n x="366"/>
        <n x="472"/>
      </t>
    </mdx>
    <mdx n="508" f="v">
      <t c="3" si="4">
        <n x="509"/>
        <n x="440"/>
        <n x="467"/>
      </t>
    </mdx>
    <mdx n="508" f="v">
      <t c="3" si="4">
        <n x="509"/>
        <n x="400"/>
        <n x="473"/>
      </t>
    </mdx>
    <mdx n="508" f="v">
      <t c="3" si="4">
        <n x="509"/>
        <n x="269"/>
        <n x="473"/>
      </t>
    </mdx>
    <mdx n="508" f="v">
      <t c="3" si="4">
        <n x="509"/>
        <n x="280"/>
        <n x="5"/>
      </t>
    </mdx>
    <mdx n="508" f="v">
      <t c="3" si="4">
        <n x="509"/>
        <n x="395"/>
        <n x="5"/>
      </t>
    </mdx>
    <mdx n="508" f="v">
      <t c="3" si="475">
        <n x="509"/>
        <n x="3"/>
        <n x="474"/>
      </t>
    </mdx>
    <mdx n="508" f="v">
      <t c="3" si="4">
        <n x="509"/>
        <n x="36"/>
        <n x="2"/>
      </t>
    </mdx>
    <mdx n="508" f="v">
      <t c="3" si="4">
        <n x="509"/>
        <n x="276"/>
        <n x="472"/>
      </t>
    </mdx>
    <mdx n="508" f="v">
      <t c="3" si="4">
        <n x="509"/>
        <n x="153"/>
        <n x="473"/>
      </t>
    </mdx>
    <mdx n="508" f="v">
      <t c="3" si="4">
        <n x="509"/>
        <n x="316"/>
        <n x="469"/>
      </t>
    </mdx>
    <mdx n="508" f="v">
      <t c="3" si="4">
        <n x="509"/>
        <n x="177"/>
        <n x="467"/>
      </t>
    </mdx>
    <mdx n="508" f="v">
      <t c="3" si="4">
        <n x="509"/>
        <n x="8"/>
        <n x="2"/>
      </t>
    </mdx>
    <mdx n="508" f="v">
      <t c="3" si="4">
        <n x="509"/>
        <n x="364"/>
        <n x="1"/>
      </t>
    </mdx>
    <mdx n="508" f="v">
      <t c="3" si="4">
        <n x="509"/>
        <n x="197"/>
        <n x="2"/>
      </t>
    </mdx>
    <mdx n="508" f="v">
      <t c="3" si="4">
        <n x="509"/>
        <n x="176"/>
        <n x="473"/>
      </t>
    </mdx>
    <mdx n="508" f="v">
      <t c="3" si="4">
        <n x="509"/>
        <n x="165"/>
        <n x="2"/>
      </t>
    </mdx>
    <mdx n="508" f="v">
      <t c="3" si="4">
        <n x="509"/>
        <n x="179"/>
        <n x="1"/>
      </t>
    </mdx>
    <mdx n="508" f="v">
      <t c="3" si="4">
        <n x="509"/>
        <n x="242"/>
        <n x="5"/>
      </t>
    </mdx>
    <mdx n="508" f="v">
      <t c="3" si="475">
        <n x="509"/>
        <n x="358"/>
        <n x="474"/>
      </t>
    </mdx>
    <mdx n="508" f="v">
      <t c="3" si="4">
        <n x="509"/>
        <n x="461"/>
        <n x="470"/>
      </t>
    </mdx>
    <mdx n="508" f="v">
      <t c="3" si="4">
        <n x="509"/>
        <n x="54"/>
        <n x="2"/>
      </t>
    </mdx>
    <mdx n="508" f="v">
      <t c="3" si="4">
        <n x="509"/>
        <n x="135"/>
        <n x="5"/>
      </t>
    </mdx>
    <mdx n="508" f="v">
      <t c="3" si="4">
        <n x="509"/>
        <n x="193"/>
        <n x="469"/>
      </t>
    </mdx>
    <mdx n="508" f="v">
      <t c="3" si="4">
        <n x="509"/>
        <n x="93"/>
        <n x="1"/>
      </t>
    </mdx>
    <mdx n="508" f="v">
      <t c="3" si="4">
        <n x="509"/>
        <n x="136"/>
        <n x="1"/>
      </t>
    </mdx>
    <mdx n="508" f="v">
      <t c="3" si="4">
        <n x="509"/>
        <n x="388"/>
        <n x="472"/>
      </t>
    </mdx>
    <mdx n="508" f="v">
      <t c="3" si="4">
        <n x="509"/>
        <n x="407"/>
        <n x="5"/>
      </t>
    </mdx>
    <mdx n="508" f="v">
      <t c="3" si="4">
        <n x="509"/>
        <n x="235"/>
        <n x="470"/>
      </t>
    </mdx>
    <mdx n="508" f="v">
      <t c="3" si="4">
        <n x="509"/>
        <n x="36"/>
        <n x="473"/>
      </t>
    </mdx>
    <mdx n="508" f="v">
      <t c="3" si="4">
        <n x="509"/>
        <n x="121"/>
        <n x="1"/>
      </t>
    </mdx>
    <mdx n="508" f="v">
      <t c="3" si="4">
        <n x="509"/>
        <n x="19"/>
        <n x="469"/>
      </t>
    </mdx>
    <mdx n="508" f="v">
      <t c="3" si="4">
        <n x="509"/>
        <n x="19"/>
        <n x="2"/>
      </t>
    </mdx>
    <mdx n="508" f="v">
      <t c="3" si="4">
        <n x="509"/>
        <n x="19"/>
        <n x="473"/>
      </t>
    </mdx>
    <mdx n="508" f="v">
      <t c="3" si="4">
        <n x="509"/>
        <n x="49"/>
        <n x="2"/>
      </t>
    </mdx>
    <mdx n="508" f="v">
      <t c="3" si="4">
        <n x="509"/>
        <n x="49"/>
        <n x="469"/>
      </t>
    </mdx>
    <mdx n="508" f="v">
      <t c="3" si="4">
        <n x="509"/>
        <n x="49"/>
        <n x="1"/>
      </t>
    </mdx>
    <mdx n="508" f="v">
      <t c="3" si="4">
        <n x="509"/>
        <n x="19"/>
        <n x="1"/>
      </t>
    </mdx>
    <mdx n="508" f="v">
      <t c="3" si="4">
        <n x="509"/>
        <n x="19"/>
        <n x="470"/>
      </t>
    </mdx>
    <mdx n="508" f="v">
      <t c="3" si="4">
        <n x="509"/>
        <n x="49"/>
        <n x="472"/>
      </t>
    </mdx>
    <mdx n="508" f="v">
      <t c="3" si="4">
        <n x="509"/>
        <n x="49"/>
        <n x="467"/>
      </t>
    </mdx>
    <mdx n="508" f="v">
      <t c="3" si="4">
        <n x="509"/>
        <n x="49"/>
        <n x="466"/>
      </t>
    </mdx>
    <mdx n="508" f="v">
      <t c="3" si="4">
        <n x="509"/>
        <n x="19"/>
        <n x="467"/>
      </t>
    </mdx>
    <mdx n="508" f="v">
      <t c="3" si="475">
        <n x="509"/>
        <n x="49"/>
        <n x="474"/>
      </t>
    </mdx>
    <mdx n="508" f="v">
      <t c="3" si="475">
        <n x="509"/>
        <n x="19"/>
        <n x="474"/>
      </t>
    </mdx>
    <mdx n="508" f="v">
      <t c="3" si="4">
        <n x="509"/>
        <n x="49"/>
        <n x="5"/>
      </t>
    </mdx>
    <mdx n="508" f="v">
      <t c="3" si="4">
        <n x="509"/>
        <n x="49"/>
        <n x="470"/>
      </t>
    </mdx>
    <mdx n="508" f="v">
      <t c="3" si="4">
        <n x="509"/>
        <n x="19"/>
        <n x="472"/>
      </t>
    </mdx>
    <mdx n="508" f="v">
      <t c="3" si="4">
        <n x="509"/>
        <n x="19"/>
        <n x="466"/>
      </t>
    </mdx>
    <mdx n="508" f="v">
      <t c="3" si="4">
        <n x="509"/>
        <n x="19"/>
        <n x="468"/>
      </t>
    </mdx>
    <mdx n="508" f="v">
      <t c="3" si="4">
        <n x="509"/>
        <n x="19"/>
        <n x="471"/>
      </t>
    </mdx>
    <mdx n="508" f="v">
      <t c="3" si="4">
        <n x="509"/>
        <n x="49"/>
        <n x="479"/>
      </t>
    </mdx>
    <mdx n="508" f="v">
      <t c="3" si="4">
        <n x="509"/>
        <n x="49"/>
        <n x="478"/>
      </t>
    </mdx>
    <mdx n="508" f="v">
      <t c="3" si="4">
        <n x="509"/>
        <n x="19"/>
        <n x="476"/>
      </t>
    </mdx>
    <mdx n="508" f="v">
      <t c="3" si="4">
        <n x="509"/>
        <n x="19"/>
        <n x="479"/>
      </t>
    </mdx>
    <mdx n="508" f="v">
      <t c="3" si="4">
        <n x="509"/>
        <n x="49"/>
        <n x="471"/>
      </t>
    </mdx>
    <mdx n="508" f="v">
      <t c="3" si="4">
        <n x="509"/>
        <n x="19"/>
        <n x="483"/>
      </t>
    </mdx>
    <mdx n="508" f="v">
      <t c="3" si="4">
        <n x="509"/>
        <n x="19"/>
        <n x="480"/>
      </t>
    </mdx>
    <mdx n="508" f="v">
      <t c="3" si="4">
        <n x="509"/>
        <n x="49"/>
        <n x="477"/>
      </t>
    </mdx>
    <mdx n="508" f="v">
      <t c="3" si="4">
        <n x="509"/>
        <n x="49"/>
        <n x="468"/>
      </t>
    </mdx>
    <mdx n="508" f="v">
      <t c="3" si="4">
        <n x="509"/>
        <n x="19"/>
        <n x="485"/>
      </t>
    </mdx>
    <mdx n="508" f="v">
      <t c="3" si="4">
        <n x="509"/>
        <n x="19"/>
        <n x="478"/>
      </t>
    </mdx>
    <mdx n="508" f="v">
      <t c="3" si="4">
        <n x="509"/>
        <n x="19"/>
        <n x="489"/>
      </t>
    </mdx>
    <mdx n="508" f="v">
      <t c="3" si="4">
        <n x="509"/>
        <n x="19"/>
        <n x="482"/>
      </t>
    </mdx>
    <mdx n="508" f="v">
      <t c="3" si="4">
        <n x="509"/>
        <n x="49"/>
        <n x="487"/>
      </t>
    </mdx>
    <mdx n="508" f="v">
      <t c="3" si="4">
        <n x="509"/>
        <n x="19"/>
        <n x="477"/>
      </t>
    </mdx>
    <mdx n="508" f="v">
      <t c="3" si="4">
        <n x="509"/>
        <n x="49"/>
        <n x="484"/>
      </t>
    </mdx>
    <mdx n="508" f="v">
      <t c="3" si="4">
        <n x="509"/>
        <n x="49"/>
        <n x="480"/>
      </t>
    </mdx>
    <mdx n="508" f="v">
      <t c="3" si="4">
        <n x="509"/>
        <n x="49"/>
        <n x="483"/>
      </t>
    </mdx>
    <mdx n="508" f="v">
      <t c="3" si="4">
        <n x="509"/>
        <n x="49"/>
        <n x="481"/>
      </t>
    </mdx>
    <mdx n="508" f="v">
      <t c="3" si="4">
        <n x="509"/>
        <n x="19"/>
        <n x="484"/>
      </t>
    </mdx>
    <mdx n="508" f="v">
      <t c="3" si="4">
        <n x="509"/>
        <n x="49"/>
        <n x="476"/>
      </t>
    </mdx>
    <mdx n="508" f="v">
      <t c="3" si="4">
        <n x="509"/>
        <n x="40"/>
        <n x="472"/>
      </t>
    </mdx>
    <mdx n="508" f="v">
      <t c="3" si="4">
        <n x="509"/>
        <n x="442"/>
        <n x="2"/>
      </t>
    </mdx>
    <mdx n="508" f="v">
      <t c="3" si="4">
        <n x="509"/>
        <n x="238"/>
        <n x="473"/>
      </t>
    </mdx>
    <mdx n="508" f="v">
      <t c="3" si="4">
        <n x="509"/>
        <n x="348"/>
        <n x="469"/>
      </t>
    </mdx>
    <mdx n="508" f="v">
      <t c="3" si="4">
        <n x="509"/>
        <n x="435"/>
        <n x="5"/>
      </t>
    </mdx>
    <mdx n="508" f="v">
      <t c="3" si="4">
        <n x="509"/>
        <n x="175"/>
        <n x="2"/>
      </t>
    </mdx>
    <mdx n="508" f="v">
      <t c="3" si="4">
        <n x="509"/>
        <n x="91"/>
        <n x="5"/>
      </t>
    </mdx>
    <mdx n="508" f="v">
      <t c="3" si="4">
        <n x="509"/>
        <n x="40"/>
        <n x="1"/>
      </t>
    </mdx>
    <mdx n="508" f="v">
      <t c="3" si="4">
        <n x="509"/>
        <n x="114"/>
        <n x="2"/>
      </t>
    </mdx>
    <mdx n="508" f="v">
      <t c="3" si="4">
        <n x="509"/>
        <n x="403"/>
        <n x="467"/>
      </t>
    </mdx>
    <mdx n="508" f="v">
      <t c="3" si="4">
        <n x="509"/>
        <n x="363"/>
        <n x="473"/>
      </t>
    </mdx>
    <mdx n="508" f="v">
      <t c="3" si="4">
        <n x="509"/>
        <n x="82"/>
        <n x="473"/>
      </t>
    </mdx>
    <mdx n="508" f="v">
      <t c="3" si="4">
        <n x="509"/>
        <n x="196"/>
        <n x="5"/>
      </t>
    </mdx>
    <mdx n="508" f="v">
      <t c="3" si="4">
        <n x="509"/>
        <n x="300"/>
        <n x="473"/>
      </t>
    </mdx>
    <mdx n="508" f="v">
      <t c="3" si="4">
        <n x="509"/>
        <n x="198"/>
        <n x="1"/>
      </t>
    </mdx>
    <mdx n="508" f="v">
      <t c="3" si="4">
        <n x="509"/>
        <n x="394"/>
        <n x="2"/>
      </t>
    </mdx>
    <mdx n="508" f="v">
      <t c="3" si="4">
        <n x="509"/>
        <n x="321"/>
        <n x="2"/>
      </t>
    </mdx>
    <mdx n="508" f="v">
      <t c="3" si="4">
        <n x="509"/>
        <n x="197"/>
        <n x="1"/>
      </t>
    </mdx>
    <mdx n="508" f="v">
      <t c="3" si="4">
        <n x="509"/>
        <n x="282"/>
        <n x="473"/>
      </t>
    </mdx>
    <mdx n="508" f="v">
      <t c="3" si="4">
        <n x="509"/>
        <n x="204"/>
        <n x="1"/>
      </t>
    </mdx>
    <mdx n="508" f="v">
      <t c="3" si="4">
        <n x="509"/>
        <n x="272"/>
        <n x="5"/>
      </t>
    </mdx>
    <mdx n="508" f="v">
      <t c="3" si="4">
        <n x="509"/>
        <n x="101"/>
        <n x="467"/>
      </t>
    </mdx>
    <mdx n="508" f="v">
      <t c="3" si="4">
        <n x="509"/>
        <n x="104"/>
        <n x="2"/>
      </t>
    </mdx>
    <mdx n="508" f="v">
      <t c="3" si="4">
        <n x="509"/>
        <n x="174"/>
        <n x="2"/>
      </t>
    </mdx>
    <mdx n="508" f="v">
      <t c="3" si="4">
        <n x="509"/>
        <n x="26"/>
        <n x="2"/>
      </t>
    </mdx>
    <mdx n="508" f="v">
      <t c="3" si="4">
        <n x="509"/>
        <n x="464"/>
        <n x="1"/>
      </t>
    </mdx>
    <mdx n="508" f="v">
      <t c="3" si="4">
        <n x="509"/>
        <n x="63"/>
        <n x="469"/>
      </t>
    </mdx>
    <mdx n="508" f="v">
      <t c="3" si="4">
        <n x="509"/>
        <n x="57"/>
        <n x="5"/>
      </t>
    </mdx>
    <mdx n="508" f="v">
      <t c="3" si="4">
        <n x="509"/>
        <n x="142"/>
        <n x="473"/>
      </t>
    </mdx>
    <mdx n="508" f="v">
      <t c="3" si="4">
        <n x="509"/>
        <n x="292"/>
        <n x="473"/>
      </t>
    </mdx>
    <mdx n="508" f="v">
      <t c="3" si="4">
        <n x="509"/>
        <n x="337"/>
        <n x="467"/>
      </t>
    </mdx>
    <mdx n="508" f="v">
      <t c="3" si="4">
        <n x="509"/>
        <n x="99"/>
        <n x="1"/>
      </t>
    </mdx>
    <mdx n="508" f="v">
      <t c="3" si="4">
        <n x="509"/>
        <n x="73"/>
        <n x="470"/>
      </t>
    </mdx>
    <mdx n="508" f="v">
      <t c="3" si="4">
        <n x="509"/>
        <n x="377"/>
        <n x="1"/>
      </t>
    </mdx>
    <mdx n="508" f="v">
      <t c="3" si="475">
        <n x="509"/>
        <n x="133"/>
        <n x="474"/>
      </t>
    </mdx>
    <mdx n="508" f="v">
      <t c="3" si="4">
        <n x="509"/>
        <n x="89"/>
        <n x="5"/>
      </t>
    </mdx>
    <mdx n="508" f="v">
      <t c="3" si="4">
        <n x="509"/>
        <n x="211"/>
        <n x="1"/>
      </t>
    </mdx>
    <mdx n="508" f="v">
      <t c="3" si="4">
        <n x="509"/>
        <n x="78"/>
        <n x="470"/>
      </t>
    </mdx>
    <mdx n="508" f="v">
      <t c="3" si="4">
        <n x="509"/>
        <n x="218"/>
        <n x="467"/>
      </t>
    </mdx>
    <mdx n="508" f="v">
      <t c="3" si="4">
        <n x="509"/>
        <n x="459"/>
        <n x="5"/>
      </t>
    </mdx>
    <mdx n="508" f="v">
      <t c="3" si="4">
        <n x="509"/>
        <n x="130"/>
        <n x="5"/>
      </t>
    </mdx>
    <mdx n="508" f="v">
      <t c="3" si="4">
        <n x="509"/>
        <n x="278"/>
        <n x="5"/>
      </t>
    </mdx>
    <mdx n="508" f="v">
      <t c="3" si="4">
        <n x="509"/>
        <n x="143"/>
        <n x="5"/>
      </t>
    </mdx>
    <mdx n="508" f="v">
      <t c="3" si="4">
        <n x="509"/>
        <n x="304"/>
        <n x="2"/>
      </t>
    </mdx>
    <mdx n="508" f="v">
      <t c="3" si="4">
        <n x="509"/>
        <n x="276"/>
        <n x="5"/>
      </t>
    </mdx>
    <mdx n="508" f="v">
      <t c="3" si="4">
        <n x="509"/>
        <n x="166"/>
        <n x="2"/>
      </t>
    </mdx>
    <mdx n="508" f="v">
      <t c="3" si="4">
        <n x="509"/>
        <n x="312"/>
        <n x="2"/>
      </t>
    </mdx>
    <mdx n="508" f="v">
      <t c="3" si="4">
        <n x="509"/>
        <n x="29"/>
        <n x="473"/>
      </t>
    </mdx>
    <mdx n="508" f="v">
      <t c="3" si="475">
        <n x="509"/>
        <n x="307"/>
        <n x="474"/>
      </t>
    </mdx>
    <mdx n="508" f="v">
      <t c="3" si="4">
        <n x="509"/>
        <n x="66"/>
        <n x="5"/>
      </t>
    </mdx>
    <mdx n="508" f="v">
      <t c="3" si="4">
        <n x="509"/>
        <n x="63"/>
        <n x="472"/>
      </t>
    </mdx>
    <mdx n="508" f="v">
      <t c="3" si="4">
        <n x="509"/>
        <n x="98"/>
        <n x="5"/>
      </t>
    </mdx>
    <mdx n="508" f="v">
      <t c="3" si="4">
        <n x="509"/>
        <n x="316"/>
        <n x="473"/>
      </t>
    </mdx>
    <mdx n="508" f="v">
      <t c="3" si="4">
        <n x="509"/>
        <n x="96"/>
        <n x="469"/>
      </t>
    </mdx>
    <mdx n="508" f="v">
      <t c="3" si="4">
        <n x="509"/>
        <n x="38"/>
        <n x="5"/>
      </t>
    </mdx>
    <mdx n="508" f="v">
      <t c="3" si="4">
        <n x="509"/>
        <n x="291"/>
        <n x="473"/>
      </t>
    </mdx>
    <mdx n="508" f="v">
      <t c="3" si="4">
        <n x="509"/>
        <n x="182"/>
        <n x="467"/>
      </t>
    </mdx>
    <mdx n="508" f="v">
      <t c="3" si="4">
        <n x="509"/>
        <n x="347"/>
        <n x="496"/>
      </t>
    </mdx>
    <mdx n="508" f="v">
      <t c="3" si="4">
        <n x="509"/>
        <n x="106"/>
        <n x="5"/>
      </t>
    </mdx>
    <mdx n="508" f="v">
      <t c="3" si="4">
        <n x="509"/>
        <n x="107"/>
        <n x="1"/>
      </t>
    </mdx>
    <mdx n="508" f="v">
      <t c="3" si="475">
        <n x="509"/>
        <n x="202"/>
        <n x="474"/>
      </t>
    </mdx>
    <mdx n="508" f="v">
      <t c="3" si="4">
        <n x="509"/>
        <n x="207"/>
        <n x="5"/>
      </t>
    </mdx>
    <mdx n="508" f="v">
      <t c="3" si="4">
        <n x="509"/>
        <n x="274"/>
        <n x="5"/>
      </t>
    </mdx>
    <mdx n="508" f="v">
      <t c="3" si="4">
        <n x="509"/>
        <n x="75"/>
        <n x="467"/>
      </t>
    </mdx>
    <mdx n="508" f="v">
      <t c="3" si="4">
        <n x="509"/>
        <n x="269"/>
        <n x="5"/>
      </t>
    </mdx>
    <mdx n="508" f="v">
      <t c="3" si="4">
        <n x="509"/>
        <n x="107"/>
        <n x="473"/>
      </t>
    </mdx>
    <mdx n="508" f="v">
      <t c="3" si="4">
        <n x="509"/>
        <n x="92"/>
        <n x="2"/>
      </t>
    </mdx>
    <mdx n="508" f="v">
      <t c="3" si="4">
        <n x="509"/>
        <n x="155"/>
        <n x="470"/>
      </t>
    </mdx>
    <mdx n="508" f="v">
      <t c="3" si="4">
        <n x="509"/>
        <n x="77"/>
        <n x="1"/>
      </t>
    </mdx>
    <mdx n="508" f="v">
      <t c="3" si="4">
        <n x="509"/>
        <n x="17"/>
        <n x="472"/>
      </t>
    </mdx>
    <mdx n="508" f="v">
      <t c="3" si="4">
        <n x="509"/>
        <n x="392"/>
        <n x="5"/>
      </t>
    </mdx>
    <mdx n="508" f="v">
      <t c="3" si="4">
        <n x="509"/>
        <n x="277"/>
        <n x="467"/>
      </t>
    </mdx>
    <mdx n="508" f="v">
      <t c="3" si="4">
        <n x="509"/>
        <n x="115"/>
        <n x="469"/>
      </t>
    </mdx>
    <mdx n="508" f="v">
      <t c="3" si="475">
        <n x="509"/>
        <n x="407"/>
        <n x="474"/>
      </t>
    </mdx>
    <mdx n="508" f="v">
      <t c="3" si="4">
        <n x="509"/>
        <n x="243"/>
        <n x="2"/>
      </t>
    </mdx>
    <mdx n="508" f="v">
      <t c="3" si="475">
        <n x="509"/>
        <n x="51"/>
        <n x="474"/>
      </t>
    </mdx>
    <mdx n="508" f="v">
      <t c="3" si="4">
        <n x="509"/>
        <n x="340"/>
        <n x="2"/>
      </t>
    </mdx>
    <mdx n="508" f="v">
      <t c="3" si="4">
        <n x="509"/>
        <n x="177"/>
        <n x="2"/>
      </t>
    </mdx>
    <mdx n="508" f="v">
      <t c="3" si="4">
        <n x="509"/>
        <n x="82"/>
        <n x="470"/>
      </t>
    </mdx>
    <mdx n="508" f="v">
      <t c="3" si="4">
        <n x="509"/>
        <n x="308"/>
        <n x="1"/>
      </t>
    </mdx>
    <mdx n="508" f="v">
      <t c="3" si="4">
        <n x="509"/>
        <n x="416"/>
        <n x="5"/>
      </t>
    </mdx>
    <mdx n="508" f="v">
      <t c="3" si="4">
        <n x="509"/>
        <n x="278"/>
        <n x="470"/>
      </t>
    </mdx>
    <mdx n="508" f="v">
      <t c="3" si="4">
        <n x="509"/>
        <n x="172"/>
        <n x="467"/>
      </t>
    </mdx>
    <mdx n="508" f="v">
      <t c="3" si="4">
        <n x="509"/>
        <n x="140"/>
        <n x="470"/>
      </t>
    </mdx>
    <mdx n="508" f="v">
      <t c="3" si="4">
        <n x="509"/>
        <n x="47"/>
        <n x="1"/>
      </t>
    </mdx>
    <mdx n="508" f="v">
      <t c="3" si="4">
        <n x="509"/>
        <n x="108"/>
        <n x="467"/>
      </t>
    </mdx>
    <mdx n="508" f="v">
      <t c="3" si="4">
        <n x="509"/>
        <n x="451"/>
        <n x="473"/>
      </t>
    </mdx>
    <mdx n="508" f="v">
      <t c="3" si="4">
        <n x="509"/>
        <n x="247"/>
        <n x="5"/>
      </t>
    </mdx>
    <mdx n="508" f="v">
      <t c="3" si="4">
        <n x="509"/>
        <n x="25"/>
        <n x="2"/>
      </t>
    </mdx>
    <mdx n="508" f="v">
      <t c="3" si="4">
        <n x="509"/>
        <n x="212"/>
        <n x="470"/>
      </t>
    </mdx>
    <mdx n="508" f="v">
      <t c="3" si="4">
        <n x="509"/>
        <n x="403"/>
        <n x="473"/>
      </t>
    </mdx>
    <mdx n="508" f="v">
      <t c="3" si="4">
        <n x="509"/>
        <n x="228"/>
        <n x="470"/>
      </t>
    </mdx>
    <mdx n="508" f="v">
      <t c="3" si="4">
        <n x="509"/>
        <n x="341"/>
        <n x="473"/>
      </t>
    </mdx>
    <mdx n="508" f="v">
      <t c="3" si="4">
        <n x="509"/>
        <n x="163"/>
        <n x="2"/>
      </t>
    </mdx>
    <mdx n="508" f="v">
      <t c="3" si="4">
        <n x="509"/>
        <n x="183"/>
        <n x="2"/>
      </t>
    </mdx>
    <mdx n="508" f="v">
      <t c="3" si="4">
        <n x="509"/>
        <n x="139"/>
        <n x="2"/>
      </t>
    </mdx>
    <mdx n="508" f="v">
      <t c="3" si="4">
        <n x="509"/>
        <n x="276"/>
        <n x="467"/>
      </t>
    </mdx>
    <mdx n="508" f="v">
      <t c="3" si="4">
        <n x="509"/>
        <n x="164"/>
        <n x="473"/>
      </t>
    </mdx>
    <mdx n="508" f="v">
      <t c="3" si="4">
        <n x="509"/>
        <n x="328"/>
        <n x="2"/>
      </t>
    </mdx>
    <mdx n="508" f="v">
      <t c="3" si="4">
        <n x="509"/>
        <n x="127"/>
        <n x="467"/>
      </t>
    </mdx>
    <mdx n="508" f="v">
      <t c="3" si="4">
        <n x="509"/>
        <n x="192"/>
        <n x="1"/>
      </t>
    </mdx>
    <mdx n="508" f="v">
      <t c="3" si="4">
        <n x="509"/>
        <n x="156"/>
        <n x="2"/>
      </t>
    </mdx>
    <mdx n="508" f="v">
      <t c="3" si="4">
        <n x="509"/>
        <n x="285"/>
        <n x="496"/>
      </t>
    </mdx>
    <mdx n="508" f="v">
      <t c="3" si="4">
        <n x="509"/>
        <n x="173"/>
        <n x="2"/>
      </t>
    </mdx>
    <mdx n="508" f="v">
      <t c="3" si="4">
        <n x="509"/>
        <n x="27"/>
        <n x="1"/>
      </t>
    </mdx>
    <mdx n="508" f="v">
      <t c="3" si="475">
        <n x="509"/>
        <n x="389"/>
        <n x="474"/>
      </t>
    </mdx>
    <mdx n="508" f="v">
      <t c="3" si="4">
        <n x="509"/>
        <n x="447"/>
        <n x="5"/>
      </t>
    </mdx>
    <mdx n="508" f="v">
      <t c="3" si="4">
        <n x="509"/>
        <n x="210"/>
        <n x="469"/>
      </t>
    </mdx>
    <mdx n="508" f="v">
      <t c="3" si="4">
        <n x="509"/>
        <n x="130"/>
        <n x="2"/>
      </t>
    </mdx>
    <mdx n="508" f="v">
      <t c="3" si="4">
        <n x="509"/>
        <n x="347"/>
        <n x="5"/>
      </t>
    </mdx>
    <mdx n="508" f="v">
      <t c="3" si="4">
        <n x="509"/>
        <n x="90"/>
        <n x="1"/>
      </t>
    </mdx>
    <mdx n="508" f="v">
      <t c="3" si="4">
        <n x="509"/>
        <n x="304"/>
        <n x="5"/>
      </t>
    </mdx>
    <mdx n="508" f="v">
      <t c="3" si="4">
        <n x="509"/>
        <n x="131"/>
        <n x="2"/>
      </t>
    </mdx>
    <mdx n="508" f="v">
      <t c="3" si="475">
        <n x="509"/>
        <n x="273"/>
        <n x="474"/>
      </t>
    </mdx>
    <mdx n="508" f="v">
      <t c="3" si="4">
        <n x="509"/>
        <n x="461"/>
        <n x="467"/>
      </t>
    </mdx>
    <mdx n="508" f="v">
      <t c="3" si="4">
        <n x="509"/>
        <n x="111"/>
        <n x="2"/>
      </t>
    </mdx>
    <mdx n="508" f="v">
      <t c="3" si="4">
        <n x="509"/>
        <n x="296"/>
        <n x="467"/>
      </t>
    </mdx>
    <mdx n="508" f="v">
      <t c="3" si="4">
        <n x="509"/>
        <n x="371"/>
        <n x="472"/>
      </t>
    </mdx>
    <mdx n="508" f="v">
      <t c="3" si="4">
        <n x="509"/>
        <n x="222"/>
        <n x="5"/>
      </t>
    </mdx>
    <mdx n="508" f="v">
      <t c="3" si="4">
        <n x="509"/>
        <n x="461"/>
        <n x="469"/>
      </t>
    </mdx>
    <mdx n="508" f="v">
      <t c="3" si="4">
        <n x="509"/>
        <n x="264"/>
        <n x="472"/>
      </t>
    </mdx>
    <mdx n="508" f="v">
      <t c="3" si="4">
        <n x="509"/>
        <n x="92"/>
        <n x="467"/>
      </t>
    </mdx>
    <mdx n="508" f="v">
      <t c="3" si="4">
        <n x="509"/>
        <n x="453"/>
        <n x="1"/>
      </t>
    </mdx>
    <mdx n="508" f="v">
      <t c="3" si="4">
        <n x="509"/>
        <n x="115"/>
        <n x="472"/>
      </t>
    </mdx>
    <mdx n="508" f="v">
      <t c="3" si="4">
        <n x="509"/>
        <n x="391"/>
        <n x="467"/>
      </t>
    </mdx>
    <mdx n="508" f="v">
      <t c="3" si="4">
        <n x="509"/>
        <n x="91"/>
        <n x="467"/>
      </t>
    </mdx>
    <mdx n="508" f="v">
      <t c="3" si="4">
        <n x="509"/>
        <n x="396"/>
        <n x="467"/>
      </t>
    </mdx>
    <mdx n="508" f="v">
      <t c="3" si="4">
        <n x="509"/>
        <n x="20"/>
        <n x="472"/>
      </t>
    </mdx>
    <mdx n="508" f="v">
      <t c="3" si="4">
        <n x="509"/>
        <n x="110"/>
        <n x="472"/>
      </t>
    </mdx>
    <mdx n="508" f="v">
      <t c="3" si="4">
        <n x="509"/>
        <n x="249"/>
        <n x="5"/>
      </t>
    </mdx>
    <mdx n="508" f="v">
      <t c="3" si="475">
        <n x="509"/>
        <n x="372"/>
        <n x="474"/>
      </t>
    </mdx>
    <mdx n="508" f="v">
      <t c="3" si="4">
        <n x="509"/>
        <n x="58"/>
        <n x="1"/>
      </t>
    </mdx>
    <mdx n="508" f="v">
      <t c="3" si="4">
        <n x="509"/>
        <n x="184"/>
        <n x="1"/>
      </t>
    </mdx>
    <mdx n="508" f="v">
      <t c="3" si="4">
        <n x="509"/>
        <n x="299"/>
        <n x="5"/>
      </t>
    </mdx>
    <mdx n="508" f="v">
      <t c="3" si="4">
        <n x="509"/>
        <n x="115"/>
        <n x="467"/>
      </t>
    </mdx>
    <mdx n="508" f="v">
      <t c="3" si="4">
        <n x="509"/>
        <n x="289"/>
        <n x="467"/>
      </t>
    </mdx>
    <mdx n="508" f="v">
      <t c="3" si="475">
        <n x="509"/>
        <n x="338"/>
        <n x="474"/>
      </t>
    </mdx>
    <mdx n="508" f="v">
      <t c="3" si="4">
        <n x="509"/>
        <n x="281"/>
        <n x="470"/>
      </t>
    </mdx>
    <mdx n="508" f="v">
      <t c="3" si="4">
        <n x="509"/>
        <n x="75"/>
        <n x="470"/>
      </t>
    </mdx>
    <mdx n="508" f="v">
      <t c="3" si="4">
        <n x="509"/>
        <n x="431"/>
        <n x="473"/>
      </t>
    </mdx>
    <mdx n="508" f="v">
      <t c="3" si="4">
        <n x="509"/>
        <n x="373"/>
        <n x="470"/>
      </t>
    </mdx>
    <mdx n="508" f="v">
      <t c="3" si="4">
        <n x="509"/>
        <n x="400"/>
        <n x="5"/>
      </t>
    </mdx>
    <mdx n="508" f="v">
      <t c="3" si="4">
        <n x="509"/>
        <n x="241"/>
        <n x="467"/>
      </t>
    </mdx>
    <mdx n="508" f="v">
      <t c="3" si="4">
        <n x="509"/>
        <n x="107"/>
        <n x="2"/>
      </t>
    </mdx>
    <mdx n="508" f="v">
      <t c="3" si="4">
        <n x="509"/>
        <n x="360"/>
        <n x="2"/>
      </t>
    </mdx>
    <mdx n="508" f="v">
      <t c="3" si="4">
        <n x="509"/>
        <n x="354"/>
        <n x="5"/>
      </t>
    </mdx>
    <mdx n="508" f="v">
      <t c="3" si="4">
        <n x="509"/>
        <n x="452"/>
        <n x="2"/>
      </t>
    </mdx>
    <mdx n="508" f="v">
      <t c="3" si="4">
        <n x="509"/>
        <n x="240"/>
        <n x="470"/>
      </t>
    </mdx>
    <mdx n="508" f="v">
      <t c="3" si="4">
        <n x="509"/>
        <n x="113"/>
        <n x="467"/>
      </t>
    </mdx>
    <mdx n="508" f="v">
      <t c="3" si="4">
        <n x="509"/>
        <n x="428"/>
        <n x="470"/>
      </t>
    </mdx>
    <mdx n="508" f="v">
      <t c="3" si="4">
        <n x="509"/>
        <n x="249"/>
        <n x="2"/>
      </t>
    </mdx>
    <mdx n="508" f="v">
      <t c="3" si="4">
        <n x="509"/>
        <n x="176"/>
        <n x="472"/>
      </t>
    </mdx>
    <mdx n="508" f="v">
      <t c="3" si="4">
        <n x="509"/>
        <n x="262"/>
        <n x="1"/>
      </t>
    </mdx>
    <mdx n="508" f="v">
      <t c="3" si="4">
        <n x="509"/>
        <n x="254"/>
        <n x="470"/>
      </t>
    </mdx>
    <mdx n="508" f="v">
      <t c="3" si="4">
        <n x="509"/>
        <n x="133"/>
        <n x="1"/>
      </t>
    </mdx>
    <mdx n="508" f="v">
      <t c="3" si="4">
        <n x="509"/>
        <n x="394"/>
        <n x="5"/>
      </t>
    </mdx>
    <mdx n="508" f="v">
      <t c="3" si="4">
        <n x="509"/>
        <n x="245"/>
        <n x="2"/>
      </t>
    </mdx>
    <mdx n="508" f="v">
      <t c="3" si="4">
        <n x="509"/>
        <n x="149"/>
        <n x="467"/>
      </t>
    </mdx>
    <mdx n="508" f="v">
      <t c="3" si="4">
        <n x="509"/>
        <n x="106"/>
        <n x="467"/>
      </t>
    </mdx>
    <mdx n="508" f="v">
      <t c="3" si="4">
        <n x="509"/>
        <n x="37"/>
        <n x="470"/>
      </t>
    </mdx>
    <mdx n="508" f="v">
      <t c="3" si="4">
        <n x="509"/>
        <n x="51"/>
        <n x="473"/>
      </t>
    </mdx>
    <mdx n="508" f="v">
      <t c="3" si="4">
        <n x="509"/>
        <n x="92"/>
        <n x="5"/>
      </t>
    </mdx>
    <mdx n="508" f="v">
      <t c="3" si="4">
        <n x="509"/>
        <n x="149"/>
        <n x="473"/>
      </t>
    </mdx>
    <mdx n="508" f="v">
      <t c="3" si="4">
        <n x="509"/>
        <n x="404"/>
        <n x="473"/>
      </t>
    </mdx>
    <mdx n="508" f="v">
      <t c="3" si="4">
        <n x="509"/>
        <n x="346"/>
        <n x="473"/>
      </t>
    </mdx>
    <mdx n="508" f="v">
      <t c="3" si="4">
        <n x="509"/>
        <n x="207"/>
        <n x="1"/>
      </t>
    </mdx>
    <mdx n="508" f="v">
      <t c="3" si="4">
        <n x="509"/>
        <n x="312"/>
        <n x="5"/>
      </t>
    </mdx>
    <mdx n="508" f="v">
      <t c="3" si="4">
        <n x="509"/>
        <n x="350"/>
        <n x="467"/>
      </t>
    </mdx>
    <mdx n="508" f="v">
      <t c="3" si="4">
        <n x="509"/>
        <n x="444"/>
        <n x="5"/>
      </t>
    </mdx>
    <mdx n="508" f="v">
      <t c="3" si="4">
        <n x="509"/>
        <n x="392"/>
        <n x="473"/>
      </t>
    </mdx>
    <mdx n="508" f="v">
      <t c="3" si="4">
        <n x="509"/>
        <n x="54"/>
        <n x="5"/>
      </t>
    </mdx>
    <mdx n="508" f="v">
      <t c="3" si="4">
        <n x="509"/>
        <n x="412"/>
        <n x="473"/>
      </t>
    </mdx>
    <mdx n="508" f="v">
      <t c="3" si="4">
        <n x="509"/>
        <n x="370"/>
        <n x="2"/>
      </t>
    </mdx>
    <mdx n="508" f="v">
      <t c="3" si="4">
        <n x="509"/>
        <n x="54"/>
        <n x="473"/>
      </t>
    </mdx>
    <mdx n="508" f="v">
      <t c="3" si="4">
        <n x="509"/>
        <n x="212"/>
        <n x="2"/>
      </t>
    </mdx>
    <mdx n="508" f="v">
      <t c="3" si="4">
        <n x="509"/>
        <n x="263"/>
        <n x="5"/>
      </t>
    </mdx>
    <mdx n="508" f="v">
      <t c="3" si="4">
        <n x="509"/>
        <n x="380"/>
        <n x="473"/>
      </t>
    </mdx>
    <mdx n="508" f="v">
      <t c="3" si="4">
        <n x="509"/>
        <n x="230"/>
        <n x="1"/>
      </t>
    </mdx>
    <mdx n="508" f="v">
      <t c="3" si="4">
        <n x="509"/>
        <n x="228"/>
        <n x="2"/>
      </t>
    </mdx>
    <mdx n="508" f="v">
      <t c="3" si="4">
        <n x="509"/>
        <n x="44"/>
        <n x="467"/>
      </t>
    </mdx>
    <mdx n="508" f="v">
      <t c="3" si="475">
        <n x="509"/>
        <n x="33"/>
        <n x="474"/>
      </t>
    </mdx>
    <mdx n="508" f="v">
      <t c="3" si="4">
        <n x="509"/>
        <n x="392"/>
        <n x="2"/>
      </t>
    </mdx>
    <mdx n="508" f="v">
      <t c="3" si="475">
        <n x="509"/>
        <n x="144"/>
        <n x="474"/>
      </t>
    </mdx>
    <mdx n="508" f="v">
      <t c="3" si="4">
        <n x="509"/>
        <n x="118"/>
        <n x="1"/>
      </t>
    </mdx>
    <mdx n="508" f="v">
      <t c="3" si="4">
        <n x="509"/>
        <n x="352"/>
        <n x="5"/>
      </t>
    </mdx>
    <mdx n="508" f="v">
      <t c="3" si="4">
        <n x="509"/>
        <n x="411"/>
        <n x="2"/>
      </t>
    </mdx>
    <mdx n="508" f="v">
      <t c="3" si="4">
        <n x="509"/>
        <n x="88"/>
        <n x="2"/>
      </t>
    </mdx>
    <mdx n="508" f="v">
      <t c="3" si="4">
        <n x="509"/>
        <n x="387"/>
        <n x="2"/>
      </t>
    </mdx>
    <mdx n="508" f="v">
      <t c="3" si="475">
        <n x="509"/>
        <n x="32"/>
        <n x="474"/>
      </t>
    </mdx>
    <mdx n="508" f="v">
      <t c="3" si="4">
        <n x="509"/>
        <n x="389"/>
        <n x="473"/>
      </t>
    </mdx>
    <mdx n="508" f="v">
      <t c="3" si="4">
        <n x="509"/>
        <n x="226"/>
        <n x="472"/>
      </t>
    </mdx>
    <mdx n="508" f="v">
      <t c="3" si="475">
        <n x="509"/>
        <n x="71"/>
        <n x="474"/>
      </t>
    </mdx>
    <mdx n="508" f="v">
      <t c="3" si="4">
        <n x="509"/>
        <n x="134"/>
        <n x="2"/>
      </t>
    </mdx>
    <mdx n="508" f="v">
      <t c="3" si="4">
        <n x="509"/>
        <n x="239"/>
        <n x="467"/>
      </t>
    </mdx>
    <mdx n="508" f="v">
      <t c="3" si="4">
        <n x="509"/>
        <n x="186"/>
        <n x="5"/>
      </t>
    </mdx>
    <mdx n="508" f="v">
      <t c="3" si="4">
        <n x="509"/>
        <n x="251"/>
        <n x="472"/>
      </t>
    </mdx>
    <mdx n="508" f="v">
      <t c="3" si="475">
        <n x="509"/>
        <n x="18"/>
        <n x="474"/>
      </t>
    </mdx>
    <mdx n="508" f="v">
      <t c="3" si="475">
        <n x="509"/>
        <n x="444"/>
        <n x="474"/>
      </t>
    </mdx>
    <mdx n="508" f="v">
      <t c="3" si="4">
        <n x="509"/>
        <n x="380"/>
        <n x="2"/>
      </t>
    </mdx>
    <mdx n="508" f="v">
      <t c="3" si="4">
        <n x="509"/>
        <n x="148"/>
        <n x="472"/>
      </t>
    </mdx>
    <mdx n="508" f="v">
      <t c="3" si="4">
        <n x="509"/>
        <n x="379"/>
        <n x="473"/>
      </t>
    </mdx>
    <mdx n="508" f="v">
      <t c="3" si="4">
        <n x="509"/>
        <n x="161"/>
        <n x="1"/>
      </t>
    </mdx>
    <mdx n="508" f="v">
      <t c="3" si="4">
        <n x="509"/>
        <n x="155"/>
        <n x="1"/>
      </t>
    </mdx>
    <mdx n="508" f="v">
      <t c="3" si="4">
        <n x="509"/>
        <n x="223"/>
        <n x="470"/>
      </t>
    </mdx>
    <mdx n="508" f="v">
      <t c="3" si="4">
        <n x="509"/>
        <n x="351"/>
        <n x="467"/>
      </t>
    </mdx>
    <mdx n="508" f="v">
      <t c="3" si="4">
        <n x="509"/>
        <n x="59"/>
        <n x="2"/>
      </t>
    </mdx>
    <mdx n="508" f="v">
      <t c="3" si="4">
        <n x="509"/>
        <n x="356"/>
        <n x="473"/>
      </t>
    </mdx>
    <mdx n="508" f="v">
      <t c="3" si="4">
        <n x="509"/>
        <n x="185"/>
        <n x="1"/>
      </t>
    </mdx>
    <mdx n="508" f="v">
      <t c="3" si="4">
        <n x="509"/>
        <n x="285"/>
        <n x="470"/>
      </t>
    </mdx>
    <mdx n="508" f="v">
      <t c="3" si="4">
        <n x="509"/>
        <n x="453"/>
        <n x="5"/>
      </t>
    </mdx>
    <mdx n="508" f="v">
      <t c="3" si="4">
        <n x="509"/>
        <n x="137"/>
        <n x="470"/>
      </t>
    </mdx>
    <mdx n="508" f="v">
      <t c="3" si="4">
        <n x="509"/>
        <n x="349"/>
        <n x="473"/>
      </t>
    </mdx>
    <mdx n="508" f="v">
      <t c="3" si="4">
        <n x="509"/>
        <n x="424"/>
        <n x="473"/>
      </t>
    </mdx>
    <mdx n="508" f="v">
      <t c="3" si="4">
        <n x="509"/>
        <n x="72"/>
        <n x="1"/>
      </t>
    </mdx>
    <mdx n="508" f="v">
      <t c="3" si="4">
        <n x="509"/>
        <n x="270"/>
        <n x="1"/>
      </t>
    </mdx>
    <mdx n="508" f="v">
      <t c="3" si="475">
        <n x="509"/>
        <n x="416"/>
        <n x="474"/>
      </t>
    </mdx>
    <mdx n="508" f="v">
      <t c="3" si="4">
        <n x="509"/>
        <n x="449"/>
        <n x="470"/>
      </t>
    </mdx>
    <mdx n="508" f="v">
      <t c="3" si="475">
        <n x="509"/>
        <n x="72"/>
        <n x="474"/>
      </t>
    </mdx>
    <mdx n="508" f="v">
      <t c="3" si="4">
        <n x="509"/>
        <n x="448"/>
        <n x="470"/>
      </t>
    </mdx>
    <mdx n="508" f="v">
      <t c="3" si="4">
        <n x="509"/>
        <n x="341"/>
        <n x="469"/>
      </t>
    </mdx>
    <mdx n="508" f="v">
      <t c="3" si="4">
        <n x="509"/>
        <n x="215"/>
        <n x="473"/>
      </t>
    </mdx>
    <mdx n="508" f="v">
      <t c="3" si="4">
        <n x="509"/>
        <n x="386"/>
        <n x="2"/>
      </t>
    </mdx>
    <mdx n="508" f="v">
      <t c="3" si="475">
        <n x="509"/>
        <n x="88"/>
        <n x="474"/>
      </t>
    </mdx>
    <mdx n="508" f="v">
      <t c="3" si="4">
        <n x="509"/>
        <n x="444"/>
        <n x="2"/>
      </t>
    </mdx>
    <mdx n="508" f="v">
      <t c="3" si="4">
        <n x="509"/>
        <n x="374"/>
        <n x="467"/>
      </t>
    </mdx>
    <mdx n="508" f="v">
      <t c="3" si="4">
        <n x="509"/>
        <n x="234"/>
        <n x="496"/>
      </t>
    </mdx>
    <mdx n="508" f="v">
      <t c="3" si="4">
        <n x="509"/>
        <n x="21"/>
        <n x="5"/>
      </t>
    </mdx>
    <mdx n="508" f="v">
      <t c="3" si="4">
        <n x="509"/>
        <n x="219"/>
        <n x="473"/>
      </t>
    </mdx>
    <mdx n="508" f="v">
      <t c="3" si="4">
        <n x="509"/>
        <n x="265"/>
        <n x="467"/>
      </t>
    </mdx>
    <mdx n="508" f="v">
      <t c="3" si="475">
        <n x="509"/>
        <n x="278"/>
        <n x="474"/>
      </t>
    </mdx>
    <mdx n="508" f="v">
      <t c="3" si="4">
        <n x="509"/>
        <n x="205"/>
        <n x="467"/>
      </t>
    </mdx>
    <mdx n="508" f="v">
      <t c="3" si="4">
        <n x="509"/>
        <n x="164"/>
        <n x="472"/>
      </t>
    </mdx>
    <mdx n="508" f="v">
      <t c="3" si="4">
        <n x="509"/>
        <n x="431"/>
        <n x="5"/>
      </t>
    </mdx>
    <mdx n="508" f="v">
      <t c="3" si="475">
        <n x="509"/>
        <n x="450"/>
        <n x="474"/>
      </t>
    </mdx>
    <mdx n="508" f="v">
      <t c="3" si="4">
        <n x="509"/>
        <n x="243"/>
        <n x="473"/>
      </t>
    </mdx>
    <mdx n="508" f="v">
      <t c="3" si="4">
        <n x="509"/>
        <n x="455"/>
        <n x="5"/>
      </t>
    </mdx>
    <mdx n="508" f="v">
      <t c="3" si="4">
        <n x="509"/>
        <n x="277"/>
        <n x="472"/>
      </t>
    </mdx>
    <mdx n="508" f="v">
      <t c="3" si="4">
        <n x="509"/>
        <n x="112"/>
        <n x="470"/>
      </t>
    </mdx>
    <mdx n="508" f="v">
      <t c="3" si="4">
        <n x="509"/>
        <n x="390"/>
        <n x="473"/>
      </t>
    </mdx>
    <mdx n="508" f="v">
      <t c="3" si="4">
        <n x="509"/>
        <n x="138"/>
        <n x="5"/>
      </t>
    </mdx>
    <mdx n="508" f="v">
      <t c="3" si="4">
        <n x="509"/>
        <n x="13"/>
        <n x="473"/>
      </t>
    </mdx>
    <mdx n="508" f="v">
      <t c="3" si="4">
        <n x="509"/>
        <n x="247"/>
        <n x="467"/>
      </t>
    </mdx>
    <mdx n="508" f="v">
      <t c="3" si="4">
        <n x="509"/>
        <n x="135"/>
        <n x="467"/>
      </t>
    </mdx>
    <mdx n="508" f="v">
      <t c="3" si="4">
        <n x="509"/>
        <n x="359"/>
        <n x="469"/>
      </t>
    </mdx>
    <mdx n="508" f="v">
      <t c="3" si="4">
        <n x="509"/>
        <n x="32"/>
        <n x="5"/>
      </t>
    </mdx>
    <mdx n="508" f="v">
      <t c="3" si="4">
        <n x="509"/>
        <n x="309"/>
        <n x="1"/>
      </t>
    </mdx>
    <mdx n="508" f="v">
      <t c="3" si="4">
        <n x="509"/>
        <n x="46"/>
        <n x="1"/>
      </t>
    </mdx>
    <mdx n="508" f="v">
      <t c="3" si="4">
        <n x="509"/>
        <n x="100"/>
        <n x="467"/>
      </t>
    </mdx>
    <mdx n="508" f="v">
      <t c="3" si="4">
        <n x="509"/>
        <n x="280"/>
        <n x="470"/>
      </t>
    </mdx>
    <mdx n="508" f="v">
      <t c="3" si="4">
        <n x="509"/>
        <n x="173"/>
        <n x="473"/>
      </t>
    </mdx>
    <mdx n="508" f="v">
      <t c="3" si="4">
        <n x="509"/>
        <n x="256"/>
        <n x="2"/>
      </t>
    </mdx>
    <mdx n="508" f="v">
      <t c="3" si="4">
        <n x="509"/>
        <n x="41"/>
        <n x="473"/>
      </t>
    </mdx>
    <mdx n="508" f="v">
      <t c="3" si="4">
        <n x="509"/>
        <n x="160"/>
        <n x="473"/>
      </t>
    </mdx>
    <mdx n="508" f="v">
      <t c="3" si="4">
        <n x="509"/>
        <n x="179"/>
        <n x="473"/>
      </t>
    </mdx>
    <mdx n="508" f="v">
      <t c="3" si="4">
        <n x="509"/>
        <n x="52"/>
        <n x="469"/>
      </t>
    </mdx>
    <mdx n="508" f="v">
      <t c="3" si="4">
        <n x="509"/>
        <n x="182"/>
        <n x="469"/>
      </t>
    </mdx>
    <mdx n="508" f="v">
      <t c="3" si="4">
        <n x="509"/>
        <n x="301"/>
        <n x="472"/>
      </t>
    </mdx>
    <mdx n="508" f="v">
      <t c="3" si="4">
        <n x="509"/>
        <n x="285"/>
        <n x="5"/>
      </t>
    </mdx>
    <mdx n="508" f="v">
      <t c="3" si="4">
        <n x="509"/>
        <n x="384"/>
        <n x="473"/>
      </t>
    </mdx>
    <mdx n="508" f="v">
      <t c="3" si="4">
        <n x="509"/>
        <n x="397"/>
        <n x="5"/>
      </t>
    </mdx>
    <mdx n="508" f="v">
      <t c="3" si="4">
        <n x="509"/>
        <n x="86"/>
        <n x="5"/>
      </t>
    </mdx>
    <mdx n="508" f="v">
      <t c="3" si="4">
        <n x="509"/>
        <n x="345"/>
        <n x="1"/>
      </t>
    </mdx>
    <mdx n="508" f="v">
      <t c="3" si="4">
        <n x="509"/>
        <n x="324"/>
        <n x="1"/>
      </t>
    </mdx>
    <mdx n="508" f="v">
      <t c="3" si="4">
        <n x="509"/>
        <n x="393"/>
        <n x="5"/>
      </t>
    </mdx>
    <mdx n="508" f="v">
      <t c="3" si="4">
        <n x="509"/>
        <n x="26"/>
        <n x="467"/>
      </t>
    </mdx>
    <mdx n="508" f="v">
      <t c="3" si="475">
        <n x="509"/>
        <n x="187"/>
        <n x="474"/>
      </t>
    </mdx>
    <mdx n="508" f="v">
      <t c="3" si="4">
        <n x="509"/>
        <n x="270"/>
        <n x="5"/>
      </t>
    </mdx>
    <mdx n="508" f="v">
      <t c="3" si="4">
        <n x="509"/>
        <n x="335"/>
        <n x="469"/>
      </t>
    </mdx>
    <mdx n="508" f="v">
      <t c="3" si="4">
        <n x="509"/>
        <n x="120"/>
        <n x="5"/>
      </t>
    </mdx>
    <mdx n="508" f="v">
      <t c="3" si="4">
        <n x="509"/>
        <n x="200"/>
        <n x="473"/>
      </t>
    </mdx>
    <mdx n="508" f="v">
      <t c="3" si="475">
        <n x="509"/>
        <n x="169"/>
        <n x="474"/>
      </t>
    </mdx>
    <mdx n="508" f="v">
      <t c="3" si="4">
        <n x="509"/>
        <n x="47"/>
        <n x="467"/>
      </t>
    </mdx>
    <mdx n="508" f="v">
      <t c="3" si="4">
        <n x="509"/>
        <n x="461"/>
        <n x="473"/>
      </t>
    </mdx>
    <mdx n="508" f="v">
      <t c="3" si="4">
        <n x="509"/>
        <n x="205"/>
        <n x="469"/>
      </t>
    </mdx>
    <mdx n="508" f="v">
      <t c="3" si="4">
        <n x="509"/>
        <n x="63"/>
        <n x="1"/>
      </t>
    </mdx>
    <mdx n="508" f="v">
      <t c="3" si="4">
        <n x="509"/>
        <n x="206"/>
        <n x="2"/>
      </t>
    </mdx>
    <mdx n="508" f="v">
      <t c="3" si="4">
        <n x="509"/>
        <n x="22"/>
        <n x="469"/>
      </t>
    </mdx>
    <mdx n="508" f="v">
      <t c="3" si="4">
        <n x="509"/>
        <n x="352"/>
        <n x="472"/>
      </t>
    </mdx>
    <mdx n="508" f="v">
      <t c="3" si="4">
        <n x="509"/>
        <n x="252"/>
        <n x="470"/>
      </t>
    </mdx>
    <mdx n="508" f="v">
      <t c="3" si="4">
        <n x="509"/>
        <n x="420"/>
        <n x="5"/>
      </t>
    </mdx>
    <mdx n="508" f="v">
      <t c="3" si="4">
        <n x="509"/>
        <n x="371"/>
        <n x="473"/>
      </t>
    </mdx>
    <mdx n="508" f="v">
      <t c="3" si="4">
        <n x="509"/>
        <n x="206"/>
        <n x="5"/>
      </t>
    </mdx>
    <mdx n="508" f="v">
      <t c="3" si="4">
        <n x="509"/>
        <n x="38"/>
        <n x="473"/>
      </t>
    </mdx>
    <mdx n="508" f="v">
      <t c="3" si="4">
        <n x="509"/>
        <n x="74"/>
        <n x="5"/>
      </t>
    </mdx>
    <mdx n="508" f="v">
      <t c="3" si="4">
        <n x="509"/>
        <n x="383"/>
        <n x="473"/>
      </t>
    </mdx>
    <mdx n="508" f="v">
      <t c="3" si="475">
        <n x="509"/>
        <n x="82"/>
        <n x="474"/>
      </t>
    </mdx>
    <mdx n="508" f="v">
      <t c="3" si="475">
        <n x="509"/>
        <n x="430"/>
        <n x="474"/>
      </t>
    </mdx>
    <mdx n="508" f="v">
      <t c="3" si="4">
        <n x="509"/>
        <n x="50"/>
        <n x="472"/>
      </t>
    </mdx>
    <mdx n="508" f="v">
      <t c="3" si="4">
        <n x="509"/>
        <n x="311"/>
        <n x="5"/>
      </t>
    </mdx>
    <mdx n="508" f="v">
      <t c="3" si="4">
        <n x="509"/>
        <n x="65"/>
        <n x="473"/>
      </t>
    </mdx>
    <mdx n="508" f="v">
      <t c="3" si="475">
        <n x="509"/>
        <n x="346"/>
        <n x="474"/>
      </t>
    </mdx>
    <mdx n="508" f="v">
      <t c="3" si="4">
        <n x="509"/>
        <n x="376"/>
        <n x="1"/>
      </t>
    </mdx>
    <mdx n="508" f="v">
      <t c="3" si="4">
        <n x="509"/>
        <n x="79"/>
        <n x="467"/>
      </t>
    </mdx>
    <mdx n="508" f="v">
      <t c="3" si="475">
        <n x="509"/>
        <n x="410"/>
        <n x="474"/>
      </t>
    </mdx>
    <mdx n="508" f="v">
      <t c="3" si="475">
        <n x="509"/>
        <n x="327"/>
        <n x="474"/>
      </t>
    </mdx>
    <mdx n="508" f="v">
      <t c="3" si="4">
        <n x="509"/>
        <n x="35"/>
        <n x="472"/>
      </t>
    </mdx>
    <mdx n="508" f="v">
      <t c="3" si="4">
        <n x="509"/>
        <n x="158"/>
        <n x="1"/>
      </t>
    </mdx>
    <mdx n="508" f="v">
      <t c="3" si="4">
        <n x="509"/>
        <n x="234"/>
        <n x="473"/>
      </t>
    </mdx>
    <mdx n="508" f="v">
      <t c="3" si="4">
        <n x="509"/>
        <n x="107"/>
        <n x="472"/>
      </t>
    </mdx>
    <mdx n="508" f="v">
      <t c="3" si="4">
        <n x="509"/>
        <n x="71"/>
        <n x="467"/>
      </t>
    </mdx>
    <mdx n="508" f="v">
      <t c="3" si="4">
        <n x="509"/>
        <n x="264"/>
        <n x="2"/>
      </t>
    </mdx>
    <mdx n="508" f="v">
      <t c="3" si="4">
        <n x="509"/>
        <n x="282"/>
        <n x="467"/>
      </t>
    </mdx>
    <mdx n="508" f="v">
      <t c="3" si="4">
        <n x="509"/>
        <n x="93"/>
        <n x="473"/>
      </t>
    </mdx>
    <mdx n="508" f="v">
      <t c="3" si="4">
        <n x="509"/>
        <n x="220"/>
        <n x="5"/>
      </t>
    </mdx>
    <mdx n="508" f="v">
      <t c="3" si="4">
        <n x="509"/>
        <n x="80"/>
        <n x="472"/>
      </t>
    </mdx>
    <mdx n="508" f="v">
      <t c="3" si="4">
        <n x="509"/>
        <n x="215"/>
        <n x="2"/>
      </t>
    </mdx>
    <mdx n="508" f="v">
      <t c="3" si="475">
        <n x="509"/>
        <n x="332"/>
        <n x="474"/>
      </t>
    </mdx>
    <mdx n="508" f="v">
      <t c="3" si="4">
        <n x="509"/>
        <n x="23"/>
        <n x="473"/>
      </t>
    </mdx>
    <mdx n="508" f="v">
      <t c="3" si="475">
        <n x="509"/>
        <n x="97"/>
        <n x="474"/>
      </t>
    </mdx>
    <mdx n="508" f="v">
      <t c="3" si="4">
        <n x="509"/>
        <n x="96"/>
        <n x="2"/>
      </t>
    </mdx>
    <mdx n="508" f="v">
      <t c="3" si="4">
        <n x="509"/>
        <n x="397"/>
        <n x="467"/>
      </t>
    </mdx>
    <mdx n="508" f="v">
      <t c="3" si="4">
        <n x="509"/>
        <n x="109"/>
        <n x="473"/>
      </t>
    </mdx>
    <mdx n="508" f="v">
      <t c="3" si="4">
        <n x="509"/>
        <n x="432"/>
        <n x="473"/>
      </t>
    </mdx>
    <mdx n="508" f="v">
      <t c="3" si="4">
        <n x="509"/>
        <n x="260"/>
        <n x="1"/>
      </t>
    </mdx>
    <mdx n="508" f="v">
      <t c="3" si="4">
        <n x="509"/>
        <n x="391"/>
        <n x="470"/>
      </t>
    </mdx>
    <mdx n="508" f="v">
      <t c="3" si="4">
        <n x="509"/>
        <n x="123"/>
        <n x="473"/>
      </t>
    </mdx>
    <mdx n="508" f="v">
      <t c="3" si="475">
        <n x="509"/>
        <n x="161"/>
        <n x="474"/>
      </t>
    </mdx>
    <mdx n="508" f="v">
      <t c="3" si="475">
        <n x="509"/>
        <n x="263"/>
        <n x="474"/>
      </t>
    </mdx>
    <mdx n="508" f="v">
      <t c="3" si="475">
        <n x="509"/>
        <n x="287"/>
        <n x="474"/>
      </t>
    </mdx>
    <mdx n="508" f="v">
      <t c="3" si="4">
        <n x="509"/>
        <n x="421"/>
        <n x="2"/>
      </t>
    </mdx>
    <mdx n="508" f="v">
      <t c="3" si="475">
        <n x="509"/>
        <n x="46"/>
        <n x="474"/>
      </t>
    </mdx>
    <mdx n="508" f="v">
      <t c="3" si="4">
        <n x="509"/>
        <n x="63"/>
        <n x="5"/>
      </t>
    </mdx>
    <mdx n="508" f="v">
      <t c="3" si="4">
        <n x="509"/>
        <n x="183"/>
        <n x="473"/>
      </t>
    </mdx>
    <mdx n="508" f="v">
      <t c="3" si="4">
        <n x="509"/>
        <n x="346"/>
        <n x="2"/>
      </t>
    </mdx>
    <mdx n="508" f="v">
      <t c="3" si="4">
        <n x="509"/>
        <n x="432"/>
        <n x="2"/>
      </t>
    </mdx>
    <mdx n="508" f="v">
      <t c="3" si="4">
        <n x="509"/>
        <n x="9"/>
        <n x="467"/>
      </t>
    </mdx>
    <mdx n="508" f="v">
      <t c="3" si="4">
        <n x="509"/>
        <n x="162"/>
        <n x="473"/>
      </t>
    </mdx>
    <mdx n="508" f="v">
      <t c="3" si="4">
        <n x="509"/>
        <n x="123"/>
        <n x="469"/>
      </t>
    </mdx>
    <mdx n="508" f="v">
      <t c="3" si="475">
        <n x="509"/>
        <n x="224"/>
        <n x="474"/>
      </t>
    </mdx>
    <mdx n="508" f="v">
      <t c="3" si="4">
        <n x="509"/>
        <n x="403"/>
        <n x="1"/>
      </t>
    </mdx>
    <mdx n="508" f="v">
      <t c="3" si="4">
        <n x="509"/>
        <n x="357"/>
        <n x="5"/>
      </t>
    </mdx>
    <mdx n="508" f="v">
      <t c="3" si="4">
        <n x="509"/>
        <n x="116"/>
        <n x="5"/>
      </t>
    </mdx>
    <mdx n="508" f="v">
      <t c="3" si="4">
        <n x="509"/>
        <n x="434"/>
        <n x="469"/>
      </t>
    </mdx>
    <mdx n="508" f="v">
      <t c="3" si="4">
        <n x="509"/>
        <n x="195"/>
        <n x="467"/>
      </t>
    </mdx>
    <mdx n="508" f="v">
      <t c="3" si="4">
        <n x="509"/>
        <n x="37"/>
        <n x="496"/>
      </t>
    </mdx>
    <mdx n="508" f="v">
      <t c="3" si="4">
        <n x="509"/>
        <n x="139"/>
        <n x="473"/>
      </t>
    </mdx>
    <mdx n="508" f="v">
      <t c="3" si="4">
        <n x="509"/>
        <n x="240"/>
        <n x="5"/>
      </t>
    </mdx>
    <mdx n="508" f="v">
      <t c="3" si="4">
        <n x="509"/>
        <n x="285"/>
        <n x="467"/>
      </t>
    </mdx>
    <mdx n="508" f="v">
      <t c="3" si="4">
        <n x="509"/>
        <n x="45"/>
        <n x="473"/>
      </t>
    </mdx>
    <mdx n="508" f="v">
      <t c="3" si="4">
        <n x="509"/>
        <n x="246"/>
        <n x="5"/>
      </t>
    </mdx>
    <mdx n="508" f="v">
      <t c="3" si="4">
        <n x="509"/>
        <n x="354"/>
        <n x="2"/>
      </t>
    </mdx>
    <mdx n="508" f="v">
      <t c="3" si="4">
        <n x="509"/>
        <n x="236"/>
        <n x="2"/>
      </t>
    </mdx>
    <mdx n="508" f="v">
      <t c="3" si="4">
        <n x="509"/>
        <n x="326"/>
        <n x="469"/>
      </t>
    </mdx>
    <mdx n="508" f="v">
      <t c="3" si="4">
        <n x="509"/>
        <n x="250"/>
        <n x="472"/>
      </t>
    </mdx>
    <mdx n="508" f="v">
      <t c="3" si="4">
        <n x="509"/>
        <n x="89"/>
        <n x="2"/>
      </t>
    </mdx>
    <mdx n="508" f="v">
      <t c="3" si="4">
        <n x="509"/>
        <n x="457"/>
        <n x="470"/>
      </t>
    </mdx>
    <mdx n="508" f="v">
      <t c="3" si="4">
        <n x="509"/>
        <n x="179"/>
        <n x="2"/>
      </t>
    </mdx>
    <mdx n="508" f="v">
      <t c="3" si="4">
        <n x="509"/>
        <n x="405"/>
        <n x="470"/>
      </t>
    </mdx>
    <mdx n="508" f="v">
      <t c="3" si="4">
        <n x="509"/>
        <n x="45"/>
        <n x="470"/>
      </t>
    </mdx>
    <mdx n="508" f="v">
      <t c="3" si="4">
        <n x="509"/>
        <n x="27"/>
        <n x="472"/>
      </t>
    </mdx>
    <mdx n="508" f="v">
      <t c="3" si="475">
        <n x="509"/>
        <n x="59"/>
        <n x="474"/>
      </t>
    </mdx>
    <mdx n="508" f="v">
      <t c="3" si="4">
        <n x="509"/>
        <n x="453"/>
        <n x="467"/>
      </t>
    </mdx>
    <mdx n="508" f="v">
      <t c="3" si="4">
        <n x="509"/>
        <n x="14"/>
        <n x="470"/>
      </t>
    </mdx>
    <mdx n="508" f="v">
      <t c="3" si="4">
        <n x="509"/>
        <n x="8"/>
        <n x="473"/>
      </t>
    </mdx>
    <mdx n="508" f="v">
      <t c="3" si="4">
        <n x="509"/>
        <n x="95"/>
        <n x="473"/>
      </t>
    </mdx>
    <mdx n="508" f="v">
      <t c="3" si="4">
        <n x="509"/>
        <n x="109"/>
        <n x="2"/>
      </t>
    </mdx>
    <mdx n="508" f="v">
      <t c="3" si="4">
        <n x="509"/>
        <n x="462"/>
        <n x="467"/>
      </t>
    </mdx>
    <mdx n="508" f="v">
      <t c="3" si="4">
        <n x="509"/>
        <n x="336"/>
        <n x="1"/>
      </t>
    </mdx>
    <mdx n="508" f="v">
      <t c="3" si="4">
        <n x="509"/>
        <n x="393"/>
        <n x="473"/>
      </t>
    </mdx>
    <mdx n="508" f="v">
      <t c="3" si="4">
        <n x="509"/>
        <n x="339"/>
        <n x="467"/>
      </t>
    </mdx>
    <mdx n="508" f="v">
      <t c="3" si="4">
        <n x="509"/>
        <n x="201"/>
        <n x="470"/>
      </t>
    </mdx>
    <mdx n="508" f="v">
      <t c="3" si="4">
        <n x="509"/>
        <n x="363"/>
        <n x="2"/>
      </t>
    </mdx>
    <mdx n="508" f="v">
      <t c="3" si="4">
        <n x="509"/>
        <n x="301"/>
        <n x="2"/>
      </t>
    </mdx>
    <mdx n="508" f="v">
      <t c="3" si="4">
        <n x="509"/>
        <n x="412"/>
        <n x="5"/>
      </t>
    </mdx>
    <mdx n="508" f="v">
      <t c="3" si="4">
        <n x="509"/>
        <n x="229"/>
        <n x="467"/>
      </t>
    </mdx>
    <mdx n="508" f="v">
      <t c="3" si="4">
        <n x="509"/>
        <n x="383"/>
        <n x="1"/>
      </t>
    </mdx>
    <mdx n="508" f="v">
      <t c="3" si="4">
        <n x="509"/>
        <n x="314"/>
        <n x="2"/>
      </t>
    </mdx>
    <mdx n="508" f="v">
      <t c="3" si="4">
        <n x="509"/>
        <n x="458"/>
        <n x="2"/>
      </t>
    </mdx>
    <mdx n="508" f="v">
      <t c="3" si="4">
        <n x="509"/>
        <n x="300"/>
        <n x="5"/>
      </t>
    </mdx>
    <mdx n="508" f="v">
      <t c="3" si="4">
        <n x="509"/>
        <n x="61"/>
        <n x="1"/>
      </t>
    </mdx>
    <mdx n="508" f="v">
      <t c="3" si="4">
        <n x="509"/>
        <n x="455"/>
        <n x="473"/>
      </t>
    </mdx>
    <mdx n="508" f="v">
      <t c="3" si="4">
        <n x="509"/>
        <n x="38"/>
        <n x="469"/>
      </t>
    </mdx>
    <mdx n="508" f="v">
      <t c="3" si="4">
        <n x="509"/>
        <n x="320"/>
        <n x="2"/>
      </t>
    </mdx>
    <mdx n="508" f="v">
      <t c="3" si="4">
        <n x="509"/>
        <n x="393"/>
        <n x="2"/>
      </t>
    </mdx>
    <mdx n="508" f="v">
      <t c="3" si="4">
        <n x="509"/>
        <n x="333"/>
        <n x="473"/>
      </t>
    </mdx>
    <mdx n="508" f="v">
      <t c="3" si="4">
        <n x="509"/>
        <n x="164"/>
        <n x="469"/>
      </t>
    </mdx>
    <mdx n="508" f="v">
      <t c="3" si="4">
        <n x="509"/>
        <n x="45"/>
        <n x="469"/>
      </t>
    </mdx>
    <mdx n="508" f="v">
      <t c="3" si="4">
        <n x="509"/>
        <n x="20"/>
        <n x="1"/>
      </t>
    </mdx>
    <mdx n="508" f="v">
      <t c="3" si="4">
        <n x="509"/>
        <n x="170"/>
        <n x="1"/>
      </t>
    </mdx>
    <mdx n="508" f="v">
      <t c="3" si="4">
        <n x="509"/>
        <n x="29"/>
        <n x="1"/>
      </t>
    </mdx>
    <mdx n="508" f="v">
      <t c="3" si="4">
        <n x="509"/>
        <n x="125"/>
        <n x="473"/>
      </t>
    </mdx>
    <mdx n="508" f="v">
      <t c="3" si="4">
        <n x="509"/>
        <n x="81"/>
        <n x="469"/>
      </t>
    </mdx>
    <mdx n="508" f="v">
      <t c="3" si="4">
        <n x="509"/>
        <n x="188"/>
        <n x="472"/>
      </t>
    </mdx>
    <mdx n="508" f="v">
      <t c="3" si="4">
        <n x="509"/>
        <n x="357"/>
        <n x="2"/>
      </t>
    </mdx>
    <mdx n="508" f="v">
      <t c="3" si="4">
        <n x="509"/>
        <n x="208"/>
        <n x="473"/>
      </t>
    </mdx>
    <mdx n="508" f="v">
      <t c="3" si="4">
        <n x="509"/>
        <n x="288"/>
        <n x="470"/>
      </t>
    </mdx>
    <mdx n="508" f="v">
      <t c="3" si="4">
        <n x="509"/>
        <n x="215"/>
        <n x="5"/>
      </t>
    </mdx>
    <mdx n="508" f="v">
      <t c="3" si="4">
        <n x="509"/>
        <n x="262"/>
        <n x="467"/>
      </t>
    </mdx>
    <mdx n="508" f="v">
      <t c="3" si="4">
        <n x="509"/>
        <n x="372"/>
        <n x="1"/>
      </t>
    </mdx>
    <mdx n="508" f="v">
      <t c="3" si="475">
        <n x="509"/>
        <n x="228"/>
        <n x="474"/>
      </t>
    </mdx>
    <mdx n="508" f="v">
      <t c="3" si="4">
        <n x="509"/>
        <n x="127"/>
        <n x="473"/>
      </t>
    </mdx>
    <mdx n="508" f="v">
      <t c="3" si="4">
        <n x="509"/>
        <n x="406"/>
        <n x="5"/>
      </t>
    </mdx>
    <mdx n="508" f="v">
      <t c="3" si="4">
        <n x="509"/>
        <n x="104"/>
        <n x="472"/>
      </t>
    </mdx>
    <mdx n="508" f="v">
      <t c="3" si="4">
        <n x="509"/>
        <n x="145"/>
        <n x="1"/>
      </t>
    </mdx>
    <mdx n="508" f="v">
      <t c="3" si="4">
        <n x="509"/>
        <n x="201"/>
        <n x="2"/>
      </t>
    </mdx>
    <mdx n="508" f="v">
      <t c="3" si="4">
        <n x="509"/>
        <n x="208"/>
        <n x="2"/>
      </t>
    </mdx>
    <mdx n="508" f="v">
      <t c="3" si="4">
        <n x="509"/>
        <n x="143"/>
        <n x="2"/>
      </t>
    </mdx>
    <mdx n="508" f="v">
      <t c="3" si="4">
        <n x="509"/>
        <n x="378"/>
        <n x="1"/>
      </t>
    </mdx>
    <mdx n="508" f="v">
      <t c="3" si="475">
        <n x="509"/>
        <n x="368"/>
        <n x="474"/>
      </t>
    </mdx>
    <mdx n="508" f="v">
      <t c="3" si="4">
        <n x="509"/>
        <n x="143"/>
        <n x="469"/>
      </t>
    </mdx>
    <mdx n="508" f="v">
      <t c="3" si="4">
        <n x="509"/>
        <n x="167"/>
        <n x="5"/>
      </t>
    </mdx>
    <mdx n="508" f="v">
      <t c="3" si="4">
        <n x="509"/>
        <n x="340"/>
        <n x="473"/>
      </t>
    </mdx>
    <mdx n="508" f="v">
      <t c="3" si="4">
        <n x="509"/>
        <n x="236"/>
        <n x="467"/>
      </t>
    </mdx>
    <mdx n="508" f="v">
      <t c="3" si="4">
        <n x="509"/>
        <n x="15"/>
        <n x="2"/>
      </t>
    </mdx>
    <mdx n="508" f="v">
      <t c="3" si="4">
        <n x="509"/>
        <n x="280"/>
        <n x="473"/>
      </t>
    </mdx>
    <mdx n="508" f="v">
      <t c="3" si="4">
        <n x="509"/>
        <n x="240"/>
        <n x="473"/>
      </t>
    </mdx>
    <mdx n="508" f="v">
      <t c="3" si="4">
        <n x="509"/>
        <n x="335"/>
        <n x="470"/>
      </t>
    </mdx>
    <mdx n="508" f="v">
      <t c="3" si="4">
        <n x="509"/>
        <n x="406"/>
        <n x="2"/>
      </t>
    </mdx>
    <mdx n="508" f="v">
      <t c="3" si="4">
        <n x="509"/>
        <n x="358"/>
        <n x="472"/>
      </t>
    </mdx>
    <mdx n="508" f="v">
      <t c="3" si="4">
        <n x="509"/>
        <n x="188"/>
        <n x="1"/>
      </t>
    </mdx>
    <mdx n="508" f="v">
      <t c="3" si="4">
        <n x="509"/>
        <n x="253"/>
        <n x="473"/>
      </t>
    </mdx>
    <mdx n="508" f="v">
      <t c="3" si="4">
        <n x="509"/>
        <n x="187"/>
        <n x="1"/>
      </t>
    </mdx>
    <mdx n="508" f="v">
      <t c="3" si="4">
        <n x="509"/>
        <n x="12"/>
        <n x="2"/>
      </t>
    </mdx>
    <mdx n="508" f="v">
      <t c="3" si="4">
        <n x="509"/>
        <n x="459"/>
        <n x="472"/>
      </t>
    </mdx>
    <mdx n="508" f="v">
      <t c="3" si="4">
        <n x="509"/>
        <n x="95"/>
        <n x="5"/>
      </t>
    </mdx>
    <mdx n="508" f="v">
      <t c="3" si="4">
        <n x="509"/>
        <n x="240"/>
        <n x="1"/>
      </t>
    </mdx>
    <mdx n="508" f="v">
      <t c="3" si="475">
        <n x="509"/>
        <n x="299"/>
        <n x="474"/>
      </t>
    </mdx>
    <mdx n="508" f="v">
      <t c="3" si="4">
        <n x="509"/>
        <n x="417"/>
        <n x="1"/>
      </t>
    </mdx>
    <mdx n="508" f="v">
      <t c="3" si="475">
        <n x="509"/>
        <n x="111"/>
        <n x="474"/>
      </t>
    </mdx>
    <mdx n="508" f="v">
      <t c="3" si="475">
        <n x="509"/>
        <n x="274"/>
        <n x="474"/>
      </t>
    </mdx>
    <mdx n="508" f="v">
      <t c="3" si="4">
        <n x="509"/>
        <n x="117"/>
        <n x="470"/>
      </t>
    </mdx>
    <mdx n="508" f="v">
      <t c="3" si="4">
        <n x="509"/>
        <n x="86"/>
        <n x="469"/>
      </t>
    </mdx>
    <mdx n="508" f="v">
      <t c="3" si="4">
        <n x="509"/>
        <n x="22"/>
        <n x="2"/>
      </t>
    </mdx>
    <mdx n="508" f="v">
      <t c="3" si="4">
        <n x="509"/>
        <n x="33"/>
        <n x="2"/>
      </t>
    </mdx>
    <mdx n="508" f="v">
      <t c="3" si="4">
        <n x="509"/>
        <n x="135"/>
        <n x="470"/>
      </t>
    </mdx>
    <mdx n="508" f="v">
      <t c="3" si="4">
        <n x="509"/>
        <n x="337"/>
        <n x="473"/>
      </t>
    </mdx>
    <mdx n="508" f="v">
      <t c="3" si="4">
        <n x="509"/>
        <n x="232"/>
        <n x="5"/>
      </t>
    </mdx>
    <mdx n="508" f="v">
      <t c="3" si="4">
        <n x="509"/>
        <n x="310"/>
        <n x="473"/>
      </t>
    </mdx>
    <mdx n="508" f="v">
      <t c="3" si="4">
        <n x="509"/>
        <n x="139"/>
        <n x="1"/>
      </t>
    </mdx>
    <mdx n="508" f="v">
      <t c="3" si="4">
        <n x="509"/>
        <n x="164"/>
        <n x="467"/>
      </t>
    </mdx>
    <mdx n="508" f="v">
      <t c="3" si="475">
        <n x="509"/>
        <n x="48"/>
        <n x="474"/>
      </t>
    </mdx>
    <mdx n="508" f="v">
      <t c="3" si="4">
        <n x="509"/>
        <n x="231"/>
        <n x="473"/>
      </t>
    </mdx>
    <mdx n="508" f="v">
      <t c="3" si="4">
        <n x="509"/>
        <n x="143"/>
        <n x="467"/>
      </t>
    </mdx>
    <mdx n="508" f="v">
      <t c="3" si="4">
        <n x="509"/>
        <n x="209"/>
        <n x="472"/>
      </t>
    </mdx>
    <mdx n="508" f="v">
      <t c="3" si="4">
        <n x="509"/>
        <n x="8"/>
        <n x="5"/>
      </t>
    </mdx>
    <mdx n="508" f="v">
      <t c="3" si="4">
        <n x="509"/>
        <n x="181"/>
        <n x="470"/>
      </t>
    </mdx>
    <mdx n="508" f="v">
      <t c="3" si="475">
        <n x="509"/>
        <n x="361"/>
        <n x="474"/>
      </t>
    </mdx>
    <mdx n="508" f="v">
      <t c="3" si="4">
        <n x="509"/>
        <n x="369"/>
        <n x="1"/>
      </t>
    </mdx>
    <mdx n="508" f="v">
      <t c="3" si="4">
        <n x="509"/>
        <n x="236"/>
        <n x="469"/>
      </t>
    </mdx>
    <mdx n="508" f="v">
      <t c="3" si="4">
        <n x="509"/>
        <n x="46"/>
        <n x="472"/>
      </t>
    </mdx>
    <mdx n="508" f="v">
      <t c="3" si="4">
        <n x="509"/>
        <n x="60"/>
        <n x="467"/>
      </t>
    </mdx>
    <mdx n="508" f="v">
      <t c="3" si="4">
        <n x="509"/>
        <n x="341"/>
        <n x="1"/>
      </t>
    </mdx>
    <mdx n="508" f="v">
      <t c="3" si="4">
        <n x="509"/>
        <n x="308"/>
        <n x="2"/>
      </t>
    </mdx>
    <mdx n="508" f="v">
      <t c="3" si="4">
        <n x="509"/>
        <n x="294"/>
        <n x="470"/>
      </t>
    </mdx>
    <mdx n="508" f="v">
      <t c="3" si="4">
        <n x="509"/>
        <n x="198"/>
        <n x="469"/>
      </t>
    </mdx>
    <mdx n="508" f="v">
      <t c="3" si="4">
        <n x="509"/>
        <n x="15"/>
        <n x="473"/>
      </t>
    </mdx>
    <mdx n="508" f="v">
      <t c="3" si="4">
        <n x="509"/>
        <n x="418"/>
        <n x="5"/>
      </t>
    </mdx>
    <mdx n="508" f="v">
      <t c="3" si="4">
        <n x="509"/>
        <n x="299"/>
        <n x="469"/>
      </t>
    </mdx>
    <mdx n="508" f="v">
      <t c="3" si="4">
        <n x="509"/>
        <n x="204"/>
        <n x="472"/>
      </t>
    </mdx>
    <mdx n="508" f="v">
      <t c="3" si="4">
        <n x="509"/>
        <n x="38"/>
        <n x="1"/>
      </t>
    </mdx>
    <mdx n="508" f="v">
      <t c="3" si="4">
        <n x="509"/>
        <n x="251"/>
        <n x="2"/>
      </t>
    </mdx>
    <mdx n="508" f="v">
      <t c="3" si="4">
        <n x="509"/>
        <n x="286"/>
        <n x="472"/>
      </t>
    </mdx>
    <mdx n="508" f="v">
      <t c="3" si="4">
        <n x="509"/>
        <n x="68"/>
        <n x="467"/>
      </t>
    </mdx>
    <mdx n="508" f="v">
      <t c="3" si="4">
        <n x="509"/>
        <n x="212"/>
        <n x="467"/>
      </t>
    </mdx>
    <mdx n="508" f="v">
      <t c="3" si="4">
        <n x="509"/>
        <n x="94"/>
        <n x="2"/>
      </t>
    </mdx>
    <mdx n="508" f="v">
      <t c="3" si="4">
        <n x="509"/>
        <n x="460"/>
        <n x="470"/>
      </t>
    </mdx>
    <mdx n="508" f="v">
      <t c="3" si="4">
        <n x="509"/>
        <n x="172"/>
        <n x="1"/>
      </t>
    </mdx>
    <mdx n="508" f="v">
      <t c="3" si="4">
        <n x="509"/>
        <n x="73"/>
        <n x="473"/>
      </t>
    </mdx>
    <mdx n="508" f="v">
      <t c="3" si="4">
        <n x="509"/>
        <n x="90"/>
        <n x="469"/>
      </t>
    </mdx>
    <mdx n="508" f="v">
      <t c="3" si="4">
        <n x="509"/>
        <n x="382"/>
        <n x="467"/>
      </t>
    </mdx>
    <mdx n="508" f="v">
      <t c="3" si="4">
        <n x="509"/>
        <n x="22"/>
        <n x="5"/>
      </t>
    </mdx>
    <mdx n="508" f="v">
      <t c="3" si="4">
        <n x="509"/>
        <n x="260"/>
        <n x="473"/>
      </t>
    </mdx>
    <mdx n="508" f="v">
      <t c="3" si="4">
        <n x="509"/>
        <n x="415"/>
        <n x="5"/>
      </t>
    </mdx>
    <mdx n="508" f="v">
      <t c="3" si="4">
        <n x="509"/>
        <n x="115"/>
        <n x="5"/>
      </t>
    </mdx>
    <mdx n="508" f="v">
      <t c="3" si="4">
        <n x="509"/>
        <n x="265"/>
        <n x="473"/>
      </t>
    </mdx>
    <mdx n="508" f="v">
      <t c="3" si="4">
        <n x="509"/>
        <n x="446"/>
        <n x="1"/>
      </t>
    </mdx>
    <mdx n="508" f="v">
      <t c="3" si="4">
        <n x="509"/>
        <n x="103"/>
        <n x="469"/>
      </t>
    </mdx>
    <mdx n="508" f="v">
      <t c="3" si="4">
        <n x="509"/>
        <n x="193"/>
        <n x="467"/>
      </t>
    </mdx>
    <mdx n="508" f="v">
      <t c="3" si="4">
        <n x="509"/>
        <n x="55"/>
        <n x="470"/>
      </t>
    </mdx>
    <mdx n="508" f="v">
      <t c="3" si="4">
        <n x="509"/>
        <n x="374"/>
        <n x="5"/>
      </t>
    </mdx>
    <mdx n="508" f="v">
      <t c="3" si="4">
        <n x="509"/>
        <n x="168"/>
        <n x="1"/>
      </t>
    </mdx>
    <mdx n="508" f="v">
      <t c="3" si="4">
        <n x="509"/>
        <n x="267"/>
        <n x="5"/>
      </t>
    </mdx>
    <mdx n="508" f="v">
      <t c="3" si="4">
        <n x="509"/>
        <n x="29"/>
        <n x="467"/>
      </t>
    </mdx>
    <mdx n="508" f="v">
      <t c="3" si="4">
        <n x="509"/>
        <n x="39"/>
        <n x="1"/>
      </t>
    </mdx>
    <mdx n="508" f="v">
      <t c="3" si="4">
        <n x="509"/>
        <n x="439"/>
        <n x="5"/>
      </t>
    </mdx>
    <mdx n="508" f="v">
      <t c="3" si="4">
        <n x="509"/>
        <n x="112"/>
        <n x="467"/>
      </t>
    </mdx>
    <mdx n="508" f="v">
      <t c="3" si="4">
        <n x="509"/>
        <n x="298"/>
        <n x="2"/>
      </t>
    </mdx>
    <mdx n="508" f="v">
      <t c="3" si="4">
        <n x="509"/>
        <n x="342"/>
        <n x="2"/>
      </t>
    </mdx>
    <mdx n="508" f="v">
      <t c="3" si="4">
        <n x="509"/>
        <n x="172"/>
        <n x="472"/>
      </t>
    </mdx>
    <mdx n="508" f="v">
      <t c="3" si="4">
        <n x="509"/>
        <n x="361"/>
        <n x="2"/>
      </t>
    </mdx>
    <mdx n="508" f="v">
      <t c="3" si="475">
        <n x="509"/>
        <n x="131"/>
        <n x="474"/>
      </t>
    </mdx>
    <mdx n="508" f="v">
      <t c="3" si="475">
        <n x="509"/>
        <n x="294"/>
        <n x="474"/>
      </t>
    </mdx>
    <mdx n="508" f="v">
      <t c="3" si="4">
        <n x="509"/>
        <n x="274"/>
        <n x="2"/>
      </t>
    </mdx>
    <mdx n="508" f="v">
      <t c="3" si="4">
        <n x="509"/>
        <n x="439"/>
        <n x="2"/>
      </t>
    </mdx>
    <mdx n="508" f="v">
      <t c="3" si="4">
        <n x="509"/>
        <n x="336"/>
        <n x="2"/>
      </t>
    </mdx>
    <mdx n="508" f="v">
      <t c="3" si="4">
        <n x="509"/>
        <n x="227"/>
        <n x="5"/>
      </t>
    </mdx>
    <mdx n="508" f="v">
      <t c="3" si="4">
        <n x="509"/>
        <n x="279"/>
        <n x="2"/>
      </t>
    </mdx>
    <mdx n="508" f="v">
      <t c="3" si="4">
        <n x="509"/>
        <n x="331"/>
        <n x="473"/>
      </t>
    </mdx>
    <mdx n="508" f="v">
      <t c="3" si="4">
        <n x="509"/>
        <n x="239"/>
        <n x="5"/>
      </t>
    </mdx>
    <mdx n="508" f="v">
      <t c="3" si="4">
        <n x="509"/>
        <n x="338"/>
        <n x="1"/>
      </t>
    </mdx>
    <mdx n="508" f="v">
      <t c="3" si="4">
        <n x="509"/>
        <n x="25"/>
        <n x="5"/>
      </t>
    </mdx>
    <mdx n="508" f="v">
      <t c="3" si="4">
        <n x="509"/>
        <n x="224"/>
        <n x="473"/>
      </t>
    </mdx>
    <mdx n="508" f="v">
      <t c="3" si="4">
        <n x="509"/>
        <n x="51"/>
        <n x="2"/>
      </t>
    </mdx>
    <mdx n="508" f="v">
      <t c="3" si="4">
        <n x="509"/>
        <n x="435"/>
        <n x="473"/>
      </t>
    </mdx>
    <mdx n="508" f="v">
      <t c="3" si="4">
        <n x="509"/>
        <n x="200"/>
        <n x="1"/>
      </t>
    </mdx>
    <mdx n="508" f="v">
      <t c="3" si="4">
        <n x="509"/>
        <n x="100"/>
        <n x="470"/>
      </t>
    </mdx>
    <mdx n="508" f="v">
      <t c="3" si="4">
        <n x="509"/>
        <n x="81"/>
        <n x="467"/>
      </t>
    </mdx>
    <mdx n="508" f="v">
      <t c="3" si="4">
        <n x="509"/>
        <n x="247"/>
        <n x="472"/>
      </t>
    </mdx>
    <mdx n="508" f="v">
      <t c="3" si="4">
        <n x="509"/>
        <n x="356"/>
        <n x="2"/>
      </t>
    </mdx>
    <mdx n="508" f="v">
      <t c="3" si="4">
        <n x="509"/>
        <n x="291"/>
        <n x="472"/>
      </t>
    </mdx>
    <mdx n="508" f="v">
      <t c="3" si="475">
        <n x="509"/>
        <n x="141"/>
        <n x="474"/>
      </t>
    </mdx>
    <mdx n="508" f="v">
      <t c="3" si="4">
        <n x="509"/>
        <n x="345"/>
        <n x="5"/>
      </t>
    </mdx>
    <mdx n="508" f="v">
      <t c="3" si="4">
        <n x="509"/>
        <n x="281"/>
        <n x="472"/>
      </t>
    </mdx>
    <mdx n="508" f="v">
      <t c="3" si="4">
        <n x="509"/>
        <n x="221"/>
        <n x="473"/>
      </t>
    </mdx>
    <mdx n="508" f="v">
      <t c="3" si="4">
        <n x="509"/>
        <n x="206"/>
        <n x="467"/>
      </t>
    </mdx>
    <mdx n="508" f="v">
      <t c="3" si="4">
        <n x="509"/>
        <n x="306"/>
        <n x="1"/>
      </t>
    </mdx>
    <mdx n="508" f="v">
      <t c="3" si="4">
        <n x="509"/>
        <n x="244"/>
        <n x="470"/>
      </t>
    </mdx>
    <mdx n="508" f="v">
      <t c="3" si="4">
        <n x="509"/>
        <n x="443"/>
        <n x="5"/>
      </t>
    </mdx>
    <mdx n="508" f="v">
      <t c="3" si="4">
        <n x="509"/>
        <n x="150"/>
        <n x="473"/>
      </t>
    </mdx>
    <mdx n="508" f="v">
      <t c="3" si="4">
        <n x="509"/>
        <n x="195"/>
        <n x="473"/>
      </t>
    </mdx>
    <mdx n="508" f="v">
      <t c="3" si="4">
        <n x="509"/>
        <n x="317"/>
        <n x="2"/>
      </t>
    </mdx>
    <mdx n="508" f="v">
      <t c="3" si="4">
        <n x="509"/>
        <n x="219"/>
        <n x="2"/>
      </t>
    </mdx>
    <mdx n="508" f="v">
      <t c="3" si="4">
        <n x="509"/>
        <n x="16"/>
        <n x="5"/>
      </t>
    </mdx>
    <mdx n="508" f="v">
      <t c="3" si="4">
        <n x="509"/>
        <n x="227"/>
        <n x="467"/>
      </t>
    </mdx>
    <mdx n="508" f="v">
      <t c="3" si="4">
        <n x="509"/>
        <n x="31"/>
        <n x="2"/>
      </t>
    </mdx>
    <mdx n="508" f="v">
      <t c="3" si="4">
        <n x="509"/>
        <n x="41"/>
        <n x="1"/>
      </t>
    </mdx>
    <mdx n="508" f="v">
      <t c="3" si="4">
        <n x="509"/>
        <n x="325"/>
        <n x="473"/>
      </t>
    </mdx>
    <mdx n="508" f="v">
      <t c="3" si="4">
        <n x="509"/>
        <n x="131"/>
        <n x="1"/>
      </t>
    </mdx>
    <mdx n="508" f="v">
      <t c="3" si="4">
        <n x="509"/>
        <n x="140"/>
        <n x="1"/>
      </t>
    </mdx>
    <mdx n="508" f="v">
      <t c="3" si="475">
        <n x="509"/>
        <n x="446"/>
        <n x="474"/>
      </t>
    </mdx>
    <mdx n="508" f="v">
      <t c="3" si="4">
        <n x="509"/>
        <n x="338"/>
        <n x="473"/>
      </t>
    </mdx>
    <mdx n="508" f="v">
      <t c="3" si="4">
        <n x="509"/>
        <n x="42"/>
        <n x="5"/>
      </t>
    </mdx>
    <mdx n="508" f="v">
      <t c="3" si="4">
        <n x="509"/>
        <n x="64"/>
        <n x="473"/>
      </t>
    </mdx>
    <mdx n="508" f="v">
      <t c="3" si="4">
        <n x="509"/>
        <n x="132"/>
        <n x="2"/>
      </t>
    </mdx>
    <mdx n="508" f="v">
      <t c="3" si="4">
        <n x="509"/>
        <n x="315"/>
        <n x="5"/>
      </t>
    </mdx>
    <mdx n="508" f="v">
      <t c="3" si="4">
        <n x="509"/>
        <n x="147"/>
        <n x="1"/>
      </t>
    </mdx>
    <mdx n="508" f="v">
      <t c="3" si="4">
        <n x="509"/>
        <n x="331"/>
        <n x="467"/>
      </t>
    </mdx>
    <mdx n="508" f="v">
      <t c="3" si="4">
        <n x="509"/>
        <n x="421"/>
        <n x="5"/>
      </t>
    </mdx>
    <mdx n="508" f="v">
      <t c="3" si="4">
        <n x="509"/>
        <n x="131"/>
        <n x="473"/>
      </t>
    </mdx>
    <mdx n="508" f="v">
      <t c="3" si="4">
        <n x="509"/>
        <n x="120"/>
        <n x="2"/>
      </t>
    </mdx>
    <mdx n="508" f="v">
      <t c="3" si="4">
        <n x="509"/>
        <n x="351"/>
        <n x="2"/>
      </t>
    </mdx>
    <mdx n="508" f="v">
      <t c="3" si="4">
        <n x="509"/>
        <n x="283"/>
        <n x="5"/>
      </t>
    </mdx>
    <mdx n="508" f="v">
      <t c="3" si="4">
        <n x="509"/>
        <n x="281"/>
        <n x="2"/>
      </t>
    </mdx>
    <mdx n="508" f="v">
      <t c="3" si="4">
        <n x="509"/>
        <n x="369"/>
        <n x="2"/>
      </t>
    </mdx>
    <mdx n="508" f="v">
      <t c="3" si="4">
        <n x="509"/>
        <n x="29"/>
        <n x="5"/>
      </t>
    </mdx>
    <mdx n="508" f="v">
      <t c="3" si="475">
        <n x="509"/>
        <n x="318"/>
        <n x="474"/>
      </t>
    </mdx>
    <mdx n="508" f="v">
      <t c="3" si="4">
        <n x="509"/>
        <n x="368"/>
        <n x="1"/>
      </t>
    </mdx>
    <mdx n="508" f="v">
      <t c="3" si="4">
        <n x="509"/>
        <n x="68"/>
        <n x="469"/>
      </t>
    </mdx>
    <mdx n="508" f="v">
      <t c="3" si="4">
        <n x="509"/>
        <n x="170"/>
        <n x="472"/>
      </t>
    </mdx>
    <mdx n="508" f="v">
      <t c="3" si="4">
        <n x="509"/>
        <n x="70"/>
        <n x="467"/>
      </t>
    </mdx>
    <mdx n="508" f="v">
      <t c="3" si="4">
        <n x="509"/>
        <n x="354"/>
        <n x="1"/>
      </t>
    </mdx>
    <mdx n="508" f="v">
      <t c="3" si="4">
        <n x="509"/>
        <n x="310"/>
        <n x="467"/>
      </t>
    </mdx>
    <mdx n="508" f="v">
      <t c="3" si="4">
        <n x="509"/>
        <n x="433"/>
        <n x="5"/>
      </t>
    </mdx>
    <mdx n="508" f="v">
      <t c="3" si="4">
        <n x="509"/>
        <n x="180"/>
        <n x="2"/>
      </t>
    </mdx>
    <mdx n="508" f="v">
      <t c="3" si="4">
        <n x="509"/>
        <n x="258"/>
        <n x="1"/>
      </t>
    </mdx>
    <mdx n="508" f="v">
      <t c="3" si="4">
        <n x="509"/>
        <n x="142"/>
        <n x="470"/>
      </t>
    </mdx>
    <mdx n="508" f="v">
      <t c="3" si="4">
        <n x="509"/>
        <n x="412"/>
        <n x="470"/>
      </t>
    </mdx>
    <mdx n="508" f="v">
      <t c="3" si="4">
        <n x="509"/>
        <n x="233"/>
        <n x="2"/>
      </t>
    </mdx>
    <mdx n="508" f="v">
      <t c="3" si="4">
        <n x="509"/>
        <n x="320"/>
        <n x="470"/>
      </t>
    </mdx>
    <mdx n="508" f="v">
      <t c="3" si="4">
        <n x="509"/>
        <n x="129"/>
        <n x="2"/>
      </t>
    </mdx>
    <mdx n="508" f="v">
      <t c="3" si="475">
        <n x="509"/>
        <n x="194"/>
        <n x="474"/>
      </t>
    </mdx>
    <mdx n="508" f="v">
      <t c="3" si="4">
        <n x="509"/>
        <n x="31"/>
        <n x="467"/>
      </t>
    </mdx>
    <mdx n="508" f="v">
      <t c="3" si="4">
        <n x="509"/>
        <n x="228"/>
        <n x="467"/>
      </t>
    </mdx>
    <mdx n="508" f="v">
      <t c="3" si="4">
        <n x="509"/>
        <n x="161"/>
        <n x="472"/>
      </t>
    </mdx>
    <mdx n="508" f="v">
      <t c="3" si="4">
        <n x="509"/>
        <n x="82"/>
        <n x="1"/>
      </t>
    </mdx>
    <mdx n="508" f="v">
      <t c="3" si="4">
        <n x="509"/>
        <n x="450"/>
        <n x="5"/>
      </t>
    </mdx>
    <mdx n="508" f="v">
      <t c="3" si="4">
        <n x="509"/>
        <n x="234"/>
        <n x="472"/>
      </t>
    </mdx>
    <mdx n="508" f="v">
      <t c="3" si="4">
        <n x="509"/>
        <n x="43"/>
        <n x="472"/>
      </t>
    </mdx>
    <mdx n="508" f="v">
      <t c="3" si="475">
        <n x="509"/>
        <n x="233"/>
        <n x="474"/>
      </t>
    </mdx>
    <mdx n="508" f="v">
      <t c="3" si="4">
        <n x="509"/>
        <n x="399"/>
        <n x="467"/>
      </t>
    </mdx>
    <mdx n="508" f="v">
      <t c="3" si="4">
        <n x="509"/>
        <n x="64"/>
        <n x="5"/>
      </t>
    </mdx>
    <mdx n="508" f="v">
      <t c="3" si="475">
        <n x="509"/>
        <n x="367"/>
        <n x="474"/>
      </t>
    </mdx>
    <mdx n="508" f="v">
      <t c="3" si="4">
        <n x="509"/>
        <n x="324"/>
        <n x="2"/>
      </t>
    </mdx>
    <mdx n="508" f="v">
      <t c="3" si="4">
        <n x="509"/>
        <n x="463"/>
        <n x="1"/>
      </t>
    </mdx>
    <mdx n="508" f="v">
      <t c="3" si="4">
        <n x="509"/>
        <n x="3"/>
        <n x="5"/>
      </t>
    </mdx>
    <mdx n="508" f="v">
      <t c="3" si="4">
        <n x="509"/>
        <n x="69"/>
        <n x="467"/>
      </t>
    </mdx>
    <mdx n="508" f="v">
      <t c="3" si="475">
        <n x="509"/>
        <n x="29"/>
        <n x="474"/>
      </t>
    </mdx>
    <mdx n="508" f="v">
      <t c="3" si="4">
        <n x="509"/>
        <n x="6"/>
        <n x="473"/>
      </t>
    </mdx>
    <mdx n="508" f="v">
      <t c="3" si="4">
        <n x="509"/>
        <n x="338"/>
        <n x="470"/>
      </t>
    </mdx>
    <mdx n="508" f="v">
      <t c="3" si="4">
        <n x="509"/>
        <n x="296"/>
        <n x="473"/>
      </t>
    </mdx>
    <mdx n="508" f="v">
      <t c="3" si="4">
        <n x="509"/>
        <n x="241"/>
        <n x="473"/>
      </t>
    </mdx>
    <mdx n="508" f="v">
      <t c="3" si="4">
        <n x="509"/>
        <n x="365"/>
        <n x="472"/>
      </t>
    </mdx>
    <mdx n="508" f="v">
      <t c="3" si="475">
        <n x="509"/>
        <n x="207"/>
        <n x="474"/>
      </t>
    </mdx>
    <mdx n="508" f="v">
      <t c="3" si="4">
        <n x="509"/>
        <n x="458"/>
        <n x="467"/>
      </t>
    </mdx>
    <mdx n="508" f="v">
      <t c="3" si="4">
        <n x="509"/>
        <n x="151"/>
        <n x="473"/>
      </t>
    </mdx>
    <mdx n="508" f="v">
      <t c="3" si="4">
        <n x="509"/>
        <n x="344"/>
        <n x="2"/>
      </t>
    </mdx>
    <mdx n="508" f="v">
      <t c="3" si="4">
        <n x="509"/>
        <n x="431"/>
        <n x="467"/>
      </t>
    </mdx>
    <mdx n="508" f="v">
      <t c="3" si="4">
        <n x="509"/>
        <n x="237"/>
        <n x="473"/>
      </t>
    </mdx>
    <mdx n="508" f="v">
      <t c="3" si="4">
        <n x="509"/>
        <n x="161"/>
        <n x="2"/>
      </t>
    </mdx>
    <mdx n="508" f="v">
      <t c="3" si="4">
        <n x="509"/>
        <n x="384"/>
        <n x="469"/>
      </t>
    </mdx>
    <mdx n="508" f="v">
      <t c="3" si="4">
        <n x="509"/>
        <n x="67"/>
        <n x="467"/>
      </t>
    </mdx>
    <mdx n="508" f="v">
      <t c="3" si="4">
        <n x="509"/>
        <n x="340"/>
        <n x="467"/>
      </t>
    </mdx>
    <mdx n="508" f="v">
      <t c="3" si="4">
        <n x="509"/>
        <n x="457"/>
        <n x="2"/>
      </t>
    </mdx>
    <mdx n="508" f="v">
      <t c="3" si="4">
        <n x="509"/>
        <n x="401"/>
        <n x="467"/>
      </t>
    </mdx>
    <mdx n="508" f="v">
      <t c="3" si="475">
        <n x="509"/>
        <n x="139"/>
        <n x="474"/>
      </t>
    </mdx>
    <mdx n="508" f="v">
      <t c="3" si="4">
        <n x="509"/>
        <n x="38"/>
        <n x="470"/>
      </t>
    </mdx>
    <mdx n="508" f="v">
      <t c="3" si="4">
        <n x="509"/>
        <n x="41"/>
        <n x="469"/>
      </t>
    </mdx>
    <mdx n="508" f="v">
      <t c="3" si="4">
        <n x="509"/>
        <n x="330"/>
        <n x="472"/>
      </t>
    </mdx>
    <mdx n="508" f="v">
      <t c="3" si="4">
        <n x="509"/>
        <n x="197"/>
        <n x="473"/>
      </t>
    </mdx>
    <mdx n="508" f="v">
      <t c="3" si="4">
        <n x="509"/>
        <n x="292"/>
        <n x="470"/>
      </t>
    </mdx>
    <mdx n="508" f="v">
      <t c="3" si="4">
        <n x="509"/>
        <n x="379"/>
        <n x="472"/>
      </t>
    </mdx>
    <mdx n="508" f="v">
      <t c="3" si="4">
        <n x="509"/>
        <n x="464"/>
        <n x="473"/>
      </t>
    </mdx>
    <mdx n="508" f="v">
      <t c="3" si="4">
        <n x="509"/>
        <n x="146"/>
        <n x="470"/>
      </t>
    </mdx>
    <mdx n="508" f="v">
      <t c="3" si="4">
        <n x="509"/>
        <n x="80"/>
        <n x="5"/>
      </t>
    </mdx>
    <mdx n="508" f="v">
      <t c="3" si="4">
        <n x="509"/>
        <n x="437"/>
        <n x="1"/>
      </t>
    </mdx>
    <mdx n="508" f="v">
      <t c="3" si="4">
        <n x="509"/>
        <n x="389"/>
        <n x="2"/>
      </t>
    </mdx>
    <mdx n="508" f="v">
      <t c="3" si="4">
        <n x="509"/>
        <n x="451"/>
        <n x="469"/>
      </t>
    </mdx>
    <mdx n="508" f="v">
      <t c="3" si="475">
        <n x="509"/>
        <n x="81"/>
        <n x="474"/>
      </t>
    </mdx>
    <mdx n="508" f="v">
      <t c="3" si="4">
        <n x="509"/>
        <n x="429"/>
        <n x="2"/>
      </t>
    </mdx>
    <mdx n="508" f="v">
      <t c="3" si="4">
        <n x="509"/>
        <n x="177"/>
        <n x="469"/>
      </t>
    </mdx>
    <mdx n="508" f="v">
      <t c="3" si="4">
        <n x="509"/>
        <n x="283"/>
        <n x="470"/>
      </t>
    </mdx>
    <mdx n="508" f="v">
      <t c="3" si="4">
        <n x="509"/>
        <n x="425"/>
        <n x="5"/>
      </t>
    </mdx>
    <mdx n="508" f="v">
      <t c="3" si="4">
        <n x="509"/>
        <n x="116"/>
        <n x="473"/>
      </t>
    </mdx>
    <mdx n="508" f="v">
      <t c="3" si="4">
        <n x="509"/>
        <n x="18"/>
        <n x="5"/>
      </t>
    </mdx>
    <mdx n="508" f="v">
      <t c="3" si="475">
        <n x="509"/>
        <n x="447"/>
        <n x="474"/>
      </t>
    </mdx>
    <mdx n="508" f="v">
      <t c="3" si="4">
        <n x="509"/>
        <n x="406"/>
        <n x="1"/>
      </t>
    </mdx>
    <mdx n="508" f="v">
      <t c="3" si="4">
        <n x="509"/>
        <n x="88"/>
        <n x="472"/>
      </t>
    </mdx>
    <mdx n="508" f="v">
      <t c="3" si="4">
        <n x="509"/>
        <n x="226"/>
        <n x="1"/>
      </t>
    </mdx>
    <mdx n="508" f="v">
      <t c="3" si="4">
        <n x="509"/>
        <n x="28"/>
        <n x="473"/>
      </t>
    </mdx>
    <mdx n="508" f="v">
      <t c="3" si="4">
        <n x="509"/>
        <n x="210"/>
        <n x="1"/>
      </t>
    </mdx>
    <mdx n="508" f="v">
      <t c="3" si="4">
        <n x="509"/>
        <n x="133"/>
        <n x="472"/>
      </t>
    </mdx>
    <mdx n="508" f="v">
      <t c="3" si="4">
        <n x="509"/>
        <n x="60"/>
        <n x="470"/>
      </t>
    </mdx>
    <mdx n="508" f="v">
      <t c="3" si="4">
        <n x="509"/>
        <n x="17"/>
        <n x="2"/>
      </t>
    </mdx>
    <mdx n="508" f="v">
      <t c="3" si="4">
        <n x="509"/>
        <n x="153"/>
        <n x="5"/>
      </t>
    </mdx>
    <mdx n="508" f="v">
      <t c="3" si="4">
        <n x="509"/>
        <n x="453"/>
        <n x="473"/>
      </t>
    </mdx>
    <mdx n="508" f="v">
      <t c="3" si="475">
        <n x="509"/>
        <n x="38"/>
        <n x="474"/>
      </t>
    </mdx>
    <mdx n="508" f="v">
      <t c="3" si="4">
        <n x="509"/>
        <n x="432"/>
        <n x="5"/>
      </t>
    </mdx>
    <mdx n="508" f="v">
      <t c="3" si="4">
        <n x="509"/>
        <n x="35"/>
        <n x="469"/>
      </t>
    </mdx>
    <mdx n="508" f="v">
      <t c="3" si="4">
        <n x="509"/>
        <n x="144"/>
        <n x="2"/>
      </t>
    </mdx>
    <mdx n="508" f="v">
      <t c="3" si="4">
        <n x="509"/>
        <n x="297"/>
        <n x="472"/>
      </t>
    </mdx>
    <mdx n="508" f="v">
      <t c="3" si="4">
        <n x="509"/>
        <n x="420"/>
        <n x="472"/>
      </t>
    </mdx>
    <mdx n="508" f="v">
      <t c="3" si="4">
        <n x="509"/>
        <n x="35"/>
        <n x="1"/>
      </t>
    </mdx>
    <mdx n="508" f="v">
      <t c="3" si="4">
        <n x="509"/>
        <n x="205"/>
        <n x="470"/>
      </t>
    </mdx>
    <mdx n="508" f="v">
      <t c="3" si="4">
        <n x="509"/>
        <n x="313"/>
        <n x="1"/>
      </t>
    </mdx>
    <mdx n="508" f="v">
      <t c="3" si="4">
        <n x="509"/>
        <n x="52"/>
        <n x="473"/>
      </t>
    </mdx>
    <mdx n="508" f="v">
      <t c="3" si="4">
        <n x="509"/>
        <n x="426"/>
        <n x="472"/>
      </t>
    </mdx>
    <mdx n="508" f="v">
      <t c="3" si="4">
        <n x="509"/>
        <n x="133"/>
        <n x="2"/>
      </t>
    </mdx>
    <mdx n="508" f="v">
      <t c="3" si="4">
        <n x="509"/>
        <n x="432"/>
        <n x="467"/>
      </t>
    </mdx>
    <mdx n="508" f="v">
      <t c="3" si="4">
        <n x="509"/>
        <n x="315"/>
        <n x="472"/>
      </t>
    </mdx>
    <mdx n="508" f="v">
      <t c="3" si="4">
        <n x="509"/>
        <n x="433"/>
        <n x="1"/>
      </t>
    </mdx>
    <mdx n="508" f="v">
      <t c="3" si="4">
        <n x="509"/>
        <n x="151"/>
        <n x="1"/>
      </t>
    </mdx>
    <mdx n="508" f="v">
      <t c="3" si="4">
        <n x="509"/>
        <n x="357"/>
        <n x="467"/>
      </t>
    </mdx>
    <mdx n="508" f="v">
      <t c="3" si="475">
        <n x="509"/>
        <n x="57"/>
        <n x="474"/>
      </t>
    </mdx>
    <mdx n="508" f="v">
      <t c="3" si="4">
        <n x="509"/>
        <n x="201"/>
        <n x="467"/>
      </t>
    </mdx>
    <mdx n="508" f="v">
      <t c="3" si="4">
        <n x="509"/>
        <n x="394"/>
        <n x="473"/>
      </t>
    </mdx>
    <mdx n="508" f="v">
      <t c="3" si="4">
        <n x="509"/>
        <n x="137"/>
        <n x="2"/>
      </t>
    </mdx>
    <mdx n="508" f="v">
      <t c="3" si="4">
        <n x="509"/>
        <n x="385"/>
        <n x="1"/>
      </t>
    </mdx>
    <mdx n="508" f="v">
      <t c="3" si="4">
        <n x="509"/>
        <n x="214"/>
        <n x="5"/>
      </t>
    </mdx>
    <mdx n="508" f="v">
      <t c="3" si="475">
        <n x="509"/>
        <n x="364"/>
        <n x="474"/>
      </t>
    </mdx>
    <mdx n="508" f="v">
      <t c="3" si="475">
        <n x="509"/>
        <n x="61"/>
        <n x="474"/>
      </t>
    </mdx>
    <mdx n="508" f="v">
      <t c="3" si="4">
        <n x="509"/>
        <n x="251"/>
        <n x="473"/>
      </t>
    </mdx>
    <mdx n="508" f="v">
      <t c="3" si="4">
        <n x="509"/>
        <n x="98"/>
        <n x="473"/>
      </t>
    </mdx>
    <mdx n="508" f="v">
      <t c="3" si="4">
        <n x="509"/>
        <n x="295"/>
        <n x="469"/>
      </t>
    </mdx>
    <mdx n="508" f="v">
      <t c="3" si="475">
        <n x="509"/>
        <n x="347"/>
        <n x="474"/>
      </t>
    </mdx>
    <mdx n="508" f="v">
      <t c="3" si="4">
        <n x="509"/>
        <n x="167"/>
        <n x="1"/>
      </t>
    </mdx>
    <mdx n="508" f="v">
      <t c="3" si="4">
        <n x="509"/>
        <n x="107"/>
        <n x="5"/>
      </t>
    </mdx>
    <mdx n="508" f="v">
      <t c="3" si="4">
        <n x="509"/>
        <n x="213"/>
        <n x="473"/>
      </t>
    </mdx>
    <mdx n="508" f="v">
      <t c="3" si="4">
        <n x="509"/>
        <n x="273"/>
        <n x="1"/>
      </t>
    </mdx>
    <mdx n="508" f="v">
      <t c="3" si="4">
        <n x="509"/>
        <n x="251"/>
        <n x="5"/>
      </t>
    </mdx>
    <mdx n="508" f="v">
      <t c="3" si="4">
        <n x="509"/>
        <n x="451"/>
        <n x="467"/>
      </t>
    </mdx>
    <mdx n="508" f="v">
      <t c="3" si="4">
        <n x="509"/>
        <n x="126"/>
        <n x="1"/>
      </t>
    </mdx>
    <mdx n="508" f="v">
      <t c="3" si="4">
        <n x="509"/>
        <n x="373"/>
        <n x="473"/>
      </t>
    </mdx>
    <mdx n="508" f="v">
      <t c="3" si="4">
        <n x="509"/>
        <n x="373"/>
        <n x="467"/>
      </t>
    </mdx>
    <mdx n="508" f="v">
      <t c="3" si="475">
        <n x="509"/>
        <n x="31"/>
        <n x="474"/>
      </t>
    </mdx>
    <mdx n="508" f="v">
      <t c="3" si="4">
        <n x="509"/>
        <n x="57"/>
        <n x="1"/>
      </t>
    </mdx>
    <mdx n="508" f="v">
      <t c="3" si="4">
        <n x="509"/>
        <n x="375"/>
        <n x="472"/>
      </t>
    </mdx>
    <mdx n="508" f="v">
      <t c="3" si="4">
        <n x="509"/>
        <n x="434"/>
        <n x="5"/>
      </t>
    </mdx>
    <mdx n="508" f="v">
      <t c="3" si="475">
        <n x="509"/>
        <n x="433"/>
        <n x="474"/>
      </t>
    </mdx>
    <mdx n="508" f="v">
      <t c="3" si="4">
        <n x="509"/>
        <n x="395"/>
        <n x="473"/>
      </t>
    </mdx>
    <mdx n="508" f="v">
      <t c="3" si="4">
        <n x="509"/>
        <n x="435"/>
        <n x="1"/>
      </t>
    </mdx>
    <mdx n="508" f="v">
      <t c="3" si="475">
        <n x="509"/>
        <n x="28"/>
        <n x="474"/>
      </t>
    </mdx>
    <mdx n="508" f="v">
      <t c="3" si="475">
        <n x="509"/>
        <n x="220"/>
        <n x="474"/>
      </t>
    </mdx>
    <mdx n="508" f="v">
      <t c="3" si="475">
        <n x="509"/>
        <n x="25"/>
        <n x="474"/>
      </t>
    </mdx>
    <mdx n="508" f="v">
      <t c="3" si="4">
        <n x="509"/>
        <n x="97"/>
        <n x="472"/>
      </t>
    </mdx>
    <mdx n="508" f="v">
      <t c="3" si="475">
        <n x="509"/>
        <n x="189"/>
        <n x="474"/>
      </t>
    </mdx>
    <mdx n="508" f="v">
      <t c="3" si="4">
        <n x="509"/>
        <n x="22"/>
        <n x="470"/>
      </t>
    </mdx>
    <mdx n="508" f="v">
      <t c="3" si="4">
        <n x="509"/>
        <n x="414"/>
        <n x="5"/>
      </t>
    </mdx>
    <mdx n="508" f="v">
      <t c="3" si="4">
        <n x="509"/>
        <n x="358"/>
        <n x="470"/>
      </t>
    </mdx>
    <mdx n="508" f="v">
      <t c="3" si="475">
        <n x="509"/>
        <n x="343"/>
        <n x="474"/>
      </t>
    </mdx>
    <mdx n="508" f="v">
      <t c="3" si="4">
        <n x="509"/>
        <n x="13"/>
        <n x="2"/>
      </t>
    </mdx>
    <mdx n="508" f="v">
      <t c="3" si="475">
        <n x="509"/>
        <n x="62"/>
        <n x="474"/>
      </t>
    </mdx>
    <mdx n="508" f="v">
      <t c="3" si="4">
        <n x="509"/>
        <n x="28"/>
        <n x="5"/>
      </t>
    </mdx>
    <mdx n="508" f="v">
      <t c="3" si="4">
        <n x="509"/>
        <n x="44"/>
        <n x="5"/>
      </t>
    </mdx>
    <mdx n="508" f="v">
      <t c="3" si="4">
        <n x="509"/>
        <n x="347"/>
        <n x="467"/>
      </t>
    </mdx>
    <mdx n="508" f="v">
      <t c="3" si="4">
        <n x="509"/>
        <n x="284"/>
        <n x="473"/>
      </t>
    </mdx>
    <mdx n="508" f="v">
      <t c="3" si="4">
        <n x="509"/>
        <n x="231"/>
        <n x="5"/>
      </t>
    </mdx>
    <mdx n="508" f="v">
      <t c="3" si="4">
        <n x="509"/>
        <n x="360"/>
        <n x="469"/>
      </t>
    </mdx>
    <mdx n="508" f="v">
      <t c="3" si="4">
        <n x="509"/>
        <n x="167"/>
        <n x="467"/>
      </t>
    </mdx>
    <mdx n="508" f="v">
      <t c="3" si="4">
        <n x="509"/>
        <n x="387"/>
        <n x="473"/>
      </t>
    </mdx>
    <mdx n="508" f="v">
      <t c="3" si="4">
        <n x="509"/>
        <n x="64"/>
        <n x="472"/>
      </t>
    </mdx>
    <mdx n="508" f="v">
      <t c="3" si="4">
        <n x="509"/>
        <n x="12"/>
        <n x="473"/>
      </t>
    </mdx>
    <mdx n="508" f="v">
      <t c="3" si="4">
        <n x="509"/>
        <n x="92"/>
        <n x="472"/>
      </t>
    </mdx>
    <mdx n="508" f="v">
      <t c="3" si="475">
        <n x="509"/>
        <n x="124"/>
        <n x="474"/>
      </t>
    </mdx>
    <mdx n="508" f="v">
      <t c="3" si="4">
        <n x="509"/>
        <n x="351"/>
        <n x="5"/>
      </t>
    </mdx>
    <mdx n="508" f="v">
      <t c="3" si="4">
        <n x="509"/>
        <n x="65"/>
        <n x="467"/>
      </t>
    </mdx>
    <mdx n="508" f="v">
      <t c="3" si="475">
        <n x="509"/>
        <n x="282"/>
        <n x="474"/>
      </t>
    </mdx>
    <mdx n="508" f="v">
      <t c="3" si="4">
        <n x="509"/>
        <n x="367"/>
        <n x="472"/>
      </t>
    </mdx>
    <mdx n="508" f="v">
      <t c="3" si="4">
        <n x="509"/>
        <n x="329"/>
        <n x="469"/>
      </t>
    </mdx>
    <mdx n="508" f="v">
      <t c="3" si="4">
        <n x="509"/>
        <n x="282"/>
        <n x="5"/>
      </t>
    </mdx>
    <mdx n="508" f="v">
      <t c="3" si="475">
        <n x="509"/>
        <n x="249"/>
        <n x="474"/>
      </t>
    </mdx>
    <mdx n="508" f="v">
      <t c="3" si="4">
        <n x="509"/>
        <n x="265"/>
        <n x="1"/>
      </t>
    </mdx>
    <mdx n="508" f="v">
      <t c="3" si="4">
        <n x="509"/>
        <n x="297"/>
        <n x="469"/>
      </t>
    </mdx>
    <mdx n="508" f="v">
      <t c="3" si="4">
        <n x="509"/>
        <n x="21"/>
        <n x="473"/>
      </t>
    </mdx>
    <mdx n="508" f="v">
      <t c="3" si="475">
        <n x="509"/>
        <n x="370"/>
        <n x="474"/>
      </t>
    </mdx>
    <mdx n="508" f="v">
      <t c="3" si="4">
        <n x="509"/>
        <n x="325"/>
        <n x="1"/>
      </t>
    </mdx>
    <mdx n="508" f="v">
      <t c="3" si="4">
        <n x="509"/>
        <n x="67"/>
        <n x="1"/>
      </t>
    </mdx>
    <mdx n="508" f="v">
      <t c="3" si="4">
        <n x="509"/>
        <n x="42"/>
        <n x="472"/>
      </t>
    </mdx>
    <mdx n="508" f="v">
      <t c="3" si="475">
        <n x="509"/>
        <n x="269"/>
        <n x="474"/>
      </t>
    </mdx>
    <mdx n="508" f="v">
      <t c="3" si="4">
        <n x="509"/>
        <n x="39"/>
        <n x="469"/>
      </t>
    </mdx>
    <mdx n="508" f="v">
      <t c="3" si="4">
        <n x="509"/>
        <n x="128"/>
        <n x="2"/>
      </t>
    </mdx>
    <mdx n="508" f="v">
      <t c="3" si="4">
        <n x="509"/>
        <n x="75"/>
        <n x="2"/>
      </t>
    </mdx>
    <mdx n="508" f="v">
      <t c="3" si="4">
        <n x="509"/>
        <n x="426"/>
        <n x="473"/>
      </t>
    </mdx>
    <mdx n="508" f="v">
      <t c="3" si="4">
        <n x="509"/>
        <n x="137"/>
        <n x="472"/>
      </t>
    </mdx>
    <mdx n="508" f="v">
      <t c="3" si="4">
        <n x="509"/>
        <n x="29"/>
        <n x="2"/>
      </t>
    </mdx>
    <mdx n="508" f="v">
      <t c="3" si="4">
        <n x="509"/>
        <n x="184"/>
        <n x="2"/>
      </t>
    </mdx>
    <mdx n="508" f="v">
      <t c="3" si="4">
        <n x="509"/>
        <n x="252"/>
        <n x="469"/>
      </t>
    </mdx>
    <mdx n="508" f="v">
      <t c="3" si="4">
        <n x="509"/>
        <n x="28"/>
        <n x="1"/>
      </t>
    </mdx>
    <mdx n="508" f="v">
      <t c="3" si="4">
        <n x="509"/>
        <n x="76"/>
        <n x="2"/>
      </t>
    </mdx>
    <mdx n="508" f="v">
      <t c="3" si="4">
        <n x="509"/>
        <n x="20"/>
        <n x="2"/>
      </t>
    </mdx>
    <mdx n="508" f="v">
      <t c="3" si="4">
        <n x="509"/>
        <n x="311"/>
        <n x="473"/>
      </t>
    </mdx>
    <mdx n="508" f="v">
      <t c="3" si="4">
        <n x="509"/>
        <n x="290"/>
        <n x="473"/>
      </t>
    </mdx>
    <mdx n="508" f="v">
      <t c="3" si="4">
        <n x="509"/>
        <n x="350"/>
        <n x="2"/>
      </t>
    </mdx>
    <mdx n="508" f="v">
      <t c="3" si="4">
        <n x="509"/>
        <n x="74"/>
        <n x="472"/>
      </t>
    </mdx>
    <mdx n="508" f="v">
      <t c="3" si="4">
        <n x="509"/>
        <n x="427"/>
        <n x="470"/>
      </t>
    </mdx>
    <mdx n="508" f="v">
      <t c="3" si="4">
        <n x="509"/>
        <n x="233"/>
        <n x="1"/>
      </t>
    </mdx>
    <mdx n="508" f="v">
      <t c="3" si="4">
        <n x="509"/>
        <n x="255"/>
        <n x="469"/>
      </t>
    </mdx>
    <mdx n="508" f="v">
      <t c="3" si="475">
        <n x="509"/>
        <n x="283"/>
        <n x="474"/>
      </t>
    </mdx>
    <mdx n="508" f="v">
      <t c="3" si="4">
        <n x="509"/>
        <n x="274"/>
        <n x="470"/>
      </t>
    </mdx>
    <mdx n="508" f="v">
      <t c="3" si="4">
        <n x="509"/>
        <n x="286"/>
        <n x="2"/>
      </t>
    </mdx>
    <mdx n="508" f="v">
      <t c="3" si="4">
        <n x="509"/>
        <n x="173"/>
        <n x="5"/>
      </t>
    </mdx>
    <mdx n="508" f="v">
      <t c="3" si="4">
        <n x="509"/>
        <n x="72"/>
        <n x="469"/>
      </t>
    </mdx>
    <mdx n="508" f="v">
      <t c="3" si="4">
        <n x="509"/>
        <n x="141"/>
        <n x="473"/>
      </t>
    </mdx>
    <mdx n="508" f="v">
      <t c="3" si="4">
        <n x="509"/>
        <n x="328"/>
        <n x="470"/>
      </t>
    </mdx>
    <mdx n="508" f="v">
      <t c="3" si="4">
        <n x="509"/>
        <n x="259"/>
        <n x="2"/>
      </t>
    </mdx>
    <mdx n="508" f="v">
      <t c="3" si="4">
        <n x="509"/>
        <n x="27"/>
        <n x="470"/>
      </t>
    </mdx>
    <mdx n="508" f="v">
      <t c="3" si="475">
        <n x="509"/>
        <n x="442"/>
        <n x="474"/>
      </t>
    </mdx>
    <mdx n="508" f="v">
      <t c="3" si="4">
        <n x="509"/>
        <n x="117"/>
        <n x="1"/>
      </t>
    </mdx>
    <mdx n="508" f="v">
      <t c="3" si="4">
        <n x="509"/>
        <n x="379"/>
        <n x="469"/>
      </t>
    </mdx>
    <mdx n="508" f="v">
      <t c="3" si="4">
        <n x="509"/>
        <n x="440"/>
        <n x="469"/>
      </t>
    </mdx>
    <mdx n="508" f="v">
      <t c="3" si="4">
        <n x="509"/>
        <n x="71"/>
        <n x="1"/>
      </t>
    </mdx>
    <mdx n="508" f="v">
      <t c="3" si="4">
        <n x="509"/>
        <n x="185"/>
        <n x="469"/>
      </t>
    </mdx>
    <mdx n="508" f="v">
      <t c="3" si="4">
        <n x="509"/>
        <n x="99"/>
        <n x="2"/>
      </t>
    </mdx>
    <mdx n="508" f="v">
      <t c="3" si="4">
        <n x="509"/>
        <n x="225"/>
        <n x="470"/>
      </t>
    </mdx>
    <mdx n="508" f="v">
      <t c="3" si="4">
        <n x="509"/>
        <n x="394"/>
        <n x="472"/>
      </t>
    </mdx>
    <mdx n="508" f="v">
      <t c="3" si="4">
        <n x="509"/>
        <n x="283"/>
        <n x="472"/>
      </t>
    </mdx>
    <mdx n="508" f="v">
      <t c="3" si="4">
        <n x="509"/>
        <n x="336"/>
        <n x="467"/>
      </t>
    </mdx>
    <mdx n="508" f="v">
      <t c="3" si="4">
        <n x="509"/>
        <n x="130"/>
        <n x="469"/>
      </t>
    </mdx>
    <mdx n="508" f="v">
      <t c="3" si="4">
        <n x="509"/>
        <n x="305"/>
        <n x="1"/>
      </t>
    </mdx>
    <mdx n="508" f="v">
      <t c="3" si="475">
        <n x="509"/>
        <n x="304"/>
        <n x="474"/>
      </t>
    </mdx>
    <mdx n="508" f="v">
      <t c="3" si="4">
        <n x="509"/>
        <n x="18"/>
        <n x="469"/>
      </t>
    </mdx>
    <mdx n="508" f="v">
      <t c="3" si="4">
        <n x="509"/>
        <n x="424"/>
        <n x="467"/>
      </t>
    </mdx>
    <mdx n="508" f="v">
      <t c="3" si="475">
        <n x="509"/>
        <n x="401"/>
        <n x="474"/>
      </t>
    </mdx>
    <mdx n="508" f="v">
      <t c="3" si="4">
        <n x="509"/>
        <n x="97"/>
        <n x="469"/>
      </t>
    </mdx>
    <mdx n="508" f="v">
      <t c="3" si="4">
        <n x="509"/>
        <n x="439"/>
        <n x="467"/>
      </t>
    </mdx>
    <mdx n="508" f="v">
      <t c="3" si="4">
        <n x="509"/>
        <n x="266"/>
        <n x="470"/>
      </t>
    </mdx>
    <mdx n="508" f="v">
      <t c="3" si="4">
        <n x="509"/>
        <n x="256"/>
        <n x="467"/>
      </t>
    </mdx>
    <mdx n="508" f="v">
      <t c="3" si="4">
        <n x="509"/>
        <n x="6"/>
        <n x="467"/>
      </t>
    </mdx>
    <mdx n="508" f="v">
      <t c="3" si="4">
        <n x="509"/>
        <n x="171"/>
        <n x="473"/>
      </t>
    </mdx>
    <mdx n="508" f="v">
      <t c="3" si="4">
        <n x="509"/>
        <n x="54"/>
        <n x="1"/>
      </t>
    </mdx>
    <mdx n="508" f="v">
      <t c="3" si="4">
        <n x="509"/>
        <n x="76"/>
        <n x="470"/>
      </t>
    </mdx>
    <mdx n="508" f="v">
      <t c="3" si="4">
        <n x="509"/>
        <n x="189"/>
        <n x="5"/>
      </t>
    </mdx>
    <mdx n="508" f="v">
      <t c="3" si="4">
        <n x="509"/>
        <n x="53"/>
        <n x="1"/>
      </t>
    </mdx>
    <mdx n="508" f="v">
      <t c="3" si="475">
        <n x="509"/>
        <n x="380"/>
        <n x="474"/>
      </t>
    </mdx>
    <mdx n="508" f="v">
      <t c="3" si="4">
        <n x="509"/>
        <n x="110"/>
        <n x="2"/>
      </t>
    </mdx>
    <mdx n="508" f="v">
      <t c="3" si="4">
        <n x="509"/>
        <n x="166"/>
        <n x="472"/>
      </t>
    </mdx>
    <mdx n="508" f="v">
      <t c="3" si="4">
        <n x="509"/>
        <n x="103"/>
        <n x="473"/>
      </t>
    </mdx>
    <mdx n="508" f="v">
      <t c="3" si="4">
        <n x="509"/>
        <n x="126"/>
        <n x="467"/>
      </t>
    </mdx>
    <mdx n="508" f="v">
      <t c="3" si="4">
        <n x="509"/>
        <n x="448"/>
        <n x="467"/>
      </t>
    </mdx>
    <mdx n="508" f="v">
      <t c="3" si="4">
        <n x="509"/>
        <n x="273"/>
        <n x="472"/>
      </t>
    </mdx>
    <mdx n="508" f="v">
      <t c="3" si="475">
        <n x="509"/>
        <n x="140"/>
        <n x="474"/>
      </t>
    </mdx>
    <mdx n="508" f="v">
      <t c="3" si="4">
        <n x="509"/>
        <n x="83"/>
        <n x="467"/>
      </t>
    </mdx>
    <mdx n="508" f="v">
      <t c="3" si="4">
        <n x="509"/>
        <n x="140"/>
        <n x="2"/>
      </t>
    </mdx>
    <mdx n="508" f="v">
      <t c="3" si="4">
        <n x="509"/>
        <n x="196"/>
        <n x="469"/>
      </t>
    </mdx>
    <mdx n="508" f="v">
      <t c="3" si="4">
        <n x="509"/>
        <n x="415"/>
        <n x="2"/>
      </t>
    </mdx>
    <mdx n="508" f="v">
      <t c="3" si="4">
        <n x="509"/>
        <n x="448"/>
        <n x="2"/>
      </t>
    </mdx>
    <mdx n="508" f="v">
      <t c="3" si="4">
        <n x="509"/>
        <n x="195"/>
        <n x="2"/>
      </t>
    </mdx>
    <mdx n="508" f="v">
      <t c="3" si="4">
        <n x="509"/>
        <n x="413"/>
        <n x="473"/>
      </t>
    </mdx>
    <mdx n="508" f="v">
      <t c="3" si="4">
        <n x="509"/>
        <n x="406"/>
        <n x="473"/>
      </t>
    </mdx>
    <mdx n="508" f="v">
      <t c="3" si="4">
        <n x="509"/>
        <n x="112"/>
        <n x="5"/>
      </t>
    </mdx>
    <mdx n="508" f="v">
      <t c="3" si="4">
        <n x="509"/>
        <n x="69"/>
        <n x="473"/>
      </t>
    </mdx>
    <mdx n="508" f="v">
      <t c="3" si="4">
        <n x="509"/>
        <n x="48"/>
        <n x="470"/>
      </t>
    </mdx>
    <mdx n="508" f="v">
      <t c="3" si="4">
        <n x="509"/>
        <n x="69"/>
        <n x="1"/>
      </t>
    </mdx>
    <mdx n="508" f="v">
      <t c="3" si="4">
        <n x="509"/>
        <n x="45"/>
        <n x="472"/>
      </t>
    </mdx>
    <mdx n="508" f="v">
      <t c="3" si="4">
        <n x="509"/>
        <n x="129"/>
        <n x="1"/>
      </t>
    </mdx>
    <mdx n="508" f="v">
      <t c="3" si="475">
        <n x="509"/>
        <n x="387"/>
        <n x="474"/>
      </t>
    </mdx>
    <mdx n="508" f="v">
      <t c="3" si="4">
        <n x="509"/>
        <n x="160"/>
        <n x="472"/>
      </t>
    </mdx>
    <mdx n="508" f="v">
      <t c="3" si="4">
        <n x="509"/>
        <n x="362"/>
        <n x="469"/>
      </t>
    </mdx>
    <mdx n="508" f="v">
      <t c="3" si="475">
        <n x="509"/>
        <n x="85"/>
        <n x="474"/>
      </t>
    </mdx>
    <mdx n="508" f="v">
      <t c="3" si="4">
        <n x="509"/>
        <n x="281"/>
        <n x="5"/>
      </t>
    </mdx>
    <mdx n="508" f="v">
      <t c="3" si="4">
        <n x="509"/>
        <n x="344"/>
        <n x="470"/>
      </t>
    </mdx>
    <mdx n="508" f="v">
      <t c="3" si="4">
        <n x="509"/>
        <n x="373"/>
        <n x="1"/>
      </t>
    </mdx>
    <mdx n="508" f="v">
      <t c="3" si="4">
        <n x="509"/>
        <n x="210"/>
        <n x="2"/>
      </t>
    </mdx>
    <mdx n="508" f="v">
      <t c="3" si="4">
        <n x="509"/>
        <n x="313"/>
        <n x="2"/>
      </t>
    </mdx>
    <mdx n="508" f="v">
      <t c="3" si="4">
        <n x="509"/>
        <n x="244"/>
        <n x="1"/>
      </t>
    </mdx>
    <mdx n="508" f="v">
      <t c="3" si="475">
        <n x="509"/>
        <n x="425"/>
        <n x="474"/>
      </t>
    </mdx>
    <mdx n="508" f="v">
      <t c="3" si="4">
        <n x="509"/>
        <n x="140"/>
        <n x="5"/>
      </t>
    </mdx>
    <mdx n="508" f="v">
      <t c="3" si="4">
        <n x="509"/>
        <n x="105"/>
        <n x="5"/>
      </t>
    </mdx>
    <mdx n="508" f="v">
      <t c="3" si="4">
        <n x="509"/>
        <n x="200"/>
        <n x="472"/>
      </t>
    </mdx>
    <mdx n="508" f="v">
      <t c="3" si="475">
        <n x="509"/>
        <n x="432"/>
        <n x="474"/>
      </t>
    </mdx>
    <mdx n="508" f="v">
      <t c="3" si="4">
        <n x="509"/>
        <n x="416"/>
        <n x="2"/>
      </t>
    </mdx>
    <mdx n="508" f="v">
      <t c="3" si="4">
        <n x="509"/>
        <n x="75"/>
        <n x="5"/>
      </t>
    </mdx>
    <mdx n="508" f="v">
      <t c="3" si="4">
        <n x="509"/>
        <n x="354"/>
        <n x="473"/>
      </t>
    </mdx>
    <mdx n="508" f="v">
      <t c="3" si="4">
        <n x="509"/>
        <n x="94"/>
        <n x="473"/>
      </t>
    </mdx>
    <mdx n="508" f="v">
      <t c="3" si="4">
        <n x="509"/>
        <n x="419"/>
        <n x="467"/>
      </t>
    </mdx>
    <mdx n="508" f="v">
      <t c="3" si="4">
        <n x="509"/>
        <n x="324"/>
        <n x="473"/>
      </t>
    </mdx>
    <mdx n="508" f="v">
      <t c="3" si="4">
        <n x="509"/>
        <n x="197"/>
        <n x="5"/>
      </t>
    </mdx>
    <mdx n="508" f="v">
      <t c="3" si="475">
        <n x="509"/>
        <n x="267"/>
        <n x="474"/>
      </t>
    </mdx>
    <mdx n="508" f="v">
      <t c="3" si="4">
        <n x="509"/>
        <n x="262"/>
        <n x="2"/>
      </t>
    </mdx>
    <mdx n="508" f="v">
      <t c="3" si="4">
        <n x="509"/>
        <n x="205"/>
        <n x="5"/>
      </t>
    </mdx>
    <mdx n="508" f="v">
      <t c="3" si="475">
        <n x="509"/>
        <n x="143"/>
        <n x="474"/>
      </t>
    </mdx>
    <mdx n="508" f="v">
      <t c="3" si="4">
        <n x="509"/>
        <n x="187"/>
        <n x="469"/>
      </t>
    </mdx>
    <mdx n="508" f="v">
      <t c="3" si="4">
        <n x="509"/>
        <n x="386"/>
        <n x="5"/>
      </t>
    </mdx>
    <mdx n="508" f="v">
      <t c="3" si="4">
        <n x="509"/>
        <n x="422"/>
        <n x="1"/>
      </t>
    </mdx>
    <mdx n="508" f="v">
      <t c="3" si="4">
        <n x="509"/>
        <n x="3"/>
        <n x="469"/>
      </t>
    </mdx>
    <mdx n="508" f="v">
      <t c="3" si="4">
        <n x="509"/>
        <n x="261"/>
        <n x="5"/>
      </t>
    </mdx>
    <mdx n="508" f="v">
      <t c="3" si="4">
        <n x="509"/>
        <n x="118"/>
        <n x="469"/>
      </t>
    </mdx>
    <mdx n="508" f="v">
      <t c="3" si="4">
        <n x="509"/>
        <n x="147"/>
        <n x="473"/>
      </t>
    </mdx>
    <mdx n="508" f="v">
      <t c="3" si="475">
        <n x="509"/>
        <n x="284"/>
        <n x="474"/>
      </t>
    </mdx>
    <mdx n="508" f="v">
      <t c="3" si="4">
        <n x="509"/>
        <n x="108"/>
        <n x="472"/>
      </t>
    </mdx>
    <mdx n="508" f="v">
      <t c="3" si="4">
        <n x="509"/>
        <n x="141"/>
        <n x="2"/>
      </t>
    </mdx>
    <mdx n="508" f="v">
      <t c="3" si="4">
        <n x="509"/>
        <n x="387"/>
        <n x="5"/>
      </t>
    </mdx>
    <mdx n="508" f="v">
      <t c="3" si="475">
        <n x="509"/>
        <n x="308"/>
        <n x="474"/>
      </t>
    </mdx>
    <mdx n="508" f="v">
      <t c="3" si="4">
        <n x="509"/>
        <n x="55"/>
        <n x="472"/>
      </t>
    </mdx>
    <mdx n="508" f="v">
      <t c="3" si="4">
        <n x="509"/>
        <n x="53"/>
        <n x="2"/>
      </t>
    </mdx>
    <mdx n="508" f="v">
      <t c="3" si="4">
        <n x="509"/>
        <n x="165"/>
        <n x="1"/>
      </t>
    </mdx>
    <mdx n="508" f="v">
      <t c="3" si="475">
        <n x="509"/>
        <n x="356"/>
        <n x="474"/>
      </t>
    </mdx>
    <mdx n="508" f="v">
      <t c="3" si="4">
        <n x="509"/>
        <n x="111"/>
        <n x="470"/>
      </t>
    </mdx>
    <mdx n="508" f="v">
      <t c="3" si="4">
        <n x="509"/>
        <n x="300"/>
        <n x="1"/>
      </t>
    </mdx>
    <mdx n="508" f="v">
      <t c="3" si="4">
        <n x="509"/>
        <n x="303"/>
        <n x="1"/>
      </t>
    </mdx>
    <mdx n="508" f="v">
      <t c="3" si="4">
        <n x="509"/>
        <n x="162"/>
        <n x="5"/>
      </t>
    </mdx>
    <mdx n="508" f="v">
      <t c="3" si="4">
        <n x="509"/>
        <n x="234"/>
        <n x="1"/>
      </t>
    </mdx>
    <mdx n="508" f="v">
      <t c="3" si="4">
        <n x="509"/>
        <n x="186"/>
        <n x="473"/>
      </t>
    </mdx>
    <mdx n="508" f="v">
      <t c="3" si="4">
        <n x="509"/>
        <n x="122"/>
        <n x="473"/>
      </t>
    </mdx>
    <mdx n="508" f="v">
      <t c="3" si="475">
        <n x="509"/>
        <n x="126"/>
        <n x="474"/>
      </t>
    </mdx>
    <mdx n="508" f="v">
      <t c="3" si="4">
        <n x="509"/>
        <n x="408"/>
        <n x="473"/>
      </t>
    </mdx>
    <mdx n="508" f="v">
      <t c="3" si="4">
        <n x="509"/>
        <n x="391"/>
        <n x="473"/>
      </t>
    </mdx>
    <mdx n="508" f="v">
      <t c="3" si="4">
        <n x="509"/>
        <n x="73"/>
        <n x="469"/>
      </t>
    </mdx>
    <mdx n="508" f="v">
      <t c="3" si="4">
        <n x="509"/>
        <n x="184"/>
        <n x="467"/>
      </t>
    </mdx>
    <mdx n="508" f="v">
      <t c="3" si="4">
        <n x="509"/>
        <n x="369"/>
        <n x="5"/>
      </t>
    </mdx>
    <mdx n="508" f="v">
      <t c="3" si="475">
        <n x="509"/>
        <n x="247"/>
        <n x="474"/>
      </t>
    </mdx>
    <mdx n="508" f="v">
      <t c="3" si="4">
        <n x="509"/>
        <n x="386"/>
        <n x="467"/>
      </t>
    </mdx>
    <mdx n="508" f="v">
      <t c="3" si="4">
        <n x="509"/>
        <n x="385"/>
        <n x="473"/>
      </t>
    </mdx>
    <mdx n="508" f="v">
      <t c="3" si="4">
        <n x="509"/>
        <n x="146"/>
        <n x="469"/>
      </t>
    </mdx>
    <mdx n="508" f="v">
      <t c="3" si="4">
        <n x="509"/>
        <n x="97"/>
        <n x="470"/>
      </t>
    </mdx>
    <mdx n="508" f="v">
      <t c="3" si="4">
        <n x="509"/>
        <n x="113"/>
        <n x="2"/>
      </t>
    </mdx>
    <mdx n="508" f="v">
      <t c="3" si="4">
        <n x="509"/>
        <n x="323"/>
        <n x="469"/>
      </t>
    </mdx>
    <mdx n="508" f="v">
      <t c="3" si="4">
        <n x="509"/>
        <n x="219"/>
        <n x="470"/>
      </t>
    </mdx>
    <mdx n="508" f="v">
      <t c="3" si="4">
        <n x="509"/>
        <n x="355"/>
        <n x="473"/>
      </t>
    </mdx>
    <mdx n="508" f="v">
      <t c="3" si="4">
        <n x="509"/>
        <n x="299"/>
        <n x="473"/>
      </t>
    </mdx>
    <mdx n="508" f="v">
      <t c="3" si="4">
        <n x="509"/>
        <n x="20"/>
        <n x="473"/>
      </t>
    </mdx>
    <mdx n="508" f="v">
      <t c="3" si="4">
        <n x="509"/>
        <n x="276"/>
        <n x="470"/>
      </t>
    </mdx>
    <mdx n="508" f="v">
      <t c="3" si="4">
        <n x="509"/>
        <n x="63"/>
        <n x="473"/>
      </t>
    </mdx>
    <mdx n="508" f="v">
      <t c="3" si="4">
        <n x="509"/>
        <n x="102"/>
        <n x="5"/>
      </t>
    </mdx>
    <mdx n="508" f="v">
      <t c="3" si="4">
        <n x="509"/>
        <n x="425"/>
        <n x="469"/>
      </t>
    </mdx>
    <mdx n="508" f="v">
      <t c="3" si="475">
        <n x="509"/>
        <n x="175"/>
        <n x="474"/>
      </t>
    </mdx>
    <mdx n="508" f="v">
      <t c="3" si="4">
        <n x="509"/>
        <n x="346"/>
        <n x="472"/>
      </t>
    </mdx>
    <mdx n="508" f="v">
      <t c="3" si="4">
        <n x="509"/>
        <n x="196"/>
        <n x="2"/>
      </t>
    </mdx>
    <mdx n="508" f="v">
      <t c="3" si="4">
        <n x="509"/>
        <n x="419"/>
        <n x="469"/>
      </t>
    </mdx>
    <mdx n="508" f="v">
      <t c="3" si="4">
        <n x="509"/>
        <n x="53"/>
        <n x="472"/>
      </t>
    </mdx>
    <mdx n="508" f="v">
      <t c="3" si="4">
        <n x="509"/>
        <n x="185"/>
        <n x="473"/>
      </t>
    </mdx>
    <mdx n="508" f="v">
      <t c="3" si="4">
        <n x="509"/>
        <n x="71"/>
        <n x="470"/>
      </t>
    </mdx>
    <mdx n="508" f="v">
      <t c="3" si="4">
        <n x="509"/>
        <n x="150"/>
        <n x="5"/>
      </t>
    </mdx>
    <mdx n="508" f="v">
      <t c="3" si="4">
        <n x="509"/>
        <n x="26"/>
        <n x="473"/>
      </t>
    </mdx>
    <mdx n="508" f="v">
      <t c="3" si="4">
        <n x="509"/>
        <n x="327"/>
        <n x="470"/>
      </t>
    </mdx>
    <mdx n="508" f="v">
      <t c="3" si="4">
        <n x="509"/>
        <n x="253"/>
        <n x="2"/>
      </t>
    </mdx>
    <mdx n="508" f="v">
      <t c="3" si="4">
        <n x="509"/>
        <n x="106"/>
        <n x="473"/>
      </t>
    </mdx>
    <mdx n="508" f="v">
      <t c="3" si="4">
        <n x="509"/>
        <n x="67"/>
        <n x="5"/>
      </t>
    </mdx>
    <mdx n="508" f="v">
      <t c="3" si="4">
        <n x="509"/>
        <n x="166"/>
        <n x="470"/>
      </t>
    </mdx>
    <mdx n="508" f="v">
      <t c="3" si="475">
        <n x="509"/>
        <n x="87"/>
        <n x="474"/>
      </t>
    </mdx>
    <mdx n="508" f="v">
      <t c="3" si="4">
        <n x="509"/>
        <n x="191"/>
        <n x="469"/>
      </t>
    </mdx>
    <mdx n="508" f="v">
      <t c="3" si="4">
        <n x="509"/>
        <n x="190"/>
        <n x="2"/>
      </t>
    </mdx>
    <mdx n="508" f="v">
      <t c="3" si="4">
        <n x="509"/>
        <n x="190"/>
        <n x="1"/>
      </t>
    </mdx>
    <mdx n="508" f="v">
      <t c="3" si="4">
        <n x="509"/>
        <n x="248"/>
        <n x="470"/>
      </t>
    </mdx>
    <mdx n="508" f="v">
      <t c="3" si="4">
        <n x="509"/>
        <n x="441"/>
        <n x="1"/>
      </t>
    </mdx>
    <mdx n="508" f="v">
      <t c="3" si="4">
        <n x="509"/>
        <n x="396"/>
        <n x="470"/>
      </t>
    </mdx>
    <mdx n="508" f="v">
      <t c="3" si="4">
        <n x="509"/>
        <n x="16"/>
        <n x="470"/>
      </t>
    </mdx>
    <mdx n="508" f="v">
      <t c="3" si="4">
        <n x="509"/>
        <n x="40"/>
        <n x="467"/>
      </t>
    </mdx>
    <mdx n="508" f="v">
      <t c="3" si="4">
        <n x="509"/>
        <n x="316"/>
        <n x="472"/>
      </t>
    </mdx>
    <mdx n="508" f="v">
      <t c="3" si="4">
        <n x="509"/>
        <n x="243"/>
        <n x="470"/>
      </t>
    </mdx>
    <mdx n="508" f="v">
      <t c="3" si="4">
        <n x="509"/>
        <n x="343"/>
        <n x="470"/>
      </t>
    </mdx>
    <mdx n="508" f="v">
      <t c="3" si="4">
        <n x="509"/>
        <n x="247"/>
        <n x="2"/>
      </t>
    </mdx>
    <mdx n="508" f="v">
      <t c="3" si="475">
        <n x="509"/>
        <n x="388"/>
        <n x="474"/>
      </t>
    </mdx>
    <mdx n="508" f="v">
      <t c="3" si="4">
        <n x="509"/>
        <n x="218"/>
        <n x="2"/>
      </t>
    </mdx>
    <mdx n="508" f="v">
      <t c="3" si="4">
        <n x="509"/>
        <n x="126"/>
        <n x="2"/>
      </t>
    </mdx>
    <mdx n="508" f="v">
      <t c="3" si="475">
        <n x="509"/>
        <n x="122"/>
        <n x="474"/>
      </t>
    </mdx>
    <mdx n="508" f="v">
      <t c="3" si="475">
        <n x="509"/>
        <n x="192"/>
        <n x="474"/>
      </t>
    </mdx>
    <mdx n="508" f="v">
      <t c="3" si="4">
        <n x="509"/>
        <n x="95"/>
        <n x="472"/>
      </t>
    </mdx>
    <mdx n="508" f="v">
      <t c="3" si="4">
        <n x="509"/>
        <n x="270"/>
        <n x="2"/>
      </t>
    </mdx>
    <mdx n="508" f="v">
      <t c="3" si="4">
        <n x="509"/>
        <n x="425"/>
        <n x="1"/>
      </t>
    </mdx>
    <mdx n="508" f="v">
      <t c="3" si="475">
        <n x="509"/>
        <n x="10"/>
        <n x="474"/>
      </t>
    </mdx>
    <mdx n="508" f="v">
      <t c="3" si="4">
        <n x="509"/>
        <n x="289"/>
        <n x="1"/>
      </t>
    </mdx>
    <mdx n="508" f="v">
      <t c="3" si="4">
        <n x="509"/>
        <n x="361"/>
        <n x="467"/>
      </t>
    </mdx>
    <mdx n="508" f="v">
      <t c="3" si="4">
        <n x="509"/>
        <n x="206"/>
        <n x="472"/>
      </t>
    </mdx>
    <mdx n="508" f="v">
      <t c="3" si="4">
        <n x="509"/>
        <n x="13"/>
        <n x="469"/>
      </t>
    </mdx>
    <mdx n="508" f="v">
      <t c="3" si="4">
        <n x="509"/>
        <n x="376"/>
        <n x="5"/>
      </t>
    </mdx>
    <mdx n="508" f="v">
      <t c="3" si="4">
        <n x="509"/>
        <n x="152"/>
        <n x="473"/>
      </t>
    </mdx>
    <mdx n="508" f="v">
      <t c="3" si="4">
        <n x="509"/>
        <n x="100"/>
        <n x="469"/>
      </t>
    </mdx>
    <mdx n="508" f="v">
      <t c="3" si="4">
        <n x="509"/>
        <n x="301"/>
        <n x="473"/>
      </t>
    </mdx>
    <mdx n="508" f="v">
      <t c="3" si="4">
        <n x="509"/>
        <n x="327"/>
        <n x="473"/>
      </t>
    </mdx>
    <mdx n="508" f="v">
      <t c="3" si="4">
        <n x="509"/>
        <n x="377"/>
        <n x="5"/>
      </t>
    </mdx>
    <mdx n="508" f="v">
      <t c="3" si="4">
        <n x="509"/>
        <n x="213"/>
        <n x="2"/>
      </t>
    </mdx>
    <mdx n="508" f="v">
      <t c="3" si="475">
        <n x="509"/>
        <n x="37"/>
        <n x="474"/>
      </t>
    </mdx>
    <mdx n="508" f="v">
      <t c="3" si="4">
        <n x="509"/>
        <n x="422"/>
        <n x="467"/>
      </t>
    </mdx>
    <mdx n="508" f="v">
      <t c="3" si="4">
        <n x="509"/>
        <n x="127"/>
        <n x="1"/>
      </t>
    </mdx>
    <mdx n="508" f="v">
      <t c="3" si="4">
        <n x="509"/>
        <n x="233"/>
        <n x="5"/>
      </t>
    </mdx>
    <mdx n="508" f="v">
      <t c="3" si="4">
        <n x="509"/>
        <n x="43"/>
        <n x="2"/>
      </t>
    </mdx>
    <mdx n="508" f="v">
      <t c="3" si="4">
        <n x="509"/>
        <n x="314"/>
        <n x="5"/>
      </t>
    </mdx>
    <mdx n="508" f="v">
      <t c="3" si="4">
        <n x="509"/>
        <n x="293"/>
        <n x="473"/>
      </t>
    </mdx>
    <mdx n="508" f="v">
      <t c="3" si="475">
        <n x="509"/>
        <n x="216"/>
        <n x="474"/>
      </t>
    </mdx>
    <mdx n="508" f="v">
      <t c="3" si="475">
        <n x="509"/>
        <n x="101"/>
        <n x="474"/>
      </t>
    </mdx>
    <mdx n="508" f="v">
      <t c="3" si="4">
        <n x="509"/>
        <n x="59"/>
        <n x="469"/>
      </t>
    </mdx>
    <mdx n="508" f="v">
      <t c="3" si="4">
        <n x="509"/>
        <n x="372"/>
        <n x="5"/>
      </t>
    </mdx>
    <mdx n="508" f="v">
      <t c="3" si="4">
        <n x="509"/>
        <n x="38"/>
        <n x="472"/>
      </t>
    </mdx>
    <mdx n="508" f="v">
      <t c="3" si="4">
        <n x="509"/>
        <n x="172"/>
        <n x="473"/>
      </t>
    </mdx>
    <mdx n="508" f="v">
      <t c="3" si="475">
        <n x="509"/>
        <n x="288"/>
        <n x="474"/>
      </t>
    </mdx>
    <mdx n="508" f="v">
      <t c="3" si="4">
        <n x="509"/>
        <n x="324"/>
        <n x="5"/>
      </t>
    </mdx>
    <mdx n="508" f="v">
      <t c="3" si="4">
        <n x="509"/>
        <n x="410"/>
        <n x="2"/>
      </t>
    </mdx>
    <mdx n="508" f="v">
      <t c="3" si="4">
        <n x="509"/>
        <n x="283"/>
        <n x="1"/>
      </t>
    </mdx>
    <mdx n="508" f="v">
      <t c="3" si="4">
        <n x="509"/>
        <n x="162"/>
        <n x="1"/>
      </t>
    </mdx>
    <mdx n="508" f="v">
      <t c="3" si="475">
        <n x="509"/>
        <n x="186"/>
        <n x="474"/>
      </t>
    </mdx>
    <mdx n="508" f="v">
      <t c="3" si="4">
        <n x="509"/>
        <n x="306"/>
        <n x="5"/>
      </t>
    </mdx>
    <mdx n="508" f="v">
      <t c="3" si="4">
        <n x="509"/>
        <n x="287"/>
        <n x="473"/>
      </t>
    </mdx>
    <mdx n="508" f="v">
      <t c="3" si="4">
        <n x="509"/>
        <n x="126"/>
        <n x="473"/>
      </t>
    </mdx>
    <mdx n="508" f="v">
      <t c="3" si="475">
        <n x="509"/>
        <n x="462"/>
        <n x="474"/>
      </t>
    </mdx>
    <mdx n="508" f="v">
      <t c="3" si="4">
        <n x="509"/>
        <n x="292"/>
        <n x="5"/>
      </t>
    </mdx>
    <mdx n="508" f="v">
      <t c="3" si="4">
        <n x="509"/>
        <n x="408"/>
        <n x="470"/>
      </t>
    </mdx>
    <mdx n="508" f="v">
      <t c="3" si="4">
        <n x="509"/>
        <n x="461"/>
        <n x="1"/>
      </t>
    </mdx>
    <mdx n="508" f="v">
      <t c="3" si="4">
        <n x="509"/>
        <n x="136"/>
        <n x="5"/>
      </t>
    </mdx>
    <mdx n="508" f="v">
      <t c="3" si="4">
        <n x="509"/>
        <n x="420"/>
        <n x="473"/>
      </t>
    </mdx>
    <mdx n="508" f="v">
      <t c="3" si="4">
        <n x="509"/>
        <n x="134"/>
        <n x="473"/>
      </t>
    </mdx>
    <mdx n="508" f="v">
      <t c="3" si="4">
        <n x="509"/>
        <n x="273"/>
        <n x="473"/>
      </t>
    </mdx>
    <mdx n="508" f="v">
      <t c="3" si="4">
        <n x="509"/>
        <n x="20"/>
        <n x="5"/>
      </t>
    </mdx>
    <mdx n="508" f="v">
      <t c="3" si="4">
        <n x="509"/>
        <n x="333"/>
        <n x="5"/>
      </t>
    </mdx>
    <mdx n="508" f="v">
      <t c="3" si="4">
        <n x="509"/>
        <n x="289"/>
        <n x="472"/>
      </t>
    </mdx>
    <mdx n="508" f="v">
      <t c="3" si="4">
        <n x="509"/>
        <n x="416"/>
        <n x="472"/>
      </t>
    </mdx>
    <mdx n="508" f="v">
      <t c="3" si="4">
        <n x="509"/>
        <n x="353"/>
        <n x="1"/>
      </t>
    </mdx>
    <mdx n="508" f="v">
      <t c="3" si="4">
        <n x="509"/>
        <n x="71"/>
        <n x="5"/>
      </t>
    </mdx>
    <mdx n="508" f="v">
      <t c="3" si="4">
        <n x="509"/>
        <n x="30"/>
        <n x="472"/>
      </t>
    </mdx>
    <mdx n="508" f="v">
      <t c="3" si="4">
        <n x="509"/>
        <n x="350"/>
        <n x="473"/>
      </t>
    </mdx>
    <mdx n="508" f="v">
      <t c="3" si="4">
        <n x="509"/>
        <n x="21"/>
        <n x="467"/>
      </t>
    </mdx>
    <mdx n="508" f="v">
      <t c="3" si="4">
        <n x="509"/>
        <n x="458"/>
        <n x="5"/>
      </t>
    </mdx>
    <mdx n="508" f="v">
      <t c="3" si="4">
        <n x="509"/>
        <n x="35"/>
        <n x="467"/>
      </t>
    </mdx>
    <mdx n="508" f="v">
      <t c="3" si="4">
        <n x="509"/>
        <n x="9"/>
        <n x="473"/>
      </t>
    </mdx>
    <mdx n="508" f="v">
      <t c="3" si="4">
        <n x="509"/>
        <n x="110"/>
        <n x="473"/>
      </t>
    </mdx>
    <mdx n="508" f="v">
      <t c="3" si="475">
        <n x="509"/>
        <n x="168"/>
        <n x="474"/>
      </t>
    </mdx>
    <mdx n="508" f="v">
      <t c="3" si="4">
        <n x="509"/>
        <n x="9"/>
        <n x="5"/>
      </t>
    </mdx>
    <mdx n="508" f="v">
      <t c="3" si="4">
        <n x="509"/>
        <n x="231"/>
        <n x="1"/>
      </t>
    </mdx>
    <mdx n="508" f="v">
      <t c="3" si="4">
        <n x="509"/>
        <n x="332"/>
        <n x="473"/>
      </t>
    </mdx>
    <mdx n="508" f="v">
      <t c="3" si="4">
        <n x="509"/>
        <n x="34"/>
        <n x="473"/>
      </t>
    </mdx>
    <mdx n="508" f="v">
      <t c="3" si="4">
        <n x="509"/>
        <n x="309"/>
        <n x="2"/>
      </t>
    </mdx>
    <mdx n="508" f="v">
      <t c="3" si="4">
        <n x="509"/>
        <n x="108"/>
        <n x="5"/>
      </t>
    </mdx>
    <mdx n="508" f="v">
      <t c="3" si="4">
        <n x="509"/>
        <n x="121"/>
        <n x="473"/>
      </t>
    </mdx>
    <mdx n="508" f="v">
      <t c="3" si="4">
        <n x="509"/>
        <n x="216"/>
        <n x="5"/>
      </t>
    </mdx>
    <mdx n="508" f="v">
      <t c="3" si="4">
        <n x="509"/>
        <n x="191"/>
        <n x="467"/>
      </t>
    </mdx>
    <mdx n="508" f="v">
      <t c="3" si="4">
        <n x="509"/>
        <n x="215"/>
        <n x="1"/>
      </t>
    </mdx>
    <mdx n="508" f="v">
      <t c="3" si="4">
        <n x="509"/>
        <n x="311"/>
        <n x="467"/>
      </t>
    </mdx>
    <mdx n="508" f="v">
      <t c="3" si="4">
        <n x="509"/>
        <n x="62"/>
        <n x="5"/>
      </t>
    </mdx>
    <mdx n="508" f="v">
      <t c="3" si="4">
        <n x="509"/>
        <n x="80"/>
        <n x="473"/>
      </t>
    </mdx>
    <mdx n="508" f="v">
      <t c="3" si="4">
        <n x="509"/>
        <n x="340"/>
        <n x="472"/>
      </t>
    </mdx>
    <mdx n="508" f="v">
      <t c="3" si="475">
        <n x="509"/>
        <n x="254"/>
        <n x="474"/>
      </t>
    </mdx>
    <mdx n="508" f="v">
      <t c="3" si="4">
        <n x="509"/>
        <n x="40"/>
        <n x="469"/>
      </t>
    </mdx>
    <mdx n="508" f="v">
      <t c="3" si="4">
        <n x="509"/>
        <n x="67"/>
        <n x="2"/>
      </t>
    </mdx>
    <mdx n="508" f="v">
      <t c="3" si="4">
        <n x="509"/>
        <n x="270"/>
        <n x="470"/>
      </t>
    </mdx>
    <mdx n="508" f="v">
      <t c="3" si="4">
        <n x="509"/>
        <n x="175"/>
        <n x="473"/>
      </t>
    </mdx>
    <mdx n="508" f="v">
      <t c="3" si="4">
        <n x="509"/>
        <n x="60"/>
        <n x="469"/>
      </t>
    </mdx>
    <mdx n="508" f="v">
      <t c="3" si="475">
        <n x="509"/>
        <n x="112"/>
        <n x="474"/>
      </t>
    </mdx>
    <mdx n="508" f="v">
      <t c="3" si="4">
        <n x="509"/>
        <n x="404"/>
        <n x="470"/>
      </t>
    </mdx>
    <mdx n="508" f="v">
      <t c="3" si="4">
        <n x="509"/>
        <n x="368"/>
        <n x="472"/>
      </t>
    </mdx>
    <mdx n="508" f="v">
      <t c="3" si="4">
        <n x="509"/>
        <n x="208"/>
        <n x="472"/>
      </t>
    </mdx>
    <mdx n="508" f="v">
      <t c="3" si="4">
        <n x="509"/>
        <n x="297"/>
        <n x="2"/>
      </t>
    </mdx>
    <mdx n="508" f="v">
      <t c="3" si="4">
        <n x="509"/>
        <n x="288"/>
        <n x="5"/>
      </t>
    </mdx>
    <mdx n="508" f="v">
      <t c="3" si="4">
        <n x="509"/>
        <n x="459"/>
        <n x="473"/>
      </t>
    </mdx>
    <mdx n="508" f="v">
      <t c="3" si="4">
        <n x="509"/>
        <n x="210"/>
        <n x="473"/>
      </t>
    </mdx>
    <mdx n="508" f="v">
      <t c="3" si="4">
        <n x="509"/>
        <n x="417"/>
        <n x="2"/>
      </t>
    </mdx>
    <mdx n="508" f="v">
      <t c="3" si="4">
        <n x="509"/>
        <n x="62"/>
        <n x="1"/>
      </t>
    </mdx>
    <mdx n="508" f="v">
      <t c="3" si="4">
        <n x="509"/>
        <n x="311"/>
        <n x="470"/>
      </t>
    </mdx>
    <mdx n="508" f="v">
      <t c="3" si="4">
        <n x="509"/>
        <n x="258"/>
        <n x="5"/>
      </t>
    </mdx>
    <mdx n="508" f="v">
      <t c="3" si="4">
        <n x="509"/>
        <n x="329"/>
        <n x="1"/>
      </t>
    </mdx>
    <mdx n="508" f="v">
      <t c="3" si="4">
        <n x="509"/>
        <n x="290"/>
        <n x="1"/>
      </t>
    </mdx>
    <mdx n="508" f="v">
      <t c="3" si="4">
        <n x="509"/>
        <n x="415"/>
        <n x="472"/>
      </t>
    </mdx>
    <mdx n="508" f="v">
      <t c="3" si="4">
        <n x="509"/>
        <n x="427"/>
        <n x="473"/>
      </t>
    </mdx>
    <mdx n="508" f="v">
      <t c="3" si="4">
        <n x="509"/>
        <n x="227"/>
        <n x="469"/>
      </t>
    </mdx>
    <mdx n="508" f="v">
      <t c="3" si="4">
        <n x="509"/>
        <n x="369"/>
        <n x="473"/>
      </t>
    </mdx>
    <mdx n="508" f="v">
      <t c="3" si="4">
        <n x="509"/>
        <n x="243"/>
        <n x="467"/>
      </t>
    </mdx>
    <mdx n="508" f="v">
      <t c="3" si="4">
        <n x="509"/>
        <n x="20"/>
        <n x="470"/>
      </t>
    </mdx>
    <mdx n="508" f="v">
      <t c="3" si="4">
        <n x="509"/>
        <n x="332"/>
        <n x="467"/>
      </t>
    </mdx>
    <mdx n="508" f="v">
      <t c="3" si="4">
        <n x="509"/>
        <n x="400"/>
        <n x="472"/>
      </t>
    </mdx>
    <mdx n="508" f="v">
      <t c="3" si="4">
        <n x="509"/>
        <n x="415"/>
        <n x="1"/>
      </t>
    </mdx>
    <mdx n="508" f="v">
      <t c="3" si="4">
        <n x="509"/>
        <n x="194"/>
        <n x="5"/>
      </t>
    </mdx>
    <mdx n="508" f="v">
      <t c="3" si="4">
        <n x="509"/>
        <n x="396"/>
        <n x="469"/>
      </t>
    </mdx>
    <mdx n="508" f="v">
      <t c="3" si="4">
        <n x="509"/>
        <n x="3"/>
        <n x="2"/>
      </t>
    </mdx>
    <mdx n="508" f="v">
      <t c="3" si="4">
        <n x="509"/>
        <n x="146"/>
        <n x="473"/>
      </t>
    </mdx>
    <mdx n="508" f="v">
      <t c="3" si="4">
        <n x="509"/>
        <n x="172"/>
        <n x="469"/>
      </t>
    </mdx>
    <mdx n="508" f="v">
      <t c="3" si="4">
        <n x="509"/>
        <n x="458"/>
        <n x="469"/>
      </t>
    </mdx>
    <mdx n="508" f="v">
      <t c="3" si="4">
        <n x="509"/>
        <n x="96"/>
        <n x="473"/>
      </t>
    </mdx>
    <mdx n="508" f="v">
      <t c="3" si="4">
        <n x="509"/>
        <n x="361"/>
        <n x="469"/>
      </t>
    </mdx>
    <mdx n="508" f="v">
      <t c="3" si="4">
        <n x="509"/>
        <n x="290"/>
        <n x="467"/>
      </t>
    </mdx>
    <mdx n="508" f="v">
      <t c="3" si="4">
        <n x="509"/>
        <n x="438"/>
        <n x="473"/>
      </t>
    </mdx>
    <mdx n="508" f="v">
      <t c="3" si="4">
        <n x="509"/>
        <n x="71"/>
        <n x="473"/>
      </t>
    </mdx>
    <mdx n="508" f="v">
      <t c="3" si="4">
        <n x="509"/>
        <n x="381"/>
        <n x="469"/>
      </t>
    </mdx>
    <mdx n="508" f="v">
      <t c="3" si="4">
        <n x="509"/>
        <n x="33"/>
        <n x="472"/>
      </t>
    </mdx>
    <mdx n="508" f="v">
      <t c="3" si="4">
        <n x="509"/>
        <n x="323"/>
        <n x="2"/>
      </t>
    </mdx>
    <mdx n="508" f="v">
      <t c="3" si="4">
        <n x="509"/>
        <n x="55"/>
        <n x="473"/>
      </t>
    </mdx>
    <mdx n="508" f="v">
      <t c="3" si="4">
        <n x="509"/>
        <n x="61"/>
        <n x="2"/>
      </t>
    </mdx>
    <mdx n="508" f="v">
      <t c="3" si="475">
        <n x="509"/>
        <n x="443"/>
        <n x="474"/>
      </t>
    </mdx>
    <mdx n="508" f="v">
      <t c="3" si="475">
        <n x="509"/>
        <n x="183"/>
        <n x="474"/>
      </t>
    </mdx>
    <mdx n="508" f="v">
      <t c="3" si="4">
        <n x="509"/>
        <n x="33"/>
        <n x="1"/>
      </t>
    </mdx>
    <mdx n="508" f="v">
      <t c="3" si="475">
        <n x="509"/>
        <n x="44"/>
        <n x="474"/>
      </t>
    </mdx>
    <mdx n="508" f="v">
      <t c="3" si="4">
        <n x="509"/>
        <n x="264"/>
        <n x="469"/>
      </t>
    </mdx>
    <mdx n="508" f="v">
      <t c="3" si="4">
        <n x="509"/>
        <n x="7"/>
        <n x="2"/>
      </t>
    </mdx>
    <mdx n="508" f="v">
      <t c="3" si="4">
        <n x="509"/>
        <n x="416"/>
        <n x="473"/>
      </t>
    </mdx>
    <mdx n="508" f="v">
      <t c="3" si="4">
        <n x="509"/>
        <n x="339"/>
        <n x="1"/>
      </t>
    </mdx>
    <mdx n="508" f="v">
      <t c="3" si="4">
        <n x="509"/>
        <n x="44"/>
        <n x="469"/>
      </t>
    </mdx>
    <mdx n="508" f="v">
      <t c="3" si="4">
        <n x="509"/>
        <n x="59"/>
        <n x="1"/>
      </t>
    </mdx>
    <mdx n="508" f="v">
      <t c="3" si="4">
        <n x="509"/>
        <n x="21"/>
        <n x="1"/>
      </t>
    </mdx>
    <mdx n="508" f="v">
      <t c="3" si="4">
        <n x="509"/>
        <n x="117"/>
        <n x="467"/>
      </t>
    </mdx>
    <mdx n="508" f="v">
      <t c="3" si="4">
        <n x="509"/>
        <n x="179"/>
        <n x="467"/>
      </t>
    </mdx>
    <mdx n="508" f="v">
      <t c="3" si="4">
        <n x="509"/>
        <n x="302"/>
        <n x="2"/>
      </t>
    </mdx>
    <mdx n="508" f="v">
      <t c="3" si="4">
        <n x="509"/>
        <n x="315"/>
        <n x="469"/>
      </t>
    </mdx>
    <mdx n="508" f="v">
      <t c="3" si="4">
        <n x="509"/>
        <n x="163"/>
        <n x="469"/>
      </t>
    </mdx>
    <mdx n="508" f="v">
      <t c="3" si="4">
        <n x="509"/>
        <n x="305"/>
        <n x="467"/>
      </t>
    </mdx>
    <mdx n="508" f="v">
      <t c="3" si="4">
        <n x="509"/>
        <n x="32"/>
        <n x="1"/>
      </t>
    </mdx>
    <mdx n="508" f="v">
      <t c="3" si="475">
        <n x="509"/>
        <n x="238"/>
        <n x="474"/>
      </t>
    </mdx>
    <mdx n="508" f="v">
      <t c="3" si="4">
        <n x="509"/>
        <n x="169"/>
        <n x="2"/>
      </t>
    </mdx>
    <mdx n="508" f="v">
      <t c="3" si="4">
        <n x="509"/>
        <n x="170"/>
        <n x="469"/>
      </t>
    </mdx>
    <mdx n="508" f="v">
      <t c="3" si="4">
        <n x="509"/>
        <n x="422"/>
        <n x="2"/>
      </t>
    </mdx>
    <mdx n="508" f="v">
      <t c="3" si="4">
        <n x="509"/>
        <n x="121"/>
        <n x="467"/>
      </t>
    </mdx>
    <mdx n="508" f="v">
      <t c="3" si="4">
        <n x="509"/>
        <n x="79"/>
        <n x="472"/>
      </t>
    </mdx>
    <mdx n="508" f="v">
      <t c="3" si="475">
        <n x="509"/>
        <n x="328"/>
        <n x="474"/>
      </t>
    </mdx>
    <mdx n="508" f="v">
      <t c="3" si="4">
        <n x="509"/>
        <n x="389"/>
        <n x="470"/>
      </t>
    </mdx>
    <mdx n="508" f="v">
      <t c="3" si="4">
        <n x="509"/>
        <n x="102"/>
        <n x="2"/>
      </t>
    </mdx>
    <mdx n="508" f="v">
      <t c="3" si="4">
        <n x="509"/>
        <n x="18"/>
        <n x="470"/>
      </t>
    </mdx>
    <mdx n="508" f="v">
      <t c="3" si="4">
        <n x="509"/>
        <n x="348"/>
        <n x="5"/>
      </t>
    </mdx>
    <mdx n="508" f="v">
      <t c="3" si="4">
        <n x="509"/>
        <n x="100"/>
        <n x="1"/>
      </t>
    </mdx>
    <mdx n="508" f="v">
      <t c="3" si="4">
        <n x="509"/>
        <n x="174"/>
        <n x="473"/>
      </t>
    </mdx>
    <mdx n="508" f="v">
      <t c="3" si="4">
        <n x="509"/>
        <n x="87"/>
        <n x="1"/>
      </t>
    </mdx>
    <mdx n="508" f="v">
      <t c="3" si="4">
        <n x="509"/>
        <n x="372"/>
        <n x="472"/>
      </t>
    </mdx>
    <mdx n="508" f="v">
      <t c="3" si="475">
        <n x="509"/>
        <n x="441"/>
        <n x="474"/>
      </t>
    </mdx>
    <mdx n="508" f="v">
      <t c="3" si="4">
        <n x="509"/>
        <n x="108"/>
        <n x="2"/>
      </t>
    </mdx>
    <mdx n="508" f="v">
      <t c="3" si="4">
        <n x="509"/>
        <n x="308"/>
        <n x="472"/>
      </t>
    </mdx>
    <mdx n="508" f="v">
      <t c="3" si="4">
        <n x="509"/>
        <n x="11"/>
        <n x="1"/>
      </t>
    </mdx>
    <mdx n="508" f="v">
      <t c="3" si="4">
        <n x="509"/>
        <n x="193"/>
        <n x="470"/>
      </t>
    </mdx>
    <mdx n="508" f="v">
      <t c="3" si="4">
        <n x="509"/>
        <n x="209"/>
        <n x="2"/>
      </t>
    </mdx>
    <mdx n="508" f="v">
      <t c="3" si="4">
        <n x="509"/>
        <n x="55"/>
        <n x="5"/>
      </t>
    </mdx>
    <mdx n="508" f="v">
      <t c="3" si="4">
        <n x="509"/>
        <n x="463"/>
        <n x="467"/>
      </t>
    </mdx>
    <mdx n="508" f="v">
      <t c="3" si="4">
        <n x="509"/>
        <n x="372"/>
        <n x="469"/>
      </t>
    </mdx>
    <mdx n="508" f="v">
      <t c="3" si="4">
        <n x="509"/>
        <n x="264"/>
        <n x="470"/>
      </t>
    </mdx>
    <mdx n="508" f="v">
      <t c="3" si="4">
        <n x="509"/>
        <n x="357"/>
        <n x="1"/>
      </t>
    </mdx>
    <mdx n="508" f="v">
      <t c="3" si="4">
        <n x="509"/>
        <n x="119"/>
        <n x="1"/>
      </t>
    </mdx>
    <mdx n="508" f="v">
      <t c="3" si="4">
        <n x="509"/>
        <n x="110"/>
        <n x="469"/>
      </t>
    </mdx>
    <mdx n="508" f="v">
      <t c="3" si="4">
        <n x="509"/>
        <n x="198"/>
        <n x="5"/>
      </t>
    </mdx>
    <mdx n="508" f="v">
      <t c="3" si="4">
        <n x="509"/>
        <n x="424"/>
        <n x="472"/>
      </t>
    </mdx>
    <mdx n="508" f="v">
      <t c="3" si="4">
        <n x="509"/>
        <n x="388"/>
        <n x="469"/>
      </t>
    </mdx>
    <mdx n="508" f="v">
      <t c="3" si="475">
        <n x="509"/>
        <n x="24"/>
        <n x="474"/>
      </t>
    </mdx>
    <mdx n="508" f="v">
      <t c="3" si="4">
        <n x="509"/>
        <n x="456"/>
        <n x="2"/>
      </t>
    </mdx>
    <mdx n="508" f="v">
      <t c="3" si="4">
        <n x="509"/>
        <n x="216"/>
        <n x="473"/>
      </t>
    </mdx>
    <mdx n="508" f="v">
      <t c="3" si="4">
        <n x="509"/>
        <n x="343"/>
        <n x="473"/>
      </t>
    </mdx>
    <mdx n="508" f="v">
      <t c="3" si="4">
        <n x="509"/>
        <n x="410"/>
        <n x="470"/>
      </t>
    </mdx>
    <mdx n="508" f="v">
      <t c="3" si="4">
        <n x="509"/>
        <n x="294"/>
        <n x="469"/>
      </t>
    </mdx>
    <mdx n="508" f="v">
      <t c="3" si="4">
        <n x="509"/>
        <n x="42"/>
        <n x="2"/>
      </t>
    </mdx>
    <mdx n="508" f="v">
      <t c="3" si="4">
        <n x="509"/>
        <n x="392"/>
        <n x="472"/>
      </t>
    </mdx>
    <mdx n="508" f="v">
      <t c="3" si="4">
        <n x="509"/>
        <n x="212"/>
        <n x="1"/>
      </t>
    </mdx>
    <mdx n="508" f="v">
      <t c="3" si="4">
        <n x="509"/>
        <n x="408"/>
        <n x="2"/>
      </t>
    </mdx>
    <mdx n="508" f="v">
      <t c="3" si="4">
        <n x="509"/>
        <n x="163"/>
        <n x="1"/>
      </t>
    </mdx>
    <mdx n="508" f="v">
      <t c="3" si="4">
        <n x="509"/>
        <n x="14"/>
        <n x="467"/>
      </t>
    </mdx>
    <mdx n="508" f="v">
      <t c="3" si="475">
        <n x="509"/>
        <n x="40"/>
        <n x="474"/>
      </t>
    </mdx>
    <mdx n="508" f="v">
      <t c="3" si="4">
        <n x="509"/>
        <n x="86"/>
        <n x="1"/>
      </t>
    </mdx>
    <mdx n="508" f="v">
      <t c="3" si="4">
        <n x="509"/>
        <n x="25"/>
        <n x="472"/>
      </t>
    </mdx>
    <mdx n="508" f="v">
      <t c="3" si="4">
        <n x="509"/>
        <n x="370"/>
        <n x="1"/>
      </t>
    </mdx>
    <mdx n="508" f="v">
      <t c="3" si="4">
        <n x="509"/>
        <n x="195"/>
        <n x="5"/>
      </t>
    </mdx>
    <mdx n="508" f="v">
      <t c="3" si="475">
        <n x="509"/>
        <n x="221"/>
        <n x="474"/>
      </t>
    </mdx>
    <mdx n="508" f="v">
      <t c="3" si="4">
        <n x="509"/>
        <n x="102"/>
        <n x="469"/>
      </t>
    </mdx>
    <mdx n="508" f="v">
      <t c="3" si="4">
        <n x="509"/>
        <n x="263"/>
        <n x="473"/>
      </t>
    </mdx>
    <mdx n="508" f="v">
      <t c="3" si="4">
        <n x="509"/>
        <n x="105"/>
        <n x="473"/>
      </t>
    </mdx>
    <mdx n="508" f="v">
      <t c="3" si="4">
        <n x="509"/>
        <n x="315"/>
        <n x="2"/>
      </t>
    </mdx>
    <mdx n="508" f="v">
      <t c="3" si="4">
        <n x="509"/>
        <n x="454"/>
        <n x="1"/>
      </t>
    </mdx>
    <mdx n="508" f="v">
      <t c="3" si="4">
        <n x="509"/>
        <n x="31"/>
        <n x="5"/>
      </t>
    </mdx>
    <mdx n="508" f="v">
      <t c="3" si="4">
        <n x="509"/>
        <n x="138"/>
        <n x="2"/>
      </t>
    </mdx>
    <mdx n="508" f="v">
      <t c="3" si="4">
        <n x="509"/>
        <n x="186"/>
        <n x="2"/>
      </t>
    </mdx>
    <mdx n="508" f="v">
      <t c="3" si="4">
        <n x="509"/>
        <n x="360"/>
        <n x="5"/>
      </t>
    </mdx>
    <mdx n="508" f="v">
      <t c="3" si="4">
        <n x="509"/>
        <n x="15"/>
        <n x="470"/>
      </t>
    </mdx>
    <mdx n="508" f="v">
      <t c="3" si="4">
        <n x="509"/>
        <n x="435"/>
        <n x="2"/>
      </t>
    </mdx>
    <mdx n="508" f="v">
      <t c="3" si="4">
        <n x="509"/>
        <n x="224"/>
        <n x="2"/>
      </t>
    </mdx>
    <mdx n="508" f="v">
      <t c="3" si="4">
        <n x="509"/>
        <n x="396"/>
        <n x="1"/>
      </t>
    </mdx>
    <mdx n="508" f="v">
      <t c="3" si="4">
        <n x="509"/>
        <n x="183"/>
        <n x="1"/>
      </t>
    </mdx>
    <mdx n="508" f="v">
      <t c="3" si="475">
        <n x="509"/>
        <n x="453"/>
        <n x="474"/>
      </t>
    </mdx>
    <mdx n="508" f="v">
      <t c="3" si="4">
        <n x="509"/>
        <n x="132"/>
        <n x="467"/>
      </t>
    </mdx>
    <mdx n="508" f="v">
      <t c="3" si="4">
        <n x="509"/>
        <n x="279"/>
        <n x="469"/>
      </t>
    </mdx>
    <mdx n="508" f="v">
      <t c="3" si="4">
        <n x="509"/>
        <n x="288"/>
        <n x="2"/>
      </t>
    </mdx>
    <mdx n="508" f="v">
      <t c="3" si="4">
        <n x="509"/>
        <n x="300"/>
        <n x="470"/>
      </t>
    </mdx>
    <mdx n="508" f="v">
      <t c="3" si="4">
        <n x="509"/>
        <n x="68"/>
        <n x="473"/>
      </t>
    </mdx>
    <mdx n="508" f="v">
      <t c="3" si="475">
        <n x="509"/>
        <n x="300"/>
        <n x="474"/>
      </t>
    </mdx>
    <mdx n="508" f="v">
      <t c="3" si="4">
        <n x="509"/>
        <n x="461"/>
        <n x="2"/>
      </t>
    </mdx>
    <mdx n="508" f="v">
      <t c="3" si="4">
        <n x="509"/>
        <n x="303"/>
        <n x="467"/>
      </t>
    </mdx>
    <mdx n="508" f="v">
      <t c="3" si="4">
        <n x="509"/>
        <n x="368"/>
        <n x="467"/>
      </t>
    </mdx>
    <mdx n="508" f="v">
      <t c="3" si="4">
        <n x="509"/>
        <n x="151"/>
        <n x="2"/>
      </t>
    </mdx>
    <mdx n="508" f="v">
      <t c="3" si="475">
        <n x="509"/>
        <n x="323"/>
        <n x="474"/>
      </t>
    </mdx>
    <mdx n="508" f="v">
      <t c="3" si="4">
        <n x="509"/>
        <n x="102"/>
        <n x="1"/>
      </t>
    </mdx>
    <mdx n="508" f="v">
      <t c="3" si="4">
        <n x="509"/>
        <n x="85"/>
        <n x="469"/>
      </t>
    </mdx>
    <mdx n="508" f="v">
      <t c="3" si="4">
        <n x="509"/>
        <n x="438"/>
        <n x="2"/>
      </t>
    </mdx>
    <mdx n="508" f="v">
      <t c="3" si="4">
        <n x="509"/>
        <n x="294"/>
        <n x="467"/>
      </t>
    </mdx>
    <mdx n="508" f="v">
      <t c="3" si="4">
        <n x="509"/>
        <n x="334"/>
        <n x="473"/>
      </t>
    </mdx>
    <mdx n="508" f="v">
      <t c="3" si="4">
        <n x="509"/>
        <n x="323"/>
        <n x="470"/>
      </t>
    </mdx>
    <mdx n="508" f="v">
      <t c="3" si="4">
        <n x="509"/>
        <n x="147"/>
        <n x="467"/>
      </t>
    </mdx>
    <mdx n="508" f="v">
      <t c="3" si="4">
        <n x="509"/>
        <n x="219"/>
        <n x="1"/>
      </t>
    </mdx>
    <mdx n="508" f="v">
      <t c="3" si="4">
        <n x="509"/>
        <n x="386"/>
        <n x="473"/>
      </t>
    </mdx>
    <mdx n="508" f="v">
      <t c="3" si="4">
        <n x="509"/>
        <n x="98"/>
        <n x="1"/>
      </t>
    </mdx>
    <mdx n="508" f="v">
      <t c="3" si="4">
        <n x="509"/>
        <n x="79"/>
        <n x="1"/>
      </t>
    </mdx>
    <mdx n="508" f="v">
      <t c="3" si="4">
        <n x="509"/>
        <n x="36"/>
        <n x="5"/>
      </t>
    </mdx>
    <mdx n="508" f="v">
      <t c="3" si="4">
        <n x="509"/>
        <n x="449"/>
        <n x="2"/>
      </t>
    </mdx>
    <mdx n="508" f="v">
      <t c="3" si="4">
        <n x="509"/>
        <n x="314"/>
        <n x="1"/>
      </t>
    </mdx>
    <mdx n="508" f="v">
      <t c="3" si="4">
        <n x="509"/>
        <n x="308"/>
        <n x="473"/>
      </t>
    </mdx>
    <mdx n="508" f="v">
      <t c="3" si="4">
        <n x="509"/>
        <n x="81"/>
        <n x="1"/>
      </t>
    </mdx>
    <mdx n="508" f="v">
      <t c="3" si="4">
        <n x="509"/>
        <n x="327"/>
        <n x="5"/>
      </t>
    </mdx>
    <mdx n="508" f="v">
      <t c="3" si="4">
        <n x="509"/>
        <n x="271"/>
        <n x="472"/>
      </t>
    </mdx>
    <mdx n="508" f="v">
      <t c="3" si="475">
        <n x="509"/>
        <n x="128"/>
        <n x="474"/>
      </t>
    </mdx>
    <mdx n="508" f="v">
      <t c="3" si="4">
        <n x="509"/>
        <n x="194"/>
        <n x="1"/>
      </t>
    </mdx>
    <mdx n="508" f="v">
      <t c="3" si="4">
        <n x="509"/>
        <n x="61"/>
        <n x="473"/>
      </t>
    </mdx>
    <mdx n="508" f="v">
      <t c="3" si="4">
        <n x="509"/>
        <n x="169"/>
        <n x="470"/>
      </t>
    </mdx>
    <mdx n="508" f="v">
      <t c="3" si="4">
        <n x="509"/>
        <n x="217"/>
        <n x="2"/>
      </t>
    </mdx>
    <mdx n="508" f="v">
      <t c="3" si="4">
        <n x="509"/>
        <n x="377"/>
        <n x="467"/>
      </t>
    </mdx>
    <mdx n="508" f="v">
      <t c="3" si="4">
        <n x="509"/>
        <n x="97"/>
        <n x="473"/>
      </t>
    </mdx>
    <mdx n="508" f="v">
      <t c="3" si="4">
        <n x="509"/>
        <n x="362"/>
        <n x="5"/>
      </t>
    </mdx>
    <mdx n="508" f="v">
      <t c="3" si="4">
        <n x="509"/>
        <n x="112"/>
        <n x="472"/>
      </t>
    </mdx>
    <mdx n="508" f="v">
      <t c="3" si="4">
        <n x="509"/>
        <n x="46"/>
        <n x="5"/>
      </t>
    </mdx>
    <mdx n="508" f="v">
      <t c="3" si="4">
        <n x="509"/>
        <n x="154"/>
        <n x="467"/>
      </t>
    </mdx>
    <mdx n="508" f="v">
      <t c="3" si="4">
        <n x="509"/>
        <n x="397"/>
        <n x="469"/>
      </t>
    </mdx>
    <mdx n="508" f="v">
      <t c="3" si="4">
        <n x="509"/>
        <n x="169"/>
        <n x="472"/>
      </t>
    </mdx>
    <mdx n="508" f="v">
      <t c="3" si="4">
        <n x="509"/>
        <n x="78"/>
        <n x="473"/>
      </t>
    </mdx>
    <mdx n="508" f="v">
      <t c="3" si="4">
        <n x="509"/>
        <n x="86"/>
        <n x="473"/>
      </t>
    </mdx>
    <mdx n="508" f="v">
      <t c="3" si="4">
        <n x="509"/>
        <n x="231"/>
        <n x="467"/>
      </t>
    </mdx>
    <mdx n="508" f="v">
      <t c="3" si="4">
        <n x="509"/>
        <n x="353"/>
        <n x="472"/>
      </t>
    </mdx>
    <mdx n="508" f="v">
      <t c="3" si="4">
        <n x="509"/>
        <n x="136"/>
        <n x="469"/>
      </t>
    </mdx>
    <mdx n="508" f="v">
      <t c="3" si="4">
        <n x="509"/>
        <n x="138"/>
        <n x="473"/>
      </t>
    </mdx>
    <mdx n="508" f="v">
      <t c="3" si="475">
        <n x="509"/>
        <n x="426"/>
        <n x="474"/>
      </t>
    </mdx>
    <mdx n="508" f="v">
      <t c="3" si="4">
        <n x="509"/>
        <n x="463"/>
        <n x="470"/>
      </t>
    </mdx>
    <mdx n="508" f="v">
      <t c="3" si="4">
        <n x="509"/>
        <n x="218"/>
        <n x="5"/>
      </t>
    </mdx>
    <mdx n="508" f="v">
      <t c="3" si="4">
        <n x="509"/>
        <n x="358"/>
        <n x="1"/>
      </t>
    </mdx>
    <mdx n="508" f="v">
      <t c="3" si="4">
        <n x="509"/>
        <n x="202"/>
        <n x="473"/>
      </t>
    </mdx>
    <mdx n="508" f="v">
      <t c="3" si="4">
        <n x="509"/>
        <n x="418"/>
        <n x="473"/>
      </t>
    </mdx>
    <mdx n="508" f="v">
      <t c="3" si="475">
        <n x="509"/>
        <n x="86"/>
        <n x="474"/>
      </t>
    </mdx>
    <mdx n="508" f="v">
      <t c="3" si="4">
        <n x="509"/>
        <n x="262"/>
        <n x="473"/>
      </t>
    </mdx>
    <mdx n="508" f="v">
      <t c="3" si="4">
        <n x="509"/>
        <n x="271"/>
        <n x="1"/>
      </t>
    </mdx>
    <mdx n="508" f="v">
      <t c="3" si="475">
        <n x="509"/>
        <n x="434"/>
        <n x="474"/>
      </t>
    </mdx>
    <mdx n="508" f="v">
      <t c="3" si="4">
        <n x="509"/>
        <n x="282"/>
        <n x="1"/>
      </t>
    </mdx>
    <mdx n="508" f="v">
      <t c="3" si="4">
        <n x="509"/>
        <n x="421"/>
        <n x="472"/>
      </t>
    </mdx>
    <mdx n="508" f="v">
      <t c="3" si="4">
        <n x="509"/>
        <n x="320"/>
        <n x="473"/>
      </t>
    </mdx>
    <mdx n="508" f="v">
      <t c="3" si="4">
        <n x="509"/>
        <n x="132"/>
        <n x="1"/>
      </t>
    </mdx>
    <mdx n="508" f="v">
      <t c="3" si="475">
        <n x="509"/>
        <n x="376"/>
        <n x="474"/>
      </t>
    </mdx>
    <mdx n="508" f="v">
      <t c="3" si="4">
        <n x="509"/>
        <n x="195"/>
        <n x="470"/>
      </t>
    </mdx>
    <mdx n="508" f="v">
      <t c="3" si="4">
        <n x="509"/>
        <n x="247"/>
        <n x="469"/>
      </t>
    </mdx>
    <mdx n="508" f="v">
      <t c="3" si="4">
        <n x="509"/>
        <n x="287"/>
        <n x="5"/>
      </t>
    </mdx>
    <mdx n="508" f="v">
      <t c="3" si="4">
        <n x="509"/>
        <n x="258"/>
        <n x="470"/>
      </t>
    </mdx>
    <mdx n="508" f="v">
      <t c="3" si="4">
        <n x="509"/>
        <n x="50"/>
        <n x="473"/>
      </t>
    </mdx>
    <mdx n="508" f="v">
      <t c="3" si="4">
        <n x="509"/>
        <n x="317"/>
        <n x="5"/>
      </t>
    </mdx>
    <mdx n="508" f="v">
      <t c="3" si="4">
        <n x="509"/>
        <n x="408"/>
        <n x="472"/>
      </t>
    </mdx>
    <mdx n="508" f="v">
      <t c="3" si="4">
        <n x="509"/>
        <n x="366"/>
        <n x="2"/>
      </t>
    </mdx>
    <mdx n="508" f="v">
      <t c="3" si="4">
        <n x="509"/>
        <n x="251"/>
        <n x="467"/>
      </t>
    </mdx>
    <mdx n="508" f="v">
      <t c="3" si="4">
        <n x="509"/>
        <n x="219"/>
        <n x="5"/>
      </t>
    </mdx>
    <mdx n="508" f="v">
      <t c="3" si="4">
        <n x="509"/>
        <n x="72"/>
        <n x="472"/>
      </t>
    </mdx>
    <mdx n="508" f="v">
      <t c="3" si="4">
        <n x="509"/>
        <n x="201"/>
        <n x="472"/>
      </t>
    </mdx>
    <mdx n="508" f="v">
      <t c="3" si="4">
        <n x="509"/>
        <n x="68"/>
        <n x="1"/>
      </t>
    </mdx>
    <mdx n="508" f="v">
      <t c="3" si="4">
        <n x="509"/>
        <n x="20"/>
        <n x="467"/>
      </t>
    </mdx>
    <mdx n="508" f="v">
      <t c="3" si="4">
        <n x="509"/>
        <n x="420"/>
        <n x="1"/>
      </t>
    </mdx>
    <mdx n="508" f="v">
      <t c="3" si="4">
        <n x="509"/>
        <n x="287"/>
        <n x="472"/>
      </t>
    </mdx>
    <mdx n="508" f="v">
      <t c="3" si="4">
        <n x="509"/>
        <n x="127"/>
        <n x="5"/>
      </t>
    </mdx>
    <mdx n="508" f="v">
      <t c="3" si="4">
        <n x="509"/>
        <n x="423"/>
        <n x="467"/>
      </t>
    </mdx>
    <mdx n="508" f="v">
      <t c="3" si="4">
        <n x="509"/>
        <n x="180"/>
        <n x="5"/>
      </t>
    </mdx>
    <mdx n="508" f="v">
      <t c="3" si="4">
        <n x="509"/>
        <n x="295"/>
        <n x="2"/>
      </t>
    </mdx>
    <mdx n="508" f="v">
      <t c="3" si="4">
        <n x="509"/>
        <n x="139"/>
        <n x="472"/>
      </t>
    </mdx>
    <mdx n="508" f="v">
      <t c="3" si="4">
        <n x="509"/>
        <n x="8"/>
        <n x="472"/>
      </t>
    </mdx>
    <mdx n="508" f="v">
      <t c="3" si="4">
        <n x="509"/>
        <n x="381"/>
        <n x="2"/>
      </t>
    </mdx>
    <mdx n="508" f="v">
      <t c="3" si="4">
        <n x="509"/>
        <n x="66"/>
        <n x="2"/>
      </t>
    </mdx>
    <mdx n="508" f="v">
      <t c="3" si="4">
        <n x="509"/>
        <n x="128"/>
        <n x="472"/>
      </t>
    </mdx>
    <mdx n="508" f="v">
      <t c="3" si="4">
        <n x="509"/>
        <n x="145"/>
        <n x="473"/>
      </t>
    </mdx>
    <mdx n="508" f="v">
      <t c="3" si="475">
        <n x="509"/>
        <n x="174"/>
        <n x="474"/>
      </t>
    </mdx>
    <mdx n="508" f="v">
      <t c="3" si="4">
        <n x="509"/>
        <n x="355"/>
        <n x="2"/>
      </t>
    </mdx>
    <mdx n="508" f="v">
      <t c="3" si="4">
        <n x="509"/>
        <n x="441"/>
        <n x="2"/>
      </t>
    </mdx>
    <mdx n="508" f="v">
      <t c="3" si="4">
        <n x="509"/>
        <n x="364"/>
        <n x="2"/>
      </t>
    </mdx>
    <mdx n="508" f="v">
      <t c="3" si="4">
        <n x="509"/>
        <n x="207"/>
        <n x="470"/>
      </t>
    </mdx>
    <mdx n="508" f="v">
      <t c="3" si="4">
        <n x="509"/>
        <n x="129"/>
        <n x="470"/>
      </t>
    </mdx>
    <mdx n="508" f="v">
      <t c="3" si="4">
        <n x="509"/>
        <n x="361"/>
        <n x="472"/>
      </t>
    </mdx>
    <mdx n="508" f="v">
      <t c="3" si="4">
        <n x="509"/>
        <n x="14"/>
        <n x="473"/>
      </t>
    </mdx>
    <mdx n="508" f="v">
      <t c="3" si="4">
        <n x="509"/>
        <n x="118"/>
        <n x="467"/>
      </t>
    </mdx>
    <mdx n="508" f="v">
      <t c="3" si="4">
        <n x="509"/>
        <n x="84"/>
        <n x="467"/>
      </t>
    </mdx>
    <mdx n="508" f="v">
      <t c="3" si="4">
        <n x="509"/>
        <n x="430"/>
        <n x="1"/>
      </t>
    </mdx>
    <mdx n="508" f="v">
      <t c="3" si="4">
        <n x="509"/>
        <n x="102"/>
        <n x="473"/>
      </t>
    </mdx>
    <mdx n="508" f="v">
      <t c="3" si="4">
        <n x="509"/>
        <n x="328"/>
        <n x="472"/>
      </t>
    </mdx>
    <mdx n="508" f="v">
      <t c="3" si="4">
        <n x="509"/>
        <n x="225"/>
        <n x="467"/>
      </t>
    </mdx>
    <mdx n="508" f="v">
      <t c="3" si="4">
        <n x="509"/>
        <n x="86"/>
        <n x="467"/>
      </t>
    </mdx>
    <mdx n="508" f="v">
      <t c="3" si="4">
        <n x="509"/>
        <n x="52"/>
        <n x="1"/>
      </t>
    </mdx>
    <mdx n="508" f="v">
      <t c="3" si="4">
        <n x="509"/>
        <n x="101"/>
        <n x="469"/>
      </t>
    </mdx>
    <mdx n="508" f="v">
      <t c="3" si="4">
        <n x="509"/>
        <n x="234"/>
        <n x="470"/>
      </t>
    </mdx>
    <mdx n="508" f="v">
      <t c="3" si="4">
        <n x="509"/>
        <n x="191"/>
        <n x="473"/>
      </t>
    </mdx>
    <mdx n="508" f="v">
      <t c="3" si="4">
        <n x="509"/>
        <n x="108"/>
        <n x="1"/>
      </t>
    </mdx>
    <mdx n="508" f="v">
      <t c="3" si="475">
        <n x="509"/>
        <n x="449"/>
        <n x="474"/>
      </t>
    </mdx>
    <mdx n="508" f="v">
      <t c="3" si="4">
        <n x="509"/>
        <n x="432"/>
        <n x="472"/>
      </t>
    </mdx>
    <mdx n="508" f="v">
      <t c="3" si="4">
        <n x="509"/>
        <n x="381"/>
        <n x="470"/>
      </t>
    </mdx>
    <mdx n="508" f="v">
      <t c="3" si="4">
        <n x="509"/>
        <n x="137"/>
        <n x="5"/>
      </t>
    </mdx>
    <mdx n="508" f="v">
      <t c="3" si="4">
        <n x="509"/>
        <n x="226"/>
        <n x="467"/>
      </t>
    </mdx>
    <mdx n="508" f="v">
      <t c="3" si="4">
        <n x="509"/>
        <n x="280"/>
        <n x="469"/>
      </t>
    </mdx>
    <mdx n="508" f="v">
      <t c="3" si="4">
        <n x="509"/>
        <n x="31"/>
        <n x="472"/>
      </t>
    </mdx>
    <mdx n="508" f="v">
      <t c="3" si="4">
        <n x="509"/>
        <n x="138"/>
        <n x="1"/>
      </t>
    </mdx>
    <mdx n="508" f="v">
      <t c="3" si="4">
        <n x="509"/>
        <n x="213"/>
        <n x="472"/>
      </t>
    </mdx>
    <mdx n="508" f="v">
      <t c="3" si="4">
        <n x="509"/>
        <n x="420"/>
        <n x="469"/>
      </t>
    </mdx>
    <mdx n="508" f="v">
      <t c="3" si="4">
        <n x="509"/>
        <n x="434"/>
        <n x="467"/>
      </t>
    </mdx>
    <mdx n="508" f="v">
      <t c="3" si="475">
        <n x="509"/>
        <n x="266"/>
        <n x="474"/>
      </t>
    </mdx>
    <mdx n="508" f="v">
      <t c="3" si="4">
        <n x="509"/>
        <n x="152"/>
        <n x="469"/>
      </t>
    </mdx>
    <mdx n="508" f="v">
      <t c="3" si="4">
        <n x="509"/>
        <n x="326"/>
        <n x="467"/>
      </t>
    </mdx>
    <mdx n="508" f="v">
      <t c="3" si="4">
        <n x="509"/>
        <n x="179"/>
        <n x="472"/>
      </t>
    </mdx>
    <mdx n="508" f="v">
      <t c="3" si="475">
        <n x="509"/>
        <n x="109"/>
        <n x="474"/>
      </t>
    </mdx>
    <mdx n="508" f="v">
      <t c="3" si="4">
        <n x="509"/>
        <n x="83"/>
        <n x="1"/>
      </t>
    </mdx>
    <mdx n="508" f="v">
      <t c="3" si="4">
        <n x="509"/>
        <n x="208"/>
        <n x="5"/>
      </t>
    </mdx>
    <mdx n="508" f="v">
      <t c="3" si="4">
        <n x="509"/>
        <n x="369"/>
        <n x="467"/>
      </t>
    </mdx>
    <mdx n="508" f="v">
      <t c="3" si="4">
        <n x="509"/>
        <n x="317"/>
        <n x="470"/>
      </t>
    </mdx>
    <mdx n="508" f="v">
      <t c="3" si="4">
        <n x="509"/>
        <n x="257"/>
        <n x="467"/>
      </t>
    </mdx>
    <mdx n="508" f="v">
      <t c="3" si="4">
        <n x="509"/>
        <n x="110"/>
        <n x="1"/>
      </t>
    </mdx>
    <mdx n="508" f="v">
      <t c="3" si="4">
        <n x="509"/>
        <n x="360"/>
        <n x="1"/>
      </t>
    </mdx>
    <mdx n="508" f="v">
      <t c="3" si="4">
        <n x="509"/>
        <n x="220"/>
        <n x="473"/>
      </t>
    </mdx>
    <mdx n="508" f="v">
      <t c="3" si="4">
        <n x="509"/>
        <n x="312"/>
        <n x="470"/>
      </t>
    </mdx>
    <mdx n="508" f="v">
      <t c="3" si="4">
        <n x="509"/>
        <n x="22"/>
        <n x="472"/>
      </t>
    </mdx>
    <mdx n="508" f="v">
      <t c="3" si="4">
        <n x="509"/>
        <n x="462"/>
        <n x="470"/>
      </t>
    </mdx>
    <mdx n="508" f="v">
      <t c="3" si="4">
        <n x="509"/>
        <n x="86"/>
        <n x="2"/>
      </t>
    </mdx>
    <mdx n="508" f="v">
      <t c="3" si="4">
        <n x="509"/>
        <n x="221"/>
        <n x="2"/>
      </t>
    </mdx>
    <mdx n="508" f="v">
      <t c="3" si="4">
        <n x="509"/>
        <n x="426"/>
        <n x="467"/>
      </t>
    </mdx>
    <mdx n="508" f="v">
      <t c="3" si="4">
        <n x="509"/>
        <n x="211"/>
        <n x="472"/>
      </t>
    </mdx>
    <mdx n="508" f="v">
      <t c="3" si="4">
        <n x="509"/>
        <n x="50"/>
        <n x="469"/>
      </t>
    </mdx>
    <mdx n="508" f="v">
      <t c="3" si="4">
        <n x="509"/>
        <n x="243"/>
        <n x="469"/>
      </t>
    </mdx>
    <mdx n="508" f="v">
      <t c="3" si="4">
        <n x="509"/>
        <n x="208"/>
        <n x="1"/>
      </t>
    </mdx>
    <mdx n="508" f="v">
      <t c="3" si="4">
        <n x="509"/>
        <n x="16"/>
        <n x="467"/>
      </t>
    </mdx>
    <mdx n="508" f="v">
      <t c="3" si="4">
        <n x="509"/>
        <n x="103"/>
        <n x="1"/>
      </t>
    </mdx>
    <mdx n="508" f="v">
      <t c="3" si="4">
        <n x="509"/>
        <n x="434"/>
        <n x="473"/>
      </t>
    </mdx>
    <mdx n="508" f="v">
      <t c="3" si="4">
        <n x="509"/>
        <n x="236"/>
        <n x="473"/>
      </t>
    </mdx>
    <mdx n="508" f="v">
      <t c="3" si="4">
        <n x="509"/>
        <n x="241"/>
        <n x="5"/>
      </t>
    </mdx>
    <mdx n="508" f="v">
      <t c="3" si="4">
        <n x="509"/>
        <n x="328"/>
        <n x="469"/>
      </t>
    </mdx>
    <mdx n="508" f="v">
      <t c="3" si="4">
        <n x="509"/>
        <n x="322"/>
        <n x="467"/>
      </t>
    </mdx>
    <mdx n="508" f="v">
      <t c="3" si="4">
        <n x="509"/>
        <n x="275"/>
        <n x="470"/>
      </t>
    </mdx>
    <mdx n="508" f="v">
      <t c="3" si="4">
        <n x="509"/>
        <n x="227"/>
        <n x="472"/>
      </t>
    </mdx>
    <mdx n="508" f="v">
      <t c="3" si="4">
        <n x="509"/>
        <n x="87"/>
        <n x="472"/>
      </t>
    </mdx>
    <mdx n="508" f="v">
      <t c="3" si="4">
        <n x="509"/>
        <n x="366"/>
        <n x="470"/>
      </t>
    </mdx>
    <mdx n="508" f="v">
      <t c="3" si="4">
        <n x="509"/>
        <n x="147"/>
        <n x="2"/>
      </t>
    </mdx>
    <mdx n="508" f="v">
      <t c="3" si="4">
        <n x="509"/>
        <n x="455"/>
        <n x="470"/>
      </t>
    </mdx>
    <mdx n="508" f="v">
      <t c="3" si="4">
        <n x="509"/>
        <n x="348"/>
        <n x="467"/>
      </t>
    </mdx>
    <mdx n="508" f="v">
      <t c="3" si="4">
        <n x="509"/>
        <n x="417"/>
        <n x="470"/>
      </t>
    </mdx>
    <mdx n="508" f="v">
      <t c="3" si="475">
        <n x="509"/>
        <n x="390"/>
        <n x="474"/>
      </t>
    </mdx>
    <mdx n="508" f="v">
      <t c="3" si="4">
        <n x="509"/>
        <n x="382"/>
        <n x="5"/>
      </t>
    </mdx>
    <mdx n="508" f="v">
      <t c="3" si="4">
        <n x="509"/>
        <n x="177"/>
        <n x="1"/>
      </t>
    </mdx>
    <mdx n="508" f="v">
      <t c="3" si="4">
        <n x="509"/>
        <n x="223"/>
        <n x="472"/>
      </t>
    </mdx>
    <mdx n="508" f="v">
      <t c="3" si="4">
        <n x="509"/>
        <n x="77"/>
        <n x="5"/>
      </t>
    </mdx>
    <mdx n="508" f="v">
      <t c="3" si="4">
        <n x="509"/>
        <n x="458"/>
        <n x="470"/>
      </t>
    </mdx>
    <mdx n="508" f="v">
      <t c="3" si="4">
        <n x="509"/>
        <n x="56"/>
        <n x="467"/>
      </t>
    </mdx>
    <mdx n="508" f="v">
      <t c="3" si="4">
        <n x="509"/>
        <n x="211"/>
        <n x="2"/>
      </t>
    </mdx>
    <mdx n="508" f="v">
      <t c="3" si="4">
        <n x="509"/>
        <n x="444"/>
        <n x="470"/>
      </t>
    </mdx>
    <mdx n="508" f="v">
      <t c="3" si="4">
        <n x="509"/>
        <n x="34"/>
        <n x="5"/>
      </t>
    </mdx>
    <mdx n="508" f="v">
      <t c="3" si="4">
        <n x="509"/>
        <n x="329"/>
        <n x="2"/>
      </t>
    </mdx>
    <mdx n="508" f="v">
      <t c="3" si="475">
        <n x="509"/>
        <n x="100"/>
        <n x="474"/>
      </t>
    </mdx>
    <mdx n="508" f="v">
      <t c="3" si="4">
        <n x="509"/>
        <n x="395"/>
        <n x="2"/>
      </t>
    </mdx>
    <mdx n="508" f="v">
      <t c="3" si="4">
        <n x="509"/>
        <n x="283"/>
        <n x="467"/>
      </t>
    </mdx>
    <mdx n="508" f="v">
      <t c="3" si="4">
        <n x="509"/>
        <n x="7"/>
        <n x="470"/>
      </t>
    </mdx>
    <mdx n="508" f="v">
      <t c="3" si="4">
        <n x="509"/>
        <n x="427"/>
        <n x="2"/>
      </t>
    </mdx>
    <mdx n="508" f="v">
      <t c="3" si="4">
        <n x="509"/>
        <n x="102"/>
        <n x="470"/>
      </t>
    </mdx>
    <mdx n="508" f="v">
      <t c="3" si="4">
        <n x="509"/>
        <n x="147"/>
        <n x="469"/>
      </t>
    </mdx>
    <mdx n="508" f="v">
      <t c="3" si="4">
        <n x="509"/>
        <n x="221"/>
        <n x="467"/>
      </t>
    </mdx>
    <mdx n="508" f="v">
      <t c="3" si="4">
        <n x="509"/>
        <n x="267"/>
        <n x="473"/>
      </t>
    </mdx>
    <mdx n="508" f="v">
      <t c="3" si="4">
        <n x="509"/>
        <n x="41"/>
        <n x="5"/>
      </t>
    </mdx>
    <mdx n="508" f="v">
      <t c="3" si="4">
        <n x="509"/>
        <n x="321"/>
        <n x="469"/>
      </t>
    </mdx>
    <mdx n="508" f="v">
      <t c="3" si="4">
        <n x="509"/>
        <n x="199"/>
        <n x="472"/>
      </t>
    </mdx>
    <mdx n="508" f="v">
      <t c="3" si="4">
        <n x="509"/>
        <n x="382"/>
        <n x="470"/>
      </t>
    </mdx>
    <mdx n="508" f="v">
      <t c="3" si="4">
        <n x="509"/>
        <n x="358"/>
        <n x="473"/>
      </t>
    </mdx>
    <mdx n="508" f="v">
      <t c="3" si="4">
        <n x="509"/>
        <n x="221"/>
        <n x="470"/>
      </t>
    </mdx>
    <mdx n="508" f="v">
      <t c="3" si="4">
        <n x="509"/>
        <n x="322"/>
        <n x="2"/>
      </t>
    </mdx>
    <mdx n="508" f="v">
      <t c="3" si="4">
        <n x="509"/>
        <n x="69"/>
        <n x="5"/>
      </t>
    </mdx>
    <mdx n="508" f="v">
      <t c="3" si="4">
        <n x="509"/>
        <n x="402"/>
        <n x="467"/>
      </t>
    </mdx>
    <mdx n="508" f="v">
      <t c="3" si="475">
        <n x="509"/>
        <n x="95"/>
        <n x="474"/>
      </t>
    </mdx>
    <mdx n="508" f="v">
      <t c="3" si="4">
        <n x="509"/>
        <n x="210"/>
        <n x="467"/>
      </t>
    </mdx>
    <mdx n="508" f="v">
      <t c="3" si="4">
        <n x="509"/>
        <n x="90"/>
        <n x="470"/>
      </t>
    </mdx>
    <mdx n="508" f="v">
      <t c="3" si="4">
        <n x="509"/>
        <n x="219"/>
        <n x="469"/>
      </t>
    </mdx>
    <mdx n="508" f="v">
      <t c="3" si="4">
        <n x="509"/>
        <n x="441"/>
        <n x="473"/>
      </t>
    </mdx>
    <mdx n="508" f="v">
      <t c="3" si="4">
        <n x="509"/>
        <n x="198"/>
        <n x="467"/>
      </t>
    </mdx>
    <mdx n="508" f="v">
      <t c="3" si="4">
        <n x="509"/>
        <n x="12"/>
        <n x="5"/>
      </t>
    </mdx>
    <mdx n="508" f="v">
      <t c="3" si="475">
        <n x="509"/>
        <n x="163"/>
        <n x="474"/>
      </t>
    </mdx>
    <mdx n="508" f="v">
      <t c="3" si="4">
        <n x="509"/>
        <n x="264"/>
        <n x="467"/>
      </t>
    </mdx>
    <mdx n="508" f="v">
      <t c="3" si="4">
        <n x="509"/>
        <n x="57"/>
        <n x="467"/>
      </t>
    </mdx>
    <mdx n="508" f="v">
      <t c="3" si="4">
        <n x="509"/>
        <n x="415"/>
        <n x="467"/>
      </t>
    </mdx>
    <mdx n="508" f="v">
      <t c="3" si="475">
        <n x="509"/>
        <n x="313"/>
        <n x="474"/>
      </t>
    </mdx>
    <mdx n="508" f="v">
      <t c="3" si="4">
        <n x="509"/>
        <n x="349"/>
        <n x="5"/>
      </t>
    </mdx>
    <mdx n="508" f="v">
      <t c="3" si="4">
        <n x="509"/>
        <n x="76"/>
        <n x="473"/>
      </t>
    </mdx>
    <mdx n="508" f="v">
      <t c="3" si="4">
        <n x="509"/>
        <n x="387"/>
        <n x="470"/>
      </t>
    </mdx>
    <mdx n="508" f="v">
      <t c="3" si="4">
        <n x="509"/>
        <n x="311"/>
        <n x="472"/>
      </t>
    </mdx>
    <mdx n="508" f="v">
      <t c="3" si="475">
        <n x="509"/>
        <n x="26"/>
        <n x="474"/>
      </t>
    </mdx>
    <mdx n="508" f="v">
      <t c="3" si="4">
        <n x="509"/>
        <n x="367"/>
        <n x="473"/>
      </t>
    </mdx>
    <mdx n="508" f="v">
      <t c="3" si="4">
        <n x="509"/>
        <n x="165"/>
        <n x="472"/>
      </t>
    </mdx>
    <mdx n="508" f="v">
      <t c="3" si="475">
        <n x="509"/>
        <n x="120"/>
        <n x="474"/>
      </t>
    </mdx>
    <mdx n="508" f="v">
      <t c="3" si="4">
        <n x="509"/>
        <n x="455"/>
        <n x="469"/>
      </t>
    </mdx>
    <mdx n="508" f="v">
      <t c="3" si="475">
        <n x="509"/>
        <n x="439"/>
        <n x="474"/>
      </t>
    </mdx>
    <mdx n="508" f="v">
      <t c="3" si="4">
        <n x="509"/>
        <n x="105"/>
        <n x="467"/>
      </t>
    </mdx>
    <mdx n="508" f="v">
      <t c="3" si="4">
        <n x="509"/>
        <n x="337"/>
        <n x="470"/>
      </t>
    </mdx>
    <mdx n="508" f="v">
      <t c="3" si="475">
        <n x="509"/>
        <n x="325"/>
        <n x="474"/>
      </t>
    </mdx>
    <mdx n="508" f="v">
      <t c="3" si="4">
        <n x="509"/>
        <n x="303"/>
        <n x="473"/>
      </t>
    </mdx>
    <mdx n="508" f="v">
      <t c="3" si="4">
        <n x="509"/>
        <n x="302"/>
        <n x="472"/>
      </t>
    </mdx>
    <mdx n="508" f="v">
      <t c="3" si="4">
        <n x="509"/>
        <n x="81"/>
        <n x="473"/>
      </t>
    </mdx>
    <mdx n="508" f="v">
      <t c="3" si="4">
        <n x="509"/>
        <n x="370"/>
        <n x="473"/>
      </t>
    </mdx>
    <mdx n="508" f="v">
      <t c="3" si="4">
        <n x="509"/>
        <n x="454"/>
        <n x="5"/>
      </t>
    </mdx>
    <mdx n="508" f="v">
      <t c="3" si="4">
        <n x="509"/>
        <n x="398"/>
        <n x="472"/>
      </t>
    </mdx>
    <mdx n="508" f="v">
      <t c="3" si="4">
        <n x="509"/>
        <n x="217"/>
        <n x="469"/>
      </t>
    </mdx>
    <mdx n="508" f="v">
      <t c="3" si="4">
        <n x="509"/>
        <n x="451"/>
        <n x="2"/>
      </t>
    </mdx>
    <mdx n="508" f="v">
      <t c="3" si="4">
        <n x="509"/>
        <n x="11"/>
        <n x="2"/>
      </t>
    </mdx>
    <mdx n="508" f="v">
      <t c="3" si="4">
        <n x="509"/>
        <n x="148"/>
        <n x="473"/>
      </t>
    </mdx>
    <mdx n="508" f="v">
      <t c="3" si="4">
        <n x="509"/>
        <n x="124"/>
        <n x="472"/>
      </t>
    </mdx>
    <mdx n="508" f="v">
      <t c="3" si="4">
        <n x="509"/>
        <n x="381"/>
        <n x="467"/>
      </t>
    </mdx>
    <mdx n="508" f="v">
      <t c="3" si="4">
        <n x="509"/>
        <n x="104"/>
        <n x="470"/>
      </t>
    </mdx>
    <mdx n="508" f="v">
      <t c="3" si="4">
        <n x="509"/>
        <n x="245"/>
        <n x="1"/>
      </t>
    </mdx>
    <mdx n="508" f="v">
      <t c="3" si="4">
        <n x="509"/>
        <n x="24"/>
        <n x="473"/>
      </t>
    </mdx>
    <mdx n="508" f="v">
      <t c="3" si="4">
        <n x="509"/>
        <n x="377"/>
        <n x="2"/>
      </t>
    </mdx>
    <mdx n="508" f="v">
      <t c="3" si="4">
        <n x="509"/>
        <n x="153"/>
        <n x="1"/>
      </t>
    </mdx>
    <mdx n="508" f="v">
      <t c="3" si="4">
        <n x="509"/>
        <n x="225"/>
        <n x="469"/>
      </t>
    </mdx>
    <mdx n="508" f="v">
      <t c="3" si="4">
        <n x="509"/>
        <n x="407"/>
        <n x="1"/>
      </t>
    </mdx>
    <mdx n="508" f="v">
      <t c="3" si="4">
        <n x="509"/>
        <n x="372"/>
        <n x="473"/>
      </t>
    </mdx>
    <mdx n="508" f="v">
      <t c="3" si="4">
        <n x="509"/>
        <n x="158"/>
        <n x="2"/>
      </t>
    </mdx>
    <mdx n="508" f="v">
      <t c="3" si="4">
        <n x="509"/>
        <n x="121"/>
        <n x="469"/>
      </t>
    </mdx>
    <mdx n="508" f="v">
      <t c="3" si="4">
        <n x="509"/>
        <n x="417"/>
        <n x="472"/>
      </t>
    </mdx>
    <mdx n="508" f="v">
      <t c="3" si="4">
        <n x="509"/>
        <n x="96"/>
        <n x="5"/>
      </t>
    </mdx>
    <mdx n="508" f="v">
      <t c="3" si="4">
        <n x="509"/>
        <n x="204"/>
        <n x="467"/>
      </t>
    </mdx>
    <mdx n="508" f="v">
      <t c="3" si="4">
        <n x="509"/>
        <n x="315"/>
        <n x="470"/>
      </t>
    </mdx>
    <mdx n="508" f="v">
      <t c="3" si="4">
        <n x="509"/>
        <n x="91"/>
        <n x="470"/>
      </t>
    </mdx>
    <mdx n="508" f="v">
      <t c="3" si="4">
        <n x="509"/>
        <n x="424"/>
        <n x="469"/>
      </t>
    </mdx>
    <mdx n="508" f="v">
      <t c="3" si="475">
        <n x="509"/>
        <n x="229"/>
        <n x="474"/>
      </t>
    </mdx>
    <mdx n="508" f="v">
      <t c="3" si="4">
        <n x="509"/>
        <n x="100"/>
        <n x="472"/>
      </t>
    </mdx>
    <mdx n="508" f="v">
      <t c="3" si="4">
        <n x="509"/>
        <n x="63"/>
        <n x="470"/>
      </t>
    </mdx>
    <mdx n="508" f="v">
      <t c="3" si="4">
        <n x="509"/>
        <n x="299"/>
        <n x="470"/>
      </t>
    </mdx>
    <mdx n="508" f="v">
      <t c="3" si="4">
        <n x="509"/>
        <n x="308"/>
        <n x="5"/>
      </t>
    </mdx>
    <mdx n="508" f="v">
      <t c="3" si="4">
        <n x="509"/>
        <n x="409"/>
        <n x="467"/>
      </t>
    </mdx>
    <mdx n="508" f="v">
      <t c="3" si="4">
        <n x="509"/>
        <n x="459"/>
        <n x="467"/>
      </t>
    </mdx>
    <mdx n="508" f="v">
      <t c="3" si="4">
        <n x="509"/>
        <n x="71"/>
        <n x="2"/>
      </t>
    </mdx>
    <mdx n="508" f="v">
      <t c="3" si="4">
        <n x="509"/>
        <n x="156"/>
        <n x="469"/>
      </t>
    </mdx>
    <mdx n="508" f="v">
      <t c="3" si="4">
        <n x="509"/>
        <n x="67"/>
        <n x="470"/>
      </t>
    </mdx>
    <mdx n="508" f="v">
      <t c="3" si="4">
        <n x="509"/>
        <n x="393"/>
        <n x="469"/>
      </t>
    </mdx>
    <mdx n="508" f="v">
      <t c="3" si="4">
        <n x="509"/>
        <n x="3"/>
        <n x="467"/>
      </t>
    </mdx>
    <mdx n="508" f="v">
      <t c="3" si="4">
        <n x="509"/>
        <n x="399"/>
        <n x="469"/>
      </t>
    </mdx>
    <mdx n="508" f="v">
      <t c="3" si="4">
        <n x="509"/>
        <n x="319"/>
        <n x="473"/>
      </t>
    </mdx>
    <mdx n="508" f="v">
      <t c="3" si="4">
        <n x="509"/>
        <n x="355"/>
        <n x="5"/>
      </t>
    </mdx>
    <mdx n="508" f="v">
      <t c="3" si="475">
        <n x="509"/>
        <n x="45"/>
        <n x="474"/>
      </t>
    </mdx>
    <mdx n="508" f="v">
      <t c="3" si="4">
        <n x="509"/>
        <n x="424"/>
        <n x="2"/>
      </t>
    </mdx>
    <mdx n="508" f="v">
      <t c="3" si="4">
        <n x="509"/>
        <n x="64"/>
        <n x="467"/>
      </t>
    </mdx>
    <mdx n="508" f="v">
      <t c="3" si="4">
        <n x="509"/>
        <n x="29"/>
        <n x="470"/>
      </t>
    </mdx>
    <mdx n="508" f="v">
      <t c="3" si="4">
        <n x="509"/>
        <n x="258"/>
        <n x="469"/>
      </t>
    </mdx>
    <mdx n="508" f="v">
      <t c="3" si="4">
        <n x="509"/>
        <n x="463"/>
        <n x="473"/>
      </t>
    </mdx>
    <mdx n="508" f="v">
      <t c="3" si="4">
        <n x="509"/>
        <n x="359"/>
        <n x="2"/>
      </t>
    </mdx>
    <mdx n="508" f="v">
      <t c="3" si="4">
        <n x="509"/>
        <n x="371"/>
        <n x="2"/>
      </t>
    </mdx>
    <mdx n="508" f="v">
      <t c="3" si="4">
        <n x="509"/>
        <n x="269"/>
        <n x="467"/>
      </t>
    </mdx>
    <mdx n="508" f="v">
      <t c="3" si="4">
        <n x="509"/>
        <n x="93"/>
        <n x="470"/>
      </t>
    </mdx>
    <mdx n="508" f="v">
      <t c="3" si="4">
        <n x="509"/>
        <n x="457"/>
        <n x="473"/>
      </t>
    </mdx>
    <mdx n="508" f="v">
      <t c="3" si="475">
        <n x="509"/>
        <n x="386"/>
        <n x="474"/>
      </t>
    </mdx>
    <mdx n="508" f="v">
      <t c="3" si="4">
        <n x="509"/>
        <n x="203"/>
        <n x="467"/>
      </t>
    </mdx>
    <mdx n="508" f="v">
      <t c="3" si="4">
        <n x="509"/>
        <n x="394"/>
        <n x="470"/>
      </t>
    </mdx>
    <mdx n="508" f="v">
      <t c="3" si="4">
        <n x="509"/>
        <n x="255"/>
        <n x="473"/>
      </t>
    </mdx>
    <mdx n="508" f="v">
      <t c="3" si="4">
        <n x="509"/>
        <n x="237"/>
        <n x="5"/>
      </t>
    </mdx>
    <mdx n="508" f="v">
      <t c="3" si="4">
        <n x="509"/>
        <n x="38"/>
        <n x="2"/>
      </t>
    </mdx>
    <mdx n="508" f="v">
      <t c="3" si="4">
        <n x="509"/>
        <n x="184"/>
        <n x="472"/>
      </t>
    </mdx>
    <mdx n="508" f="v">
      <t c="3" si="4">
        <n x="509"/>
        <n x="136"/>
        <n x="473"/>
      </t>
    </mdx>
    <mdx n="508" f="v">
      <t c="3" si="4">
        <n x="509"/>
        <n x="182"/>
        <n x="1"/>
      </t>
    </mdx>
    <mdx n="508" f="v">
      <t c="3" si="4">
        <n x="509"/>
        <n x="299"/>
        <n x="472"/>
      </t>
    </mdx>
    <mdx n="508" f="v">
      <t c="3" si="4">
        <n x="509"/>
        <n x="229"/>
        <n x="2"/>
      </t>
    </mdx>
    <mdx n="508" f="v">
      <t c="3" si="4">
        <n x="509"/>
        <n x="339"/>
        <n x="473"/>
      </t>
    </mdx>
    <mdx n="508" f="v">
      <t c="3" si="4">
        <n x="509"/>
        <n x="414"/>
        <n x="467"/>
      </t>
    </mdx>
    <mdx n="508" f="v">
      <t c="3" si="4">
        <n x="509"/>
        <n x="449"/>
        <n x="469"/>
      </t>
    </mdx>
    <mdx n="508" f="v">
      <t c="3" si="4">
        <n x="509"/>
        <n x="93"/>
        <n x="5"/>
      </t>
    </mdx>
    <mdx n="508" f="v">
      <t c="3" si="4">
        <n x="509"/>
        <n x="452"/>
        <n x="472"/>
      </t>
    </mdx>
    <mdx n="508" f="v">
      <t c="3" si="4">
        <n x="509"/>
        <n x="74"/>
        <n x="473"/>
      </t>
    </mdx>
    <mdx n="508" f="v">
      <t c="3" si="4">
        <n x="509"/>
        <n x="374"/>
        <n x="2"/>
      </t>
    </mdx>
    <mdx n="508" f="v">
      <t c="3" si="4">
        <n x="509"/>
        <n x="25"/>
        <n x="469"/>
      </t>
    </mdx>
    <mdx n="508" f="v">
      <t c="3" si="4">
        <n x="509"/>
        <n x="305"/>
        <n x="2"/>
      </t>
    </mdx>
    <mdx n="508" f="v">
      <t c="3" si="475">
        <n x="509"/>
        <n x="43"/>
        <n x="474"/>
      </t>
    </mdx>
    <mdx n="508" f="v">
      <t c="3" si="4">
        <n x="509"/>
        <n x="456"/>
        <n x="5"/>
      </t>
    </mdx>
    <mdx n="508" f="v">
      <t c="3" si="4">
        <n x="509"/>
        <n x="104"/>
        <n x="467"/>
      </t>
    </mdx>
    <mdx n="508" f="v">
      <t c="3" si="475">
        <n x="509"/>
        <n x="114"/>
        <n x="474"/>
      </t>
    </mdx>
    <mdx n="508" f="v">
      <t c="3" si="4">
        <n x="509"/>
        <n x="147"/>
        <n x="472"/>
      </t>
    </mdx>
    <mdx n="508" f="v">
      <t c="3" si="4">
        <n x="509"/>
        <n x="342"/>
        <n x="469"/>
      </t>
    </mdx>
    <mdx n="508" f="v">
      <t c="3" si="4">
        <n x="509"/>
        <n x="224"/>
        <n x="467"/>
      </t>
    </mdx>
    <mdx n="508" f="v">
      <t c="3" si="4">
        <n x="509"/>
        <n x="142"/>
        <n x="467"/>
      </t>
    </mdx>
    <mdx n="508" f="v">
      <t c="3" si="4">
        <n x="509"/>
        <n x="333"/>
        <n x="469"/>
      </t>
    </mdx>
    <mdx n="508" f="v">
      <t c="3" si="4">
        <n x="509"/>
        <n x="115"/>
        <n x="473"/>
      </t>
    </mdx>
    <mdx n="508" f="v">
      <t c="3" si="4">
        <n x="509"/>
        <n x="104"/>
        <n x="5"/>
      </t>
    </mdx>
    <mdx n="508" f="v">
      <t c="3" si="4">
        <n x="509"/>
        <n x="418"/>
        <n x="2"/>
      </t>
    </mdx>
    <mdx n="508" f="v">
      <t c="3" si="4">
        <n x="509"/>
        <n x="436"/>
        <n x="467"/>
      </t>
    </mdx>
    <mdx n="508" f="v">
      <t c="3" si="4">
        <n x="509"/>
        <n x="88"/>
        <n x="1"/>
      </t>
    </mdx>
    <mdx n="508" f="v">
      <t c="3" si="4">
        <n x="509"/>
        <n x="377"/>
        <n x="469"/>
      </t>
    </mdx>
    <mdx n="508" f="v">
      <t c="3" si="475">
        <n x="509"/>
        <n x="353"/>
        <n x="474"/>
      </t>
    </mdx>
    <mdx n="508" f="v">
      <t c="3" si="4">
        <n x="509"/>
        <n x="398"/>
        <n x="473"/>
      </t>
    </mdx>
    <mdx n="508" f="v">
      <t c="3" si="4">
        <n x="509"/>
        <n x="392"/>
        <n x="467"/>
      </t>
    </mdx>
    <mdx n="508" f="v">
      <t c="3" si="4">
        <n x="509"/>
        <n x="222"/>
        <n x="2"/>
      </t>
    </mdx>
    <mdx n="508" f="v">
      <t c="3" si="4">
        <n x="509"/>
        <n x="100"/>
        <n x="473"/>
      </t>
    </mdx>
    <mdx n="508" f="v">
      <t c="3" si="475">
        <n x="509"/>
        <n x="172"/>
        <n x="474"/>
      </t>
    </mdx>
    <mdx n="508" f="v">
      <t c="3" si="475">
        <n x="509"/>
        <n x="158"/>
        <n x="474"/>
      </t>
    </mdx>
    <mdx n="508" f="v">
      <t c="3" si="4">
        <n x="509"/>
        <n x="231"/>
        <n x="470"/>
      </t>
    </mdx>
    <mdx n="508" f="v">
      <t c="3" si="4">
        <n x="509"/>
        <n x="10"/>
        <n x="469"/>
      </t>
    </mdx>
    <mdx n="508" f="v">
      <t c="3" si="4">
        <n x="509"/>
        <n x="376"/>
        <n x="469"/>
      </t>
    </mdx>
    <mdx n="508" f="v">
      <t c="3" si="4">
        <n x="509"/>
        <n x="39"/>
        <n x="5"/>
      </t>
    </mdx>
    <mdx n="508" f="v">
      <t c="3" si="475">
        <n x="509"/>
        <n x="394"/>
        <n x="474"/>
      </t>
    </mdx>
    <mdx n="508" f="v">
      <t c="3" si="475">
        <n x="509"/>
        <n x="108"/>
        <n x="474"/>
      </t>
    </mdx>
    <mdx n="508" f="v">
      <t c="3" si="4">
        <n x="509"/>
        <n x="182"/>
        <n x="472"/>
      </t>
    </mdx>
    <mdx n="508" f="v">
      <t c="3" si="475">
        <n x="509"/>
        <n x="256"/>
        <n x="474"/>
      </t>
    </mdx>
    <mdx n="508" f="v">
      <t c="3" si="4">
        <n x="509"/>
        <n x="12"/>
        <n x="1"/>
      </t>
    </mdx>
    <mdx n="508" f="v">
      <t c="3" si="4">
        <n x="509"/>
        <n x="157"/>
        <n x="467"/>
      </t>
    </mdx>
    <mdx n="508" f="v">
      <t c="3" si="4">
        <n x="509"/>
        <n x="9"/>
        <n x="470"/>
      </t>
    </mdx>
    <mdx n="508" f="v">
      <t c="3" si="475">
        <n x="509"/>
        <n x="104"/>
        <n x="474"/>
      </t>
    </mdx>
    <mdx n="508" f="v">
      <t c="3" si="4">
        <n x="509"/>
        <n x="254"/>
        <n x="467"/>
      </t>
    </mdx>
    <mdx n="508" f="v">
      <t c="3" si="4">
        <n x="509"/>
        <n x="66"/>
        <n x="470"/>
      </t>
    </mdx>
    <mdx n="508" f="v">
      <t c="3" si="4">
        <n x="509"/>
        <n x="448"/>
        <n x="1"/>
      </t>
    </mdx>
    <mdx n="508" f="v">
      <t c="3" si="4">
        <n x="509"/>
        <n x="284"/>
        <n x="1"/>
      </t>
    </mdx>
    <mdx n="508" f="v">
      <t c="3" si="4">
        <n x="509"/>
        <n x="98"/>
        <n x="467"/>
      </t>
    </mdx>
    <mdx n="508" f="v">
      <t c="3" si="4">
        <n x="509"/>
        <n x="328"/>
        <n x="5"/>
      </t>
    </mdx>
    <mdx n="508" f="v">
      <t c="3" si="4">
        <n x="509"/>
        <n x="60"/>
        <n x="473"/>
      </t>
    </mdx>
    <mdx n="508" f="v">
      <t c="3" si="4">
        <n x="509"/>
        <n x="434"/>
        <n x="2"/>
      </t>
    </mdx>
    <mdx n="508" f="v">
      <t c="3" si="4">
        <n x="509"/>
        <n x="157"/>
        <n x="473"/>
      </t>
    </mdx>
    <mdx n="508" f="v">
      <t c="3" si="4">
        <n x="509"/>
        <n x="256"/>
        <n x="1"/>
      </t>
    </mdx>
    <mdx n="508" f="v">
      <t c="3" si="4">
        <n x="509"/>
        <n x="152"/>
        <n x="470"/>
      </t>
    </mdx>
    <mdx n="508" f="v">
      <t c="3" si="4">
        <n x="509"/>
        <n x="450"/>
        <n x="472"/>
      </t>
    </mdx>
    <mdx n="508" f="v">
      <t c="3" si="4">
        <n x="509"/>
        <n x="318"/>
        <n x="470"/>
      </t>
    </mdx>
    <mdx n="508" f="v">
      <t c="3" si="4">
        <n x="509"/>
        <n x="99"/>
        <n x="467"/>
      </t>
    </mdx>
    <mdx n="508" f="v">
      <t c="3" si="4">
        <n x="509"/>
        <n x="96"/>
        <n x="472"/>
      </t>
    </mdx>
    <mdx n="508" f="v">
      <t c="3" si="475">
        <n x="509"/>
        <n x="366"/>
        <n x="474"/>
      </t>
    </mdx>
    <mdx n="508" f="v">
      <t c="3" si="4">
        <n x="509"/>
        <n x="293"/>
        <n x="470"/>
      </t>
    </mdx>
    <mdx n="508" f="v">
      <t c="3" si="4">
        <n x="509"/>
        <n x="122"/>
        <n x="1"/>
      </t>
    </mdx>
    <mdx n="508" f="v">
      <t c="3" si="475">
        <n x="509"/>
        <n x="330"/>
        <n x="474"/>
      </t>
    </mdx>
    <mdx n="508" f="v">
      <t c="3" si="4">
        <n x="509"/>
        <n x="246"/>
        <n x="469"/>
      </t>
    </mdx>
    <mdx n="508" f="v">
      <t c="3" si="4">
        <n x="509"/>
        <n x="254"/>
        <n x="2"/>
      </t>
    </mdx>
    <mdx n="508" f="v">
      <t c="3" si="4">
        <n x="509"/>
        <n x="255"/>
        <n x="467"/>
      </t>
    </mdx>
    <mdx n="508" f="v">
      <t c="3" si="4">
        <n x="509"/>
        <n x="25"/>
        <n x="1"/>
      </t>
    </mdx>
    <mdx n="508" f="v">
      <t c="3" si="4">
        <n x="509"/>
        <n x="153"/>
        <n x="472"/>
      </t>
    </mdx>
    <mdx n="508" f="v">
      <t c="3" si="4">
        <n x="509"/>
        <n x="171"/>
        <n x="472"/>
      </t>
    </mdx>
    <mdx n="508" f="v">
      <t c="3" si="4">
        <n x="509"/>
        <n x="318"/>
        <n x="1"/>
      </t>
    </mdx>
    <mdx n="508" f="v">
      <t c="3" si="475">
        <n x="509"/>
        <n x="373"/>
        <n x="474"/>
      </t>
    </mdx>
    <mdx n="508" f="v">
      <t c="3" si="4">
        <n x="509"/>
        <n x="246"/>
        <n x="1"/>
      </t>
    </mdx>
    <mdx n="508" f="v">
      <t c="3" si="4">
        <n x="509"/>
        <n x="391"/>
        <n x="469"/>
      </t>
    </mdx>
    <mdx n="508" f="v">
      <t c="3" si="4">
        <n x="509"/>
        <n x="141"/>
        <n x="1"/>
      </t>
    </mdx>
    <mdx n="508" f="v">
      <t c="3" si="475">
        <n x="509"/>
        <n x="344"/>
        <n x="474"/>
      </t>
    </mdx>
    <mdx n="508" f="v">
      <t c="3" si="4">
        <n x="509"/>
        <n x="41"/>
        <n x="467"/>
      </t>
    </mdx>
    <mdx n="508" f="v">
      <t c="3" si="4">
        <n x="509"/>
        <n x="411"/>
        <n x="1"/>
      </t>
    </mdx>
    <mdx n="508" f="v">
      <t c="3" si="4">
        <n x="509"/>
        <n x="180"/>
        <n x="467"/>
      </t>
    </mdx>
    <mdx n="508" f="v">
      <t c="3" si="475">
        <n x="509"/>
        <n x="27"/>
        <n x="474"/>
      </t>
    </mdx>
    <mdx n="508" f="v">
      <t c="3" si="4">
        <n x="509"/>
        <n x="344"/>
        <n x="473"/>
      </t>
    </mdx>
    <mdx n="508" f="v">
      <t c="3" si="4">
        <n x="509"/>
        <n x="47"/>
        <n x="473"/>
      </t>
    </mdx>
    <mdx n="508" f="v">
      <t c="3" si="4">
        <n x="509"/>
        <n x="48"/>
        <n x="2"/>
      </t>
    </mdx>
    <mdx n="508" f="v">
      <t c="3" si="475">
        <n x="509"/>
        <n x="68"/>
        <n x="474"/>
      </t>
    </mdx>
    <mdx n="508" f="v">
      <t c="3" si="4">
        <n x="509"/>
        <n x="174"/>
        <n x="470"/>
      </t>
    </mdx>
    <mdx n="508" f="v">
      <t c="3" si="4">
        <n x="509"/>
        <n x="120"/>
        <n x="473"/>
      </t>
    </mdx>
    <mdx n="508" f="v">
      <t c="3" si="4">
        <n x="509"/>
        <n x="93"/>
        <n x="2"/>
      </t>
    </mdx>
    <mdx n="508" f="v">
      <t c="3" si="4">
        <n x="509"/>
        <n x="193"/>
        <n x="473"/>
      </t>
    </mdx>
    <mdx n="508" f="v">
      <t c="3" si="4">
        <n x="509"/>
        <n x="249"/>
        <n x="472"/>
      </t>
    </mdx>
    <mdx n="508" f="v">
      <t c="3" si="4">
        <n x="509"/>
        <n x="78"/>
        <n x="2"/>
      </t>
    </mdx>
    <mdx n="508" f="v">
      <t c="3" si="4">
        <n x="509"/>
        <n x="317"/>
        <n x="467"/>
      </t>
    </mdx>
    <mdx n="508" f="v">
      <t c="3" si="4">
        <n x="509"/>
        <n x="399"/>
        <n x="470"/>
      </t>
    </mdx>
    <mdx n="508" f="v">
      <t c="3" si="475">
        <n x="509"/>
        <n x="66"/>
        <n x="474"/>
      </t>
    </mdx>
    <mdx n="508" f="v">
      <t c="3" si="4">
        <n x="509"/>
        <n x="307"/>
        <n x="472"/>
      </t>
    </mdx>
    <mdx n="508" f="v">
      <t c="3" si="4">
        <n x="509"/>
        <n x="341"/>
        <n x="467"/>
      </t>
    </mdx>
    <mdx n="508" f="v">
      <t c="3" si="4">
        <n x="509"/>
        <n x="275"/>
        <n x="473"/>
      </t>
    </mdx>
    <mdx n="508" f="v">
      <t c="3" si="4">
        <n x="509"/>
        <n x="46"/>
        <n x="467"/>
      </t>
    </mdx>
    <mdx n="508" f="v">
      <t c="3" si="4">
        <n x="509"/>
        <n x="336"/>
        <n x="473"/>
      </t>
    </mdx>
    <mdx n="508" f="v">
      <t c="3" si="4">
        <n x="509"/>
        <n x="132"/>
        <n x="470"/>
      </t>
    </mdx>
    <mdx n="508" f="v">
      <t c="3" si="4">
        <n x="509"/>
        <n x="433"/>
        <n x="470"/>
      </t>
    </mdx>
    <mdx n="508" f="v">
      <t c="3" si="4">
        <n x="509"/>
        <n x="194"/>
        <n x="2"/>
      </t>
    </mdx>
    <mdx n="508" f="v">
      <t c="3" si="4">
        <n x="509"/>
        <n x="297"/>
        <n x="473"/>
      </t>
    </mdx>
    <mdx n="508" f="v">
      <t c="3" si="4">
        <n x="509"/>
        <n x="213"/>
        <n x="5"/>
      </t>
    </mdx>
    <mdx n="508" f="v">
      <t c="3" si="475">
        <n x="509"/>
        <n x="11"/>
        <n x="474"/>
      </t>
    </mdx>
    <mdx n="508" f="v">
      <t c="3" si="475">
        <n x="509"/>
        <n x="188"/>
        <n x="474"/>
      </t>
    </mdx>
    <mdx n="508" f="v">
      <t c="3" si="4">
        <n x="509"/>
        <n x="235"/>
        <n x="5"/>
      </t>
    </mdx>
    <mdx n="508" f="v">
      <t c="3" si="4">
        <n x="509"/>
        <n x="191"/>
        <n x="470"/>
      </t>
    </mdx>
    <mdx n="508" f="v">
      <t c="3" si="4">
        <n x="509"/>
        <n x="347"/>
        <n x="2"/>
      </t>
    </mdx>
    <mdx n="508" f="v">
      <t c="3" si="4">
        <n x="509"/>
        <n x="390"/>
        <n x="469"/>
      </t>
    </mdx>
    <mdx n="508" f="v">
      <t c="3" si="4">
        <n x="509"/>
        <n x="464"/>
        <n x="469"/>
      </t>
    </mdx>
    <mdx n="508" f="v">
      <t c="3" si="4">
        <n x="509"/>
        <n x="304"/>
        <n x="467"/>
      </t>
    </mdx>
    <mdx n="508" f="v">
      <t c="3" si="4">
        <n x="509"/>
        <n x="162"/>
        <n x="467"/>
      </t>
    </mdx>
    <mdx n="508" f="v">
      <t c="3" si="4">
        <n x="509"/>
        <n x="413"/>
        <n x="470"/>
      </t>
    </mdx>
    <mdx n="508" f="v">
      <t c="3" si="4">
        <n x="509"/>
        <n x="456"/>
        <n x="469"/>
      </t>
    </mdx>
    <mdx n="508" f="v">
      <t c="3" si="4">
        <n x="509"/>
        <n x="308"/>
        <n x="467"/>
      </t>
    </mdx>
    <mdx n="508" f="v">
      <t c="3" si="4">
        <n x="509"/>
        <n x="22"/>
        <n x="467"/>
      </t>
    </mdx>
    <mdx n="508" f="v">
      <t c="3" si="4">
        <n x="509"/>
        <n x="165"/>
        <n x="469"/>
      </t>
    </mdx>
    <mdx n="508" f="v">
      <t c="3" si="4">
        <n x="509"/>
        <n x="51"/>
        <n x="472"/>
      </t>
    </mdx>
    <mdx n="508" f="v">
      <t c="3" si="4">
        <n x="509"/>
        <n x="159"/>
        <n x="470"/>
      </t>
    </mdx>
    <mdx n="508" f="v">
      <t c="3" si="4">
        <n x="509"/>
        <n x="171"/>
        <n x="5"/>
      </t>
    </mdx>
    <mdx n="508" f="v">
      <t c="3" si="4">
        <n x="509"/>
        <n x="279"/>
        <n x="470"/>
      </t>
    </mdx>
    <mdx n="508" f="v">
      <t c="3" si="4">
        <n x="509"/>
        <n x="380"/>
        <n x="469"/>
      </t>
    </mdx>
    <mdx n="508" f="v">
      <t c="3" si="4">
        <n x="509"/>
        <n x="163"/>
        <n x="472"/>
      </t>
    </mdx>
    <mdx n="508" f="v">
      <t c="3" si="475">
        <n x="509"/>
        <n x="314"/>
        <n x="474"/>
      </t>
    </mdx>
    <mdx n="508" f="v">
      <t c="3" si="475">
        <n x="509"/>
        <n x="260"/>
        <n x="474"/>
      </t>
    </mdx>
    <mdx n="508" f="v">
      <t c="3" si="4">
        <n x="509"/>
        <n x="160"/>
        <n x="5"/>
      </t>
    </mdx>
    <mdx n="508" f="v">
      <t c="3" si="4">
        <n x="509"/>
        <n x="459"/>
        <n x="2"/>
      </t>
    </mdx>
    <mdx n="508" f="v">
      <t c="3" si="4">
        <n x="509"/>
        <n x="429"/>
        <n x="5"/>
      </t>
    </mdx>
    <mdx n="508" f="v">
      <t c="3" si="4">
        <n x="509"/>
        <n x="18"/>
        <n x="473"/>
      </t>
    </mdx>
    <mdx n="508" f="v">
      <t c="3" si="4">
        <n x="509"/>
        <n x="257"/>
        <n x="1"/>
      </t>
    </mdx>
    <mdx n="508" f="v">
      <t c="3" si="4">
        <n x="509"/>
        <n x="128"/>
        <n x="473"/>
      </t>
    </mdx>
    <mdx n="508" f="v">
      <t c="3" si="475">
        <n x="509"/>
        <n x="350"/>
        <n x="474"/>
      </t>
    </mdx>
    <mdx n="508" f="v">
      <t c="3" si="4">
        <n x="509"/>
        <n x="77"/>
        <n x="467"/>
      </t>
    </mdx>
    <mdx n="508" f="v">
      <t c="3" si="4">
        <n x="509"/>
        <n x="248"/>
        <n x="469"/>
      </t>
    </mdx>
    <mdx n="508" f="v">
      <t c="3" si="475">
        <n x="509"/>
        <n x="9"/>
        <n x="474"/>
      </t>
    </mdx>
    <mdx n="508" f="v">
      <t c="3" si="4">
        <n x="509"/>
        <n x="266"/>
        <n x="2"/>
      </t>
    </mdx>
    <mdx n="508" f="v">
      <t c="3" si="4">
        <n x="509"/>
        <n x="367"/>
        <n x="2"/>
      </t>
    </mdx>
    <mdx n="508" f="v">
      <t c="3" si="4">
        <n x="509"/>
        <n x="344"/>
        <n x="467"/>
      </t>
    </mdx>
    <mdx n="508" f="v">
      <t c="3" si="475">
        <n x="509"/>
        <n x="393"/>
        <n x="474"/>
      </t>
    </mdx>
    <mdx n="508" f="v">
      <t c="3" si="4">
        <n x="509"/>
        <n x="285"/>
        <n x="472"/>
      </t>
    </mdx>
    <mdx n="508" f="v">
      <t c="3" si="4">
        <n x="509"/>
        <n x="235"/>
        <n x="469"/>
      </t>
    </mdx>
    <mdx n="508" f="v">
      <t c="3" si="4">
        <n x="509"/>
        <n x="103"/>
        <n x="470"/>
      </t>
    </mdx>
    <mdx n="508" f="v">
      <t c="3" si="4">
        <n x="509"/>
        <n x="407"/>
        <n x="473"/>
      </t>
    </mdx>
    <mdx n="508" f="v">
      <t c="3" si="4">
        <n x="509"/>
        <n x="309"/>
        <n x="5"/>
      </t>
    </mdx>
    <mdx n="508" f="v">
      <t c="3" si="4">
        <n x="509"/>
        <n x="105"/>
        <n x="1"/>
      </t>
    </mdx>
    <mdx n="508" f="v">
      <t c="3" si="4">
        <n x="509"/>
        <n x="352"/>
        <n x="467"/>
      </t>
    </mdx>
    <mdx n="508" f="v">
      <t c="3" si="4">
        <n x="509"/>
        <n x="30"/>
        <n x="473"/>
      </t>
    </mdx>
    <mdx n="508" f="v">
      <t c="3" si="4">
        <n x="509"/>
        <n x="446"/>
        <n x="2"/>
      </t>
    </mdx>
    <mdx n="508" f="v">
      <t c="3" si="4">
        <n x="509"/>
        <n x="215"/>
        <n x="469"/>
      </t>
    </mdx>
    <mdx n="508" f="v">
      <t c="3" si="4">
        <n x="509"/>
        <n x="412"/>
        <n x="2"/>
      </t>
    </mdx>
    <mdx n="508" f="v">
      <t c="3" si="4">
        <n x="509"/>
        <n x="112"/>
        <n x="2"/>
      </t>
    </mdx>
    <mdx n="508" f="v">
      <t c="3" si="4">
        <n x="509"/>
        <n x="190"/>
        <n x="467"/>
      </t>
    </mdx>
    <mdx n="508" f="v">
      <t c="3" si="475">
        <n x="509"/>
        <n x="213"/>
        <n x="474"/>
      </t>
    </mdx>
    <mdx n="508" f="v">
      <t c="3" si="4">
        <n x="509"/>
        <n x="129"/>
        <n x="467"/>
      </t>
    </mdx>
    <mdx n="508" f="v">
      <t c="3" si="4">
        <n x="509"/>
        <n x="160"/>
        <n x="469"/>
      </t>
    </mdx>
    <mdx n="508" f="v">
      <t c="3" si="4">
        <n x="509"/>
        <n x="455"/>
        <n x="467"/>
      </t>
    </mdx>
    <mdx n="508" f="v">
      <t c="3" si="475">
        <n x="509"/>
        <n x="90"/>
        <n x="474"/>
      </t>
    </mdx>
    <mdx n="508" f="v">
      <t c="3" si="4">
        <n x="509"/>
        <n x="182"/>
        <n x="470"/>
      </t>
    </mdx>
    <mdx n="508" f="v">
      <t c="3" si="4">
        <n x="509"/>
        <n x="232"/>
        <n x="470"/>
      </t>
    </mdx>
    <mdx n="508" f="v">
      <t c="3" si="475">
        <n x="509"/>
        <n x="459"/>
        <n x="474"/>
      </t>
    </mdx>
    <mdx n="508" f="v">
      <t c="3" si="475">
        <n x="509"/>
        <n x="306"/>
        <n x="474"/>
      </t>
    </mdx>
    <mdx n="508" f="v">
      <t c="3" si="4">
        <n x="509"/>
        <n x="397"/>
        <n x="472"/>
      </t>
    </mdx>
    <mdx n="508" f="v">
      <t c="3" si="475">
        <n x="509"/>
        <n x="385"/>
        <n x="474"/>
      </t>
    </mdx>
    <mdx n="508" f="v">
      <t c="3" si="4">
        <n x="509"/>
        <n x="161"/>
        <n x="473"/>
      </t>
    </mdx>
    <mdx n="508" f="v">
      <t c="3" si="4">
        <n x="509"/>
        <n x="454"/>
        <n x="472"/>
      </t>
    </mdx>
    <mdx n="508" f="v">
      <t c="3" si="4">
        <n x="509"/>
        <n x="178"/>
        <n x="473"/>
      </t>
    </mdx>
    <mdx n="508" f="v">
      <t c="3" si="4">
        <n x="509"/>
        <n x="361"/>
        <n x="1"/>
      </t>
    </mdx>
    <mdx n="508" f="v">
      <t c="3" si="4">
        <n x="509"/>
        <n x="349"/>
        <n x="2"/>
      </t>
    </mdx>
    <mdx n="508" f="v">
      <t c="3" si="475">
        <n x="509"/>
        <n x="227"/>
        <n x="474"/>
      </t>
    </mdx>
    <mdx n="508" f="v">
      <t c="3" si="4">
        <n x="509"/>
        <n x="196"/>
        <n x="473"/>
      </t>
    </mdx>
    <mdx n="508" f="v">
      <t c="3" si="4">
        <n x="509"/>
        <n x="164"/>
        <n x="470"/>
      </t>
    </mdx>
    <mdx n="508" f="v">
      <t c="3" si="475">
        <n x="509"/>
        <n x="409"/>
        <n x="474"/>
      </t>
    </mdx>
    <mdx n="508" f="v">
      <t c="3" si="4">
        <n x="509"/>
        <n x="454"/>
        <n x="470"/>
      </t>
    </mdx>
    <mdx n="508" f="v">
      <t c="3" si="4">
        <n x="509"/>
        <n x="401"/>
        <n x="2"/>
      </t>
    </mdx>
    <mdx n="508" f="v">
      <t c="3" si="475">
        <n x="509"/>
        <n x="223"/>
        <n x="474"/>
      </t>
    </mdx>
    <mdx n="508" f="v">
      <t c="3" si="4">
        <n x="509"/>
        <n x="298"/>
        <n x="1"/>
      </t>
    </mdx>
    <mdx n="508" f="v">
      <t c="3" si="4">
        <n x="509"/>
        <n x="203"/>
        <n x="5"/>
      </t>
    </mdx>
    <mdx n="508" f="v">
      <t c="3" si="4">
        <n x="509"/>
        <n x="188"/>
        <n x="467"/>
      </t>
    </mdx>
    <mdx n="508" f="v">
      <t c="3" si="4">
        <n x="509"/>
        <n x="417"/>
        <n x="473"/>
      </t>
    </mdx>
    <mdx n="508" f="v">
      <t c="3" si="4">
        <n x="509"/>
        <n x="295"/>
        <n x="472"/>
      </t>
    </mdx>
    <mdx n="508" f="v">
      <t c="3" si="4">
        <n x="509"/>
        <n x="414"/>
        <n x="472"/>
      </t>
    </mdx>
    <mdx n="508" f="v">
      <t c="3" si="4">
        <n x="509"/>
        <n x="370"/>
        <n x="472"/>
      </t>
    </mdx>
    <mdx n="508" f="v">
      <t c="3" si="4">
        <n x="509"/>
        <n x="217"/>
        <n x="470"/>
      </t>
    </mdx>
    <mdx n="508" f="v">
      <t c="3" si="4">
        <n x="509"/>
        <n x="122"/>
        <n x="467"/>
      </t>
    </mdx>
    <mdx n="508" f="v">
      <t c="3" si="4">
        <n x="509"/>
        <n x="209"/>
        <n x="467"/>
      </t>
    </mdx>
    <mdx n="508" f="v">
      <t c="3" si="475">
        <n x="509"/>
        <n x="275"/>
        <n x="474"/>
      </t>
    </mdx>
    <mdx n="508" f="v">
      <t c="3" si="475">
        <n x="509"/>
        <n x="94"/>
        <n x="474"/>
      </t>
    </mdx>
    <mdx n="508" f="v">
      <t c="3" si="4">
        <n x="509"/>
        <n x="167"/>
        <n x="470"/>
      </t>
    </mdx>
    <mdx n="508" f="v">
      <t c="3" si="4">
        <n x="509"/>
        <n x="453"/>
        <n x="469"/>
      </t>
    </mdx>
    <mdx n="508" f="v">
      <t c="3" si="4">
        <n x="509"/>
        <n x="308"/>
        <n x="469"/>
      </t>
    </mdx>
    <mdx n="508" f="v">
      <t c="3" si="4">
        <n x="509"/>
        <n x="45"/>
        <n x="2"/>
      </t>
    </mdx>
    <mdx n="508" f="v">
      <t c="3" si="4">
        <n x="509"/>
        <n x="409"/>
        <n x="5"/>
      </t>
    </mdx>
    <mdx n="508" f="v">
      <t c="3" si="4">
        <n x="509"/>
        <n x="245"/>
        <n x="467"/>
      </t>
    </mdx>
    <mdx n="508" f="v">
      <t c="3" si="4">
        <n x="509"/>
        <n x="433"/>
        <n x="472"/>
      </t>
    </mdx>
    <mdx n="508" f="v">
      <t c="3" si="4">
        <n x="509"/>
        <n x="149"/>
        <n x="470"/>
      </t>
    </mdx>
    <mdx n="508" f="v">
      <t c="3" si="4">
        <n x="509"/>
        <n x="314"/>
        <n x="472"/>
      </t>
    </mdx>
    <mdx n="508" f="v">
      <t c="3" si="475">
        <n x="509"/>
        <n x="96"/>
        <n x="474"/>
      </t>
    </mdx>
    <mdx n="508" f="v">
      <t c="3" si="4">
        <n x="509"/>
        <n x="431"/>
        <n x="469"/>
      </t>
    </mdx>
    <mdx n="508" f="v">
      <t c="3" si="475">
        <n x="509"/>
        <n x="255"/>
        <n x="474"/>
      </t>
    </mdx>
    <mdx n="508" f="v">
      <t c="3" si="4">
        <n x="509"/>
        <n x="62"/>
        <n x="467"/>
      </t>
    </mdx>
    <mdx n="508" f="v">
      <t c="3" si="4">
        <n x="509"/>
        <n x="397"/>
        <n x="470"/>
      </t>
    </mdx>
    <mdx n="508" f="v">
      <t c="3" si="4">
        <n x="509"/>
        <n x="144"/>
        <n x="473"/>
      </t>
    </mdx>
    <mdx n="508" f="v">
      <t c="3" si="4">
        <n x="509"/>
        <n x="57"/>
        <n x="2"/>
      </t>
    </mdx>
    <mdx n="508" f="v">
      <t c="3" si="4">
        <n x="509"/>
        <n x="163"/>
        <n x="473"/>
      </t>
    </mdx>
    <mdx n="508" f="v">
      <t c="3" si="4">
        <n x="509"/>
        <n x="385"/>
        <n x="469"/>
      </t>
    </mdx>
    <mdx n="508" f="v">
      <t c="3" si="4">
        <n x="509"/>
        <n x="57"/>
        <n x="470"/>
      </t>
    </mdx>
    <mdx n="508" f="v">
      <t c="3" si="4">
        <n x="509"/>
        <n x="331"/>
        <n x="472"/>
      </t>
    </mdx>
    <mdx n="508" f="v">
      <t c="3" si="4">
        <n x="509"/>
        <n x="252"/>
        <n x="473"/>
      </t>
    </mdx>
    <mdx n="508" f="v">
      <t c="3" si="4">
        <n x="509"/>
        <n x="192"/>
        <n x="2"/>
      </t>
    </mdx>
    <mdx n="508" f="v">
      <t c="3" si="4">
        <n x="509"/>
        <n x="217"/>
        <n x="472"/>
      </t>
    </mdx>
    <mdx n="508" f="v">
      <t c="3" si="4">
        <n x="509"/>
        <n x="396"/>
        <n x="2"/>
      </t>
    </mdx>
    <mdx n="508" f="v">
      <t c="3" si="4">
        <n x="509"/>
        <n x="121"/>
        <n x="2"/>
      </t>
    </mdx>
    <mdx n="508" f="v">
      <t c="3" si="4">
        <n x="509"/>
        <n x="307"/>
        <n x="2"/>
      </t>
    </mdx>
    <mdx n="508" f="v">
      <t c="3" si="4">
        <n x="509"/>
        <n x="228"/>
        <n x="469"/>
      </t>
    </mdx>
    <mdx n="508" f="v">
      <t c="3" si="4">
        <n x="509"/>
        <n x="47"/>
        <n x="470"/>
      </t>
    </mdx>
    <mdx n="508" f="v">
      <t c="3" si="4">
        <n x="509"/>
        <n x="302"/>
        <n x="1"/>
      </t>
    </mdx>
    <mdx n="508" f="v">
      <t c="3" si="4">
        <n x="509"/>
        <n x="18"/>
        <n x="467"/>
      </t>
    </mdx>
    <mdx n="508" f="v">
      <t c="3" si="4">
        <n x="509"/>
        <n x="207"/>
        <n x="469"/>
      </t>
    </mdx>
    <mdx n="508" f="v">
      <t c="3" si="475">
        <n x="509"/>
        <n x="404"/>
        <n x="474"/>
      </t>
    </mdx>
    <mdx n="508" f="v">
      <t c="3" si="4">
        <n x="509"/>
        <n x="309"/>
        <n x="469"/>
      </t>
    </mdx>
    <mdx n="508" f="v">
      <t c="3" si="4">
        <n x="509"/>
        <n x="463"/>
        <n x="5"/>
      </t>
    </mdx>
    <mdx n="508" f="v">
      <t c="3" si="4">
        <n x="509"/>
        <n x="28"/>
        <n x="470"/>
      </t>
    </mdx>
    <mdx n="508" f="v">
      <t c="3" si="4">
        <n x="509"/>
        <n x="266"/>
        <n x="469"/>
      </t>
    </mdx>
    <mdx n="508" f="v">
      <t c="3" si="4">
        <n x="509"/>
        <n x="185"/>
        <n x="5"/>
      </t>
    </mdx>
    <mdx n="508" f="v">
      <t c="3" si="4">
        <n x="509"/>
        <n x="401"/>
        <n x="1"/>
      </t>
    </mdx>
    <mdx n="508" f="v">
      <t c="3" si="4">
        <n x="509"/>
        <n x="313"/>
        <n x="5"/>
      </t>
    </mdx>
    <mdx n="508" f="v">
      <t c="3" si="4">
        <n x="509"/>
        <n x="214"/>
        <n x="467"/>
      </t>
    </mdx>
    <mdx n="508" f="v">
      <t c="3" si="4">
        <n x="509"/>
        <n x="82"/>
        <n x="467"/>
      </t>
    </mdx>
    <mdx n="508" f="v">
      <t c="3" si="4">
        <n x="509"/>
        <n x="282"/>
        <n x="2"/>
      </t>
    </mdx>
    <mdx n="508" f="v">
      <t c="3" si="4">
        <n x="509"/>
        <n x="344"/>
        <n x="469"/>
      </t>
    </mdx>
    <mdx n="508" f="v">
      <t c="3" si="4">
        <n x="509"/>
        <n x="43"/>
        <n x="473"/>
      </t>
    </mdx>
    <mdx n="508" f="v">
      <t c="3" si="4">
        <n x="509"/>
        <n x="288"/>
        <n x="467"/>
      </t>
    </mdx>
    <mdx n="508" f="v">
      <t c="3" si="4">
        <n x="509"/>
        <n x="39"/>
        <n x="2"/>
      </t>
    </mdx>
    <mdx n="508" f="v">
      <t c="3" si="4">
        <n x="509"/>
        <n x="84"/>
        <n x="473"/>
      </t>
    </mdx>
    <mdx n="508" f="v">
      <t c="3" si="4">
        <n x="509"/>
        <n x="84"/>
        <n x="469"/>
      </t>
    </mdx>
    <mdx n="508" f="v">
      <t c="3" si="4">
        <n x="509"/>
        <n x="357"/>
        <n x="472"/>
      </t>
    </mdx>
    <mdx n="508" f="v">
      <t c="3" si="4">
        <n x="509"/>
        <n x="154"/>
        <n x="2"/>
      </t>
    </mdx>
    <mdx n="508" f="v">
      <t c="3" si="4">
        <n x="509"/>
        <n x="146"/>
        <n x="467"/>
      </t>
    </mdx>
    <mdx n="508" f="v">
      <t c="3" si="475">
        <n x="509"/>
        <n x="427"/>
        <n x="474"/>
      </t>
    </mdx>
    <mdx n="508" f="v">
      <t c="3" si="4">
        <n x="509"/>
        <n x="252"/>
        <n x="2"/>
      </t>
    </mdx>
    <mdx n="508" f="v">
      <t c="3" si="4">
        <n x="509"/>
        <n x="403"/>
        <n x="5"/>
      </t>
    </mdx>
    <mdx n="508" f="v">
      <t c="3" si="4">
        <n x="509"/>
        <n x="142"/>
        <n x="472"/>
      </t>
    </mdx>
    <mdx n="508" f="v">
      <t c="3" si="4">
        <n x="509"/>
        <n x="436"/>
        <n x="473"/>
      </t>
    </mdx>
    <mdx n="508" f="v">
      <t c="3" si="4">
        <n x="509"/>
        <n x="183"/>
        <n x="472"/>
      </t>
    </mdx>
    <mdx n="508" f="v">
      <t c="3" si="4">
        <n x="509"/>
        <n x="165"/>
        <n x="470"/>
      </t>
    </mdx>
    <mdx n="508" f="v">
      <t c="3" si="4">
        <n x="509"/>
        <n x="423"/>
        <n x="473"/>
      </t>
    </mdx>
    <mdx n="508" f="v">
      <t c="3" si="4">
        <n x="509"/>
        <n x="110"/>
        <n x="470"/>
      </t>
    </mdx>
    <mdx n="508" f="v">
      <t c="3" si="4">
        <n x="509"/>
        <n x="81"/>
        <n x="2"/>
      </t>
    </mdx>
    <mdx n="508" f="v">
      <t c="3" si="475">
        <n x="509"/>
        <n x="166"/>
        <n x="474"/>
      </t>
    </mdx>
    <mdx n="508" f="v">
      <t c="3" si="4">
        <n x="509"/>
        <n x="345"/>
        <n x="473"/>
      </t>
    </mdx>
    <mdx n="508" f="v">
      <t c="3" si="4">
        <n x="509"/>
        <n x="232"/>
        <n x="472"/>
      </t>
    </mdx>
    <mdx n="508" f="v">
      <t c="3" si="4">
        <n x="509"/>
        <n x="457"/>
        <n x="472"/>
      </t>
    </mdx>
    <mdx n="508" f="v">
      <t c="3" si="4">
        <n x="509"/>
        <n x="375"/>
        <n x="1"/>
      </t>
    </mdx>
    <mdx n="508" f="v">
      <t c="3" si="4">
        <n x="509"/>
        <n x="148"/>
        <n x="467"/>
      </t>
    </mdx>
    <mdx n="508" f="v">
      <t c="3" si="4">
        <n x="509"/>
        <n x="452"/>
        <n x="467"/>
      </t>
    </mdx>
    <mdx n="508" f="v">
      <t c="3" si="4">
        <n x="509"/>
        <n x="94"/>
        <n x="472"/>
      </t>
    </mdx>
    <mdx n="508" f="v">
      <t c="3" si="4">
        <n x="509"/>
        <n x="350"/>
        <n x="472"/>
      </t>
    </mdx>
    <mdx n="508" f="v">
      <t c="3" si="4">
        <n x="509"/>
        <n x="26"/>
        <n x="472"/>
      </t>
    </mdx>
    <mdx n="508" f="v">
      <t c="3" si="4">
        <n x="509"/>
        <n x="61"/>
        <n x="470"/>
      </t>
    </mdx>
    <mdx n="508" f="v">
      <t c="3" si="475">
        <n x="509"/>
        <n x="303"/>
        <n x="474"/>
      </t>
    </mdx>
    <mdx n="508" f="v">
      <t c="3" si="4">
        <n x="509"/>
        <n x="201"/>
        <n x="473"/>
      </t>
    </mdx>
    <mdx n="508" f="v">
      <t c="3" si="4">
        <n x="509"/>
        <n x="155"/>
        <n x="473"/>
      </t>
    </mdx>
    <mdx n="508" f="v">
      <t c="3" si="4">
        <n x="509"/>
        <n x="16"/>
        <n x="469"/>
      </t>
    </mdx>
    <mdx n="508" f="v">
      <t c="3" si="475">
        <n x="509"/>
        <n x="22"/>
        <n x="474"/>
      </t>
    </mdx>
    <mdx n="508" f="v">
      <t c="3" si="4">
        <n x="509"/>
        <n x="283"/>
        <n x="2"/>
      </t>
    </mdx>
    <mdx n="508" f="v">
      <t c="3" si="4">
        <n x="509"/>
        <n x="271"/>
        <n x="473"/>
      </t>
    </mdx>
    <mdx n="508" f="v">
      <t c="3" si="475">
        <n x="509"/>
        <n x="135"/>
        <n x="474"/>
      </t>
    </mdx>
    <mdx n="508" f="v">
      <t c="3" si="4">
        <n x="509"/>
        <n x="63"/>
        <n x="467"/>
      </t>
    </mdx>
    <mdx n="508" f="v">
      <t c="3" si="4">
        <n x="509"/>
        <n x="390"/>
        <n x="5"/>
      </t>
    </mdx>
    <mdx n="508" f="v">
      <t c="3" si="4">
        <n x="509"/>
        <n x="74"/>
        <n x="467"/>
      </t>
    </mdx>
    <mdx n="508" f="v">
      <t c="3" si="4">
        <n x="509"/>
        <n x="297"/>
        <n x="5"/>
      </t>
    </mdx>
    <mdx n="508" f="v">
      <t c="3" si="4">
        <n x="509"/>
        <n x="443"/>
        <n x="473"/>
      </t>
    </mdx>
    <mdx n="508" f="v">
      <t c="3" si="4">
        <n x="509"/>
        <n x="109"/>
        <n x="470"/>
      </t>
    </mdx>
    <mdx n="508" f="v">
      <t c="3" si="4">
        <n x="509"/>
        <n x="378"/>
        <n x="473"/>
      </t>
    </mdx>
    <mdx n="508" f="v">
      <t c="3" si="4">
        <n x="509"/>
        <n x="418"/>
        <n x="472"/>
      </t>
    </mdx>
    <mdx n="508" f="v">
      <t c="3" si="4">
        <n x="509"/>
        <n x="199"/>
        <n x="1"/>
      </t>
    </mdx>
    <mdx n="508" f="v">
      <t c="3" si="4">
        <n x="509"/>
        <n x="24"/>
        <n x="467"/>
      </t>
    </mdx>
    <mdx n="508" f="v">
      <t c="3" si="475">
        <n x="509"/>
        <n x="165"/>
        <n x="474"/>
      </t>
    </mdx>
    <mdx n="508" f="v">
      <t c="3" si="4">
        <n x="509"/>
        <n x="305"/>
        <n x="470"/>
      </t>
    </mdx>
    <mdx n="508" f="v">
      <t c="3" si="4">
        <n x="509"/>
        <n x="454"/>
        <n x="2"/>
      </t>
    </mdx>
    <mdx n="508" f="v">
      <t c="3" si="4">
        <n x="509"/>
        <n x="402"/>
        <n x="473"/>
      </t>
    </mdx>
    <mdx n="508" f="v">
      <t c="3" si="4">
        <n x="509"/>
        <n x="197"/>
        <n x="467"/>
      </t>
    </mdx>
    <mdx n="508" f="v">
      <t c="3" si="475">
        <n x="509"/>
        <n x="252"/>
        <n x="474"/>
      </t>
    </mdx>
    <mdx n="508" f="v">
      <t c="3" si="4">
        <n x="509"/>
        <n x="288"/>
        <n x="1"/>
      </t>
    </mdx>
    <mdx n="508" f="v">
      <t c="3" si="4">
        <n x="509"/>
        <n x="205"/>
        <n x="2"/>
      </t>
    </mdx>
    <mdx n="508" f="v">
      <t c="3" si="4">
        <n x="509"/>
        <n x="430"/>
        <n x="469"/>
      </t>
    </mdx>
    <mdx n="508" f="v">
      <t c="3" si="4">
        <n x="509"/>
        <n x="144"/>
        <n x="467"/>
      </t>
    </mdx>
    <mdx n="508" f="v">
      <t c="3" si="4">
        <n x="509"/>
        <n x="300"/>
        <n x="467"/>
      </t>
    </mdx>
    <mdx n="508" f="v">
      <t c="3" si="4">
        <n x="509"/>
        <n x="348"/>
        <n x="473"/>
      </t>
    </mdx>
    <mdx n="508" f="v">
      <t c="3" si="4">
        <n x="509"/>
        <n x="343"/>
        <n x="2"/>
      </t>
    </mdx>
    <mdx n="508" f="v">
      <t c="3" si="4">
        <n x="509"/>
        <n x="400"/>
        <n x="2"/>
      </t>
    </mdx>
    <mdx n="508" f="v">
      <t c="3" si="4">
        <n x="509"/>
        <n x="375"/>
        <n x="5"/>
      </t>
    </mdx>
    <mdx n="508" f="v">
      <t c="3" si="4">
        <n x="509"/>
        <n x="89"/>
        <n x="473"/>
      </t>
    </mdx>
    <mdx n="508" f="v">
      <t c="3" si="4">
        <n x="509"/>
        <n x="173"/>
        <n x="472"/>
      </t>
    </mdx>
    <mdx n="508" f="v">
      <t c="3" si="4">
        <n x="509"/>
        <n x="349"/>
        <n x="469"/>
      </t>
    </mdx>
    <mdx n="508" f="v">
      <t c="3" si="4">
        <n x="509"/>
        <n x="387"/>
        <n x="1"/>
      </t>
    </mdx>
    <mdx n="508" f="v">
      <t c="3" si="4">
        <n x="509"/>
        <n x="429"/>
        <n x="470"/>
      </t>
    </mdx>
    <mdx n="508" f="v">
      <t c="3" si="475">
        <n x="509"/>
        <n x="199"/>
        <n x="474"/>
      </t>
    </mdx>
    <mdx n="508" f="v">
      <t c="3" si="475">
        <n x="509"/>
        <n x="435"/>
        <n x="474"/>
      </t>
    </mdx>
    <mdx n="508" f="v">
      <t c="3" si="4">
        <n x="509"/>
        <n x="340"/>
        <n x="470"/>
      </t>
    </mdx>
    <mdx n="508" f="v">
      <t c="3" si="4">
        <n x="509"/>
        <n x="150"/>
        <n x="2"/>
      </t>
    </mdx>
    <mdx n="508" f="v">
      <t c="3" si="4">
        <n x="509"/>
        <n x="156"/>
        <n x="473"/>
      </t>
    </mdx>
    <mdx n="508" f="v">
      <t c="3" si="475">
        <n x="509"/>
        <n x="461"/>
        <n x="474"/>
      </t>
    </mdx>
    <mdx n="508" f="v">
      <t c="3" si="4">
        <n x="509"/>
        <n x="331"/>
        <n x="470"/>
      </t>
    </mdx>
    <mdx n="508" f="v">
      <t c="3" si="4">
        <n x="509"/>
        <n x="253"/>
        <n x="467"/>
      </t>
    </mdx>
    <mdx n="508" f="v">
      <t c="3" si="4">
        <n x="509"/>
        <n x="10"/>
        <n x="2"/>
      </t>
    </mdx>
    <mdx n="508" f="v">
      <t c="3" si="4">
        <n x="509"/>
        <n x="409"/>
        <n x="470"/>
      </t>
    </mdx>
    <mdx n="508" f="v">
      <t c="3" si="4">
        <n x="509"/>
        <n x="132"/>
        <n x="473"/>
      </t>
    </mdx>
    <mdx n="508" f="v">
      <t c="3" si="4">
        <n x="509"/>
        <n x="77"/>
        <n x="473"/>
      </t>
    </mdx>
    <mdx n="508" f="v">
      <t c="3" si="4">
        <n x="509"/>
        <n x="370"/>
        <n x="467"/>
      </t>
    </mdx>
    <mdx n="508" f="v">
      <t c="3" si="4">
        <n x="509"/>
        <n x="157"/>
        <n x="472"/>
      </t>
    </mdx>
    <mdx n="508" f="v">
      <t c="3" si="4">
        <n x="509"/>
        <n x="171"/>
        <n x="469"/>
      </t>
    </mdx>
    <mdx n="508" f="v">
      <t c="3" si="4">
        <n x="509"/>
        <n x="455"/>
        <n x="1"/>
      </t>
    </mdx>
    <mdx n="508" f="v">
      <t c="3" si="4">
        <n x="509"/>
        <n x="178"/>
        <n x="467"/>
      </t>
    </mdx>
    <mdx n="508" f="v">
      <t c="3" si="4">
        <n x="509"/>
        <n x="357"/>
        <n x="469"/>
      </t>
    </mdx>
    <mdx n="508" f="v">
      <t c="3" si="475">
        <n x="509"/>
        <n x="209"/>
        <n x="474"/>
      </t>
    </mdx>
    <mdx n="508" f="v">
      <t c="3" si="4">
        <n x="509"/>
        <n x="101"/>
        <n x="472"/>
      </t>
    </mdx>
    <mdx n="508" f="v">
      <t c="3" si="4">
        <n x="509"/>
        <n x="192"/>
        <n x="472"/>
      </t>
    </mdx>
    <mdx n="508" f="v">
      <t c="3" si="4">
        <n x="509"/>
        <n x="209"/>
        <n x="469"/>
      </t>
    </mdx>
    <mdx n="508" f="v">
      <t c="3" si="4">
        <n x="509"/>
        <n x="332"/>
        <n x="2"/>
      </t>
    </mdx>
    <mdx n="508" f="v">
      <t c="3" si="475">
        <n x="509"/>
        <n x="405"/>
        <n x="474"/>
      </t>
    </mdx>
    <mdx n="508" f="v">
      <t c="3" si="475">
        <n x="509"/>
        <n x="173"/>
        <n x="474"/>
      </t>
    </mdx>
    <mdx n="508" f="v">
      <t c="3" si="4">
        <n x="509"/>
        <n x="333"/>
        <n x="472"/>
      </t>
    </mdx>
    <mdx n="508" f="v">
      <t c="3" si="4">
        <n x="509"/>
        <n x="96"/>
        <n x="467"/>
      </t>
    </mdx>
    <mdx n="508" f="v">
      <t c="3" si="4">
        <n x="509"/>
        <n x="343"/>
        <n x="1"/>
      </t>
    </mdx>
    <mdx n="508" f="v">
      <t c="3" si="4">
        <n x="509"/>
        <n x="325"/>
        <n x="472"/>
      </t>
    </mdx>
    <mdx n="508" f="v">
      <t c="3" si="4">
        <n x="509"/>
        <n x="86"/>
        <n x="470"/>
      </t>
    </mdx>
    <mdx n="508" f="v">
      <t c="3" si="4">
        <n x="509"/>
        <n x="105"/>
        <n x="469"/>
      </t>
    </mdx>
    <mdx n="508" f="v">
      <t c="3" si="4">
        <n x="509"/>
        <n x="240"/>
        <n x="469"/>
      </t>
    </mdx>
    <mdx n="508" f="v">
      <t c="3" si="4">
        <n x="509"/>
        <n x="296"/>
        <n x="1"/>
      </t>
    </mdx>
    <mdx n="508" f="v">
      <t c="3" si="4">
        <n x="509"/>
        <n x="198"/>
        <n x="473"/>
      </t>
    </mdx>
    <mdx n="508" f="v">
      <t c="3" si="475">
        <n x="509"/>
        <n x="345"/>
        <n x="474"/>
      </t>
    </mdx>
    <mdx n="508" f="v">
      <t c="3" si="4">
        <n x="509"/>
        <n x="390"/>
        <n x="470"/>
      </t>
    </mdx>
    <mdx n="508" f="v">
      <t c="3" si="4">
        <n x="509"/>
        <n x="58"/>
        <n x="470"/>
      </t>
    </mdx>
    <mdx n="508" f="v">
      <t c="3" si="4">
        <n x="509"/>
        <n x="204"/>
        <n x="2"/>
      </t>
    </mdx>
    <mdx n="508" f="v">
      <t c="3" si="4">
        <n x="509"/>
        <n x="196"/>
        <n x="470"/>
      </t>
    </mdx>
    <mdx n="508" f="v">
      <t c="3" si="4">
        <n x="509"/>
        <n x="256"/>
        <n x="469"/>
      </t>
    </mdx>
    <mdx n="508" f="v">
      <t c="3" si="4">
        <n x="509"/>
        <n x="166"/>
        <n x="5"/>
      </t>
    </mdx>
    <mdx n="508" f="v">
      <t c="3" si="4">
        <n x="509"/>
        <n x="447"/>
        <n x="473"/>
      </t>
    </mdx>
    <mdx n="508" f="v">
      <t c="3" si="4">
        <n x="509"/>
        <n x="92"/>
        <n x="1"/>
      </t>
    </mdx>
    <mdx n="508" f="v">
      <t c="3" si="4">
        <n x="509"/>
        <n x="412"/>
        <n x="467"/>
      </t>
    </mdx>
    <mdx n="508" f="v">
      <t c="3" si="4">
        <n x="509"/>
        <n x="158"/>
        <n x="5"/>
      </t>
    </mdx>
    <mdx n="508" f="v">
      <t c="3" si="4">
        <n x="509"/>
        <n x="307"/>
        <n x="469"/>
      </t>
    </mdx>
    <mdx n="508" f="v">
      <t c="3" si="4">
        <n x="509"/>
        <n x="37"/>
        <n x="1"/>
      </t>
    </mdx>
    <mdx n="508" f="v">
      <t c="3" si="4">
        <n x="509"/>
        <n x="390"/>
        <n x="472"/>
      </t>
    </mdx>
    <mdx n="508" f="v">
      <t c="3" si="4">
        <n x="509"/>
        <n x="338"/>
        <n x="472"/>
      </t>
    </mdx>
    <mdx n="508" f="v">
      <t c="3" si="475">
        <n x="509"/>
        <n x="176"/>
        <n x="474"/>
      </t>
    </mdx>
    <mdx n="508" f="v">
      <t c="3" si="4">
        <n x="509"/>
        <n x="382"/>
        <n x="473"/>
      </t>
    </mdx>
    <mdx n="508" f="v">
      <t c="3" si="4">
        <n x="509"/>
        <n x="120"/>
        <n x="470"/>
      </t>
    </mdx>
    <mdx n="508" f="v">
      <t c="3" si="4">
        <n x="509"/>
        <n x="151"/>
        <n x="472"/>
      </t>
    </mdx>
    <mdx n="508" f="v">
      <t c="3" si="4">
        <n x="509"/>
        <n x="430"/>
        <n x="470"/>
      </t>
    </mdx>
    <mdx n="508" f="v">
      <t c="3" si="475">
        <n x="509"/>
        <n x="289"/>
        <n x="474"/>
      </t>
    </mdx>
    <mdx n="508" f="v">
      <t c="3" si="4">
        <n x="509"/>
        <n x="155"/>
        <n x="5"/>
      </t>
    </mdx>
    <mdx n="508" f="v">
      <t c="3" si="4">
        <n x="509"/>
        <n x="375"/>
        <n x="2"/>
      </t>
    </mdx>
    <mdx n="508" f="v">
      <t c="3" si="4">
        <n x="509"/>
        <n x="279"/>
        <n x="5"/>
      </t>
    </mdx>
    <mdx n="508" f="v">
      <t c="3" si="4">
        <n x="509"/>
        <n x="216"/>
        <n x="472"/>
      </t>
    </mdx>
    <mdx n="508" f="v">
      <t c="3" si="4">
        <n x="509"/>
        <n x="202"/>
        <n x="2"/>
      </t>
    </mdx>
    <mdx n="508" f="v">
      <t c="3" si="4">
        <n x="509"/>
        <n x="419"/>
        <n x="1"/>
      </t>
    </mdx>
    <mdx n="508" f="v">
      <t c="3" si="4">
        <n x="509"/>
        <n x="189"/>
        <n x="2"/>
      </t>
    </mdx>
    <mdx n="508" f="v">
      <t c="3" si="4">
        <n x="509"/>
        <n x="419"/>
        <n x="473"/>
      </t>
    </mdx>
    <mdx n="508" f="v">
      <t c="3" si="4">
        <n x="509"/>
        <n x="417"/>
        <n x="467"/>
      </t>
    </mdx>
    <mdx n="508" f="v">
      <t c="3" si="4">
        <n x="509"/>
        <n x="76"/>
        <n x="472"/>
      </t>
    </mdx>
    <mdx n="508" f="v">
      <t c="3" si="4">
        <n x="509"/>
        <n x="426"/>
        <n x="1"/>
      </t>
    </mdx>
    <mdx n="508" f="v">
      <t c="3" si="4">
        <n x="509"/>
        <n x="26"/>
        <n x="1"/>
      </t>
    </mdx>
    <mdx n="508" f="v">
      <t c="3" si="4">
        <n x="509"/>
        <n x="81"/>
        <n x="472"/>
      </t>
    </mdx>
    <mdx n="508" f="v">
      <t c="3" si="4">
        <n x="509"/>
        <n x="420"/>
        <n x="467"/>
      </t>
    </mdx>
    <mdx n="508" f="v">
      <t c="3" si="4">
        <n x="509"/>
        <n x="7"/>
        <n x="472"/>
      </t>
    </mdx>
    <mdx n="508" f="v">
      <t c="3" si="4">
        <n x="509"/>
        <n x="307"/>
        <n x="470"/>
      </t>
    </mdx>
    <mdx n="508" f="v">
      <t c="3" si="4">
        <n x="509"/>
        <n x="351"/>
        <n x="470"/>
      </t>
    </mdx>
    <mdx n="508" f="v">
      <t c="3" si="4">
        <n x="509"/>
        <n x="218"/>
        <n x="473"/>
      </t>
    </mdx>
    <mdx n="508" f="v">
      <t c="3" si="4">
        <n x="509"/>
        <n x="32"/>
        <n x="472"/>
      </t>
    </mdx>
    <mdx n="508" f="v">
      <t c="3" si="4">
        <n x="509"/>
        <n x="52"/>
        <n x="472"/>
      </t>
    </mdx>
    <mdx n="508" f="v">
      <t c="3" si="4">
        <n x="509"/>
        <n x="293"/>
        <n x="469"/>
      </t>
    </mdx>
    <mdx n="508" f="v">
      <t c="3" si="4">
        <n x="509"/>
        <n x="313"/>
        <n x="469"/>
      </t>
    </mdx>
    <mdx n="508" f="v">
      <t c="3" si="475">
        <n x="509"/>
        <n x="455"/>
        <n x="474"/>
      </t>
    </mdx>
    <mdx n="508" f="v">
      <t c="3" si="4">
        <n x="509"/>
        <n x="53"/>
        <n x="469"/>
      </t>
    </mdx>
    <mdx n="508" f="v">
      <t c="3" si="475">
        <n x="509"/>
        <n x="121"/>
        <n x="474"/>
      </t>
    </mdx>
    <mdx n="508" f="v">
      <t c="3" si="4">
        <n x="509"/>
        <n x="429"/>
        <n x="467"/>
      </t>
    </mdx>
    <mdx n="508" f="v">
      <t c="3" si="4">
        <n x="509"/>
        <n x="336"/>
        <n x="469"/>
      </t>
    </mdx>
    <mdx n="508" f="v">
      <t c="3" si="4">
        <n x="509"/>
        <n x="33"/>
        <n x="470"/>
      </t>
    </mdx>
    <mdx n="508" f="v">
      <t c="3" si="4">
        <n x="509"/>
        <n x="18"/>
        <n x="2"/>
      </t>
    </mdx>
    <mdx n="508" f="v">
      <t c="3" si="4">
        <n x="509"/>
        <n x="214"/>
        <n x="472"/>
      </t>
    </mdx>
    <mdx n="508" f="v">
      <t c="3" si="4">
        <n x="509"/>
        <n x="362"/>
        <n x="467"/>
      </t>
    </mdx>
    <mdx n="508" f="v">
      <t c="3" si="4">
        <n x="509"/>
        <n x="296"/>
        <n x="472"/>
      </t>
    </mdx>
    <mdx n="508" f="v">
      <t c="3" si="4">
        <n x="509"/>
        <n x="187"/>
        <n x="472"/>
      </t>
    </mdx>
    <mdx n="508" f="v">
      <t c="3" si="4">
        <n x="509"/>
        <n x="232"/>
        <n x="467"/>
      </t>
    </mdx>
    <mdx n="508" f="v">
      <t c="3" si="4">
        <n x="509"/>
        <n x="36"/>
        <n x="470"/>
      </t>
    </mdx>
    <mdx n="508" f="v">
      <t c="3" si="475">
        <n x="509"/>
        <n x="84"/>
        <n x="474"/>
      </t>
    </mdx>
    <mdx n="508" f="v">
      <t c="3" si="4">
        <n x="509"/>
        <n x="102"/>
        <n x="467"/>
      </t>
    </mdx>
    <mdx n="508" f="v">
      <t c="3" si="4">
        <n x="509"/>
        <n x="430"/>
        <n x="473"/>
      </t>
    </mdx>
    <mdx n="508" f="v">
      <t c="3" si="4">
        <n x="509"/>
        <n x="401"/>
        <n x="470"/>
      </t>
    </mdx>
    <mdx n="508" f="v">
      <t c="3" si="4">
        <n x="509"/>
        <n x="160"/>
        <n x="2"/>
      </t>
    </mdx>
    <mdx n="508" f="v">
      <t c="3" si="4">
        <n x="509"/>
        <n x="297"/>
        <n x="467"/>
      </t>
    </mdx>
    <mdx n="508" f="v">
      <t c="3" si="4">
        <n x="509"/>
        <n x="401"/>
        <n x="473"/>
      </t>
    </mdx>
    <mdx n="508" f="v">
      <t c="3" si="4">
        <n x="509"/>
        <n x="356"/>
        <n x="469"/>
      </t>
    </mdx>
    <mdx n="508" f="v">
      <t c="3" si="4">
        <n x="509"/>
        <n x="405"/>
        <n x="467"/>
      </t>
    </mdx>
    <mdx n="508" f="v">
      <t c="3" si="475">
        <n x="509"/>
        <n x="414"/>
        <n x="474"/>
      </t>
    </mdx>
    <mdx n="508" f="v">
      <t c="3" si="4">
        <n x="509"/>
        <n x="462"/>
        <n x="472"/>
      </t>
    </mdx>
    <mdx n="508" f="v">
      <t c="3" si="4">
        <n x="509"/>
        <n x="281"/>
        <n x="469"/>
      </t>
    </mdx>
    <mdx n="508" f="v">
      <t c="3" si="4">
        <n x="509"/>
        <n x="358"/>
        <n x="469"/>
      </t>
    </mdx>
    <mdx n="508" f="v">
      <t c="3" si="4">
        <n x="509"/>
        <n x="320"/>
        <n x="467"/>
      </t>
    </mdx>
    <mdx n="508" f="v">
      <t c="3" si="4">
        <n x="509"/>
        <n x="253"/>
        <n x="5"/>
      </t>
    </mdx>
    <mdx n="508" f="v">
      <t c="3" si="4">
        <n x="509"/>
        <n x="232"/>
        <n x="473"/>
      </t>
    </mdx>
    <mdx n="508" f="v">
      <t c="3" si="4">
        <n x="509"/>
        <n x="284"/>
        <n x="472"/>
      </t>
    </mdx>
    <mdx n="508" f="v">
      <t c="3" si="4">
        <n x="509"/>
        <n x="393"/>
        <n x="472"/>
      </t>
    </mdx>
    <mdx n="508" f="v">
      <t c="3" si="475">
        <n x="509"/>
        <n x="182"/>
        <n x="474"/>
      </t>
    </mdx>
    <mdx n="508" f="v">
      <t c="3" si="4">
        <n x="509"/>
        <n x="125"/>
        <n x="469"/>
      </t>
    </mdx>
    <mdx n="508" f="v">
      <t c="3" si="4">
        <n x="509"/>
        <n x="267"/>
        <n x="467"/>
      </t>
    </mdx>
    <mdx n="508" f="v">
      <t c="3" si="4">
        <n x="509"/>
        <n x="441"/>
        <n x="472"/>
      </t>
    </mdx>
    <mdx n="508" f="v">
      <t c="3" si="4">
        <n x="509"/>
        <n x="175"/>
        <n x="1"/>
      </t>
    </mdx>
    <mdx n="508" f="v">
      <t c="3" si="4">
        <n x="509"/>
        <n x="267"/>
        <n x="2"/>
      </t>
    </mdx>
    <mdx n="508" f="v">
      <t c="3" si="4">
        <n x="509"/>
        <n x="202"/>
        <n x="472"/>
      </t>
    </mdx>
    <mdx n="508" f="v">
      <t c="3" si="4">
        <n x="509"/>
        <n x="411"/>
        <n x="469"/>
      </t>
    </mdx>
    <mdx n="508" f="v">
      <t c="3" si="4">
        <n x="509"/>
        <n x="392"/>
        <n x="469"/>
      </t>
    </mdx>
    <mdx n="508" f="v">
      <t c="3" si="4">
        <n x="509"/>
        <n x="114"/>
        <n x="5"/>
      </t>
    </mdx>
    <mdx n="508" f="v">
      <t c="3" si="4">
        <n x="509"/>
        <n x="204"/>
        <n x="470"/>
      </t>
    </mdx>
    <mdx n="508" f="v">
      <t c="3" si="4">
        <n x="509"/>
        <n x="295"/>
        <n x="1"/>
      </t>
    </mdx>
    <mdx n="508" f="v">
      <t c="3" si="4">
        <n x="509"/>
        <n x="340"/>
        <n x="5"/>
      </t>
    </mdx>
    <mdx n="508" f="v">
      <t c="3" si="4">
        <n x="509"/>
        <n x="443"/>
        <n x="2"/>
      </t>
    </mdx>
    <mdx n="508" f="v">
      <t c="3" si="4">
        <n x="509"/>
        <n x="325"/>
        <n x="2"/>
      </t>
    </mdx>
    <mdx n="508" f="v">
      <t c="3" si="475">
        <n x="509"/>
        <n x="458"/>
        <n x="474"/>
      </t>
    </mdx>
    <mdx n="508" f="v">
      <t c="3" si="4">
        <n x="509"/>
        <n x="382"/>
        <n x="1"/>
      </t>
    </mdx>
    <mdx n="508" f="v">
      <t c="3" si="4">
        <n x="509"/>
        <n x="218"/>
        <n x="1"/>
      </t>
    </mdx>
    <mdx n="508" f="v">
      <t c="3" si="4">
        <n x="509"/>
        <n x="140"/>
        <n x="473"/>
      </t>
    </mdx>
    <mdx n="508" f="v">
      <t c="3" si="4">
        <n x="509"/>
        <n x="56"/>
        <n x="472"/>
      </t>
    </mdx>
    <mdx n="508" f="v">
      <t c="3" si="475">
        <n x="509"/>
        <n x="102"/>
        <n x="474"/>
      </t>
    </mdx>
    <mdx n="508" f="v">
      <t c="3" si="4">
        <n x="509"/>
        <n x="235"/>
        <n x="472"/>
      </t>
    </mdx>
    <mdx n="508" f="v">
      <t c="3" si="475">
        <n x="509"/>
        <n x="295"/>
        <n x="474"/>
      </t>
    </mdx>
    <mdx n="508" f="v">
      <t c="3" si="4">
        <n x="509"/>
        <n x="84"/>
        <n x="2"/>
      </t>
    </mdx>
    <mdx n="508" f="v">
      <t c="3" si="4">
        <n x="509"/>
        <n x="137"/>
        <n x="467"/>
      </t>
    </mdx>
    <mdx n="508" f="v">
      <t c="3" si="4">
        <n x="509"/>
        <n x="75"/>
        <n x="473"/>
      </t>
    </mdx>
    <mdx n="508" f="v">
      <t c="3" si="4">
        <n x="509"/>
        <n x="342"/>
        <n x="1"/>
      </t>
    </mdx>
    <mdx n="508" f="v">
      <t c="3" si="4">
        <n x="509"/>
        <n x="158"/>
        <n x="467"/>
      </t>
    </mdx>
    <mdx n="508" f="v">
      <t c="3" si="4">
        <n x="509"/>
        <n x="403"/>
        <n x="469"/>
      </t>
    </mdx>
    <mdx n="508" f="v">
      <t c="3" si="4">
        <n x="509"/>
        <n x="133"/>
        <n x="473"/>
      </t>
    </mdx>
    <mdx n="508" f="v">
      <t c="3" si="4">
        <n x="509"/>
        <n x="333"/>
        <n x="2"/>
      </t>
    </mdx>
    <mdx n="508" f="v">
      <t c="3" si="4">
        <n x="509"/>
        <n x="438"/>
        <n x="469"/>
      </t>
    </mdx>
    <mdx n="508" f="v">
      <t c="3" si="4">
        <n x="509"/>
        <n x="130"/>
        <n x="473"/>
      </t>
    </mdx>
    <mdx n="508" f="v">
      <t c="3" si="4">
        <n x="509"/>
        <n x="93"/>
        <n x="469"/>
      </t>
    </mdx>
    <mdx n="508" f="v">
      <t c="3" si="4">
        <n x="509"/>
        <n x="157"/>
        <n x="470"/>
      </t>
    </mdx>
    <mdx n="508" f="v">
      <t c="3" si="4">
        <n x="509"/>
        <n x="166"/>
        <n x="1"/>
      </t>
    </mdx>
    <mdx n="508" f="v">
      <t c="3" si="4">
        <n x="509"/>
        <n x="360"/>
        <n x="472"/>
      </t>
    </mdx>
    <mdx n="508" f="v">
      <t c="3" si="4">
        <n x="509"/>
        <n x="131"/>
        <n x="469"/>
      </t>
    </mdx>
    <mdx n="508" f="v">
      <t c="3" si="4">
        <n x="509"/>
        <n x="252"/>
        <n x="472"/>
      </t>
    </mdx>
    <mdx n="508" f="v">
      <t c="3" si="4">
        <n x="509"/>
        <n x="317"/>
        <n x="473"/>
      </t>
    </mdx>
    <mdx n="508" f="v">
      <t c="3" si="4">
        <n x="509"/>
        <n x="66"/>
        <n x="1"/>
      </t>
    </mdx>
    <mdx n="508" f="v">
      <t c="3" si="4">
        <n x="509"/>
        <n x="424"/>
        <n x="1"/>
      </t>
    </mdx>
    <mdx n="508" f="v">
      <t c="3" si="475">
        <n x="509"/>
        <n x="92"/>
        <n x="474"/>
      </t>
    </mdx>
    <mdx n="508" f="v">
      <t c="3" si="4">
        <n x="509"/>
        <n x="280"/>
        <n x="467"/>
      </t>
    </mdx>
    <mdx n="508" f="v">
      <t c="3" si="4">
        <n x="509"/>
        <n x="51"/>
        <n x="470"/>
      </t>
    </mdx>
    <mdx n="508" f="v">
      <t c="3" si="4">
        <n x="509"/>
        <n x="199"/>
        <n x="2"/>
      </t>
    </mdx>
    <mdx n="508" f="v">
      <t c="3" si="4">
        <n x="509"/>
        <n x="359"/>
        <n x="1"/>
      </t>
    </mdx>
    <mdx n="508" f="v">
      <t c="3" si="4">
        <n x="509"/>
        <n x="203"/>
        <n x="470"/>
      </t>
    </mdx>
    <mdx n="508" f="v">
      <t c="3" si="4">
        <n x="509"/>
        <n x="167"/>
        <n x="469"/>
      </t>
    </mdx>
    <mdx n="508" f="v">
      <t c="3" si="475">
        <n x="509"/>
        <n x="115"/>
        <n x="474"/>
      </t>
    </mdx>
    <mdx n="508" f="v">
      <t c="3" si="4">
        <n x="509"/>
        <n x="282"/>
        <n x="472"/>
      </t>
    </mdx>
    <mdx n="508" f="v">
      <t c="3" si="4">
        <n x="509"/>
        <n x="395"/>
        <n x="467"/>
      </t>
    </mdx>
    <mdx n="508" f="v">
      <t c="3" si="4">
        <n x="509"/>
        <n x="319"/>
        <n x="470"/>
      </t>
    </mdx>
    <mdx n="508" f="v">
      <t c="3" si="4">
        <n x="509"/>
        <n x="310"/>
        <n x="1"/>
      </t>
    </mdx>
    <mdx n="508" f="v">
      <t c="3" si="4">
        <n x="509"/>
        <n x="113"/>
        <n x="1"/>
      </t>
    </mdx>
    <mdx n="508" f="v">
      <t c="3" si="4">
        <n x="509"/>
        <n x="457"/>
        <n x="467"/>
      </t>
    </mdx>
    <mdx n="508" f="v">
      <t c="3" si="475">
        <n x="509"/>
        <n x="16"/>
        <n x="474"/>
      </t>
    </mdx>
    <mdx n="508" f="v">
      <t c="3" si="4">
        <n x="509"/>
        <n x="167"/>
        <n x="472"/>
      </t>
    </mdx>
    <mdx n="508" f="v">
      <t c="3" si="4">
        <n x="509"/>
        <n x="329"/>
        <n x="467"/>
      </t>
    </mdx>
    <mdx n="508" f="v">
      <t c="3" si="4">
        <n x="509"/>
        <n x="168"/>
        <n x="2"/>
      </t>
    </mdx>
    <mdx n="508" f="v">
      <t c="3" si="4">
        <n x="509"/>
        <n x="402"/>
        <n x="472"/>
      </t>
    </mdx>
    <mdx n="508" f="v">
      <t c="3" si="4">
        <n x="509"/>
        <n x="221"/>
        <n x="472"/>
      </t>
    </mdx>
    <mdx n="508" f="v">
      <t c="3" si="4">
        <n x="509"/>
        <n x="208"/>
        <n x="470"/>
      </t>
    </mdx>
    <mdx n="508" f="v">
      <t c="3" si="4">
        <n x="509"/>
        <n x="192"/>
        <n x="473"/>
      </t>
    </mdx>
    <mdx n="508" f="v">
      <t c="3" si="4">
        <n x="509"/>
        <n x="249"/>
        <n x="467"/>
      </t>
    </mdx>
    <mdx n="508" f="v">
      <t c="3" si="4">
        <n x="509"/>
        <n x="64"/>
        <n x="470"/>
      </t>
    </mdx>
    <mdx n="508" f="v">
      <t c="3" si="4">
        <n x="509"/>
        <n x="382"/>
        <n x="2"/>
      </t>
    </mdx>
    <mdx n="508" f="v">
      <t c="3" si="4">
        <n x="509"/>
        <n x="217"/>
        <n x="5"/>
      </t>
    </mdx>
    <mdx n="508" f="v">
      <t c="3" si="4">
        <n x="509"/>
        <n x="421"/>
        <n x="470"/>
      </t>
    </mdx>
    <mdx n="508" f="v">
      <t c="3" si="4">
        <n x="509"/>
        <n x="256"/>
        <n x="472"/>
      </t>
    </mdx>
    <mdx n="508" f="v">
      <t c="3" si="4">
        <n x="509"/>
        <n x="190"/>
        <n x="472"/>
      </t>
    </mdx>
    <mdx n="508" f="v">
      <t c="3" si="4">
        <n x="509"/>
        <n x="291"/>
        <n x="2"/>
      </t>
    </mdx>
    <mdx n="508" f="v">
      <t c="3" si="4">
        <n x="509"/>
        <n x="448"/>
        <n x="472"/>
      </t>
    </mdx>
    <mdx n="508" f="v">
      <t c="3" si="4">
        <n x="509"/>
        <n x="222"/>
        <n x="473"/>
      </t>
    </mdx>
    <mdx n="508" f="v">
      <t c="3" si="4">
        <n x="509"/>
        <n x="61"/>
        <n x="467"/>
      </t>
    </mdx>
    <mdx n="508" f="v">
      <t c="3" si="4">
        <n x="509"/>
        <n x="33"/>
        <n x="473"/>
      </t>
    </mdx>
    <mdx n="508" f="v">
      <t c="3" si="4">
        <n x="509"/>
        <n x="205"/>
        <n x="472"/>
      </t>
    </mdx>
    <mdx n="508" f="v">
      <t c="3" si="4">
        <n x="509"/>
        <n x="317"/>
        <n x="469"/>
      </t>
    </mdx>
    <mdx n="508" f="v">
      <t c="3" si="4">
        <n x="509"/>
        <n x="68"/>
        <n x="472"/>
      </t>
    </mdx>
    <mdx n="508" f="v">
      <t c="3" si="4">
        <n x="509"/>
        <n x="306"/>
        <n x="469"/>
      </t>
    </mdx>
    <mdx n="508" f="v">
      <t c="3" si="4">
        <n x="509"/>
        <n x="353"/>
        <n x="467"/>
      </t>
    </mdx>
    <mdx n="508" f="v">
      <t c="3" si="4">
        <n x="509"/>
        <n x="53"/>
        <n x="473"/>
      </t>
    </mdx>
    <mdx n="508" f="v">
      <t c="3" si="4">
        <n x="509"/>
        <n x="437"/>
        <n x="5"/>
      </t>
    </mdx>
    <mdx n="508" f="v">
      <t c="3" si="475">
        <n x="509"/>
        <n x="451"/>
        <n x="474"/>
      </t>
    </mdx>
    <mdx n="508" f="v">
      <t c="3" si="4">
        <n x="509"/>
        <n x="345"/>
        <n x="470"/>
      </t>
    </mdx>
    <mdx n="508" f="v">
      <t c="3" si="4">
        <n x="509"/>
        <n x="79"/>
        <n x="470"/>
      </t>
    </mdx>
    <mdx n="508" f="v">
      <t c="3" si="475">
        <n x="509"/>
        <n x="83"/>
        <n x="474"/>
      </t>
    </mdx>
    <mdx n="508" f="v">
      <t c="3" si="4">
        <n x="509"/>
        <n x="115"/>
        <n x="1"/>
      </t>
    </mdx>
    <mdx n="508" f="v">
      <t c="3" si="475">
        <n x="509"/>
        <n x="170"/>
        <n x="474"/>
      </t>
    </mdx>
    <mdx n="508" f="v">
      <t c="3" si="4">
        <n x="509"/>
        <n x="254"/>
        <n x="469"/>
      </t>
    </mdx>
    <mdx n="508" f="v">
      <t c="3" si="4">
        <n x="509"/>
        <n x="138"/>
        <n x="470"/>
      </t>
    </mdx>
    <mdx n="508" f="v">
      <t c="3" si="4">
        <n x="509"/>
        <n x="425"/>
        <n x="472"/>
      </t>
    </mdx>
    <mdx n="508" f="v">
      <t c="3" si="4">
        <n x="509"/>
        <n x="275"/>
        <n x="467"/>
      </t>
    </mdx>
    <mdx n="508" f="v">
      <t c="3" si="4">
        <n x="509"/>
        <n x="96"/>
        <n x="1"/>
      </t>
    </mdx>
    <mdx n="508" f="v">
      <t c="3" si="4">
        <n x="509"/>
        <n x="285"/>
        <n x="1"/>
      </t>
    </mdx>
    <mdx n="508" f="v">
      <t c="3" si="475">
        <n x="509"/>
        <n x="279"/>
        <n x="474"/>
      </t>
    </mdx>
    <mdx n="508" f="v">
      <t c="3" si="4">
        <n x="509"/>
        <n x="362"/>
        <n x="1"/>
      </t>
    </mdx>
    <mdx n="508" f="v">
      <t c="3" si="4">
        <n x="509"/>
        <n x="141"/>
        <n x="469"/>
      </t>
    </mdx>
    <mdx n="508" f="v">
      <t c="3" si="4">
        <n x="509"/>
        <n x="460"/>
        <n x="473"/>
      </t>
    </mdx>
    <mdx n="508" f="v">
      <t c="3" si="4">
        <n x="509"/>
        <n x="143"/>
        <n x="470"/>
      </t>
    </mdx>
    <mdx n="508" f="v">
      <t c="3" si="4">
        <n x="509"/>
        <n x="326"/>
        <n x="470"/>
      </t>
    </mdx>
    <mdx n="508" f="v">
      <t c="3" si="4">
        <n x="509"/>
        <n x="417"/>
        <n x="469"/>
      </t>
    </mdx>
    <mdx n="508" f="v">
      <t c="3" si="4">
        <n x="509"/>
        <n x="33"/>
        <n x="469"/>
      </t>
    </mdx>
    <mdx n="508" f="v">
      <t c="3" si="4">
        <n x="509"/>
        <n x="344"/>
        <n x="472"/>
      </t>
    </mdx>
    <mdx n="508" f="v">
      <t c="3" si="4">
        <n x="509"/>
        <n x="143"/>
        <n x="473"/>
      </t>
    </mdx>
    <mdx n="508" f="v">
      <t c="3" si="4">
        <n x="509"/>
        <n x="41"/>
        <n x="2"/>
      </t>
    </mdx>
    <mdx n="508" f="v">
      <t c="3" si="4">
        <n x="509"/>
        <n x="24"/>
        <n x="2"/>
      </t>
    </mdx>
    <mdx n="508" f="v">
      <t c="3" si="4">
        <n x="509"/>
        <n x="286"/>
        <n x="470"/>
      </t>
    </mdx>
    <mdx n="508" f="v">
      <t c="3" si="4">
        <n x="509"/>
        <n x="13"/>
        <n x="470"/>
      </t>
    </mdx>
    <mdx n="508" f="v">
      <t c="3" si="4">
        <n x="509"/>
        <n x="192"/>
        <n x="469"/>
      </t>
    </mdx>
    <mdx n="508" f="v">
      <t c="3" si="4">
        <n x="509"/>
        <n x="18"/>
        <n x="472"/>
      </t>
    </mdx>
    <mdx n="508" f="v">
      <t c="3" si="4">
        <n x="509"/>
        <n x="114"/>
        <n x="472"/>
      </t>
    </mdx>
    <mdx n="508" f="v">
      <t c="3" si="4">
        <n x="509"/>
        <n x="334"/>
        <n x="467"/>
      </t>
    </mdx>
    <mdx n="508" f="v">
      <t c="3" si="4">
        <n x="509"/>
        <n x="276"/>
        <n x="2"/>
      </t>
    </mdx>
    <mdx n="508" f="v">
      <t c="3" si="4">
        <n x="509"/>
        <n x="189"/>
        <n x="467"/>
      </t>
    </mdx>
    <mdx n="508" f="v">
      <t c="3" si="4">
        <n x="509"/>
        <n x="88"/>
        <n x="469"/>
      </t>
    </mdx>
    <mdx n="508" f="v">
      <t c="3" si="4">
        <n x="509"/>
        <n x="346"/>
        <n x="470"/>
      </t>
    </mdx>
    <mdx n="508" f="v">
      <t c="3" si="4">
        <n x="509"/>
        <n x="210"/>
        <n x="472"/>
      </t>
    </mdx>
    <mdx n="508" f="v">
      <t c="3" si="4">
        <n x="509"/>
        <n x="91"/>
        <n x="2"/>
      </t>
    </mdx>
    <mdx n="508" f="v">
      <t c="3" si="4">
        <n x="509"/>
        <n x="90"/>
        <n x="467"/>
      </t>
    </mdx>
    <mdx n="508" f="v">
      <t c="3" si="475">
        <n x="509"/>
        <n x="342"/>
        <n x="474"/>
      </t>
    </mdx>
    <mdx n="508" f="v">
      <t c="3" si="4">
        <n x="509"/>
        <n x="84"/>
        <n x="5"/>
      </t>
    </mdx>
    <mdx n="508" f="v">
      <t c="3" si="4">
        <n x="509"/>
        <n x="395"/>
        <n x="470"/>
      </t>
    </mdx>
    <mdx n="508" f="v">
      <t c="3" si="4">
        <n x="509"/>
        <n x="17"/>
        <n x="470"/>
      </t>
    </mdx>
    <mdx n="508" f="v">
      <t c="3" si="4">
        <n x="509"/>
        <n x="87"/>
        <n x="473"/>
      </t>
    </mdx>
    <mdx n="508" f="v">
      <t c="3" si="4">
        <n x="509"/>
        <n x="113"/>
        <n x="470"/>
      </t>
    </mdx>
    <mdx n="508" f="v">
      <t c="3" si="4">
        <n x="509"/>
        <n x="453"/>
        <n x="470"/>
      </t>
    </mdx>
    <mdx n="508" f="v">
      <t c="3" si="4">
        <n x="509"/>
        <n x="460"/>
        <n x="2"/>
      </t>
    </mdx>
    <mdx n="508" f="v">
      <t c="3" si="4">
        <n x="509"/>
        <n x="214"/>
        <n x="1"/>
      </t>
    </mdx>
    <mdx n="508" f="v">
      <t c="3" si="4">
        <n x="509"/>
        <n x="246"/>
        <n x="2"/>
      </t>
    </mdx>
    <mdx n="508" f="v">
      <t c="3" si="4">
        <n x="509"/>
        <n x="279"/>
        <n x="467"/>
      </t>
    </mdx>
    <mdx n="508" f="v">
      <t c="3" si="4">
        <n x="509"/>
        <n x="450"/>
        <n x="469"/>
      </t>
    </mdx>
    <mdx n="508" f="v">
      <t c="3" si="4">
        <n x="509"/>
        <n x="292"/>
        <n x="2"/>
      </t>
    </mdx>
    <mdx n="508" f="v">
      <t c="3" si="475">
        <n x="509"/>
        <n x="454"/>
        <n x="474"/>
      </t>
    </mdx>
    <mdx n="508" f="v">
      <t c="3" si="475">
        <n x="509"/>
        <n x="56"/>
        <n x="474"/>
      </t>
    </mdx>
    <mdx n="508" f="v">
      <t c="3" si="4">
        <n x="509"/>
        <n x="213"/>
        <n x="467"/>
      </t>
    </mdx>
    <mdx n="508" f="v">
      <t c="3" si="4">
        <n x="509"/>
        <n x="394"/>
        <n x="469"/>
      </t>
    </mdx>
    <mdx n="508" f="v">
      <t c="3" si="4">
        <n x="509"/>
        <n x="326"/>
        <n x="472"/>
      </t>
    </mdx>
    <mdx n="508" f="v">
      <t c="3" si="4">
        <n x="509"/>
        <n x="58"/>
        <n x="472"/>
      </t>
    </mdx>
    <mdx n="508" f="v">
      <t c="3" si="4">
        <n x="509"/>
        <n x="248"/>
        <n x="2"/>
      </t>
    </mdx>
    <mdx n="508" f="v">
      <t c="3" si="4">
        <n x="509"/>
        <n x="223"/>
        <n x="469"/>
      </t>
    </mdx>
    <mdx n="508" f="v">
      <t c="3" si="4">
        <n x="509"/>
        <n x="169"/>
        <n x="1"/>
      </t>
    </mdx>
    <mdx n="508" f="v">
      <t c="3" si="4">
        <n x="509"/>
        <n x="442"/>
        <n x="1"/>
      </t>
    </mdx>
    <mdx n="508" f="v">
      <t c="3" si="4">
        <n x="509"/>
        <n x="306"/>
        <n x="2"/>
      </t>
    </mdx>
    <mdx n="508" f="v">
      <t c="3" si="4">
        <n x="509"/>
        <n x="139"/>
        <n x="5"/>
      </t>
    </mdx>
    <mdx n="508" f="v">
      <t c="3" si="4">
        <n x="509"/>
        <n x="101"/>
        <n x="470"/>
      </t>
    </mdx>
    <mdx n="508" f="v">
      <t c="3" si="4">
        <n x="509"/>
        <n x="314"/>
        <n x="467"/>
      </t>
    </mdx>
    <mdx n="508" f="v">
      <t c="3" si="4">
        <n x="509"/>
        <n x="389"/>
        <n x="467"/>
      </t>
    </mdx>
    <mdx n="508" f="v">
      <t c="3" si="4">
        <n x="509"/>
        <n x="91"/>
        <n x="472"/>
      </t>
    </mdx>
    <mdx n="508" f="v">
      <t c="3" si="475">
        <n x="509"/>
        <n x="64"/>
        <n x="474"/>
      </t>
    </mdx>
    <mdx n="508" f="v">
      <t c="3" si="4">
        <n x="509"/>
        <n x="187"/>
        <n x="467"/>
      </t>
    </mdx>
    <mdx n="508" f="v">
      <t c="3" si="4">
        <n x="509"/>
        <n x="42"/>
        <n x="470"/>
      </t>
    </mdx>
    <mdx n="508" f="v">
      <t c="3" si="4">
        <n x="509"/>
        <n x="376"/>
        <n x="473"/>
      </t>
    </mdx>
    <mdx n="508" f="v">
      <t c="3" si="4">
        <n x="509"/>
        <n x="250"/>
        <n x="470"/>
      </t>
    </mdx>
    <mdx n="508" f="v">
      <t c="3" si="4">
        <n x="509"/>
        <n x="364"/>
        <n x="5"/>
      </t>
    </mdx>
    <mdx n="508" f="v">
      <t c="3" si="4">
        <n x="509"/>
        <n x="259"/>
        <n x="469"/>
      </t>
    </mdx>
    <mdx n="508" f="v">
      <t c="3" si="475">
        <n x="509"/>
        <n x="208"/>
        <n x="474"/>
      </t>
    </mdx>
    <mdx n="508" f="v">
      <t c="3" si="4">
        <n x="509"/>
        <n x="31"/>
        <n x="470"/>
      </t>
    </mdx>
    <mdx n="508" f="v">
      <t c="3" si="4">
        <n x="509"/>
        <n x="403"/>
        <n x="2"/>
      </t>
    </mdx>
    <mdx n="508" f="v">
      <t c="3" si="4">
        <n x="509"/>
        <n x="220"/>
        <n x="470"/>
      </t>
    </mdx>
    <mdx n="508" f="v">
      <t c="3" si="4">
        <n x="509"/>
        <n x="426"/>
        <n x="2"/>
      </t>
    </mdx>
    <mdx n="508" f="v">
      <t c="3" si="4">
        <n x="509"/>
        <n x="6"/>
        <n x="5"/>
      </t>
    </mdx>
    <mdx n="508" f="v">
      <t c="3" si="4">
        <n x="509"/>
        <n x="454"/>
        <n x="469"/>
      </t>
    </mdx>
    <mdx n="508" f="v">
      <t c="3" si="4">
        <n x="509"/>
        <n x="110"/>
        <n x="467"/>
      </t>
    </mdx>
    <mdx n="508" f="v">
      <t c="3" si="4">
        <n x="509"/>
        <n x="255"/>
        <n x="472"/>
      </t>
    </mdx>
    <mdx n="508" f="v">
      <t c="3" si="4">
        <n x="509"/>
        <n x="401"/>
        <n x="472"/>
      </t>
    </mdx>
    <mdx n="508" f="v">
      <t c="3" si="4">
        <n x="509"/>
        <n x="278"/>
        <n x="469"/>
      </t>
    </mdx>
    <mdx n="508" f="v">
      <t c="3" si="4">
        <n x="509"/>
        <n x="179"/>
        <n x="470"/>
      </t>
    </mdx>
    <mdx n="508" f="v">
      <t c="3" si="4">
        <n x="509"/>
        <n x="52"/>
        <n x="467"/>
      </t>
    </mdx>
    <mdx n="508" f="v">
      <t c="3" si="4">
        <n x="509"/>
        <n x="6"/>
        <n x="469"/>
      </t>
    </mdx>
    <mdx n="508" f="v">
      <t c="3" si="4">
        <n x="509"/>
        <n x="287"/>
        <n x="469"/>
      </t>
    </mdx>
    <mdx n="508" f="v">
      <t c="3" si="4">
        <n x="509"/>
        <n x="332"/>
        <n x="469"/>
      </t>
    </mdx>
    <mdx n="508" f="v">
      <t c="3" si="475">
        <n x="509"/>
        <n x="251"/>
        <n x="474"/>
      </t>
    </mdx>
    <mdx n="508" f="v">
      <t c="3" si="4">
        <n x="509"/>
        <n x="293"/>
        <n x="467"/>
      </t>
    </mdx>
    <mdx n="508" f="v">
      <t c="3" si="4">
        <n x="509"/>
        <n x="111"/>
        <n x="467"/>
      </t>
    </mdx>
    <mdx n="508" f="v">
      <t c="3" si="475">
        <n x="509"/>
        <n x="457"/>
        <n x="474"/>
      </t>
    </mdx>
    <mdx n="508" f="v">
      <t c="3" si="4">
        <n x="509"/>
        <n x="105"/>
        <n x="470"/>
      </t>
    </mdx>
    <mdx n="508" f="v">
      <t c="3" si="4">
        <n x="509"/>
        <n x="88"/>
        <n x="470"/>
      </t>
    </mdx>
    <mdx n="508" f="v">
      <t c="3" si="4">
        <n x="509"/>
        <n x="3"/>
        <n x="470"/>
      </t>
    </mdx>
    <mdx n="508" f="v">
      <t c="3" si="4">
        <n x="509"/>
        <n x="332"/>
        <n x="472"/>
      </t>
    </mdx>
    <mdx n="508" f="v">
      <t c="3" si="4">
        <n x="509"/>
        <n x="99"/>
        <n x="469"/>
      </t>
    </mdx>
    <mdx n="508" f="v">
      <t c="3" si="475">
        <n x="509"/>
        <n x="452"/>
        <n x="474"/>
      </t>
    </mdx>
    <mdx n="508" f="v">
      <t c="3" si="4">
        <n x="509"/>
        <n x="123"/>
        <n x="2"/>
      </t>
    </mdx>
    <mdx n="508" f="v">
      <t c="3" si="4">
        <n x="509"/>
        <n x="235"/>
        <n x="473"/>
      </t>
    </mdx>
    <mdx n="508" f="v">
      <t c="3" si="4">
        <n x="509"/>
        <n x="198"/>
        <n x="472"/>
      </t>
    </mdx>
    <mdx n="508" f="v">
      <t c="3" si="4">
        <n x="509"/>
        <n x="358"/>
        <n x="5"/>
      </t>
    </mdx>
    <mdx n="508" f="v">
      <t c="3" si="4">
        <n x="509"/>
        <n x="423"/>
        <n x="472"/>
      </t>
    </mdx>
    <mdx n="508" f="v">
      <t c="3" si="4">
        <n x="509"/>
        <n x="436"/>
        <n x="469"/>
      </t>
    </mdx>
    <mdx n="508" f="v">
      <t c="3" si="4">
        <n x="509"/>
        <n x="384"/>
        <n x="472"/>
      </t>
    </mdx>
    <mdx n="508" f="v">
      <t c="3" si="4">
        <n x="509"/>
        <n x="302"/>
        <n x="470"/>
      </t>
    </mdx>
    <mdx n="508" f="v">
      <t c="3" si="4">
        <n x="509"/>
        <n x="173"/>
        <n x="467"/>
      </t>
    </mdx>
    <mdx n="508" f="v">
      <t c="3" si="4">
        <n x="509"/>
        <n x="363"/>
        <n x="470"/>
      </t>
    </mdx>
    <mdx n="508" f="v">
      <t c="3" si="475">
        <n x="509"/>
        <n x="280"/>
        <n x="474"/>
      </t>
    </mdx>
    <mdx n="508" f="v">
      <t c="3" si="4">
        <n x="509"/>
        <n x="302"/>
        <n x="467"/>
      </t>
    </mdx>
    <mdx n="508" f="v">
      <t c="3" si="475">
        <n x="509"/>
        <n x="440"/>
        <n x="474"/>
      </t>
    </mdx>
    <mdx n="508" f="v">
      <t c="3" si="475">
        <n x="509"/>
        <n x="463"/>
        <n x="474"/>
      </t>
    </mdx>
    <mdx n="508" f="v">
      <t c="3" si="4">
        <n x="509"/>
        <n x="99"/>
        <n x="470"/>
      </t>
    </mdx>
    <mdx n="508" f="v">
      <t c="3" si="475">
        <n x="509"/>
        <n x="54"/>
        <n x="474"/>
      </t>
    </mdx>
    <mdx n="508" f="v">
      <t c="3" si="4">
        <n x="509"/>
        <n x="229"/>
        <n x="472"/>
      </t>
    </mdx>
    <mdx n="508" f="v">
      <t c="3" si="4">
        <n x="509"/>
        <n x="382"/>
        <n x="472"/>
      </t>
    </mdx>
    <mdx n="508" f="v">
      <t c="3" si="4">
        <n x="509"/>
        <n x="159"/>
        <n x="2"/>
      </t>
    </mdx>
    <mdx n="508" f="v">
      <t c="3" si="4">
        <n x="509"/>
        <n x="398"/>
        <n x="470"/>
      </t>
    </mdx>
    <mdx n="508" f="v">
      <t c="3" si="4">
        <n x="509"/>
        <n x="260"/>
        <n x="472"/>
      </t>
    </mdx>
    <mdx n="508" f="v">
      <t c="3" si="4">
        <n x="509"/>
        <n x="413"/>
        <n x="472"/>
      </t>
    </mdx>
    <mdx n="508" f="v">
      <t c="3" si="4">
        <n x="509"/>
        <n x="46"/>
        <n x="469"/>
      </t>
    </mdx>
    <mdx n="508" f="v">
      <t c="3" si="4">
        <n x="509"/>
        <n x="398"/>
        <n x="467"/>
      </t>
    </mdx>
    <mdx n="508" f="v">
      <t c="3" si="4">
        <n x="509"/>
        <n x="58"/>
        <n x="2"/>
      </t>
    </mdx>
    <mdx n="508" f="v">
      <t c="3" si="4">
        <n x="509"/>
        <n x="359"/>
        <n x="467"/>
      </t>
    </mdx>
    <mdx n="508" f="v">
      <t c="3" si="4">
        <n x="509"/>
        <n x="378"/>
        <n x="472"/>
      </t>
    </mdx>
    <mdx n="508" f="v">
      <t c="3" si="4">
        <n x="509"/>
        <n x="366"/>
        <n x="473"/>
      </t>
    </mdx>
    <mdx n="508" f="v">
      <t c="3" si="475">
        <n x="509"/>
        <n x="421"/>
        <n x="474"/>
      </t>
    </mdx>
    <mdx n="508" f="v">
      <t c="3" si="4">
        <n x="509"/>
        <n x="356"/>
        <n x="1"/>
      </t>
    </mdx>
    <mdx n="508" f="v">
      <t c="3" si="4">
        <n x="509"/>
        <n x="383"/>
        <n x="467"/>
      </t>
    </mdx>
    <mdx n="508" f="v">
      <t c="3" si="4">
        <n x="509"/>
        <n x="443"/>
        <n x="472"/>
      </t>
    </mdx>
    <mdx n="508" f="v">
      <t c="3" si="4">
        <n x="509"/>
        <n x="158"/>
        <n x="470"/>
      </t>
    </mdx>
    <mdx n="508" f="v">
      <t c="3" si="4">
        <n x="509"/>
        <n x="343"/>
        <n x="467"/>
      </t>
    </mdx>
    <mdx n="508" f="v">
      <t c="3" si="4">
        <n x="509"/>
        <n x="154"/>
        <n x="473"/>
      </t>
    </mdx>
    <mdx n="508" f="v">
      <t c="3" si="475">
        <n x="509"/>
        <n x="137"/>
        <n x="474"/>
      </t>
    </mdx>
    <mdx n="508" f="v">
      <t c="3" si="4">
        <n x="509"/>
        <n x="21"/>
        <n x="470"/>
      </t>
    </mdx>
    <mdx n="508" f="v">
      <t c="3" si="4">
        <n x="509"/>
        <n x="39"/>
        <n x="473"/>
      </t>
    </mdx>
    <mdx n="508" f="v">
      <t c="3" si="4">
        <n x="509"/>
        <n x="325"/>
        <n x="467"/>
      </t>
    </mdx>
    <mdx n="508" f="v">
      <t c="3" si="4">
        <n x="509"/>
        <n x="150"/>
        <n x="1"/>
      </t>
    </mdx>
    <mdx n="508" f="v">
      <t c="3" si="4">
        <n x="509"/>
        <n x="61"/>
        <n x="469"/>
      </t>
    </mdx>
    <mdx n="508" f="v">
      <t c="3" si="4">
        <n x="509"/>
        <n x="402"/>
        <n x="5"/>
      </t>
    </mdx>
    <mdx n="508" f="v">
      <t c="3" si="4">
        <n x="509"/>
        <n x="455"/>
        <n x="2"/>
      </t>
    </mdx>
    <mdx n="508" f="v">
      <t c="3" si="475">
        <n x="509"/>
        <n x="180"/>
        <n x="474"/>
      </t>
    </mdx>
    <mdx n="508" f="v">
      <t c="3" si="4">
        <n x="509"/>
        <n x="28"/>
        <n x="469"/>
      </t>
    </mdx>
    <mdx n="508" f="v">
      <t c="3" si="4">
        <n x="509"/>
        <n x="355"/>
        <n x="469"/>
      </t>
    </mdx>
    <mdx n="508" f="v">
      <t c="3" si="4">
        <n x="509"/>
        <n x="6"/>
        <n x="2"/>
      </t>
    </mdx>
    <mdx n="508" f="v">
      <t c="3" si="4">
        <n x="509"/>
        <n x="57"/>
        <n x="472"/>
      </t>
    </mdx>
    <mdx n="508" f="v">
      <t c="3" si="4">
        <n x="509"/>
        <n x="128"/>
        <n x="1"/>
      </t>
    </mdx>
    <mdx n="508" f="v">
      <t c="3" si="4">
        <n x="509"/>
        <n x="15"/>
        <n x="469"/>
      </t>
    </mdx>
    <mdx n="508" f="v">
      <t c="3" si="4">
        <n x="509"/>
        <n x="406"/>
        <n x="472"/>
      </t>
    </mdx>
    <mdx n="508" f="v">
      <t c="3" si="4">
        <n x="509"/>
        <n x="381"/>
        <n x="5"/>
      </t>
    </mdx>
    <mdx n="508" f="v">
      <t c="3" si="475">
        <n x="509"/>
        <n x="301"/>
        <n x="474"/>
      </t>
    </mdx>
    <mdx n="508" f="v">
      <t c="3" si="4">
        <n x="509"/>
        <n x="13"/>
        <n x="472"/>
      </t>
    </mdx>
    <mdx n="508" f="v">
      <t c="3" si="4">
        <n x="509"/>
        <n x="220"/>
        <n x="472"/>
      </t>
    </mdx>
    <mdx n="508" f="v">
      <t c="3" si="4">
        <n x="509"/>
        <n x="351"/>
        <n x="1"/>
      </t>
    </mdx>
    <mdx n="508" f="v">
      <t c="3" si="4">
        <n x="509"/>
        <n x="423"/>
        <n x="470"/>
      </t>
    </mdx>
    <mdx n="508" f="v">
      <t c="3" si="4">
        <n x="509"/>
        <n x="112"/>
        <n x="469"/>
      </t>
    </mdx>
    <mdx n="508" f="v">
      <t c="3" si="4">
        <n x="509"/>
        <n x="65"/>
        <n x="469"/>
      </t>
    </mdx>
    <mdx n="508" f="v">
      <t c="3" si="475">
        <n x="509"/>
        <n x="8"/>
        <n x="474"/>
      </t>
    </mdx>
    <mdx n="508" f="v">
      <t c="3" si="4">
        <n x="509"/>
        <n x="276"/>
        <n x="469"/>
      </t>
    </mdx>
    <mdx n="508" f="v">
      <t c="3" si="4">
        <n x="509"/>
        <n x="379"/>
        <n x="2"/>
      </t>
    </mdx>
    <mdx n="508" f="v">
      <t c="3" si="475">
        <n x="509"/>
        <n x="200"/>
        <n x="474"/>
      </t>
    </mdx>
    <mdx n="508" f="v">
      <t c="3" si="4">
        <n x="509"/>
        <n x="141"/>
        <n x="467"/>
      </t>
    </mdx>
    <mdx n="508" f="v">
      <t c="3" si="4">
        <n x="509"/>
        <n x="54"/>
        <n x="467"/>
      </t>
    </mdx>
    <mdx n="508" f="v">
      <t c="3" si="4">
        <n x="509"/>
        <n x="151"/>
        <n x="469"/>
      </t>
    </mdx>
    <mdx n="508" f="v">
      <t c="3" si="4">
        <n x="509"/>
        <n x="320"/>
        <n x="1"/>
      </t>
    </mdx>
    <mdx n="508" f="v">
      <t c="3" si="4">
        <n x="509"/>
        <n x="306"/>
        <n x="473"/>
      </t>
    </mdx>
    <mdx n="508" f="v">
      <t c="3" si="4">
        <n x="509"/>
        <n x="438"/>
        <n x="470"/>
      </t>
    </mdx>
    <mdx n="508" f="v">
      <t c="3" si="4">
        <n x="509"/>
        <n x="450"/>
        <n x="473"/>
      </t>
    </mdx>
    <mdx n="508" f="v">
      <t c="3" si="4">
        <n x="509"/>
        <n x="124"/>
        <n x="1"/>
      </t>
    </mdx>
    <mdx n="508" f="v">
      <t c="3" si="4">
        <n x="509"/>
        <n x="329"/>
        <n x="470"/>
      </t>
    </mdx>
    <mdx n="508" f="v">
      <t c="3" si="475">
        <n x="509"/>
        <n x="203"/>
        <n x="474"/>
      </t>
    </mdx>
    <mdx n="508" f="v">
      <t c="3" si="4">
        <n x="509"/>
        <n x="216"/>
        <n x="2"/>
      </t>
    </mdx>
    <mdx n="508" f="v">
      <t c="3" si="4">
        <n x="509"/>
        <n x="249"/>
        <n x="1"/>
      </t>
    </mdx>
    <mdx n="508" f="v">
      <t c="3" si="4">
        <n x="509"/>
        <n x="404"/>
        <n x="2"/>
      </t>
    </mdx>
    <mdx n="508" f="v">
      <t c="3" si="4">
        <n x="509"/>
        <n x="445"/>
        <n x="470"/>
      </t>
    </mdx>
    <mdx n="508" f="v">
      <t c="3" si="4">
        <n x="509"/>
        <n x="268"/>
        <n x="469"/>
      </t>
    </mdx>
    <mdx n="508" f="v">
      <t c="3" si="475">
        <n x="509"/>
        <n x="206"/>
        <n x="474"/>
      </t>
    </mdx>
    <mdx n="508" f="v">
      <t c="3" si="4">
        <n x="509"/>
        <n x="213"/>
        <n x="469"/>
      </t>
    </mdx>
    <mdx n="508" f="v">
      <t c="3" si="4">
        <n x="509"/>
        <n x="70"/>
        <n x="470"/>
      </t>
    </mdx>
    <mdx n="508" f="v">
      <t c="3" si="4">
        <n x="509"/>
        <n x="303"/>
        <n x="472"/>
      </t>
    </mdx>
    <mdx n="508" f="v">
      <t c="3" si="4">
        <n x="509"/>
        <n x="358"/>
        <n x="2"/>
      </t>
    </mdx>
    <mdx n="508" f="v">
      <t c="3" si="4">
        <n x="509"/>
        <n x="234"/>
        <n x="2"/>
      </t>
    </mdx>
    <mdx n="508" f="v">
      <t c="3" si="4">
        <n x="509"/>
        <n x="16"/>
        <n x="472"/>
      </t>
    </mdx>
    <mdx n="508" f="v">
      <t c="3" si="4">
        <n x="509"/>
        <n x="181"/>
        <n x="472"/>
      </t>
    </mdx>
    <mdx n="508" f="v">
      <t c="3" si="4">
        <n x="509"/>
        <n x="411"/>
        <n x="470"/>
      </t>
    </mdx>
    <mdx n="508" f="v">
      <t c="3" si="475">
        <n x="509"/>
        <n x="179"/>
        <n x="474"/>
      </t>
    </mdx>
    <mdx n="508" f="v">
      <t c="3" si="4">
        <n x="509"/>
        <n x="217"/>
        <n x="1"/>
      </t>
    </mdx>
    <mdx n="508" f="v">
      <t c="3" si="4">
        <n x="509"/>
        <n x="224"/>
        <n x="469"/>
      </t>
    </mdx>
    <mdx n="508" f="v">
      <t c="3" si="4">
        <n x="509"/>
        <n x="390"/>
        <n x="2"/>
      </t>
    </mdx>
    <mdx n="508" f="v">
      <t c="3" si="475">
        <n x="509"/>
        <n x="116"/>
        <n x="474"/>
      </t>
    </mdx>
    <mdx n="508" f="v">
      <t c="3" si="4">
        <n x="509"/>
        <n x="445"/>
        <n x="2"/>
      </t>
    </mdx>
    <mdx n="508" f="v">
      <t c="3" si="4">
        <n x="509"/>
        <n x="43"/>
        <n x="1"/>
      </t>
    </mdx>
    <mdx n="508" f="v">
      <t c="3" si="4">
        <n x="509"/>
        <n x="187"/>
        <n x="470"/>
      </t>
    </mdx>
    <mdx n="508" f="v">
      <t c="3" si="4">
        <n x="509"/>
        <n x="444"/>
        <n x="473"/>
      </t>
    </mdx>
    <mdx n="508" f="v">
      <t c="3" si="4">
        <n x="509"/>
        <n x="336"/>
        <n x="472"/>
      </t>
    </mdx>
    <mdx n="508" f="v">
      <t c="3" si="4">
        <n x="509"/>
        <n x="313"/>
        <n x="470"/>
      </t>
    </mdx>
    <mdx n="508" f="v">
      <t c="3" si="4">
        <n x="509"/>
        <n x="261"/>
        <n x="470"/>
      </t>
    </mdx>
    <mdx n="508" f="v">
      <t c="3" si="4">
        <n x="509"/>
        <n x="215"/>
        <n x="472"/>
      </t>
    </mdx>
    <mdx n="508" f="v">
      <t c="3" si="4">
        <n x="509"/>
        <n x="285"/>
        <n x="469"/>
      </t>
    </mdx>
    <mdx n="508" f="v">
      <t c="3" si="475">
        <n x="509"/>
        <n x="20"/>
        <n x="474"/>
      </t>
    </mdx>
    <mdx n="508" f="v">
      <t c="3" si="4">
        <n x="509"/>
        <n x="35"/>
        <n x="2"/>
      </t>
    </mdx>
    <mdx n="508" f="v">
      <t c="3" si="4">
        <n x="509"/>
        <n x="207"/>
        <n x="473"/>
      </t>
    </mdx>
    <mdx n="508" f="v">
      <t c="3" si="4">
        <n x="509"/>
        <n x="25"/>
        <n x="473"/>
      </t>
    </mdx>
    <mdx n="508" f="v">
      <t c="3" si="4">
        <n x="509"/>
        <n x="191"/>
        <n x="472"/>
      </t>
    </mdx>
    <mdx n="508" f="v">
      <t c="3" si="475">
        <n x="509"/>
        <n x="436"/>
        <n x="474"/>
      </t>
    </mdx>
    <mdx n="508" f="v">
      <t c="3" si="4">
        <n x="509"/>
        <n x="352"/>
        <n x="469"/>
      </t>
    </mdx>
    <mdx n="508" f="v">
      <t c="3" si="4">
        <n x="509"/>
        <n x="131"/>
        <n x="467"/>
      </t>
    </mdx>
    <mdx n="508" f="v">
      <t c="3" si="4">
        <n x="509"/>
        <n x="25"/>
        <n x="467"/>
      </t>
    </mdx>
    <mdx n="508" f="v">
      <t c="3" si="4">
        <n x="509"/>
        <n x="254"/>
        <n x="473"/>
      </t>
    </mdx>
    <mdx n="508" f="v">
      <t c="3" si="4">
        <n x="509"/>
        <n x="128"/>
        <n x="470"/>
      </t>
    </mdx>
    <mdx n="508" f="v">
      <t c="3" si="4">
        <n x="509"/>
        <n x="240"/>
        <n x="2"/>
      </t>
    </mdx>
    <mdx n="508" f="v">
      <t c="3" si="4">
        <n x="509"/>
        <n x="124"/>
        <n x="467"/>
      </t>
    </mdx>
    <mdx n="508" f="v">
      <t c="3" si="4">
        <n x="509"/>
        <n x="414"/>
        <n x="470"/>
      </t>
    </mdx>
    <mdx n="508" f="v">
      <t c="3" si="4">
        <n x="509"/>
        <n x="454"/>
        <n x="467"/>
      </t>
    </mdx>
    <mdx n="508" f="v">
      <t c="3" si="475">
        <n x="509"/>
        <n x="17"/>
        <n x="474"/>
      </t>
    </mdx>
    <mdx n="508" f="v">
      <t c="3" si="475">
        <n x="509"/>
        <n x="335"/>
        <n x="474"/>
      </t>
    </mdx>
    <mdx n="508" f="v">
      <t c="3" si="4">
        <n x="509"/>
        <n x="374"/>
        <n x="473"/>
      </t>
    </mdx>
    <mdx n="508" f="v">
      <t c="3" si="4">
        <n x="509"/>
        <n x="139"/>
        <n x="467"/>
      </t>
    </mdx>
    <mdx n="508" f="v">
      <t c="3" si="475">
        <n x="509"/>
        <n x="107"/>
        <n x="474"/>
      </t>
    </mdx>
    <mdx n="508" f="v">
      <t c="3" si="4">
        <n x="509"/>
        <n x="10"/>
        <n x="473"/>
      </t>
    </mdx>
    <mdx n="508" f="v">
      <t c="3" si="4">
        <n x="509"/>
        <n x="361"/>
        <n x="470"/>
      </t>
    </mdx>
    <mdx n="508" f="v">
      <t c="3" si="4">
        <n x="509"/>
        <n x="176"/>
        <n x="467"/>
      </t>
    </mdx>
    <mdx n="508" f="v">
      <t c="3" si="4">
        <n x="509"/>
        <n x="355"/>
        <n x="1"/>
      </t>
    </mdx>
    <mdx n="508" f="v">
      <t c="3" si="4">
        <n x="509"/>
        <n x="280"/>
        <n x="472"/>
      </t>
    </mdx>
    <mdx n="508" f="v">
      <t c="3" si="4">
        <n x="509"/>
        <n x="463"/>
        <n x="469"/>
      </t>
    </mdx>
    <mdx n="508" f="v">
      <t c="3" si="4">
        <n x="509"/>
        <n x="99"/>
        <n x="472"/>
      </t>
    </mdx>
    <mdx n="508" f="v">
      <t c="3" si="4">
        <n x="509"/>
        <n x="80"/>
        <n x="469"/>
      </t>
    </mdx>
    <mdx n="508" f="v">
      <t c="3" si="4">
        <n x="509"/>
        <n x="365"/>
        <n x="467"/>
      </t>
    </mdx>
    <mdx n="508" f="v">
      <t c="3" si="4">
        <n x="509"/>
        <n x="188"/>
        <n x="2"/>
      </t>
    </mdx>
    <mdx n="508" f="v">
      <t c="3" si="4">
        <n x="509"/>
        <n x="158"/>
        <n x="469"/>
      </t>
    </mdx>
    <mdx n="508" f="v">
      <t c="3" si="4">
        <n x="509"/>
        <n x="23"/>
        <n x="470"/>
      </t>
    </mdx>
    <mdx n="508" f="v">
      <t c="3" si="475">
        <n x="509"/>
        <n x="132"/>
        <n x="474"/>
      </t>
    </mdx>
    <mdx n="508" f="v">
      <t c="3" si="4">
        <n x="509"/>
        <n x="279"/>
        <n x="472"/>
      </t>
    </mdx>
    <mdx n="508" f="v">
      <t c="3" si="475">
        <n x="509"/>
        <n x="39"/>
        <n x="474"/>
      </t>
    </mdx>
    <mdx n="508" f="v">
      <t c="3" si="4">
        <n x="509"/>
        <n x="290"/>
        <n x="470"/>
      </t>
    </mdx>
    <mdx n="508" f="v">
      <t c="3" si="4">
        <n x="509"/>
        <n x="211"/>
        <n x="467"/>
      </t>
    </mdx>
    <mdx n="508" f="v">
      <t c="3" si="475">
        <n x="509"/>
        <n x="240"/>
        <n x="474"/>
      </t>
    </mdx>
    <mdx n="508" f="v">
      <t c="3" si="475">
        <n x="509"/>
        <n x="286"/>
        <n x="474"/>
      </t>
    </mdx>
    <mdx n="508" f="v">
      <t c="3" si="4">
        <n x="509"/>
        <n x="247"/>
        <n x="470"/>
      </t>
    </mdx>
    <mdx n="508" f="v">
      <t c="3" si="4">
        <n x="509"/>
        <n x="437"/>
        <n x="472"/>
      </t>
    </mdx>
    <mdx n="508" f="v">
      <t c="3" si="4">
        <n x="509"/>
        <n x="186"/>
        <n x="470"/>
      </t>
    </mdx>
    <mdx n="508" f="v">
      <t c="3" si="4">
        <n x="509"/>
        <n x="155"/>
        <n x="469"/>
      </t>
    </mdx>
    <mdx n="508" f="v">
      <t c="3" si="4">
        <n x="509"/>
        <n x="226"/>
        <n x="5"/>
      </t>
    </mdx>
    <mdx n="508" f="v">
      <t c="3" si="4">
        <n x="509"/>
        <n x="244"/>
        <n x="469"/>
      </t>
    </mdx>
    <mdx n="508" f="v">
      <t c="3" si="4">
        <n x="509"/>
        <n x="391"/>
        <n x="472"/>
      </t>
    </mdx>
    <mdx n="508" f="v">
      <t c="3" si="4">
        <n x="509"/>
        <n x="268"/>
        <n x="467"/>
      </t>
    </mdx>
    <mdx n="508" f="v">
      <t c="3" si="4">
        <n x="509"/>
        <n x="386"/>
        <n x="470"/>
      </t>
    </mdx>
    <mdx n="508" f="v">
      <t c="3" si="4">
        <n x="509"/>
        <n x="70"/>
        <n x="2"/>
      </t>
    </mdx>
    <mdx n="508" f="v">
      <t c="3" si="4">
        <n x="509"/>
        <n x="382"/>
        <n x="469"/>
      </t>
    </mdx>
    <mdx n="508" f="v">
      <t c="3" si="4">
        <n x="509"/>
        <n x="278"/>
        <n x="472"/>
      </t>
    </mdx>
    <mdx n="508" f="v">
      <t c="3" si="475">
        <n x="509"/>
        <n x="193"/>
        <n x="474"/>
      </t>
    </mdx>
    <mdx n="508" f="v">
      <t c="3" si="4">
        <n x="509"/>
        <n x="111"/>
        <n x="472"/>
      </t>
    </mdx>
    <mdx n="508" f="v">
      <t c="3" si="4">
        <n x="509"/>
        <n x="323"/>
        <n x="467"/>
      </t>
    </mdx>
    <mdx n="508" f="v">
      <t c="3" si="4">
        <n x="509"/>
        <n x="80"/>
        <n x="470"/>
      </t>
    </mdx>
    <mdx n="508" f="v">
      <t c="3" si="4">
        <n x="509"/>
        <n x="21"/>
        <n x="469"/>
      </t>
    </mdx>
    <mdx n="508" f="v">
      <t c="3" si="4">
        <n x="509"/>
        <n x="402"/>
        <n x="469"/>
      </t>
    </mdx>
    <mdx n="508" f="v">
      <t c="3" si="4">
        <n x="509"/>
        <n x="312"/>
        <n x="472"/>
      </t>
    </mdx>
    <mdx n="508" f="v">
      <t c="3" si="4">
        <n x="509"/>
        <n x="26"/>
        <n x="470"/>
      </t>
    </mdx>
    <mdx n="508" f="v">
      <t c="3" si="4">
        <n x="509"/>
        <n x="189"/>
        <n x="472"/>
      </t>
    </mdx>
    <mdx n="508" f="v">
      <t c="3" si="4">
        <n x="509"/>
        <n x="233"/>
        <n x="472"/>
      </t>
    </mdx>
    <mdx n="508" f="v">
      <t c="3" si="4">
        <n x="509"/>
        <n x="259"/>
        <n x="472"/>
      </t>
    </mdx>
    <mdx n="508" f="v">
      <t c="3" si="4">
        <n x="509"/>
        <n x="349"/>
        <n x="1"/>
      </t>
    </mdx>
    <mdx n="508" f="v">
      <t c="3" si="4">
        <n x="509"/>
        <n x="272"/>
        <n x="470"/>
      </t>
    </mdx>
    <mdx n="508" f="v">
      <t c="3" si="4">
        <n x="509"/>
        <n x="378"/>
        <n x="470"/>
      </t>
    </mdx>
    <mdx n="508" f="v">
      <t c="3" si="4">
        <n x="509"/>
        <n x="124"/>
        <n x="470"/>
      </t>
    </mdx>
    <mdx n="508" f="v">
      <t c="3" si="4">
        <n x="509"/>
        <n x="215"/>
        <n x="467"/>
      </t>
    </mdx>
    <mdx n="508" f="v">
      <t c="3" si="4">
        <n x="509"/>
        <n x="338"/>
        <n x="469"/>
      </t>
    </mdx>
    <mdx n="508" f="v">
      <t c="3" si="4">
        <n x="509"/>
        <n x="312"/>
        <n x="473"/>
      </t>
    </mdx>
    <mdx n="508" f="v">
      <t c="3" si="4">
        <n x="509"/>
        <n x="108"/>
        <n x="469"/>
      </t>
    </mdx>
    <mdx n="508" f="v">
      <t c="3" si="4">
        <n x="509"/>
        <n x="208"/>
        <n x="469"/>
      </t>
    </mdx>
    <mdx n="508" f="v">
      <t c="3" si="4">
        <n x="509"/>
        <n x="351"/>
        <n x="473"/>
      </t>
    </mdx>
    <mdx n="508" f="v">
      <t c="3" si="4">
        <n x="509"/>
        <n x="251"/>
        <n x="469"/>
      </t>
    </mdx>
    <mdx n="508" f="v">
      <t c="3" si="4">
        <n x="509"/>
        <n x="194"/>
        <n x="472"/>
      </t>
    </mdx>
    <mdx n="508" f="v">
      <t c="3" si="4">
        <n x="509"/>
        <n x="449"/>
        <n x="467"/>
      </t>
    </mdx>
    <mdx n="508" f="v">
      <t c="3" si="4">
        <n x="509"/>
        <n x="227"/>
        <n x="470"/>
      </t>
    </mdx>
    <mdx n="508" f="v">
      <t c="3" si="4">
        <n x="509"/>
        <n x="244"/>
        <n x="467"/>
      </t>
    </mdx>
    <mdx n="508" f="v">
      <t c="3" si="4">
        <n x="509"/>
        <n x="230"/>
        <n x="467"/>
      </t>
    </mdx>
    <mdx n="508" f="v">
      <t c="3" si="4">
        <n x="509"/>
        <n x="423"/>
        <n x="469"/>
      </t>
    </mdx>
    <mdx n="508" f="v">
      <t c="3" si="4">
        <n x="509"/>
        <n x="388"/>
        <n x="2"/>
      </t>
    </mdx>
    <mdx n="508" f="v">
      <t c="3" si="4">
        <n x="509"/>
        <n x="406"/>
        <n x="469"/>
      </t>
    </mdx>
    <mdx n="508" f="v">
      <t c="3" si="4">
        <n x="509"/>
        <n x="216"/>
        <n x="470"/>
      </t>
    </mdx>
    <mdx n="508" f="v">
      <t c="3" si="4">
        <n x="509"/>
        <n x="47"/>
        <n x="469"/>
      </t>
    </mdx>
    <mdx n="508" f="v">
      <t c="3" si="4">
        <n x="509"/>
        <n x="401"/>
        <n x="469"/>
      </t>
    </mdx>
    <mdx n="508" f="v">
      <t c="3" si="4">
        <n x="509"/>
        <n x="261"/>
        <n x="469"/>
      </t>
    </mdx>
    <mdx n="508" f="v">
      <t c="3" si="475">
        <n x="509"/>
        <n x="99"/>
        <n x="474"/>
      </t>
    </mdx>
    <mdx n="508" f="v">
      <t c="3" si="4">
        <n x="509"/>
        <n x="202"/>
        <n x="1"/>
      </t>
    </mdx>
    <mdx n="508" f="v">
      <t c="3" si="4">
        <n x="509"/>
        <n x="310"/>
        <n x="469"/>
      </t>
    </mdx>
    <mdx n="508" f="v">
      <t c="3" si="4">
        <n x="509"/>
        <n x="37"/>
        <n x="2"/>
      </t>
    </mdx>
    <mdx n="508" f="v">
      <t c="3" si="4">
        <n x="509"/>
        <n x="66"/>
        <n x="473"/>
      </t>
    </mdx>
    <mdx n="508" f="v">
      <t c="3" si="4">
        <n x="509"/>
        <n x="372"/>
        <n x="467"/>
      </t>
    </mdx>
    <mdx n="508" f="v">
      <t c="3" si="4">
        <n x="509"/>
        <n x="23"/>
        <n x="5"/>
      </t>
    </mdx>
    <mdx n="508" f="v">
      <t c="3" si="4">
        <n x="509"/>
        <n x="284"/>
        <n x="2"/>
      </t>
    </mdx>
    <mdx n="508" f="v">
      <t c="3" si="4">
        <n x="509"/>
        <n x="23"/>
        <n x="467"/>
      </t>
    </mdx>
    <mdx n="508" f="v">
      <t c="3" si="4">
        <n x="509"/>
        <n x="67"/>
        <n x="472"/>
      </t>
    </mdx>
    <mdx n="508" f="v">
      <t c="3" si="4">
        <n x="509"/>
        <n x="77"/>
        <n x="469"/>
      </t>
    </mdx>
    <mdx n="508" f="v">
      <t c="3" si="4">
        <n x="509"/>
        <n x="205"/>
        <n x="1"/>
      </t>
    </mdx>
    <mdx n="508" f="v">
      <t c="3" si="4">
        <n x="509"/>
        <n x="234"/>
        <n x="469"/>
      </t>
    </mdx>
    <mdx n="508" f="v">
      <t c="3" si="4">
        <n x="509"/>
        <n x="168"/>
        <n x="470"/>
      </t>
    </mdx>
    <mdx n="508" f="v">
      <t c="3" si="4">
        <n x="509"/>
        <n x="103"/>
        <n x="5"/>
      </t>
    </mdx>
    <mdx n="508" f="v">
      <t c="3" si="4">
        <n x="509"/>
        <n x="429"/>
        <n x="473"/>
      </t>
    </mdx>
    <mdx n="508" f="v">
      <t c="3" si="4">
        <n x="509"/>
        <n x="172"/>
        <n x="2"/>
      </t>
    </mdx>
    <mdx n="508" f="v">
      <t c="3" si="4">
        <n x="509"/>
        <n x="23"/>
        <n x="2"/>
      </t>
    </mdx>
    <mdx n="508" f="v">
      <t c="3" si="475">
        <n x="509"/>
        <n x="241"/>
        <n x="474"/>
      </t>
    </mdx>
    <mdx n="508" f="v">
      <t c="3" si="4">
        <n x="509"/>
        <n x="381"/>
        <n x="473"/>
      </t>
    </mdx>
    <mdx n="508" f="v">
      <t c="3" si="4">
        <n x="509"/>
        <n x="14"/>
        <n x="472"/>
      </t>
    </mdx>
    <mdx n="508" f="v">
      <t c="3" si="4">
        <n x="509"/>
        <n x="364"/>
        <n x="470"/>
      </t>
    </mdx>
    <mdx n="508" f="v">
      <t c="3" si="475">
        <n x="509"/>
        <n x="250"/>
        <n x="474"/>
      </t>
    </mdx>
    <mdx n="508" f="v">
      <t c="3" si="4">
        <n x="509"/>
        <n x="31"/>
        <n x="473"/>
      </t>
    </mdx>
    <mdx n="508" f="v">
      <t c="3" si="4">
        <n x="509"/>
        <n x="288"/>
        <n x="473"/>
      </t>
    </mdx>
    <mdx n="508" f="v">
      <t c="3" si="4">
        <n x="509"/>
        <n x="48"/>
        <n x="467"/>
      </t>
    </mdx>
    <mdx n="508" f="v">
      <t c="3" si="475">
        <n x="509"/>
        <n x="391"/>
        <n x="474"/>
      </t>
    </mdx>
    <mdx n="508" f="v">
      <t c="3" si="4">
        <n x="509"/>
        <n x="363"/>
        <n x="467"/>
      </t>
    </mdx>
    <mdx n="508" f="v">
      <t c="3" si="4">
        <n x="509"/>
        <n x="331"/>
        <n x="469"/>
      </t>
    </mdx>
    <mdx n="508" f="v">
      <t c="3" si="475">
        <n x="509"/>
        <n x="6"/>
        <n x="474"/>
      </t>
    </mdx>
    <mdx n="508" f="v">
      <t c="3" si="4">
        <n x="509"/>
        <n x="433"/>
        <n x="473"/>
      </t>
    </mdx>
    <mdx n="508" f="v">
      <t c="3" si="4">
        <n x="509"/>
        <n x="215"/>
        <n x="470"/>
      </t>
    </mdx>
    <mdx n="508" f="v">
      <t c="3" si="4">
        <n x="509"/>
        <n x="379"/>
        <n x="470"/>
      </t>
    </mdx>
    <mdx n="508" f="v">
      <t c="3" si="4">
        <n x="509"/>
        <n x="219"/>
        <n x="472"/>
      </t>
    </mdx>
    <mdx n="508" f="v">
      <t c="3" si="4">
        <n x="509"/>
        <n x="464"/>
        <n x="467"/>
      </t>
    </mdx>
    <mdx n="508" f="v">
      <t c="3" si="4">
        <n x="509"/>
        <n x="347"/>
        <n x="473"/>
      </t>
    </mdx>
    <mdx n="508" f="v">
      <t c="3" si="4">
        <n x="509"/>
        <n x="11"/>
        <n x="472"/>
      </t>
    </mdx>
    <mdx n="508" f="v">
      <t c="3" si="4">
        <n x="509"/>
        <n x="39"/>
        <n x="470"/>
      </t>
    </mdx>
    <mdx n="508" f="v">
      <t c="3" si="4">
        <n x="509"/>
        <n x="128"/>
        <n x="469"/>
      </t>
    </mdx>
    <mdx n="508" f="v">
      <t c="3" si="4">
        <n x="509"/>
        <n x="174"/>
        <n x="469"/>
      </t>
    </mdx>
    <mdx n="508" f="v">
      <t c="3" si="4">
        <n x="509"/>
        <n x="365"/>
        <n x="473"/>
      </t>
    </mdx>
    <mdx n="508" f="v">
      <t c="3" si="4">
        <n x="509"/>
        <n x="251"/>
        <n x="470"/>
      </t>
    </mdx>
    <mdx n="508" f="v">
      <t c="3" si="4">
        <n x="509"/>
        <n x="77"/>
        <n x="472"/>
      </t>
    </mdx>
    <mdx n="508" f="v">
      <t c="3" si="4">
        <n x="509"/>
        <n x="278"/>
        <n x="1"/>
      </t>
    </mdx>
    <mdx n="508" f="v">
      <t c="3" si="4">
        <n x="509"/>
        <n x="125"/>
        <n x="470"/>
      </t>
    </mdx>
    <mdx n="508" f="v">
      <t c="3" si="4">
        <n x="509"/>
        <n x="291"/>
        <n x="467"/>
      </t>
    </mdx>
    <mdx n="508" f="v">
      <t c="3" si="4">
        <n x="509"/>
        <n x="348"/>
        <n x="472"/>
      </t>
    </mdx>
    <mdx n="508" f="v">
      <t c="3" si="4">
        <n x="509"/>
        <n x="85"/>
        <n x="472"/>
      </t>
    </mdx>
    <mdx n="508" f="v">
      <t c="3" si="4">
        <n x="509"/>
        <n x="169"/>
        <n x="469"/>
      </t>
    </mdx>
    <mdx n="508" f="v">
      <t c="3" si="4">
        <n x="509"/>
        <n x="9"/>
        <n x="472"/>
      </t>
    </mdx>
    <mdx n="508" f="v">
      <t c="3" si="475">
        <n x="509"/>
        <n x="429"/>
        <n x="474"/>
      </t>
    </mdx>
    <mdx n="508" f="v">
      <t c="3" si="4">
        <n x="509"/>
        <n x="55"/>
        <n x="469"/>
      </t>
    </mdx>
    <mdx n="508" f="v">
      <t c="3" si="4">
        <n x="509"/>
        <n x="70"/>
        <n x="1"/>
      </t>
    </mdx>
    <mdx n="508" f="v">
      <t c="3" si="4">
        <n x="509"/>
        <n x="134"/>
        <n x="472"/>
      </t>
    </mdx>
    <mdx n="508" f="v">
      <t c="3" si="4">
        <n x="509"/>
        <n x="34"/>
        <n x="467"/>
      </t>
    </mdx>
    <mdx n="508" f="v">
      <t c="3" si="4">
        <n x="509"/>
        <n x="183"/>
        <n x="470"/>
      </t>
    </mdx>
    <mdx n="508" f="v">
      <t c="3" si="4">
        <n x="509"/>
        <n x="260"/>
        <n x="470"/>
      </t>
    </mdx>
    <mdx n="508" f="v">
      <t c="3" si="4">
        <n x="509"/>
        <n x="293"/>
        <n x="2"/>
      </t>
    </mdx>
    <mdx n="508" f="v">
      <t c="3" si="4">
        <n x="509"/>
        <n x="202"/>
        <n x="469"/>
      </t>
    </mdx>
    <mdx n="508" f="v">
      <t c="3" si="4">
        <n x="509"/>
        <n x="235"/>
        <n x="1"/>
      </t>
    </mdx>
    <mdx n="508" f="v">
      <t c="3" si="4">
        <n x="509"/>
        <n x="135"/>
        <n x="472"/>
      </t>
    </mdx>
    <mdx n="508" f="v">
      <t c="3" si="4">
        <n x="509"/>
        <n x="322"/>
        <n x="470"/>
      </t>
    </mdx>
    <mdx n="508" f="v">
      <t c="3" si="4">
        <n x="509"/>
        <n x="286"/>
        <n x="473"/>
      </t>
    </mdx>
    <mdx n="508" f="v">
      <t c="3" si="4">
        <n x="509"/>
        <n x="134"/>
        <n x="5"/>
      </t>
    </mdx>
    <mdx n="508" f="v">
      <t c="3" si="4">
        <n x="509"/>
        <n x="141"/>
        <n x="470"/>
      </t>
    </mdx>
    <mdx n="508" f="v">
      <t c="3" si="4">
        <n x="509"/>
        <n x="447"/>
        <n x="472"/>
      </t>
    </mdx>
    <mdx n="508" f="v">
      <t c="3" si="4">
        <n x="509"/>
        <n x="94"/>
        <n x="1"/>
      </t>
    </mdx>
    <mdx n="508" f="v">
      <t c="3" si="475">
        <n x="509"/>
        <n x="324"/>
        <n x="474"/>
      </t>
    </mdx>
    <mdx n="508" f="v">
      <t c="3" si="4">
        <n x="509"/>
        <n x="354"/>
        <n x="472"/>
      </t>
    </mdx>
    <mdx n="508" f="v">
      <t c="3" si="4">
        <n x="509"/>
        <n x="437"/>
        <n x="2"/>
      </t>
    </mdx>
    <mdx n="508" f="v">
      <t c="3" si="4">
        <n x="509"/>
        <n x="436"/>
        <n x="5"/>
      </t>
    </mdx>
    <mdx n="508" f="v">
      <t c="3" si="4">
        <n x="509"/>
        <n x="74"/>
        <n x="1"/>
      </t>
    </mdx>
    <mdx n="508" f="v">
      <t c="3" si="4">
        <n x="509"/>
        <n x="354"/>
        <n x="467"/>
      </t>
    </mdx>
    <mdx n="508" f="v">
      <t c="3" si="4">
        <n x="509"/>
        <n x="135"/>
        <n x="2"/>
      </t>
    </mdx>
    <mdx n="508" f="v">
      <t c="3" si="4">
        <n x="509"/>
        <n x="138"/>
        <n x="472"/>
      </t>
    </mdx>
    <mdx n="508" f="v">
      <t c="3" si="4">
        <n x="509"/>
        <n x="140"/>
        <n x="469"/>
      </t>
    </mdx>
    <mdx n="508" f="v">
      <t c="3" si="4">
        <n x="509"/>
        <n x="217"/>
        <n x="473"/>
      </t>
    </mdx>
    <mdx n="508" f="v">
      <t c="3" si="475">
        <n x="509"/>
        <n x="178"/>
        <n x="474"/>
      </t>
    </mdx>
    <mdx n="508" f="v">
      <t c="3" si="4">
        <n x="509"/>
        <n x="376"/>
        <n x="467"/>
      </t>
    </mdx>
    <mdx n="508" f="v">
      <t c="3" si="4">
        <n x="509"/>
        <n x="292"/>
        <n x="467"/>
      </t>
    </mdx>
    <mdx n="508" f="v">
      <t c="3" si="4">
        <n x="509"/>
        <n x="64"/>
        <n x="1"/>
      </t>
    </mdx>
    <mdx n="508" f="v">
      <t c="3" si="4">
        <n x="509"/>
        <n x="119"/>
        <n x="472"/>
      </t>
    </mdx>
    <mdx n="508" f="v">
      <t c="3" si="4">
        <n x="509"/>
        <n x="93"/>
        <n x="472"/>
      </t>
    </mdx>
    <mdx n="508" f="v">
      <t c="3" si="4">
        <n x="509"/>
        <n x="39"/>
        <n x="472"/>
      </t>
    </mdx>
    <mdx n="508" f="v">
      <t c="3" si="4">
        <n x="509"/>
        <n x="214"/>
        <n x="469"/>
      </t>
    </mdx>
    <mdx n="508" f="v">
      <t c="3" si="4">
        <n x="509"/>
        <n x="295"/>
        <n x="5"/>
      </t>
    </mdx>
    <mdx n="508" f="v">
      <t c="3" si="4">
        <n x="509"/>
        <n x="3"/>
        <n x="1"/>
      </t>
    </mdx>
    <mdx n="508" f="v">
      <t c="3" si="4">
        <n x="509"/>
        <n x="348"/>
        <n x="1"/>
      </t>
    </mdx>
    <mdx n="508" f="v">
      <t c="3" si="4">
        <n x="509"/>
        <n x="270"/>
        <n x="473"/>
      </t>
    </mdx>
    <mdx n="508" f="v">
      <t c="3" si="4">
        <n x="509"/>
        <n x="330"/>
        <n x="469"/>
      </t>
    </mdx>
    <mdx n="508" f="v">
      <t c="3" si="4">
        <n x="509"/>
        <n x="330"/>
        <n x="470"/>
      </t>
    </mdx>
    <mdx n="508" f="v">
      <t c="3" si="4">
        <n x="509"/>
        <n x="422"/>
        <n x="5"/>
      </t>
    </mdx>
    <mdx n="508" f="v">
      <t c="3" si="4">
        <n x="509"/>
        <n x="427"/>
        <n x="467"/>
      </t>
    </mdx>
    <mdx n="508" f="v">
      <t c="3" si="4">
        <n x="509"/>
        <n x="350"/>
        <n x="469"/>
      </t>
    </mdx>
    <mdx n="508" f="v">
      <t c="3" si="4">
        <n x="509"/>
        <n x="36"/>
        <n x="472"/>
      </t>
    </mdx>
    <mdx n="508" f="v">
      <t c="3" si="4">
        <n x="509"/>
        <n x="298"/>
        <n x="473"/>
      </t>
    </mdx>
    <mdx n="508" f="v">
      <t c="3" si="4">
        <n x="509"/>
        <n x="327"/>
        <n x="469"/>
      </t>
    </mdx>
    <mdx n="508" f="v">
      <t c="3" si="4">
        <n x="509"/>
        <n x="273"/>
        <n x="2"/>
      </t>
    </mdx>
    <mdx n="508" f="v">
      <t c="3" si="4">
        <n x="509"/>
        <n x="23"/>
        <n x="472"/>
      </t>
    </mdx>
    <mdx n="508" f="v">
      <t c="3" si="4">
        <n x="509"/>
        <n x="249"/>
        <n x="470"/>
      </t>
    </mdx>
    <mdx n="508" f="v">
      <t c="3" si="4">
        <n x="509"/>
        <n x="78"/>
        <n x="1"/>
      </t>
    </mdx>
    <mdx n="508" f="v">
      <t c="3" si="4">
        <n x="509"/>
        <n x="43"/>
        <n x="467"/>
      </t>
    </mdx>
    <mdx n="508" f="v">
      <t c="3" si="4">
        <n x="509"/>
        <n x="446"/>
        <n x="5"/>
      </t>
    </mdx>
    <mdx n="508" f="v">
      <t c="3" si="4">
        <n x="509"/>
        <n x="414"/>
        <n x="469"/>
      </t>
    </mdx>
    <mdx n="508" f="v">
      <t c="3" si="475">
        <n x="509"/>
        <n x="316"/>
        <n x="474"/>
      </t>
    </mdx>
    <mdx n="508" f="v">
      <t c="3" si="4">
        <n x="509"/>
        <n x="51"/>
        <n x="469"/>
      </t>
    </mdx>
    <mdx n="508" f="v">
      <t c="3" si="4">
        <n x="509"/>
        <n x="183"/>
        <n x="5"/>
      </t>
    </mdx>
    <mdx n="508" f="v">
      <t c="3" si="4">
        <n x="509"/>
        <n x="380"/>
        <n x="470"/>
      </t>
    </mdx>
    <mdx n="508" f="v">
      <t c="3" si="4">
        <n x="509"/>
        <n x="441"/>
        <n x="470"/>
      </t>
    </mdx>
    <mdx n="508" f="v">
      <t c="3" si="475">
        <n x="509"/>
        <n x="222"/>
        <n x="474"/>
      </t>
    </mdx>
    <mdx n="508" f="v">
      <t c="3" si="4">
        <n x="509"/>
        <n x="248"/>
        <n x="1"/>
      </t>
    </mdx>
    <mdx n="508" f="v">
      <t c="3" si="475">
        <n x="509"/>
        <n x="281"/>
        <n x="474"/>
      </t>
    </mdx>
    <mdx n="508" f="v">
      <t c="3" si="4">
        <n x="509"/>
        <n x="273"/>
        <n x="470"/>
      </t>
    </mdx>
    <mdx n="508" f="v">
      <t c="3" si="4">
        <n x="509"/>
        <n x="428"/>
        <n x="472"/>
      </t>
    </mdx>
    <mdx n="508" f="v">
      <t c="3" si="4">
        <n x="509"/>
        <n x="397"/>
        <n x="2"/>
      </t>
    </mdx>
    <mdx n="508" f="v">
      <t c="3" si="4">
        <n x="509"/>
        <n x="37"/>
        <n x="467"/>
      </t>
    </mdx>
    <mdx n="508" f="v">
      <t c="3" si="4">
        <n x="509"/>
        <n x="370"/>
        <n x="469"/>
      </t>
    </mdx>
    <mdx n="508" f="v">
      <t c="3" si="4">
        <n x="509"/>
        <n x="214"/>
        <n x="2"/>
      </t>
    </mdx>
    <mdx n="508" f="v">
      <t c="3" si="475">
        <n x="509"/>
        <n x="331"/>
        <n x="474"/>
      </t>
    </mdx>
    <mdx n="508" f="v">
      <t c="3" si="4">
        <n x="509"/>
        <n x="343"/>
        <n x="472"/>
      </t>
    </mdx>
    <mdx n="508" f="v">
      <t c="3" si="4">
        <n x="509"/>
        <n x="296"/>
        <n x="470"/>
      </t>
    </mdx>
    <mdx n="508" f="v">
      <t c="3" si="4">
        <n x="509"/>
        <n x="71"/>
        <n x="469"/>
      </t>
    </mdx>
    <mdx n="508" f="v">
      <t c="3" si="4">
        <n x="509"/>
        <n x="210"/>
        <n x="5"/>
      </t>
    </mdx>
    <mdx n="508" f="v">
      <t c="3" si="475">
        <n x="509"/>
        <n x="398"/>
        <n x="474"/>
      </t>
    </mdx>
    <mdx n="508" f="v">
      <t c="3" si="4">
        <n x="509"/>
        <n x="7"/>
        <n x="473"/>
      </t>
    </mdx>
    <mdx n="508" f="v">
      <t c="3" si="4">
        <n x="509"/>
        <n x="404"/>
        <n x="469"/>
      </t>
    </mdx>
    <mdx n="508" f="v">
      <t c="3" si="4">
        <n x="509"/>
        <n x="24"/>
        <n x="470"/>
      </t>
    </mdx>
    <mdx n="508" f="v">
      <t c="3" si="4">
        <n x="509"/>
        <n x="250"/>
        <n x="467"/>
      </t>
    </mdx>
    <mdx n="508" f="v">
      <t c="3" si="475">
        <n x="509"/>
        <n x="162"/>
        <n x="474"/>
      </t>
    </mdx>
    <mdx n="508" f="v">
      <t c="3" si="4">
        <n x="509"/>
        <n x="164"/>
        <n x="5"/>
      </t>
    </mdx>
    <mdx n="508" f="v">
      <t c="3" si="4">
        <n x="509"/>
        <n x="367"/>
        <n x="469"/>
      </t>
    </mdx>
    <mdx n="508" f="v">
      <t c="3" si="4">
        <n x="509"/>
        <n x="438"/>
        <n x="472"/>
      </t>
    </mdx>
    <mdx n="508" f="v">
      <t c="3" si="475">
        <n x="509"/>
        <n x="234"/>
        <n x="474"/>
      </t>
    </mdx>
    <mdx n="508" f="v">
      <t c="3" si="4">
        <n x="509"/>
        <n x="114"/>
        <n x="473"/>
      </t>
    </mdx>
    <mdx n="508" f="v">
      <t c="3" si="4">
        <n x="509"/>
        <n x="237"/>
        <n x="469"/>
      </t>
    </mdx>
    <mdx n="508" f="v">
      <t c="3" si="4">
        <n x="509"/>
        <n x="91"/>
        <n x="473"/>
      </t>
    </mdx>
    <mdx n="508" f="v">
      <t c="3" si="4">
        <n x="509"/>
        <n x="37"/>
        <n x="469"/>
      </t>
    </mdx>
    <mdx n="508" f="v">
      <t c="3" si="4">
        <n x="509"/>
        <n x="113"/>
        <n x="469"/>
      </t>
    </mdx>
    <mdx n="508" f="v">
      <t c="3" si="4">
        <n x="509"/>
        <n x="275"/>
        <n x="469"/>
      </t>
    </mdx>
    <mdx n="508" f="v">
      <t c="3" si="4">
        <n x="509"/>
        <n x="305"/>
        <n x="469"/>
      </t>
    </mdx>
    <mdx n="508" f="v">
      <t c="3" si="4">
        <n x="509"/>
        <n x="36"/>
        <n x="467"/>
      </t>
    </mdx>
    <mdx n="508" f="v">
      <t c="3" si="4">
        <n x="509"/>
        <n x="403"/>
        <n x="472"/>
      </t>
    </mdx>
    <mdx n="508" f="v">
      <t c="3" si="4">
        <n x="509"/>
        <n x="407"/>
        <n x="472"/>
      </t>
    </mdx>
    <mdx n="508" f="v">
      <t c="3" si="4">
        <n x="509"/>
        <n x="81"/>
        <n x="470"/>
      </t>
    </mdx>
    <mdx n="508" f="v">
      <t c="3" si="4">
        <n x="509"/>
        <n x="233"/>
        <n x="467"/>
      </t>
    </mdx>
    <mdx n="508" f="v">
      <t c="3" si="4">
        <n x="509"/>
        <n x="46"/>
        <n x="2"/>
      </t>
    </mdx>
    <mdx n="508" f="v">
      <t c="3" si="4">
        <n x="509"/>
        <n x="320"/>
        <n x="469"/>
      </t>
    </mdx>
    <mdx n="508" f="v">
      <t c="3" si="475">
        <n x="509"/>
        <n x="185"/>
        <n x="474"/>
      </t>
    </mdx>
    <mdx n="508" f="v">
      <t c="3" si="4">
        <n x="509"/>
        <n x="231"/>
        <n x="469"/>
      </t>
    </mdx>
    <mdx n="508" f="v">
      <t c="3" si="4">
        <n x="509"/>
        <n x="273"/>
        <n x="469"/>
      </t>
    </mdx>
    <mdx n="508" f="v">
      <t c="3" si="4">
        <n x="509"/>
        <n x="269"/>
        <n x="472"/>
      </t>
    </mdx>
    <mdx n="508" f="v">
      <t c="3" si="4">
        <n x="509"/>
        <n x="381"/>
        <n x="472"/>
      </t>
    </mdx>
    <mdx n="508" f="v">
      <t c="3" si="475">
        <n x="509"/>
        <n x="218"/>
        <n x="474"/>
      </t>
    </mdx>
    <mdx n="508" f="v">
      <t c="3" si="4">
        <n x="509"/>
        <n x="91"/>
        <n x="1"/>
      </t>
    </mdx>
    <mdx n="508" f="v">
      <t c="3" si="4">
        <n x="509"/>
        <n x="194"/>
        <n x="467"/>
      </t>
    </mdx>
    <mdx n="508" f="v">
      <t c="3" si="4">
        <n x="509"/>
        <n x="194"/>
        <n x="469"/>
      </t>
    </mdx>
    <mdx n="508" f="v">
      <t c="3" si="4">
        <n x="509"/>
        <n x="92"/>
        <n x="473"/>
      </t>
    </mdx>
    <mdx n="508" f="v">
      <t c="3" si="4">
        <n x="509"/>
        <n x="50"/>
        <n x="5"/>
      </t>
    </mdx>
    <mdx n="508" f="v">
      <t c="3" si="4">
        <n x="509"/>
        <n x="458"/>
        <n x="473"/>
      </t>
    </mdx>
    <mdx n="508" f="v">
      <t c="3" si="4">
        <n x="509"/>
        <n x="32"/>
        <n x="467"/>
      </t>
    </mdx>
    <mdx n="508" f="v">
      <t c="3" si="4">
        <n x="509"/>
        <n x="293"/>
        <n x="1"/>
      </t>
    </mdx>
    <mdx n="508" f="v">
      <t c="3" si="4">
        <n x="509"/>
        <n x="414"/>
        <n x="2"/>
      </t>
    </mdx>
    <mdx n="508" f="v">
      <t c="3" si="4">
        <n x="509"/>
        <n x="422"/>
        <n x="469"/>
      </t>
    </mdx>
    <mdx n="508" f="v">
      <t c="3" si="4">
        <n x="509"/>
        <n x="378"/>
        <n x="467"/>
      </t>
    </mdx>
    <mdx n="508" f="v">
      <t c="3" si="4">
        <n x="509"/>
        <n x="160"/>
        <n x="470"/>
      </t>
    </mdx>
    <mdx n="508" f="v">
      <t c="3" si="4">
        <n x="509"/>
        <n x="421"/>
        <n x="1"/>
      </t>
    </mdx>
    <mdx n="508" f="v">
      <t c="3" si="4">
        <n x="509"/>
        <n x="44"/>
        <n x="472"/>
      </t>
    </mdx>
    <mdx n="508" f="v">
      <t c="3" si="4">
        <n x="509"/>
        <n x="282"/>
        <n x="469"/>
      </t>
    </mdx>
    <mdx n="508" f="v">
      <t c="3" si="475">
        <n x="509"/>
        <n x="15"/>
        <n x="474"/>
      </t>
    </mdx>
    <mdx n="508" f="v">
      <t c="3" si="4">
        <n x="509"/>
        <n x="213"/>
        <n x="470"/>
      </t>
    </mdx>
    <mdx n="508" f="v">
      <t c="3" si="4">
        <n x="509"/>
        <n x="310"/>
        <n x="5"/>
      </t>
    </mdx>
    <mdx n="508" f="v">
      <t c="3" si="4">
        <n x="509"/>
        <n x="75"/>
        <n x="1"/>
      </t>
    </mdx>
    <mdx n="508" f="v">
      <t c="3" si="4">
        <n x="509"/>
        <n x="375"/>
        <n x="467"/>
      </t>
    </mdx>
    <mdx n="508" f="v">
      <t c="3" si="4">
        <n x="509"/>
        <n x="294"/>
        <n x="2"/>
      </t>
    </mdx>
    <mdx n="508" f="v">
      <t c="3" si="4">
        <n x="509"/>
        <n x="241"/>
        <n x="2"/>
      </t>
    </mdx>
    <mdx n="508" f="v">
      <t c="3" si="4">
        <n x="509"/>
        <n x="242"/>
        <n x="472"/>
      </t>
    </mdx>
    <mdx n="508" f="v">
      <t c="3" si="475">
        <n x="509"/>
        <n x="381"/>
        <n x="474"/>
      </t>
    </mdx>
    <mdx n="508" f="v">
      <t c="3" si="4">
        <n x="509"/>
        <n x="228"/>
        <n x="473"/>
      </t>
    </mdx>
    <mdx n="508" f="v">
      <t c="3" si="475">
        <n x="509"/>
        <n x="129"/>
        <n x="474"/>
      </t>
    </mdx>
    <mdx n="508" f="v">
      <t c="3" si="4">
        <n x="509"/>
        <n x="391"/>
        <n x="1"/>
      </t>
    </mdx>
    <mdx n="508" f="v">
      <t c="3" si="4">
        <n x="509"/>
        <n x="330"/>
        <n x="467"/>
      </t>
    </mdx>
    <mdx n="508" f="v">
      <t c="3" si="4">
        <n x="509"/>
        <n x="236"/>
        <n x="470"/>
      </t>
    </mdx>
    <mdx n="508" f="v">
      <t c="3" si="4">
        <n x="509"/>
        <n x="259"/>
        <n x="5"/>
      </t>
    </mdx>
    <mdx n="508" f="v">
      <t c="3" si="4">
        <n x="509"/>
        <n x="12"/>
        <n x="469"/>
      </t>
    </mdx>
    <mdx n="508" f="v">
      <t c="3" si="4">
        <n x="509"/>
        <n x="451"/>
        <n x="472"/>
      </t>
    </mdx>
    <mdx n="508" f="v">
      <t c="3" si="4">
        <n x="509"/>
        <n x="336"/>
        <n x="470"/>
      </t>
    </mdx>
    <mdx n="508" f="v">
      <t c="3" si="4">
        <n x="509"/>
        <n x="456"/>
        <n x="467"/>
      </t>
    </mdx>
    <mdx n="508" f="v">
      <t c="3" si="4">
        <n x="509"/>
        <n x="241"/>
        <n x="472"/>
      </t>
    </mdx>
    <mdx n="508" f="v">
      <t c="3" si="4">
        <n x="509"/>
        <n x="374"/>
        <n x="469"/>
      </t>
    </mdx>
    <mdx n="508" f="v">
      <t c="3" si="475">
        <n x="509"/>
        <n x="36"/>
        <n x="474"/>
      </t>
    </mdx>
    <mdx n="508" f="v">
      <t c="3" si="475">
        <n x="509"/>
        <n x="399"/>
        <n x="474"/>
      </t>
    </mdx>
    <mdx n="508" f="v">
      <t c="3" si="475">
        <n x="509"/>
        <n x="259"/>
        <n x="474"/>
      </t>
    </mdx>
    <mdx n="508" f="v">
      <t c="3" si="4">
        <n x="509"/>
        <n x="435"/>
        <n x="467"/>
      </t>
    </mdx>
    <mdx n="508" f="v">
      <t c="3" si="4">
        <n x="509"/>
        <n x="50"/>
        <n x="470"/>
      </t>
    </mdx>
    <mdx n="508" f="v">
      <t c="3" si="4">
        <n x="509"/>
        <n x="77"/>
        <n x="470"/>
      </t>
    </mdx>
    <mdx n="508" f="v">
      <t c="3" si="475">
        <n x="509"/>
        <n x="80"/>
        <n x="474"/>
      </t>
    </mdx>
    <mdx n="508" f="v">
      <t c="3" si="4">
        <n x="509"/>
        <n x="237"/>
        <n x="467"/>
      </t>
    </mdx>
    <mdx n="508" f="v">
      <t c="3" si="4">
        <n x="509"/>
        <n x="307"/>
        <n x="467"/>
      </t>
    </mdx>
    <mdx n="508" f="v">
      <t c="3" si="4">
        <n x="509"/>
        <n x="230"/>
        <n x="470"/>
      </t>
    </mdx>
    <mdx n="508" f="v">
      <t c="3" si="4">
        <n x="509"/>
        <n x="371"/>
        <n x="470"/>
      </t>
    </mdx>
    <mdx n="508" f="v">
      <t c="3" si="4">
        <n x="509"/>
        <n x="12"/>
        <n x="467"/>
      </t>
    </mdx>
    <mdx n="508" f="v">
      <t c="3" si="4">
        <n x="509"/>
        <n x="52"/>
        <n x="2"/>
      </t>
    </mdx>
    <mdx n="508" f="v">
      <t c="3" si="4">
        <n x="509"/>
        <n x="207"/>
        <n x="467"/>
      </t>
    </mdx>
    <mdx n="508" f="v">
      <t c="3" si="4">
        <n x="509"/>
        <n x="162"/>
        <n x="469"/>
      </t>
    </mdx>
    <mdx n="508" f="v">
      <t c="3" si="4">
        <n x="509"/>
        <n x="114"/>
        <n x="467"/>
      </t>
    </mdx>
    <mdx n="508" f="v">
      <t c="3" si="4">
        <n x="509"/>
        <n x="241"/>
        <n x="470"/>
      </t>
    </mdx>
    <mdx n="508" f="v">
      <t c="3" si="4">
        <n x="509"/>
        <n x="449"/>
        <n x="1"/>
      </t>
    </mdx>
    <mdx n="508" f="v">
      <t c="3" si="4">
        <n x="509"/>
        <n x="156"/>
        <n x="470"/>
      </t>
    </mdx>
    <mdx n="508" f="v">
      <t c="3" si="475">
        <n x="509"/>
        <n x="371"/>
        <n x="474"/>
      </t>
    </mdx>
    <mdx n="508" f="v">
      <t c="3" si="4">
        <n x="509"/>
        <n x="369"/>
        <n x="469"/>
      </t>
    </mdx>
    <mdx n="508" f="v">
      <t c="3" si="4">
        <n x="509"/>
        <n x="15"/>
        <n x="472"/>
      </t>
    </mdx>
    <mdx n="508" f="v">
      <t c="3" si="475">
        <n x="509"/>
        <n x="354"/>
        <n x="474"/>
      </t>
    </mdx>
    <mdx n="508" f="v">
      <t c="3" si="4">
        <n x="509"/>
        <n x="303"/>
        <n x="470"/>
      </t>
    </mdx>
    <mdx n="508" f="v">
      <t c="3" si="4">
        <n x="509"/>
        <n x="83"/>
        <n x="2"/>
      </t>
    </mdx>
    <mdx n="508" f="v">
      <t c="3" si="4">
        <n x="509"/>
        <n x="62"/>
        <n x="470"/>
      </t>
    </mdx>
    <mdx n="508" f="v">
      <t c="3" si="4">
        <n x="509"/>
        <n x="277"/>
        <n x="470"/>
      </t>
    </mdx>
    <mdx n="508" f="v">
      <t c="3" si="4">
        <n x="509"/>
        <n x="153"/>
        <n x="469"/>
      </t>
    </mdx>
    <mdx n="508" f="v">
      <t c="3" si="4">
        <n x="509"/>
        <n x="345"/>
        <n x="469"/>
      </t>
    </mdx>
    <mdx n="508" f="v">
      <t c="3" si="4">
        <n x="509"/>
        <n x="274"/>
        <n x="469"/>
      </t>
    </mdx>
    <mdx n="508" f="v">
      <t c="3" si="4">
        <n x="509"/>
        <n x="435"/>
        <n x="470"/>
      </t>
    </mdx>
    <mdx n="508" f="v">
      <t c="3" si="4">
        <n x="509"/>
        <n x="146"/>
        <n x="5"/>
      </t>
    </mdx>
    <mdx n="508" f="v">
      <t c="3" si="4">
        <n x="509"/>
        <n x="170"/>
        <n x="2"/>
      </t>
    </mdx>
    <mdx n="508" f="v">
      <t c="3" si="475">
        <n x="509"/>
        <n x="379"/>
        <n x="474"/>
      </t>
    </mdx>
    <mdx n="508" f="v">
      <t c="3" si="475">
        <n x="509"/>
        <n x="464"/>
        <n x="474"/>
      </t>
    </mdx>
    <mdx n="508" f="v">
      <t c="3" si="4">
        <n x="509"/>
        <n x="285"/>
        <n x="2"/>
      </t>
    </mdx>
    <mdx n="508" f="v">
      <t c="3" si="475">
        <n x="509"/>
        <n x="76"/>
        <n x="474"/>
      </t>
    </mdx>
    <mdx n="508" f="v">
      <t c="3" si="4">
        <n x="509"/>
        <n x="43"/>
        <n x="470"/>
      </t>
    </mdx>
    <mdx n="508" f="v">
      <t c="3" si="4">
        <n x="509"/>
        <n x="233"/>
        <n x="470"/>
      </t>
    </mdx>
    <mdx n="508" f="v">
      <t c="3" si="4">
        <n x="509"/>
        <n x="194"/>
        <n x="470"/>
      </t>
    </mdx>
    <mdx n="508" f="v">
      <t c="3" si="4">
        <n x="509"/>
        <n x="182"/>
        <n x="2"/>
      </t>
    </mdx>
    <mdx n="508" f="v">
      <t c="3" si="4">
        <n x="509"/>
        <n x="178"/>
        <n x="469"/>
      </t>
    </mdx>
    <mdx n="508" f="v">
      <t c="3" si="4">
        <n x="509"/>
        <n x="200"/>
        <n x="467"/>
      </t>
    </mdx>
    <mdx n="508" f="v">
      <t c="3" si="4">
        <n x="509"/>
        <n x="85"/>
        <n x="470"/>
      </t>
    </mdx>
    <mdx n="508" f="v">
      <t c="3" si="4">
        <n x="509"/>
        <n x="99"/>
        <n x="473"/>
      </t>
    </mdx>
    <mdx n="508" f="v">
      <t c="3" si="4">
        <n x="509"/>
        <n x="175"/>
        <n x="470"/>
      </t>
    </mdx>
    <mdx n="508" f="v">
      <t c="3" si="4">
        <n x="509"/>
        <n x="394"/>
        <n x="467"/>
      </t>
    </mdx>
    <mdx n="508" f="v">
      <t c="3" si="4">
        <n x="509"/>
        <n x="55"/>
        <n x="2"/>
      </t>
    </mdx>
    <mdx n="508" f="v">
      <t c="3" si="475">
        <n x="509"/>
        <n x="246"/>
        <n x="474"/>
      </t>
    </mdx>
    <mdx n="508" f="v">
      <t c="3" si="4">
        <n x="509"/>
        <n x="425"/>
        <n x="470"/>
      </t>
    </mdx>
    <mdx n="508" f="v">
      <t c="3" si="4">
        <n x="509"/>
        <n x="276"/>
        <n x="473"/>
      </t>
    </mdx>
    <mdx n="508" f="v">
      <t c="3" si="4">
        <n x="509"/>
        <n x="245"/>
        <n x="472"/>
      </t>
    </mdx>
    <mdx n="508" f="v">
      <t c="3" si="4">
        <n x="509"/>
        <n x="211"/>
        <n x="470"/>
      </t>
    </mdx>
    <mdx n="508" f="v">
      <t c="3" si="4">
        <n x="509"/>
        <n x="87"/>
        <n x="469"/>
      </t>
    </mdx>
    <mdx n="508" f="v">
      <t c="3" si="4">
        <n x="509"/>
        <n x="284"/>
        <n x="469"/>
      </t>
    </mdx>
    <mdx n="508" f="v">
      <t c="3" si="4">
        <n x="509"/>
        <n x="304"/>
        <n x="470"/>
      </t>
    </mdx>
    <mdx n="508" f="v">
      <t c="3" si="4">
        <n x="509"/>
        <n x="357"/>
        <n x="473"/>
      </t>
    </mdx>
    <mdx n="508" f="v">
      <t c="3" si="4">
        <n x="509"/>
        <n x="338"/>
        <n x="467"/>
      </t>
    </mdx>
    <mdx n="508" f="v">
      <t c="3" si="4">
        <n x="509"/>
        <n x="441"/>
        <n x="467"/>
      </t>
    </mdx>
    <mdx n="508" f="v">
      <t c="3" si="475">
        <n x="509"/>
        <n x="352"/>
        <n x="474"/>
      </t>
    </mdx>
    <mdx n="508" f="v">
      <t c="3" si="4">
        <n x="509"/>
        <n x="271"/>
        <n x="467"/>
      </t>
    </mdx>
    <mdx n="508" f="v">
      <t c="3" si="4">
        <n x="509"/>
        <n x="66"/>
        <n x="469"/>
      </t>
    </mdx>
    <mdx n="508" f="v">
      <t c="3" si="4">
        <n x="509"/>
        <n x="135"/>
        <n x="1"/>
      </t>
    </mdx>
    <mdx n="508" f="v">
      <t c="3" si="4">
        <n x="509"/>
        <n x="452"/>
        <n x="469"/>
      </t>
    </mdx>
    <mdx n="508" f="v">
      <t c="3" si="475">
        <n x="509"/>
        <n x="157"/>
        <n x="474"/>
      </t>
    </mdx>
    <mdx n="508" f="v">
      <t c="3" si="4">
        <n x="509"/>
        <n x="85"/>
        <n x="473"/>
      </t>
    </mdx>
    <mdx n="508" f="v">
      <t c="3" si="4">
        <n x="509"/>
        <n x="230"/>
        <n x="473"/>
      </t>
    </mdx>
    <mdx n="508" f="v">
      <t c="3" si="4">
        <n x="509"/>
        <n x="18"/>
        <n x="1"/>
      </t>
    </mdx>
    <mdx n="508" f="v">
      <t c="3" si="4">
        <n x="509"/>
        <n x="346"/>
        <n x="469"/>
      </t>
    </mdx>
    <mdx n="508" f="v">
      <t c="3" si="475">
        <n x="509"/>
        <n x="460"/>
        <n x="474"/>
      </t>
    </mdx>
    <mdx n="508" f="v">
      <t c="3" si="4">
        <n x="509"/>
        <n x="163"/>
        <n x="470"/>
      </t>
    </mdx>
    <mdx n="508" f="v">
      <t c="3" si="4">
        <n x="509"/>
        <n x="411"/>
        <n x="473"/>
      </t>
    </mdx>
    <mdx n="508" f="v">
      <t c="3" si="4">
        <n x="509"/>
        <n x="404"/>
        <n x="467"/>
      </t>
    </mdx>
    <mdx n="508" f="v">
      <t c="3" si="4">
        <n x="509"/>
        <n x="116"/>
        <n x="472"/>
      </t>
    </mdx>
    <mdx n="508" f="v">
      <t c="3" si="4">
        <n x="509"/>
        <n x="178"/>
        <n x="472"/>
      </t>
    </mdx>
    <mdx n="508" f="v">
      <t c="3" si="4">
        <n x="509"/>
        <n x="183"/>
        <n x="467"/>
      </t>
    </mdx>
    <mdx n="508" f="v">
      <t c="3" si="4">
        <n x="509"/>
        <n x="405"/>
        <n x="469"/>
      </t>
    </mdx>
    <mdx n="508" f="v">
      <t c="3" si="4">
        <n x="509"/>
        <n x="180"/>
        <n x="473"/>
      </t>
    </mdx>
    <mdx n="508" f="v">
      <t c="3" si="475">
        <n x="509"/>
        <n x="336"/>
        <n x="474"/>
      </t>
    </mdx>
    <mdx n="508" f="v">
      <t c="3" si="4">
        <n x="509"/>
        <n x="41"/>
        <n x="472"/>
      </t>
    </mdx>
    <mdx n="508" f="v">
      <t c="3" si="4">
        <n x="509"/>
        <n x="361"/>
        <n x="5"/>
      </t>
    </mdx>
    <mdx n="508" f="v">
      <t c="3" si="4">
        <n x="509"/>
        <n x="203"/>
        <n x="2"/>
      </t>
    </mdx>
    <mdx n="508" f="v">
      <t c="3" si="4">
        <n x="509"/>
        <n x="218"/>
        <n x="469"/>
      </t>
    </mdx>
    <mdx n="508" f="v">
      <t c="3" si="4">
        <n x="509"/>
        <n x="125"/>
        <n x="467"/>
      </t>
    </mdx>
    <mdx n="508" f="v">
      <t c="3" si="4">
        <n x="509"/>
        <n x="237"/>
        <n x="472"/>
      </t>
    </mdx>
    <mdx n="508" f="v">
      <t c="3" si="4">
        <n x="509"/>
        <n x="94"/>
        <n x="467"/>
      </t>
    </mdx>
    <mdx n="508" f="v">
      <t c="3" si="475">
        <n x="509"/>
        <n x="243"/>
        <n x="474"/>
      </t>
    </mdx>
    <mdx n="508" f="v">
      <t c="3" si="4">
        <n x="509"/>
        <n x="87"/>
        <n x="2"/>
      </t>
    </mdx>
    <mdx n="508" f="v">
      <t c="3" si="4">
        <n x="509"/>
        <n x="36"/>
        <n x="469"/>
      </t>
    </mdx>
    <mdx n="508" f="v">
      <t c="3" si="4">
        <n x="509"/>
        <n x="30"/>
        <n x="469"/>
      </t>
    </mdx>
    <mdx n="508" f="v">
      <t c="3" si="4">
        <n x="509"/>
        <n x="119"/>
        <n x="5"/>
      </t>
    </mdx>
    <mdx n="508" f="v">
      <t c="3" si="4">
        <n x="509"/>
        <n x="283"/>
        <n x="473"/>
      </t>
    </mdx>
    <mdx n="508" f="v">
      <t c="3" si="4">
        <n x="509"/>
        <n x="111"/>
        <n x="473"/>
      </t>
    </mdx>
    <mdx n="508" f="v">
      <t c="3" si="4">
        <n x="509"/>
        <n x="231"/>
        <n x="472"/>
      </t>
    </mdx>
    <mdx n="508" f="v">
      <t c="3" si="4">
        <n x="509"/>
        <n x="248"/>
        <n x="5"/>
      </t>
    </mdx>
    <mdx n="508" f="v">
      <t c="3" si="4">
        <n x="509"/>
        <n x="137"/>
        <n x="473"/>
      </t>
    </mdx>
    <mdx n="508" f="v">
      <t c="3" si="4">
        <n x="509"/>
        <n x="432"/>
        <n x="469"/>
      </t>
    </mdx>
    <mdx n="508" f="v">
      <t c="3" si="4">
        <n x="509"/>
        <n x="7"/>
        <n x="469"/>
      </t>
    </mdx>
    <mdx n="508" f="v">
      <t c="3" si="4">
        <n x="509"/>
        <n x="25"/>
        <n x="470"/>
      </t>
    </mdx>
    <mdx n="508" f="v">
      <t c="3" si="475">
        <n x="509"/>
        <n x="41"/>
        <n x="474"/>
      </t>
    </mdx>
    <mdx n="508" f="v">
      <t c="3" si="4">
        <n x="509"/>
        <n x="237"/>
        <n x="470"/>
      </t>
    </mdx>
    <mdx n="508" f="v">
      <t c="3" si="4">
        <n x="509"/>
        <n x="274"/>
        <n x="472"/>
      </t>
    </mdx>
    <mdx n="508" f="v">
      <t c="3" si="4">
        <n x="509"/>
        <n x="311"/>
        <n x="1"/>
      </t>
    </mdx>
    <mdx n="508" f="v">
      <t c="3" si="4">
        <n x="509"/>
        <n x="72"/>
        <n x="470"/>
      </t>
    </mdx>
    <mdx n="508" f="v">
      <t c="3" si="4">
        <n x="509"/>
        <n x="280"/>
        <n x="1"/>
      </t>
    </mdx>
    <mdx n="508" f="v">
      <t c="3" si="4">
        <n x="509"/>
        <n x="225"/>
        <n x="472"/>
      </t>
    </mdx>
    <mdx n="508" f="v">
      <t c="3" si="4">
        <n x="509"/>
        <n x="366"/>
        <n x="469"/>
      </t>
    </mdx>
    <mdx n="508" f="v">
      <t c="3" si="4">
        <n x="509"/>
        <n x="120"/>
        <n x="472"/>
      </t>
    </mdx>
    <mdx n="508" f="v">
      <t c="3" si="4">
        <n x="509"/>
        <n x="8"/>
        <n x="470"/>
      </t>
    </mdx>
    <mdx n="508" f="v">
      <t c="3" si="4">
        <n x="509"/>
        <n x="149"/>
        <n x="472"/>
      </t>
    </mdx>
    <mdx n="508" f="v">
      <t c="3" si="4">
        <n x="509"/>
        <n x="171"/>
        <n x="467"/>
      </t>
    </mdx>
    <mdx n="508" f="v">
      <t c="3" si="4">
        <n x="509"/>
        <n x="61"/>
        <n x="5"/>
      </t>
    </mdx>
    <mdx n="508" f="v">
      <t c="3" si="4">
        <n x="509"/>
        <n x="217"/>
        <n x="467"/>
      </t>
    </mdx>
    <mdx n="508" f="v">
      <t c="3" si="4">
        <n x="509"/>
        <n x="409"/>
        <n x="2"/>
      </t>
    </mdx>
    <mdx n="508" f="v">
      <t c="3" si="4">
        <n x="509"/>
        <n x="396"/>
        <n x="5"/>
      </t>
    </mdx>
    <mdx n="508" f="v">
      <t c="3" si="4">
        <n x="509"/>
        <n x="267"/>
        <n x="472"/>
      </t>
    </mdx>
    <mdx n="508" f="v">
      <t c="3" si="4">
        <n x="509"/>
        <n x="7"/>
        <n x="1"/>
      </t>
    </mdx>
    <mdx n="508" f="v">
      <t c="3" si="4">
        <n x="509"/>
        <n x="145"/>
        <n x="472"/>
      </t>
    </mdx>
    <mdx n="508" f="v">
      <t c="3" si="4">
        <n x="509"/>
        <n x="252"/>
        <n x="467"/>
      </t>
    </mdx>
    <mdx n="508" f="v">
      <t c="3" si="4">
        <n x="509"/>
        <n x="264"/>
        <n x="5"/>
      </t>
    </mdx>
    <mdx n="508" f="v">
      <t c="3" si="4">
        <n x="509"/>
        <n x="439"/>
        <n x="469"/>
      </t>
    </mdx>
    <mdx n="508" f="v">
      <t c="3" si="4">
        <n x="509"/>
        <n x="90"/>
        <n x="2"/>
      </t>
    </mdx>
    <mdx n="508" f="v">
      <t c="3" si="4">
        <n x="509"/>
        <n x="318"/>
        <n x="469"/>
      </t>
    </mdx>
    <mdx n="508" f="v">
      <t c="3" si="4">
        <n x="509"/>
        <n x="136"/>
        <n x="472"/>
      </t>
    </mdx>
    <mdx n="508" f="v">
      <t c="3" si="4">
        <n x="509"/>
        <n x="42"/>
        <n x="473"/>
      </t>
    </mdx>
    <mdx n="508" f="v">
      <t c="3" si="4">
        <n x="509"/>
        <n x="335"/>
        <n x="1"/>
      </t>
    </mdx>
    <mdx n="508" f="v">
      <t c="3" si="4">
        <n x="509"/>
        <n x="224"/>
        <n x="472"/>
      </t>
    </mdx>
    <mdx n="508" f="v">
      <t c="3" si="475">
        <n x="509"/>
        <n x="125"/>
        <n x="474"/>
      </t>
    </mdx>
    <mdx n="508" f="v">
      <t c="3" si="4">
        <n x="509"/>
        <n x="270"/>
        <n x="467"/>
      </t>
    </mdx>
    <mdx n="508" f="v">
      <t c="3" si="4">
        <n x="509"/>
        <n x="195"/>
        <n x="469"/>
      </t>
    </mdx>
    <mdx n="508" f="v">
      <t c="3" si="4">
        <n x="509"/>
        <n x="172"/>
        <n x="470"/>
      </t>
    </mdx>
    <mdx n="508" f="v">
      <t c="3" si="4">
        <n x="509"/>
        <n x="386"/>
        <n x="469"/>
      </t>
    </mdx>
    <mdx n="508" f="v">
      <t c="3" si="4">
        <n x="509"/>
        <n x="157"/>
        <n x="469"/>
      </t>
    </mdx>
    <mdx n="508" f="v">
      <t c="3" si="4">
        <n x="509"/>
        <n x="223"/>
        <n x="2"/>
      </t>
    </mdx>
    <mdx n="508" f="v">
      <t c="3" si="475">
        <n x="509"/>
        <n x="177"/>
        <n x="474"/>
      </t>
    </mdx>
    <mdx n="508" f="v">
      <t c="3" si="4">
        <n x="509"/>
        <n x="78"/>
        <n x="472"/>
      </t>
    </mdx>
    <mdx n="508" f="v">
      <t c="3" si="4">
        <n x="509"/>
        <n x="410"/>
        <n x="469"/>
      </t>
    </mdx>
    <mdx n="508" f="v">
      <t c="3" si="4">
        <n x="509"/>
        <n x="202"/>
        <n x="470"/>
      </t>
    </mdx>
    <mdx n="508" f="v">
      <t c="3" si="4">
        <n x="509"/>
        <n x="362"/>
        <n x="470"/>
      </t>
    </mdx>
    <mdx n="508" f="v">
      <t c="3" si="4">
        <n x="509"/>
        <n x="261"/>
        <n x="473"/>
      </t>
    </mdx>
    <mdx n="508" f="v">
      <t c="3" si="4">
        <n x="509"/>
        <n x="393"/>
        <n x="470"/>
      </t>
    </mdx>
    <mdx n="508" f="v">
      <t c="3" si="4">
        <n x="509"/>
        <n x="28"/>
        <n x="2"/>
      </t>
    </mdx>
    <mdx n="508" f="v">
      <t c="3" si="4">
        <n x="509"/>
        <n x="412"/>
        <n x="469"/>
      </t>
    </mdx>
    <mdx n="508" f="v">
      <t c="3" si="4">
        <n x="509"/>
        <n x="153"/>
        <n x="467"/>
      </t>
    </mdx>
    <mdx n="508" f="v">
      <t c="3" si="4">
        <n x="509"/>
        <n x="46"/>
        <n x="470"/>
      </t>
    </mdx>
    <mdx n="508" f="v">
      <t c="3" si="4">
        <n x="509"/>
        <n x="203"/>
        <n x="1"/>
      </t>
    </mdx>
    <mdx n="508" f="v">
      <t c="3" si="4">
        <n x="509"/>
        <n x="392"/>
        <n x="1"/>
      </t>
    </mdx>
    <mdx n="508" f="v">
      <t c="3" si="4">
        <n x="509"/>
        <n x="311"/>
        <n x="2"/>
      </t>
    </mdx>
    <mdx n="508" f="v">
      <t c="3" si="4">
        <n x="509"/>
        <n x="310"/>
        <n x="470"/>
      </t>
    </mdx>
    <mdx n="508" f="v">
      <t c="3" si="4">
        <n x="509"/>
        <n x="22"/>
        <n x="473"/>
      </t>
    </mdx>
    <mdx n="508" f="v">
      <t c="3" si="4">
        <n x="509"/>
        <n x="449"/>
        <n x="472"/>
      </t>
    </mdx>
    <mdx n="508" f="v">
      <t c="3" si="4">
        <n x="509"/>
        <n x="58"/>
        <n x="467"/>
      </t>
    </mdx>
    <mdx n="508" f="v">
      <t c="3" si="4">
        <n x="509"/>
        <n x="200"/>
        <n x="2"/>
      </t>
    </mdx>
    <mdx n="508" f="v">
      <t c="3" si="4">
        <n x="509"/>
        <n x="353"/>
        <n x="473"/>
      </t>
    </mdx>
    <mdx n="508" f="v">
      <t c="3" si="4">
        <n x="509"/>
        <n x="402"/>
        <n x="2"/>
      </t>
    </mdx>
    <mdx n="508" f="v">
      <t c="3" si="475">
        <n x="509"/>
        <n x="191"/>
        <n x="474"/>
      </t>
    </mdx>
    <mdx n="508" f="v">
      <t c="3" si="4">
        <n x="509"/>
        <n x="256"/>
        <n x="473"/>
      </t>
    </mdx>
    <mdx n="508" f="v">
      <t c="3" si="4">
        <n x="509"/>
        <n x="349"/>
        <n x="470"/>
      </t>
    </mdx>
    <mdx n="508" f="v">
      <t c="3" si="4">
        <n x="509"/>
        <n x="418"/>
        <n x="470"/>
      </t>
    </mdx>
    <mdx n="508" f="v">
      <t c="3" si="4">
        <n x="509"/>
        <n x="355"/>
        <n x="470"/>
      </t>
    </mdx>
    <mdx n="508" f="v">
      <t c="3" si="475">
        <n x="509"/>
        <n x="79"/>
        <n x="474"/>
      </t>
    </mdx>
    <mdx n="508" f="v">
      <t c="3" si="4">
        <n x="509"/>
        <n x="360"/>
        <n x="473"/>
      </t>
    </mdx>
    <mdx n="508" f="v">
      <t c="3" si="4">
        <n x="509"/>
        <n x="242"/>
        <n x="469"/>
      </t>
    </mdx>
    <mdx n="508" f="v">
      <t c="3" si="4">
        <n x="509"/>
        <n x="274"/>
        <n x="467"/>
      </t>
    </mdx>
    <mdx n="508" f="v">
      <t c="3" si="4">
        <n x="509"/>
        <n x="352"/>
        <n x="473"/>
      </t>
    </mdx>
    <mdx n="508" f="v">
      <t c="3" si="4">
        <n x="509"/>
        <n x="225"/>
        <n x="473"/>
      </t>
    </mdx>
    <mdx n="508" f="v">
      <t c="3" si="4">
        <n x="509"/>
        <n x="411"/>
        <n x="472"/>
      </t>
    </mdx>
    <mdx n="508" f="v">
      <t c="3" si="4">
        <n x="509"/>
        <n x="277"/>
        <n x="469"/>
      </t>
    </mdx>
    <mdx n="508" f="v">
      <t c="3" si="4">
        <n x="509"/>
        <n x="298"/>
        <n x="467"/>
      </t>
    </mdx>
    <mdx n="508" f="v">
      <t c="3" si="4">
        <n x="509"/>
        <n x="125"/>
        <n x="5"/>
      </t>
    </mdx>
    <mdx n="508" f="v">
      <t c="3" si="475">
        <n x="509"/>
        <n x="198"/>
        <n x="474"/>
      </t>
    </mdx>
    <mdx n="508" f="v">
      <t c="3" si="4">
        <n x="509"/>
        <n x="154"/>
        <n x="469"/>
      </t>
    </mdx>
    <mdx n="508" f="v">
      <t c="3" si="4">
        <n x="509"/>
        <n x="44"/>
        <n x="470"/>
      </t>
    </mdx>
    <mdx n="508" f="v">
      <t c="3" si="4">
        <n x="509"/>
        <n x="247"/>
        <n x="1"/>
      </t>
    </mdx>
    <mdx n="508" f="v">
      <t c="3" si="4">
        <n x="509"/>
        <n x="176"/>
        <n x="470"/>
      </t>
    </mdx>
    <mdx n="508" f="v">
      <t c="3" si="4">
        <n x="509"/>
        <n x="86"/>
        <n x="472"/>
      </t>
    </mdx>
    <mdx n="508" f="v">
      <t c="3" si="4">
        <n x="509"/>
        <n x="211"/>
        <n x="469"/>
      </t>
    </mdx>
    <mdx n="508" f="v">
      <t c="3" si="4">
        <n x="509"/>
        <n x="83"/>
        <n x="472"/>
      </t>
    </mdx>
    <mdx n="508" f="v">
      <t c="3" si="4">
        <n x="509"/>
        <n x="428"/>
        <n x="2"/>
      </t>
    </mdx>
    <mdx n="508" f="v">
      <t c="3" si="4">
        <n x="509"/>
        <n x="37"/>
        <n x="473"/>
      </t>
    </mdx>
    <mdx n="508" f="v">
      <t c="3" si="4">
        <n x="509"/>
        <n x="226"/>
        <n x="473"/>
      </t>
    </mdx>
    <mdx n="508" f="v">
      <t c="3" si="4">
        <n x="509"/>
        <n x="204"/>
        <n x="469"/>
      </t>
    </mdx>
    <mdx n="508" f="v">
      <t c="3" si="4">
        <n x="509"/>
        <n x="151"/>
        <n x="5"/>
      </t>
    </mdx>
    <mdx n="508" f="v">
      <t c="3" si="4">
        <n x="509"/>
        <n x="357"/>
        <n x="470"/>
      </t>
    </mdx>
    <mdx n="508" f="v">
      <t c="3" si="4">
        <n x="509"/>
        <n x="244"/>
        <n x="472"/>
      </t>
    </mdx>
    <mdx n="508" f="v">
      <t c="3" si="4">
        <n x="509"/>
        <n x="47"/>
        <n x="2"/>
      </t>
    </mdx>
    <mdx n="508" f="v">
      <t c="3" si="4">
        <n x="509"/>
        <n x="32"/>
        <n x="470"/>
      </t>
    </mdx>
    <mdx n="508" f="v">
      <t c="3" si="475">
        <n x="509"/>
        <n x="302"/>
        <n x="474"/>
      </t>
    </mdx>
    <mdx n="508" f="v">
      <t c="3" si="4">
        <n x="509"/>
        <n x="112"/>
        <n x="473"/>
      </t>
    </mdx>
    <mdx n="508" f="v">
      <t c="3" si="4">
        <n x="509"/>
        <n x="184"/>
        <n x="469"/>
      </t>
    </mdx>
    <mdx n="508" f="v">
      <t c="3" si="4">
        <n x="509"/>
        <n x="398"/>
        <n x="469"/>
      </t>
    </mdx>
    <mdx n="508" f="v">
      <t c="3" si="4">
        <n x="509"/>
        <n x="149"/>
        <n x="469"/>
      </t>
    </mdx>
    <mdx n="508" f="v">
      <t c="3" si="4">
        <n x="509"/>
        <n x="181"/>
        <n x="2"/>
      </t>
    </mdx>
    <mdx n="508" f="v">
      <t c="3" si="4">
        <n x="509"/>
        <n x="409"/>
        <n x="469"/>
      </t>
    </mdx>
    <mdx n="508" f="v">
      <t c="3" si="4">
        <n x="509"/>
        <n x="338"/>
        <n x="2"/>
      </t>
    </mdx>
    <mdx n="508" f="v">
      <t c="3" si="4">
        <n x="509"/>
        <n x="315"/>
        <n x="473"/>
      </t>
    </mdx>
    <mdx n="508" f="v">
      <t c="3" si="4">
        <n x="509"/>
        <n x="261"/>
        <n x="472"/>
      </t>
    </mdx>
    <mdx n="508" f="v">
      <t c="3" si="4">
        <n x="509"/>
        <n x="286"/>
        <n x="469"/>
      </t>
    </mdx>
    <mdx n="508" f="v">
      <t c="3" si="4">
        <n x="509"/>
        <n x="207"/>
        <n x="472"/>
      </t>
    </mdx>
    <mdx n="508" f="v">
      <t c="3" si="4">
        <n x="509"/>
        <n x="371"/>
        <n x="469"/>
      </t>
    </mdx>
    <mdx n="508" f="v">
      <t c="3" si="4">
        <n x="509"/>
        <n x="200"/>
        <n x="470"/>
      </t>
    </mdx>
    <mdx n="508" f="v">
      <t c="3" si="4">
        <n x="509"/>
        <n x="235"/>
        <n x="2"/>
      </t>
    </mdx>
    <mdx n="508" f="v">
      <t c="3" si="4">
        <n x="509"/>
        <n x="111"/>
        <n x="469"/>
      </t>
    </mdx>
    <mdx n="508" f="v">
      <t c="3" si="475">
        <n x="509"/>
        <n x="226"/>
        <n x="474"/>
      </t>
    </mdx>
    <mdx n="508" f="v">
      <t c="3" si="4">
        <n x="509"/>
        <n x="342"/>
        <n x="473"/>
      </t>
    </mdx>
    <mdx n="508" f="v">
      <t c="3" si="475">
        <n x="509"/>
        <n x="276"/>
        <n x="474"/>
      </t>
    </mdx>
    <mdx n="508" f="v">
      <t c="3" si="475">
        <n x="509"/>
        <n x="30"/>
        <n x="474"/>
      </t>
    </mdx>
    <mdx n="508" f="v">
      <t c="3" si="4">
        <n x="509"/>
        <n x="313"/>
        <n x="473"/>
      </t>
    </mdx>
    <mdx n="508" f="v">
      <t c="3" si="4">
        <n x="509"/>
        <n x="106"/>
        <n x="472"/>
      </t>
    </mdx>
    <mdx n="508" f="v">
      <t c="3" si="4">
        <n x="509"/>
        <n x="134"/>
        <n x="469"/>
      </t>
    </mdx>
    <mdx n="508" f="v">
      <t c="3" si="4">
        <n x="509"/>
        <n x="376"/>
        <n x="470"/>
      </t>
    </mdx>
    <mdx n="508" f="v">
      <t c="3" si="4">
        <n x="509"/>
        <n x="134"/>
        <n x="470"/>
      </t>
    </mdx>
    <mdx n="508" f="v">
      <t c="3" si="4">
        <n x="509"/>
        <n x="358"/>
        <n x="467"/>
      </t>
    </mdx>
    <mdx n="508" f="v">
      <t c="3" si="475">
        <n x="509"/>
        <n x="422"/>
        <n x="474"/>
      </t>
    </mdx>
    <mdx n="508" f="v">
      <t c="3" si="4">
        <n x="509"/>
        <n x="89"/>
        <n x="472"/>
      </t>
    </mdx>
    <mdx n="508" f="v">
      <t c="3" si="4">
        <n x="509"/>
        <n x="65"/>
        <n x="472"/>
      </t>
    </mdx>
    <mdx n="508" f="v">
      <t c="3" si="4">
        <n x="509"/>
        <n x="235"/>
        <n x="467"/>
      </t>
    </mdx>
    <mdx n="508" f="v">
      <t c="3" si="4">
        <n x="509"/>
        <n x="29"/>
        <n x="469"/>
      </t>
    </mdx>
    <mdx n="508" f="v">
      <t c="3" si="4">
        <n x="509"/>
        <n x="97"/>
        <n x="1"/>
      </t>
    </mdx>
    <mdx n="508" f="v">
      <t c="3" si="4">
        <n x="509"/>
        <n x="453"/>
        <n x="472"/>
      </t>
    </mdx>
    <mdx n="508" f="v">
      <t c="3" si="4">
        <n x="509"/>
        <n x="275"/>
        <n x="2"/>
      </t>
    </mdx>
    <mdx n="508" f="v">
      <t c="3" si="4">
        <n x="509"/>
        <n x="245"/>
        <n x="473"/>
      </t>
    </mdx>
    <mdx n="508" f="v">
      <t c="3" si="4">
        <n x="509"/>
        <n x="10"/>
        <n x="472"/>
      </t>
    </mdx>
    <mdx n="508" f="v">
      <t c="3" si="4">
        <n x="509"/>
        <n x="175"/>
        <n x="469"/>
      </t>
    </mdx>
    <mdx n="508" f="v">
      <t c="3" si="4">
        <n x="509"/>
        <n x="220"/>
        <n x="469"/>
      </t>
    </mdx>
    <mdx n="508" f="v">
      <t c="3" si="4">
        <n x="509"/>
        <n x="459"/>
        <n x="469"/>
      </t>
    </mdx>
    <mdx n="508" f="v">
      <t c="3" si="4">
        <n x="509"/>
        <n x="199"/>
        <n x="5"/>
      </t>
    </mdx>
    <mdx n="508" f="v">
      <t c="3" si="4">
        <n x="509"/>
        <n x="186"/>
        <n x="1"/>
      </t>
    </mdx>
    <mdx n="508" f="v">
      <t c="3" si="4">
        <n x="509"/>
        <n x="23"/>
        <n x="1"/>
      </t>
    </mdx>
    <mdx n="508" f="v">
      <t c="3" si="4">
        <n x="509"/>
        <n x="233"/>
        <n x="469"/>
      </t>
    </mdx>
    <mdx n="508" f="v">
      <t c="3" si="4">
        <n x="509"/>
        <n x="45"/>
        <n x="467"/>
      </t>
    </mdx>
    <mdx n="508" f="v">
      <t c="3" si="4">
        <n x="509"/>
        <n x="32"/>
        <n x="2"/>
      </t>
    </mdx>
    <mdx n="508" f="v">
      <t c="3" si="4">
        <n x="509"/>
        <n x="421"/>
        <n x="467"/>
      </t>
    </mdx>
    <mdx n="508" f="v">
      <t c="3" si="4">
        <n x="509"/>
        <n x="265"/>
        <n x="2"/>
      </t>
    </mdx>
    <mdx n="508" f="v">
      <t c="3" si="4">
        <n x="509"/>
        <n x="434"/>
        <n x="470"/>
      </t>
    </mdx>
    <mdx n="508" f="v">
      <t c="3" si="4">
        <n x="509"/>
        <n x="132"/>
        <n x="472"/>
      </t>
    </mdx>
    <mdx n="508" f="v">
      <t c="3" si="4">
        <n x="509"/>
        <n x="209"/>
        <n x="473"/>
      </t>
    </mdx>
    <mdx n="508" f="v">
      <t c="3" si="4">
        <n x="509"/>
        <n x="56"/>
        <n x="2"/>
      </t>
    </mdx>
    <mdx n="508" f="v">
      <t c="3" si="4">
        <n x="509"/>
        <n x="244"/>
        <n x="473"/>
      </t>
    </mdx>
    <mdx n="508" f="v">
      <t c="3" si="4">
        <n x="509"/>
        <n x="67"/>
        <n x="469"/>
      </t>
    </mdx>
    <mdx n="508" f="v">
      <t c="3" si="4">
        <n x="509"/>
        <n x="106"/>
        <n x="1"/>
      </t>
    </mdx>
    <mdx n="508" f="v">
      <t c="3" si="475">
        <n x="509"/>
        <n x="437"/>
        <n x="474"/>
      </t>
    </mdx>
    <mdx n="508" f="v">
      <t c="3" si="4">
        <n x="509"/>
        <n x="274"/>
        <n x="473"/>
      </t>
    </mdx>
    <mdx n="508" f="v">
      <t c="3" si="475">
        <n x="509"/>
        <n x="197"/>
        <n x="474"/>
      </t>
    </mdx>
    <mdx n="508" f="v">
      <t c="3" si="4">
        <n x="509"/>
        <n x="229"/>
        <n x="469"/>
      </t>
    </mdx>
    <mdx n="508" f="v">
      <t c="3" si="4">
        <n x="509"/>
        <n x="384"/>
        <n x="2"/>
      </t>
    </mdx>
    <mdx n="508" f="v">
      <t c="3" si="4">
        <n x="509"/>
        <n x="374"/>
        <n x="472"/>
      </t>
    </mdx>
    <mdx n="508" f="v">
      <t c="3" si="4">
        <n x="509"/>
        <n x="209"/>
        <n x="1"/>
      </t>
    </mdx>
    <mdx n="508" f="v">
      <t c="3" si="475">
        <n x="509"/>
        <n x="236"/>
        <n x="474"/>
      </t>
    </mdx>
    <mdx n="508" f="v">
      <t c="3" si="4">
        <n x="509"/>
        <n x="410"/>
        <n x="473"/>
      </t>
    </mdx>
    <mdx n="508" f="v">
      <t c="3" si="4">
        <n x="509"/>
        <n x="364"/>
        <n x="467"/>
      </t>
    </mdx>
    <mdx n="508" f="v">
      <t c="3" si="4">
        <n x="509"/>
        <n x="239"/>
        <n x="469"/>
      </t>
    </mdx>
    <mdx n="508" f="v">
      <t c="3" si="4">
        <n x="509"/>
        <n x="335"/>
        <n x="472"/>
      </t>
    </mdx>
    <mdx n="508" f="v">
      <t c="3" si="4">
        <n x="509"/>
        <n x="451"/>
        <n x="470"/>
      </t>
    </mdx>
    <mdx n="508" f="v">
      <t c="3" si="4">
        <n x="509"/>
        <n x="119"/>
        <n x="470"/>
      </t>
    </mdx>
    <mdx n="508" f="v">
      <t c="3" si="4">
        <n x="509"/>
        <n x="406"/>
        <n x="470"/>
      </t>
    </mdx>
    <mdx n="508" f="v">
      <t c="3" si="4">
        <n x="509"/>
        <n x="127"/>
        <n x="469"/>
      </t>
    </mdx>
    <mdx n="508" f="v">
      <t c="3" si="4">
        <n x="509"/>
        <n x="295"/>
        <n x="473"/>
      </t>
    </mdx>
    <mdx n="508" f="v">
      <t c="3" si="4">
        <n x="509"/>
        <n x="442"/>
        <n x="469"/>
      </t>
    </mdx>
    <mdx n="508" f="v">
      <t c="3" si="4">
        <n x="509"/>
        <n x="388"/>
        <n x="467"/>
      </t>
    </mdx>
    <mdx n="508" f="v">
      <t c="3" si="4">
        <n x="509"/>
        <n x="74"/>
        <n x="2"/>
      </t>
    </mdx>
    <mdx n="508" f="v">
      <t c="3" si="4">
        <n x="509"/>
        <n x="260"/>
        <n x="2"/>
      </t>
    </mdx>
    <mdx n="508" f="v">
      <t c="3" si="4">
        <n x="509"/>
        <n x="144"/>
        <n x="472"/>
      </t>
    </mdx>
    <mdx n="508" f="v">
      <t c="3" si="4">
        <n x="509"/>
        <n x="290"/>
        <n x="469"/>
      </t>
    </mdx>
    <mdx n="508" f="v">
      <t c="3" si="4">
        <n x="509"/>
        <n x="341"/>
        <n x="2"/>
      </t>
    </mdx>
    <mdx n="508" f="v">
      <t c="3" si="475">
        <n x="509"/>
        <n x="415"/>
        <n x="474"/>
      </t>
    </mdx>
    <mdx n="508" f="v">
      <t c="3" si="475">
        <n x="509"/>
        <n x="201"/>
        <n x="474"/>
      </t>
    </mdx>
    <mdx n="508" f="v">
      <t c="3" si="4">
        <n x="509"/>
        <n x="442"/>
        <n x="470"/>
      </t>
    </mdx>
    <mdx n="508" f="v">
      <t c="3" si="4">
        <n x="509"/>
        <n x="309"/>
        <n x="470"/>
      </t>
    </mdx>
    <mdx n="508" f="v">
      <t c="3" si="4">
        <n x="509"/>
        <n x="345"/>
        <n x="472"/>
      </t>
    </mdx>
    <mdx n="508" f="v">
      <t c="3" si="4">
        <n x="509"/>
        <n x="146"/>
        <n x="1"/>
      </t>
    </mdx>
    <mdx n="508" f="v">
      <t c="3" si="4">
        <n x="509"/>
        <n x="301"/>
        <n x="469"/>
      </t>
    </mdx>
    <mdx n="508" f="v">
      <t c="3" si="475">
        <n x="509"/>
        <n x="119"/>
        <n x="474"/>
      </t>
    </mdx>
    <mdx n="508" f="v">
      <t c="3" si="4">
        <n x="509"/>
        <n x="128"/>
        <n x="467"/>
      </t>
    </mdx>
    <mdx n="508" f="v">
      <t c="3" si="4">
        <n x="509"/>
        <n x="263"/>
        <n x="467"/>
      </t>
    </mdx>
    <mdx n="508" f="v">
      <t c="3" si="4">
        <n x="509"/>
        <n x="239"/>
        <n x="472"/>
      </t>
    </mdx>
    <mdx n="508" f="v">
      <t c="3" si="4">
        <n x="509"/>
        <n x="269"/>
        <n x="470"/>
      </t>
    </mdx>
    <mdx n="508" f="v">
      <t c="3" si="4">
        <n x="509"/>
        <n x="98"/>
        <n x="472"/>
      </t>
    </mdx>
    <mdx n="508" f="v">
      <t c="3" si="4">
        <n x="509"/>
        <n x="57"/>
        <n x="469"/>
      </t>
    </mdx>
    <mdx n="508" f="v">
      <t c="3" si="4">
        <n x="509"/>
        <n x="58"/>
        <n x="469"/>
      </t>
    </mdx>
    <mdx n="508" f="v">
      <t c="3" si="4">
        <n x="509"/>
        <n x="181"/>
        <n x="467"/>
      </t>
    </mdx>
    <mdx n="508" f="v">
      <t c="3" si="4">
        <n x="509"/>
        <n x="359"/>
        <n x="470"/>
      </t>
    </mdx>
    <mdx n="508" f="v">
      <t c="3" si="475">
        <n x="509"/>
        <n x="419"/>
        <n x="474"/>
      </t>
    </mdx>
    <mdx n="508" f="v">
      <t c="3" si="4">
        <n x="509"/>
        <n x="198"/>
        <n x="470"/>
      </t>
    </mdx>
    <mdx n="508" f="v">
      <t c="3" si="4">
        <n x="509"/>
        <n x="397"/>
        <n x="1"/>
      </t>
    </mdx>
    <mdx n="508" f="v">
      <t c="3" si="4">
        <n x="509"/>
        <n x="263"/>
        <n x="470"/>
      </t>
    </mdx>
    <mdx n="508" f="v">
      <t c="3" si="4">
        <n x="509"/>
        <n x="304"/>
        <n x="469"/>
      </t>
    </mdx>
    <mdx n="508" f="v">
      <t c="3" si="4">
        <n x="509"/>
        <n x="270"/>
        <n x="469"/>
      </t>
    </mdx>
    <mdx n="508" f="v">
      <t c="3" si="4">
        <n x="509"/>
        <n x="265"/>
        <n x="470"/>
      </t>
    </mdx>
    <mdx n="508" f="v">
      <t c="3" si="4">
        <n x="509"/>
        <n x="430"/>
        <n x="472"/>
      </t>
    </mdx>
    <mdx n="508" f="v">
      <t c="3" si="4">
        <n x="509"/>
        <n x="59"/>
        <n x="472"/>
      </t>
    </mdx>
    <mdx n="508" f="v">
      <t c="3" si="4">
        <n x="509"/>
        <n x="158"/>
        <n x="472"/>
      </t>
    </mdx>
    <mdx n="508" f="v">
      <t c="3" si="4">
        <n x="509"/>
        <n x="408"/>
        <n x="1"/>
      </t>
    </mdx>
    <mdx n="508" f="v">
      <t c="3" si="4">
        <n x="509"/>
        <n x="253"/>
        <n x="472"/>
      </t>
    </mdx>
    <mdx n="508" f="v">
      <t c="3" si="4">
        <n x="509"/>
        <n x="136"/>
        <n x="470"/>
      </t>
    </mdx>
    <mdx n="508" f="v">
      <t c="3" si="4">
        <n x="509"/>
        <n x="222"/>
        <n x="470"/>
      </t>
    </mdx>
    <mdx n="508" f="v">
      <t c="3" si="4">
        <n x="509"/>
        <n x="41"/>
        <n x="470"/>
      </t>
    </mdx>
    <mdx n="508" f="v">
      <t c="3" si="4">
        <n x="509"/>
        <n x="410"/>
        <n x="1"/>
      </t>
    </mdx>
    <mdx n="508" f="v">
      <t c="3" si="4">
        <n x="509"/>
        <n x="257"/>
        <n x="472"/>
      </t>
    </mdx>
    <mdx n="508" f="v">
      <t c="3" si="4">
        <n x="509"/>
        <n x="390"/>
        <n x="466"/>
      </t>
    </mdx>
    <mdx n="508" f="v">
      <t c="3" si="4">
        <n x="509"/>
        <n x="394"/>
        <n x="1"/>
      </t>
    </mdx>
    <mdx n="508" f="v">
      <t c="3" si="4">
        <n x="509"/>
        <n x="170"/>
        <n x="466"/>
      </t>
    </mdx>
    <mdx n="508" f="v">
      <t c="3" si="4">
        <n x="509"/>
        <n x="147"/>
        <n x="5"/>
      </t>
    </mdx>
    <mdx n="508" f="v">
      <t c="3" si="4">
        <n x="509"/>
        <n x="98"/>
        <n x="466"/>
      </t>
    </mdx>
    <mdx n="508" f="v">
      <t c="3" si="4">
        <n x="509"/>
        <n x="165"/>
        <n x="473"/>
      </t>
    </mdx>
    <mdx n="508" f="v">
      <t c="3" si="4">
        <n x="509"/>
        <n x="450"/>
        <n x="468"/>
      </t>
    </mdx>
    <mdx n="508" f="v">
      <t c="3" si="4">
        <n x="509"/>
        <n x="388"/>
        <n x="466"/>
      </t>
    </mdx>
    <mdx n="508" f="v">
      <t c="3" si="4">
        <n x="509"/>
        <n x="301"/>
        <n x="468"/>
      </t>
    </mdx>
    <mdx n="508" f="v">
      <t c="3" si="4">
        <n x="509"/>
        <n x="383"/>
        <n x="472"/>
      </t>
    </mdx>
    <mdx n="508" f="v">
      <t c="3" si="4">
        <n x="509"/>
        <n x="85"/>
        <n x="1"/>
      </t>
    </mdx>
    <mdx n="508" f="v">
      <t c="3" si="4">
        <n x="509"/>
        <n x="438"/>
        <n x="467"/>
      </t>
    </mdx>
    <mdx n="508" f="v">
      <t c="3" si="475">
        <n x="509"/>
        <n x="152"/>
        <n x="474"/>
      </t>
    </mdx>
    <mdx n="508" f="v">
      <t c="3" si="4">
        <n x="509"/>
        <n x="325"/>
        <n x="470"/>
      </t>
    </mdx>
    <mdx n="508" f="v">
      <t c="3" si="4">
        <n x="509"/>
        <n x="121"/>
        <n x="472"/>
      </t>
    </mdx>
    <mdx n="508" f="v">
      <t c="3" si="4">
        <n x="509"/>
        <n x="189"/>
        <n x="470"/>
      </t>
    </mdx>
    <mdx n="508" f="v">
      <t c="3" si="4">
        <n x="509"/>
        <n x="433"/>
        <n x="469"/>
      </t>
    </mdx>
    <mdx n="508" f="v">
      <t c="3" si="4">
        <n x="509"/>
        <n x="236"/>
        <n x="466"/>
      </t>
    </mdx>
    <mdx n="508" f="v">
      <t c="3" si="4">
        <n x="509"/>
        <n x="100"/>
        <n x="466"/>
      </t>
    </mdx>
    <mdx n="508" f="v">
      <t c="3" si="4">
        <n x="509"/>
        <n x="190"/>
        <n x="466"/>
      </t>
    </mdx>
    <mdx n="508" f="v">
      <t c="3" si="475">
        <n x="509"/>
        <n x="217"/>
        <n x="474"/>
      </t>
    </mdx>
    <mdx n="508" f="v">
      <t c="3" si="4">
        <n x="509"/>
        <n x="410"/>
        <n x="5"/>
      </t>
    </mdx>
    <mdx n="508" f="v">
      <t c="3" si="4">
        <n x="509"/>
        <n x="415"/>
        <n x="473"/>
      </t>
    </mdx>
    <mdx n="508" f="v">
      <t c="3" si="4">
        <n x="509"/>
        <n x="3"/>
        <n x="473"/>
      </t>
    </mdx>
    <mdx n="508" f="v">
      <t c="3" si="4">
        <n x="509"/>
        <n x="203"/>
        <n x="472"/>
      </t>
    </mdx>
    <mdx n="508" f="v">
      <t c="3" si="4">
        <n x="509"/>
        <n x="450"/>
        <n x="2"/>
      </t>
    </mdx>
    <mdx n="508" f="v">
      <t c="3" si="4">
        <n x="509"/>
        <n x="158"/>
        <n x="473"/>
      </t>
    </mdx>
    <mdx n="508" f="v">
      <t c="3" si="4">
        <n x="509"/>
        <n x="12"/>
        <n x="472"/>
      </t>
    </mdx>
    <mdx n="508" f="v">
      <t c="3" si="4">
        <n x="509"/>
        <n x="6"/>
        <n x="472"/>
      </t>
    </mdx>
    <mdx n="508" f="v">
      <t c="3" si="4">
        <n x="509"/>
        <n x="186"/>
        <n x="469"/>
      </t>
    </mdx>
    <mdx n="508" f="v">
      <t c="3" si="4">
        <n x="509"/>
        <n x="329"/>
        <n x="5"/>
      </t>
    </mdx>
    <mdx n="508" f="v">
      <t c="3" si="4">
        <n x="509"/>
        <n x="422"/>
        <n x="472"/>
      </t>
    </mdx>
    <mdx n="508" f="v">
      <t c="3" si="4">
        <n x="509"/>
        <n x="229"/>
        <n x="470"/>
      </t>
    </mdx>
    <mdx n="508" f="v">
      <t c="3" si="4">
        <n x="509"/>
        <n x="429"/>
        <n x="1"/>
      </t>
    </mdx>
    <mdx n="508" f="v">
      <t c="3" si="4">
        <n x="509"/>
        <n x="368"/>
        <n x="473"/>
      </t>
    </mdx>
    <mdx n="508" f="v">
      <t c="3" si="4">
        <n x="509"/>
        <n x="312"/>
        <n x="469"/>
      </t>
    </mdx>
    <mdx n="508" f="v">
      <t c="3" si="4">
        <n x="509"/>
        <n x="56"/>
        <n x="5"/>
      </t>
    </mdx>
    <mdx n="508" f="v">
      <t c="3" si="4">
        <n x="509"/>
        <n x="238"/>
        <n x="469"/>
      </t>
    </mdx>
    <mdx n="508" f="v">
      <t c="3" si="4">
        <n x="509"/>
        <n x="75"/>
        <n x="469"/>
      </t>
    </mdx>
    <mdx n="508" f="v">
      <t c="3" si="4">
        <n x="509"/>
        <n x="163"/>
        <n x="467"/>
      </t>
    </mdx>
    <mdx n="508" f="v">
      <t c="3" si="4">
        <n x="509"/>
        <n x="138"/>
        <n x="469"/>
      </t>
    </mdx>
    <mdx n="508" f="v">
      <t c="3" si="4">
        <n x="509"/>
        <n x="363"/>
        <n x="472"/>
      </t>
    </mdx>
    <mdx n="508" f="v">
      <t c="3" si="4">
        <n x="509"/>
        <n x="17"/>
        <n x="473"/>
      </t>
    </mdx>
    <mdx n="508" f="v">
      <t c="3" si="4">
        <n x="509"/>
        <n x="319"/>
        <n x="469"/>
      </t>
    </mdx>
    <mdx n="508" f="v">
      <t c="3" si="4">
        <n x="509"/>
        <n x="373"/>
        <n x="472"/>
      </t>
    </mdx>
    <mdx n="508" f="v">
      <t c="3" si="475">
        <n x="509"/>
        <n x="23"/>
        <n x="474"/>
      </t>
    </mdx>
    <mdx n="508" f="v">
      <t c="3" si="4">
        <n x="509"/>
        <n x="106"/>
        <n x="470"/>
      </t>
    </mdx>
    <mdx n="508" f="v">
      <t c="3" si="4">
        <n x="509"/>
        <n x="103"/>
        <n x="2"/>
      </t>
    </mdx>
    <mdx n="508" f="v">
      <t c="3" si="4">
        <n x="509"/>
        <n x="51"/>
        <n x="467"/>
      </t>
    </mdx>
    <mdx n="508" f="v">
      <t c="3" si="4">
        <n x="509"/>
        <n x="395"/>
        <n x="1"/>
      </t>
    </mdx>
    <mdx n="508" f="v">
      <t c="3" si="4">
        <n x="509"/>
        <n x="226"/>
        <n x="470"/>
      </t>
    </mdx>
    <mdx n="508" f="v">
      <t c="3" si="4">
        <n x="509"/>
        <n x="144"/>
        <n x="470"/>
      </t>
    </mdx>
    <mdx n="508" f="v">
      <t c="3" si="475">
        <n x="509"/>
        <n x="412"/>
        <n x="474"/>
      </t>
    </mdx>
    <mdx n="508" f="v">
      <t c="3" si="4">
        <n x="509"/>
        <n x="313"/>
        <n x="467"/>
      </t>
    </mdx>
    <mdx n="508" f="v">
      <t c="3" si="4">
        <n x="509"/>
        <n x="446"/>
        <n x="472"/>
      </t>
    </mdx>
    <mdx n="508" f="v">
      <t c="3" si="4">
        <n x="509"/>
        <n x="345"/>
        <n x="2"/>
      </t>
    </mdx>
    <mdx n="508" f="v">
      <t c="3" si="4">
        <n x="509"/>
        <n x="117"/>
        <n x="2"/>
      </t>
    </mdx>
    <mdx n="508" f="v">
      <t c="3" si="475">
        <n x="509"/>
        <n x="231"/>
        <n x="474"/>
      </t>
    </mdx>
    <mdx n="508" f="v">
      <t c="3" si="4">
        <n x="509"/>
        <n x="62"/>
        <n x="472"/>
      </t>
    </mdx>
    <mdx n="508" f="v">
      <t c="3" si="4">
        <n x="509"/>
        <n x="200"/>
        <n x="469"/>
      </t>
    </mdx>
    <mdx n="508" f="v">
      <t c="3" si="4">
        <n x="509"/>
        <n x="166"/>
        <n x="469"/>
      </t>
    </mdx>
    <mdx n="508" f="v">
      <t c="3" si="4">
        <n x="509"/>
        <n x="333"/>
        <n x="466"/>
      </t>
    </mdx>
    <mdx n="508" f="v">
      <t c="3" si="4">
        <n x="509"/>
        <n x="211"/>
        <n x="5"/>
      </t>
    </mdx>
    <mdx n="508" f="v">
      <t c="3" si="4">
        <n x="509"/>
        <n x="249"/>
        <n x="466"/>
      </t>
    </mdx>
    <mdx n="508" f="v">
      <t c="3" si="4">
        <n x="509"/>
        <n x="388"/>
        <n x="5"/>
      </t>
    </mdx>
    <mdx n="508" f="v">
      <t c="3" si="4">
        <n x="509"/>
        <n x="177"/>
        <n x="466"/>
      </t>
    </mdx>
    <mdx n="508" f="v">
      <t c="3" si="4">
        <n x="509"/>
        <n x="268"/>
        <n x="466"/>
      </t>
    </mdx>
    <mdx n="508" f="v">
      <t c="3" si="4">
        <n x="509"/>
        <n x="74"/>
        <n x="469"/>
      </t>
    </mdx>
    <mdx n="508" f="v">
      <t c="3" si="4">
        <n x="509"/>
        <n x="435"/>
        <n x="466"/>
      </t>
    </mdx>
    <mdx n="508" f="v">
      <t c="3" si="475">
        <n x="509"/>
        <n x="239"/>
        <n x="474"/>
      </t>
    </mdx>
    <mdx n="508" f="v">
      <t c="3" si="4">
        <n x="509"/>
        <n x="236"/>
        <n x="1"/>
      </t>
    </mdx>
    <mdx n="508" f="v">
      <t c="3" si="4">
        <n x="509"/>
        <n x="271"/>
        <n x="470"/>
      </t>
    </mdx>
    <mdx n="508" f="v">
      <t c="3" si="4">
        <n x="509"/>
        <n x="282"/>
        <n x="470"/>
      </t>
    </mdx>
    <mdx n="508" f="v">
      <t c="3" si="4">
        <n x="509"/>
        <n x="121"/>
        <n x="470"/>
      </t>
    </mdx>
    <mdx n="508" f="v">
      <t c="3" si="475">
        <n x="509"/>
        <n x="171"/>
        <n x="474"/>
      </t>
    </mdx>
    <mdx n="508" f="v">
      <t c="3" si="4">
        <n x="509"/>
        <n x="65"/>
        <n x="2"/>
      </t>
    </mdx>
    <mdx n="508" f="v">
      <t c="3" si="4">
        <n x="509"/>
        <n x="425"/>
        <n x="473"/>
      </t>
    </mdx>
    <mdx n="508" f="v">
      <t c="3" si="475">
        <n x="509"/>
        <n x="230"/>
        <n x="474"/>
      </t>
    </mdx>
    <mdx n="508" f="v">
      <t c="3" si="4">
        <n x="509"/>
        <n x="6"/>
        <n x="1"/>
      </t>
    </mdx>
    <mdx n="508" f="v">
      <t c="3" si="475">
        <n x="509"/>
        <n x="400"/>
        <n x="474"/>
      </t>
    </mdx>
    <mdx n="508" f="v">
      <t c="3" si="4">
        <n x="509"/>
        <n x="124"/>
        <n x="2"/>
      </t>
    </mdx>
    <mdx n="508" f="v">
      <t c="3" si="4">
        <n x="509"/>
        <n x="283"/>
        <n x="466"/>
      </t>
    </mdx>
    <mdx n="508" f="v">
      <t c="3" si="4">
        <n x="509"/>
        <n x="294"/>
        <n x="473"/>
      </t>
    </mdx>
    <mdx n="508" f="v">
      <t c="3" si="4">
        <n x="509"/>
        <n x="147"/>
        <n x="466"/>
      </t>
    </mdx>
    <mdx n="508" f="v">
      <t c="3" si="4">
        <n x="509"/>
        <n x="253"/>
        <n x="466"/>
      </t>
    </mdx>
    <mdx n="508" f="v">
      <t c="3" si="4">
        <n x="509"/>
        <n x="83"/>
        <n x="5"/>
      </t>
    </mdx>
    <mdx n="508" f="v">
      <t c="3" si="4">
        <n x="509"/>
        <n x="245"/>
        <n x="470"/>
      </t>
    </mdx>
    <mdx n="508" f="v">
      <t c="3" si="4">
        <n x="509"/>
        <n x="268"/>
        <n x="2"/>
      </t>
    </mdx>
    <mdx n="508" f="v">
      <t c="3" si="4">
        <n x="509"/>
        <n x="312"/>
        <n x="467"/>
      </t>
    </mdx>
    <mdx n="508" f="v">
      <t c="3" si="4">
        <n x="509"/>
        <n x="151"/>
        <n x="467"/>
      </t>
    </mdx>
    <mdx n="508" f="v">
      <t c="3" si="4">
        <n x="509"/>
        <n x="152"/>
        <n x="1"/>
      </t>
    </mdx>
    <mdx n="508" f="v">
      <t c="3" si="475">
        <n x="509"/>
        <n x="150"/>
        <n x="474"/>
      </t>
    </mdx>
    <mdx n="508" f="v">
      <t c="3" si="4">
        <n x="509"/>
        <n x="318"/>
        <n x="467"/>
      </t>
    </mdx>
    <mdx n="508" f="v">
      <t c="3" si="4">
        <n x="509"/>
        <n x="447"/>
        <n x="466"/>
      </t>
    </mdx>
    <mdx n="508" f="v">
      <t c="3" si="4">
        <n x="509"/>
        <n x="310"/>
        <n x="2"/>
      </t>
    </mdx>
    <mdx n="508" f="v">
      <t c="3" si="4">
        <n x="509"/>
        <n x="154"/>
        <n x="5"/>
      </t>
    </mdx>
    <mdx n="508" f="v">
      <t c="3" si="4">
        <n x="509"/>
        <n x="203"/>
        <n x="466"/>
      </t>
    </mdx>
    <mdx n="508" f="v">
      <t c="3" si="4">
        <n x="509"/>
        <n x="216"/>
        <n x="467"/>
      </t>
    </mdx>
    <mdx n="508" f="v">
      <t c="3" si="4">
        <n x="509"/>
        <n x="131"/>
        <n x="466"/>
      </t>
    </mdx>
    <mdx n="508" f="v">
      <t c="3" si="4">
        <n x="509"/>
        <n x="145"/>
        <n x="470"/>
      </t>
    </mdx>
    <mdx n="508" f="v">
      <t c="3" si="4">
        <n x="509"/>
        <n x="345"/>
        <n x="467"/>
      </t>
    </mdx>
    <mdx n="508" f="v">
      <t c="3" si="4">
        <n x="509"/>
        <n x="240"/>
        <n x="467"/>
      </t>
    </mdx>
    <mdx n="508" f="v">
      <t c="3" si="4">
        <n x="509"/>
        <n x="139"/>
        <n x="470"/>
      </t>
    </mdx>
    <mdx n="508" f="v">
      <t c="3" si="4">
        <n x="509"/>
        <n x="62"/>
        <n x="469"/>
      </t>
    </mdx>
    <mdx n="508" f="v">
      <t c="3" si="4">
        <n x="509"/>
        <n x="206"/>
        <n x="470"/>
      </t>
    </mdx>
    <mdx n="508" f="v">
      <t c="3" si="4">
        <n x="509"/>
        <n x="439"/>
        <n x="470"/>
      </t>
    </mdx>
    <mdx n="508" f="v">
      <t c="3" si="4">
        <n x="509"/>
        <n x="440"/>
        <n x="472"/>
      </t>
    </mdx>
    <mdx n="508" f="v">
      <t c="3" si="4">
        <n x="509"/>
        <n x="92"/>
        <n x="470"/>
      </t>
    </mdx>
    <mdx n="508" f="v">
      <t c="3" si="475">
        <n x="509"/>
        <n x="142"/>
        <n x="474"/>
      </t>
    </mdx>
    <mdx n="508" f="v">
      <t c="3" si="4">
        <n x="509"/>
        <n x="377"/>
        <n x="470"/>
      </t>
    </mdx>
    <mdx n="508" f="v">
      <t c="3" si="4">
        <n x="509"/>
        <n x="265"/>
        <n x="469"/>
      </t>
    </mdx>
    <mdx n="508" f="v">
      <t c="3" si="475">
        <n x="509"/>
        <n x="377"/>
        <n x="474"/>
      </t>
    </mdx>
    <mdx n="508" f="v">
      <t c="3" si="475">
        <n x="509"/>
        <n x="225"/>
        <n x="474"/>
      </t>
    </mdx>
    <mdx n="508" f="v">
      <t c="3" si="4">
        <n x="509"/>
        <n x="242"/>
        <n x="1"/>
      </t>
    </mdx>
    <mdx n="508" f="v">
      <t c="3" si="475">
        <n x="509"/>
        <n x="105"/>
        <n x="474"/>
      </t>
    </mdx>
    <mdx n="508" f="v">
      <t c="3" si="4">
        <n x="509"/>
        <n x="6"/>
        <n x="470"/>
      </t>
    </mdx>
    <mdx n="508" f="v">
      <t c="3" si="475">
        <n x="509"/>
        <n x="50"/>
        <n x="474"/>
      </t>
    </mdx>
    <mdx n="508" f="v">
      <t c="3" si="4">
        <n x="509"/>
        <n x="433"/>
        <n x="2"/>
      </t>
    </mdx>
    <mdx n="508" f="v">
      <t c="3" si="4">
        <n x="509"/>
        <n x="335"/>
        <n x="467"/>
      </t>
    </mdx>
    <mdx n="508" f="v">
      <t c="3" si="4">
        <n x="509"/>
        <n x="460"/>
        <n x="472"/>
      </t>
    </mdx>
    <mdx n="508" f="v">
      <t c="3" si="475">
        <n x="509"/>
        <n x="402"/>
        <n x="474"/>
      </t>
    </mdx>
    <mdx n="508" f="v">
      <t c="3" si="4">
        <n x="509"/>
        <n x="380"/>
        <n x="472"/>
      </t>
    </mdx>
    <mdx n="508" f="v">
      <t c="3" si="4">
        <n x="509"/>
        <n x="98"/>
        <n x="469"/>
      </t>
    </mdx>
    <mdx n="508" f="v">
      <t c="3" si="475">
        <n x="509"/>
        <n x="268"/>
        <n x="474"/>
      </t>
    </mdx>
    <mdx n="508" f="v">
      <t c="3" si="4">
        <n x="509"/>
        <n x="50"/>
        <n x="467"/>
      </t>
    </mdx>
    <mdx n="508" f="v">
      <t c="3" si="4">
        <n x="509"/>
        <n x="334"/>
        <n x="472"/>
      </t>
    </mdx>
    <mdx n="508" f="v">
      <t c="3" si="4">
        <n x="509"/>
        <n x="371"/>
        <n x="467"/>
      </t>
    </mdx>
    <mdx n="508" f="v">
      <t c="3" si="475">
        <n x="509"/>
        <n x="134"/>
        <n x="474"/>
      </t>
    </mdx>
    <mdx n="508" f="v">
      <t c="3" si="4">
        <n x="509"/>
        <n x="292"/>
        <n x="469"/>
      </t>
    </mdx>
    <mdx n="508" f="v">
      <t c="3" si="4">
        <n x="509"/>
        <n x="267"/>
        <n x="470"/>
      </t>
    </mdx>
    <mdx n="508" f="v">
      <t c="3" si="4">
        <n x="509"/>
        <n x="389"/>
        <n x="472"/>
      </t>
    </mdx>
    <mdx n="508" f="v">
      <t c="3" si="4">
        <n x="509"/>
        <n x="100"/>
        <n x="2"/>
      </t>
    </mdx>
    <mdx n="508" f="v">
      <t c="3" si="4">
        <n x="509"/>
        <n x="81"/>
        <n x="5"/>
      </t>
    </mdx>
    <mdx n="508" f="v">
      <t c="3" si="4">
        <n x="509"/>
        <n x="370"/>
        <n x="468"/>
      </t>
    </mdx>
    <mdx n="508" f="v">
      <t c="3" si="4">
        <n x="509"/>
        <n x="115"/>
        <n x="2"/>
      </t>
    </mdx>
    <mdx n="508" f="v">
      <t c="3" si="4">
        <n x="509"/>
        <n x="104"/>
        <n x="466"/>
      </t>
    </mdx>
    <mdx n="508" f="v">
      <t c="3" si="4">
        <n x="509"/>
        <n x="315"/>
        <n x="466"/>
      </t>
    </mdx>
    <mdx n="508" f="v">
      <t c="3" si="475">
        <n x="509"/>
        <n x="296"/>
        <n x="474"/>
      </t>
    </mdx>
    <mdx n="508" f="v">
      <t c="3" si="4">
        <n x="509"/>
        <n x="377"/>
        <n x="473"/>
      </t>
    </mdx>
    <mdx n="508" f="v">
      <t c="3" si="4">
        <n x="509"/>
        <n x="314"/>
        <n x="466"/>
      </t>
    </mdx>
    <mdx n="508" f="v">
      <t c="3" si="4">
        <n x="509"/>
        <n x="292"/>
        <n x="472"/>
      </t>
    </mdx>
    <mdx n="508" f="v">
      <t c="3" si="4">
        <n x="509"/>
        <n x="24"/>
        <n x="472"/>
      </t>
    </mdx>
    <mdx n="508" f="v">
      <t c="3" si="4">
        <n x="509"/>
        <n x="420"/>
        <n x="470"/>
      </t>
    </mdx>
    <mdx n="508" f="v">
      <t c="3" si="4">
        <n x="509"/>
        <n x="154"/>
        <n x="472"/>
      </t>
    </mdx>
    <mdx n="508" f="v">
      <t c="3" si="4">
        <n x="509"/>
        <n x="253"/>
        <n x="470"/>
      </t>
    </mdx>
    <mdx n="508" f="v">
      <t c="3" si="4">
        <n x="509"/>
        <n x="301"/>
        <n x="470"/>
      </t>
    </mdx>
    <mdx n="508" f="v">
      <t c="3" si="4">
        <n x="509"/>
        <n x="376"/>
        <n x="472"/>
      </t>
    </mdx>
    <mdx n="508" f="v">
      <t c="3" si="475">
        <n x="509"/>
        <n x="117"/>
        <n x="474"/>
      </t>
    </mdx>
    <mdx n="508" f="v">
      <t c="3" si="4">
        <n x="509"/>
        <n x="107"/>
        <n x="470"/>
      </t>
    </mdx>
    <mdx n="508" f="v">
      <t c="3" si="4">
        <n x="509"/>
        <n x="109"/>
        <n x="472"/>
      </t>
    </mdx>
    <mdx n="508" f="v">
      <t c="3" si="4">
        <n x="509"/>
        <n x="264"/>
        <n x="473"/>
      </t>
    </mdx>
    <mdx n="508" f="v">
      <t c="3" si="4">
        <n x="509"/>
        <n x="180"/>
        <n x="470"/>
      </t>
    </mdx>
    <mdx n="508" f="v">
      <t c="3" si="4">
        <n x="509"/>
        <n x="174"/>
        <n x="5"/>
      </t>
    </mdx>
    <mdx n="508" f="v">
      <t c="3" si="4">
        <n x="509"/>
        <n x="122"/>
        <n x="466"/>
      </t>
    </mdx>
    <mdx n="508" f="v">
      <t c="3" si="4">
        <n x="509"/>
        <n x="402"/>
        <n x="1"/>
      </t>
    </mdx>
    <mdx n="508" f="v">
      <t c="3" si="4">
        <n x="509"/>
        <n x="458"/>
        <n x="466"/>
      </t>
    </mdx>
    <mdx n="508" f="v">
      <t c="3" si="4">
        <n x="509"/>
        <n x="191"/>
        <n x="2"/>
      </t>
    </mdx>
    <mdx n="508" f="v">
      <t c="3" si="4">
        <n x="509"/>
        <n x="58"/>
        <n x="468"/>
      </t>
    </mdx>
    <mdx n="508" f="v">
      <t c="3" si="475">
        <n x="509"/>
        <n x="190"/>
        <n x="474"/>
      </t>
    </mdx>
    <mdx n="508" f="v">
      <t c="3" si="4">
        <n x="509"/>
        <n x="32"/>
        <n x="469"/>
      </t>
    </mdx>
    <mdx n="508" f="v">
      <t c="3" si="4">
        <n x="509"/>
        <n x="300"/>
        <n x="2"/>
      </t>
    </mdx>
    <mdx n="508" f="v">
      <t c="3" si="4">
        <n x="509"/>
        <n x="237"/>
        <n x="2"/>
      </t>
    </mdx>
    <mdx n="508" f="v">
      <t c="3" si="4">
        <n x="509"/>
        <n x="83"/>
        <n x="473"/>
      </t>
    </mdx>
    <mdx n="508" f="v">
      <t c="3" si="4">
        <n x="509"/>
        <n x="407"/>
        <n x="469"/>
      </t>
    </mdx>
    <mdx n="508" f="v">
      <t c="3" si="4">
        <n x="509"/>
        <n x="428"/>
        <n x="473"/>
      </t>
    </mdx>
    <mdx n="508" f="v">
      <t c="3" si="4">
        <n x="509"/>
        <n x="348"/>
        <n x="2"/>
      </t>
    </mdx>
    <mdx n="508" f="v">
      <t c="3" si="4">
        <n x="509"/>
        <n x="108"/>
        <n x="473"/>
      </t>
    </mdx>
    <mdx n="508" f="v">
      <t c="3" si="4">
        <n x="509"/>
        <n x="142"/>
        <n x="466"/>
      </t>
    </mdx>
    <mdx n="508" f="v">
      <t c="3" si="4">
        <n x="509"/>
        <n x="47"/>
        <n x="472"/>
      </t>
    </mdx>
    <mdx n="508" f="v">
      <t c="3" si="4">
        <n x="509"/>
        <n x="230"/>
        <n x="469"/>
      </t>
    </mdx>
    <mdx n="508" f="v">
      <t c="3" si="4">
        <n x="509"/>
        <n x="387"/>
        <n x="469"/>
      </t>
    </mdx>
    <mdx n="508" f="v">
      <t c="3" si="4">
        <n x="509"/>
        <n x="84"/>
        <n x="470"/>
      </t>
    </mdx>
    <mdx n="508" f="v">
      <t c="3" si="4">
        <n x="509"/>
        <n x="11"/>
        <n x="470"/>
      </t>
    </mdx>
    <mdx n="508" f="v">
      <t c="3" si="4">
        <n x="509"/>
        <n x="322"/>
        <n x="469"/>
      </t>
    </mdx>
    <mdx n="508" f="v">
      <t c="3" si="4">
        <n x="509"/>
        <n x="170"/>
        <n x="467"/>
      </t>
    </mdx>
    <mdx n="508" f="v">
      <t c="3" si="4">
        <n x="509"/>
        <n x="193"/>
        <n x="472"/>
      </t>
    </mdx>
    <mdx n="508" f="v">
      <t c="3" si="4">
        <n x="509"/>
        <n x="85"/>
        <n x="2"/>
      </t>
    </mdx>
    <mdx n="508" f="v">
      <t c="3" si="475">
        <n x="509"/>
        <n x="413"/>
        <n x="474"/>
      </t>
    </mdx>
    <mdx n="508" f="v">
      <t c="3" si="4">
        <n x="509"/>
        <n x="129"/>
        <n x="469"/>
      </t>
    </mdx>
    <mdx n="508" f="v">
      <t c="3" si="4">
        <n x="509"/>
        <n x="116"/>
        <n x="470"/>
      </t>
    </mdx>
    <mdx n="508" f="v">
      <t c="3" si="4">
        <n x="509"/>
        <n x="168"/>
        <n x="472"/>
      </t>
    </mdx>
    <mdx n="508" f="v">
      <t c="3" si="4">
        <n x="509"/>
        <n x="298"/>
        <n x="469"/>
      </t>
    </mdx>
    <mdx n="508" f="v">
      <t c="3" si="4">
        <n x="509"/>
        <n x="196"/>
        <n x="472"/>
      </t>
    </mdx>
    <mdx n="508" f="v">
      <t c="3" si="4">
        <n x="509"/>
        <n x="104"/>
        <n x="469"/>
      </t>
    </mdx>
    <mdx n="508" f="v">
      <t c="3" si="4">
        <n x="509"/>
        <n x="188"/>
        <n x="469"/>
      </t>
    </mdx>
    <mdx n="508" f="v">
      <t c="3" si="475">
        <n x="509"/>
        <n x="360"/>
        <n x="474"/>
      </t>
    </mdx>
    <mdx n="508" f="v">
      <t c="3" si="4">
        <n x="509"/>
        <n x="181"/>
        <n x="473"/>
      </t>
    </mdx>
    <mdx n="508" f="v">
      <t c="3" si="4">
        <n x="509"/>
        <n x="31"/>
        <n x="469"/>
      </t>
    </mdx>
    <mdx n="508" f="v">
      <t c="3" si="4">
        <n x="509"/>
        <n x="287"/>
        <n x="470"/>
      </t>
    </mdx>
    <mdx n="508" f="v">
      <t c="3" si="4">
        <n x="509"/>
        <n x="414"/>
        <n x="473"/>
      </t>
    </mdx>
    <mdx n="508" f="v">
      <t c="3" si="4">
        <n x="509"/>
        <n x="416"/>
        <n x="469"/>
      </t>
    </mdx>
    <mdx n="508" f="v">
      <t c="3" si="475">
        <n x="509"/>
        <n x="382"/>
        <n x="474"/>
      </t>
    </mdx>
    <mdx n="508" f="v">
      <t c="3" si="4">
        <n x="509"/>
        <n x="118"/>
        <n x="2"/>
      </t>
    </mdx>
    <mdx n="508" f="v">
      <t c="3" si="4">
        <n x="509"/>
        <n x="462"/>
        <n x="469"/>
      </t>
    </mdx>
    <mdx n="508" f="v">
      <t c="3" si="4">
        <n x="509"/>
        <n x="430"/>
        <n x="2"/>
      </t>
    </mdx>
    <mdx n="508" f="v">
      <t c="3" si="4">
        <n x="509"/>
        <n x="168"/>
        <n x="467"/>
      </t>
    </mdx>
    <mdx n="508" f="v">
      <t c="3" si="4">
        <n x="509"/>
        <n x="352"/>
        <n x="2"/>
      </t>
    </mdx>
    <mdx n="508" f="v">
      <t c="3" si="4">
        <n x="509"/>
        <n x="28"/>
        <n x="472"/>
      </t>
    </mdx>
    <mdx n="508" f="v">
      <t c="3" si="4">
        <n x="509"/>
        <n x="318"/>
        <n x="472"/>
      </t>
    </mdx>
    <mdx n="508" f="v">
      <t c="3" si="4">
        <n x="509"/>
        <n x="175"/>
        <n x="5"/>
      </t>
    </mdx>
    <mdx n="508" f="v">
      <t c="3" si="4">
        <n x="509"/>
        <n x="447"/>
        <n x="469"/>
      </t>
    </mdx>
    <mdx n="508" f="v">
      <t c="3" si="4">
        <n x="509"/>
        <n x="17"/>
        <n x="467"/>
      </t>
    </mdx>
    <mdx n="508" f="v">
      <t c="3" si="4">
        <n x="509"/>
        <n x="88"/>
        <n x="473"/>
      </t>
    </mdx>
    <mdx n="508" f="v">
      <t c="3" si="475">
        <n x="509"/>
        <n x="339"/>
        <n x="474"/>
      </t>
    </mdx>
    <mdx n="508" f="v">
      <t c="3" si="4">
        <n x="509"/>
        <n x="300"/>
        <n x="466"/>
      </t>
    </mdx>
    <mdx n="508" f="v">
      <t c="3" si="4">
        <n x="509"/>
        <n x="242"/>
        <n x="468"/>
      </t>
    </mdx>
    <mdx n="508" f="v">
      <t c="3" si="4">
        <n x="509"/>
        <n x="164"/>
        <n x="466"/>
      </t>
    </mdx>
    <mdx n="508" f="v">
      <t c="3" si="4">
        <n x="509"/>
        <n x="326"/>
        <n x="466"/>
      </t>
    </mdx>
    <mdx n="508" f="v">
      <t c="3" si="4">
        <n x="509"/>
        <n x="207"/>
        <n x="2"/>
      </t>
    </mdx>
    <mdx n="508" f="v">
      <t c="3" si="4">
        <n x="509"/>
        <n x="154"/>
        <n x="466"/>
      </t>
    </mdx>
    <mdx n="508" f="v">
      <t c="3" si="4">
        <n x="509"/>
        <n x="24"/>
        <n x="1"/>
      </t>
    </mdx>
    <mdx n="508" f="v">
      <t c="3" si="4">
        <n x="509"/>
        <n x="353"/>
        <n x="466"/>
      </t>
    </mdx>
    <mdx n="508" f="v">
      <t c="3" si="4">
        <n x="509"/>
        <n x="56"/>
        <n x="1"/>
      </t>
    </mdx>
    <mdx n="508" f="v">
      <t c="3" si="4">
        <n x="509"/>
        <n x="153"/>
        <n x="2"/>
      </t>
    </mdx>
    <mdx n="508" f="v">
      <t c="3" si="4">
        <n x="509"/>
        <n x="212"/>
        <n x="473"/>
      </t>
    </mdx>
    <mdx n="508" f="v">
      <t c="3" si="4">
        <n x="509"/>
        <n x="10"/>
        <n x="467"/>
      </t>
    </mdx>
    <mdx n="508" f="v">
      <t c="3" si="475">
        <n x="509"/>
        <n x="98"/>
        <n x="474"/>
      </t>
    </mdx>
    <mdx n="508" f="v">
      <t c="3" si="4">
        <n x="509"/>
        <n x="416"/>
        <n x="467"/>
      </t>
    </mdx>
    <mdx n="508" f="v">
      <t c="3" si="4">
        <n x="509"/>
        <n x="262"/>
        <n x="469"/>
      </t>
    </mdx>
    <mdx n="508" f="v">
      <t c="3" si="4">
        <n x="509"/>
        <n x="190"/>
        <n x="473"/>
      </t>
    </mdx>
    <mdx n="508" f="v">
      <t c="3" si="4">
        <n x="509"/>
        <n x="7"/>
        <n x="467"/>
      </t>
    </mdx>
    <mdx n="508" f="v">
      <t c="3" si="4">
        <n x="509"/>
        <n x="418"/>
        <n x="469"/>
      </t>
    </mdx>
    <mdx n="508" f="v">
      <t c="3" si="4">
        <n x="509"/>
        <n x="60"/>
        <n x="1"/>
      </t>
    </mdx>
    <mdx n="508" f="v">
      <t c="3" si="4">
        <n x="509"/>
        <n x="248"/>
        <n x="467"/>
      </t>
    </mdx>
    <mdx n="508" f="v">
      <t c="3" si="475">
        <n x="509"/>
        <n x="53"/>
        <n x="474"/>
      </t>
    </mdx>
    <mdx n="508" f="v">
      <t c="3" si="4">
        <n x="509"/>
        <n x="162"/>
        <n x="470"/>
      </t>
    </mdx>
    <mdx n="508" f="v">
      <t c="3" si="4">
        <n x="509"/>
        <n x="188"/>
        <n x="5"/>
      </t>
    </mdx>
    <mdx n="508" f="v">
      <t c="3" si="4">
        <n x="509"/>
        <n x="201"/>
        <n x="466"/>
      </t>
    </mdx>
    <mdx n="508" f="v">
      <t c="3" si="4">
        <n x="509"/>
        <n x="193"/>
        <n x="2"/>
      </t>
    </mdx>
    <mdx n="508" f="v">
      <t c="3" si="4">
        <n x="509"/>
        <n x="228"/>
        <n x="5"/>
      </t>
    </mdx>
    <mdx n="508" f="v">
      <t c="3" si="4">
        <n x="509"/>
        <n x="65"/>
        <n x="466"/>
      </t>
    </mdx>
    <mdx n="508" f="v">
      <t c="3" si="4">
        <n x="509"/>
        <n x="220"/>
        <n x="466"/>
      </t>
    </mdx>
    <mdx n="508" f="v">
      <t c="3" si="4">
        <n x="509"/>
        <n x="312"/>
        <n x="468"/>
      </t>
    </mdx>
    <mdx n="508" f="v">
      <t c="3" si="4">
        <n x="509"/>
        <n x="447"/>
        <n x="2"/>
      </t>
    </mdx>
    <mdx n="508" f="v">
      <t c="3" si="4">
        <n x="509"/>
        <n x="148"/>
        <n x="466"/>
      </t>
    </mdx>
    <mdx n="508" f="v">
      <t c="3" si="4">
        <n x="509"/>
        <n x="298"/>
        <n x="470"/>
      </t>
    </mdx>
    <mdx n="508" f="v">
      <t c="3" si="4">
        <n x="509"/>
        <n x="431"/>
        <n x="472"/>
      </t>
    </mdx>
    <mdx n="508" f="v">
      <t c="3" si="4">
        <n x="509"/>
        <n x="369"/>
        <n x="472"/>
      </t>
    </mdx>
    <mdx n="508" f="v">
      <t c="3" si="4">
        <n x="509"/>
        <n x="399"/>
        <n x="1"/>
      </t>
    </mdx>
    <mdx n="508" f="v">
      <t c="3" si="4">
        <n x="509"/>
        <n x="392"/>
        <n x="470"/>
      </t>
    </mdx>
    <mdx n="508" f="v">
      <t c="3" si="4">
        <n x="509"/>
        <n x="205"/>
        <n x="466"/>
      </t>
    </mdx>
    <mdx n="508" f="v">
      <t c="3" si="475">
        <n x="509"/>
        <n x="428"/>
        <n x="474"/>
      </t>
    </mdx>
    <mdx n="508" f="v">
      <t c="3" si="4">
        <n x="509"/>
        <n x="68"/>
        <n x="2"/>
      </t>
    </mdx>
    <mdx n="508" f="v">
      <t c="3" si="4">
        <n x="509"/>
        <n x="121"/>
        <n x="466"/>
      </t>
    </mdx>
    <mdx n="508" f="v">
      <t c="3" si="4">
        <n x="509"/>
        <n x="446"/>
        <n x="473"/>
      </t>
    </mdx>
    <mdx n="508" f="v">
      <t c="3" si="4">
        <n x="509"/>
        <n x="140"/>
        <n x="466"/>
      </t>
    </mdx>
    <mdx n="508" f="v">
      <t c="3" si="4">
        <n x="509"/>
        <n x="307"/>
        <n x="466"/>
      </t>
    </mdx>
    <mdx n="508" f="v">
      <t c="3" si="4">
        <n x="509"/>
        <n x="257"/>
        <n x="469"/>
      </t>
    </mdx>
    <mdx n="508" f="v">
      <t c="3" si="4">
        <n x="509"/>
        <n x="356"/>
        <n x="472"/>
      </t>
    </mdx>
    <mdx n="508" f="v">
      <t c="3" si="4">
        <n x="509"/>
        <n x="123"/>
        <n x="470"/>
      </t>
    </mdx>
    <mdx n="508" f="v">
      <t c="3" si="475">
        <n x="509"/>
        <n x="262"/>
        <n x="474"/>
      </t>
    </mdx>
    <mdx n="508" f="v">
      <t c="3" si="4">
        <n x="509"/>
        <n x="408"/>
        <n x="469"/>
      </t>
    </mdx>
    <mdx n="508" f="v">
      <t c="3" si="475">
        <n x="509"/>
        <n x="257"/>
        <n x="474"/>
      </t>
    </mdx>
    <mdx n="508" f="v">
      <t c="3" si="4">
        <n x="509"/>
        <n x="82"/>
        <n x="472"/>
      </t>
    </mdx>
    <mdx n="508" f="v">
      <t c="3" si="4">
        <n x="509"/>
        <n x="330"/>
        <n x="473"/>
      </t>
    </mdx>
    <mdx n="508" f="v">
      <t c="3" si="4">
        <n x="509"/>
        <n x="170"/>
        <n x="470"/>
      </t>
    </mdx>
    <mdx n="508" f="v">
      <t c="3" si="4">
        <n x="509"/>
        <n x="456"/>
        <n x="470"/>
      </t>
    </mdx>
    <mdx n="508" f="v">
      <t c="3" si="4">
        <n x="509"/>
        <n x="257"/>
        <n x="2"/>
      </t>
    </mdx>
    <mdx n="508" f="v">
      <t c="3" si="4">
        <n x="509"/>
        <n x="412"/>
        <n x="472"/>
      </t>
    </mdx>
    <mdx n="508" f="v">
      <t c="3" si="4">
        <n x="509"/>
        <n x="156"/>
        <n x="467"/>
      </t>
    </mdx>
    <mdx n="508" f="v">
      <t c="3" si="4">
        <n x="509"/>
        <n x="248"/>
        <n x="473"/>
      </t>
    </mdx>
    <mdx n="508" f="v">
      <t c="3" si="4">
        <n x="509"/>
        <n x="119"/>
        <n x="473"/>
      </t>
    </mdx>
    <mdx n="508" f="v">
      <t c="3" si="4">
        <n x="509"/>
        <n x="300"/>
        <n x="469"/>
      </t>
    </mdx>
    <mdx n="508" f="v">
      <t c="3" si="4">
        <n x="509"/>
        <n x="184"/>
        <n x="473"/>
      </t>
    </mdx>
    <mdx n="508" f="v">
      <t c="3" si="4">
        <n x="509"/>
        <n x="42"/>
        <n x="1"/>
      </t>
    </mdx>
    <mdx n="508" f="v">
      <t c="3" si="4">
        <n x="509"/>
        <n x="462"/>
        <n x="473"/>
      </t>
    </mdx>
    <mdx n="508" f="v">
      <t c="3" si="4">
        <n x="509"/>
        <n x="122"/>
        <n x="472"/>
      </t>
    </mdx>
    <mdx n="508" f="v">
      <t c="3" si="4">
        <n x="509"/>
        <n x="8"/>
        <n x="467"/>
      </t>
    </mdx>
    <mdx n="508" f="v">
      <t c="3" si="4">
        <n x="509"/>
        <n x="261"/>
        <n x="1"/>
      </t>
    </mdx>
    <mdx n="508" f="v">
      <t c="3" si="4">
        <n x="509"/>
        <n x="353"/>
        <n x="470"/>
      </t>
    </mdx>
    <mdx n="508" f="v">
      <t c="3" si="4">
        <n x="509"/>
        <n x="46"/>
        <n x="473"/>
      </t>
    </mdx>
    <mdx n="508" f="v">
      <t c="3" si="4">
        <n x="509"/>
        <n x="341"/>
        <n x="472"/>
      </t>
    </mdx>
    <mdx n="508" f="v">
      <t c="3" si="4">
        <n x="509"/>
        <n x="223"/>
        <n x="473"/>
      </t>
    </mdx>
    <mdx n="508" f="v">
      <t c="3" si="4">
        <n x="509"/>
        <n x="257"/>
        <n x="473"/>
      </t>
    </mdx>
    <mdx n="508" f="v">
      <t c="3" si="4">
        <n x="509"/>
        <n x="95"/>
        <n x="469"/>
      </t>
    </mdx>
    <mdx n="508" f="v">
      <t c="3" si="4">
        <n x="509"/>
        <n x="316"/>
        <n x="470"/>
      </t>
    </mdx>
    <mdx n="508" f="v">
      <t c="3" si="4">
        <n x="509"/>
        <n x="227"/>
        <n x="2"/>
      </t>
    </mdx>
    <mdx n="508" f="v">
      <t c="3" si="4">
        <n x="509"/>
        <n x="335"/>
        <n x="473"/>
      </t>
    </mdx>
    <mdx n="508" f="v">
      <t c="3" si="4">
        <n x="509"/>
        <n x="338"/>
        <n x="5"/>
      </t>
    </mdx>
    <mdx n="508" f="v">
      <t c="3" si="4">
        <n x="509"/>
        <n x="405"/>
        <n x="2"/>
      </t>
    </mdx>
    <mdx n="508" f="v">
      <t c="3" si="4">
        <n x="509"/>
        <n x="323"/>
        <n x="472"/>
      </t>
    </mdx>
    <mdx n="508" f="v">
      <t c="3" si="4">
        <n x="509"/>
        <n x="168"/>
        <n x="469"/>
      </t>
    </mdx>
    <mdx n="508" f="v">
      <t c="3" si="4">
        <n x="509"/>
        <n x="190"/>
        <n x="470"/>
      </t>
    </mdx>
    <mdx n="508" f="v">
      <t c="3" si="4">
        <n x="509"/>
        <n x="197"/>
        <n x="469"/>
      </t>
    </mdx>
    <mdx n="508" f="v">
      <t c="3" si="475">
        <n x="509"/>
        <n x="337"/>
        <n x="474"/>
      </t>
    </mdx>
    <mdx n="508" f="v">
      <t c="3" si="4">
        <n x="509"/>
        <n x="192"/>
        <n x="470"/>
      </t>
    </mdx>
    <mdx n="508" f="v">
      <t c="3" si="4">
        <n x="509"/>
        <n x="429"/>
        <n x="472"/>
      </t>
    </mdx>
    <mdx n="508" f="v">
      <t c="3" si="4">
        <n x="509"/>
        <n x="27"/>
        <n x="469"/>
      </t>
    </mdx>
    <mdx n="508" f="v">
      <t c="3" si="4">
        <n x="509"/>
        <n x="219"/>
        <n x="467"/>
      </t>
    </mdx>
    <mdx n="508" f="v">
      <t c="3" si="4">
        <n x="509"/>
        <n x="458"/>
        <n x="472"/>
      </t>
    </mdx>
    <mdx n="508" f="v">
      <t c="3" si="475">
        <n x="509"/>
        <n x="136"/>
        <n x="474"/>
      </t>
    </mdx>
    <mdx n="508" f="v">
      <t c="3" si="4">
        <n x="509"/>
        <n x="40"/>
        <n x="2"/>
      </t>
    </mdx>
    <mdx n="508" f="v">
      <t c="3" si="4">
        <n x="509"/>
        <n x="347"/>
        <n x="466"/>
      </t>
    </mdx>
    <mdx n="508" f="v">
      <t c="3" si="4">
        <n x="509"/>
        <n x="220"/>
        <n x="467"/>
      </t>
    </mdx>
    <mdx n="508" f="v">
      <t c="3" si="4">
        <n x="509"/>
        <n x="286"/>
        <n x="1"/>
      </t>
    </mdx>
    <mdx n="508" f="v">
      <t c="3" si="4">
        <n x="509"/>
        <n x="211"/>
        <n x="466"/>
      </t>
    </mdx>
    <mdx n="508" f="v">
      <t c="3" si="4">
        <n x="509"/>
        <n x="317"/>
        <n x="466"/>
      </t>
    </mdx>
    <mdx n="508" f="v">
      <t c="3" si="4">
        <n x="509"/>
        <n x="230"/>
        <n x="2"/>
      </t>
    </mdx>
    <mdx n="508" f="v">
      <t c="3" si="4">
        <n x="509"/>
        <n x="159"/>
        <n x="5"/>
      </t>
    </mdx>
    <mdx n="508" f="v">
      <t c="3" si="4">
        <n x="509"/>
        <n x="233"/>
        <n x="466"/>
      </t>
    </mdx>
    <mdx n="508" f="v">
      <t c="3" si="4">
        <n x="509"/>
        <n x="362"/>
        <n x="2"/>
      </t>
    </mdx>
    <mdx n="508" f="v">
      <t c="3" si="4">
        <n x="509"/>
        <n x="208"/>
        <n x="466"/>
      </t>
    </mdx>
    <mdx n="508" f="v">
      <t c="3" si="4">
        <n x="509"/>
        <n x="175"/>
        <n x="472"/>
      </t>
    </mdx>
    <mdx n="508" f="v">
      <t c="3" si="4">
        <n x="509"/>
        <n x="402"/>
        <n x="470"/>
      </t>
    </mdx>
    <mdx n="508" f="v">
      <t c="3" si="4">
        <n x="509"/>
        <n x="199"/>
        <n x="469"/>
      </t>
    </mdx>
    <mdx n="508" f="v">
      <t c="3" si="475">
        <n x="509"/>
        <n x="406"/>
        <n x="474"/>
      </t>
    </mdx>
    <mdx n="508" f="v">
      <t c="3" si="475">
        <n x="509"/>
        <n x="58"/>
        <n x="474"/>
      </t>
    </mdx>
    <mdx n="508" f="v">
      <t c="3" si="4">
        <n x="509"/>
        <n x="123"/>
        <n x="467"/>
      </t>
    </mdx>
    <mdx n="508" f="v">
      <t c="3" si="4">
        <n x="509"/>
        <n x="296"/>
        <n x="469"/>
      </t>
    </mdx>
    <mdx n="508" f="v">
      <t c="3" si="4">
        <n x="509"/>
        <n x="180"/>
        <n x="469"/>
      </t>
    </mdx>
    <mdx n="508" f="v">
      <t c="3" si="4">
        <n x="509"/>
        <n x="366"/>
        <n x="467"/>
      </t>
    </mdx>
    <mdx n="508" f="v">
      <t c="3" si="4">
        <n x="509"/>
        <n x="159"/>
        <n x="472"/>
      </t>
    </mdx>
    <mdx n="508" f="v">
      <t c="3" si="4">
        <n x="509"/>
        <n x="265"/>
        <n x="5"/>
      </t>
    </mdx>
    <mdx n="508" f="v">
      <t c="3" si="4">
        <n x="509"/>
        <n x="56"/>
        <n x="466"/>
      </t>
    </mdx>
    <mdx n="508" f="v">
      <t c="3" si="4">
        <n x="509"/>
        <n x="267"/>
        <n x="466"/>
      </t>
    </mdx>
    <mdx n="508" f="v">
      <t c="3" si="4">
        <n x="509"/>
        <n x="97"/>
        <n x="5"/>
      </t>
    </mdx>
    <mdx n="508" f="v">
      <t c="3" si="4">
        <n x="509"/>
        <n x="195"/>
        <n x="466"/>
      </t>
    </mdx>
    <mdx n="508" f="v">
      <t c="3" si="4">
        <n x="509"/>
        <n x="30"/>
        <n x="1"/>
      </t>
    </mdx>
    <mdx n="508" f="v">
      <t c="3" si="4">
        <n x="509"/>
        <n x="59"/>
        <n x="467"/>
      </t>
    </mdx>
    <mdx n="508" f="v">
      <t c="3" si="4">
        <n x="509"/>
        <n x="262"/>
        <n x="472"/>
      </t>
    </mdx>
    <mdx n="508" f="v">
      <t c="3" si="475">
        <n x="509"/>
        <n x="34"/>
        <n x="474"/>
      </t>
    </mdx>
    <mdx n="508" f="v">
      <t c="3" si="475">
        <n x="509"/>
        <n x="156"/>
        <n x="474"/>
      </t>
    </mdx>
    <mdx n="508" f="v">
      <t c="3" si="4">
        <n x="509"/>
        <n x="386"/>
        <n x="472"/>
      </t>
    </mdx>
    <mdx n="508" f="v">
      <t c="3" si="4">
        <n x="509"/>
        <n x="129"/>
        <n x="472"/>
      </t>
    </mdx>
    <mdx n="508" f="v">
      <t c="3" si="4">
        <n x="509"/>
        <n x="460"/>
        <n x="469"/>
      </t>
    </mdx>
    <mdx n="508" f="v">
      <t c="3" si="4">
        <n x="509"/>
        <n x="275"/>
        <n x="472"/>
      </t>
    </mdx>
    <mdx n="508" f="v">
      <t c="3" si="475">
        <n x="509"/>
        <n x="265"/>
        <n x="474"/>
      </t>
    </mdx>
    <mdx n="508" f="v">
      <t c="3" si="4">
        <n x="509"/>
        <n x="199"/>
        <n x="470"/>
      </t>
    </mdx>
    <mdx n="508" f="v">
      <t c="3" si="4">
        <n x="509"/>
        <n x="161"/>
        <n x="470"/>
      </t>
    </mdx>
    <mdx n="508" f="v">
      <t c="3" si="4">
        <n x="509"/>
        <n x="92"/>
        <n x="469"/>
      </t>
    </mdx>
    <mdx n="508" f="v">
      <t c="3" si="475">
        <n x="509"/>
        <n x="65"/>
        <n x="474"/>
      </t>
    </mdx>
    <mdx n="508" f="v">
      <t c="3" si="475">
        <n x="509"/>
        <n x="431"/>
        <n x="474"/>
      </t>
    </mdx>
    <mdx n="508" f="v">
      <t c="3" si="4">
        <n x="509"/>
        <n x="90"/>
        <n x="473"/>
      </t>
    </mdx>
    <mdx n="508" f="v">
      <t c="3" si="4">
        <n x="509"/>
        <n x="427"/>
        <n x="469"/>
      </t>
    </mdx>
    <mdx n="508" f="v">
      <t c="3" si="4">
        <n x="509"/>
        <n x="266"/>
        <n x="473"/>
      </t>
    </mdx>
    <mdx n="508" f="v">
      <t c="3" si="4">
        <n x="509"/>
        <n x="385"/>
        <n x="472"/>
      </t>
    </mdx>
    <mdx n="508" f="v">
      <t c="3" si="4">
        <n x="509"/>
        <n x="368"/>
        <n x="2"/>
      </t>
    </mdx>
    <mdx n="508" f="v">
      <t c="3" si="4">
        <n x="509"/>
        <n x="320"/>
        <n x="472"/>
      </t>
    </mdx>
    <mdx n="508" f="v">
      <t c="3" si="4">
        <n x="509"/>
        <n x="442"/>
        <n x="472"/>
      </t>
    </mdx>
    <mdx n="508" f="v">
      <t c="3" si="4">
        <n x="509"/>
        <n x="73"/>
        <n x="467"/>
      </t>
    </mdx>
    <mdx n="508" f="v">
      <t c="3" si="4">
        <n x="509"/>
        <n x="199"/>
        <n x="467"/>
      </t>
    </mdx>
    <mdx n="508" f="v">
      <t c="3" si="4">
        <n x="509"/>
        <n x="185"/>
        <n x="2"/>
      </t>
    </mdx>
    <mdx n="508" f="v">
      <t c="3" si="4">
        <n x="509"/>
        <n x="365"/>
        <n x="470"/>
      </t>
    </mdx>
    <mdx n="508" f="v">
      <t c="3" si="4">
        <n x="509"/>
        <n x="348"/>
        <n x="470"/>
      </t>
    </mdx>
    <mdx n="508" f="v">
      <t c="3" si="475">
        <n x="509"/>
        <n x="160"/>
        <n x="474"/>
      </t>
    </mdx>
    <mdx n="508" f="v">
      <t c="3" si="4">
        <n x="509"/>
        <n x="388"/>
        <n x="470"/>
      </t>
    </mdx>
    <mdx n="508" f="v">
      <t c="3" si="4">
        <n x="509"/>
        <n x="400"/>
        <n x="469"/>
      </t>
    </mdx>
    <mdx n="508" f="v">
      <t c="3" si="4">
        <n x="509"/>
        <n x="163"/>
        <n x="5"/>
      </t>
    </mdx>
    <mdx n="508" f="v">
      <t c="3" si="4">
        <n x="509"/>
        <n x="174"/>
        <n x="1"/>
      </t>
    </mdx>
    <mdx n="508" f="v">
      <t c="3" si="4">
        <n x="509"/>
        <n x="423"/>
        <n x="2"/>
      </t>
    </mdx>
    <mdx n="508" f="v">
      <t c="3" si="4">
        <n x="509"/>
        <n x="367"/>
        <n x="5"/>
      </t>
    </mdx>
    <mdx n="508" f="v">
      <t c="3" si="4">
        <n x="509"/>
        <n x="173"/>
        <n x="469"/>
      </t>
    </mdx>
    <mdx n="508" f="v">
      <t c="3" si="4">
        <n x="509"/>
        <n x="181"/>
        <n x="469"/>
      </t>
    </mdx>
    <mdx n="508" f="v">
      <t c="3" si="4">
        <n x="509"/>
        <n x="258"/>
        <n x="2"/>
      </t>
    </mdx>
    <mdx n="508" f="v">
      <t c="3" si="4">
        <n x="509"/>
        <n x="340"/>
        <n x="469"/>
      </t>
    </mdx>
    <mdx n="508" f="v">
      <t c="3" si="475">
        <n x="509"/>
        <n x="210"/>
        <n x="474"/>
      </t>
    </mdx>
    <mdx n="508" f="v">
      <t c="3" si="4">
        <n x="509"/>
        <n x="287"/>
        <n x="467"/>
      </t>
    </mdx>
    <mdx n="508" f="v">
      <t c="3" si="4">
        <n x="509"/>
        <n x="38"/>
        <n x="467"/>
      </t>
    </mdx>
    <mdx n="508" f="v">
      <t c="3" si="4">
        <n x="509"/>
        <n x="186"/>
        <n x="466"/>
      </t>
    </mdx>
    <mdx n="508" f="v">
      <t c="3" si="4">
        <n x="509"/>
        <n x="225"/>
        <n x="5"/>
      </t>
    </mdx>
    <mdx n="508" f="v">
      <t c="3" si="4">
        <n x="509"/>
        <n x="50"/>
        <n x="466"/>
      </t>
    </mdx>
    <mdx n="508" f="v">
      <t c="3" si="4">
        <n x="509"/>
        <n x="457"/>
        <n x="468"/>
      </t>
    </mdx>
    <mdx n="508" f="v">
      <t c="3" si="4">
        <n x="509"/>
        <n x="88"/>
        <n x="466"/>
      </t>
    </mdx>
    <mdx n="508" f="v">
      <t c="3" si="4">
        <n x="509"/>
        <n x="39"/>
        <n x="466"/>
      </t>
    </mdx>
    <mdx n="508" f="v">
      <t c="3" si="4">
        <n x="509"/>
        <n x="34"/>
        <n x="472"/>
      </t>
    </mdx>
    <mdx n="508" f="v">
      <t c="3" si="4">
        <n x="509"/>
        <n x="313"/>
        <n x="472"/>
      </t>
    </mdx>
    <mdx n="508" f="v">
      <t c="3" si="475">
        <n x="509"/>
        <n x="290"/>
        <n x="474"/>
      </t>
    </mdx>
    <mdx n="508" f="v">
      <t c="3" si="4">
        <n x="509"/>
        <n x="422"/>
        <n x="473"/>
      </t>
    </mdx>
    <mdx n="508" f="v">
      <t c="3" si="4">
        <n x="509"/>
        <n x="440"/>
        <n x="473"/>
      </t>
    </mdx>
    <mdx n="508" f="v">
      <t c="3" si="4">
        <n x="509"/>
        <n x="206"/>
        <n x="466"/>
      </t>
    </mdx>
    <mdx n="508" f="v">
      <t c="3" si="4">
        <n x="509"/>
        <n x="111"/>
        <n x="5"/>
      </t>
    </mdx>
    <mdx n="508" f="v">
      <t c="3" si="4">
        <n x="509"/>
        <n x="106"/>
        <n x="466"/>
      </t>
    </mdx>
    <mdx n="508" f="v">
      <t c="3" si="4">
        <n x="509"/>
        <n x="242"/>
        <n x="2"/>
      </t>
    </mdx>
    <mdx n="508" f="v">
      <t c="3" si="4">
        <n x="509"/>
        <n x="34"/>
        <n x="466"/>
      </t>
    </mdx>
    <mdx n="508" f="v">
      <t c="3" si="4">
        <n x="509"/>
        <n x="444"/>
        <n x="469"/>
      </t>
    </mdx>
    <mdx n="508" f="v">
      <t c="3" si="4">
        <n x="509"/>
        <n x="91"/>
        <n x="469"/>
      </t>
    </mdx>
    <mdx n="508" f="v">
      <t c="3" si="4">
        <n x="509"/>
        <n x="342"/>
        <n x="472"/>
      </t>
    </mdx>
    <mdx n="508" f="v">
      <t c="3" si="4">
        <n x="509"/>
        <n x="216"/>
        <n x="1"/>
      </t>
    </mdx>
    <mdx n="508" f="v">
      <t c="3" si="4">
        <n x="509"/>
        <n x="278"/>
        <n x="467"/>
      </t>
    </mdx>
    <mdx n="508" f="v">
      <t c="3" si="475">
        <n x="509"/>
        <n x="73"/>
        <n x="474"/>
      </t>
    </mdx>
    <mdx n="508" f="v">
      <t c="3" si="4">
        <n x="509"/>
        <n x="395"/>
        <n x="472"/>
      </t>
    </mdx>
    <mdx n="508" f="v">
      <t c="3" si="4">
        <n x="509"/>
        <n x="150"/>
        <n x="470"/>
      </t>
    </mdx>
    <mdx n="508" f="v">
      <t c="3" si="4">
        <n x="509"/>
        <n x="172"/>
        <n x="466"/>
      </t>
    </mdx>
    <mdx n="508" f="v">
      <t c="3" si="475">
        <n x="509"/>
        <n x="211"/>
        <n x="474"/>
      </t>
    </mdx>
    <mdx n="508" f="v">
      <t c="3" si="4">
        <n x="509"/>
        <n x="36"/>
        <n x="466"/>
      </t>
    </mdx>
    <mdx n="508" f="v">
      <t c="3" si="4">
        <n x="509"/>
        <n x="126"/>
        <n x="466"/>
      </t>
    </mdx>
    <mdx n="508" f="v">
      <t c="3" si="4">
        <n x="509"/>
        <n x="327"/>
        <n x="1"/>
      </t>
    </mdx>
    <mdx n="508" f="v">
      <t c="3" si="4">
        <n x="509"/>
        <n x="12"/>
        <n x="470"/>
      </t>
    </mdx>
    <mdx n="508" f="v">
      <t c="3" si="475">
        <n x="509"/>
        <n x="181"/>
        <n x="474"/>
      </t>
    </mdx>
    <mdx n="508" f="v">
      <t c="3" si="4">
        <n x="509"/>
        <n x="10"/>
        <n x="1"/>
      </t>
    </mdx>
    <mdx n="508" f="v">
      <t c="3" si="4">
        <n x="509"/>
        <n x="362"/>
        <n x="472"/>
      </t>
    </mdx>
    <mdx n="508" f="v">
      <t c="3" si="4">
        <n x="509"/>
        <n x="372"/>
        <n x="2"/>
      </t>
    </mdx>
    <mdx n="508" f="v">
      <t c="3" si="4">
        <n x="509"/>
        <n x="17"/>
        <n x="469"/>
      </t>
    </mdx>
    <mdx n="508" f="v">
      <t c="3" si="4">
        <n x="509"/>
        <n x="321"/>
        <n x="472"/>
      </t>
    </mdx>
    <mdx n="508" f="v">
      <t c="3" si="4">
        <n x="509"/>
        <n x="126"/>
        <n x="469"/>
      </t>
    </mdx>
    <mdx n="508" f="v">
      <t c="3" si="4">
        <n x="509"/>
        <n x="370"/>
        <n x="470"/>
      </t>
    </mdx>
    <mdx n="508" f="v">
      <t c="3" si="4">
        <n x="509"/>
        <n x="260"/>
        <n x="469"/>
      </t>
    </mdx>
    <mdx n="508" f="v">
      <t c="3" si="4">
        <n x="509"/>
        <n x="442"/>
        <n x="467"/>
      </t>
    </mdx>
    <mdx n="508" f="v">
      <t c="3" si="4">
        <n x="509"/>
        <n x="97"/>
        <n x="467"/>
      </t>
    </mdx>
    <mdx n="508" f="v">
      <t c="3" si="4">
        <n x="509"/>
        <n x="141"/>
        <n x="472"/>
      </t>
    </mdx>
    <mdx n="508" f="v">
      <t c="3" si="475">
        <n x="509"/>
        <n x="35"/>
        <n x="474"/>
      </t>
    </mdx>
    <mdx n="508" f="v">
      <t c="3" si="4">
        <n x="509"/>
        <n x="222"/>
        <n x="472"/>
      </t>
    </mdx>
    <mdx n="508" f="v">
      <t c="3" si="475">
        <n x="509"/>
        <n x="351"/>
        <n x="474"/>
      </t>
    </mdx>
    <mdx n="508" f="v">
      <t c="3" si="4">
        <n x="509"/>
        <n x="121"/>
        <n x="5"/>
      </t>
    </mdx>
    <mdx n="508" f="v">
      <t c="3" si="4">
        <n x="509"/>
        <n x="146"/>
        <n x="472"/>
      </t>
    </mdx>
    <mdx n="508" f="v">
      <t c="3" si="4">
        <n x="509"/>
        <n x="206"/>
        <n x="469"/>
      </t>
    </mdx>
    <mdx n="508" f="v">
      <t c="3" si="475">
        <n x="509"/>
        <n x="154"/>
        <n x="474"/>
      </t>
    </mdx>
    <mdx n="508" f="v">
      <t c="3" si="4">
        <n x="509"/>
        <n x="116"/>
        <n x="469"/>
      </t>
    </mdx>
    <mdx n="508" f="v">
      <t c="3" si="4">
        <n x="509"/>
        <n x="202"/>
        <n x="467"/>
      </t>
    </mdx>
    <mdx n="508" f="v">
      <t c="3" si="4">
        <n x="509"/>
        <n x="149"/>
        <n x="2"/>
      </t>
    </mdx>
    <mdx n="508" f="v">
      <t c="3" si="4">
        <n x="509"/>
        <n x="35"/>
        <n x="470"/>
      </t>
    </mdx>
    <mdx n="508" f="v">
      <t c="3" si="4">
        <n x="509"/>
        <n x="133"/>
        <n x="467"/>
      </t>
    </mdx>
    <mdx n="508" f="v">
      <t c="3" si="4">
        <n x="509"/>
        <n x="266"/>
        <n x="467"/>
      </t>
    </mdx>
    <mdx n="508" f="v">
      <t c="3" si="4">
        <n x="509"/>
        <n x="56"/>
        <n x="469"/>
      </t>
    </mdx>
    <mdx n="508" f="v">
      <t c="3" si="4">
        <n x="509"/>
        <n x="143"/>
        <n x="1"/>
      </t>
    </mdx>
    <mdx n="508" f="v">
      <t c="3" si="4">
        <n x="509"/>
        <n x="295"/>
        <n x="467"/>
      </t>
    </mdx>
    <mdx n="508" f="v">
      <t c="3" si="4">
        <n x="509"/>
        <n x="230"/>
        <n x="472"/>
      </t>
    </mdx>
    <mdx n="508" f="v">
      <t c="3" si="4">
        <n x="509"/>
        <n x="57"/>
        <n x="473"/>
      </t>
    </mdx>
    <mdx n="508" f="v">
      <t c="3" si="475">
        <n x="509"/>
        <n x="113"/>
        <n x="474"/>
      </t>
    </mdx>
    <mdx n="508" f="v">
      <t c="3" si="4">
        <n x="509"/>
        <n x="406"/>
        <n x="467"/>
      </t>
    </mdx>
    <mdx n="508" f="v">
      <t c="3" si="4">
        <n x="509"/>
        <n x="109"/>
        <n x="1"/>
      </t>
    </mdx>
    <mdx n="508" f="v">
      <t c="3" si="4">
        <n x="509"/>
        <n x="265"/>
        <n x="466"/>
      </t>
    </mdx>
    <mdx n="508" f="v">
      <t c="3" si="4">
        <n x="509"/>
        <n x="256"/>
        <n x="5"/>
      </t>
    </mdx>
    <mdx n="508" f="v">
      <t c="3" si="4">
        <n x="509"/>
        <n x="129"/>
        <n x="466"/>
      </t>
    </mdx>
    <mdx n="508" f="v">
      <t c="3" si="4">
        <n x="509"/>
        <n x="445"/>
        <n x="472"/>
      </t>
    </mdx>
    <mdx n="508" f="v">
      <t c="3" si="4">
        <n x="509"/>
        <n x="284"/>
        <n x="466"/>
      </t>
    </mdx>
    <mdx n="508" f="v">
      <t c="3" si="4">
        <n x="509"/>
        <n x="119"/>
        <n x="468"/>
      </t>
    </mdx>
    <mdx n="508" f="v">
      <t c="3" si="4">
        <n x="509"/>
        <n x="212"/>
        <n x="466"/>
      </t>
    </mdx>
    <mdx n="508" f="v">
      <t c="3" si="4">
        <n x="509"/>
        <n x="270"/>
        <n x="466"/>
      </t>
    </mdx>
    <mdx n="508" f="v">
      <t c="3" si="4">
        <n x="509"/>
        <n x="421"/>
        <n x="466"/>
      </t>
    </mdx>
    <mdx n="508" f="v">
      <t c="3" si="4">
        <n x="509"/>
        <n x="329"/>
        <n x="473"/>
      </t>
    </mdx>
    <mdx n="508" f="v">
      <t c="3" si="4">
        <n x="509"/>
        <n x="119"/>
        <n x="467"/>
      </t>
    </mdx>
    <mdx n="508" f="v">
      <t c="3" si="4">
        <n x="509"/>
        <n x="347"/>
        <n x="469"/>
      </t>
    </mdx>
    <mdx n="508" f="v">
      <t c="3" si="4">
        <n x="509"/>
        <n x="211"/>
        <n x="473"/>
      </t>
    </mdx>
    <mdx n="508" f="v">
      <t c="3" si="4">
        <n x="509"/>
        <n x="193"/>
        <n x="1"/>
      </t>
    </mdx>
    <mdx n="508" f="v">
      <t c="3" si="4">
        <n x="509"/>
        <n x="94"/>
        <n x="470"/>
      </t>
    </mdx>
    <mdx n="508" f="v">
      <t c="3" si="4">
        <n x="509"/>
        <n x="137"/>
        <n x="469"/>
      </t>
    </mdx>
    <mdx n="508" f="v">
      <t c="3" si="4">
        <n x="509"/>
        <n x="403"/>
        <n x="470"/>
      </t>
    </mdx>
    <mdx n="508" f="v">
      <t c="3" si="4">
        <n x="509"/>
        <n x="407"/>
        <n x="470"/>
      </t>
    </mdx>
    <mdx n="508" f="v">
      <t c="3" si="4">
        <n x="509"/>
        <n x="324"/>
        <n x="472"/>
      </t>
    </mdx>
    <mdx n="508" f="v">
      <t c="3" si="475">
        <n x="509"/>
        <n x="340"/>
        <n x="474"/>
      </t>
    </mdx>
    <mdx n="508" f="v">
      <t c="3" si="4">
        <n x="509"/>
        <n x="103"/>
        <n x="467"/>
      </t>
    </mdx>
    <mdx n="508" f="v">
      <t c="3" si="4">
        <n x="509"/>
        <n x="171"/>
        <n x="470"/>
      </t>
    </mdx>
    <mdx n="508" f="v">
      <t c="3" si="4">
        <n x="509"/>
        <n x="351"/>
        <n x="469"/>
      </t>
    </mdx>
    <mdx n="508" f="v">
      <t c="3" si="4">
        <n x="509"/>
        <n x="269"/>
        <n x="466"/>
      </t>
    </mdx>
    <mdx n="508" f="v">
      <t c="3" si="4">
        <n x="509"/>
        <n x="305"/>
        <n x="472"/>
      </t>
    </mdx>
    <mdx n="508" f="v">
      <t c="3" si="4">
        <n x="509"/>
        <n x="254"/>
        <n x="1"/>
      </t>
    </mdx>
    <mdx n="508" f="v">
      <t c="3" si="4">
        <n x="509"/>
        <n x="185"/>
        <n x="466"/>
      </t>
    </mdx>
    <mdx n="508" f="v">
      <t c="3" si="4">
        <n x="509"/>
        <n x="114"/>
        <n x="1"/>
      </t>
    </mdx>
    <mdx n="508" f="v">
      <t c="3" si="4">
        <n x="509"/>
        <n x="113"/>
        <n x="466"/>
      </t>
    </mdx>
    <mdx n="508" f="v">
      <t c="3" si="4">
        <n x="509"/>
        <n x="204"/>
        <n x="466"/>
      </t>
    </mdx>
    <mdx n="508" f="v">
      <t c="3" si="4">
        <n x="509"/>
        <n x="299"/>
        <n x="467"/>
      </t>
    </mdx>
    <mdx n="508" f="v">
      <t c="3" si="4">
        <n x="509"/>
        <n x="34"/>
        <n x="470"/>
      </t>
    </mdx>
    <mdx n="508" f="v">
      <t c="3" si="475">
        <n x="509"/>
        <n x="291"/>
        <n x="474"/>
      </t>
    </mdx>
    <mdx n="508" f="v">
      <t c="3" si="4">
        <n x="509"/>
        <n x="415"/>
        <n x="470"/>
      </t>
    </mdx>
    <mdx n="508" f="v">
      <t c="3" si="4">
        <n x="509"/>
        <n x="126"/>
        <n x="472"/>
      </t>
    </mdx>
    <mdx n="508" f="v">
      <t c="3" si="475">
        <n x="509"/>
        <n x="237"/>
        <n x="474"/>
      </t>
    </mdx>
    <mdx n="508" f="v">
      <t c="3" si="4">
        <n x="509"/>
        <n x="272"/>
        <n x="2"/>
      </t>
    </mdx>
    <mdx n="508" f="v">
      <t c="3" si="4">
        <n x="509"/>
        <n x="219"/>
        <n x="466"/>
      </t>
    </mdx>
    <mdx n="508" f="v">
      <t c="3" si="4">
        <n x="509"/>
        <n x="445"/>
        <n x="467"/>
      </t>
    </mdx>
    <mdx n="508" f="v">
      <t c="3" si="4">
        <n x="509"/>
        <n x="408"/>
        <n x="467"/>
      </t>
    </mdx>
    <mdx n="508" f="v">
      <t c="3" si="4">
        <n x="509"/>
        <n x="267"/>
        <n x="469"/>
      </t>
    </mdx>
    <mdx n="508" f="v">
      <t c="3" si="4">
        <n x="509"/>
        <n x="422"/>
        <n x="470"/>
      </t>
    </mdx>
    <mdx n="508" f="v">
      <t c="3" si="4">
        <n x="509"/>
        <n x="169"/>
        <n x="467"/>
      </t>
    </mdx>
    <mdx n="508" f="v">
      <t c="3" si="4">
        <n x="509"/>
        <n x="390"/>
        <n x="467"/>
      </t>
    </mdx>
    <mdx n="508" f="v">
      <t c="3" si="4">
        <n x="509"/>
        <n x="185"/>
        <n x="470"/>
      </t>
    </mdx>
    <mdx n="508" f="v">
      <t c="3" si="4">
        <n x="509"/>
        <n x="337"/>
        <n x="472"/>
      </t>
    </mdx>
    <mdx n="508" f="v">
      <t c="3" si="4">
        <n x="509"/>
        <n x="185"/>
        <n x="472"/>
      </t>
    </mdx>
    <mdx n="508" f="v">
      <t c="3" si="4">
        <n x="509"/>
        <n x="95"/>
        <n x="467"/>
      </t>
    </mdx>
    <mdx n="508" f="v">
      <t c="3" si="475">
        <n x="509"/>
        <n x="159"/>
        <n x="474"/>
      </t>
    </mdx>
    <mdx n="508" f="v">
      <t c="3" si="4">
        <n x="509"/>
        <n x="253"/>
        <n x="469"/>
      </t>
    </mdx>
    <mdx n="508" f="v">
      <t c="3" si="4">
        <n x="509"/>
        <n x="186"/>
        <n x="472"/>
      </t>
    </mdx>
    <mdx n="508" f="v">
      <t c="3" si="475">
        <n x="509"/>
        <n x="70"/>
        <n x="474"/>
      </t>
    </mdx>
    <mdx n="508" f="v">
      <t c="3" si="4">
        <n x="509"/>
        <n x="446"/>
        <n x="470"/>
      </t>
    </mdx>
    <mdx n="508" f="v">
      <t c="3" si="4">
        <n x="509"/>
        <n x="277"/>
        <n x="473"/>
      </t>
    </mdx>
    <mdx n="508" f="v">
      <t c="3" si="4">
        <n x="509"/>
        <n x="410"/>
        <n x="472"/>
      </t>
    </mdx>
    <mdx n="508" f="v">
      <t c="3" si="4">
        <n x="509"/>
        <n x="3"/>
        <n x="472"/>
      </t>
    </mdx>
    <mdx n="508" f="v">
      <t c="3" si="4">
        <n x="509"/>
        <n x="321"/>
        <n x="467"/>
      </t>
    </mdx>
    <mdx n="508" f="v">
      <t c="3" si="475">
        <n x="509"/>
        <n x="123"/>
        <n x="474"/>
      </t>
    </mdx>
    <mdx n="508" f="v">
      <t c="3" si="4">
        <n x="509"/>
        <n x="419"/>
        <n x="472"/>
      </t>
    </mdx>
    <mdx n="508" f="v">
      <t c="3" si="4">
        <n x="509"/>
        <n x="189"/>
        <n x="469"/>
      </t>
    </mdx>
    <mdx n="508" f="v">
      <t c="3" si="4">
        <n x="509"/>
        <n x="124"/>
        <n x="473"/>
      </t>
    </mdx>
    <mdx n="508" f="v">
      <t c="3" si="4">
        <n x="509"/>
        <n x="321"/>
        <n x="473"/>
      </t>
    </mdx>
    <mdx n="508" f="v">
      <t c="3" si="4">
        <n x="509"/>
        <n x="15"/>
        <n x="467"/>
      </t>
    </mdx>
    <mdx n="508" f="v">
      <t c="3" si="4">
        <n x="509"/>
        <n x="302"/>
        <n x="473"/>
      </t>
    </mdx>
    <mdx n="508" f="v">
      <t c="3" si="4">
        <n x="509"/>
        <n x="95"/>
        <n x="470"/>
      </t>
    </mdx>
    <mdx n="508" f="v">
      <t c="3" si="4">
        <n x="509"/>
        <n x="306"/>
        <n x="467"/>
      </t>
    </mdx>
    <mdx n="508" f="v">
      <t c="3" si="4">
        <n x="509"/>
        <n x="400"/>
        <n x="467"/>
      </t>
    </mdx>
    <mdx n="508" f="v">
      <t c="3" si="4">
        <n x="509"/>
        <n x="246"/>
        <n x="472"/>
      </t>
    </mdx>
    <mdx n="508" f="v">
      <t c="3" si="4">
        <n x="509"/>
        <n x="373"/>
        <n x="2"/>
      </t>
    </mdx>
    <mdx n="508" f="v">
      <t c="3" si="4">
        <n x="509"/>
        <n x="133"/>
        <n x="469"/>
      </t>
    </mdx>
    <mdx n="508" f="v">
      <t c="3" si="4">
        <n x="509"/>
        <n x="426"/>
        <n x="469"/>
      </t>
    </mdx>
    <mdx n="508" f="v">
      <t c="3" si="4">
        <n x="509"/>
        <n x="232"/>
        <n x="469"/>
      </t>
    </mdx>
    <mdx n="508" f="v">
      <t c="3" si="4">
        <n x="509"/>
        <n x="33"/>
        <n x="5"/>
      </t>
    </mdx>
    <mdx n="508" f="v">
      <t c="3" si="4">
        <n x="509"/>
        <n x="120"/>
        <n x="466"/>
      </t>
    </mdx>
    <mdx n="508" f="v">
      <t c="3" si="4">
        <n x="509"/>
        <n x="332"/>
        <n x="470"/>
      </t>
    </mdx>
    <mdx n="508" f="v">
      <t c="3" si="4">
        <n x="509"/>
        <n x="331"/>
        <n x="466"/>
      </t>
    </mdx>
    <mdx n="508" f="v">
      <t c="3" si="4">
        <n x="509"/>
        <n x="259"/>
        <n x="466"/>
      </t>
    </mdx>
    <mdx n="508" f="v">
      <t c="3" si="4">
        <n x="509"/>
        <n x="56"/>
        <n x="473"/>
      </t>
    </mdx>
    <mdx n="508" f="v">
      <t c="3" si="4">
        <n x="509"/>
        <n x="301"/>
        <n x="466"/>
      </t>
    </mdx>
    <mdx n="508" f="v">
      <t c="3" si="4">
        <n x="509"/>
        <n x="288"/>
        <n x="468"/>
      </t>
    </mdx>
    <mdx n="508" f="v">
      <t c="3" si="4">
        <n x="509"/>
        <n x="251"/>
        <n x="1"/>
      </t>
    </mdx>
    <mdx n="508" f="v">
      <t c="3" si="4">
        <n x="509"/>
        <n x="74"/>
        <n x="470"/>
      </t>
    </mdx>
    <mdx n="508" f="v">
      <t c="3" si="4">
        <n x="509"/>
        <n x="39"/>
        <n x="467"/>
      </t>
    </mdx>
    <mdx n="508" f="v">
      <t c="3" si="4">
        <n x="509"/>
        <n x="428"/>
        <n x="469"/>
      </t>
    </mdx>
    <mdx n="508" f="v">
      <t c="3" si="475">
        <n x="509"/>
        <n x="147"/>
        <n x="474"/>
      </t>
    </mdx>
    <mdx n="508" f="v">
      <t c="3" si="475">
        <n x="509"/>
        <n x="365"/>
        <n x="474"/>
      </t>
    </mdx>
    <mdx n="508" f="v">
      <t c="3" si="4">
        <n x="509"/>
        <n x="73"/>
        <n x="1"/>
      </t>
    </mdx>
    <mdx n="508" f="v">
      <t c="3" si="4">
        <n x="509"/>
        <n x="256"/>
        <n x="470"/>
      </t>
    </mdx>
    <mdx n="508" f="v">
      <t c="3" si="4">
        <n x="509"/>
        <n x="375"/>
        <n x="473"/>
      </t>
    </mdx>
    <mdx n="508" f="v">
      <t c="3" si="4">
        <n x="509"/>
        <n x="186"/>
        <n x="467"/>
      </t>
    </mdx>
    <mdx n="508" f="v">
      <t c="3" si="4">
        <n x="509"/>
        <n x="187"/>
        <n x="468"/>
      </t>
    </mdx>
    <mdx n="508" f="v">
      <t c="3" si="4">
        <n x="509"/>
        <n x="182"/>
        <n x="473"/>
      </t>
    </mdx>
    <mdx n="508" f="v">
      <t c="3" si="4">
        <n x="509"/>
        <n x="40"/>
        <n x="466"/>
      </t>
    </mdx>
    <mdx n="508" f="v">
      <t c="3" si="4">
        <n x="509"/>
        <n x="251"/>
        <n x="466"/>
      </t>
    </mdx>
    <mdx n="508" f="v">
      <t c="3" si="4">
        <n x="509"/>
        <n x="124"/>
        <n x="469"/>
      </t>
    </mdx>
    <mdx n="508" f="v">
      <t c="3" si="4">
        <n x="509"/>
        <n x="250"/>
        <n x="469"/>
      </t>
    </mdx>
    <mdx n="508" f="v">
      <t c="3" si="4">
        <n x="509"/>
        <n x="351"/>
        <n x="472"/>
      </t>
    </mdx>
    <mdx n="508" f="v">
      <t c="3" si="475">
        <n x="509"/>
        <n x="403"/>
        <n x="474"/>
      </t>
    </mdx>
    <mdx n="508" f="v">
      <t c="3" si="4">
        <n x="509"/>
        <n x="149"/>
        <n x="1"/>
      </t>
    </mdx>
    <mdx n="508" f="v">
      <t c="3" si="4">
        <n x="509"/>
        <n x="145"/>
        <n x="467"/>
      </t>
    </mdx>
    <mdx n="508" f="v">
      <t c="3" si="4">
        <n x="509"/>
        <n x="439"/>
        <n x="472"/>
      </t>
    </mdx>
    <mdx n="508" f="v">
      <t c="3" si="4">
        <n x="509"/>
        <n x="138"/>
        <n x="467"/>
      </t>
    </mdx>
    <mdx n="508" f="v">
      <t c="3" si="475">
        <n x="509"/>
        <n x="311"/>
        <n x="474"/>
      </t>
    </mdx>
    <mdx n="508" f="v">
      <t c="3" si="4">
        <n x="509"/>
        <n x="287"/>
        <n x="1"/>
      </t>
    </mdx>
    <mdx n="508" f="v">
      <t c="3" si="4">
        <n x="509"/>
        <n x="58"/>
        <n x="466"/>
      </t>
    </mdx>
    <mdx n="508" f="v">
      <t c="3" si="4">
        <n x="509"/>
        <n x="352"/>
        <n x="1"/>
      </t>
    </mdx>
    <mdx n="508" f="v">
      <t c="3" si="4">
        <n x="509"/>
        <n x="330"/>
        <n x="466"/>
      </t>
    </mdx>
    <mdx n="508" f="v">
      <t c="3" si="4">
        <n x="509"/>
        <n x="45"/>
        <n x="468"/>
      </t>
    </mdx>
    <mdx n="508" f="v">
      <t c="3" si="4">
        <n x="509"/>
        <n x="59"/>
        <n x="473"/>
      </t>
    </mdx>
    <mdx n="508" f="v">
      <t c="3" si="4">
        <n x="509"/>
        <n x="201"/>
        <n x="5"/>
      </t>
    </mdx>
    <mdx n="508" f="v">
      <t c="3" si="4">
        <n x="509"/>
        <n x="311"/>
        <n x="466"/>
      </t>
    </mdx>
    <mdx n="508" f="v">
      <t c="3" si="4">
        <n x="509"/>
        <n x="254"/>
        <n x="466"/>
      </t>
    </mdx>
    <mdx n="508" f="v">
      <t c="3" si="4">
        <n x="509"/>
        <n x="55"/>
        <n x="467"/>
      </t>
    </mdx>
    <mdx n="508" f="v">
      <t c="3" si="4">
        <n x="509"/>
        <n x="59"/>
        <n x="470"/>
      </t>
    </mdx>
    <mdx n="508" f="v">
      <t c="3" si="4">
        <n x="509"/>
        <n x="87"/>
        <n x="467"/>
      </t>
    </mdx>
    <mdx n="508" f="v">
      <t c="3" si="4">
        <n x="509"/>
        <n x="343"/>
        <n x="469"/>
      </t>
    </mdx>
    <mdx n="508" f="v">
      <t c="3" si="4">
        <n x="509"/>
        <n x="295"/>
        <n x="470"/>
      </t>
    </mdx>
    <mdx n="508" f="v">
      <t c="3" si="4">
        <n x="509"/>
        <n x="126"/>
        <n x="470"/>
      </t>
    </mdx>
    <mdx n="508" f="v">
      <t c="3" si="4">
        <n x="509"/>
        <n x="120"/>
        <n x="467"/>
      </t>
    </mdx>
    <mdx n="508" f="v">
      <t c="3" si="4">
        <n x="509"/>
        <n x="287"/>
        <n x="2"/>
      </t>
    </mdx>
    <mdx n="508" f="v">
      <t c="3" si="4">
        <n x="509"/>
        <n x="464"/>
        <n x="5"/>
      </t>
    </mdx>
    <mdx n="508" f="v">
      <t c="3" si="4">
        <n x="509"/>
        <n x="446"/>
        <n x="467"/>
      </t>
    </mdx>
    <mdx n="508" f="v">
      <t c="3" si="4">
        <n x="509"/>
        <n x="64"/>
        <n x="2"/>
      </t>
    </mdx>
    <mdx n="508" f="v">
      <t c="3" si="4">
        <n x="509"/>
        <n x="292"/>
        <n x="1"/>
      </t>
    </mdx>
    <mdx n="508" f="v">
      <t c="3" si="4">
        <n x="509"/>
        <n x="414"/>
        <n x="1"/>
      </t>
    </mdx>
    <mdx n="508" f="v">
      <t c="3" si="4">
        <n x="509"/>
        <n x="107"/>
        <n x="467"/>
      </t>
    </mdx>
    <mdx n="508" f="v">
      <t c="3" si="4">
        <n x="509"/>
        <n x="203"/>
        <n x="473"/>
      </t>
    </mdx>
    <mdx n="508" f="v">
      <t c="3" si="4">
        <n x="509"/>
        <n x="140"/>
        <n x="472"/>
      </t>
    </mdx>
    <mdx n="508" f="v">
      <t c="3" si="4">
        <n x="509"/>
        <n x="22"/>
        <n x="1"/>
      </t>
    </mdx>
    <mdx n="508" f="v">
      <t c="3" si="4">
        <n x="509"/>
        <n x="30"/>
        <n x="470"/>
      </t>
    </mdx>
    <mdx n="508" f="v">
      <t c="3" si="4">
        <n x="509"/>
        <n x="40"/>
        <n x="473"/>
      </t>
    </mdx>
    <mdx n="508" f="v">
      <t c="3" si="4">
        <n x="509"/>
        <n x="432"/>
        <n x="1"/>
      </t>
    </mdx>
    <mdx n="508" f="v">
      <t c="3" si="4">
        <n x="509"/>
        <n x="430"/>
        <n x="467"/>
      </t>
    </mdx>
    <mdx n="508" f="v">
      <t c="3" si="4">
        <n x="509"/>
        <n x="150"/>
        <n x="472"/>
      </t>
    </mdx>
    <mdx n="508" f="v">
      <t c="3" si="475">
        <n x="509"/>
        <n x="317"/>
        <n x="474"/>
      </t>
    </mdx>
    <mdx n="508" f="v">
      <t c="3" si="475">
        <n x="509"/>
        <n x="378"/>
        <n x="474"/>
      </t>
    </mdx>
    <mdx n="508" f="v">
      <t c="3" si="4">
        <n x="509"/>
        <n x="151"/>
        <n x="470"/>
      </t>
    </mdx>
    <mdx n="508" f="v">
      <t c="3" si="4">
        <n x="509"/>
        <n x="332"/>
        <n x="5"/>
      </t>
    </mdx>
    <mdx n="508" f="v">
      <t c="3" si="4">
        <n x="509"/>
        <n x="408"/>
        <n x="466"/>
      </t>
    </mdx>
    <mdx n="508" f="v">
      <t c="3" si="4">
        <n x="509"/>
        <n x="305"/>
        <n x="5"/>
      </t>
    </mdx>
    <mdx n="508" f="v">
      <t c="3" si="4">
        <n x="509"/>
        <n x="449"/>
        <n x="466"/>
      </t>
    </mdx>
    <mdx n="508" f="v">
      <t c="3" si="4">
        <n x="509"/>
        <n x="113"/>
        <n x="473"/>
      </t>
    </mdx>
    <mdx n="508" f="v">
      <t c="3" si="4">
        <n x="509"/>
        <n x="258"/>
        <n x="468"/>
      </t>
    </mdx>
    <mdx n="508" f="v">
      <t c="3" si="4">
        <n x="509"/>
        <n x="367"/>
        <n x="466"/>
      </t>
    </mdx>
    <mdx n="508" f="v">
      <t c="3" si="4">
        <n x="509"/>
        <n x="226"/>
        <n x="469"/>
      </t>
    </mdx>
    <mdx n="508" f="v">
      <t c="3" si="4">
        <n x="509"/>
        <n x="339"/>
        <n x="469"/>
      </t>
    </mdx>
    <mdx n="508" f="v">
      <t c="3" si="4">
        <n x="509"/>
        <n x="279"/>
        <n x="473"/>
      </t>
    </mdx>
    <mdx n="508" f="v">
      <t c="3" si="4">
        <n x="509"/>
        <n x="361"/>
        <n x="473"/>
      </t>
    </mdx>
    <mdx n="508" f="v">
      <t c="3" si="475">
        <n x="509"/>
        <n x="42"/>
        <n x="474"/>
      </t>
    </mdx>
    <mdx n="508" f="v">
      <t c="3" si="4">
        <n x="509"/>
        <n x="331"/>
        <n x="5"/>
      </t>
    </mdx>
    <mdx n="508" f="v">
      <t c="3" si="4">
        <n x="509"/>
        <n x="314"/>
        <n x="473"/>
      </t>
    </mdx>
    <mdx n="508" f="v">
      <t c="3" si="4">
        <n x="509"/>
        <n x="405"/>
        <n x="472"/>
      </t>
    </mdx>
    <mdx n="508" f="v">
      <t c="3" si="475">
        <n x="509"/>
        <n x="420"/>
        <n x="474"/>
      </t>
    </mdx>
    <mdx n="508" f="v">
      <t c="3" si="4">
        <n x="509"/>
        <n x="258"/>
        <n x="473"/>
      </t>
    </mdx>
    <mdx n="508" f="v">
      <t c="3" si="4">
        <n x="509"/>
        <n x="416"/>
        <n x="1"/>
      </t>
    </mdx>
    <mdx n="508" f="v">
      <t c="3" si="4">
        <n x="509"/>
        <n x="368"/>
        <n x="469"/>
      </t>
    </mdx>
    <mdx n="508" f="v">
      <t c="3" si="4">
        <n x="509"/>
        <n x="60"/>
        <n x="472"/>
      </t>
    </mdx>
    <mdx n="508" f="v">
      <t c="3" si="4">
        <n x="509"/>
        <n x="140"/>
        <n x="467"/>
      </t>
    </mdx>
    <mdx n="508" f="v">
      <t c="3" si="4">
        <n x="509"/>
        <n x="375"/>
        <n x="470"/>
      </t>
    </mdx>
    <mdx n="508" f="v">
      <t c="3" si="4">
        <n x="509"/>
        <n x="14"/>
        <n x="466"/>
      </t>
    </mdx>
    <mdx n="508" f="v">
      <t c="3" si="4">
        <n x="509"/>
        <n x="178"/>
        <n x="2"/>
      </t>
    </mdx>
    <mdx n="508" f="v">
      <t c="3" si="4">
        <n x="509"/>
        <n x="322"/>
        <n x="466"/>
      </t>
    </mdx>
    <mdx n="508" f="v">
      <t c="3" si="475">
        <n x="509"/>
        <n x="118"/>
        <n x="474"/>
      </t>
    </mdx>
    <mdx n="508" f="v">
      <t c="3" si="475">
        <n x="509"/>
        <n x="319"/>
        <n x="474"/>
      </t>
    </mdx>
    <mdx n="508" f="v">
      <t c="3" si="4">
        <n x="509"/>
        <n x="440"/>
        <n x="2"/>
      </t>
    </mdx>
    <mdx n="508" f="v">
      <t c="3" si="4">
        <n x="509"/>
        <n x="433"/>
        <n x="466"/>
      </t>
    </mdx>
    <mdx n="508" f="v">
      <t c="3" si="4">
        <n x="509"/>
        <n x="303"/>
        <n x="466"/>
      </t>
    </mdx>
    <mdx n="508" f="v">
      <t c="3" si="4">
        <n x="509"/>
        <n x="235"/>
        <n x="468"/>
      </t>
    </mdx>
    <mdx n="508" f="v">
      <t c="3" si="4">
        <n x="509"/>
        <n x="132"/>
        <n x="466"/>
      </t>
    </mdx>
    <mdx n="508" f="v">
      <t c="3" si="4">
        <n x="509"/>
        <n x="435"/>
        <n x="472"/>
      </t>
    </mdx>
    <mdx n="508" f="v">
      <t c="3" si="4">
        <n x="509"/>
        <n x="157"/>
        <n x="2"/>
      </t>
    </mdx>
    <mdx n="508" f="v">
      <t c="3" si="475">
        <n x="509"/>
        <n x="272"/>
        <n x="474"/>
      </t>
    </mdx>
    <mdx n="508" f="v">
      <t c="3" si="4">
        <n x="509"/>
        <n x="374"/>
        <n x="470"/>
      </t>
    </mdx>
    <mdx n="508" f="v">
      <t c="3" si="4">
        <n x="509"/>
        <n x="54"/>
        <n x="469"/>
      </t>
    </mdx>
    <mdx n="508" f="v">
      <t c="3" si="4">
        <n x="509"/>
        <n x="168"/>
        <n x="473"/>
      </t>
    </mdx>
    <mdx n="508" f="v">
      <t c="3" si="4">
        <n x="509"/>
        <n x="347"/>
        <n x="470"/>
      </t>
    </mdx>
    <mdx n="508" f="v">
      <t c="3" si="475">
        <n x="509"/>
        <n x="285"/>
        <n x="474"/>
      </t>
    </mdx>
    <mdx n="508" f="v">
      <t c="3" si="4">
        <n x="509"/>
        <n x="142"/>
        <n x="2"/>
      </t>
    </mdx>
    <mdx n="508" f="v">
      <t c="3" si="475">
        <n x="509"/>
        <n x="355"/>
        <n x="474"/>
      </t>
    </mdx>
    <mdx n="508" f="v">
      <t c="3" si="4">
        <n x="509"/>
        <n x="425"/>
        <n x="467"/>
      </t>
    </mdx>
    <mdx n="508" f="v">
      <t c="3" si="4">
        <n x="509"/>
        <n x="143"/>
        <n x="466"/>
      </t>
    </mdx>
    <mdx n="508" f="v">
      <t c="3" si="4">
        <n x="509"/>
        <n x="322"/>
        <n x="472"/>
      </t>
    </mdx>
    <mdx n="508" f="v">
      <t c="3" si="4">
        <n x="509"/>
        <n x="181"/>
        <n x="5"/>
      </t>
    </mdx>
    <mdx n="508" f="v">
      <t c="3" si="4">
        <n x="509"/>
        <n x="11"/>
        <n x="466"/>
      </t>
    </mdx>
    <mdx n="508" f="v">
      <t c="3" si="4">
        <n x="509"/>
        <n x="344"/>
        <n x="5"/>
      </t>
    </mdx>
    <mdx n="508" f="v">
      <t c="3" si="4">
        <n x="509"/>
        <n x="354"/>
        <n x="466"/>
      </t>
    </mdx>
    <mdx n="508" f="v">
      <t c="3" si="4">
        <n x="509"/>
        <n x="378"/>
        <n x="469"/>
      </t>
    </mdx>
    <mdx n="508" f="v">
      <t c="3" si="4">
        <n x="509"/>
        <n x="435"/>
        <n x="469"/>
      </t>
    </mdx>
    <mdx n="508" f="v">
      <t c="3" si="475">
        <n x="509"/>
        <n x="205"/>
        <n x="474"/>
      </t>
    </mdx>
    <mdx n="508" f="v">
      <t c="3" si="4">
        <n x="509"/>
        <n x="405"/>
        <n x="1"/>
      </t>
    </mdx>
    <mdx n="508" f="v">
      <t c="3" si="4">
        <n x="509"/>
        <n x="13"/>
        <n x="467"/>
      </t>
    </mdx>
    <mdx n="508" f="v">
      <t c="3" si="4">
        <n x="509"/>
        <n x="44"/>
        <n x="473"/>
      </t>
    </mdx>
    <mdx n="508" f="v">
      <t c="3" si="4">
        <n x="509"/>
        <n x="122"/>
        <n x="469"/>
      </t>
    </mdx>
    <mdx n="508" f="v">
      <t c="3" si="4">
        <n x="509"/>
        <n x="444"/>
        <n x="472"/>
      </t>
    </mdx>
    <mdx n="508" f="v">
      <t c="3" si="4">
        <n x="509"/>
        <n x="214"/>
        <n x="470"/>
      </t>
    </mdx>
    <mdx n="508" f="v">
      <t c="3" si="4">
        <n x="509"/>
        <n x="75"/>
        <n x="472"/>
      </t>
    </mdx>
    <mdx n="508" f="v">
      <t c="3" si="4">
        <n x="509"/>
        <n x="87"/>
        <n x="470"/>
      </t>
    </mdx>
    <mdx n="508" f="v">
      <t c="3" si="4">
        <n x="509"/>
        <n x="391"/>
        <n x="2"/>
      </t>
    </mdx>
    <mdx n="508" f="v">
      <t c="3" si="4">
        <n x="509"/>
        <n x="281"/>
        <n x="467"/>
      </t>
    </mdx>
    <mdx n="508" f="v">
      <t c="3" si="4">
        <n x="509"/>
        <n x="273"/>
        <n x="467"/>
      </t>
    </mdx>
    <mdx n="508" f="v">
      <t c="3" si="4">
        <n x="509"/>
        <n x="100"/>
        <n x="5"/>
      </t>
    </mdx>
    <mdx n="508" f="v">
      <t c="3" si="4">
        <n x="509"/>
        <n x="402"/>
        <n x="466"/>
      </t>
    </mdx>
    <mdx n="508" f="v">
      <t c="3" si="475">
        <n x="509"/>
        <n x="130"/>
        <n x="474"/>
      </t>
    </mdx>
    <mdx n="508" f="v">
      <t c="3" si="4">
        <n x="509"/>
        <n x="326"/>
        <n x="473"/>
      </t>
    </mdx>
    <mdx n="508" f="v">
      <t c="3" si="4">
        <n x="509"/>
        <n x="47"/>
        <n x="5"/>
      </t>
    </mdx>
    <mdx n="508" f="v">
      <t c="3" si="4">
        <n x="509"/>
        <n x="178"/>
        <n x="466"/>
      </t>
    </mdx>
    <mdx n="508" f="v">
      <t c="3" si="4">
        <n x="509"/>
        <n x="370"/>
        <n x="5"/>
      </t>
    </mdx>
    <mdx n="508" f="v">
      <t c="3" si="4">
        <n x="509"/>
        <n x="329"/>
        <n x="468"/>
      </t>
    </mdx>
    <mdx n="508" f="v">
      <t c="3" si="4">
        <n x="509"/>
        <n x="10"/>
        <n x="470"/>
      </t>
    </mdx>
    <mdx n="508" f="v">
      <t c="3" si="4">
        <n x="509"/>
        <n x="193"/>
        <n x="5"/>
      </t>
    </mdx>
    <mdx n="508" f="v">
      <t c="3" si="4">
        <n x="509"/>
        <n x="216"/>
        <n x="466"/>
      </t>
    </mdx>
    <mdx n="508" f="v">
      <t c="3" si="4">
        <n x="509"/>
        <n x="209"/>
        <n x="470"/>
      </t>
    </mdx>
    <mdx n="508" f="v">
      <t c="3" si="4">
        <n x="509"/>
        <n x="260"/>
        <n x="466"/>
      </t>
    </mdx>
    <mdx n="508" f="v">
      <t c="3" si="475">
        <n x="509"/>
        <n x="334"/>
        <n x="474"/>
      </t>
    </mdx>
    <mdx n="508" f="v">
      <t c="3" si="4">
        <n x="509"/>
        <n x="183"/>
        <n x="469"/>
      </t>
    </mdx>
    <mdx n="508" f="v">
      <t c="3" si="4">
        <n x="509"/>
        <n x="66"/>
        <n x="472"/>
      </t>
    </mdx>
    <mdx n="508" f="v">
      <t c="3" si="4">
        <n x="509"/>
        <n x="34"/>
        <n x="469"/>
      </t>
    </mdx>
    <mdx n="508" f="v">
      <t c="3" si="475">
        <n x="509"/>
        <n x="305"/>
        <n x="474"/>
      </t>
    </mdx>
    <mdx n="508" f="v">
      <t c="3" si="4">
        <n x="509"/>
        <n x="88"/>
        <n x="5"/>
      </t>
    </mdx>
    <mdx n="508" f="v">
      <t c="3" si="4">
        <n x="509"/>
        <n x="45"/>
        <n x="1"/>
      </t>
    </mdx>
    <mdx n="508" f="v">
      <t c="3" si="4">
        <n x="509"/>
        <n x="318"/>
        <n x="5"/>
      </t>
    </mdx>
    <mdx n="508" f="v">
      <t c="3" si="4">
        <n x="509"/>
        <n x="73"/>
        <n x="466"/>
      </t>
    </mdx>
    <mdx n="508" f="v">
      <t c="3" si="4">
        <n x="509"/>
        <n x="276"/>
        <n x="1"/>
      </t>
    </mdx>
    <mdx n="508" f="v">
      <t c="3" si="4">
        <n x="509"/>
        <n x="92"/>
        <n x="466"/>
      </t>
    </mdx>
    <mdx n="508" f="v">
      <t c="3" si="4">
        <n x="509"/>
        <n x="20"/>
        <n x="466"/>
      </t>
    </mdx>
    <mdx n="508" f="v">
      <t c="3" si="4">
        <n x="509"/>
        <n x="266"/>
        <n x="472"/>
      </t>
    </mdx>
    <mdx n="508" f="v">
      <t c="3" si="475">
        <n x="509"/>
        <n x="219"/>
        <n x="474"/>
      </t>
    </mdx>
    <mdx n="508" f="v">
      <t c="3" si="4">
        <n x="509"/>
        <n x="199"/>
        <n x="473"/>
      </t>
    </mdx>
    <mdx n="508" f="v">
      <t c="3" si="4">
        <n x="509"/>
        <n x="299"/>
        <n x="2"/>
      </t>
    </mdx>
    <mdx n="508" f="v">
      <t c="3" si="4">
        <n x="509"/>
        <n x="356"/>
        <n x="470"/>
      </t>
    </mdx>
    <mdx n="508" f="v">
      <t c="3" si="4">
        <n x="509"/>
        <n x="24"/>
        <n x="469"/>
      </t>
    </mdx>
    <mdx n="508" f="v">
      <t c="3" si="475">
        <n x="509"/>
        <n x="148"/>
        <n x="474"/>
      </t>
    </mdx>
    <mdx n="508" f="v">
      <t c="3" si="4">
        <n x="509"/>
        <n x="460"/>
        <n x="467"/>
      </t>
    </mdx>
    <mdx n="508" f="v">
      <t c="3" si="4">
        <n x="509"/>
        <n x="48"/>
        <n x="473"/>
      </t>
    </mdx>
    <mdx n="508" f="v">
      <t c="3" si="4">
        <n x="509"/>
        <n x="330"/>
        <n x="1"/>
      </t>
    </mdx>
    <mdx n="508" f="v">
      <t c="3" si="475">
        <n x="509"/>
        <n x="408"/>
        <n x="474"/>
      </t>
    </mdx>
    <mdx n="508" f="v">
      <t c="3" si="4">
        <n x="509"/>
        <n x="73"/>
        <n x="2"/>
      </t>
    </mdx>
    <mdx n="508" f="v">
      <t c="3" si="4">
        <n x="509"/>
        <n x="77"/>
        <n x="466"/>
      </t>
    </mdx>
    <mdx n="508" f="v">
      <t c="3" si="4">
        <n x="509"/>
        <n x="101"/>
        <n x="5"/>
      </t>
    </mdx>
    <mdx n="508" f="v">
      <t c="3" si="4">
        <n x="509"/>
        <n x="384"/>
        <n x="466"/>
      </t>
    </mdx>
    <mdx n="508" f="v">
      <t c="3" si="4">
        <n x="509"/>
        <n x="14"/>
        <n x="5"/>
      </t>
    </mdx>
    <mdx n="508" f="v">
      <t c="3" si="4">
        <n x="509"/>
        <n x="339"/>
        <n x="472"/>
      </t>
    </mdx>
    <mdx n="508" f="v">
      <t c="3" si="4">
        <n x="509"/>
        <n x="12"/>
        <n x="466"/>
      </t>
    </mdx>
    <mdx n="508" f="v">
      <t c="3" si="4">
        <n x="509"/>
        <n x="69"/>
        <n x="470"/>
      </t>
    </mdx>
    <mdx n="508" f="v">
      <t c="3" si="4">
        <n x="509"/>
        <n x="148"/>
        <n x="5"/>
      </t>
    </mdx>
    <mdx n="508" f="v">
      <t c="3" si="4">
        <n x="509"/>
        <n x="179"/>
        <n x="466"/>
      </t>
    </mdx>
    <mdx n="508" f="v">
      <t c="3" si="4">
        <n x="509"/>
        <n x="176"/>
        <n x="2"/>
      </t>
    </mdx>
    <mdx n="508" f="v">
      <t c="3" si="475">
        <n x="509"/>
        <n x="297"/>
        <n x="474"/>
      </t>
    </mdx>
    <mdx n="508" f="v">
      <t c="3" si="475">
        <n x="509"/>
        <n x="312"/>
        <n x="474"/>
      </t>
    </mdx>
    <mdx n="508" f="v">
      <t c="3" si="4">
        <n x="509"/>
        <n x="349"/>
        <n x="472"/>
      </t>
    </mdx>
    <mdx n="508" f="v">
      <t c="3" si="4">
        <n x="509"/>
        <n x="72"/>
        <n x="473"/>
      </t>
    </mdx>
    <mdx n="508" f="v">
      <t c="3" si="475">
        <n x="509"/>
        <n x="326"/>
        <n x="474"/>
      </t>
    </mdx>
    <mdx n="508" f="v">
      <t c="3" si="4">
        <n x="509"/>
        <n x="61"/>
        <n x="472"/>
      </t>
    </mdx>
    <mdx n="508" f="v">
      <t c="3" si="4">
        <n x="509"/>
        <n x="354"/>
        <n x="469"/>
      </t>
    </mdx>
    <mdx n="508" f="v">
      <t c="3" si="475">
        <n x="509"/>
        <n x="69"/>
        <n x="474"/>
      </t>
    </mdx>
    <mdx n="508" f="v">
      <t c="3" si="4">
        <n x="509"/>
        <n x="68"/>
        <n x="470"/>
      </t>
    </mdx>
    <mdx n="508" f="v">
      <t c="3" si="4">
        <n x="509"/>
        <n x="446"/>
        <n x="466"/>
      </t>
    </mdx>
    <mdx n="508" f="v">
      <t c="3" si="4">
        <n x="509"/>
        <n x="418"/>
        <n x="1"/>
      </t>
    </mdx>
    <mdx n="508" f="v">
      <t c="3" si="4">
        <n x="509"/>
        <n x="14"/>
        <n x="2"/>
      </t>
    </mdx>
    <mdx n="508" f="v">
      <t c="3" si="4">
        <n x="509"/>
        <n x="396"/>
        <n x="473"/>
      </t>
    </mdx>
    <mdx n="508" f="v">
      <t c="3" si="4">
        <n x="509"/>
        <n x="441"/>
        <n x="466"/>
      </t>
    </mdx>
    <mdx n="508" f="v">
      <t c="3" si="4">
        <n x="509"/>
        <n x="290"/>
        <n x="2"/>
      </t>
    </mdx>
    <mdx n="508" f="v">
      <t c="3" si="4">
        <n x="509"/>
        <n x="369"/>
        <n x="466"/>
      </t>
    </mdx>
    <mdx n="508" f="v">
      <t c="3" si="4">
        <n x="509"/>
        <n x="460"/>
        <n x="466"/>
      </t>
    </mdx>
    <mdx n="508" f="v">
      <t c="3" si="4">
        <n x="509"/>
        <n x="76"/>
        <n x="469"/>
      </t>
    </mdx>
    <mdx n="508" f="v">
      <t c="3" si="4">
        <n x="509"/>
        <n x="429"/>
        <n x="469"/>
      </t>
    </mdx>
    <mdx n="508" f="v">
      <t c="3" si="4">
        <n x="509"/>
        <n x="364"/>
        <n x="469"/>
      </t>
    </mdx>
    <mdx n="508" f="v">
      <t c="3" si="4">
        <n x="509"/>
        <n x="456"/>
        <n x="472"/>
      </t>
    </mdx>
    <mdx n="508" f="v">
      <t c="3" si="4">
        <n x="509"/>
        <n x="440"/>
        <n x="470"/>
      </t>
    </mdx>
    <mdx n="508" f="v">
      <t c="3" si="4">
        <n x="509"/>
        <n x="334"/>
        <n x="469"/>
      </t>
    </mdx>
    <mdx n="508" f="v">
      <t c="3" si="475">
        <n x="509"/>
        <n x="138"/>
        <n x="474"/>
      </t>
    </mdx>
    <mdx n="508" f="v">
      <t c="3" si="4">
        <n x="509"/>
        <n x="136"/>
        <n x="467"/>
      </t>
    </mdx>
    <mdx n="508" f="v">
      <t c="3" si="4">
        <n x="509"/>
        <n x="32"/>
        <n x="473"/>
      </t>
    </mdx>
    <mdx n="508" f="v">
      <t c="3" si="4">
        <n x="509"/>
        <n x="286"/>
        <n x="467"/>
      </t>
    </mdx>
    <mdx n="508" f="v">
      <t c="3" si="4">
        <n x="509"/>
        <n x="152"/>
        <n x="472"/>
      </t>
    </mdx>
    <mdx n="508" f="v">
      <t c="3" si="4">
        <n x="509"/>
        <n x="413"/>
        <n x="469"/>
      </t>
    </mdx>
    <mdx n="508" f="v">
      <t c="3" si="4">
        <n x="509"/>
        <n x="131"/>
        <n x="472"/>
      </t>
    </mdx>
    <mdx n="508" f="v">
      <t c="3" si="4">
        <n x="509"/>
        <n x="152"/>
        <n x="5"/>
      </t>
    </mdx>
    <mdx n="508" f="v">
      <t c="3" si="4">
        <n x="509"/>
        <n x="393"/>
        <n x="466"/>
      </t>
    </mdx>
    <mdx n="508" f="v">
      <t c="3" si="4">
        <n x="509"/>
        <n x="427"/>
        <n x="5"/>
      </t>
    </mdx>
    <mdx n="508" f="v">
      <t c="3" si="4">
        <n x="509"/>
        <n x="257"/>
        <n x="466"/>
      </t>
    </mdx>
    <mdx n="508" f="v">
      <t c="3" si="4">
        <n x="509"/>
        <n x="412"/>
        <n x="466"/>
      </t>
    </mdx>
    <mdx n="508" f="v">
      <t c="3" si="4">
        <n x="509"/>
        <n x="89"/>
        <n x="468"/>
      </t>
    </mdx>
    <mdx n="508" f="v">
      <t c="3" si="4">
        <n x="509"/>
        <n x="340"/>
        <n x="466"/>
      </t>
    </mdx>
    <mdx n="508" f="v">
      <t c="3" si="4">
        <n x="509"/>
        <n x="47"/>
        <n x="466"/>
      </t>
    </mdx>
    <mdx n="508" f="v">
      <t c="3" si="4">
        <n x="509"/>
        <n x="415"/>
        <n x="466"/>
      </t>
    </mdx>
    <mdx n="508" f="v">
      <t c="3" si="4">
        <n x="509"/>
        <n x="178"/>
        <n x="470"/>
      </t>
    </mdx>
    <mdx n="508" f="v">
      <t c="3" si="4">
        <n x="509"/>
        <n x="327"/>
        <n x="472"/>
      </t>
    </mdx>
    <mdx n="508" f="v">
      <t c="3" si="4">
        <n x="509"/>
        <n x="210"/>
        <n x="470"/>
      </t>
    </mdx>
    <mdx n="508" f="v">
      <t c="3" si="4">
        <n x="509"/>
        <n x="137"/>
        <n x="466"/>
      </t>
    </mdx>
    <mdx n="508" f="v">
      <t c="3" si="4">
        <n x="509"/>
        <n x="190"/>
        <n x="5"/>
      </t>
    </mdx>
    <mdx n="508" f="v">
      <t c="3" si="4">
        <n x="509"/>
        <n x="187"/>
        <n x="466"/>
      </t>
    </mdx>
    <mdx n="508" f="v">
      <t c="3" si="4">
        <n x="509"/>
        <n x="146"/>
        <n x="466"/>
      </t>
    </mdx>
    <mdx n="508" f="v">
      <t c="3" si="475">
        <n x="509"/>
        <n x="196"/>
        <n x="474"/>
      </t>
    </mdx>
    <mdx n="508" f="v">
      <t c="3" si="4">
        <n x="509"/>
        <n x="281"/>
        <n x="1"/>
      </t>
    </mdx>
    <mdx n="508" f="v">
      <t c="3" si="4">
        <n x="509"/>
        <n x="216"/>
        <n x="469"/>
      </t>
    </mdx>
    <mdx n="508" f="v">
      <t c="3" si="4">
        <n x="509"/>
        <n x="354"/>
        <n x="470"/>
      </t>
    </mdx>
    <mdx n="508" f="v">
      <t c="3" si="4">
        <n x="509"/>
        <n x="65"/>
        <n x="470"/>
      </t>
    </mdx>
    <mdx n="508" f="v">
      <t c="3" si="4">
        <n x="509"/>
        <n x="437"/>
        <n x="473"/>
      </t>
    </mdx>
    <mdx n="508" f="v">
      <t c="3" si="4">
        <n x="509"/>
        <n x="456"/>
        <n x="1"/>
      </t>
    </mdx>
    <mdx n="508" f="v">
      <t c="3" si="4">
        <n x="509"/>
        <n x="291"/>
        <n x="470"/>
      </t>
    </mdx>
    <mdx n="508" f="v">
      <t c="3" si="4">
        <n x="509"/>
        <n x="271"/>
        <n x="466"/>
      </t>
    </mdx>
    <mdx n="508" f="v">
      <t c="3" si="4">
        <n x="509"/>
        <n x="117"/>
        <n x="472"/>
      </t>
    </mdx>
    <mdx n="508" f="v">
      <t c="3" si="4">
        <n x="509"/>
        <n x="328"/>
        <n x="1"/>
      </t>
    </mdx>
    <mdx n="508" f="v">
      <t c="3" si="4">
        <n x="509"/>
        <n x="139"/>
        <n x="466"/>
      </t>
    </mdx>
    <mdx n="508" f="v">
      <t c="3" si="4">
        <n x="509"/>
        <n x="36"/>
        <n x="1"/>
      </t>
    </mdx>
    <mdx n="508" f="v">
      <t c="3" si="4">
        <n x="509"/>
        <n x="67"/>
        <n x="466"/>
      </t>
    </mdx>
    <mdx n="508" f="v">
      <t c="3" si="4">
        <n x="509"/>
        <n x="453"/>
        <n x="2"/>
      </t>
    </mdx>
    <mdx n="508" f="v">
      <t c="3" si="4">
        <n x="509"/>
        <n x="222"/>
        <n x="469"/>
      </t>
    </mdx>
    <mdx n="508" f="v">
      <t c="3" si="4">
        <n x="509"/>
        <n x="218"/>
        <n x="472"/>
      </t>
    </mdx>
    <mdx n="508" f="v">
      <t c="3" si="4">
        <n x="509"/>
        <n x="325"/>
        <n x="469"/>
      </t>
    </mdx>
    <mdx n="508" f="v">
      <t c="3" si="4">
        <n x="509"/>
        <n x="380"/>
        <n x="467"/>
      </t>
    </mdx>
    <mdx n="508" f="v">
      <t c="3" si="4">
        <n x="509"/>
        <n x="463"/>
        <n x="472"/>
      </t>
    </mdx>
    <mdx n="508" f="v">
      <t c="3" si="4">
        <n x="509"/>
        <n x="114"/>
        <n x="470"/>
      </t>
    </mdx>
    <mdx n="508" f="v">
      <t c="3" si="475">
        <n x="509"/>
        <n x="270"/>
        <n x="474"/>
      </t>
    </mdx>
    <mdx n="508" f="v">
      <t c="3" si="4">
        <n x="509"/>
        <n x="222"/>
        <n x="467"/>
      </t>
    </mdx>
    <mdx n="508" f="v">
      <t c="3" si="4">
        <n x="509"/>
        <n x="115"/>
        <n x="470"/>
      </t>
    </mdx>
    <mdx n="508" f="v">
      <t c="3" si="4">
        <n x="509"/>
        <n x="463"/>
        <n x="466"/>
      </t>
    </mdx>
    <mdx n="508" f="v">
      <t c="3" si="4">
        <n x="509"/>
        <n x="330"/>
        <n x="468"/>
      </t>
    </mdx>
    <mdx n="508" f="v">
      <t c="3" si="4">
        <n x="509"/>
        <n x="420"/>
        <n x="466"/>
      </t>
    </mdx>
    <mdx n="508" f="v">
      <t c="3" si="4">
        <n x="509"/>
        <n x="83"/>
        <n x="470"/>
      </t>
    </mdx>
    <mdx n="508" f="v">
      <t c="3" si="4">
        <n x="509"/>
        <n x="191"/>
        <n x="466"/>
      </t>
    </mdx>
    <mdx n="508" f="v">
      <t c="3" si="4">
        <n x="509"/>
        <n x="365"/>
        <n x="1"/>
      </t>
    </mdx>
    <mdx n="508" f="v">
      <t c="3" si="4">
        <n x="509"/>
        <n x="59"/>
        <n x="466"/>
      </t>
    </mdx>
    <mdx n="508" f="v">
      <t c="3" si="4">
        <n x="509"/>
        <n x="237"/>
        <n x="1"/>
      </t>
    </mdx>
    <mdx n="508" f="v">
      <t c="3" si="4">
        <n x="509"/>
        <n x="18"/>
        <n x="466"/>
      </t>
    </mdx>
    <mdx n="508" f="v">
      <t c="3" si="475">
        <n x="509"/>
        <n x="12"/>
        <n x="474"/>
      </t>
    </mdx>
    <mdx n="508" f="v">
      <t c="3" si="4">
        <n x="509"/>
        <n x="70"/>
        <n x="469"/>
      </t>
    </mdx>
    <mdx n="508" f="v">
      <t c="3" si="4">
        <n x="509"/>
        <n x="308"/>
        <n x="470"/>
      </t>
    </mdx>
    <mdx n="508" f="v">
      <t c="3" si="4">
        <n x="509"/>
        <n x="93"/>
        <n x="467"/>
      </t>
    </mdx>
    <mdx n="508" f="v">
      <t c="3" si="4">
        <n x="509"/>
        <n x="257"/>
        <n x="470"/>
      </t>
    </mdx>
    <mdx n="508" f="v">
      <t c="3" si="4">
        <n x="509"/>
        <n x="278"/>
        <n x="473"/>
      </t>
    </mdx>
    <mdx n="508" f="v">
      <t c="3" si="4">
        <n x="509"/>
        <n x="159"/>
        <n x="1"/>
      </t>
    </mdx>
    <mdx n="508" f="v">
      <t c="3" si="4">
        <n x="509"/>
        <n x="162"/>
        <n x="472"/>
      </t>
    </mdx>
    <mdx n="508" f="v">
      <t c="3" si="4">
        <n x="509"/>
        <n x="13"/>
        <n x="466"/>
      </t>
    </mdx>
    <mdx n="508" f="v">
      <t c="3" si="4">
        <n x="509"/>
        <n x="76"/>
        <n x="1"/>
      </t>
    </mdx>
    <mdx n="508" f="v">
      <t c="3" si="4">
        <n x="509"/>
        <n x="296"/>
        <n x="466"/>
      </t>
    </mdx>
    <mdx n="508" f="v">
      <t c="3" si="475">
        <n x="509"/>
        <n x="329"/>
        <n x="474"/>
      </t>
    </mdx>
    <mdx n="508" f="v">
      <t c="3" si="4">
        <n x="509"/>
        <n x="385"/>
        <n x="5"/>
      </t>
    </mdx>
    <mdx n="508" f="v">
      <t c="3" si="4">
        <n x="509"/>
        <n x="448"/>
        <n x="473"/>
      </t>
    </mdx>
    <mdx n="508" f="v">
      <t c="3" si="4">
        <n x="509"/>
        <n x="42"/>
        <n x="467"/>
      </t>
    </mdx>
    <mdx n="508" f="v">
      <t c="3" si="4">
        <n x="509"/>
        <n x="120"/>
        <n x="469"/>
      </t>
    </mdx>
    <mdx n="508" f="v">
      <t c="3" si="4">
        <n x="509"/>
        <n x="77"/>
        <n x="2"/>
      </t>
    </mdx>
    <mdx n="508" f="v">
      <t c="3" si="4">
        <n x="509"/>
        <n x="214"/>
        <n x="473"/>
      </t>
    </mdx>
    <mdx n="508" f="v">
      <t c="3" si="4">
        <n x="509"/>
        <n x="142"/>
        <n x="469"/>
      </t>
    </mdx>
    <mdx n="508" f="v">
      <t c="3" si="4">
        <n x="509"/>
        <n x="416"/>
        <n x="470"/>
      </t>
    </mdx>
    <mdx n="508" f="v">
      <t c="3" si="4">
        <n x="509"/>
        <n x="448"/>
        <n x="469"/>
      </t>
    </mdx>
    <mdx n="508" f="v">
      <t c="3" si="4">
        <n x="509"/>
        <n x="395"/>
        <n x="469"/>
      </t>
    </mdx>
    <mdx n="508" f="v">
      <t c="3" si="475">
        <n x="509"/>
        <n x="448"/>
        <n x="474"/>
      </t>
    </mdx>
    <mdx n="508" f="v">
      <t c="3" si="4">
        <n x="509"/>
        <n x="119"/>
        <n x="2"/>
      </t>
    </mdx>
    <mdx n="508" f="v">
      <t c="3" si="4">
        <n x="509"/>
        <n x="464"/>
        <n x="2"/>
      </t>
    </mdx>
    <mdx n="508" f="v">
      <t c="3" si="4">
        <n x="509"/>
        <n x="248"/>
        <n x="466"/>
      </t>
    </mdx>
    <mdx n="508" f="v">
      <t c="3" si="4">
        <n x="509"/>
        <n x="459"/>
        <n x="466"/>
      </t>
    </mdx>
    <mdx n="508" f="v">
      <t c="3" si="4">
        <n x="509"/>
        <n x="387"/>
        <n x="466"/>
      </t>
    </mdx>
    <mdx n="508" f="v">
      <t c="3" si="4">
        <n x="509"/>
        <n x="429"/>
        <n x="466"/>
      </t>
    </mdx>
    <mdx n="508" f="v">
      <t c="3" si="4">
        <n x="509"/>
        <n x="37"/>
        <n x="466"/>
      </t>
    </mdx>
    <mdx n="508" f="v">
      <t c="3" si="4">
        <n x="509"/>
        <n x="189"/>
        <n x="473"/>
      </t>
    </mdx>
    <mdx n="508" f="v">
      <t c="3" si="4">
        <n x="509"/>
        <n x="171"/>
        <n x="468"/>
      </t>
    </mdx>
    <mdx n="508" f="v">
      <t c="3" si="4">
        <n x="509"/>
        <n x="405"/>
        <n x="5"/>
      </t>
    </mdx>
    <mdx n="508" f="v">
      <t c="3" si="4">
        <n x="509"/>
        <n x="156"/>
        <n x="466"/>
      </t>
    </mdx>
    <mdx n="508" f="v">
      <t c="3" si="4">
        <n x="509"/>
        <n x="84"/>
        <n x="466"/>
      </t>
    </mdx>
    <mdx n="508" f="v">
      <t c="3" si="4">
        <n x="509"/>
        <n x="26"/>
        <n x="466"/>
      </t>
    </mdx>
    <mdx n="508" f="v">
      <t c="3" si="4">
        <n x="509"/>
        <n x="164"/>
        <n x="1"/>
      </t>
    </mdx>
    <mdx n="508" f="v">
      <t c="3" si="4">
        <n x="509"/>
        <n x="258"/>
        <n x="472"/>
      </t>
    </mdx>
    <mdx n="508" f="v">
      <t c="3" si="4">
        <n x="509"/>
        <n x="225"/>
        <n x="466"/>
      </t>
    </mdx>
    <mdx n="508" f="v">
      <t c="3" si="4">
        <n x="509"/>
        <n x="118"/>
        <n x="470"/>
      </t>
    </mdx>
    <mdx n="508" f="v">
      <t c="3" si="4">
        <n x="509"/>
        <n x="326"/>
        <n x="1"/>
      </t>
    </mdx>
    <mdx n="508" f="v">
      <t c="3" si="4">
        <n x="509"/>
        <n x="127"/>
        <n x="470"/>
      </t>
    </mdx>
    <mdx n="508" f="v">
      <t c="3" si="4">
        <n x="509"/>
        <n x="445"/>
        <n x="469"/>
      </t>
    </mdx>
    <mdx n="508" f="v">
      <t c="3" si="475">
        <n x="509"/>
        <n x="52"/>
        <n x="474"/>
      </t>
    </mdx>
    <mdx n="508" f="v">
      <t c="3" si="4">
        <n x="509"/>
        <n x="20"/>
        <n x="469"/>
      </t>
    </mdx>
    <mdx n="508" f="v">
      <t c="3" si="4">
        <n x="509"/>
        <n x="356"/>
        <n x="467"/>
      </t>
    </mdx>
    <mdx n="508" f="v">
      <t c="3" si="475">
        <n x="509"/>
        <n x="244"/>
        <n x="474"/>
      </t>
    </mdx>
    <mdx n="508" f="v">
      <t c="3" si="4">
        <n x="509"/>
        <n x="147"/>
        <n x="470"/>
      </t>
    </mdx>
    <mdx n="508" f="v">
      <t c="3" si="4">
        <n x="509"/>
        <n x="454"/>
        <n x="473"/>
      </t>
    </mdx>
    <mdx n="508" f="v">
      <t c="3" si="4">
        <n x="509"/>
        <n x="135"/>
        <n x="469"/>
      </t>
    </mdx>
    <mdx n="508" f="v">
      <t c="3" si="4">
        <n x="509"/>
        <n x="161"/>
        <n x="469"/>
      </t>
    </mdx>
    <mdx n="508" f="v">
      <t c="3" si="4">
        <n x="509"/>
        <n x="78"/>
        <n x="466"/>
      </t>
    </mdx>
    <mdx n="508" f="v">
      <t c="3" si="4">
        <n x="509"/>
        <n x="236"/>
        <n x="472"/>
      </t>
    </mdx>
    <mdx n="508" f="v">
      <t c="3" si="4">
        <n x="509"/>
        <n x="442"/>
        <n x="466"/>
      </t>
    </mdx>
    <mdx n="508" f="v">
      <t c="3" si="4">
        <n x="509"/>
        <n x="35"/>
        <n x="5"/>
      </t>
    </mdx>
    <mdx n="508" f="v">
      <t c="3" si="4">
        <n x="509"/>
        <n x="306"/>
        <n x="466"/>
      </t>
    </mdx>
    <mdx n="508" f="v">
      <t c="3" si="4">
        <n x="509"/>
        <n x="66"/>
        <n x="467"/>
      </t>
    </mdx>
    <mdx n="508" f="v">
      <t c="3" si="4">
        <n x="509"/>
        <n x="404"/>
        <n x="472"/>
      </t>
    </mdx>
    <mdx n="508" f="v">
      <t c="3" si="4">
        <n x="509"/>
        <n x="455"/>
        <n x="472"/>
      </t>
    </mdx>
    <mdx n="508" f="v">
      <t c="3" si="4">
        <n x="509"/>
        <n x="52"/>
        <n x="5"/>
      </t>
    </mdx>
    <mdx n="508" f="v">
      <t c="3" si="4">
        <n x="509"/>
        <n x="203"/>
        <n x="469"/>
      </t>
    </mdx>
    <mdx n="508" f="v">
      <t c="3" si="475">
        <n x="509"/>
        <n x="149"/>
        <n x="474"/>
      </t>
    </mdx>
    <mdx n="508" f="v">
      <t c="3" si="4">
        <n x="509"/>
        <n x="342"/>
        <n x="470"/>
      </t>
    </mdx>
    <mdx n="508" f="v">
      <t c="3" si="4">
        <n x="509"/>
        <n x="233"/>
        <n x="473"/>
      </t>
    </mdx>
    <mdx n="508" f="v">
      <t c="3" si="4">
        <n x="509"/>
        <n x="393"/>
        <n x="467"/>
      </t>
    </mdx>
    <mdx n="508" f="v">
      <t c="3" si="4">
        <n x="509"/>
        <n x="56"/>
        <n x="470"/>
      </t>
    </mdx>
    <mdx n="508" f="v">
      <t c="3" si="4">
        <n x="509"/>
        <n x="145"/>
        <n x="2"/>
      </t>
    </mdx>
    <mdx n="508" f="v">
      <t c="3" si="4">
        <n x="509"/>
        <n x="464"/>
        <n x="470"/>
      </t>
    </mdx>
    <mdx n="508" f="v">
      <t c="3" si="4">
        <n x="509"/>
        <n x="284"/>
        <n x="5"/>
      </t>
    </mdx>
    <mdx n="508" f="v">
      <t c="3" si="475">
        <n x="509"/>
        <n x="423"/>
        <n x="474"/>
      </t>
    </mdx>
    <mdx n="508" f="v">
      <t c="3" si="4">
        <n x="509"/>
        <n x="309"/>
        <n x="467"/>
      </t>
    </mdx>
    <mdx n="508" f="v">
      <t c="3" si="4">
        <n x="509"/>
        <n x="387"/>
        <n x="472"/>
      </t>
    </mdx>
    <mdx n="508" f="v">
      <t c="3" si="4">
        <n x="509"/>
        <n x="268"/>
        <n x="470"/>
      </t>
    </mdx>
    <mdx n="508" f="v">
      <t c="3" si="4">
        <n x="509"/>
        <n x="400"/>
        <n x="470"/>
      </t>
    </mdx>
    <mdx n="508" f="v">
      <t c="3" si="4">
        <n x="509"/>
        <n x="44"/>
        <n x="466"/>
      </t>
    </mdx>
    <mdx n="508" f="v">
      <t c="3" si="4">
        <n x="509"/>
        <n x="230"/>
        <n x="466"/>
      </t>
    </mdx>
    <mdx n="508" f="v">
      <t c="3" si="4">
        <n x="509"/>
        <n x="464"/>
        <n x="466"/>
      </t>
    </mdx>
    <mdx n="508" f="v">
      <t c="3" si="4">
        <n x="509"/>
        <n x="380"/>
        <n x="5"/>
      </t>
    </mdx>
    <mdx n="508" f="v">
      <t c="3" si="4">
        <n x="509"/>
        <n x="290"/>
        <n x="466"/>
      </t>
    </mdx>
    <mdx n="508" f="v">
      <t c="3" si="4">
        <n x="509"/>
        <n x="460"/>
        <n x="1"/>
      </t>
    </mdx>
    <mdx n="508" f="v">
      <t c="3" si="4">
        <n x="509"/>
        <n x="97"/>
        <n x="466"/>
      </t>
    </mdx>
    <mdx n="508" f="v">
      <t c="3" si="4">
        <n x="509"/>
        <n x="272"/>
        <n x="469"/>
      </t>
    </mdx>
    <mdx n="508" f="v">
      <t c="3" si="4">
        <n x="509"/>
        <n x="263"/>
        <n x="469"/>
      </t>
    </mdx>
    <mdx n="508" f="v">
      <t c="3" si="4">
        <n x="509"/>
        <n x="447"/>
        <n x="467"/>
      </t>
    </mdx>
    <mdx n="508" f="v">
      <t c="3" si="4">
        <n x="509"/>
        <n x="261"/>
        <n x="467"/>
      </t>
    </mdx>
    <mdx n="508" f="v">
      <t c="3" si="4">
        <n x="509"/>
        <n x="222"/>
        <n x="1"/>
      </t>
    </mdx>
    <mdx n="508" f="v">
      <t c="3" si="4">
        <n x="509"/>
        <n x="11"/>
        <n x="469"/>
      </t>
    </mdx>
    <mdx n="508" f="v">
      <t c="3" si="4">
        <n x="509"/>
        <n x="360"/>
        <n x="470"/>
      </t>
    </mdx>
    <mdx n="508" f="v">
      <t c="3" si="4">
        <n x="509"/>
        <n x="242"/>
        <n x="467"/>
      </t>
    </mdx>
    <mdx n="508" f="v">
      <t c="3" si="4">
        <n x="509"/>
        <n x="457"/>
        <n x="469"/>
      </t>
    </mdx>
    <mdx n="508" f="v">
      <t c="3" si="4">
        <n x="509"/>
        <n x="317"/>
        <n x="472"/>
      </t>
    </mdx>
    <mdx n="508" f="v">
      <t c="3" si="4">
        <n x="509"/>
        <n x="342"/>
        <n x="466"/>
      </t>
    </mdx>
    <mdx n="508" f="v">
      <t c="3" si="4">
        <n x="509"/>
        <n x="116"/>
        <n x="468"/>
      </t>
    </mdx>
    <mdx n="508" f="v">
      <t c="3" si="4">
        <n x="509"/>
        <n x="356"/>
        <n x="466"/>
      </t>
    </mdx>
    <mdx n="508" f="v">
      <t c="3" si="4">
        <n x="509"/>
        <n x="127"/>
        <n x="466"/>
      </t>
    </mdx>
    <mdx n="508" f="v">
      <t c="3" si="4">
        <n x="509"/>
        <n x="412"/>
        <n x="1"/>
      </t>
    </mdx>
    <mdx n="508" f="v">
      <t c="3" si="4">
        <n x="509"/>
        <n x="44"/>
        <n x="1"/>
      </t>
    </mdx>
    <mdx n="508" f="v">
      <t c="3" si="4">
        <n x="509"/>
        <n x="314"/>
        <n x="470"/>
      </t>
    </mdx>
    <mdx n="508" f="v">
      <t c="3" si="4">
        <n x="509"/>
        <n x="434"/>
        <n x="472"/>
      </t>
    </mdx>
    <mdx n="508" f="v">
      <t c="3" si="4">
        <n x="509"/>
        <n x="154"/>
        <n x="1"/>
      </t>
    </mdx>
    <mdx n="508" f="v">
      <t c="3" si="4">
        <n x="509"/>
        <n x="17"/>
        <n x="1"/>
      </t>
    </mdx>
    <mdx n="508" f="v">
      <t c="3" si="4">
        <n x="509"/>
        <n x="396"/>
        <n x="472"/>
      </t>
    </mdx>
    <mdx n="508" f="v">
      <t c="3" si="4">
        <n x="509"/>
        <n x="159"/>
        <n x="469"/>
      </t>
    </mdx>
    <mdx n="508" f="v">
      <t c="3" si="4">
        <n x="509"/>
        <n x="238"/>
        <n x="467"/>
      </t>
    </mdx>
    <mdx n="508" f="v">
      <t c="3" si="4">
        <n x="509"/>
        <n x="242"/>
        <n x="470"/>
      </t>
    </mdx>
    <mdx n="508" f="v">
      <t c="3" si="4">
        <n x="509"/>
        <n x="83"/>
        <n x="469"/>
      </t>
    </mdx>
    <mdx n="508" f="v">
      <t c="3" si="4">
        <n x="509"/>
        <n x="427"/>
        <n x="1"/>
      </t>
    </mdx>
    <mdx n="508" f="v">
      <t c="3" si="4">
        <n x="509"/>
        <n x="265"/>
        <n x="472"/>
      </t>
    </mdx>
    <mdx n="508" f="v">
      <t c="3" si="4">
        <n x="509"/>
        <n x="79"/>
        <n x="466"/>
      </t>
    </mdx>
    <mdx n="508" f="v">
      <t c="3" si="4">
        <n x="509"/>
        <n x="79"/>
        <n x="2"/>
      </t>
    </mdx>
    <mdx n="508" f="v">
      <t c="3" si="4">
        <n x="509"/>
        <n x="370"/>
        <n x="466"/>
      </t>
    </mdx>
    <mdx n="508" f="v">
      <t c="3" si="4">
        <n x="509"/>
        <n x="314"/>
        <n x="469"/>
      </t>
    </mdx>
    <mdx n="508" f="v">
      <t c="3" si="4">
        <n x="509"/>
        <n x="148"/>
        <n x="1"/>
      </t>
    </mdx>
    <mdx n="508" f="v">
      <t c="3" si="4">
        <n x="509"/>
        <n x="226"/>
        <n x="466"/>
      </t>
    </mdx>
    <mdx n="508" f="v">
      <t c="3" si="4">
        <n x="509"/>
        <n x="293"/>
        <n x="468"/>
      </t>
    </mdx>
    <mdx n="508" f="v">
      <t c="3" si="4">
        <n x="509"/>
        <n x="438"/>
        <n x="466"/>
      </t>
    </mdx>
    <mdx n="508" f="v">
      <t c="3" si="4">
        <n x="509"/>
        <n x="232"/>
        <n x="468"/>
      </t>
    </mdx>
    <mdx n="508" f="v">
      <t c="3" si="4">
        <n x="509"/>
        <n x="160"/>
        <n x="467"/>
      </t>
    </mdx>
    <mdx n="508" f="v">
      <t c="3" si="4">
        <n x="509"/>
        <n x="323"/>
        <n x="466"/>
      </t>
    </mdx>
    <mdx n="508" f="v">
      <t c="3" si="4">
        <n x="509"/>
        <n x="378"/>
        <n x="5"/>
      </t>
    </mdx>
    <mdx n="508" f="v">
      <t c="3" si="4">
        <n x="509"/>
        <n x="54"/>
        <n x="472"/>
      </t>
    </mdx>
    <mdx n="508" f="v">
      <t c="3" si="4">
        <n x="509"/>
        <n x="296"/>
        <n x="468"/>
      </t>
    </mdx>
    <mdx n="508" f="v">
      <t c="3" si="4">
        <n x="509"/>
        <n x="400"/>
        <n x="468"/>
      </t>
    </mdx>
    <mdx n="508" f="v">
      <t c="3" si="4">
        <n x="509"/>
        <n x="198"/>
        <n x="476"/>
      </t>
    </mdx>
    <mdx n="508" f="v">
      <t c="3" si="4">
        <n x="509"/>
        <n x="102"/>
        <n x="477"/>
      </t>
    </mdx>
    <mdx n="508" f="v">
      <t c="3" si="4">
        <n x="509"/>
        <n x="63"/>
        <n x="478"/>
      </t>
    </mdx>
    <mdx n="508" f="v">
      <t c="3" si="4">
        <n x="509"/>
        <n x="224"/>
        <n x="468"/>
      </t>
    </mdx>
    <mdx n="508" f="v">
      <t c="3" si="4">
        <n x="509"/>
        <n x="180"/>
        <n x="476"/>
      </t>
    </mdx>
    <mdx n="508" f="v">
      <t c="3" si="4">
        <n x="509"/>
        <n x="293"/>
        <n x="477"/>
      </t>
    </mdx>
    <mdx n="508" f="v">
      <t c="3" si="4">
        <n x="509"/>
        <n x="337"/>
        <n x="468"/>
      </t>
    </mdx>
    <mdx n="508" f="v">
      <t c="3" si="4">
        <n x="509"/>
        <n x="37"/>
        <n x="477"/>
      </t>
    </mdx>
    <mdx n="508" f="v">
      <t c="3" si="4">
        <n x="509"/>
        <n x="449"/>
        <n x="478"/>
      </t>
    </mdx>
    <mdx n="508" f="v">
      <t c="3" si="4">
        <n x="509"/>
        <n x="283"/>
        <n x="468"/>
      </t>
    </mdx>
    <mdx n="508" f="v">
      <t c="3" si="4">
        <n x="509"/>
        <n x="120"/>
        <n x="476"/>
      </t>
    </mdx>
    <mdx n="508" f="v">
      <t c="3" si="4">
        <n x="509"/>
        <n x="126"/>
        <n x="477"/>
      </t>
    </mdx>
    <mdx n="508" f="v">
      <t c="3" si="4">
        <n x="509"/>
        <n x="268"/>
        <n x="478"/>
      </t>
    </mdx>
    <mdx n="508" f="v">
      <t c="3" si="4">
        <n x="509"/>
        <n x="204"/>
        <n x="468"/>
      </t>
    </mdx>
    <mdx n="508" f="v">
      <t c="3" si="4">
        <n x="509"/>
        <n x="307"/>
        <n x="476"/>
      </t>
    </mdx>
    <mdx n="508" f="v">
      <t c="3" si="4">
        <n x="509"/>
        <n x="258"/>
        <n x="478"/>
      </t>
    </mdx>
    <mdx n="508" f="v">
      <t c="3" si="4">
        <n x="509"/>
        <n x="443"/>
        <n x="471"/>
      </t>
    </mdx>
    <mdx n="508" f="v">
      <t c="3" si="4">
        <n x="509"/>
        <n x="43"/>
        <n x="468"/>
      </t>
    </mdx>
    <mdx n="508" f="v">
      <t c="3" si="4">
        <n x="509"/>
        <n x="340"/>
        <n x="476"/>
      </t>
    </mdx>
    <mdx n="508" f="v">
      <t c="3" si="4">
        <n x="509"/>
        <n x="81"/>
        <n x="477"/>
      </t>
    </mdx>
    <mdx n="508" f="v">
      <t c="3" si="4">
        <n x="509"/>
        <n x="140"/>
        <n x="468"/>
      </t>
    </mdx>
    <mdx n="508" f="v">
      <t c="3" si="4">
        <n x="509"/>
        <n x="316"/>
        <n x="476"/>
      </t>
    </mdx>
    <mdx n="508" f="v">
      <t c="3" si="4">
        <n x="509"/>
        <n x="417"/>
        <n x="477"/>
      </t>
    </mdx>
    <mdx n="508" f="v">
      <t c="3" si="4">
        <n x="509"/>
        <n x="337"/>
        <n x="478"/>
      </t>
    </mdx>
    <mdx n="508" f="v">
      <t c="3" si="4">
        <n x="509"/>
        <n x="291"/>
        <n x="478"/>
      </t>
    </mdx>
    <mdx n="508" f="v">
      <t c="3" si="4">
        <n x="509"/>
        <n x="190"/>
        <n x="479"/>
      </t>
    </mdx>
    <mdx n="508" f="v">
      <t c="3" si="4">
        <n x="509"/>
        <n x="246"/>
        <n x="480"/>
      </t>
    </mdx>
    <mdx n="508" f="v">
      <t c="3" si="4">
        <n x="509"/>
        <n x="432"/>
        <n x="481"/>
      </t>
    </mdx>
    <mdx n="508" f="v">
      <t c="3" si="4">
        <n x="509"/>
        <n x="247"/>
        <n x="478"/>
      </t>
    </mdx>
    <mdx n="508" f="v">
      <t c="3" si="4">
        <n x="509"/>
        <n x="21"/>
        <n x="479"/>
      </t>
    </mdx>
    <mdx n="508" f="v">
      <t c="3" si="4">
        <n x="509"/>
        <n x="321"/>
        <n x="480"/>
      </t>
    </mdx>
    <mdx n="508" f="v">
      <t c="3" si="4">
        <n x="509"/>
        <n x="231"/>
        <n x="481"/>
      </t>
    </mdx>
    <mdx n="508" f="v">
      <t c="3" si="4">
        <n x="509"/>
        <n x="274"/>
        <n x="478"/>
      </t>
    </mdx>
    <mdx n="508" f="v">
      <t c="3" si="4">
        <n x="509"/>
        <n x="193"/>
        <n x="479"/>
      </t>
    </mdx>
    <mdx n="508" f="v">
      <t c="3" si="4">
        <n x="509"/>
        <n x="23"/>
        <n x="480"/>
      </t>
    </mdx>
    <mdx n="508" f="v">
      <t c="3" si="4">
        <n x="509"/>
        <n x="143"/>
        <n x="481"/>
      </t>
    </mdx>
    <mdx n="508" f="v">
      <t c="3" si="4">
        <n x="509"/>
        <n x="194"/>
        <n x="471"/>
      </t>
    </mdx>
    <mdx n="508" f="v">
      <t c="3" si="4">
        <n x="509"/>
        <n x="458"/>
        <n x="479"/>
      </t>
    </mdx>
    <mdx n="508" f="v">
      <t c="3" si="4">
        <n x="509"/>
        <n x="238"/>
        <n x="480"/>
      </t>
    </mdx>
    <mdx n="508" f="v">
      <t c="3" si="4">
        <n x="509"/>
        <n x="447"/>
        <n x="481"/>
      </t>
    </mdx>
    <mdx n="508" f="v">
      <t c="3" si="4">
        <n x="509"/>
        <n x="189"/>
        <n x="471"/>
      </t>
    </mdx>
    <mdx n="508" f="v">
      <t c="3" si="4">
        <n x="509"/>
        <n x="87"/>
        <n x="5"/>
      </t>
    </mdx>
    <mdx n="508" f="v">
      <t c="3" si="4">
        <n x="509"/>
        <n x="15"/>
        <n x="466"/>
      </t>
    </mdx>
    <mdx n="508" f="v">
      <t c="3" si="475">
        <n x="509"/>
        <n x="309"/>
        <n x="474"/>
      </t>
    </mdx>
    <mdx n="508" f="v">
      <t c="3" si="4">
        <n x="509"/>
        <n x="111"/>
        <n x="466"/>
      </t>
    </mdx>
    <mdx n="508" f="v">
      <t c="3" si="4">
        <n x="509"/>
        <n x="38"/>
        <n x="466"/>
      </t>
    </mdx>
    <mdx n="508" f="v">
      <t c="3" si="4">
        <n x="509"/>
        <n x="72"/>
        <n x="466"/>
      </t>
    </mdx>
    <mdx n="508" f="v">
      <t c="3" si="4">
        <n x="509"/>
        <n x="6"/>
        <n x="466"/>
      </t>
    </mdx>
    <mdx n="508" f="v">
      <t c="3" si="4">
        <n x="509"/>
        <n x="315"/>
        <n x="476"/>
      </t>
    </mdx>
    <mdx n="508" f="v">
      <t c="3" si="4">
        <n x="509"/>
        <n x="291"/>
        <n x="477"/>
      </t>
    </mdx>
    <mdx n="508" f="v">
      <t c="3" si="4">
        <n x="509"/>
        <n x="69"/>
        <n x="2"/>
      </t>
    </mdx>
    <mdx n="508" f="v">
      <t c="3" si="4">
        <n x="509"/>
        <n x="42"/>
        <n x="466"/>
      </t>
    </mdx>
    <mdx n="508" f="v">
      <t c="3" si="4">
        <n x="509"/>
        <n x="426"/>
        <n x="466"/>
      </t>
    </mdx>
    <mdx n="508" f="v">
      <t c="3" si="4">
        <n x="509"/>
        <n x="105"/>
        <n x="466"/>
      </t>
    </mdx>
    <mdx n="508" f="v">
      <t c="3" si="4">
        <n x="509"/>
        <n x="272"/>
        <n x="1"/>
      </t>
    </mdx>
    <mdx n="508" f="v">
      <t c="3" si="4">
        <n x="509"/>
        <n x="80"/>
        <n x="466"/>
      </t>
    </mdx>
    <mdx n="508" f="v">
      <t c="3" si="4">
        <n x="509"/>
        <n x="130"/>
        <n x="467"/>
      </t>
    </mdx>
    <mdx n="508" f="v">
      <t c="3" si="4">
        <n x="509"/>
        <n x="171"/>
        <n x="1"/>
      </t>
    </mdx>
    <mdx n="508" f="v">
      <t c="3" si="4">
        <n x="509"/>
        <n x="89"/>
        <n x="469"/>
      </t>
    </mdx>
    <mdx n="508" f="v">
      <t c="3" si="4">
        <n x="509"/>
        <n x="9"/>
        <n x="469"/>
      </t>
    </mdx>
    <mdx n="508" f="v">
      <t c="3" si="4">
        <n x="509"/>
        <n x="85"/>
        <n x="467"/>
      </t>
    </mdx>
    <mdx n="508" f="v">
      <t c="3" si="4">
        <n x="509"/>
        <n x="446"/>
        <n x="469"/>
      </t>
    </mdx>
    <mdx n="508" f="v">
      <t c="3" si="4">
        <n x="509"/>
        <n x="250"/>
        <n x="1"/>
      </t>
    </mdx>
    <mdx n="508" f="v">
      <t c="3" si="4">
        <n x="509"/>
        <n x="141"/>
        <n x="466"/>
      </t>
    </mdx>
    <mdx n="508" f="v">
      <t c="3" si="4">
        <n x="509"/>
        <n x="353"/>
        <n x="469"/>
      </t>
    </mdx>
    <mdx n="508" f="v">
      <t c="3" si="4">
        <n x="509"/>
        <n x="355"/>
        <n x="472"/>
      </t>
    </mdx>
    <mdx n="508" f="v">
      <t c="3" si="4">
        <n x="509"/>
        <n x="404"/>
        <n x="5"/>
      </t>
    </mdx>
    <mdx n="508" f="v">
      <t c="3" si="4">
        <n x="509"/>
        <n x="57"/>
        <n x="466"/>
      </t>
    </mdx>
    <mdx n="508" f="v">
      <t c="3" si="4">
        <n x="509"/>
        <n x="341"/>
        <n x="470"/>
      </t>
    </mdx>
    <mdx n="508" f="v">
      <t c="3" si="4">
        <n x="509"/>
        <n x="289"/>
        <n x="5"/>
      </t>
    </mdx>
    <mdx n="508" f="v">
      <t c="3" si="475">
        <n x="509"/>
        <n x="321"/>
        <n x="474"/>
      </t>
    </mdx>
    <mdx n="508" f="v">
      <t c="3" si="4">
        <n x="509"/>
        <n x="76"/>
        <n x="466"/>
      </t>
    </mdx>
    <mdx n="508" f="v">
      <t c="3" si="475">
        <n x="509"/>
        <n x="277"/>
        <n x="474"/>
      </t>
    </mdx>
    <mdx n="508" f="v">
      <t c="3" si="4">
        <n x="509"/>
        <n x="154"/>
        <n x="470"/>
      </t>
    </mdx>
    <mdx n="508" f="v">
      <t c="3" si="4">
        <n x="509"/>
        <n x="372"/>
        <n x="470"/>
      </t>
    </mdx>
    <mdx n="508" f="v">
      <t c="3" si="475">
        <n x="509"/>
        <n x="264"/>
        <n x="474"/>
      </t>
    </mdx>
    <mdx n="508" f="v">
      <t c="3" si="4">
        <n x="509"/>
        <n x="363"/>
        <n x="469"/>
      </t>
    </mdx>
    <mdx n="508" f="v">
      <t c="3" si="4">
        <n x="509"/>
        <n x="220"/>
        <n x="2"/>
      </t>
    </mdx>
    <mdx n="508" f="v">
      <t c="3" si="4">
        <n x="509"/>
        <n x="456"/>
        <n x="473"/>
      </t>
    </mdx>
    <mdx n="508" f="v">
      <t c="3" si="4">
        <n x="509"/>
        <n x="181"/>
        <n x="1"/>
      </t>
    </mdx>
    <mdx n="508" f="v">
      <t c="3" si="4">
        <n x="509"/>
        <n x="117"/>
        <n x="473"/>
      </t>
    </mdx>
    <mdx n="508" f="v">
      <t c="3" si="4">
        <n x="509"/>
        <n x="443"/>
        <n x="470"/>
      </t>
    </mdx>
    <mdx n="508" f="v">
      <t c="3" si="4">
        <n x="509"/>
        <n x="383"/>
        <n x="470"/>
      </t>
    </mdx>
    <mdx n="508" f="v">
      <t c="3" si="4">
        <n x="509"/>
        <n x="70"/>
        <n x="5"/>
      </t>
    </mdx>
    <mdx n="508" f="v">
      <t c="3" si="4">
        <n x="509"/>
        <n x="437"/>
        <n x="469"/>
      </t>
    </mdx>
    <mdx n="508" f="v">
      <t c="3" si="4">
        <n x="509"/>
        <n x="268"/>
        <n x="473"/>
      </t>
    </mdx>
    <mdx n="508" f="v">
      <t c="3" si="4">
        <n x="509"/>
        <n x="335"/>
        <n x="5"/>
      </t>
    </mdx>
    <mdx n="508" f="v">
      <t c="3" si="4">
        <n x="509"/>
        <n x="91"/>
        <n x="466"/>
      </t>
    </mdx>
    <mdx n="508" f="v">
      <t c="3" si="475">
        <n x="509"/>
        <n x="363"/>
        <n x="474"/>
      </t>
    </mdx>
    <mdx n="508" f="v">
      <t c="3" si="4">
        <n x="509"/>
        <n x="60"/>
        <n x="5"/>
      </t>
    </mdx>
    <mdx n="508" f="v">
      <t c="3" si="4">
        <n x="509"/>
        <n x="386"/>
        <n x="466"/>
      </t>
    </mdx>
    <mdx n="508" f="v">
      <t c="3" si="475">
        <n x="509"/>
        <n x="204"/>
        <n x="474"/>
      </t>
    </mdx>
    <mdx n="508" f="v">
      <t c="3" si="4">
        <n x="509"/>
        <n x="61"/>
        <n x="466"/>
      </t>
    </mdx>
    <mdx n="508" f="v">
      <t c="3" si="4">
        <n x="509"/>
        <n x="129"/>
        <n x="5"/>
      </t>
    </mdx>
    <mdx n="508" f="v">
      <t c="3" si="4">
        <n x="509"/>
        <n x="344"/>
        <n x="466"/>
      </t>
    </mdx>
    <mdx n="508" f="v">
      <t c="3" si="4">
        <n x="509"/>
        <n x="295"/>
        <n x="466"/>
      </t>
    </mdx>
    <mdx n="508" f="v">
      <t c="3" si="475">
        <n x="509"/>
        <n x="153"/>
        <n x="474"/>
      </t>
    </mdx>
    <mdx n="508" f="v">
      <t c="3" si="4">
        <n x="509"/>
        <n x="289"/>
        <n x="469"/>
      </t>
    </mdx>
    <mdx n="508" f="v">
      <t c="3" si="4">
        <n x="509"/>
        <n x="444"/>
        <n x="1"/>
      </t>
    </mdx>
    <mdx n="508" f="v">
      <t c="3" si="4">
        <n x="509"/>
        <n x="312"/>
        <n x="1"/>
      </t>
    </mdx>
    <mdx n="508" f="v">
      <t c="3" si="4">
        <n x="509"/>
        <n x="450"/>
        <n x="470"/>
      </t>
    </mdx>
    <mdx n="508" f="v">
      <t c="3" si="4">
        <n x="509"/>
        <n x="245"/>
        <n x="469"/>
      </t>
    </mdx>
    <mdx n="508" f="v">
      <t c="3" si="4">
        <n x="509"/>
        <n x="383"/>
        <n x="469"/>
      </t>
    </mdx>
    <mdx n="508" f="v">
      <t c="3" si="4">
        <n x="509"/>
        <n x="270"/>
        <n x="472"/>
      </t>
    </mdx>
    <mdx n="508" f="v">
      <t c="3" si="4">
        <n x="509"/>
        <n x="238"/>
        <n x="472"/>
      </t>
    </mdx>
    <mdx n="508" f="v">
      <t c="3" si="4">
        <n x="509"/>
        <n x="363"/>
        <n x="5"/>
      </t>
    </mdx>
    <mdx n="508" f="v">
      <t c="3" si="4">
        <n x="509"/>
        <n x="375"/>
        <n x="469"/>
      </t>
    </mdx>
    <mdx n="508" f="v">
      <t c="3" si="4">
        <n x="509"/>
        <n x="101"/>
        <n x="1"/>
      </t>
    </mdx>
    <mdx n="508" f="v">
      <t c="3" si="4">
        <n x="509"/>
        <n x="407"/>
        <n x="466"/>
      </t>
    </mdx>
    <mdx n="508" f="v">
      <t c="3" si="4">
        <n x="509"/>
        <n x="403"/>
        <n x="466"/>
      </t>
    </mdx>
    <mdx n="508" f="v">
      <t c="3" si="4">
        <n x="509"/>
        <n x="321"/>
        <n x="470"/>
      </t>
    </mdx>
    <mdx n="508" f="v">
      <t c="3" si="4">
        <n x="509"/>
        <n x="382"/>
        <n x="466"/>
      </t>
    </mdx>
    <mdx n="508" f="v">
      <t c="3" si="475">
        <n x="509"/>
        <n x="78"/>
        <n x="474"/>
      </t>
    </mdx>
    <mdx n="508" f="v">
      <t c="3" si="4">
        <n x="509"/>
        <n x="80"/>
        <n x="467"/>
      </t>
    </mdx>
    <mdx n="508" f="v">
      <t c="3" si="475">
        <n x="509"/>
        <n x="242"/>
        <n x="474"/>
      </t>
    </mdx>
    <mdx n="508" f="v">
      <t c="3" si="4">
        <n x="509"/>
        <n x="8"/>
        <n x="469"/>
      </t>
    </mdx>
    <mdx n="508" f="v">
      <t c="3" si="4">
        <n x="509"/>
        <n x="170"/>
        <n x="473"/>
      </t>
    </mdx>
    <mdx n="508" f="v">
      <t c="3" si="4">
        <n x="509"/>
        <n x="175"/>
        <n x="467"/>
      </t>
    </mdx>
    <mdx n="508" f="v">
      <t c="3" si="475">
        <n x="509"/>
        <n x="348"/>
        <n x="474"/>
      </t>
    </mdx>
    <mdx n="508" f="v">
      <t c="3" si="4">
        <n x="509"/>
        <n x="432"/>
        <n x="470"/>
      </t>
    </mdx>
    <mdx n="508" f="v">
      <t c="3" si="4">
        <n x="509"/>
        <n x="218"/>
        <n x="470"/>
      </t>
    </mdx>
    <mdx n="508" f="v">
      <t c="3" si="4">
        <n x="509"/>
        <n x="152"/>
        <n x="467"/>
      </t>
    </mdx>
    <mdx n="508" f="v">
      <t c="3" si="4">
        <n x="509"/>
        <n x="259"/>
        <n x="467"/>
      </t>
    </mdx>
    <mdx n="508" f="v">
      <t c="3" si="4">
        <n x="509"/>
        <n x="461"/>
        <n x="466"/>
      </t>
    </mdx>
    <mdx n="508" f="v">
      <t c="3" si="4">
        <n x="509"/>
        <n x="50"/>
        <n x="1"/>
      </t>
    </mdx>
    <mdx n="508" f="v">
      <t c="3" si="4">
        <n x="509"/>
        <n x="377"/>
        <n x="466"/>
      </t>
    </mdx>
    <mdx n="508" f="v">
      <t c="3" si="4">
        <n x="509"/>
        <n x="417"/>
        <n x="5"/>
      </t>
    </mdx>
    <mdx n="508" f="v">
      <t c="3" si="4">
        <n x="509"/>
        <n x="305"/>
        <n x="466"/>
      </t>
    </mdx>
    <mdx n="508" f="v">
      <t c="3" si="4">
        <n x="509"/>
        <n x="396"/>
        <n x="466"/>
      </t>
    </mdx>
    <mdx n="508" f="v">
      <t c="3" si="4">
        <n x="509"/>
        <n x="443"/>
        <n x="469"/>
      </t>
    </mdx>
    <mdx n="508" f="v">
      <t c="3" si="4">
        <n x="509"/>
        <n x="423"/>
        <n x="466"/>
      </t>
    </mdx>
    <mdx n="508" f="v">
      <t c="3" si="4">
        <n x="509"/>
        <n x="351"/>
        <n x="466"/>
      </t>
    </mdx>
    <mdx n="508" f="v">
      <t c="3" si="4">
        <n x="509"/>
        <n x="10"/>
        <n x="5"/>
      </t>
    </mdx>
    <mdx n="508" f="v">
      <t c="3" si="4">
        <n x="509"/>
        <n x="110"/>
        <n x="466"/>
      </t>
    </mdx>
    <mdx n="508" f="v">
      <t c="3" si="4">
        <n x="509"/>
        <n x="381"/>
        <n x="1"/>
      </t>
    </mdx>
    <mdx n="508" f="v">
      <t c="3" si="4">
        <n x="509"/>
        <n x="293"/>
        <n x="466"/>
      </t>
    </mdx>
    <mdx n="508" f="v">
      <t c="3" si="4">
        <n x="509"/>
        <n x="365"/>
        <n x="469"/>
      </t>
    </mdx>
    <mdx n="508" f="v">
      <t c="3" si="475">
        <n x="509"/>
        <n x="374"/>
        <n x="474"/>
      </t>
    </mdx>
    <mdx n="508" f="v">
      <t c="3" si="4">
        <n x="509"/>
        <n x="227"/>
        <n x="473"/>
      </t>
    </mdx>
    <mdx n="508" f="v">
      <t c="3" si="475">
        <n x="509"/>
        <n x="293"/>
        <n x="474"/>
      </t>
    </mdx>
    <mdx n="508" f="v">
      <t c="3" si="4">
        <n x="509"/>
        <n x="330"/>
        <n x="5"/>
      </t>
    </mdx>
    <mdx n="508" f="v">
      <t c="3" si="4">
        <n x="509"/>
        <n x="459"/>
        <n x="470"/>
      </t>
    </mdx>
    <mdx n="508" f="v">
      <t c="3" si="475">
        <n x="509"/>
        <n x="384"/>
        <n x="474"/>
      </t>
    </mdx>
    <mdx n="508" f="v">
      <t c="3" si="4">
        <n x="509"/>
        <n x="353"/>
        <n x="5"/>
      </t>
    </mdx>
    <mdx n="508" f="v">
      <t c="3" si="4">
        <n x="509"/>
        <n x="37"/>
        <n x="468"/>
      </t>
    </mdx>
    <mdx n="508" f="v">
      <t c="3" si="4">
        <n x="509"/>
        <n x="318"/>
        <n x="466"/>
      </t>
    </mdx>
    <mdx n="508" f="v">
      <t c="3" si="4">
        <n x="509"/>
        <n x="255"/>
        <n x="466"/>
      </t>
    </mdx>
    <mdx n="508" f="v">
      <t c="3" si="4">
        <n x="509"/>
        <n x="384"/>
        <n x="1"/>
      </t>
    </mdx>
    <mdx n="508" f="v">
      <t c="3" si="4">
        <n x="509"/>
        <n x="177"/>
        <n x="473"/>
      </t>
    </mdx>
    <mdx n="508" f="v">
      <t c="3" si="4">
        <n x="509"/>
        <n x="123"/>
        <n x="466"/>
      </t>
    </mdx>
    <mdx n="508" f="v">
      <t c="3" si="4">
        <n x="509"/>
        <n x="122"/>
        <n x="470"/>
      </t>
    </mdx>
    <mdx n="508" f="v">
      <t c="3" si="4">
        <n x="509"/>
        <n x="70"/>
        <n x="473"/>
      </t>
    </mdx>
    <mdx n="508" f="v">
      <t c="3" si="4">
        <n x="509"/>
        <n x="14"/>
        <n x="469"/>
      </t>
    </mdx>
    <mdx n="508" f="v">
      <t c="3" si="4">
        <n x="509"/>
        <n x="195"/>
        <n x="472"/>
      </t>
    </mdx>
    <mdx n="508" f="v">
      <t c="3" si="4">
        <n x="509"/>
        <n x="309"/>
        <n x="472"/>
      </t>
    </mdx>
    <mdx n="508" f="v">
      <t c="3" si="4">
        <n x="509"/>
        <n x="176"/>
        <n x="1"/>
      </t>
    </mdx>
    <mdx n="508" f="v">
      <t c="3" si="4">
        <n x="509"/>
        <n x="224"/>
        <n x="470"/>
      </t>
    </mdx>
    <mdx n="508" f="v">
      <t c="3" si="4">
        <n x="509"/>
        <n x="248"/>
        <n x="472"/>
      </t>
    </mdx>
    <mdx n="508" f="v">
      <t c="3" si="4">
        <n x="509"/>
        <n x="171"/>
        <n x="2"/>
      </t>
    </mdx>
    <mdx n="508" f="v">
      <t c="3" si="4">
        <n x="509"/>
        <n x="145"/>
        <n x="5"/>
      </t>
    </mdx>
    <mdx n="508" f="v">
      <t c="3" si="4">
        <n x="509"/>
        <n x="346"/>
        <n x="466"/>
      </t>
    </mdx>
    <mdx n="508" f="v">
      <t c="3" si="4">
        <n x="509"/>
        <n x="24"/>
        <n x="5"/>
      </t>
    </mdx>
    <mdx n="508" f="v">
      <t c="3" si="4">
        <n x="509"/>
        <n x="385"/>
        <n x="466"/>
      </t>
    </mdx>
    <mdx n="508" f="v">
      <t c="3" si="4">
        <n x="509"/>
        <n x="391"/>
        <n x="466"/>
      </t>
    </mdx>
    <mdx n="508" f="v">
      <t c="3" si="4">
        <n x="509"/>
        <n x="243"/>
        <n x="468"/>
      </t>
    </mdx>
    <mdx n="508" f="v">
      <t c="3" si="4">
        <n x="509"/>
        <n x="238"/>
        <n x="466"/>
      </t>
    </mdx>
    <mdx n="508" f="v">
      <t c="3" si="475">
        <n x="509"/>
        <n x="127"/>
        <n x="474"/>
      </t>
    </mdx>
    <mdx n="508" f="v">
      <t c="3" si="4">
        <n x="509"/>
        <n x="175"/>
        <n x="466"/>
      </t>
    </mdx>
    <mdx n="508" f="v">
      <t c="3" si="4">
        <n x="509"/>
        <n x="102"/>
        <n x="466"/>
      </t>
    </mdx>
    <mdx n="508" f="v">
      <t c="3" si="475">
        <n x="509"/>
        <n x="60"/>
        <n x="474"/>
      </t>
    </mdx>
    <mdx n="508" f="v">
      <t c="3" si="4">
        <n x="509"/>
        <n x="445"/>
        <n x="473"/>
      </t>
    </mdx>
    <mdx n="508" f="v">
      <t c="3" si="4">
        <n x="509"/>
        <n x="262"/>
        <n x="470"/>
      </t>
    </mdx>
    <mdx n="508" f="v">
      <t c="3" si="4">
        <n x="509"/>
        <n x="291"/>
        <n x="469"/>
      </t>
    </mdx>
    <mdx n="508" f="v">
      <t c="3" si="475">
        <n x="509"/>
        <n x="417"/>
        <n x="474"/>
      </t>
    </mdx>
    <mdx n="508" f="v">
      <t c="3" si="4">
        <n x="509"/>
        <n x="384"/>
        <n x="470"/>
      </t>
    </mdx>
    <mdx n="508" f="v">
      <t c="3" si="4">
        <n x="509"/>
        <n x="409"/>
        <n x="473"/>
      </t>
    </mdx>
    <mdx n="508" f="v">
      <t c="3" si="4">
        <n x="509"/>
        <n x="145"/>
        <n x="469"/>
      </t>
    </mdx>
    <mdx n="508" f="v">
      <t c="3" si="4">
        <n x="509"/>
        <n x="111"/>
        <n x="1"/>
      </t>
    </mdx>
    <mdx n="508" f="v">
      <t c="3" si="4">
        <n x="509"/>
        <n x="187"/>
        <n x="473"/>
      </t>
    </mdx>
    <mdx n="508" f="v">
      <t c="3" si="4">
        <n x="509"/>
        <n x="301"/>
        <n x="1"/>
      </t>
    </mdx>
    <mdx n="508" f="v">
      <t c="3" si="4">
        <n x="509"/>
        <n x="27"/>
        <n x="466"/>
      </t>
    </mdx>
    <mdx n="508" f="v">
      <t c="3" si="4">
        <n x="509"/>
        <n x="245"/>
        <n x="5"/>
      </t>
    </mdx>
    <mdx n="508" f="v">
      <t c="3" si="4">
        <n x="509"/>
        <n x="250"/>
        <n x="466"/>
      </t>
    </mdx>
    <mdx n="508" f="v">
      <t c="3" si="4">
        <n x="509"/>
        <n x="464"/>
        <n x="468"/>
      </t>
    </mdx>
    <mdx n="508" f="v">
      <t c="3" si="4">
        <n x="509"/>
        <n x="109"/>
        <n x="469"/>
      </t>
    </mdx>
    <mdx n="508" f="v">
      <t c="3" si="4">
        <n x="509"/>
        <n x="113"/>
        <n x="5"/>
      </t>
    </mdx>
    <mdx n="508" f="v">
      <t c="3" si="4">
        <n x="509"/>
        <n x="405"/>
        <n x="473"/>
      </t>
    </mdx>
    <mdx n="508" f="v">
      <t c="3" si="4">
        <n x="509"/>
        <n x="385"/>
        <n x="470"/>
      </t>
    </mdx>
    <mdx n="508" f="v">
      <t c="3" si="4">
        <n x="509"/>
        <n x="261"/>
        <n x="2"/>
      </t>
    </mdx>
    <mdx n="508" f="v">
      <t c="3" si="4">
        <n x="509"/>
        <n x="33"/>
        <n x="467"/>
      </t>
    </mdx>
    <mdx n="508" f="v">
      <t c="3" si="4">
        <n x="509"/>
        <n x="104"/>
        <n x="473"/>
      </t>
    </mdx>
    <mdx n="508" f="v">
      <t c="3" si="4">
        <n x="509"/>
        <n x="89"/>
        <n x="467"/>
      </t>
    </mdx>
    <mdx n="508" f="v">
      <t c="3" si="4">
        <n x="509"/>
        <n x="96"/>
        <n x="470"/>
      </t>
    </mdx>
    <mdx n="508" f="v">
      <t c="3" si="4">
        <n x="509"/>
        <n x="134"/>
        <n x="467"/>
      </t>
    </mdx>
    <mdx n="508" f="v">
      <t c="3" si="4">
        <n x="509"/>
        <n x="259"/>
        <n x="470"/>
      </t>
    </mdx>
    <mdx n="508" f="v">
      <t c="3" si="475">
        <n x="509"/>
        <n x="349"/>
        <n x="474"/>
      </t>
    </mdx>
    <mdx n="508" f="v">
      <t c="3" si="4">
        <n x="509"/>
        <n x="201"/>
        <n x="469"/>
      </t>
    </mdx>
    <mdx n="508" f="v">
      <t c="3" si="4">
        <n x="509"/>
        <n x="261"/>
        <n x="468"/>
      </t>
    </mdx>
    <mdx n="508" f="v">
      <t c="3" si="475">
        <n x="509"/>
        <n x="369"/>
        <n x="474"/>
      </t>
    </mdx>
    <mdx n="508" f="v">
      <t c="3" si="4">
        <n x="509"/>
        <n x="325"/>
        <n x="5"/>
      </t>
    </mdx>
    <mdx n="508" f="v">
      <t c="3" si="4">
        <n x="509"/>
        <n x="232"/>
        <n x="466"/>
      </t>
    </mdx>
    <mdx n="508" f="v">
      <t c="3" si="4">
        <n x="509"/>
        <n x="239"/>
        <n x="470"/>
      </t>
    </mdx>
    <mdx n="508" f="v">
      <t c="3" si="4">
        <n x="509"/>
        <n x="122"/>
        <n x="5"/>
      </t>
    </mdx>
    <mdx n="508" f="v">
      <t c="3" si="4">
        <n x="509"/>
        <n x="323"/>
        <n x="1"/>
      </t>
    </mdx>
    <mdx n="508" f="v">
      <t c="3" si="4">
        <n x="509"/>
        <n x="443"/>
        <n x="466"/>
      </t>
    </mdx>
    <mdx n="508" f="v">
      <t c="3" si="4">
        <n x="509"/>
        <n x="128"/>
        <n x="5"/>
      </t>
    </mdx>
    <mdx n="508" f="v">
      <t c="3" si="4">
        <n x="509"/>
        <n x="51"/>
        <n x="466"/>
      </t>
    </mdx>
    <mdx n="508" f="v">
      <t c="3" si="4">
        <n x="509"/>
        <n x="293"/>
        <n x="472"/>
      </t>
    </mdx>
    <mdx n="508" f="v">
      <t c="3" si="4">
        <n x="509"/>
        <n x="329"/>
        <n x="472"/>
      </t>
    </mdx>
    <mdx n="508" f="v">
      <t c="3" si="4">
        <n x="509"/>
        <n x="83"/>
        <n x="466"/>
      </t>
    </mdx>
    <mdx n="508" f="v">
      <t c="3" si="4">
        <n x="509"/>
        <n x="189"/>
        <n x="466"/>
      </t>
    </mdx>
    <mdx n="508" f="v">
      <t c="3" si="4">
        <n x="509"/>
        <n x="452"/>
        <n x="5"/>
      </t>
    </mdx>
    <mdx n="508" f="v">
      <t c="3" si="4">
        <n x="509"/>
        <n x="173"/>
        <n x="466"/>
      </t>
    </mdx>
    <mdx n="508" f="v">
      <t c="3" si="4">
        <n x="509"/>
        <n x="379"/>
        <n x="1"/>
      </t>
    </mdx>
    <mdx n="508" f="v">
      <t c="3" si="4">
        <n x="509"/>
        <n x="364"/>
        <n x="468"/>
      </t>
    </mdx>
    <mdx n="508" f="v">
      <t c="3" si="4">
        <n x="509"/>
        <n x="420"/>
        <n x="2"/>
      </t>
    </mdx>
    <mdx n="508" f="v">
      <t c="3" si="4">
        <n x="509"/>
        <n x="179"/>
        <n x="469"/>
      </t>
    </mdx>
    <mdx n="508" f="v">
      <t c="3" si="475">
        <n x="509"/>
        <n x="103"/>
        <n x="474"/>
      </t>
    </mdx>
    <mdx n="508" f="v">
      <t c="3" si="4">
        <n x="509"/>
        <n x="290"/>
        <n x="5"/>
      </t>
    </mdx>
    <mdx n="508" f="v">
      <t c="3" si="4">
        <n x="509"/>
        <n x="399"/>
        <n x="472"/>
      </t>
    </mdx>
    <mdx n="508" f="v">
      <t c="3" si="4">
        <n x="509"/>
        <n x="150"/>
        <n x="467"/>
      </t>
    </mdx>
    <mdx n="508" f="v">
      <t c="3" si="4">
        <n x="509"/>
        <n x="298"/>
        <n x="472"/>
      </t>
    </mdx>
    <mdx n="508" f="v">
      <t c="3" si="4">
        <n x="509"/>
        <n x="255"/>
        <n x="470"/>
      </t>
    </mdx>
    <mdx n="508" f="v">
      <t c="3" si="4">
        <n x="509"/>
        <n x="178"/>
        <n x="1"/>
      </t>
    </mdx>
    <mdx n="508" f="v">
      <t c="3" si="4">
        <n x="509"/>
        <n x="377"/>
        <n x="472"/>
      </t>
    </mdx>
    <mdx n="508" f="v">
      <t c="3" si="475">
        <n x="509"/>
        <n x="164"/>
        <n x="474"/>
      </t>
    </mdx>
    <mdx n="508" f="v">
      <t c="3" si="4">
        <n x="509"/>
        <n x="228"/>
        <n x="472"/>
      </t>
    </mdx>
    <mdx n="508" f="v">
      <t c="3" si="475">
        <n x="509"/>
        <n x="75"/>
        <n x="474"/>
      </t>
    </mdx>
    <mdx n="508" f="v">
      <t c="3" si="4">
        <n x="509"/>
        <n x="108"/>
        <n x="466"/>
      </t>
    </mdx>
    <mdx n="508" f="v">
      <t c="3" si="4">
        <n x="509"/>
        <n x="249"/>
        <n x="469"/>
      </t>
    </mdx>
    <mdx n="508" f="v">
      <t c="3" si="4">
        <n x="509"/>
        <n x="359"/>
        <n x="466"/>
      </t>
    </mdx>
    <mdx n="508" f="v">
      <t c="3" si="4">
        <n x="509"/>
        <n x="62"/>
        <n x="466"/>
      </t>
    </mdx>
    <mdx n="508" f="v">
      <t c="3" si="4">
        <n x="509"/>
        <n x="79"/>
        <n x="5"/>
      </t>
    </mdx>
    <mdx n="508" f="v">
      <t c="3" si="475">
        <n x="509"/>
        <n x="396"/>
        <n x="474"/>
      </t>
    </mdx>
    <mdx n="508" f="v">
      <t c="3" si="475">
        <n x="509"/>
        <n x="392"/>
        <n x="474"/>
      </t>
    </mdx>
    <mdx n="508" f="v">
      <t c="3" si="4">
        <n x="509"/>
        <n x="439"/>
        <n x="473"/>
      </t>
    </mdx>
    <mdx n="508" f="v">
      <t c="3" si="4">
        <n x="509"/>
        <n x="258"/>
        <n x="467"/>
      </t>
    </mdx>
    <mdx n="508" f="v">
      <t c="3" si="4">
        <n x="509"/>
        <n x="141"/>
        <n x="5"/>
      </t>
    </mdx>
    <mdx n="508" f="v">
      <t c="3" si="4">
        <n x="509"/>
        <n x="443"/>
        <n x="1"/>
      </t>
    </mdx>
    <mdx n="508" f="v">
      <t c="3" si="4">
        <n x="509"/>
        <n x="250"/>
        <n x="473"/>
      </t>
    </mdx>
    <mdx n="508" f="v">
      <t c="3" si="475">
        <n x="509"/>
        <n x="235"/>
        <n x="474"/>
      </t>
    </mdx>
    <mdx n="508" f="v">
      <t c="3" si="4">
        <n x="509"/>
        <n x="246"/>
        <n x="473"/>
      </t>
    </mdx>
    <mdx n="508" f="v">
      <t c="3" si="4">
        <n x="509"/>
        <n x="350"/>
        <n x="470"/>
      </t>
    </mdx>
    <mdx n="508" f="v">
      <t c="3" si="4">
        <n x="509"/>
        <n x="247"/>
        <n x="473"/>
      </t>
    </mdx>
    <mdx n="508" f="v">
      <t c="3" si="4">
        <n x="509"/>
        <n x="407"/>
        <n x="467"/>
      </t>
    </mdx>
    <mdx n="508" f="v">
      <t c="3" si="475">
        <n x="509"/>
        <n x="359"/>
        <n x="474"/>
      </t>
    </mdx>
    <mdx n="508" f="v">
      <t c="3" si="4">
        <n x="509"/>
        <n x="221"/>
        <n x="469"/>
      </t>
    </mdx>
    <mdx n="508" f="v">
      <t c="3" si="4">
        <n x="509"/>
        <n x="238"/>
        <n x="470"/>
      </t>
    </mdx>
    <mdx n="508" f="v">
      <t c="3" si="475">
        <n x="509"/>
        <n x="14"/>
        <n x="474"/>
      </t>
    </mdx>
    <mdx n="508" f="v">
      <t c="3" si="4">
        <n x="509"/>
        <n x="255"/>
        <n x="2"/>
      </t>
    </mdx>
    <mdx n="508" f="v">
      <t c="3" si="4">
        <n x="509"/>
        <n x="9"/>
        <n x="466"/>
      </t>
    </mdx>
    <mdx n="508" f="v">
      <t c="3" si="4">
        <n x="509"/>
        <n x="254"/>
        <n x="5"/>
      </t>
    </mdx>
    <mdx n="508" f="v">
      <t c="3" si="4">
        <n x="509"/>
        <n x="133"/>
        <n x="470"/>
      </t>
    </mdx>
    <mdx n="508" f="v">
      <t c="3" si="4">
        <n x="509"/>
        <n x="28"/>
        <n x="466"/>
      </t>
    </mdx>
    <mdx n="508" f="v">
      <t c="3" si="4">
        <n x="509"/>
        <n x="454"/>
        <n x="466"/>
      </t>
    </mdx>
    <mdx n="508" f="v">
      <t c="3" si="4">
        <n x="509"/>
        <n x="226"/>
        <n x="2"/>
      </t>
    </mdx>
    <mdx n="508" f="v">
      <t c="3" si="4">
        <n x="509"/>
        <n x="455"/>
        <n x="466"/>
      </t>
    </mdx>
    <mdx n="508" f="v">
      <t c="3" si="4">
        <n x="509"/>
        <n x="165"/>
        <n x="466"/>
      </t>
    </mdx>
    <mdx n="508" f="v">
      <t c="3" si="4">
        <n x="509"/>
        <n x="65"/>
        <n x="1"/>
      </t>
    </mdx>
    <mdx n="508" f="v">
      <t c="3" si="4">
        <n x="509"/>
        <n x="426"/>
        <n x="470"/>
      </t>
    </mdx>
    <mdx n="508" f="v">
      <t c="3" si="4">
        <n x="509"/>
        <n x="319"/>
        <n x="472"/>
      </t>
    </mdx>
    <mdx n="508" f="v">
      <t c="3" si="4">
        <n x="509"/>
        <n x="107"/>
        <n x="469"/>
      </t>
    </mdx>
    <mdx n="508" f="v">
      <t c="3" si="4">
        <n x="509"/>
        <n x="290"/>
        <n x="472"/>
      </t>
    </mdx>
    <mdx n="508" f="v">
      <t c="3" si="4">
        <n x="509"/>
        <n x="176"/>
        <n x="469"/>
      </t>
    </mdx>
    <mdx n="508" f="v">
      <t c="3" si="4">
        <n x="509"/>
        <n x="424"/>
        <n x="470"/>
      </t>
    </mdx>
    <mdx n="508" f="v">
      <t c="3" si="4">
        <n x="509"/>
        <n x="165"/>
        <n x="5"/>
      </t>
    </mdx>
    <mdx n="508" f="v">
      <t c="3" si="4">
        <n x="509"/>
        <n x="457"/>
        <n x="466"/>
      </t>
    </mdx>
    <mdx n="508" f="v">
      <t c="3" si="4">
        <n x="509"/>
        <n x="177"/>
        <n x="5"/>
      </t>
    </mdx>
    <mdx n="508" f="v">
      <t c="3" si="4">
        <n x="509"/>
        <n x="321"/>
        <n x="466"/>
      </t>
    </mdx>
    <mdx n="508" f="v">
      <t c="3" si="4">
        <n x="509"/>
        <n x="286"/>
        <n x="466"/>
      </t>
    </mdx>
    <mdx n="508" f="v">
      <t c="3" si="4">
        <n x="509"/>
        <n x="110"/>
        <n x="468"/>
      </t>
    </mdx>
    <mdx n="508" f="v">
      <t c="3" si="4">
        <n x="509"/>
        <n x="404"/>
        <n x="466"/>
      </t>
    </mdx>
    <mdx n="508" f="v">
      <t c="3" si="4">
        <n x="509"/>
        <n x="349"/>
        <n x="467"/>
      </t>
    </mdx>
    <mdx n="508" f="v">
      <t c="3" si="4">
        <n x="509"/>
        <n x="21"/>
        <n x="472"/>
      </t>
    </mdx>
    <mdx n="508" f="v">
      <t c="3" si="475">
        <n x="509"/>
        <n x="21"/>
        <n x="474"/>
      </t>
    </mdx>
    <mdx n="508" f="v">
      <t c="3" si="4">
        <n x="509"/>
        <n x="269"/>
        <n x="469"/>
      </t>
    </mdx>
    <mdx n="508" f="v">
      <t c="3" si="4">
        <n x="509"/>
        <n x="28"/>
        <n x="467"/>
      </t>
    </mdx>
    <mdx n="508" f="v">
      <t c="3" si="4">
        <n x="509"/>
        <n x="311"/>
        <n x="469"/>
      </t>
    </mdx>
    <mdx n="508" f="v">
      <t c="3" si="4">
        <n x="509"/>
        <n x="242"/>
        <n x="473"/>
      </t>
    </mdx>
    <mdx n="508" f="v">
      <t c="3" si="4">
        <n x="509"/>
        <n x="409"/>
        <n x="472"/>
      </t>
    </mdx>
    <mdx n="508" f="v">
      <t c="3" si="4">
        <n x="509"/>
        <n x="98"/>
        <n x="470"/>
      </t>
    </mdx>
    <mdx n="508" f="v">
      <t c="3" si="4">
        <n x="509"/>
        <n x="339"/>
        <n x="470"/>
      </t>
    </mdx>
    <mdx n="508" f="v">
      <t c="3" si="4">
        <n x="509"/>
        <n x="136"/>
        <n x="2"/>
      </t>
    </mdx>
    <mdx n="508" f="v">
      <t c="3" si="4">
        <n x="509"/>
        <n x="373"/>
        <n x="469"/>
      </t>
    </mdx>
    <mdx n="508" f="v">
      <t c="3" si="4">
        <n x="509"/>
        <n x="304"/>
        <n x="472"/>
      </t>
    </mdx>
    <mdx n="508" f="v">
      <t c="3" si="4">
        <n x="509"/>
        <n x="385"/>
        <n x="467"/>
      </t>
    </mdx>
    <mdx n="508" f="v">
      <t c="3" si="4">
        <n x="509"/>
        <n x="301"/>
        <n x="467"/>
      </t>
    </mdx>
    <mdx n="508" f="v">
      <t c="3" si="4">
        <n x="509"/>
        <n x="428"/>
        <n x="466"/>
      </t>
    </mdx>
    <mdx n="508" f="v">
      <t c="3" si="4">
        <n x="509"/>
        <n x="309"/>
        <n x="468"/>
      </t>
    </mdx>
    <mdx n="508" f="v">
      <t c="3" si="4">
        <n x="509"/>
        <n x="292"/>
        <n x="466"/>
      </t>
    </mdx>
    <mdx n="508" f="v">
      <t c="3" si="4">
        <n x="509"/>
        <n x="63"/>
        <n x="466"/>
      </t>
    </mdx>
    <mdx n="508" f="v">
      <t c="3" si="4">
        <n x="509"/>
        <n x="431"/>
        <n x="1"/>
      </t>
    </mdx>
    <mdx n="508" f="v">
      <t c="3" si="4">
        <n x="509"/>
        <n x="379"/>
        <n x="5"/>
      </t>
    </mdx>
    <mdx n="508" f="v">
      <t c="3" si="4">
        <n x="509"/>
        <n x="338"/>
        <n x="466"/>
      </t>
    </mdx>
    <mdx n="508" f="v">
      <t c="3" si="4">
        <n x="509"/>
        <n x="76"/>
        <n x="5"/>
      </t>
    </mdx>
    <mdx n="508" f="v">
      <t c="3" si="4">
        <n x="509"/>
        <n x="274"/>
        <n x="466"/>
      </t>
    </mdx>
    <mdx n="508" f="v">
      <t c="3" si="4">
        <n x="509"/>
        <n x="424"/>
        <n x="466"/>
      </t>
    </mdx>
    <mdx n="508" f="v">
      <t c="3" si="4">
        <n x="509"/>
        <n x="423"/>
        <n x="468"/>
      </t>
    </mdx>
    <mdx n="508" f="v">
      <t c="3" si="4">
        <n x="509"/>
        <n x="173"/>
        <n x="1"/>
      </t>
    </mdx>
    <mdx n="508" f="v">
      <t c="3" si="4">
        <n x="509"/>
        <n x="240"/>
        <n x="472"/>
      </t>
    </mdx>
    <mdx n="508" f="v">
      <t c="3" si="4">
        <n x="509"/>
        <n x="116"/>
        <n x="467"/>
      </t>
    </mdx>
    <mdx n="508" f="v">
      <t c="3" si="4">
        <n x="509"/>
        <n x="169"/>
        <n x="473"/>
      </t>
    </mdx>
    <mdx n="508" f="v">
      <t c="3" si="4">
        <n x="509"/>
        <n x="188"/>
        <n x="470"/>
      </t>
    </mdx>
    <mdx n="508" f="v">
      <t c="3" si="4">
        <n x="509"/>
        <n x="184"/>
        <n x="470"/>
      </t>
    </mdx>
    <mdx n="508" f="v">
      <t c="3" si="4">
        <n x="509"/>
        <n x="431"/>
        <n x="470"/>
      </t>
    </mdx>
    <mdx n="508" f="v">
      <t c="3" si="4">
        <n x="509"/>
        <n x="362"/>
        <n x="473"/>
      </t>
    </mdx>
    <mdx n="508" f="v">
      <t c="3" si="4">
        <n x="509"/>
        <n x="413"/>
        <n x="467"/>
      </t>
    </mdx>
    <mdx n="508" f="v">
      <t c="3" si="475">
        <n x="509"/>
        <n x="248"/>
        <n x="474"/>
      </t>
    </mdx>
    <mdx n="508" f="v">
      <t c="3" si="4">
        <n x="509"/>
        <n x="37"/>
        <n x="5"/>
      </t>
    </mdx>
    <mdx n="508" f="v">
      <t c="3" si="4">
        <n x="509"/>
        <n x="155"/>
        <n x="466"/>
      </t>
    </mdx>
    <mdx n="508" f="v">
      <t c="3" si="4">
        <n x="509"/>
        <n x="34"/>
        <n x="2"/>
      </t>
    </mdx>
    <mdx n="508" f="v">
      <t c="3" si="4">
        <n x="509"/>
        <n x="44"/>
        <n x="2"/>
      </t>
    </mdx>
    <mdx n="508" f="v">
      <t c="3" si="4">
        <n x="509"/>
        <n x="125"/>
        <n x="466"/>
      </t>
    </mdx>
    <mdx n="508" f="v">
      <t c="3" si="4">
        <n x="509"/>
        <n x="307"/>
        <n x="5"/>
      </t>
    </mdx>
    <mdx n="508" f="v">
      <t c="3" si="4">
        <n x="509"/>
        <n x="73"/>
        <n x="5"/>
      </t>
    </mdx>
    <mdx n="508" f="v">
      <t c="3" si="4">
        <n x="509"/>
        <n x="399"/>
        <n x="473"/>
      </t>
    </mdx>
    <mdx n="508" f="v">
      <t c="3" si="4">
        <n x="509"/>
        <n x="324"/>
        <n x="467"/>
      </t>
    </mdx>
    <mdx n="508" f="v">
      <t c="3" si="4">
        <n x="509"/>
        <n x="302"/>
        <n x="469"/>
      </t>
    </mdx>
    <mdx n="508" f="v">
      <t c="3" si="4">
        <n x="509"/>
        <n x="333"/>
        <n x="470"/>
      </t>
    </mdx>
    <mdx n="508" f="v">
      <t c="3" si="4">
        <n x="509"/>
        <n x="271"/>
        <n x="469"/>
      </t>
    </mdx>
    <mdx n="508" f="v">
      <t c="3" si="4">
        <n x="509"/>
        <n x="208"/>
        <n x="467"/>
      </t>
    </mdx>
    <mdx n="508" f="v">
      <t c="3" si="475">
        <n x="509"/>
        <n x="110"/>
        <n x="474"/>
      </t>
    </mdx>
    <mdx n="508" f="v">
      <t c="3" si="4">
        <n x="509"/>
        <n x="48"/>
        <n x="472"/>
      </t>
    </mdx>
    <mdx n="508" f="v">
      <t c="3" si="4">
        <n x="509"/>
        <n x="387"/>
        <n x="467"/>
      </t>
    </mdx>
    <mdx n="508" f="v">
      <t c="3" si="4">
        <n x="509"/>
        <n x="127"/>
        <n x="472"/>
      </t>
    </mdx>
    <mdx n="508" f="v">
      <t c="3" si="4">
        <n x="509"/>
        <n x="37"/>
        <n x="472"/>
      </t>
    </mdx>
    <mdx n="508" f="v">
      <t c="3" si="4">
        <n x="509"/>
        <n x="207"/>
        <n x="466"/>
      </t>
    </mdx>
    <mdx n="508" f="v">
      <t c="3" si="4">
        <n x="509"/>
        <n x="448"/>
        <n x="5"/>
      </t>
    </mdx>
    <mdx n="508" f="v">
      <t c="3" si="4">
        <n x="509"/>
        <n x="75"/>
        <n x="466"/>
      </t>
    </mdx>
    <mdx n="508" f="v">
      <t c="3" si="4">
        <n x="509"/>
        <n x="299"/>
        <n x="1"/>
      </t>
    </mdx>
    <mdx n="508" f="v">
      <t c="3" si="4">
        <n x="509"/>
        <n x="440"/>
        <n x="466"/>
      </t>
    </mdx>
    <mdx n="508" f="v">
      <t c="3" si="4">
        <n x="509"/>
        <n x="45"/>
        <n x="466"/>
      </t>
    </mdx>
    <mdx n="508" f="v">
      <t c="3" si="4">
        <n x="509"/>
        <n x="419"/>
        <n x="468"/>
      </t>
    </mdx>
    <mdx n="508" f="v">
      <t c="3" si="4">
        <n x="509"/>
        <n x="328"/>
        <n x="467"/>
      </t>
    </mdx>
    <mdx n="508" f="v">
      <t c="3" si="4">
        <n x="509"/>
        <n x="433"/>
        <n x="467"/>
      </t>
    </mdx>
    <mdx n="508" f="v">
      <t c="3" si="4">
        <n x="509"/>
        <n x="27"/>
        <n x="467"/>
      </t>
    </mdx>
    <mdx n="508" f="v">
      <t c="3" si="475">
        <n x="509"/>
        <n x="418"/>
        <n x="474"/>
      </t>
    </mdx>
    <mdx n="508" f="v">
      <t c="3" si="4">
        <n x="509"/>
        <n x="26"/>
        <n x="5"/>
      </t>
    </mdx>
    <mdx n="508" f="v">
      <t c="3" si="475">
        <n x="509"/>
        <n x="322"/>
        <n x="474"/>
      </t>
    </mdx>
    <mdx n="508" f="v">
      <t c="3" si="4">
        <n x="509"/>
        <n x="78"/>
        <n x="467"/>
      </t>
    </mdx>
    <mdx n="508" f="v">
      <t c="3" si="4">
        <n x="509"/>
        <n x="369"/>
        <n x="470"/>
      </t>
    </mdx>
    <mdx n="508" f="v">
      <t c="3" si="4">
        <n x="509"/>
        <n x="269"/>
        <n x="2"/>
      </t>
    </mdx>
    <mdx n="508" f="v">
      <t c="3" si="4">
        <n x="509"/>
        <n x="243"/>
        <n x="472"/>
      </t>
    </mdx>
    <mdx n="508" f="v">
      <t c="3" si="4">
        <n x="509"/>
        <n x="332"/>
        <n x="1"/>
      </t>
    </mdx>
    <mdx n="508" f="v">
      <t c="3" si="4">
        <n x="509"/>
        <n x="364"/>
        <n x="473"/>
      </t>
    </mdx>
    <mdx n="508" f="v">
      <t c="3" si="4">
        <n x="509"/>
        <n x="288"/>
        <n x="469"/>
      </t>
    </mdx>
    <mdx n="508" f="v">
      <t c="3" si="4">
        <n x="509"/>
        <n x="415"/>
        <n x="469"/>
      </t>
    </mdx>
    <mdx n="508" f="v">
      <t c="3" si="4">
        <n x="509"/>
        <n x="296"/>
        <n x="5"/>
      </t>
    </mdx>
    <mdx n="508" f="v">
      <t c="3" si="4">
        <n x="509"/>
        <n x="312"/>
        <n x="466"/>
      </t>
    </mdx>
    <mdx n="508" f="v">
      <t c="3" si="4">
        <n x="509"/>
        <n x="302"/>
        <n x="5"/>
      </t>
    </mdx>
    <mdx n="508" f="v">
      <t c="3" si="4">
        <n x="509"/>
        <n x="319"/>
        <n x="466"/>
      </t>
    </mdx>
    <mdx n="508" f="v">
      <t c="3" si="4">
        <n x="509"/>
        <n x="134"/>
        <n x="1"/>
      </t>
    </mdx>
    <mdx n="508" f="v">
      <t c="3" si="4">
        <n x="509"/>
        <n x="451"/>
        <n x="466"/>
      </t>
    </mdx>
    <mdx n="508" f="v">
      <t c="3" si="475">
        <n x="509"/>
        <n x="89"/>
        <n x="474"/>
      </t>
    </mdx>
    <mdx n="508" f="v">
      <t c="3" si="4">
        <n x="509"/>
        <n x="289"/>
        <n x="473"/>
      </t>
    </mdx>
    <mdx n="508" f="v">
      <t c="3" si="4">
        <n x="509"/>
        <n x="53"/>
        <n x="467"/>
      </t>
    </mdx>
    <mdx n="508" f="v">
      <t c="3" si="4">
        <n x="509"/>
        <n x="177"/>
        <n x="472"/>
      </t>
    </mdx>
    <mdx n="508" f="v">
      <t c="3" si="4">
        <n x="509"/>
        <n x="29"/>
        <n x="472"/>
      </t>
    </mdx>
    <mdx n="508" f="v">
      <t c="3" si="4">
        <n x="509"/>
        <n x="167"/>
        <n x="473"/>
      </t>
    </mdx>
    <mdx n="508" f="v">
      <t c="3" si="4">
        <n x="509"/>
        <n x="110"/>
        <n x="5"/>
      </t>
    </mdx>
    <mdx n="508" f="v">
      <t c="3" si="4">
        <n x="509"/>
        <n x="119"/>
        <n x="469"/>
      </t>
    </mdx>
    <mdx n="508" f="v">
      <t c="3" si="4">
        <n x="509"/>
        <n x="359"/>
        <n x="472"/>
      </t>
    </mdx>
    <mdx n="508" f="v">
      <t c="3" si="4">
        <n x="509"/>
        <n x="139"/>
        <n x="469"/>
      </t>
    </mdx>
    <mdx n="508" f="v">
      <t c="3" si="475">
        <n x="509"/>
        <n x="292"/>
        <n x="474"/>
      </t>
    </mdx>
    <mdx n="508" f="v">
      <t c="3" si="475">
        <n x="509"/>
        <n x="310"/>
        <n x="474"/>
      </t>
    </mdx>
    <mdx n="508" f="v">
      <t c="3" si="4">
        <n x="509"/>
        <n x="117"/>
        <n x="469"/>
      </t>
    </mdx>
    <mdx n="508" f="v">
      <t c="3" si="4">
        <n x="509"/>
        <n x="324"/>
        <n x="470"/>
      </t>
    </mdx>
    <mdx n="508" f="v">
      <t c="3" si="4">
        <n x="509"/>
        <n x="297"/>
        <n x="470"/>
      </t>
    </mdx>
    <mdx n="508" f="v">
      <t c="3" si="4">
        <n x="509"/>
        <n x="302"/>
        <n x="466"/>
      </t>
    </mdx>
    <mdx n="508" f="v">
      <t c="3" si="4">
        <n x="509"/>
        <n x="339"/>
        <n x="466"/>
      </t>
    </mdx>
    <mdx n="508" f="v">
      <t c="3" si="4">
        <n x="509"/>
        <n x="445"/>
        <n x="466"/>
      </t>
    </mdx>
    <mdx n="508" f="v">
      <t c="3" si="4">
        <n x="509"/>
        <n x="271"/>
        <n x="2"/>
      </t>
    </mdx>
    <mdx n="508" f="v">
      <t c="3" si="4">
        <n x="509"/>
        <n x="361"/>
        <n x="466"/>
      </t>
    </mdx>
    <mdx n="508" f="v">
      <t c="3" si="4">
        <n x="509"/>
        <n x="159"/>
        <n x="467"/>
      </t>
    </mdx>
    <mdx n="508" f="v">
      <t c="3" si="4">
        <n x="509"/>
        <n x="336"/>
        <n x="466"/>
      </t>
    </mdx>
    <mdx n="508" f="v">
      <t c="3" si="4">
        <n x="509"/>
        <n x="428"/>
        <n x="467"/>
      </t>
    </mdx>
    <mdx n="508" f="v">
      <t c="3" si="4">
        <n x="509"/>
        <n x="70"/>
        <n x="472"/>
      </t>
    </mdx>
    <mdx n="508" f="v">
      <t c="3" si="4">
        <n x="509"/>
        <n x="398"/>
        <n x="5"/>
      </t>
    </mdx>
    <mdx n="508" f="v">
      <t c="3" si="4">
        <n x="509"/>
        <n x="291"/>
        <n x="1"/>
      </t>
    </mdx>
    <mdx n="508" f="v">
      <t c="3" si="4">
        <n x="509"/>
        <n x="395"/>
        <n x="466"/>
      </t>
    </mdx>
    <mdx n="508" f="v">
      <t c="3" si="4">
        <n x="509"/>
        <n x="410"/>
        <n x="466"/>
      </t>
    </mdx>
    <mdx n="508" f="v">
      <t c="3" si="4">
        <n x="509"/>
        <n x="161"/>
        <n x="466"/>
      </t>
    </mdx>
    <mdx n="508" f="v">
      <t c="3" si="4">
        <n x="509"/>
        <n x="161"/>
        <n x="467"/>
      </t>
    </mdx>
    <mdx n="508" f="v">
      <t c="3" si="4">
        <n x="509"/>
        <n x="281"/>
        <n x="466"/>
      </t>
    </mdx>
    <mdx n="508" f="v">
      <t c="3" si="4">
        <n x="509"/>
        <n x="52"/>
        <n x="466"/>
      </t>
    </mdx>
    <mdx n="508" f="v">
      <t c="3" si="4">
        <n x="509"/>
        <n x="266"/>
        <n x="476"/>
      </t>
    </mdx>
    <mdx n="508" f="v">
      <t c="3" si="4">
        <n x="509"/>
        <n x="207"/>
        <n x="477"/>
      </t>
    </mdx>
    <mdx n="508" f="v">
      <t c="3" si="4">
        <n x="509"/>
        <n x="24"/>
        <n x="478"/>
      </t>
    </mdx>
    <mdx n="508" f="v">
      <t c="3" si="4">
        <n x="509"/>
        <n x="35"/>
        <n x="466"/>
      </t>
    </mdx>
    <mdx n="508" f="v">
      <t c="3" si="4">
        <n x="509"/>
        <n x="197"/>
        <n x="476"/>
      </t>
    </mdx>
    <mdx n="508" f="v">
      <t c="3" si="4">
        <n x="509"/>
        <n x="193"/>
        <n x="477"/>
      </t>
    </mdx>
    <mdx n="508" f="v">
      <t c="3" si="4">
        <n x="509"/>
        <n x="321"/>
        <n x="478"/>
      </t>
    </mdx>
    <mdx n="508" f="v">
      <t c="3" si="4">
        <n x="509"/>
        <n x="453"/>
        <n x="468"/>
      </t>
    </mdx>
    <mdx n="508" f="v">
      <t c="3" si="4">
        <n x="509"/>
        <n x="79"/>
        <n x="476"/>
      </t>
    </mdx>
    <mdx n="508" f="v">
      <t c="3" si="4">
        <n x="509"/>
        <n x="216"/>
        <n x="477"/>
      </t>
    </mdx>
    <mdx n="508" f="v">
      <t c="3" si="475">
        <n x="509"/>
        <n x="362"/>
        <n x="474"/>
      </t>
    </mdx>
    <mdx n="508" f="v">
      <t c="3" si="4">
        <n x="509"/>
        <n x="177"/>
        <n x="468"/>
      </t>
    </mdx>
    <mdx n="508" f="v">
      <t c="3" si="4">
        <n x="509"/>
        <n x="443"/>
        <n x="477"/>
      </t>
    </mdx>
    <mdx n="508" f="v">
      <t c="3" si="4">
        <n x="509"/>
        <n x="387"/>
        <n x="478"/>
      </t>
    </mdx>
    <mdx n="508" f="v">
      <t c="3" si="4">
        <n x="509"/>
        <n x="56"/>
        <n x="471"/>
      </t>
    </mdx>
    <mdx n="508" f="v">
      <t c="3" si="4">
        <n x="509"/>
        <n x="306"/>
        <n x="468"/>
      </t>
    </mdx>
    <mdx n="508" f="v">
      <t c="3" si="4">
        <n x="509"/>
        <n x="264"/>
        <n x="476"/>
      </t>
    </mdx>
    <mdx n="508" f="v">
      <t c="3" si="4">
        <n x="509"/>
        <n x="426"/>
        <n x="477"/>
      </t>
    </mdx>
    <mdx n="508" f="v">
      <t c="3" si="4">
        <n x="509"/>
        <n x="207"/>
        <n x="478"/>
      </t>
    </mdx>
    <mdx n="508" f="v">
      <t c="3" si="4">
        <n x="509"/>
        <n x="294"/>
        <n x="466"/>
      </t>
    </mdx>
    <mdx n="508" f="v">
      <t c="3" si="4">
        <n x="509"/>
        <n x="327"/>
        <n x="476"/>
      </t>
    </mdx>
    <mdx n="508" f="v">
      <t c="3" si="4">
        <n x="509"/>
        <n x="269"/>
        <n x="477"/>
      </t>
    </mdx>
    <mdx n="508" f="v">
      <t c="3" si="4">
        <n x="509"/>
        <n x="15"/>
        <n x="478"/>
      </t>
    </mdx>
    <mdx n="508" f="v">
      <t c="3" si="4">
        <n x="509"/>
        <n x="54"/>
        <n x="466"/>
      </t>
    </mdx>
    <mdx n="508" f="v">
      <t c="3" si="4">
        <n x="509"/>
        <n x="219"/>
        <n x="476"/>
      </t>
    </mdx>
    <mdx n="508" f="v">
      <t c="3" si="4">
        <n x="509"/>
        <n x="303"/>
        <n x="477"/>
      </t>
    </mdx>
    <mdx n="508" f="v">
      <t c="3" si="4">
        <n x="509"/>
        <n x="369"/>
        <n x="478"/>
      </t>
    </mdx>
    <mdx n="508" f="v">
      <t c="3" si="4">
        <n x="509"/>
        <n x="143"/>
        <n x="471"/>
      </t>
    </mdx>
    <mdx n="508" f="v">
      <t c="3" si="4">
        <n x="509"/>
        <n x="411"/>
        <n x="471"/>
      </t>
    </mdx>
    <mdx n="508" f="v">
      <t c="3" si="4">
        <n x="509"/>
        <n x="106"/>
        <n x="479"/>
      </t>
    </mdx>
    <mdx n="508" f="v">
      <t c="3" si="4">
        <n x="509"/>
        <n x="272"/>
        <n x="480"/>
      </t>
    </mdx>
    <mdx n="508" f="v">
      <t c="3" si="4">
        <n x="509"/>
        <n x="217"/>
        <n x="468"/>
      </t>
    </mdx>
    <mdx n="508" f="v">
      <t c="3" si="4">
        <n x="509"/>
        <n x="403"/>
        <n x="471"/>
      </t>
    </mdx>
    <mdx n="508" f="v">
      <t c="3" si="4">
        <n x="509"/>
        <n x="153"/>
        <n x="479"/>
      </t>
    </mdx>
    <mdx n="508" f="v">
      <t c="3" si="4">
        <n x="509"/>
        <n x="142"/>
        <n x="480"/>
      </t>
    </mdx>
    <mdx n="508" f="v">
      <t c="3" si="4">
        <n x="509"/>
        <n x="261"/>
        <n x="466"/>
      </t>
    </mdx>
    <mdx n="508" f="v">
      <t c="3" si="4">
        <n x="509"/>
        <n x="330"/>
        <n x="471"/>
      </t>
    </mdx>
    <mdx n="508" f="v">
      <t c="3" si="4">
        <n x="509"/>
        <n x="268"/>
        <n x="479"/>
      </t>
    </mdx>
    <mdx n="508" f="v">
      <t c="3" si="4">
        <n x="509"/>
        <n x="185"/>
        <n x="480"/>
      </t>
    </mdx>
    <mdx n="508" f="v">
      <t c="3" si="4">
        <n x="509"/>
        <n x="130"/>
        <n x="476"/>
      </t>
    </mdx>
    <mdx n="508" f="v">
      <t c="3" si="4">
        <n x="509"/>
        <n x="221"/>
        <n x="471"/>
      </t>
    </mdx>
    <mdx n="508" f="v">
      <t c="3" si="4">
        <n x="509"/>
        <n x="169"/>
        <n x="479"/>
      </t>
    </mdx>
    <mdx n="508" f="v">
      <t c="3" si="4">
        <n x="509"/>
        <n x="45"/>
        <n x="481"/>
      </t>
    </mdx>
    <mdx n="508" f="v">
      <t c="3" si="4">
        <n x="509"/>
        <n x="122"/>
        <n x="476"/>
      </t>
    </mdx>
    <mdx n="508" f="v">
      <t c="3" si="4">
        <n x="509"/>
        <n x="381"/>
        <n x="471"/>
      </t>
    </mdx>
    <mdx n="508" f="v">
      <t c="3" si="4">
        <n x="509"/>
        <n x="419"/>
        <n x="470"/>
      </t>
    </mdx>
    <mdx n="508" f="v">
      <t c="3" si="4">
        <n x="509"/>
        <n x="252"/>
        <n x="466"/>
      </t>
    </mdx>
    <mdx n="508" f="v">
      <t c="3" si="4">
        <n x="509"/>
        <n x="54"/>
        <n x="470"/>
      </t>
    </mdx>
    <mdx n="508" f="v">
      <t c="3" si="4">
        <n x="509"/>
        <n x="408"/>
        <n x="468"/>
      </t>
    </mdx>
    <mdx n="508" f="v">
      <t c="3" si="4">
        <n x="509"/>
        <n x="9"/>
        <n x="476"/>
      </t>
    </mdx>
    <mdx n="508" f="v">
      <t c="3" si="4">
        <n x="509"/>
        <n x="339"/>
        <n x="477"/>
      </t>
    </mdx>
    <mdx n="508" f="v">
      <t c="3" si="4">
        <n x="509"/>
        <n x="108"/>
        <n x="470"/>
      </t>
    </mdx>
    <mdx n="508" f="v">
      <t c="3" si="4">
        <n x="509"/>
        <n x="275"/>
        <n x="5"/>
      </t>
    </mdx>
    <mdx n="508" f="v">
      <t c="3" si="4">
        <n x="509"/>
        <n x="136"/>
        <n x="466"/>
      </t>
    </mdx>
    <mdx n="508" f="v">
      <t c="3" si="4">
        <n x="509"/>
        <n x="311"/>
        <n x="468"/>
      </t>
    </mdx>
    <mdx n="508" f="v">
      <t c="3" si="4">
        <n x="509"/>
        <n x="392"/>
        <n x="476"/>
      </t>
    </mdx>
    <mdx n="508" f="v">
      <t c="3" si="4">
        <n x="509"/>
        <n x="99"/>
        <n x="478"/>
      </t>
    </mdx>
    <mdx n="508" f="v">
      <t c="3" si="4">
        <n x="509"/>
        <n x="189"/>
        <n x="468"/>
      </t>
    </mdx>
    <mdx n="508" f="v">
      <t c="3" si="4">
        <n x="509"/>
        <n x="421"/>
        <n x="476"/>
      </t>
    </mdx>
    <mdx n="508" f="v">
      <t c="3" si="4">
        <n x="509"/>
        <n x="455"/>
        <n x="478"/>
      </t>
    </mdx>
    <mdx n="508" f="v">
      <t c="3" si="4">
        <n x="509"/>
        <n x="223"/>
        <n x="468"/>
      </t>
    </mdx>
    <mdx n="508" f="v">
      <t c="3" si="4">
        <n x="509"/>
        <n x="52"/>
        <n x="477"/>
      </t>
    </mdx>
    <mdx n="508" f="v">
      <t c="3" si="4">
        <n x="509"/>
        <n x="337"/>
        <n x="466"/>
      </t>
    </mdx>
    <mdx n="508" f="v">
      <t c="3" si="4">
        <n x="509"/>
        <n x="456"/>
        <n x="476"/>
      </t>
    </mdx>
    <mdx n="508" f="v">
      <t c="3" si="4">
        <n x="509"/>
        <n x="439"/>
        <n x="477"/>
      </t>
    </mdx>
    <mdx n="508" f="v">
      <t c="3" si="4">
        <n x="509"/>
        <n x="159"/>
        <n x="471"/>
      </t>
    </mdx>
    <mdx n="508" f="v">
      <t c="3" si="4">
        <n x="509"/>
        <n x="266"/>
        <n x="468"/>
      </t>
    </mdx>
    <mdx n="508" f="v">
      <t c="3" si="4">
        <n x="509"/>
        <n x="381"/>
        <n x="477"/>
      </t>
    </mdx>
    <mdx n="508" f="v">
      <t c="3" si="4">
        <n x="509"/>
        <n x="53"/>
        <n x="478"/>
      </t>
    </mdx>
    <mdx n="508" f="v">
      <t c="3" si="4">
        <n x="509"/>
        <n x="335"/>
        <n x="468"/>
      </t>
    </mdx>
    <mdx n="508" f="v">
      <t c="3" si="4">
        <n x="509"/>
        <n x="103"/>
        <n x="476"/>
      </t>
    </mdx>
    <mdx n="508" f="v">
      <t c="3" si="4">
        <n x="509"/>
        <n x="463"/>
        <n x="478"/>
      </t>
    </mdx>
    <mdx n="508" f="v">
      <t c="3" si="4">
        <n x="509"/>
        <n x="17"/>
        <n x="468"/>
      </t>
    </mdx>
    <mdx n="508" f="v">
      <t c="3" si="4">
        <n x="509"/>
        <n x="302"/>
        <n x="476"/>
      </t>
    </mdx>
    <mdx n="508" f="v">
      <t c="3" si="4">
        <n x="509"/>
        <n x="165"/>
        <n x="478"/>
      </t>
    </mdx>
    <mdx n="508" f="v">
      <t c="3" si="4">
        <n x="509"/>
        <n x="346"/>
        <n x="477"/>
      </t>
    </mdx>
    <mdx n="508" f="v">
      <t c="3" si="4">
        <n x="509"/>
        <n x="294"/>
        <n x="479"/>
      </t>
    </mdx>
    <mdx n="508" f="v">
      <t c="3" si="4">
        <n x="509"/>
        <n x="328"/>
        <n x="480"/>
      </t>
    </mdx>
    <mdx n="508" f="v">
      <t c="3" si="4">
        <n x="509"/>
        <n x="390"/>
        <n x="478"/>
      </t>
    </mdx>
    <mdx n="508" f="v">
      <t c="3" si="4">
        <n x="509"/>
        <n x="376"/>
        <n x="479"/>
      </t>
    </mdx>
    <mdx n="508" f="v">
      <t c="3" si="4">
        <n x="509"/>
        <n x="307"/>
        <n x="480"/>
      </t>
    </mdx>
    <mdx n="508" f="v">
      <t c="3" si="4">
        <n x="509"/>
        <n x="358"/>
        <n x="478"/>
      </t>
    </mdx>
    <mdx n="508" f="v">
      <t c="3" si="4">
        <n x="509"/>
        <n x="390"/>
        <n x="479"/>
      </t>
    </mdx>
    <mdx n="508" f="v">
      <t c="3" si="4">
        <n x="509"/>
        <n x="249"/>
        <n x="480"/>
      </t>
    </mdx>
    <mdx n="508" f="v">
      <t c="3" si="4">
        <n x="509"/>
        <n x="152"/>
        <n x="478"/>
      </t>
    </mdx>
    <mdx n="508" f="v">
      <t c="3" si="4">
        <n x="509"/>
        <n x="298"/>
        <n x="479"/>
      </t>
    </mdx>
    <mdx n="508" f="v">
      <t c="3" si="4">
        <n x="509"/>
        <n x="193"/>
        <n x="481"/>
      </t>
    </mdx>
    <mdx n="508" f="v">
      <t c="3" si="4">
        <n x="509"/>
        <n x="229"/>
        <n x="478"/>
      </t>
    </mdx>
    <mdx n="508" f="v">
      <t c="3" si="4">
        <n x="509"/>
        <n x="425"/>
        <n x="466"/>
      </t>
    </mdx>
    <mdx n="508" f="v">
      <t c="3" si="4">
        <n x="509"/>
        <n x="127"/>
        <n x="2"/>
      </t>
    </mdx>
    <mdx n="508" f="v">
      <t c="3" si="4">
        <n x="509"/>
        <n x="388"/>
        <n x="1"/>
      </t>
    </mdx>
    <mdx n="508" f="v">
      <t c="3" si="4">
        <n x="509"/>
        <n x="285"/>
        <n x="466"/>
      </t>
    </mdx>
    <mdx n="508" f="v">
      <t c="3" si="4">
        <n x="509"/>
        <n x="126"/>
        <n x="468"/>
      </t>
    </mdx>
    <mdx n="508" f="v">
      <t c="3" si="4">
        <n x="509"/>
        <n x="449"/>
        <n x="477"/>
      </t>
    </mdx>
    <mdx n="508" f="v">
      <t c="3" si="4">
        <n x="509"/>
        <n x="41"/>
        <n x="478"/>
      </t>
    </mdx>
    <mdx n="508" f="v">
      <t c="3" si="4">
        <n x="509"/>
        <n x="8"/>
        <n x="468"/>
      </t>
    </mdx>
    <mdx n="508" f="v">
      <t c="3" si="4">
        <n x="509"/>
        <n x="75"/>
        <n x="476"/>
      </t>
    </mdx>
    <mdx n="508" f="v">
      <t c="3" si="4">
        <n x="509"/>
        <n x="46"/>
        <n x="477"/>
      </t>
    </mdx>
    <mdx n="508" f="v">
      <t c="3" si="4">
        <n x="509"/>
        <n x="248"/>
        <n x="468"/>
      </t>
    </mdx>
    <mdx n="508" f="v">
      <t c="3" si="4">
        <n x="509"/>
        <n x="112"/>
        <n x="476"/>
      </t>
    </mdx>
    <mdx n="508" f="v">
      <t c="3" si="4">
        <n x="509"/>
        <n x="51"/>
        <n x="477"/>
      </t>
    </mdx>
    <mdx n="508" f="v">
      <t c="3" si="4">
        <n x="509"/>
        <n x="181"/>
        <n x="466"/>
      </t>
    </mdx>
    <mdx n="508" f="v">
      <t c="3" si="4">
        <n x="509"/>
        <n x="21"/>
        <n x="476"/>
      </t>
    </mdx>
    <mdx n="508" f="v">
      <t c="3" si="4">
        <n x="509"/>
        <n x="280"/>
        <n x="477"/>
      </t>
    </mdx>
    <mdx n="508" f="v">
      <t c="3" si="4">
        <n x="509"/>
        <n x="412"/>
        <n x="478"/>
      </t>
    </mdx>
    <mdx n="508" f="v">
      <t c="3" si="4">
        <n x="509"/>
        <n x="399"/>
        <n x="468"/>
      </t>
    </mdx>
    <mdx n="508" f="v">
      <t c="3" si="4">
        <n x="509"/>
        <n x="82"/>
        <n x="476"/>
      </t>
    </mdx>
    <mdx n="508" f="v">
      <t c="3" si="4">
        <n x="509"/>
        <n x="220"/>
        <n x="477"/>
      </t>
    </mdx>
    <mdx n="508" f="v">
      <t c="3" si="4">
        <n x="509"/>
        <n x="239"/>
        <n x="478"/>
      </t>
    </mdx>
    <mdx n="508" f="v">
      <t c="3" si="4">
        <n x="509"/>
        <n x="303"/>
        <n x="468"/>
      </t>
    </mdx>
    <mdx n="508" f="v">
      <t c="3" si="4">
        <n x="509"/>
        <n x="345"/>
        <n x="476"/>
      </t>
    </mdx>
    <mdx n="508" f="v">
      <t c="3" si="4">
        <n x="509"/>
        <n x="153"/>
        <n x="477"/>
      </t>
    </mdx>
    <mdx n="508" f="v">
      <t c="3" si="4">
        <n x="509"/>
        <n x="371"/>
        <n x="478"/>
      </t>
    </mdx>
    <mdx n="508" f="v">
      <t c="3" si="4">
        <n x="509"/>
        <n x="146"/>
        <n x="468"/>
      </t>
    </mdx>
    <mdx n="508" f="v">
      <t c="3" si="4">
        <n x="509"/>
        <n x="406"/>
        <n x="476"/>
      </t>
    </mdx>
    <mdx n="508" f="v">
      <t c="3" si="4">
        <n x="509"/>
        <n x="136"/>
        <n x="477"/>
      </t>
    </mdx>
    <mdx n="508" f="v">
      <t c="3" si="4">
        <n x="509"/>
        <n x="445"/>
        <n x="478"/>
      </t>
    </mdx>
    <mdx n="508" f="v">
      <t c="3" si="4">
        <n x="509"/>
        <n x="276"/>
        <n x="476"/>
      </t>
    </mdx>
    <mdx n="508" f="v">
      <t c="3" si="4">
        <n x="509"/>
        <n x="223"/>
        <n x="471"/>
      </t>
    </mdx>
    <mdx n="508" f="v">
      <t c="3" si="4">
        <n x="509"/>
        <n x="56"/>
        <n x="479"/>
      </t>
    </mdx>
    <mdx n="508" f="v">
      <t c="3" si="4">
        <n x="509"/>
        <n x="440"/>
        <n x="481"/>
      </t>
    </mdx>
    <mdx n="508" f="v">
      <t c="3" si="4">
        <n x="509"/>
        <n x="248"/>
        <n x="477"/>
      </t>
    </mdx>
    <mdx n="508" f="v">
      <t c="3" si="4">
        <n x="509"/>
        <n x="90"/>
        <n x="471"/>
      </t>
    </mdx>
    <mdx n="508" f="v">
      <t c="3" si="4">
        <n x="509"/>
        <n x="191"/>
        <n x="480"/>
      </t>
    </mdx>
    <mdx n="508" f="v">
      <t c="3" si="4">
        <n x="509"/>
        <n x="387"/>
        <n x="481"/>
      </t>
    </mdx>
    <mdx n="508" f="v">
      <t c="3" si="4">
        <n x="509"/>
        <n x="231"/>
        <n x="477"/>
      </t>
    </mdx>
    <mdx n="508" f="v">
      <t c="3" si="4">
        <n x="509"/>
        <n x="374"/>
        <n x="471"/>
      </t>
    </mdx>
    <mdx n="508" f="v">
      <t c="3" si="4">
        <n x="509"/>
        <n x="39"/>
        <n x="480"/>
      </t>
    </mdx>
    <mdx n="508" f="v">
      <t c="3" si="4">
        <n x="509"/>
        <n x="37"/>
        <n x="481"/>
      </t>
    </mdx>
    <mdx n="508" f="v">
      <t c="3" si="4">
        <n x="509"/>
        <n x="237"/>
        <n x="478"/>
      </t>
    </mdx>
    <mdx n="508" f="v">
      <t c="3" si="4">
        <n x="509"/>
        <n x="258"/>
        <n x="479"/>
      </t>
    </mdx>
    <mdx n="508" f="v">
      <t c="3" si="4">
        <n x="509"/>
        <n x="89"/>
        <n x="480"/>
      </t>
    </mdx>
    <mdx n="508" f="v">
      <t c="3" si="4">
        <n x="509"/>
        <n x="323"/>
        <n x="481"/>
      </t>
    </mdx>
    <mdx n="508" f="v">
      <t c="3" si="4">
        <n x="509"/>
        <n x="65"/>
        <n x="478"/>
      </t>
    </mdx>
    <mdx n="508" f="v">
      <t c="3" si="4">
        <n x="509"/>
        <n x="327"/>
        <n x="479"/>
      </t>
    </mdx>
    <mdx n="508" f="v">
      <t c="3" si="4">
        <n x="509"/>
        <n x="47"/>
        <n x="480"/>
      </t>
    </mdx>
    <mdx n="508" f="v">
      <t c="3" si="4">
        <n x="509"/>
        <n x="303"/>
        <n x="481"/>
      </t>
    </mdx>
    <mdx n="508" f="v">
      <t c="3" si="4">
        <n x="509"/>
        <n x="32"/>
        <n x="478"/>
      </t>
    </mdx>
    <mdx n="508" f="v">
      <t c="3" si="4">
        <n x="509"/>
        <n x="219"/>
        <n x="479"/>
      </t>
    </mdx>
    <mdx n="508" f="v">
      <t c="3" si="4">
        <n x="509"/>
        <n x="397"/>
        <n x="466"/>
      </t>
    </mdx>
    <mdx n="508" f="v">
      <t c="3" si="4">
        <n x="509"/>
        <n x="383"/>
        <n x="466"/>
      </t>
    </mdx>
    <mdx n="508" f="v">
      <t c="3" si="4">
        <n x="509"/>
        <n x="278"/>
        <n x="466"/>
      </t>
    </mdx>
    <mdx n="508" f="v">
      <t c="3" si="4">
        <n x="509"/>
        <n x="8"/>
        <n x="466"/>
      </t>
    </mdx>
    <mdx n="508" f="v">
      <t c="3" si="4">
        <n x="509"/>
        <n x="405"/>
        <n x="466"/>
      </t>
    </mdx>
    <mdx n="508" f="v">
      <t c="3" si="4">
        <n x="509"/>
        <n x="369"/>
        <n x="476"/>
      </t>
    </mdx>
    <mdx n="508" f="v">
      <t c="3" si="4">
        <n x="509"/>
        <n x="396"/>
        <n x="477"/>
      </t>
    </mdx>
    <mdx n="508" f="v">
      <t c="3" si="4">
        <n x="509"/>
        <n x="194"/>
        <n x="478"/>
      </t>
    </mdx>
    <mdx n="508" f="v">
      <t c="3" si="4">
        <n x="509"/>
        <n x="213"/>
        <n x="466"/>
      </t>
    </mdx>
    <mdx n="508" f="v">
      <t c="3" si="4">
        <n x="509"/>
        <n x="242"/>
        <n x="476"/>
      </t>
    </mdx>
    <mdx n="508" f="v">
      <t c="3" si="4">
        <n x="509"/>
        <n x="66"/>
        <n x="477"/>
      </t>
    </mdx>
    <mdx n="508" f="v">
      <t c="3" si="4">
        <n x="509"/>
        <n x="264"/>
        <n x="478"/>
      </t>
    </mdx>
    <mdx n="508" f="v">
      <t c="3" si="4">
        <n x="509"/>
        <n x="62"/>
        <n x="468"/>
      </t>
    </mdx>
    <mdx n="508" f="v">
      <t c="3" si="4">
        <n x="509"/>
        <n x="373"/>
        <n x="476"/>
      </t>
    </mdx>
    <mdx n="508" f="v">
      <t c="3" si="4">
        <n x="509"/>
        <n x="388"/>
        <n x="477"/>
      </t>
    </mdx>
    <mdx n="508" f="v">
      <t c="3" si="4">
        <n x="509"/>
        <n x="128"/>
        <n x="466"/>
      </t>
    </mdx>
    <mdx n="508" f="v">
      <t c="3" si="4">
        <n x="509"/>
        <n x="443"/>
        <n x="476"/>
      </t>
    </mdx>
    <mdx n="508" f="v">
      <t c="3" si="4">
        <n x="509"/>
        <n x="407"/>
        <n x="477"/>
      </t>
    </mdx>
    <mdx n="508" f="v">
      <t c="3" si="4">
        <n x="509"/>
        <n x="157"/>
        <n x="478"/>
      </t>
    </mdx>
    <mdx n="508" f="v">
      <t c="3" si="4">
        <n x="509"/>
        <n x="420"/>
        <n x="471"/>
      </t>
    </mdx>
    <mdx n="508" f="v">
      <t c="3" si="4">
        <n x="509"/>
        <n x="300"/>
        <n x="468"/>
      </t>
    </mdx>
    <mdx n="508" f="v">
      <t c="3" si="4">
        <n x="509"/>
        <n x="40"/>
        <n x="476"/>
      </t>
    </mdx>
    <mdx n="508" f="v">
      <t c="3" si="4">
        <n x="509"/>
        <n x="57"/>
        <n x="477"/>
      </t>
    </mdx>
    <mdx n="508" f="v">
      <t c="3" si="4">
        <n x="509"/>
        <n x="409"/>
        <n x="478"/>
      </t>
    </mdx>
    <mdx n="508" f="v">
      <t c="3" si="4">
        <n x="509"/>
        <n x="221"/>
        <n x="468"/>
      </t>
    </mdx>
    <mdx n="508" f="v">
      <t c="3" si="4">
        <n x="509"/>
        <n x="93"/>
        <n x="476"/>
      </t>
    </mdx>
    <mdx n="508" f="v">
      <t c="3" si="4">
        <n x="509"/>
        <n x="367"/>
        <n x="477"/>
      </t>
    </mdx>
    <mdx n="508" f="v">
      <t c="3" si="4">
        <n x="509"/>
        <n x="202"/>
        <n x="478"/>
      </t>
    </mdx>
    <mdx n="508" f="v">
      <t c="3" si="4">
        <n x="509"/>
        <n x="212"/>
        <n x="468"/>
      </t>
    </mdx>
    <mdx n="508" f="v">
      <t c="3" si="4">
        <n x="509"/>
        <n x="350"/>
        <n x="476"/>
      </t>
    </mdx>
    <mdx n="508" f="v">
      <t c="3" si="4">
        <n x="509"/>
        <n x="129"/>
        <n x="477"/>
      </t>
    </mdx>
    <mdx n="508" f="v">
      <t c="3" si="4">
        <n x="509"/>
        <n x="276"/>
        <n x="478"/>
      </t>
    </mdx>
    <mdx n="508" f="v">
      <t c="3" si="4">
        <n x="509"/>
        <n x="251"/>
        <n x="468"/>
      </t>
    </mdx>
    <mdx n="508" f="v">
      <t c="3" si="4">
        <n x="509"/>
        <n x="124"/>
        <n x="471"/>
      </t>
    </mdx>
    <mdx n="508" f="v">
      <t c="3" si="4">
        <n x="509"/>
        <n x="105"/>
        <n x="479"/>
      </t>
    </mdx>
    <mdx n="508" f="v">
      <t c="3" si="4">
        <n x="509"/>
        <n x="215"/>
        <n x="480"/>
      </t>
    </mdx>
    <mdx n="508" f="v">
      <t c="3" si="4">
        <n x="509"/>
        <n x="170"/>
        <n x="476"/>
      </t>
    </mdx>
    <mdx n="508" f="v">
      <t c="3" si="4">
        <n x="509"/>
        <n x="107"/>
        <n x="471"/>
      </t>
    </mdx>
    <mdx n="508" f="v">
      <t c="3" si="4">
        <n x="509"/>
        <n x="51"/>
        <n x="479"/>
      </t>
    </mdx>
    <mdx n="508" f="v">
      <t c="3" si="4">
        <n x="509"/>
        <n x="437"/>
        <n x="481"/>
      </t>
    </mdx>
    <mdx n="508" f="v">
      <t c="3" si="4">
        <n x="509"/>
        <n x="384"/>
        <n x="476"/>
      </t>
    </mdx>
    <mdx n="508" f="v">
      <t c="3" si="4">
        <n x="509"/>
        <n x="110"/>
        <n x="471"/>
      </t>
    </mdx>
    <mdx n="508" f="v">
      <t c="3" si="4">
        <n x="509"/>
        <n x="201"/>
        <n x="479"/>
      </t>
    </mdx>
    <mdx n="508" f="v">
      <t c="3" si="4">
        <n x="509"/>
        <n x="370"/>
        <n x="481"/>
      </t>
    </mdx>
    <mdx n="508" f="v">
      <t c="3" si="4">
        <n x="509"/>
        <n x="444"/>
        <n x="478"/>
      </t>
    </mdx>
    <mdx n="508" f="v">
      <t c="3" si="4">
        <n x="509"/>
        <n x="212"/>
        <n x="471"/>
      </t>
    </mdx>
    <mdx n="508" f="v">
      <t c="3" si="4">
        <n x="509"/>
        <n x="80"/>
        <n x="480"/>
      </t>
    </mdx>
    <mdx n="508" f="v">
      <t c="3" si="4">
        <n x="509"/>
        <n x="151"/>
        <n x="481"/>
      </t>
    </mdx>
    <mdx n="508" f="v">
      <t c="3" si="4">
        <n x="509"/>
        <n x="182"/>
        <n x="478"/>
      </t>
    </mdx>
    <mdx n="508" f="v">
      <t c="3" si="4">
        <n x="509"/>
        <n x="430"/>
        <n x="479"/>
      </t>
    </mdx>
    <mdx n="508" f="v">
      <t c="3" si="4">
        <n x="509"/>
        <n x="286"/>
        <n x="480"/>
      </t>
    </mdx>
    <mdx n="508" f="v">
      <t c="3" si="4">
        <n x="509"/>
        <n x="245"/>
        <n x="481"/>
      </t>
    </mdx>
    <mdx n="508" f="v">
      <t c="3" si="4">
        <n x="509"/>
        <n x="27"/>
        <n x="478"/>
      </t>
    </mdx>
    <mdx n="508" f="v">
      <t c="3" si="4">
        <n x="509"/>
        <n x="362"/>
        <n x="479"/>
      </t>
    </mdx>
    <mdx n="508" f="v">
      <t c="3" si="4">
        <n x="509"/>
        <n x="26"/>
        <n x="469"/>
      </t>
    </mdx>
    <mdx n="508" f="v">
      <t c="3" si="4">
        <n x="509"/>
        <n x="168"/>
        <n x="466"/>
      </t>
    </mdx>
    <mdx n="508" f="v">
      <t c="3" si="4">
        <n x="509"/>
        <n x="169"/>
        <n x="466"/>
      </t>
    </mdx>
    <mdx n="508" f="v">
      <t c="3" si="4">
        <n x="509"/>
        <n x="144"/>
        <n x="466"/>
      </t>
    </mdx>
    <mdx n="508" f="v">
      <t c="3" si="4">
        <n x="509"/>
        <n x="191"/>
        <n x="1"/>
      </t>
    </mdx>
    <mdx n="508" f="v">
      <t c="3" si="4">
        <n x="509"/>
        <n x="89"/>
        <n x="466"/>
      </t>
    </mdx>
    <mdx n="508" f="v">
      <t c="3" si="4">
        <n x="509"/>
        <n x="17"/>
        <n x="466"/>
      </t>
    </mdx>
    <mdx n="508" f="v">
      <t c="3" si="4">
        <n x="509"/>
        <n x="296"/>
        <n x="476"/>
      </t>
    </mdx>
    <mdx n="508" f="v">
      <t c="3" si="4">
        <n x="509"/>
        <n x="418"/>
        <n x="477"/>
      </t>
    </mdx>
    <mdx n="508" f="v">
      <t c="3" si="4">
        <n x="509"/>
        <n x="448"/>
        <n x="478"/>
      </t>
    </mdx>
    <mdx n="508" f="v">
      <t c="3" si="4">
        <n x="509"/>
        <n x="176"/>
        <n x="466"/>
      </t>
    </mdx>
    <mdx n="508" f="v">
      <t c="3" si="4">
        <n x="509"/>
        <n x="190"/>
        <n x="476"/>
      </t>
    </mdx>
    <mdx n="508" f="v">
      <t c="3" si="4">
        <n x="509"/>
        <n x="133"/>
        <n x="477"/>
      </t>
    </mdx>
    <mdx n="508" f="v">
      <t c="3" si="4">
        <n x="509"/>
        <n x="166"/>
        <n x="478"/>
      </t>
    </mdx>
    <mdx n="508" f="v">
      <t c="3" si="4">
        <n x="509"/>
        <n x="141"/>
        <n x="468"/>
      </t>
    </mdx>
    <mdx n="508" f="v">
      <t c="3" si="4">
        <n x="509"/>
        <n x="27"/>
        <n x="476"/>
      </t>
    </mdx>
    <mdx n="508" f="v">
      <t c="3" si="4">
        <n x="509"/>
        <n x="255"/>
        <n x="477"/>
      </t>
    </mdx>
    <mdx n="508" f="v">
      <t c="3" si="4">
        <n x="509"/>
        <n x="229"/>
        <n x="468"/>
      </t>
    </mdx>
    <mdx n="508" f="v">
      <t c="3" si="4">
        <n x="509"/>
        <n x="402"/>
        <n x="477"/>
      </t>
    </mdx>
    <mdx n="508" f="v">
      <t c="3" si="4">
        <n x="509"/>
        <n x="350"/>
        <n x="478"/>
      </t>
    </mdx>
    <mdx n="508" f="v">
      <t c="3" si="4">
        <n x="509"/>
        <n x="177"/>
        <n x="471"/>
      </t>
    </mdx>
    <mdx n="508" f="v">
      <t c="3" si="4">
        <n x="509"/>
        <n x="72"/>
        <n x="468"/>
      </t>
    </mdx>
    <mdx n="508" f="v">
      <t c="3" si="4">
        <n x="509"/>
        <n x="313"/>
        <n x="476"/>
      </t>
    </mdx>
    <mdx n="508" f="v">
      <t c="3" si="4">
        <n x="509"/>
        <n x="105"/>
        <n x="477"/>
      </t>
    </mdx>
    <mdx n="508" f="v">
      <t c="3" si="4">
        <n x="509"/>
        <n x="346"/>
        <n x="478"/>
      </t>
    </mdx>
    <mdx n="508" f="v">
      <t c="3" si="4">
        <n x="509"/>
        <n x="309"/>
        <n x="466"/>
      </t>
    </mdx>
    <mdx n="508" f="v">
      <t c="3" si="4">
        <n x="509"/>
        <n x="348"/>
        <n x="476"/>
      </t>
    </mdx>
    <mdx n="508" f="v">
      <t c="3" si="4">
        <n x="509"/>
        <n x="213"/>
        <n x="477"/>
      </t>
    </mdx>
    <mdx n="508" f="v">
      <t c="3" si="4">
        <n x="509"/>
        <n x="174"/>
        <n x="478"/>
      </t>
    </mdx>
    <mdx n="508" f="v">
      <t c="3" si="4">
        <n x="509"/>
        <n x="117"/>
        <n x="466"/>
      </t>
    </mdx>
    <mdx n="508" f="v">
      <t c="3" si="4">
        <n x="509"/>
        <n x="321"/>
        <n x="476"/>
      </t>
    </mdx>
    <mdx n="508" f="v">
      <t c="3" si="4">
        <n x="509"/>
        <n x="276"/>
        <n x="477"/>
      </t>
    </mdx>
    <mdx n="508" f="v">
      <t c="3" si="4">
        <n x="509"/>
        <n x="29"/>
        <n x="478"/>
      </t>
    </mdx>
    <mdx n="508" f="v">
      <t c="3" si="4">
        <n x="509"/>
        <n x="338"/>
        <n x="471"/>
      </t>
    </mdx>
    <mdx n="508" f="v">
      <t c="3" si="4">
        <n x="509"/>
        <n x="206"/>
        <n x="479"/>
      </t>
    </mdx>
    <mdx n="508" f="v">
      <t c="3" si="4">
        <n x="509"/>
        <n x="236"/>
        <n x="480"/>
      </t>
    </mdx>
    <mdx n="508" f="v">
      <t c="3" si="4">
        <n x="509"/>
        <n x="326"/>
        <n x="468"/>
      </t>
    </mdx>
    <mdx n="508" f="v">
      <t c="3" si="4">
        <n x="509"/>
        <n x="397"/>
        <n x="471"/>
      </t>
    </mdx>
    <mdx n="508" f="v">
      <t c="3" si="4">
        <n x="509"/>
        <n x="320"/>
        <n x="479"/>
      </t>
    </mdx>
    <mdx n="508" f="v">
      <t c="3" si="4">
        <n x="509"/>
        <n x="214"/>
        <n x="480"/>
      </t>
    </mdx>
    <mdx n="508" f="v">
      <t c="3" si="4">
        <n x="509"/>
        <n x="193"/>
        <n x="468"/>
      </t>
    </mdx>
    <mdx n="508" f="v">
      <t c="3" si="4">
        <n x="509"/>
        <n x="327"/>
        <n x="471"/>
      </t>
    </mdx>
    <mdx n="508" f="v">
      <t c="3" si="4">
        <n x="509"/>
        <n x="325"/>
        <n x="479"/>
      </t>
    </mdx>
    <mdx n="508" f="v">
      <t c="3" si="4">
        <n x="509"/>
        <n x="104"/>
        <n x="480"/>
      </t>
    </mdx>
    <mdx n="508" f="v">
      <t c="3" si="4">
        <n x="509"/>
        <n x="419"/>
        <n x="477"/>
      </t>
    </mdx>
    <mdx n="508" f="v">
      <t c="3" si="4">
        <n x="509"/>
        <n x="11"/>
        <n x="471"/>
      </t>
    </mdx>
    <mdx n="508" f="v">
      <t c="3" si="4">
        <n x="509"/>
        <n x="103"/>
        <n x="479"/>
      </t>
    </mdx>
    <mdx n="508" f="v">
      <t c="3" si="4">
        <n x="509"/>
        <n x="301"/>
        <n x="481"/>
      </t>
    </mdx>
    <mdx n="508" f="v">
      <t c="3" si="4">
        <n x="509"/>
        <n x="234"/>
        <n x="477"/>
      </t>
    </mdx>
    <mdx n="508" f="v">
      <t c="3" si="4">
        <n x="509"/>
        <n x="311"/>
        <n x="471"/>
      </t>
    </mdx>
    <mdx n="508" f="v">
      <t c="3" si="4">
        <n x="509"/>
        <n x="302"/>
        <n x="479"/>
      </t>
    </mdx>
    <mdx n="508" f="v">
      <t c="3" si="4">
        <n x="509"/>
        <n x="296"/>
        <n x="481"/>
      </t>
    </mdx>
    <mdx n="508" f="v">
      <t c="3" si="4">
        <n x="509"/>
        <n x="411"/>
        <n x="477"/>
      </t>
    </mdx>
    <mdx n="508" f="v">
      <t c="3" si="4">
        <n x="509"/>
        <n x="98"/>
        <n x="471"/>
      </t>
    </mdx>
    <mdx n="508" f="v">
      <t c="3" si="4">
        <n x="509"/>
        <n x="277"/>
        <n x="480"/>
      </t>
    </mdx>
    <mdx n="508" f="v">
      <t c="3" si="4">
        <n x="509"/>
        <n x="367"/>
        <n x="470"/>
      </t>
    </mdx>
    <mdx n="508" f="v">
      <t c="3" si="4">
        <n x="509"/>
        <n x="59"/>
        <n x="468"/>
      </t>
    </mdx>
    <mdx n="508" f="v">
      <t c="3" si="4">
        <n x="509"/>
        <n x="46"/>
        <n x="466"/>
      </t>
    </mdx>
    <mdx n="508" f="v">
      <t c="3" si="4">
        <n x="509"/>
        <n x="229"/>
        <n x="466"/>
      </t>
    </mdx>
    <mdx n="508" f="v">
      <t c="3" si="4">
        <n x="509"/>
        <n x="223"/>
        <n x="466"/>
      </t>
    </mdx>
    <mdx n="508" f="v">
      <t c="3" si="4">
        <n x="509"/>
        <n x="69"/>
        <n x="466"/>
      </t>
    </mdx>
    <mdx n="508" f="v">
      <t c="3" si="4">
        <n x="509"/>
        <n x="11"/>
        <n x="476"/>
      </t>
    </mdx>
    <mdx n="508" f="v">
      <t c="3" si="4">
        <n x="509"/>
        <n x="180"/>
        <n x="477"/>
      </t>
    </mdx>
    <mdx n="508" f="v">
      <t c="3" si="4">
        <n x="509"/>
        <n x="229"/>
        <n x="473"/>
      </t>
    </mdx>
    <mdx n="508" f="v">
      <t c="3" si="4">
        <n x="509"/>
        <n x="58"/>
        <n x="5"/>
      </t>
    </mdx>
    <mdx n="508" f="v">
      <t c="3" si="4">
        <n x="509"/>
        <n x="462"/>
        <n x="466"/>
      </t>
    </mdx>
    <mdx n="508" f="v">
      <t c="3" si="4">
        <n x="509"/>
        <n x="40"/>
        <n x="468"/>
      </t>
    </mdx>
    <mdx n="508" f="v">
      <t c="3" si="4">
        <n x="509"/>
        <n x="378"/>
        <n x="476"/>
      </t>
    </mdx>
    <mdx n="508" f="v">
      <t c="3" si="4">
        <n x="509"/>
        <n x="282"/>
        <n x="478"/>
      </t>
    </mdx>
    <mdx n="508" f="v">
      <t c="3" si="4">
        <n x="509"/>
        <n x="334"/>
        <n x="468"/>
      </t>
    </mdx>
    <mdx n="508" f="v">
      <t c="3" si="4">
        <n x="509"/>
        <n x="372"/>
        <n x="477"/>
      </t>
    </mdx>
    <mdx n="508" f="v">
      <t c="3" si="4">
        <n x="509"/>
        <n x="187"/>
        <n x="476"/>
      </t>
    </mdx>
    <mdx n="508" f="v">
      <t c="3" si="4">
        <n x="509"/>
        <n x="41"/>
        <n x="477"/>
      </t>
    </mdx>
    <mdx n="508" f="v">
      <t c="3" si="4">
        <n x="509"/>
        <n x="341"/>
        <n x="466"/>
      </t>
    </mdx>
    <mdx n="508" f="v">
      <t c="3" si="4">
        <n x="509"/>
        <n x="154"/>
        <n x="476"/>
      </t>
    </mdx>
    <mdx n="508" f="v">
      <t c="3" si="4">
        <n x="509"/>
        <n x="3"/>
        <n x="477"/>
      </t>
    </mdx>
    <mdx n="508" f="v">
      <t c="3" si="4">
        <n x="509"/>
        <n x="248"/>
        <n x="476"/>
      </t>
    </mdx>
    <mdx n="508" f="v">
      <t c="3" si="4">
        <n x="509"/>
        <n x="380"/>
        <n x="477"/>
      </t>
    </mdx>
    <mdx n="508" f="v">
      <t c="3" si="4">
        <n x="509"/>
        <n x="253"/>
        <n x="478"/>
      </t>
    </mdx>
    <mdx n="508" f="v">
      <t c="3" si="4">
        <n x="509"/>
        <n x="77"/>
        <n x="468"/>
      </t>
    </mdx>
    <mdx n="508" f="v">
      <t c="3" si="4">
        <n x="509"/>
        <n x="84"/>
        <n x="477"/>
      </t>
    </mdx>
    <mdx n="508" f="v">
      <t c="3" si="4">
        <n x="509"/>
        <n x="101"/>
        <n x="478"/>
      </t>
    </mdx>
    <mdx n="508" f="v">
      <t c="3" si="4">
        <n x="509"/>
        <n x="36"/>
        <n x="468"/>
      </t>
    </mdx>
    <mdx n="508" f="v">
      <t c="3" si="4">
        <n x="509"/>
        <n x="285"/>
        <n x="477"/>
      </t>
    </mdx>
    <mdx n="508" f="v">
      <t c="3" si="4">
        <n x="509"/>
        <n x="199"/>
        <n x="478"/>
      </t>
    </mdx>
    <mdx n="508" f="v">
      <t c="3" si="4">
        <n x="509"/>
        <n x="95"/>
        <n x="478"/>
      </t>
    </mdx>
    <mdx n="508" f="v">
      <t c="3" si="4">
        <n x="509"/>
        <n x="209"/>
        <n x="479"/>
      </t>
    </mdx>
    <mdx n="508" f="v">
      <t c="3" si="4">
        <n x="509"/>
        <n x="424"/>
        <n x="481"/>
      </t>
    </mdx>
    <mdx n="508" f="v">
      <t c="3" si="4">
        <n x="509"/>
        <n x="366"/>
        <n x="471"/>
      </t>
    </mdx>
    <mdx n="508" f="v">
      <t c="3" si="4">
        <n x="509"/>
        <n x="326"/>
        <n x="479"/>
      </t>
    </mdx>
    <mdx n="508" f="v">
      <t c="3" si="4">
        <n x="509"/>
        <n x="263"/>
        <n x="481"/>
      </t>
    </mdx>
    <mdx n="508" f="v">
      <t c="3" si="4">
        <n x="509"/>
        <n x="200"/>
        <n x="471"/>
      </t>
    </mdx>
    <mdx n="508" f="v">
      <t c="3" si="4">
        <n x="509"/>
        <n x="408"/>
        <n x="479"/>
      </t>
    </mdx>
    <mdx n="508" f="v">
      <t c="3" si="4">
        <n x="509"/>
        <n x="443"/>
        <n x="481"/>
      </t>
    </mdx>
    <mdx n="508" f="v">
      <t c="3" si="4">
        <n x="509"/>
        <n x="266"/>
        <n x="471"/>
      </t>
    </mdx>
    <mdx n="508" f="v">
      <t c="3" si="4">
        <n x="509"/>
        <n x="324"/>
        <n x="479"/>
      </t>
    </mdx>
    <mdx n="508" f="v">
      <t c="3" si="4">
        <n x="509"/>
        <n x="343"/>
        <n x="481"/>
      </t>
    </mdx>
    <mdx n="508" f="v">
      <t c="3" si="4">
        <n x="509"/>
        <n x="265"/>
        <n x="471"/>
      </t>
    </mdx>
    <mdx n="508" f="v">
      <t c="3" si="4">
        <n x="509"/>
        <n x="428"/>
        <n x="1"/>
      </t>
    </mdx>
    <mdx n="508" f="v">
      <t c="3" si="4">
        <n x="509"/>
        <n x="278"/>
        <n x="468"/>
      </t>
    </mdx>
    <mdx n="508" f="v">
      <t c="3" si="4">
        <n x="509"/>
        <n x="15"/>
        <n x="5"/>
      </t>
    </mdx>
    <mdx n="508" f="v">
      <t c="3" si="4">
        <n x="509"/>
        <n x="279"/>
        <n x="468"/>
      </t>
    </mdx>
    <mdx n="508" f="v">
      <t c="3" si="4">
        <n x="509"/>
        <n x="287"/>
        <n x="468"/>
      </t>
    </mdx>
    <mdx n="508" f="v">
      <t c="3" si="4">
        <n x="509"/>
        <n x="85"/>
        <n x="477"/>
      </t>
    </mdx>
    <mdx n="508" f="v">
      <t c="3" si="4">
        <n x="509"/>
        <n x="289"/>
        <n x="478"/>
      </t>
    </mdx>
    <mdx n="508" f="v">
      <t c="3" si="4">
        <n x="509"/>
        <n x="206"/>
        <n x="468"/>
      </t>
    </mdx>
    <mdx n="508" f="v">
      <t c="3" si="4">
        <n x="509"/>
        <n x="238"/>
        <n x="476"/>
      </t>
    </mdx>
    <mdx n="508" f="v">
      <t c="3" si="4">
        <n x="509"/>
        <n x="405"/>
        <n x="477"/>
      </t>
    </mdx>
    <mdx n="508" f="v">
      <t c="3" si="4">
        <n x="509"/>
        <n x="214"/>
        <n x="468"/>
      </t>
    </mdx>
    <mdx n="508" f="v">
      <t c="3" si="4">
        <n x="509"/>
        <n x="35"/>
        <n x="476"/>
      </t>
    </mdx>
    <mdx n="508" f="v">
      <t c="3" si="4">
        <n x="509"/>
        <n x="370"/>
        <n x="478"/>
      </t>
    </mdx>
    <mdx n="508" f="v">
      <t c="3" si="4">
        <n x="509"/>
        <n x="355"/>
        <n x="468"/>
      </t>
    </mdx>
    <mdx n="508" f="v">
      <t c="3" si="4">
        <n x="509"/>
        <n x="407"/>
        <n x="476"/>
      </t>
    </mdx>
    <mdx n="508" f="v">
      <t c="3" si="4">
        <n x="509"/>
        <n x="306"/>
        <n x="477"/>
      </t>
    </mdx>
    <mdx n="508" f="v">
      <t c="3" si="4">
        <n x="509"/>
        <n x="438"/>
        <n x="478"/>
      </t>
    </mdx>
    <mdx n="508" f="v">
      <t c="3" si="4">
        <n x="509"/>
        <n x="277"/>
        <n x="468"/>
      </t>
    </mdx>
    <mdx n="508" f="v">
      <t c="3" si="4">
        <n x="509"/>
        <n x="135"/>
        <n x="476"/>
      </t>
    </mdx>
    <mdx n="508" f="v">
      <t c="3" si="4">
        <n x="509"/>
        <n x="378"/>
        <n x="477"/>
      </t>
    </mdx>
    <mdx n="508" f="v">
      <t c="3" si="4">
        <n x="509"/>
        <n x="457"/>
        <n x="471"/>
      </t>
    </mdx>
    <mdx n="508" f="v">
      <t c="3" si="4">
        <n x="509"/>
        <n x="447"/>
        <n x="476"/>
      </t>
    </mdx>
    <mdx n="508" f="v">
      <t c="3" si="4">
        <n x="509"/>
        <n x="464"/>
        <n x="477"/>
      </t>
    </mdx>
    <mdx n="508" f="v">
      <t c="3" si="4">
        <n x="509"/>
        <n x="352"/>
        <n x="478"/>
      </t>
    </mdx>
    <mdx n="508" f="v">
      <t c="3" si="4">
        <n x="509"/>
        <n x="376"/>
        <n x="468"/>
      </t>
    </mdx>
    <mdx n="508" f="v">
      <t c="3" si="4">
        <n x="509"/>
        <n x="433"/>
        <n x="476"/>
      </t>
    </mdx>
    <mdx n="508" f="v">
      <t c="3" si="4">
        <n x="509"/>
        <n x="195"/>
        <n x="477"/>
      </t>
    </mdx>
    <mdx n="508" f="v">
      <t c="3" si="4">
        <n x="509"/>
        <n x="39"/>
        <n x="478"/>
      </t>
    </mdx>
    <mdx n="508" f="v">
      <t c="3" si="4">
        <n x="509"/>
        <n x="298"/>
        <n x="477"/>
      </t>
    </mdx>
    <mdx n="508" f="v">
      <t c="3" si="4">
        <n x="509"/>
        <n x="214"/>
        <n x="471"/>
      </t>
    </mdx>
    <mdx n="508" f="v">
      <t c="3" si="4">
        <n x="509"/>
        <n x="420"/>
        <n x="480"/>
      </t>
    </mdx>
    <mdx n="508" f="v">
      <t c="3" si="4">
        <n x="509"/>
        <n x="285"/>
        <n x="481"/>
      </t>
    </mdx>
    <mdx n="508" f="v">
      <t c="3" si="4">
        <n x="509"/>
        <n x="192"/>
        <n x="478"/>
      </t>
    </mdx>
    <mdx n="508" f="v">
      <t c="3" si="4">
        <n x="509"/>
        <n x="187"/>
        <n x="479"/>
      </t>
    </mdx>
    <mdx n="508" f="v">
      <t c="3" si="4">
        <n x="509"/>
        <n x="330"/>
        <n x="480"/>
      </t>
    </mdx>
    <mdx n="508" f="v">
      <t c="3" si="4">
        <n x="509"/>
        <n x="206"/>
        <n x="481"/>
      </t>
    </mdx>
    <mdx n="508" f="v">
      <t c="3" si="4">
        <n x="509"/>
        <n x="14"/>
        <n x="478"/>
      </t>
    </mdx>
    <mdx n="508" f="v">
      <t c="3" si="4">
        <n x="509"/>
        <n x="459"/>
        <n x="479"/>
      </t>
    </mdx>
    <mdx n="508" f="v">
      <t c="3" si="4">
        <n x="509"/>
        <n x="145"/>
        <n x="480"/>
      </t>
    </mdx>
    <mdx n="508" f="v">
      <t c="3" si="4">
        <n x="509"/>
        <n x="212"/>
        <n x="481"/>
      </t>
    </mdx>
    <mdx n="508" f="v">
      <t c="3" si="4">
        <n x="509"/>
        <n x="397"/>
        <n x="478"/>
      </t>
    </mdx>
    <mdx n="508" f="v">
      <t c="3" si="4">
        <n x="509"/>
        <n x="184"/>
        <n x="479"/>
      </t>
    </mdx>
    <mdx n="508" f="v">
      <t c="3" si="4">
        <n x="509"/>
        <n x="27"/>
        <n x="480"/>
      </t>
    </mdx>
    <mdx n="508" f="v">
      <t c="3" si="4">
        <n x="509"/>
        <n x="156"/>
        <n x="481"/>
      </t>
    </mdx>
    <mdx n="508" f="v">
      <t c="3" si="4">
        <n x="509"/>
        <n x="375"/>
        <n x="478"/>
      </t>
    </mdx>
    <mdx n="508" f="v">
      <t c="3" si="4">
        <n x="509"/>
        <n x="336"/>
        <n x="479"/>
      </t>
    </mdx>
    <mdx n="508" f="v">
      <t c="3" si="4">
        <n x="509"/>
        <n x="391"/>
        <n x="480"/>
      </t>
    </mdx>
    <mdx n="508" f="v">
      <t c="3" si="4">
        <n x="509"/>
        <n x="29"/>
        <n x="481"/>
      </t>
    </mdx>
    <mdx n="508" f="v">
      <t c="3" si="4">
        <n x="509"/>
        <n x="464"/>
        <n x="471"/>
      </t>
    </mdx>
    <mdx n="508" f="v">
      <t c="3" si="4">
        <n x="509"/>
        <n x="20"/>
        <n x="479"/>
      </t>
    </mdx>
    <mdx n="508" f="v">
      <t c="3" si="4">
        <n x="509"/>
        <n x="450"/>
        <n x="467"/>
      </t>
    </mdx>
    <mdx n="508" f="v">
      <t c="3" si="4">
        <n x="509"/>
        <n x="247"/>
        <n x="468"/>
      </t>
    </mdx>
    <mdx n="508" f="v">
      <t c="3" si="4">
        <n x="509"/>
        <n x="318"/>
        <n x="468"/>
      </t>
    </mdx>
    <mdx n="508" f="v">
      <t c="3" si="4">
        <n x="509"/>
        <n x="371"/>
        <n x="5"/>
      </t>
    </mdx>
    <mdx n="508" f="v">
      <t c="3" si="4">
        <n x="509"/>
        <n x="158"/>
        <n x="466"/>
      </t>
    </mdx>
    <mdx n="508" f="v">
      <t c="3" si="4">
        <n x="509"/>
        <n x="11"/>
        <n x="468"/>
      </t>
    </mdx>
    <mdx n="508" f="v">
      <t c="3" si="4">
        <n x="509"/>
        <n x="303"/>
        <n x="476"/>
      </t>
    </mdx>
    <mdx n="508" f="v">
      <t c="3" si="4">
        <n x="509"/>
        <n x="354"/>
        <n x="477"/>
      </t>
    </mdx>
    <mdx n="508" f="v">
      <t c="3" si="4">
        <n x="509"/>
        <n x="290"/>
        <n x="478"/>
      </t>
    </mdx>
    <mdx n="508" f="v">
      <t c="3" si="4">
        <n x="509"/>
        <n x="449"/>
        <n x="468"/>
      </t>
    </mdx>
    <mdx n="508" f="v">
      <t c="3" si="4">
        <n x="509"/>
        <n x="144"/>
        <n x="476"/>
      </t>
    </mdx>
    <mdx n="508" f="v">
      <t c="3" si="4">
        <n x="509"/>
        <n x="15"/>
        <n x="477"/>
      </t>
    </mdx>
    <mdx n="508" f="v">
      <t c="3" si="4">
        <n x="509"/>
        <n x="383"/>
        <n x="468"/>
      </t>
    </mdx>
    <mdx n="508" f="v">
      <t c="3" si="4">
        <n x="509"/>
        <n x="215"/>
        <n x="476"/>
      </t>
    </mdx>
    <mdx n="508" f="v">
      <t c="3" si="4">
        <n x="509"/>
        <n x="420"/>
        <n x="477"/>
      </t>
    </mdx>
    <mdx n="508" f="v">
      <t c="3" si="4">
        <n x="509"/>
        <n x="3"/>
        <n x="466"/>
      </t>
    </mdx>
    <mdx n="508" f="v">
      <t c="3" si="4">
        <n x="509"/>
        <n x="94"/>
        <n x="476"/>
      </t>
    </mdx>
    <mdx n="508" f="v">
      <t c="3" si="4">
        <n x="509"/>
        <n x="438"/>
        <n x="477"/>
      </t>
    </mdx>
    <mdx n="508" f="v">
      <t c="3" si="4">
        <n x="509"/>
        <n x="400"/>
        <n x="478"/>
      </t>
    </mdx>
    <mdx n="508" f="v">
      <t c="3" si="4">
        <n x="509"/>
        <n x="113"/>
        <n x="468"/>
      </t>
    </mdx>
    <mdx n="508" f="v">
      <t c="3" si="4">
        <n x="509"/>
        <n x="426"/>
        <n x="476"/>
      </t>
    </mdx>
    <mdx n="508" f="v">
      <t c="3" si="4">
        <n x="509"/>
        <n x="349"/>
        <n x="477"/>
      </t>
    </mdx>
    <mdx n="508" f="v">
      <t c="3" si="4">
        <n x="509"/>
        <n x="107"/>
        <n x="478"/>
      </t>
    </mdx>
    <mdx n="508" f="v">
      <t c="3" si="4">
        <n x="509"/>
        <n x="418"/>
        <n x="468"/>
      </t>
    </mdx>
    <mdx n="508" f="v">
      <t c="3" si="4">
        <n x="509"/>
        <n x="244"/>
        <n x="476"/>
      </t>
    </mdx>
    <mdx n="508" f="v">
      <t c="3" si="4">
        <n x="509"/>
        <n x="28"/>
        <n x="477"/>
      </t>
    </mdx>
    <mdx n="508" f="v">
      <t c="3" si="4">
        <n x="509"/>
        <n x="61"/>
        <n x="478"/>
      </t>
    </mdx>
    <mdx n="508" f="v">
      <t c="3" si="4">
        <n x="509"/>
        <n x="54"/>
        <n x="468"/>
      </t>
    </mdx>
    <mdx n="508" f="v">
      <t c="3" si="4">
        <n x="509"/>
        <n x="390"/>
        <n x="476"/>
      </t>
    </mdx>
    <mdx n="508" f="v">
      <t c="3" si="4">
        <n x="509"/>
        <n x="325"/>
        <n x="477"/>
      </t>
    </mdx>
    <mdx n="508" f="v">
      <t c="3" si="4">
        <n x="509"/>
        <n x="266"/>
        <n x="478"/>
      </t>
    </mdx>
    <mdx n="508" f="v">
      <t c="3" si="4">
        <n x="509"/>
        <n x="10"/>
        <n x="476"/>
      </t>
    </mdx>
    <mdx n="508" f="v">
      <t c="3" si="4">
        <n x="509"/>
        <n x="104"/>
        <n x="471"/>
      </t>
    </mdx>
    <mdx n="508" f="v">
      <t c="3" si="4">
        <n x="509"/>
        <n x="35"/>
        <n x="479"/>
      </t>
    </mdx>
    <mdx n="508" f="v">
      <t c="3" si="4">
        <n x="509"/>
        <n x="138"/>
        <n x="481"/>
      </t>
    </mdx>
    <mdx n="508" f="v">
      <t c="3" si="4">
        <n x="509"/>
        <n x="63"/>
        <n x="477"/>
      </t>
    </mdx>
    <mdx n="508" f="v">
      <t c="3" si="4">
        <n x="509"/>
        <n x="307"/>
        <n x="471"/>
      </t>
    </mdx>
    <mdx n="508" f="v">
      <t c="3" si="4">
        <n x="509"/>
        <n x="415"/>
        <n x="480"/>
      </t>
    </mdx>
    <mdx n="508" f="v">
      <t c="3" si="4">
        <n x="509"/>
        <n x="284"/>
        <n x="481"/>
      </t>
    </mdx>
    <mdx n="508" f="v">
      <t c="3" si="4">
        <n x="509"/>
        <n x="324"/>
        <n x="477"/>
      </t>
    </mdx>
    <mdx n="508" f="v">
      <t c="3" si="4">
        <n x="509"/>
        <n x="89"/>
        <n x="471"/>
      </t>
    </mdx>
    <mdx n="508" f="v">
      <t c="3" si="4">
        <n x="509"/>
        <n x="444"/>
        <n x="480"/>
      </t>
    </mdx>
    <mdx n="508" f="v">
      <t c="3" si="4">
        <n x="509"/>
        <n x="207"/>
        <n x="481"/>
      </t>
    </mdx>
    <mdx n="508" f="v">
      <t c="3" si="4">
        <n x="509"/>
        <n x="366"/>
        <n x="478"/>
      </t>
    </mdx>
    <mdx n="508" f="v">
      <t c="3" si="4">
        <n x="509"/>
        <n x="243"/>
        <n x="479"/>
      </t>
    </mdx>
    <mdx n="508" f="v">
      <t c="3" si="4">
        <n x="509"/>
        <n x="355"/>
        <n x="480"/>
      </t>
    </mdx>
    <mdx n="508" f="v">
      <t c="3" si="4">
        <n x="509"/>
        <n x="306"/>
        <n x="481"/>
      </t>
    </mdx>
    <mdx n="508" f="v">
      <t c="3" si="4">
        <n x="509"/>
        <n x="34"/>
        <n x="478"/>
      </t>
    </mdx>
    <mdx n="508" f="v">
      <t c="3" si="4">
        <n x="509"/>
        <n x="222"/>
        <n x="479"/>
      </t>
    </mdx>
    <mdx n="508" f="v">
      <t c="3" si="4">
        <n x="509"/>
        <n x="147"/>
        <n x="480"/>
      </t>
    </mdx>
    <mdx n="508" f="v">
      <t c="3" si="4">
        <n x="509"/>
        <n x="435"/>
        <n x="481"/>
      </t>
    </mdx>
    <mdx n="508" f="v">
      <t c="3" si="4">
        <n x="509"/>
        <n x="216"/>
        <n x="478"/>
      </t>
    </mdx>
    <mdx n="508" f="v">
      <t c="3" si="4">
        <n x="509"/>
        <n x="305"/>
        <n x="479"/>
      </t>
    </mdx>
    <mdx n="508" f="v">
      <t c="3" si="4">
        <n x="509"/>
        <n x="352"/>
        <n x="468"/>
      </t>
    </mdx>
    <mdx n="508" f="v">
      <t c="3" si="4">
        <n x="509"/>
        <n x="72"/>
        <n x="2"/>
      </t>
    </mdx>
    <mdx n="508" f="v">
      <t c="3" si="4">
        <n x="509"/>
        <n x="174"/>
        <n x="466"/>
      </t>
    </mdx>
    <mdx n="508" f="v">
      <t c="3" si="4">
        <n x="509"/>
        <n x="357"/>
        <n x="466"/>
      </t>
    </mdx>
    <mdx n="508" f="v">
      <t c="3" si="4">
        <n x="509"/>
        <n x="287"/>
        <n x="466"/>
      </t>
    </mdx>
    <mdx n="508" f="v">
      <t c="3" si="4">
        <n x="509"/>
        <n x="245"/>
        <n x="466"/>
      </t>
    </mdx>
    <mdx n="508" f="v">
      <t c="3" si="4">
        <n x="509"/>
        <n x="133"/>
        <n x="476"/>
      </t>
    </mdx>
    <mdx n="508" f="v">
      <t c="3" si="4">
        <n x="509"/>
        <n x="290"/>
        <n x="477"/>
      </t>
    </mdx>
    <mdx n="508" f="v">
      <t c="3" si="4">
        <n x="509"/>
        <n x="422"/>
        <n x="478"/>
      </t>
    </mdx>
    <mdx n="508" f="v">
      <t c="3" si="4">
        <n x="509"/>
        <n x="53"/>
        <n x="466"/>
      </t>
    </mdx>
    <mdx n="508" f="v">
      <t c="3" si="4">
        <n x="509"/>
        <n x="312"/>
        <n x="476"/>
      </t>
    </mdx>
    <mdx n="508" f="v">
      <t c="3" si="4">
        <n x="509"/>
        <n x="356"/>
        <n x="477"/>
      </t>
    </mdx>
    <mdx n="508" f="v">
      <t c="3" si="4">
        <n x="509"/>
        <n x="244"/>
        <n x="478"/>
      </t>
    </mdx>
    <mdx n="508" f="v">
      <t c="3" si="4">
        <n x="509"/>
        <n x="433"/>
        <n x="468"/>
      </t>
    </mdx>
    <mdx n="508" f="v">
      <t c="3" si="4">
        <n x="509"/>
        <n x="48"/>
        <n x="476"/>
      </t>
    </mdx>
    <mdx n="508" f="v">
      <t c="3" si="4">
        <n x="509"/>
        <n x="95"/>
        <n x="477"/>
      </t>
    </mdx>
    <mdx n="508" f="v">
      <t c="3" si="4">
        <n x="509"/>
        <n x="343"/>
        <n x="466"/>
      </t>
    </mdx>
    <mdx n="508" f="v">
      <t c="3" si="4">
        <n x="509"/>
        <n x="168"/>
        <n x="476"/>
      </t>
    </mdx>
    <mdx n="508" f="v">
      <t c="3" si="4">
        <n x="509"/>
        <n x="225"/>
        <n x="477"/>
      </t>
    </mdx>
    <mdx n="508" f="v">
      <t c="3" si="4">
        <n x="509"/>
        <n x="410"/>
        <n x="478"/>
      </t>
    </mdx>
    <mdx n="508" f="v">
      <t c="3" si="4">
        <n x="509"/>
        <n x="152"/>
        <n x="471"/>
      </t>
    </mdx>
    <mdx n="508" f="v">
      <t c="3" si="4">
        <n x="509"/>
        <n x="252"/>
        <n x="468"/>
      </t>
    </mdx>
    <mdx n="508" f="v">
      <t c="3" si="4">
        <n x="509"/>
        <n x="408"/>
        <n x="476"/>
      </t>
    </mdx>
    <mdx n="508" f="v">
      <t c="3" si="4">
        <n x="509"/>
        <n x="160"/>
        <n x="477"/>
      </t>
    </mdx>
    <mdx n="508" f="v">
      <t c="3" si="4">
        <n x="509"/>
        <n x="124"/>
        <n x="478"/>
      </t>
    </mdx>
    <mdx n="508" f="v">
      <t c="3" si="4">
        <n x="509"/>
        <n x="304"/>
        <n x="468"/>
      </t>
    </mdx>
    <mdx n="508" f="v">
      <t c="3" si="4">
        <n x="509"/>
        <n x="182"/>
        <n x="476"/>
      </t>
    </mdx>
    <mdx n="508" f="v">
      <t c="3" si="4">
        <n x="509"/>
        <n x="132"/>
        <n x="477"/>
      </t>
    </mdx>
    <mdx n="508" f="v">
      <t c="3" si="4">
        <n x="509"/>
        <n x="62"/>
        <n x="478"/>
      </t>
    </mdx>
    <mdx n="508" f="v">
      <t c="3" si="4">
        <n x="509"/>
        <n x="144"/>
        <n x="468"/>
      </t>
    </mdx>
    <mdx n="508" f="v">
      <t c="3" si="4">
        <n x="509"/>
        <n x="367"/>
        <n x="476"/>
      </t>
    </mdx>
    <mdx n="508" f="v">
      <t c="3" si="4">
        <n x="509"/>
        <n x="360"/>
        <n x="477"/>
      </t>
    </mdx>
    <mdx n="508" f="v">
      <t c="3" si="4">
        <n x="509"/>
        <n x="170"/>
        <n x="478"/>
      </t>
    </mdx>
    <mdx n="508" f="v">
      <t c="3" si="4">
        <n x="509"/>
        <n x="28"/>
        <n x="468"/>
      </t>
    </mdx>
    <mdx n="508" f="v">
      <t c="3" si="4">
        <n x="509"/>
        <n x="122"/>
        <n x="471"/>
      </t>
    </mdx>
    <mdx n="508" f="v">
      <t c="3" si="4">
        <n x="509"/>
        <n x="82"/>
        <n x="479"/>
      </t>
    </mdx>
    <mdx n="508" f="v">
      <t c="3" si="4">
        <n x="509"/>
        <n x="209"/>
        <n x="480"/>
      </t>
    </mdx>
    <mdx n="508" f="v">
      <t c="3" si="4">
        <n x="509"/>
        <n x="371"/>
        <n x="476"/>
      </t>
    </mdx>
    <mdx n="508" f="v">
      <t c="3" si="4">
        <n x="509"/>
        <n x="103"/>
        <n x="471"/>
      </t>
    </mdx>
    <mdx n="508" f="v">
      <t c="3" si="4">
        <n x="509"/>
        <n x="259"/>
        <n x="479"/>
      </t>
    </mdx>
    <mdx n="508" f="v">
      <t c="3" si="4">
        <n x="509"/>
        <n x="246"/>
        <n x="481"/>
      </t>
    </mdx>
    <mdx n="508" f="v">
      <t c="3" si="4">
        <n x="509"/>
        <n x="342"/>
        <n x="476"/>
      </t>
    </mdx>
    <mdx n="508" f="v">
      <t c="3" si="4">
        <n x="509"/>
        <n x="222"/>
        <n x="471"/>
      </t>
    </mdx>
    <mdx n="508" f="v">
      <t c="3" si="4">
        <n x="509"/>
        <n x="435"/>
        <n x="479"/>
      </t>
    </mdx>
    <mdx n="508" f="v">
      <t c="3" si="4">
        <n x="509"/>
        <n x="171"/>
        <n x="481"/>
      </t>
    </mdx>
    <mdx n="508" f="v">
      <t c="3" si="4">
        <n x="509"/>
        <n x="301"/>
        <n x="478"/>
      </t>
    </mdx>
    <mdx n="508" f="v">
      <t c="3" si="4">
        <n x="509"/>
        <n x="274"/>
        <n x="479"/>
      </t>
    </mdx>
    <mdx n="508" f="v">
      <t c="3" si="4">
        <n x="509"/>
        <n x="457"/>
        <n x="480"/>
      </t>
    </mdx>
    <mdx n="508" f="v">
      <t c="3" si="4">
        <n x="509"/>
        <n x="133"/>
        <n x="481"/>
      </t>
    </mdx>
    <mdx n="508" f="v">
      <t c="3" si="4">
        <n x="509"/>
        <n x="38"/>
        <n x="478"/>
      </t>
    </mdx>
    <mdx n="508" f="v">
      <t c="3" si="4">
        <n x="509"/>
        <n x="451"/>
        <n x="479"/>
      </t>
    </mdx>
    <mdx n="508" f="v">
      <t c="3" si="4">
        <n x="509"/>
        <n x="273"/>
        <n x="480"/>
      </t>
    </mdx>
    <mdx n="508" f="v">
      <t c="3" si="4">
        <n x="509"/>
        <n x="119"/>
        <n x="481"/>
      </t>
    </mdx>
    <mdx n="508" f="v">
      <t c="3" si="4">
        <n x="509"/>
        <n x="250"/>
        <n x="478"/>
      </t>
    </mdx>
    <mdx n="508" f="v">
      <t c="3" si="4">
        <n x="509"/>
        <n x="344"/>
        <n x="479"/>
      </t>
    </mdx>
    <mdx n="508" f="v">
      <t c="3" si="4">
        <n x="509"/>
        <n x="423"/>
        <n x="480"/>
      </t>
    </mdx>
    <mdx n="508" f="v">
      <t c="3" si="4">
        <n x="509"/>
        <n x="16"/>
        <n x="1"/>
      </t>
    </mdx>
    <mdx n="508" f="v">
      <t c="3" si="4">
        <n x="509"/>
        <n x="30"/>
        <n x="468"/>
      </t>
    </mdx>
    <mdx n="508" f="v">
      <t c="3" si="4">
        <n x="509"/>
        <n x="339"/>
        <n x="2"/>
      </t>
    </mdx>
    <mdx n="508" f="v">
      <t c="3" si="4">
        <n x="509"/>
        <n x="239"/>
        <n x="466"/>
      </t>
    </mdx>
    <mdx n="508" f="v">
      <t c="3" si="4">
        <n x="509"/>
        <n x="331"/>
        <n x="1"/>
      </t>
    </mdx>
    <mdx n="508" f="v">
      <t c="3" si="4">
        <n x="509"/>
        <n x="349"/>
        <n x="466"/>
      </t>
    </mdx>
    <mdx n="508" f="v">
      <t c="3" si="4">
        <n x="509"/>
        <n x="289"/>
        <n x="468"/>
      </t>
    </mdx>
    <mdx n="508" f="v">
      <t c="3" si="4">
        <n x="509"/>
        <n x="410"/>
        <n x="477"/>
      </t>
    </mdx>
    <mdx n="508" f="v">
      <t c="3" si="4">
        <n x="509"/>
        <n x="85"/>
        <n x="478"/>
      </t>
    </mdx>
    <mdx n="508" f="v">
      <t c="3" si="4">
        <n x="509"/>
        <n x="205"/>
        <n x="468"/>
      </t>
    </mdx>
    <mdx n="508" f="v">
      <t c="3" si="4">
        <n x="509"/>
        <n x="192"/>
        <n x="477"/>
      </t>
    </mdx>
    <mdx n="508" f="v">
      <t c="3" si="4">
        <n x="509"/>
        <n x="8"/>
        <n x="476"/>
      </t>
    </mdx>
    <mdx n="508" f="v">
      <t c="3" si="4">
        <n x="509"/>
        <n x="260"/>
        <n x="477"/>
      </t>
    </mdx>
    <mdx n="508" f="v">
      <t c="3" si="4">
        <n x="509"/>
        <n x="88"/>
        <n x="468"/>
      </t>
    </mdx>
    <mdx n="508" f="v">
      <t c="3" si="4">
        <n x="509"/>
        <n x="173"/>
        <n x="476"/>
      </t>
    </mdx>
    <mdx n="508" f="v">
      <t c="3" si="4">
        <n x="509"/>
        <n x="295"/>
        <n x="478"/>
      </t>
    </mdx>
    <mdx n="508" f="v">
      <t c="3" si="4">
        <n x="509"/>
        <n x="110"/>
        <n x="476"/>
      </t>
    </mdx>
    <mdx n="508" f="v">
      <t c="3" si="4">
        <n x="509"/>
        <n x="198"/>
        <n x="477"/>
      </t>
    </mdx>
    <mdx n="508" f="v">
      <t c="3" si="4">
        <n x="509"/>
        <n x="459"/>
        <n x="471"/>
      </t>
    </mdx>
    <mdx n="508" f="v">
      <t c="3" si="4">
        <n x="509"/>
        <n x="172"/>
        <n x="468"/>
      </t>
    </mdx>
    <mdx n="508" f="v">
      <t c="3" si="4">
        <n x="509"/>
        <n x="393"/>
        <n x="477"/>
      </t>
    </mdx>
    <mdx n="508" f="v">
      <t c="3" si="4">
        <n x="509"/>
        <n x="209"/>
        <n x="478"/>
      </t>
    </mdx>
    <mdx n="508" f="v">
      <t c="3" si="4">
        <n x="509"/>
        <n x="68"/>
        <n x="468"/>
      </t>
    </mdx>
    <mdx n="508" f="v">
      <t c="3" si="4">
        <n x="509"/>
        <n x="97"/>
        <n x="477"/>
      </t>
    </mdx>
    <mdx n="508" f="v">
      <t c="3" si="4">
        <n x="509"/>
        <n x="50"/>
        <n x="478"/>
      </t>
    </mdx>
    <mdx n="508" f="v">
      <t c="3" si="4">
        <n x="509"/>
        <n x="285"/>
        <n x="471"/>
      </t>
    </mdx>
    <mdx n="508" f="v">
      <t c="3" si="4">
        <n x="509"/>
        <n x="32"/>
        <n x="479"/>
      </t>
    </mdx>
    <mdx n="508" f="v">
      <t c="3" si="4">
        <n x="509"/>
        <n x="235"/>
        <n x="481"/>
      </t>
    </mdx>
    <mdx n="508" f="v">
      <t c="3" si="4">
        <n x="509"/>
        <n x="268"/>
        <n x="471"/>
      </t>
    </mdx>
    <mdx n="508" f="v">
      <t c="3" si="4">
        <n x="509"/>
        <n x="293"/>
        <n x="479"/>
      </t>
    </mdx>
    <mdx n="508" f="v">
      <t c="3" si="4">
        <n x="509"/>
        <n x="304"/>
        <n x="481"/>
      </t>
    </mdx>
    <mdx n="508" f="v">
      <t c="3" si="4">
        <n x="509"/>
        <n x="52"/>
        <n x="471"/>
      </t>
    </mdx>
    <mdx n="508" f="v">
      <t c="3" si="4">
        <n x="509"/>
        <n x="100"/>
        <n x="479"/>
      </t>
    </mdx>
    <mdx n="508" f="v">
      <t c="3" si="4">
        <n x="509"/>
        <n x="217"/>
        <n x="481"/>
      </t>
    </mdx>
    <mdx n="508" f="v">
      <t c="3" si="4">
        <n x="509"/>
        <n x="252"/>
        <n x="471"/>
      </t>
    </mdx>
    <mdx n="508" f="v">
      <t c="3" si="4">
        <n x="509"/>
        <n x="253"/>
        <n x="480"/>
      </t>
    </mdx>
    <mdx n="508" f="v">
      <t c="3" si="4">
        <n x="509"/>
        <n x="441"/>
        <n x="481"/>
      </t>
    </mdx>
    <mdx n="508" f="v">
      <t c="3" si="4">
        <n x="509"/>
        <n x="339"/>
        <n x="471"/>
      </t>
    </mdx>
    <mdx n="508" f="v">
      <t c="3" si="4">
        <n x="509"/>
        <n x="64"/>
        <n x="469"/>
      </t>
    </mdx>
    <mdx n="508" f="v">
      <t c="3" si="4">
        <n x="509"/>
        <n x="242"/>
        <n x="466"/>
      </t>
    </mdx>
    <mdx n="508" f="v">
      <t c="3" si="4">
        <n x="509"/>
        <n x="298"/>
        <n x="476"/>
      </t>
    </mdx>
    <mdx n="508" f="v">
      <t c="3" si="4">
        <n x="509"/>
        <n x="261"/>
        <n x="477"/>
      </t>
    </mdx>
    <mdx n="508" f="v">
      <t c="3" si="4">
        <n x="509"/>
        <n x="172"/>
        <n x="478"/>
      </t>
    </mdx>
    <mdx n="508" f="v">
      <t c="3" si="4">
        <n x="509"/>
        <n x="86"/>
        <n x="468"/>
      </t>
    </mdx>
    <mdx n="508" f="v">
      <t c="3" si="4">
        <n x="509"/>
        <n x="43"/>
        <n x="476"/>
      </t>
    </mdx>
    <mdx n="508" f="v">
      <t c="3" si="4">
        <n x="509"/>
        <n x="60"/>
        <n x="477"/>
      </t>
    </mdx>
    <mdx n="508" f="v">
      <t c="3" si="4">
        <n x="509"/>
        <n x="121"/>
        <n x="468"/>
      </t>
    </mdx>
    <mdx n="508" f="v">
      <t c="3" si="4">
        <n x="509"/>
        <n x="330"/>
        <n x="477"/>
      </t>
    </mdx>
    <mdx n="508" f="v">
      <t c="3" si="4">
        <n x="509"/>
        <n x="351"/>
        <n x="478"/>
      </t>
    </mdx>
    <mdx n="508" f="v">
      <t c="3" si="4">
        <n x="509"/>
        <n x="143"/>
        <n x="468"/>
      </t>
    </mdx>
    <mdx n="508" f="v">
      <t c="3" si="4">
        <n x="509"/>
        <n x="14"/>
        <n x="476"/>
      </t>
    </mdx>
    <mdx n="508" f="v">
      <t c="3" si="4">
        <n x="509"/>
        <n x="108"/>
        <n x="477"/>
      </t>
    </mdx>
    <mdx n="508" f="v">
      <t c="3" si="4">
        <n x="509"/>
        <n x="347"/>
        <n x="478"/>
      </t>
    </mdx>
    <mdx n="508" f="v">
      <t c="3" si="4">
        <n x="509"/>
        <n x="98"/>
        <n x="2"/>
      </t>
    </mdx>
    <mdx n="508" f="v">
      <t c="3" si="4">
        <n x="509"/>
        <n x="191"/>
        <n x="468"/>
      </t>
    </mdx>
    <mdx n="508" f="v">
      <t c="3" si="4">
        <n x="509"/>
        <n x="457"/>
        <n x="477"/>
      </t>
    </mdx>
    <mdx n="508" f="v">
      <t c="3" si="4">
        <n x="509"/>
        <n x="243"/>
        <n x="478"/>
      </t>
    </mdx>
    <mdx n="508" f="v">
      <t c="3" si="4">
        <n x="509"/>
        <n x="341"/>
        <n x="468"/>
      </t>
    </mdx>
    <mdx n="508" f="v">
      <t c="3" si="4">
        <n x="509"/>
        <n x="320"/>
        <n x="476"/>
      </t>
    </mdx>
    <mdx n="508" f="v">
      <t c="3" si="4">
        <n x="509"/>
        <n x="44"/>
        <n x="477"/>
      </t>
    </mdx>
    <mdx n="508" f="v">
      <t c="3" si="4">
        <n x="509"/>
        <n x="237"/>
        <n x="468"/>
      </t>
    </mdx>
    <mdx n="508" f="v">
      <t c="3" si="4">
        <n x="509"/>
        <n x="6"/>
        <n x="476"/>
      </t>
    </mdx>
    <mdx n="508" f="v">
      <t c="3" si="4">
        <n x="509"/>
        <n x="87"/>
        <n x="477"/>
      </t>
    </mdx>
    <mdx n="508" f="v">
      <t c="3" si="4">
        <n x="509"/>
        <n x="121"/>
        <n x="478"/>
      </t>
    </mdx>
    <mdx n="508" f="v">
      <t c="3" si="4">
        <n x="509"/>
        <n x="64"/>
        <n x="478"/>
      </t>
    </mdx>
    <mdx n="508" f="v">
      <t c="3" si="4">
        <n x="509"/>
        <n x="434"/>
        <n x="479"/>
      </t>
    </mdx>
    <mdx n="508" f="v">
      <t c="3" si="4">
        <n x="509"/>
        <n x="226"/>
        <n x="480"/>
      </t>
    </mdx>
    <mdx n="508" f="v">
      <t c="3" si="4">
        <n x="509"/>
        <n x="44"/>
        <n x="481"/>
      </t>
    </mdx>
    <mdx n="508" f="v">
      <t c="3" si="4">
        <n x="509"/>
        <n x="215"/>
        <n x="478"/>
      </t>
    </mdx>
    <mdx n="508" f="v">
      <t c="3" si="4">
        <n x="509"/>
        <n x="88"/>
        <n x="479"/>
      </t>
    </mdx>
    <mdx n="508" f="v">
      <t c="3" si="4">
        <n x="509"/>
        <n x="304"/>
        <n x="480"/>
      </t>
    </mdx>
    <mdx n="508" f="v">
      <t c="3" si="4">
        <n x="509"/>
        <n x="458"/>
        <n x="481"/>
      </t>
    </mdx>
    <mdx n="508" f="v">
      <t c="3" si="4">
        <n x="509"/>
        <n x="404"/>
        <n x="478"/>
      </t>
    </mdx>
    <mdx n="508" f="v">
      <t c="3" si="4">
        <n x="509"/>
        <n x="119"/>
        <n x="479"/>
      </t>
    </mdx>
    <mdx n="508" f="v">
      <t c="3" si="4">
        <n x="509"/>
        <n x="217"/>
        <n x="480"/>
      </t>
    </mdx>
    <mdx n="508" f="v">
      <t c="3" si="4">
        <n x="509"/>
        <n x="394"/>
        <n x="481"/>
      </t>
    </mdx>
    <mdx n="508" f="v">
      <t c="3" si="4">
        <n x="509"/>
        <n x="277"/>
        <n x="471"/>
      </t>
    </mdx>
    <mdx n="508" f="v">
      <t c="3" si="4">
        <n x="509"/>
        <n x="358"/>
        <n x="479"/>
      </t>
    </mdx>
    <mdx n="508" f="v">
      <t c="3" si="4">
        <n x="509"/>
        <n x="55"/>
        <n x="480"/>
      </t>
    </mdx>
    <mdx n="508" f="v">
      <t c="3" si="4">
        <n x="509"/>
        <n x="175"/>
        <n x="481"/>
      </t>
    </mdx>
    <mdx n="508" f="v">
      <t c="3" si="4">
        <n x="509"/>
        <n x="445"/>
        <n x="471"/>
      </t>
    </mdx>
    <mdx n="508" f="v">
      <t c="3" si="4">
        <n x="509"/>
        <n x="162"/>
        <n x="479"/>
      </t>
    </mdx>
    <mdx n="508" f="v">
      <t c="3" si="4">
        <n x="509"/>
        <n x="417"/>
        <n x="480"/>
      </t>
    </mdx>
    <mdx n="508" f="v">
      <t c="3" si="4">
        <n x="509"/>
        <n x="262"/>
        <n x="481"/>
      </t>
    </mdx>
    <mdx n="508" f="v">
      <t c="3" si="4">
        <n x="509"/>
        <n x="181"/>
        <n x="471"/>
      </t>
    </mdx>
    <mdx n="508" f="v">
      <t c="3" si="4">
        <n x="509"/>
        <n x="141"/>
        <n x="479"/>
      </t>
    </mdx>
    <mdx n="508" f="v">
      <t c="3" si="4">
        <n x="509"/>
        <n x="133"/>
        <n x="5"/>
      </t>
    </mdx>
    <mdx n="508" f="v">
      <t c="3" si="4">
        <n x="509"/>
        <n x="95"/>
        <n x="1"/>
      </t>
    </mdx>
    <mdx n="508" f="v">
      <t c="3" si="4">
        <n x="509"/>
        <n x="221"/>
        <n x="466"/>
      </t>
    </mdx>
    <mdx n="508" f="v">
      <t c="3" si="4">
        <n x="509"/>
        <n x="21"/>
        <n x="468"/>
      </t>
    </mdx>
    <mdx n="508" f="v">
      <t c="3" si="4">
        <n x="509"/>
        <n x="128"/>
        <n x="476"/>
      </t>
    </mdx>
    <mdx n="508" f="v">
      <t c="3" si="4">
        <n x="509"/>
        <n x="26"/>
        <n x="477"/>
      </t>
    </mdx>
    <mdx n="508" f="v">
      <t c="3" si="4">
        <n x="509"/>
        <n x="179"/>
        <n x="478"/>
      </t>
    </mdx>
    <mdx n="508" f="v">
      <t c="3" si="4">
        <n x="509"/>
        <n x="157"/>
        <n x="468"/>
      </t>
    </mdx>
    <mdx n="508" f="v">
      <t c="3" si="4">
        <n x="509"/>
        <n x="322"/>
        <n x="476"/>
      </t>
    </mdx>
    <mdx n="508" f="v">
      <t c="3" si="4">
        <n x="509"/>
        <n x="389"/>
        <n x="477"/>
      </t>
    </mdx>
    <mdx n="508" f="v">
      <t c="3" si="4">
        <n x="509"/>
        <n x="268"/>
        <n x="468"/>
      </t>
    </mdx>
    <mdx n="508" f="v">
      <t c="3" si="4">
        <n x="509"/>
        <n x="403"/>
        <n x="476"/>
      </t>
    </mdx>
    <mdx n="508" f="v">
      <t c="3" si="4">
        <n x="509"/>
        <n x="187"/>
        <n x="478"/>
      </t>
    </mdx>
    <mdx n="508" f="v">
      <t c="3" si="4">
        <n x="509"/>
        <n x="448"/>
        <n x="468"/>
      </t>
    </mdx>
    <mdx n="508" f="v">
      <t c="3" si="4">
        <n x="509"/>
        <n x="46"/>
        <n x="476"/>
      </t>
    </mdx>
    <mdx n="508" f="v">
      <t c="3" si="4">
        <n x="509"/>
        <n x="412"/>
        <n x="477"/>
      </t>
    </mdx>
    <mdx n="508" f="v">
      <t c="3" si="4">
        <n x="509"/>
        <n x="40"/>
        <n x="478"/>
      </t>
    </mdx>
    <mdx n="508" f="v">
      <t c="3" si="4">
        <n x="509"/>
        <n x="254"/>
        <n x="468"/>
      </t>
    </mdx>
    <mdx n="508" f="v">
      <t c="3" si="4">
        <n x="509"/>
        <n x="287"/>
        <n x="476"/>
      </t>
    </mdx>
    <mdx n="508" f="v">
      <t c="3" si="4">
        <n x="509"/>
        <n x="464"/>
        <n x="478"/>
      </t>
    </mdx>
    <mdx n="508" f="v">
      <t c="3" si="4">
        <n x="509"/>
        <n x="286"/>
        <n x="471"/>
      </t>
    </mdx>
    <mdx n="508" f="v">
      <t c="3" si="4">
        <n x="509"/>
        <n x="313"/>
        <n x="468"/>
      </t>
    </mdx>
    <mdx n="508" f="v">
      <t c="3" si="4">
        <n x="509"/>
        <n x="175"/>
        <n x="476"/>
      </t>
    </mdx>
    <mdx n="508" f="v">
      <t c="3" si="4">
        <n x="509"/>
        <n x="452"/>
        <n x="477"/>
      </t>
    </mdx>
    <mdx n="508" f="v">
      <t c="3" si="4">
        <n x="509"/>
        <n x="421"/>
        <n x="478"/>
      </t>
    </mdx>
    <mdx n="508" f="v">
      <t c="3" si="4">
        <n x="509"/>
        <n x="456"/>
        <n x="468"/>
      </t>
    </mdx>
    <mdx n="508" f="v">
      <t c="3" si="4">
        <n x="509"/>
        <n x="262"/>
        <n x="476"/>
      </t>
    </mdx>
    <mdx n="508" f="v">
      <t c="3" si="4">
        <n x="509"/>
        <n x="352"/>
        <n x="477"/>
      </t>
    </mdx>
    <mdx n="508" f="v">
      <t c="3" si="4">
        <n x="509"/>
        <n x="135"/>
        <n x="478"/>
      </t>
    </mdx>
    <mdx n="508" f="v">
      <t c="3" si="4">
        <n x="509"/>
        <n x="143"/>
        <n x="477"/>
      </t>
    </mdx>
    <mdx n="508" f="v">
      <t c="3" si="4">
        <n x="509"/>
        <n x="81"/>
        <n x="471"/>
      </t>
    </mdx>
    <mdx n="508" f="v">
      <t c="3" si="4">
        <n x="509"/>
        <n x="121"/>
        <n x="480"/>
      </t>
    </mdx>
    <mdx n="508" f="v">
      <t c="3" si="4">
        <n x="509"/>
        <n x="55"/>
        <n x="481"/>
      </t>
    </mdx>
    <mdx n="508" f="v">
      <t c="3" si="4">
        <n x="509"/>
        <n x="275"/>
        <n x="478"/>
      </t>
    </mdx>
    <mdx n="508" f="v">
      <t c="3" si="4">
        <n x="509"/>
        <n x="171"/>
        <n x="479"/>
      </t>
    </mdx>
    <mdx n="508" f="v">
      <t c="3" si="4">
        <n x="509"/>
        <n x="116"/>
        <n x="480"/>
      </t>
    </mdx>
    <mdx n="508" f="v">
      <t c="3" si="4">
        <n x="509"/>
        <n x="155"/>
        <n x="481"/>
      </t>
    </mdx>
    <mdx n="508" f="v">
      <t c="3" si="4">
        <n x="509"/>
        <n x="186"/>
        <n x="478"/>
      </t>
    </mdx>
    <mdx n="508" f="v">
      <t c="3" si="4">
        <n x="509"/>
        <n x="443"/>
        <n x="479"/>
      </t>
    </mdx>
    <mdx n="508" f="v">
      <t c="3" si="4">
        <n x="509"/>
        <n x="402"/>
        <n x="480"/>
      </t>
    </mdx>
    <mdx n="508" f="v">
      <t c="3" si="4">
        <n x="509"/>
        <n x="367"/>
        <n x="481"/>
      </t>
    </mdx>
    <mdx n="508" f="v">
      <t c="3" si="4">
        <n x="509"/>
        <n x="310"/>
        <n x="478"/>
      </t>
    </mdx>
    <mdx n="508" f="v">
      <t c="3" si="4">
        <n x="509"/>
        <n x="339"/>
        <n x="479"/>
      </t>
    </mdx>
    <mdx n="508" f="v">
      <t c="3" si="4">
        <n x="509"/>
        <n x="394"/>
        <n x="480"/>
      </t>
    </mdx>
    <mdx n="508" f="v">
      <t c="3" si="4">
        <n x="509"/>
        <n x="141"/>
        <n x="481"/>
      </t>
    </mdx>
    <mdx n="508" f="v">
      <t c="3" si="4">
        <n x="509"/>
        <n x="71"/>
        <n x="471"/>
      </t>
    </mdx>
    <mdx n="508" f="v">
      <t c="3" si="4">
        <n x="509"/>
        <n x="231"/>
        <n x="479"/>
      </t>
    </mdx>
    <mdx n="508" f="v">
      <t c="3" si="4">
        <n x="509"/>
        <n x="99"/>
        <n x="480"/>
      </t>
    </mdx>
    <mdx n="508" f="v">
      <t c="3" si="4">
        <n x="509"/>
        <n x="396"/>
        <n x="481"/>
      </t>
    </mdx>
    <mdx n="508" f="v">
      <t c="3" si="4">
        <n x="509"/>
        <n x="70"/>
        <n x="471"/>
      </t>
    </mdx>
    <mdx n="508" f="v">
      <t c="3" si="4">
        <n x="509"/>
        <n x="314"/>
        <n x="479"/>
      </t>
    </mdx>
    <mdx n="508" f="v">
      <t c="3" si="4">
        <n x="509"/>
        <n x="283"/>
        <n x="469"/>
      </t>
    </mdx>
    <mdx n="508" f="v">
      <t c="3" si="4">
        <n x="509"/>
        <n x="440"/>
        <n x="468"/>
      </t>
    </mdx>
    <mdx n="508" f="v">
      <t c="3" si="4">
        <n x="509"/>
        <n x="212"/>
        <n x="472"/>
      </t>
    </mdx>
    <mdx n="508" f="v">
      <t c="3" si="4">
        <n x="509"/>
        <n x="94"/>
        <n x="466"/>
      </t>
    </mdx>
    <mdx n="508" f="v">
      <t c="3" si="4">
        <n x="509"/>
        <n x="368"/>
        <n x="468"/>
      </t>
    </mdx>
    <mdx n="508" f="v">
      <t c="3" si="4">
        <n x="509"/>
        <n x="418"/>
        <n x="476"/>
      </t>
    </mdx>
    <mdx n="508" f="v">
      <t c="3" si="4">
        <n x="509"/>
        <n x="385"/>
        <n x="477"/>
      </t>
    </mdx>
    <mdx n="508" f="v">
      <t c="3" si="4">
        <n x="509"/>
        <n x="180"/>
        <n x="478"/>
      </t>
    </mdx>
    <mdx n="508" f="v">
      <t c="3" si="4">
        <n x="509"/>
        <n x="294"/>
        <n x="468"/>
      </t>
    </mdx>
    <mdx n="508" f="v">
      <t c="3" si="4">
        <n x="509"/>
        <n x="446"/>
        <n x="476"/>
      </t>
    </mdx>
    <mdx n="508" f="v">
      <t c="3" si="4">
        <n x="509"/>
        <n x="165"/>
        <n x="477"/>
      </t>
    </mdx>
    <mdx n="508" f="v">
      <t c="3" si="4">
        <n x="509"/>
        <n x="216"/>
        <n x="468"/>
      </t>
    </mdx>
    <mdx n="508" f="v">
      <t c="3" si="4">
        <n x="509"/>
        <n x="183"/>
        <n x="476"/>
      </t>
    </mdx>
    <mdx n="508" f="v">
      <t c="3" si="4">
        <n x="509"/>
        <n x="337"/>
        <n x="477"/>
      </t>
    </mdx>
    <mdx n="508" f="v">
      <t c="3" si="4">
        <n x="509"/>
        <n x="372"/>
        <n x="468"/>
      </t>
    </mdx>
    <mdx n="508" f="v">
      <t c="3" si="4">
        <n x="509"/>
        <n x="59"/>
        <n x="476"/>
      </t>
    </mdx>
    <mdx n="508" f="v">
      <t c="3" si="4">
        <n x="509"/>
        <n x="40"/>
        <n x="477"/>
      </t>
    </mdx>
    <mdx n="508" f="v">
      <t c="3" si="4">
        <n x="509"/>
        <n x="384"/>
        <n x="478"/>
      </t>
    </mdx>
    <mdx n="508" f="v">
      <t c="3" si="4">
        <n x="509"/>
        <n x="91"/>
        <n x="468"/>
      </t>
    </mdx>
    <mdx n="508" f="v">
      <t c="3" si="4">
        <n x="509"/>
        <n x="277"/>
        <n x="476"/>
      </t>
    </mdx>
    <mdx n="508" f="v">
      <t c="3" si="4">
        <n x="509"/>
        <n x="204"/>
        <n x="477"/>
      </t>
    </mdx>
    <mdx n="508" f="v">
      <t c="3" si="4">
        <n x="509"/>
        <n x="307"/>
        <n x="478"/>
      </t>
    </mdx>
    <mdx n="508" f="v">
      <t c="3" si="4">
        <n x="509"/>
        <n x="442"/>
        <n x="468"/>
      </t>
    </mdx>
    <mdx n="508" f="v">
      <t c="3" si="4">
        <n x="509"/>
        <n x="17"/>
        <n x="476"/>
      </t>
    </mdx>
    <mdx n="508" f="v">
      <t c="3" si="4">
        <n x="509"/>
        <n x="123"/>
        <n x="477"/>
      </t>
    </mdx>
    <mdx n="508" f="v">
      <t c="3" si="4">
        <n x="509"/>
        <n x="173"/>
        <n x="478"/>
      </t>
    </mdx>
    <mdx n="508" f="v">
      <t c="3" si="4">
        <n x="509"/>
        <n x="70"/>
        <n x="468"/>
      </t>
    </mdx>
    <mdx n="508" f="v">
      <t c="3" si="4">
        <n x="509"/>
        <n x="98"/>
        <n x="476"/>
      </t>
    </mdx>
    <mdx n="508" f="v">
      <t c="3" si="4">
        <n x="509"/>
        <n x="316"/>
        <n x="477"/>
      </t>
    </mdx>
    <mdx n="508" f="v">
      <t c="3" si="4">
        <n x="509"/>
        <n x="36"/>
        <n x="478"/>
      </t>
    </mdx>
    <mdx n="508" f="v">
      <t c="3" si="4">
        <n x="509"/>
        <n x="436"/>
        <n x="476"/>
      </t>
    </mdx>
    <mdx n="508" f="v">
      <t c="3" si="4">
        <n x="509"/>
        <n x="319"/>
        <n x="471"/>
      </t>
    </mdx>
    <mdx n="508" f="v">
      <t c="3" si="4">
        <n x="509"/>
        <n x="403"/>
        <n x="479"/>
      </t>
    </mdx>
    <mdx n="508" f="v">
      <t c="3" si="4">
        <n x="509"/>
        <n x="110"/>
        <n x="481"/>
      </t>
    </mdx>
    <mdx n="508" f="v">
      <t c="3" si="4">
        <n x="509"/>
        <n x="72"/>
        <n x="477"/>
      </t>
    </mdx>
    <mdx n="508" f="v">
      <t c="3" si="4">
        <n x="509"/>
        <n x="80"/>
        <n x="471"/>
      </t>
    </mdx>
    <mdx n="508" f="v">
      <t c="3" si="4">
        <n x="509"/>
        <n x="227"/>
        <n x="480"/>
      </t>
    </mdx>
    <mdx n="508" f="v">
      <t c="3" si="4">
        <n x="509"/>
        <n x="355"/>
        <n x="481"/>
      </t>
    </mdx>
    <mdx n="508" f="v">
      <t c="3" si="4">
        <n x="509"/>
        <n x="50"/>
        <n x="477"/>
      </t>
    </mdx>
    <mdx n="508" f="v">
      <t c="3" si="4">
        <n x="509"/>
        <n x="84"/>
        <n x="471"/>
      </t>
    </mdx>
    <mdx n="508" f="v">
      <t c="3" si="4">
        <n x="509"/>
        <n x="35"/>
        <n x="480"/>
      </t>
    </mdx>
    <mdx n="508" f="v">
      <t c="3" si="4">
        <n x="509"/>
        <n x="449"/>
        <n x="481"/>
      </t>
    </mdx>
    <mdx n="508" f="v">
      <t c="3" si="4">
        <n x="509"/>
        <n x="153"/>
        <n x="478"/>
      </t>
    </mdx>
    <mdx n="508" f="v">
      <t c="3" si="4">
        <n x="509"/>
        <n x="110"/>
        <n x="479"/>
      </t>
    </mdx>
    <mdx n="508" f="v">
      <t c="3" si="4">
        <n x="509"/>
        <n x="151"/>
        <n x="480"/>
      </t>
    </mdx>
    <mdx n="508" f="v">
      <t c="3" si="4">
        <n x="509"/>
        <n x="362"/>
        <n x="481"/>
      </t>
    </mdx>
    <mdx n="508" f="v">
      <t c="3" si="4">
        <n x="509"/>
        <n x="320"/>
        <n x="478"/>
      </t>
    </mdx>
    <mdx n="508" f="v">
      <t c="3" si="4">
        <n x="509"/>
        <n x="84"/>
        <n x="479"/>
      </t>
    </mdx>
    <mdx n="508" f="v">
      <t c="3" si="4">
        <n x="509"/>
        <n x="245"/>
        <n x="480"/>
      </t>
    </mdx>
    <mdx n="508" f="v">
      <t c="3" si="4">
        <n x="509"/>
        <n x="379"/>
        <n x="467"/>
      </t>
    </mdx>
    <mdx n="508" f="v">
      <t c="3" si="4">
        <n x="509"/>
        <n x="109"/>
        <n x="466"/>
      </t>
    </mdx>
    <mdx n="508" f="v">
      <t c="3" si="4">
        <n x="509"/>
        <n x="414"/>
        <n x="468"/>
      </t>
    </mdx>
    <mdx n="508" f="v">
      <t c="3" si="4">
        <n x="509"/>
        <n x="109"/>
        <n x="477"/>
      </t>
    </mdx>
    <mdx n="508" f="v">
      <t c="3" si="4">
        <n x="509"/>
        <n x="451"/>
        <n x="468"/>
      </t>
    </mdx>
    <mdx n="508" f="v">
      <t c="3" si="4">
        <n x="509"/>
        <n x="373"/>
        <n x="477"/>
      </t>
    </mdx>
    <mdx n="508" f="v">
      <t c="3" si="4">
        <n x="509"/>
        <n x="160"/>
        <n x="466"/>
      </t>
    </mdx>
    <mdx n="508" f="v">
      <t c="3" si="4">
        <n x="509"/>
        <n x="269"/>
        <n x="476"/>
      </t>
    </mdx>
    <mdx n="508" f="v">
      <t c="3" si="4">
        <n x="509"/>
        <n x="365"/>
        <n x="477"/>
      </t>
    </mdx>
    <mdx n="508" f="v">
      <t c="3" si="4">
        <n x="509"/>
        <n x="79"/>
        <n x="468"/>
      </t>
    </mdx>
    <mdx n="508" f="v">
      <t c="3" si="4">
        <n x="509"/>
        <n x="67"/>
        <n x="476"/>
      </t>
    </mdx>
    <mdx n="508" f="v">
      <t c="3" si="4">
        <n x="509"/>
        <n x="441"/>
        <n x="478"/>
      </t>
    </mdx>
    <mdx n="508" f="v">
      <t c="3" si="4">
        <n x="509"/>
        <n x="355"/>
        <n x="466"/>
      </t>
    </mdx>
    <mdx n="508" f="v">
      <t c="3" si="4">
        <n x="509"/>
        <n x="391"/>
        <n x="476"/>
      </t>
    </mdx>
    <mdx n="508" f="v">
      <t c="3" si="4">
        <n x="509"/>
        <n x="176"/>
        <n x="477"/>
      </t>
    </mdx>
    <mdx n="508" f="v">
      <t c="3" si="4">
        <n x="509"/>
        <n x="289"/>
        <n x="476"/>
      </t>
    </mdx>
    <mdx n="508" f="v">
      <t c="3" si="4">
        <n x="509"/>
        <n x="353"/>
        <n x="477"/>
      </t>
    </mdx>
    <mdx n="508" f="v">
      <t c="3" si="4">
        <n x="509"/>
        <n x="123"/>
        <n x="476"/>
      </t>
    </mdx>
    <mdx n="508" f="v">
      <t c="3" si="4">
        <n x="509"/>
        <n x="347"/>
        <n x="477"/>
      </t>
    </mdx>
    <mdx n="508" f="v">
      <t c="3" si="4">
        <n x="509"/>
        <n x="367"/>
        <n x="471"/>
      </t>
    </mdx>
    <mdx n="508" f="v">
      <t c="3" si="4">
        <n x="509"/>
        <n x="436"/>
        <n x="471"/>
      </t>
    </mdx>
    <mdx n="508" f="v">
      <t c="3" si="4">
        <n x="509"/>
        <n x="328"/>
        <n x="479"/>
      </t>
    </mdx>
    <mdx n="508" f="v">
      <t c="3" si="4">
        <n x="509"/>
        <n x="200"/>
        <n x="481"/>
      </t>
    </mdx>
    <mdx n="508" f="v">
      <t c="3" si="4">
        <n x="509"/>
        <n x="413"/>
        <n x="471"/>
      </t>
    </mdx>
    <mdx n="508" f="v">
      <t c="3" si="4">
        <n x="509"/>
        <n x="160"/>
        <n x="480"/>
      </t>
    </mdx>
    <mdx n="508" f="v">
      <t c="3" si="4">
        <n x="509"/>
        <n x="57"/>
        <n x="481"/>
      </t>
    </mdx>
    <mdx n="508" f="v">
      <t c="3" si="4">
        <n x="509"/>
        <n x="147"/>
        <n x="471"/>
      </t>
    </mdx>
    <mdx n="508" f="v">
      <t c="3" si="4">
        <n x="509"/>
        <n x="298"/>
        <n x="480"/>
      </t>
    </mdx>
    <mdx n="508" f="v">
      <t c="3" si="4">
        <n x="509"/>
        <n x="86"/>
        <n x="481"/>
      </t>
    </mdx>
    <mdx n="508" f="v">
      <t c="3" si="4">
        <n x="509"/>
        <n x="24"/>
        <n x="471"/>
      </t>
    </mdx>
    <mdx n="508" f="v">
      <t c="3" si="4">
        <n x="509"/>
        <n x="110"/>
        <n x="480"/>
      </t>
    </mdx>
    <mdx n="508" f="v">
      <t c="3" si="4">
        <n x="509"/>
        <n x="153"/>
        <n x="481"/>
      </t>
    </mdx>
    <mdx n="508" f="v">
      <t c="3" si="4">
        <n x="509"/>
        <n x="233"/>
        <n x="471"/>
      </t>
    </mdx>
    <mdx n="508" f="v">
      <t c="3" si="4">
        <n x="509"/>
        <n x="71"/>
        <n x="472"/>
      </t>
    </mdx>
    <mdx n="508" f="v">
      <t c="3" si="4">
        <n x="509"/>
        <n x="115"/>
        <n x="466"/>
      </t>
    </mdx>
    <mdx n="508" f="v">
      <t c="3" si="4">
        <n x="509"/>
        <n x="132"/>
        <n x="5"/>
      </t>
    </mdx>
    <mdx n="508" f="v">
      <t c="3" si="4">
        <n x="509"/>
        <n x="381"/>
        <n x="476"/>
      </t>
    </mdx>
    <mdx n="508" f="v">
      <t c="3" si="4">
        <n x="509"/>
        <n x="205"/>
        <n x="477"/>
      </t>
    </mdx>
    <mdx n="508" f="v">
      <t c="3" si="4">
        <n x="509"/>
        <n x="310"/>
        <n x="472"/>
      </t>
    </mdx>
    <mdx n="508" f="v">
      <t c="3" si="4">
        <n x="509"/>
        <n x="18"/>
        <n x="468"/>
      </t>
    </mdx>
    <mdx n="508" f="v">
      <t c="3" si="4">
        <n x="509"/>
        <n x="445"/>
        <n x="476"/>
      </t>
    </mdx>
    <mdx n="508" f="v">
      <t c="3" si="4">
        <n x="509"/>
        <n x="282"/>
        <n x="477"/>
      </t>
    </mdx>
    <mdx n="508" f="v">
      <t c="3" si="4">
        <n x="509"/>
        <n x="399"/>
        <n x="466"/>
      </t>
    </mdx>
    <mdx n="508" f="v">
      <t c="3" si="4">
        <n x="509"/>
        <n x="171"/>
        <n x="476"/>
      </t>
    </mdx>
    <mdx n="508" f="v">
      <t c="3" si="4">
        <n x="509"/>
        <n x="119"/>
        <n x="477"/>
      </t>
    </mdx>
    <mdx n="508" f="v">
      <t c="3" si="4">
        <n x="509"/>
        <n x="256"/>
        <n x="478"/>
      </t>
    </mdx>
    <mdx n="508" f="v">
      <t c="3" si="4">
        <n x="509"/>
        <n x="147"/>
        <n x="468"/>
      </t>
    </mdx>
    <mdx n="508" f="v">
      <t c="3" si="4">
        <n x="509"/>
        <n x="251"/>
        <n x="476"/>
      </t>
    </mdx>
    <mdx n="508" f="v">
      <t c="3" si="4">
        <n x="509"/>
        <n x="163"/>
        <n x="477"/>
      </t>
    </mdx>
    <mdx n="508" f="v">
      <t c="3" si="4">
        <n x="509"/>
        <n x="240"/>
        <n x="478"/>
      </t>
    </mdx>
    <mdx n="508" f="v">
      <t c="3" si="4">
        <n x="509"/>
        <n x="194"/>
        <n x="466"/>
      </t>
    </mdx>
    <mdx n="508" f="v">
      <t c="3" si="4">
        <n x="509"/>
        <n x="274"/>
        <n x="476"/>
      </t>
    </mdx>
    <mdx n="508" f="v">
      <t c="3" si="4">
        <n x="509"/>
        <n x="59"/>
        <n x="477"/>
      </t>
    </mdx>
    <mdx n="508" f="v">
      <t c="3" si="4">
        <n x="509"/>
        <n x="312"/>
        <n x="478"/>
      </t>
    </mdx>
    <mdx n="508" f="v">
      <t c="3" si="4">
        <n x="509"/>
        <n x="223"/>
        <n x="1"/>
      </t>
    </mdx>
    <mdx n="508" f="v">
      <t c="3" si="4">
        <n x="509"/>
        <n x="153"/>
        <n x="468"/>
      </t>
    </mdx>
    <mdx n="508" f="v">
      <t c="3" si="4">
        <n x="509"/>
        <n x="185"/>
        <n x="476"/>
      </t>
    </mdx>
    <mdx n="508" f="v">
      <t c="3" si="4">
        <n x="509"/>
        <n x="117"/>
        <n x="477"/>
      </t>
    </mdx>
    <mdx n="508" f="v">
      <t c="3" si="4">
        <n x="509"/>
        <n x="53"/>
        <n x="468"/>
      </t>
    </mdx>
    <mdx n="508" f="v">
      <t c="3" si="4">
        <n x="509"/>
        <n x="118"/>
        <n x="476"/>
      </t>
    </mdx>
    <mdx n="508" f="v">
      <t c="3" si="4">
        <n x="509"/>
        <n x="375"/>
        <n x="477"/>
      </t>
    </mdx>
    <mdx n="508" f="v">
      <t c="3" si="4">
        <n x="509"/>
        <n x="455"/>
        <n x="471"/>
      </t>
    </mdx>
    <mdx n="508" f="v">
      <t c="3" si="4">
        <n x="509"/>
        <n x="357"/>
        <n x="478"/>
      </t>
    </mdx>
    <mdx n="508" f="v">
      <t c="3" si="4">
        <n x="509"/>
        <n x="456"/>
        <n x="479"/>
      </t>
    </mdx>
    <mdx n="508" f="v">
      <t c="3" si="4">
        <n x="509"/>
        <n x="361"/>
        <n x="480"/>
      </t>
    </mdx>
    <mdx n="508" f="v">
      <t c="3" si="4">
        <n x="509"/>
        <n x="186"/>
        <n x="481"/>
      </t>
    </mdx>
    <mdx n="508" f="v">
      <t c="3" si="4">
        <n x="509"/>
        <n x="453"/>
        <n x="471"/>
      </t>
    </mdx>
    <mdx n="508" f="v">
      <t c="3" si="4">
        <n x="509"/>
        <n x="454"/>
        <n x="479"/>
      </t>
    </mdx>
    <mdx n="508" f="v">
      <t c="3" si="4">
        <n x="509"/>
        <n x="174"/>
        <n x="480"/>
      </t>
    </mdx>
    <mdx n="508" f="v">
      <t c="3" si="4">
        <n x="509"/>
        <n x="211"/>
        <n x="481"/>
      </t>
    </mdx>
    <mdx n="508" f="v">
      <t c="3" si="4">
        <n x="509"/>
        <n x="197"/>
        <n x="471"/>
      </t>
    </mdx>
    <mdx n="508" f="v">
      <t c="3" si="4">
        <n x="509"/>
        <n x="351"/>
        <n x="479"/>
      </t>
    </mdx>
    <mdx n="508" f="v">
      <t c="3" si="4">
        <n x="509"/>
        <n x="458"/>
        <n x="480"/>
      </t>
    </mdx>
    <mdx n="508" f="v">
      <t c="3" si="4">
        <n x="509"/>
        <n x="68"/>
        <n x="481"/>
      </t>
    </mdx>
    <mdx n="508" f="v">
      <t c="3" si="4">
        <n x="509"/>
        <n x="45"/>
        <n x="471"/>
      </t>
    </mdx>
    <mdx n="508" f="v">
      <t c="3" si="4">
        <n x="509"/>
        <n x="462"/>
        <n x="479"/>
      </t>
    </mdx>
    <mdx n="508" f="v">
      <t c="3" si="4">
        <n x="509"/>
        <n x="433"/>
        <n x="480"/>
      </t>
    </mdx>
    <mdx n="508" f="v">
      <t c="3" si="4">
        <n x="509"/>
        <n x="28"/>
        <n x="481"/>
      </t>
    </mdx>
    <mdx n="508" f="v">
      <t c="3" si="4">
        <n x="509"/>
        <n x="427"/>
        <n x="471"/>
      </t>
    </mdx>
    <mdx n="508" f="v">
      <t c="3" si="4">
        <n x="509"/>
        <n x="62"/>
        <n x="479"/>
      </t>
    </mdx>
    <mdx n="508" f="v">
      <t c="3" si="4">
        <n x="509"/>
        <n x="342"/>
        <n x="480"/>
      </t>
    </mdx>
    <mdx n="508" f="v">
      <t c="3" si="4">
        <n x="509"/>
        <n x="325"/>
        <n x="481"/>
      </t>
    </mdx>
    <mdx n="508" f="v">
      <t c="3" si="4">
        <n x="509"/>
        <n x="419"/>
        <n x="471"/>
      </t>
    </mdx>
    <mdx n="508" f="v">
      <t c="3" si="4">
        <n x="509"/>
        <n x="170"/>
        <n x="479"/>
      </t>
    </mdx>
    <mdx n="508" f="v">
      <t c="3" si="4">
        <n x="509"/>
        <n x="82"/>
        <n x="5"/>
      </t>
    </mdx>
    <mdx n="508" f="v">
      <t c="3" si="4">
        <n x="509"/>
        <n x="241"/>
        <n x="466"/>
      </t>
    </mdx>
    <mdx n="508" f="v">
      <t c="3" si="4">
        <n x="509"/>
        <n x="413"/>
        <n x="2"/>
      </t>
    </mdx>
    <mdx n="508" f="v">
      <t c="3" si="4">
        <n x="509"/>
        <n x="437"/>
        <n x="468"/>
      </t>
    </mdx>
    <mdx n="508" f="v">
      <t c="3" si="4">
        <n x="509"/>
        <n x="92"/>
        <n x="468"/>
      </t>
    </mdx>
    <mdx n="508" f="v">
      <t c="3" si="4">
        <n x="509"/>
        <n x="429"/>
        <n x="476"/>
      </t>
    </mdx>
    <mdx n="508" f="v">
      <t c="3" si="4">
        <n x="509"/>
        <n x="277"/>
        <n x="477"/>
      </t>
    </mdx>
    <mdx n="508" f="v">
      <t c="3" si="4">
        <n x="509"/>
        <n x="414"/>
        <n x="478"/>
      </t>
    </mdx>
    <mdx n="508" f="v">
      <t c="3" si="4">
        <n x="509"/>
        <n x="350"/>
        <n x="468"/>
      </t>
    </mdx>
    <mdx n="508" f="v">
      <t c="3" si="4">
        <n x="509"/>
        <n x="341"/>
        <n x="476"/>
      </t>
    </mdx>
    <mdx n="508" f="v">
      <t c="3" si="4">
        <n x="509"/>
        <n x="172"/>
        <n x="477"/>
      </t>
    </mdx>
    <mdx n="508" f="v">
      <t c="3" si="4">
        <n x="509"/>
        <n x="16"/>
        <n x="468"/>
      </t>
    </mdx>
    <mdx n="508" f="v">
      <t c="3" si="4">
        <n x="509"/>
        <n x="116"/>
        <n x="477"/>
      </t>
    </mdx>
    <mdx n="508" f="v">
      <t c="3" si="4">
        <n x="509"/>
        <n x="418"/>
        <n x="478"/>
      </t>
    </mdx>
    <mdx n="508" f="v">
      <t c="3" si="4">
        <n x="509"/>
        <n x="282"/>
        <n x="468"/>
      </t>
    </mdx>
    <mdx n="508" f="v">
      <t c="3" si="4">
        <n x="509"/>
        <n x="300"/>
        <n x="476"/>
      </t>
    </mdx>
    <mdx n="508" f="v">
      <t c="3" si="4">
        <n x="509"/>
        <n x="308"/>
        <n x="477"/>
      </t>
    </mdx>
    <mdx n="508" f="v">
      <t c="3" si="4">
        <n x="509"/>
        <n x="136"/>
        <n x="478"/>
      </t>
    </mdx>
    <mdx n="508" f="v">
      <t c="3" si="4">
        <n x="509"/>
        <n x="97"/>
        <n x="2"/>
      </t>
    </mdx>
    <mdx n="508" f="v">
      <t c="3" si="4">
        <n x="509"/>
        <n x="435"/>
        <n x="468"/>
      </t>
    </mdx>
    <mdx n="508" f="v">
      <t c="3" si="4">
        <n x="509"/>
        <n x="58"/>
        <n x="477"/>
      </t>
    </mdx>
    <mdx n="508" f="v">
      <t c="3" si="4">
        <n x="509"/>
        <n x="110"/>
        <n x="478"/>
      </t>
    </mdx>
    <mdx n="508" f="v">
      <t c="3" si="4">
        <n x="509"/>
        <n x="127"/>
        <n x="468"/>
      </t>
    </mdx>
    <mdx n="508" f="v">
      <t c="3" si="4">
        <n x="509"/>
        <n x="77"/>
        <n x="476"/>
      </t>
    </mdx>
    <mdx n="508" f="v">
      <t c="3" si="4">
        <n x="509"/>
        <n x="311"/>
        <n x="477"/>
      </t>
    </mdx>
    <mdx n="508" f="v">
      <t c="3" si="4">
        <n x="509"/>
        <n x="106"/>
        <n x="468"/>
      </t>
    </mdx>
    <mdx n="508" f="v">
      <t c="3" si="4">
        <n x="509"/>
        <n x="32"/>
        <n x="476"/>
      </t>
    </mdx>
    <mdx n="508" f="v">
      <t c="3" si="4">
        <n x="509"/>
        <n x="413"/>
        <n x="477"/>
      </t>
    </mdx>
    <mdx n="508" f="v">
      <t c="3" si="4">
        <n x="509"/>
        <n x="16"/>
        <n x="478"/>
      </t>
    </mdx>
    <mdx n="508" f="v">
      <t c="3" si="4">
        <n x="509"/>
        <n x="140"/>
        <n x="478"/>
      </t>
    </mdx>
    <mdx n="508" f="v">
      <t c="3" si="4">
        <n x="509"/>
        <n x="263"/>
        <n x="479"/>
      </t>
    </mdx>
    <mdx n="508" f="v">
      <t c="3" si="4">
        <n x="509"/>
        <n x="377"/>
        <n x="480"/>
      </t>
    </mdx>
    <mdx n="508" f="v">
      <t c="3" si="4">
        <n x="509"/>
        <n x="233"/>
        <n x="481"/>
      </t>
    </mdx>
    <mdx n="508" f="v">
      <t c="3" si="4">
        <n x="509"/>
        <n x="432"/>
        <n x="478"/>
      </t>
    </mdx>
    <mdx n="508" f="v">
      <t c="3" si="4">
        <n x="509"/>
        <n x="189"/>
        <n x="479"/>
      </t>
    </mdx>
    <mdx n="508" f="v">
      <t c="3" si="4">
        <n x="509"/>
        <n x="442"/>
        <n x="480"/>
      </t>
    </mdx>
    <mdx n="508" f="v">
      <t c="3" si="4">
        <n x="509"/>
        <n x="358"/>
        <n x="481"/>
      </t>
    </mdx>
    <mdx n="508" f="v">
      <t c="3" si="4">
        <n x="509"/>
        <n x="461"/>
        <n x="478"/>
      </t>
    </mdx>
    <mdx n="508" f="v">
      <t c="3" si="4">
        <n x="509"/>
        <n x="83"/>
        <n x="479"/>
      </t>
    </mdx>
    <mdx n="508" f="v">
      <t c="3" si="4">
        <n x="509"/>
        <n x="212"/>
        <n x="480"/>
      </t>
    </mdx>
    <mdx n="508" f="v">
      <t c="3" si="4">
        <n x="509"/>
        <n x="291"/>
        <n x="481"/>
      </t>
    </mdx>
    <mdx n="508" f="v">
      <t c="3" si="4">
        <n x="509"/>
        <n x="276"/>
        <n x="471"/>
      </t>
    </mdx>
    <mdx n="508" f="v">
      <t c="3" si="4">
        <n x="509"/>
        <n x="165"/>
        <n x="479"/>
      </t>
    </mdx>
    <mdx n="508" f="v">
      <t c="3" si="4">
        <n x="509"/>
        <n x="44"/>
        <n x="480"/>
      </t>
    </mdx>
    <mdx n="508" f="v">
      <t c="3" si="4">
        <n x="509"/>
        <n x="149"/>
        <n x="481"/>
      </t>
    </mdx>
    <mdx n="508" f="v">
      <t c="3" si="4">
        <n x="509"/>
        <n x="182"/>
        <n x="471"/>
      </t>
    </mdx>
    <mdx n="508" f="v">
      <t c="3" si="4">
        <n x="509"/>
        <n x="255"/>
        <n x="479"/>
      </t>
    </mdx>
    <mdx n="508" f="v">
      <t c="3" si="4">
        <n x="509"/>
        <n x="186"/>
        <n x="480"/>
      </t>
    </mdx>
    <mdx n="508" f="v">
      <t c="3" si="4">
        <n x="509"/>
        <n x="333"/>
        <n x="481"/>
      </t>
    </mdx>
    <mdx n="508" f="v">
      <t c="3" si="4">
        <n x="509"/>
        <n x="272"/>
        <n x="471"/>
      </t>
    </mdx>
    <mdx n="508" f="v">
      <t c="3" si="4">
        <n x="509"/>
        <n x="238"/>
        <n x="479"/>
      </t>
    </mdx>
    <mdx n="508" f="v">
      <t c="3" si="4">
        <n x="509"/>
        <n x="333"/>
        <n x="467"/>
      </t>
    </mdx>
    <mdx n="508" f="v">
      <t c="3" si="4">
        <n x="509"/>
        <n x="450"/>
        <n x="1"/>
      </t>
    </mdx>
    <mdx n="508" f="v">
      <t c="3" si="4">
        <n x="509"/>
        <n x="172"/>
        <n x="5"/>
      </t>
    </mdx>
    <mdx n="508" f="v">
      <t c="3" si="4">
        <n x="509"/>
        <n x="234"/>
        <n x="5"/>
      </t>
    </mdx>
    <mdx n="508" f="v">
      <t c="3" si="4">
        <n x="509"/>
        <n x="303"/>
        <n x="469"/>
      </t>
    </mdx>
    <mdx n="508" f="v">
      <t c="3" si="4">
        <n x="509"/>
        <n x="157"/>
        <n x="466"/>
      </t>
    </mdx>
    <mdx n="508" f="v">
      <t c="3" si="4">
        <n x="509"/>
        <n x="166"/>
        <n x="468"/>
      </t>
    </mdx>
    <mdx n="508" f="v">
      <t c="3" si="4">
        <n x="509"/>
        <n x="224"/>
        <n x="476"/>
      </t>
    </mdx>
    <mdx n="508" f="v">
      <t c="3" si="4">
        <n x="509"/>
        <n x="392"/>
        <n x="477"/>
      </t>
    </mdx>
    <mdx n="508" f="v">
      <t c="3" si="4">
        <n x="509"/>
        <n x="161"/>
        <n x="478"/>
      </t>
    </mdx>
    <mdx n="508" f="v">
      <t c="3" si="4">
        <n x="509"/>
        <n x="291"/>
        <n x="468"/>
      </t>
    </mdx>
    <mdx n="508" f="v">
      <t c="3" si="4">
        <n x="509"/>
        <n x="213"/>
        <n x="476"/>
      </t>
    </mdx>
    <mdx n="508" f="v">
      <t c="3" si="4">
        <n x="509"/>
        <n x="96"/>
        <n x="477"/>
      </t>
    </mdx>
    <mdx n="508" f="v">
      <t c="3" si="4">
        <n x="509"/>
        <n x="60"/>
        <n x="468"/>
      </t>
    </mdx>
    <mdx n="508" f="v">
      <t c="3" si="4">
        <n x="509"/>
        <n x="114"/>
        <n x="476"/>
      </t>
    </mdx>
    <mdx n="508" f="v">
      <t c="3" si="4">
        <n x="509"/>
        <n x="171"/>
        <n x="478"/>
      </t>
    </mdx>
    <mdx n="508" f="v">
      <t c="3" si="4">
        <n x="509"/>
        <n x="256"/>
        <n x="468"/>
      </t>
    </mdx>
    <mdx n="508" f="v">
      <t c="3" si="4">
        <n x="509"/>
        <n x="72"/>
        <n x="476"/>
      </t>
    </mdx>
    <mdx n="508" f="v">
      <t c="3" si="4">
        <n x="509"/>
        <n x="79"/>
        <n x="477"/>
      </t>
    </mdx>
    <mdx n="508" f="v">
      <t c="3" si="4">
        <n x="509"/>
        <n x="408"/>
        <n x="478"/>
      </t>
    </mdx>
    <mdx n="508" f="v">
      <t c="3" si="4">
        <n x="509"/>
        <n x="122"/>
        <n x="468"/>
      </t>
    </mdx>
    <mdx n="508" f="v">
      <t c="3" si="4">
        <n x="509"/>
        <n x="56"/>
        <n x="476"/>
      </t>
    </mdx>
    <mdx n="508" f="v">
      <t c="3" si="4">
        <n x="509"/>
        <n x="287"/>
        <n x="478"/>
      </t>
    </mdx>
    <mdx n="508" f="v">
      <t c="3" si="4">
        <n x="509"/>
        <n x="450"/>
        <n x="471"/>
      </t>
    </mdx>
    <mdx n="508" f="v">
      <t c="3" si="4">
        <n x="509"/>
        <n x="295"/>
        <n x="468"/>
      </t>
    </mdx>
    <mdx n="508" f="v">
      <t c="3" si="4">
        <n x="509"/>
        <n x="149"/>
        <n x="476"/>
      </t>
    </mdx>
    <mdx n="508" f="v">
      <t c="3" si="4">
        <n x="509"/>
        <n x="53"/>
        <n x="477"/>
      </t>
    </mdx>
    <mdx n="508" f="v">
      <t c="3" si="4">
        <n x="509"/>
        <n x="338"/>
        <n x="478"/>
      </t>
    </mdx>
    <mdx n="508" f="v">
      <t c="3" si="4">
        <n x="509"/>
        <n x="24"/>
        <n x="468"/>
      </t>
    </mdx>
    <mdx n="508" f="v">
      <t c="3" si="4">
        <n x="509"/>
        <n x="333"/>
        <n x="476"/>
      </t>
    </mdx>
    <mdx n="508" f="v">
      <t c="3" si="4">
        <n x="509"/>
        <n x="421"/>
        <n x="477"/>
      </t>
    </mdx>
    <mdx n="508" f="v">
      <t c="3" si="4">
        <n x="509"/>
        <n x="395"/>
        <n x="478"/>
      </t>
    </mdx>
    <mdx n="508" f="v">
      <t c="3" si="4">
        <n x="509"/>
        <n x="111"/>
        <n x="477"/>
      </t>
    </mdx>
    <mdx n="508" f="v">
      <t c="3" si="4">
        <n x="509"/>
        <n x="76"/>
        <n x="471"/>
      </t>
    </mdx>
    <mdx n="508" f="v">
      <t c="3" si="4">
        <n x="509"/>
        <n x="310"/>
        <n x="480"/>
      </t>
    </mdx>
    <mdx n="508" f="v">
      <t c="3" si="4">
        <n x="509"/>
        <n x="42"/>
        <n x="481"/>
      </t>
    </mdx>
    <mdx n="508" f="v">
      <t c="3" si="4">
        <n x="509"/>
        <n x="251"/>
        <n x="478"/>
      </t>
    </mdx>
    <mdx n="508" f="v">
      <t c="3" si="4">
        <n x="509"/>
        <n x="37"/>
        <n x="479"/>
      </t>
    </mdx>
    <mdx n="508" f="v">
      <t c="3" si="4">
        <n x="509"/>
        <n x="309"/>
        <n x="480"/>
      </t>
    </mdx>
    <mdx n="508" f="v">
      <t c="3" si="4">
        <n x="509"/>
        <n x="20"/>
        <n x="481"/>
      </t>
    </mdx>
    <mdx n="508" f="v">
      <t c="3" si="4">
        <n x="509"/>
        <n x="356"/>
        <n x="478"/>
      </t>
    </mdx>
    <mdx n="508" f="v">
      <t c="3" si="4">
        <n x="509"/>
        <n x="168"/>
        <n x="479"/>
      </t>
    </mdx>
    <mdx n="508" f="v">
      <t c="3" si="4">
        <n x="509"/>
        <n x="387"/>
        <n x="480"/>
      </t>
    </mdx>
    <mdx n="508" f="v">
      <t c="3" si="4">
        <n x="509"/>
        <n x="150"/>
        <n x="481"/>
      </t>
    </mdx>
    <mdx n="508" f="v">
      <t c="3" si="4">
        <n x="509"/>
        <n x="72"/>
        <n x="471"/>
      </t>
    </mdx>
    <mdx n="508" f="v">
      <t c="3" si="4">
        <n x="509"/>
        <n x="233"/>
        <n x="479"/>
      </t>
    </mdx>
    <mdx n="508" f="v">
      <t c="3" si="4">
        <n x="509"/>
        <n x="311"/>
        <n x="480"/>
      </t>
    </mdx>
    <mdx n="508" f="v">
      <t c="3" si="4">
        <n x="509"/>
        <n x="238"/>
        <n x="481"/>
      </t>
    </mdx>
    <mdx n="508" f="v">
      <t c="3" si="4">
        <n x="509"/>
        <n x="203"/>
        <n x="471"/>
      </t>
    </mdx>
    <mdx n="508" f="v">
      <t c="3" si="4">
        <n x="509"/>
        <n x="15"/>
        <n x="479"/>
      </t>
    </mdx>
    <mdx n="508" f="v">
      <t c="3" si="4">
        <n x="509"/>
        <n x="59"/>
        <n x="480"/>
      </t>
    </mdx>
    <mdx n="508" f="v">
      <t c="3" si="4">
        <n x="509"/>
        <n x="112"/>
        <n x="1"/>
      </t>
    </mdx>
    <mdx n="508" f="v">
      <t c="3" si="4">
        <n x="509"/>
        <n x="22"/>
        <n x="476"/>
      </t>
    </mdx>
    <mdx n="508" f="v">
      <t c="3" si="4">
        <n x="509"/>
        <n x="173"/>
        <n x="477"/>
      </t>
    </mdx>
    <mdx n="508" f="v">
      <t c="3" si="4">
        <n x="509"/>
        <n x="377"/>
        <n x="476"/>
      </t>
    </mdx>
    <mdx n="508" f="v">
      <t c="3" si="4">
        <n x="509"/>
        <n x="36"/>
        <n x="477"/>
      </t>
    </mdx>
    <mdx n="508" f="v">
      <t c="3" si="4">
        <n x="509"/>
        <n x="21"/>
        <n x="466"/>
      </t>
    </mdx>
    <mdx n="508" f="v">
      <t c="3" si="4">
        <n x="509"/>
        <n x="237"/>
        <n x="476"/>
      </t>
    </mdx>
    <mdx n="508" f="v">
      <t c="3" si="4">
        <n x="509"/>
        <n x="435"/>
        <n x="478"/>
      </t>
    </mdx>
    <mdx n="508" f="v">
      <t c="3" si="4">
        <n x="509"/>
        <n x="115"/>
        <n x="468"/>
      </t>
    </mdx>
    <mdx n="508" f="v">
      <t c="3" si="4">
        <n x="509"/>
        <n x="267"/>
        <n x="477"/>
      </t>
    </mdx>
    <mdx n="508" f="v">
      <t c="3" si="4">
        <n x="509"/>
        <n x="280"/>
        <n x="478"/>
      </t>
    </mdx>
    <mdx n="508" f="v">
      <t c="3" si="4">
        <n x="509"/>
        <n x="86"/>
        <n x="466"/>
      </t>
    </mdx>
    <mdx n="508" f="v">
      <t c="3" si="4">
        <n x="509"/>
        <n x="280"/>
        <n x="476"/>
      </t>
    </mdx>
    <mdx n="508" f="v">
      <t c="3" si="4">
        <n x="509"/>
        <n x="227"/>
        <n x="477"/>
      </t>
    </mdx>
    <mdx n="508" f="v">
      <t c="3" si="4">
        <n x="509"/>
        <n x="400"/>
        <n x="1"/>
      </t>
    </mdx>
    <mdx n="508" f="v">
      <t c="3" si="4">
        <n x="509"/>
        <n x="132"/>
        <n x="476"/>
      </t>
    </mdx>
    <mdx n="508" f="v">
      <t c="3" si="4">
        <n x="509"/>
        <n x="238"/>
        <n x="477"/>
      </t>
    </mdx>
    <mdx n="508" f="v">
      <t c="3" si="4">
        <n x="509"/>
        <n x="323"/>
        <n x="476"/>
      </t>
    </mdx>
    <mdx n="508" f="v">
      <t c="3" si="4">
        <n x="509"/>
        <n x="209"/>
        <n x="477"/>
      </t>
    </mdx>
    <mdx n="508" f="v">
      <t c="3" si="4">
        <n x="509"/>
        <n x="184"/>
        <n x="471"/>
      </t>
    </mdx>
    <mdx n="508" f="v">
      <t c="3" si="4">
        <n x="509"/>
        <n x="328"/>
        <n x="471"/>
      </t>
    </mdx>
    <mdx n="508" f="v">
      <t c="3" si="4">
        <n x="509"/>
        <n x="365"/>
        <n x="480"/>
      </t>
    </mdx>
    <mdx n="508" f="v">
      <t c="3" si="4">
        <n x="509"/>
        <n x="442"/>
        <n x="481"/>
      </t>
    </mdx>
    <mdx n="508" f="v">
      <t c="3" si="4">
        <n x="509"/>
        <n x="114"/>
        <n x="471"/>
      </t>
    </mdx>
    <mdx n="508" f="v">
      <t c="3" si="4">
        <n x="509"/>
        <n x="37"/>
        <n x="480"/>
      </t>
    </mdx>
    <mdx n="508" f="v">
      <t c="3" si="4">
        <n x="509"/>
        <n x="78"/>
        <n x="481"/>
      </t>
    </mdx>
    <mdx n="508" f="v">
      <t c="3" si="4">
        <n x="509"/>
        <n x="116"/>
        <n x="471"/>
      </t>
    </mdx>
    <mdx n="508" f="v">
      <t c="3" si="4">
        <n x="509"/>
        <n x="168"/>
        <n x="480"/>
      </t>
    </mdx>
    <mdx n="508" f="v">
      <t c="3" si="4">
        <n x="509"/>
        <n x="317"/>
        <n x="481"/>
      </t>
    </mdx>
    <mdx n="508" f="v">
      <t c="3" si="4">
        <n x="509"/>
        <n x="83"/>
        <n x="471"/>
      </t>
    </mdx>
    <mdx n="508" f="v">
      <t c="3" si="4">
        <n x="509"/>
        <n x="431"/>
        <n x="480"/>
      </t>
    </mdx>
    <mdx n="508" f="v">
      <t c="3" si="4">
        <n x="509"/>
        <n x="206"/>
        <n x="473"/>
      </t>
    </mdx>
    <mdx n="508" f="v">
      <t c="3" si="4">
        <n x="509"/>
        <n x="318"/>
        <n x="2"/>
      </t>
    </mdx>
    <mdx n="508" f="v">
      <t c="3" si="475">
        <n x="509"/>
        <n x="320"/>
        <n x="474"/>
      </t>
    </mdx>
    <mdx n="508" f="v">
      <t c="3" si="4">
        <n x="509"/>
        <n x="323"/>
        <n x="5"/>
      </t>
    </mdx>
    <mdx n="508" f="v">
      <t c="3" si="4">
        <n x="509"/>
        <n x="33"/>
        <n x="466"/>
      </t>
    </mdx>
    <mdx n="508" f="v">
      <t c="3" si="4">
        <n x="509"/>
        <n x="299"/>
        <n x="466"/>
      </t>
    </mdx>
    <mdx n="508" f="v">
      <t c="3" si="4">
        <n x="509"/>
        <n x="99"/>
        <n x="466"/>
      </t>
    </mdx>
    <mdx n="508" f="v">
      <t c="3" si="4">
        <n x="509"/>
        <n x="255"/>
        <n x="476"/>
      </t>
    </mdx>
    <mdx n="508" f="v">
      <t c="3" si="4">
        <n x="509"/>
        <n x="107"/>
        <n x="477"/>
      </t>
    </mdx>
    <mdx n="508" f="v">
      <t c="3" si="4">
        <n x="509"/>
        <n x="425"/>
        <n x="468"/>
      </t>
    </mdx>
    <mdx n="508" f="v">
      <t c="3" si="4">
        <n x="509"/>
        <n x="201"/>
        <n x="476"/>
      </t>
    </mdx>
    <mdx n="508" f="v">
      <t c="3" si="4">
        <n x="509"/>
        <n x="80"/>
        <n x="477"/>
      </t>
    </mdx>
    <mdx n="508" f="v">
      <t c="3" si="4">
        <n x="509"/>
        <n x="260"/>
        <n x="468"/>
      </t>
    </mdx>
    <mdx n="508" f="v">
      <t c="3" si="4">
        <n x="509"/>
        <n x="449"/>
        <n x="476"/>
      </t>
    </mdx>
    <mdx n="508" f="v">
      <t c="3" si="4">
        <n x="509"/>
        <n x="154"/>
        <n x="477"/>
      </t>
    </mdx>
    <mdx n="508" f="v">
      <t c="3" si="4">
        <n x="509"/>
        <n x="97"/>
        <n x="468"/>
      </t>
    </mdx>
    <mdx n="508" f="v">
      <t c="3" si="4">
        <n x="509"/>
        <n x="452"/>
        <n x="476"/>
      </t>
    </mdx>
    <mdx n="508" f="v">
      <t c="3" si="4">
        <n x="509"/>
        <n x="297"/>
        <n x="477"/>
      </t>
    </mdx>
    <mdx n="508" f="v">
      <t c="3" si="4">
        <n x="509"/>
        <n x="90"/>
        <n x="478"/>
      </t>
    </mdx>
    <mdx n="508" f="v">
      <t c="3" si="4">
        <n x="509"/>
        <n x="350"/>
        <n x="466"/>
      </t>
    </mdx>
    <mdx n="508" f="v">
      <t c="3" si="4">
        <n x="509"/>
        <n x="89"/>
        <n x="476"/>
      </t>
    </mdx>
    <mdx n="508" f="v">
      <t c="3" si="4">
        <n x="509"/>
        <n x="156"/>
        <n x="477"/>
      </t>
    </mdx>
    <mdx n="508" f="v">
      <t c="3" si="4">
        <n x="509"/>
        <n x="72"/>
        <n x="478"/>
      </t>
    </mdx>
    <mdx n="508" f="v">
      <t c="3" si="4">
        <n x="509"/>
        <n x="201"/>
        <n x="468"/>
      </t>
    </mdx>
    <mdx n="508" f="v">
      <t c="3" si="4">
        <n x="509"/>
        <n x="80"/>
        <n x="476"/>
      </t>
    </mdx>
    <mdx n="508" f="v">
      <t c="3" si="4">
        <n x="509"/>
        <n x="33"/>
        <n x="478"/>
      </t>
    </mdx>
    <mdx n="508" f="v">
      <t c="3" si="4">
        <n x="509"/>
        <n x="380"/>
        <n x="1"/>
      </t>
    </mdx>
    <mdx n="508" f="v">
      <t c="3" si="4">
        <n x="509"/>
        <n x="444"/>
        <n x="468"/>
      </t>
    </mdx>
    <mdx n="508" f="v">
      <t c="3" si="4">
        <n x="509"/>
        <n x="450"/>
        <n x="477"/>
      </t>
    </mdx>
    <mdx n="508" f="v">
      <t c="3" si="4">
        <n x="509"/>
        <n x="235"/>
        <n x="478"/>
      </t>
    </mdx>
    <mdx n="508" f="v">
      <t c="3" si="4">
        <n x="509"/>
        <n x="442"/>
        <n x="471"/>
      </t>
    </mdx>
    <mdx n="508" f="v">
      <t c="3" si="4">
        <n x="509"/>
        <n x="196"/>
        <n x="471"/>
      </t>
    </mdx>
    <mdx n="508" f="v">
      <t c="3" si="4">
        <n x="509"/>
        <n x="463"/>
        <n x="479"/>
      </t>
    </mdx>
    <mdx n="508" f="v">
      <t c="3" si="4">
        <n x="509"/>
        <n x="250"/>
        <n x="480"/>
      </t>
    </mdx>
    <mdx n="508" f="v">
      <t c="3" si="4">
        <n x="509"/>
        <n x="66"/>
        <n x="481"/>
      </t>
    </mdx>
    <mdx n="508" f="v">
      <t c="3" si="4">
        <n x="509"/>
        <n x="434"/>
        <n x="471"/>
      </t>
    </mdx>
    <mdx n="508" f="v">
      <t c="3" si="4">
        <n x="509"/>
        <n x="452"/>
        <n x="479"/>
      </t>
    </mdx>
    <mdx n="508" f="v">
      <t c="3" si="4">
        <n x="509"/>
        <n x="71"/>
        <n x="480"/>
      </t>
    </mdx>
    <mdx n="508" f="v">
      <t c="3" si="4">
        <n x="509"/>
        <n x="179"/>
        <n x="481"/>
      </t>
    </mdx>
    <mdx n="508" f="v">
      <t c="3" si="4">
        <n x="509"/>
        <n x="50"/>
        <n x="471"/>
      </t>
    </mdx>
    <mdx n="508" f="v">
      <t c="3" si="4">
        <n x="509"/>
        <n x="98"/>
        <n x="479"/>
      </t>
    </mdx>
    <mdx n="508" f="v">
      <t c="3" si="4">
        <n x="509"/>
        <n x="376"/>
        <n x="480"/>
      </t>
    </mdx>
    <mdx n="508" f="v">
      <t c="3" si="4">
        <n x="509"/>
        <n x="139"/>
        <n x="471"/>
      </t>
    </mdx>
    <mdx n="508" f="v">
      <t c="3" si="4">
        <n x="509"/>
        <n x="348"/>
        <n x="479"/>
      </t>
    </mdx>
    <mdx n="508" f="v">
      <t c="3" si="4">
        <n x="509"/>
        <n x="248"/>
        <n x="480"/>
      </t>
    </mdx>
    <mdx n="508" f="v">
      <t c="3" si="4">
        <n x="509"/>
        <n x="336"/>
        <n x="471"/>
      </t>
    </mdx>
    <mdx n="508" f="v">
      <t c="3" si="4">
        <n x="509"/>
        <n x="54"/>
        <n x="479"/>
      </t>
    </mdx>
    <mdx n="508" f="v">
      <t c="3" si="4">
        <n x="509"/>
        <n x="392"/>
        <n x="480"/>
      </t>
    </mdx>
    <mdx n="508" f="v">
      <t c="3" si="4">
        <n x="509"/>
        <n x="335"/>
        <n x="471"/>
      </t>
    </mdx>
    <mdx n="508" f="v">
      <t c="3" si="4">
        <n x="509"/>
        <n x="199"/>
        <n x="479"/>
      </t>
    </mdx>
    <mdx n="508" f="v">
      <t c="3" si="4">
        <n x="509"/>
        <n x="69"/>
        <n x="469"/>
      </t>
    </mdx>
    <mdx n="508" f="v">
      <t c="3" si="4">
        <n x="509"/>
        <n x="188"/>
        <n x="466"/>
      </t>
    </mdx>
    <mdx n="508" f="v">
      <t c="3" si="4">
        <n x="509"/>
        <n x="230"/>
        <n x="468"/>
      </t>
    </mdx>
    <mdx n="508" f="v">
      <t c="3" si="4">
        <n x="509"/>
        <n x="65"/>
        <n x="476"/>
      </t>
    </mdx>
    <mdx n="508" f="v">
      <t c="3" si="4">
        <n x="509"/>
        <n x="200"/>
        <n x="477"/>
      </t>
    </mdx>
    <mdx n="508" f="v">
      <t c="3" si="4">
        <n x="509"/>
        <n x="380"/>
        <n x="468"/>
      </t>
    </mdx>
    <mdx n="508" f="v">
      <t c="3" si="4">
        <n x="509"/>
        <n x="205"/>
        <n x="476"/>
      </t>
    </mdx>
    <mdx n="508" f="v">
      <t c="3" si="4">
        <n x="509"/>
        <n x="376"/>
        <n x="477"/>
      </t>
    </mdx>
    <mdx n="508" f="v">
      <t c="3" si="4">
        <n x="509"/>
        <n x="151"/>
        <n x="466"/>
      </t>
    </mdx>
    <mdx n="508" f="v">
      <t c="3" si="4">
        <n x="509"/>
        <n x="37"/>
        <n x="476"/>
      </t>
    </mdx>
    <mdx n="508" f="v">
      <t c="3" si="4">
        <n x="509"/>
        <n x="312"/>
        <n x="477"/>
      </t>
    </mdx>
    <mdx n="508" f="v">
      <t c="3" si="4">
        <n x="509"/>
        <n x="241"/>
        <n x="478"/>
      </t>
    </mdx>
    <mdx n="508" f="v">
      <t c="3" si="4">
        <n x="509"/>
        <n x="184"/>
        <n x="468"/>
      </t>
    </mdx>
    <mdx n="508" f="v">
      <t c="3" si="4">
        <n x="509"/>
        <n x="326"/>
        <n x="476"/>
      </t>
    </mdx>
    <mdx n="508" f="v">
      <t c="3" si="4">
        <n x="509"/>
        <n x="142"/>
        <n x="477"/>
      </t>
    </mdx>
    <mdx n="508" f="v">
      <t c="3" si="4">
        <n x="509"/>
        <n x="223"/>
        <n x="478"/>
      </t>
    </mdx>
    <mdx n="508" f="v">
      <t c="3" si="4">
        <n x="509"/>
        <n x="273"/>
        <n x="466"/>
      </t>
    </mdx>
    <mdx n="508" f="v">
      <t c="3" si="4">
        <n x="509"/>
        <n x="328"/>
        <n x="476"/>
      </t>
    </mdx>
    <mdx n="508" f="v">
      <t c="3" si="4">
        <n x="509"/>
        <n x="167"/>
        <n x="477"/>
      </t>
    </mdx>
    <mdx n="508" f="v">
      <t c="3" si="4">
        <n x="509"/>
        <n x="368"/>
        <n x="478"/>
      </t>
    </mdx>
    <mdx n="508" f="v">
      <t c="3" si="4">
        <n x="509"/>
        <n x="274"/>
        <n x="468"/>
      </t>
    </mdx>
    <mdx n="508" f="v">
      <t c="3" si="4">
        <n x="509"/>
        <n x="404"/>
        <n x="476"/>
      </t>
    </mdx>
    <mdx n="508" f="v">
      <t c="3" si="4">
        <n x="509"/>
        <n x="310"/>
        <n x="477"/>
      </t>
    </mdx>
    <mdx n="508" f="v">
      <t c="3" si="4">
        <n x="509"/>
        <n x="135"/>
        <n x="468"/>
      </t>
    </mdx>
    <mdx n="508" f="v">
      <t c="3" si="4">
        <n x="509"/>
        <n x="365"/>
        <n x="476"/>
      </t>
    </mdx>
    <mdx n="508" f="v">
      <t c="3" si="4">
        <n x="509"/>
        <n x="460"/>
        <n x="478"/>
      </t>
    </mdx>
    <mdx n="508" f="v">
      <t c="3" si="4">
        <n x="509"/>
        <n x="454"/>
        <n x="471"/>
      </t>
    </mdx>
    <mdx n="508" f="v">
      <t c="3" si="4">
        <n x="509"/>
        <n x="131"/>
        <n x="478"/>
      </t>
    </mdx>
    <mdx n="508" f="v">
      <t c="3" si="4">
        <n x="509"/>
        <n x="221"/>
        <n x="479"/>
      </t>
    </mdx>
    <mdx n="508" f="v">
      <t c="3" si="4">
        <n x="509"/>
        <n x="339"/>
        <n x="480"/>
      </t>
    </mdx>
    <mdx n="508" f="v">
      <t c="3" si="4">
        <n x="509"/>
        <n x="349"/>
        <n x="481"/>
      </t>
    </mdx>
    <mdx n="508" f="v">
      <t c="3" si="4">
        <n x="509"/>
        <n x="195"/>
        <n x="471"/>
      </t>
    </mdx>
    <mdx n="508" f="v">
      <t c="3" si="4">
        <n x="509"/>
        <n x="70"/>
        <n x="479"/>
      </t>
    </mdx>
    <mdx n="508" f="v">
      <t c="3" si="4">
        <n x="509"/>
        <n x="244"/>
        <n x="480"/>
      </t>
    </mdx>
    <mdx n="508" f="v">
      <t c="3" si="4">
        <n x="509"/>
        <n x="64"/>
        <n x="481"/>
      </t>
    </mdx>
    <mdx n="508" f="v">
      <t c="3" si="4">
        <n x="509"/>
        <n x="66"/>
        <n x="471"/>
      </t>
    </mdx>
    <mdx n="508" f="v">
      <t c="3" si="4">
        <n x="509"/>
        <n x="448"/>
        <n x="479"/>
      </t>
    </mdx>
    <mdx n="508" f="v">
      <t c="3" si="4">
        <n x="509"/>
        <n x="165"/>
        <n x="480"/>
      </t>
    </mdx>
    <mdx n="508" f="v">
      <t c="3" si="4">
        <n x="509"/>
        <n x="71"/>
        <n x="481"/>
      </t>
    </mdx>
    <mdx n="508" f="v">
      <t c="3" si="4">
        <n x="509"/>
        <n x="156"/>
        <n x="471"/>
      </t>
    </mdx>
    <mdx n="508" f="v">
      <t c="3" si="4">
        <n x="509"/>
        <n x="447"/>
        <n x="479"/>
      </t>
    </mdx>
    <mdx n="508" f="v">
      <t c="3" si="4">
        <n x="509"/>
        <n x="262"/>
        <n x="480"/>
      </t>
    </mdx>
    <mdx n="508" f="v">
      <t c="3" si="4">
        <n x="509"/>
        <n x="123"/>
        <n x="481"/>
      </t>
    </mdx>
    <mdx n="508" f="v">
      <t c="3" si="4">
        <n x="509"/>
        <n x="421"/>
        <n x="471"/>
      </t>
    </mdx>
    <mdx n="508" f="v">
      <t c="3" si="4">
        <n x="509"/>
        <n x="433"/>
        <n x="479"/>
      </t>
    </mdx>
    <mdx n="508" f="v">
      <t c="3" si="4">
        <n x="509"/>
        <n x="130"/>
        <n x="480"/>
      </t>
    </mdx>
    <mdx n="508" f="v">
      <t c="3" si="4">
        <n x="509"/>
        <n x="316"/>
        <n x="481"/>
      </t>
    </mdx>
    <mdx n="508" f="v">
      <t c="3" si="4">
        <n x="509"/>
        <n x="264"/>
        <n x="471"/>
      </t>
    </mdx>
    <mdx n="508" f="v">
      <t c="3" si="4">
        <n x="509"/>
        <n x="342"/>
        <n x="479"/>
      </t>
    </mdx>
    <mdx n="508" f="v">
      <t c="3" si="4">
        <n x="509"/>
        <n x="42"/>
        <n x="469"/>
      </t>
    </mdx>
    <mdx n="508" f="v">
      <t c="3" si="4">
        <n x="509"/>
        <n x="306"/>
        <n x="470"/>
      </t>
    </mdx>
    <mdx n="508" f="v">
      <t c="3" si="4">
        <n x="509"/>
        <n x="434"/>
        <n x="1"/>
      </t>
    </mdx>
    <mdx n="508" f="v">
      <t c="3" si="4">
        <n x="509"/>
        <n x="416"/>
        <n x="468"/>
      </t>
    </mdx>
    <mdx n="508" f="v">
      <t c="3" si="4">
        <n x="509"/>
        <n x="182"/>
        <n x="468"/>
      </t>
    </mdx>
    <mdx n="508" f="v">
      <t c="3" si="4">
        <n x="509"/>
        <n x="411"/>
        <n x="476"/>
      </t>
    </mdx>
    <mdx n="508" f="v">
      <t c="3" si="4">
        <n x="509"/>
        <n x="436"/>
        <n x="477"/>
      </t>
    </mdx>
    <mdx n="508" f="v">
      <t c="3" si="4">
        <n x="509"/>
        <n x="332"/>
        <n x="478"/>
      </t>
    </mdx>
    <mdx n="508" f="v">
      <t c="3" si="4">
        <n x="509"/>
        <n x="455"/>
        <n x="468"/>
      </t>
    </mdx>
    <mdx n="508" f="v">
      <t c="3" si="4">
        <n x="509"/>
        <n x="127"/>
        <n x="476"/>
      </t>
    </mdx>
    <mdx n="508" f="v">
      <t c="3" si="4">
        <n x="509"/>
        <n x="414"/>
        <n x="477"/>
      </t>
    </mdx>
    <mdx n="508" f="v">
      <t c="3" si="4">
        <n x="509"/>
        <n x="436"/>
        <n x="466"/>
      </t>
    </mdx>
    <mdx n="508" f="v">
      <t c="3" si="4">
        <n x="509"/>
        <n x="302"/>
        <n x="468"/>
      </t>
    </mdx>
    <mdx n="508" f="v">
      <t c="3" si="4">
        <n x="509"/>
        <n x="309"/>
        <n x="477"/>
      </t>
    </mdx>
    <mdx n="508" f="v">
      <t c="3" si="4">
        <n x="509"/>
        <n x="137"/>
        <n x="478"/>
      </t>
    </mdx>
    <mdx n="508" f="v">
      <t c="3" si="4">
        <n x="509"/>
        <n x="439"/>
        <n x="468"/>
      </t>
    </mdx>
    <mdx n="508" f="v">
      <t c="3" si="4">
        <n x="509"/>
        <n x="252"/>
        <n x="476"/>
      </t>
    </mdx>
    <mdx n="508" f="v">
      <t c="3" si="4">
        <n x="509"/>
        <n x="431"/>
        <n x="477"/>
      </t>
    </mdx>
    <mdx n="508" f="v">
      <t c="3" si="4">
        <n x="509"/>
        <n x="325"/>
        <n x="478"/>
      </t>
    </mdx>
    <mdx n="508" f="v">
      <t c="3" si="4">
        <n x="509"/>
        <n x="264"/>
        <n x="1"/>
      </t>
    </mdx>
    <mdx n="508" f="v">
      <t c="3" si="4">
        <n x="509"/>
        <n x="415"/>
        <n x="468"/>
      </t>
    </mdx>
    <mdx n="508" f="v">
      <t c="3" si="4">
        <n x="509"/>
        <n x="45"/>
        <n x="477"/>
      </t>
    </mdx>
    <mdx n="508" f="v">
      <t c="3" si="4">
        <n x="509"/>
        <n x="89"/>
        <n x="478"/>
      </t>
    </mdx>
    <mdx n="508" f="v">
      <t c="3" si="4">
        <n x="509"/>
        <n x="109"/>
        <n x="468"/>
      </t>
    </mdx>
    <mdx n="508" f="v">
      <t c="3" si="4">
        <n x="509"/>
        <n x="261"/>
        <n x="476"/>
      </t>
    </mdx>
    <mdx n="508" f="v">
      <t c="3" si="4">
        <n x="509"/>
        <n x="422"/>
        <n x="477"/>
      </t>
    </mdx>
    <mdx n="508" f="v">
      <t c="3" si="4">
        <n x="509"/>
        <n x="373"/>
        <n x="468"/>
      </t>
    </mdx>
    <mdx n="508" f="v">
      <t c="3" si="4">
        <n x="509"/>
        <n x="50"/>
        <n x="476"/>
      </t>
    </mdx>
    <mdx n="508" f="v">
      <t c="3" si="4">
        <n x="509"/>
        <n x="68"/>
        <n x="477"/>
      </t>
    </mdx>
    <mdx n="508" f="v">
      <t c="3" si="4">
        <n x="509"/>
        <n x="302"/>
        <n x="478"/>
      </t>
    </mdx>
    <mdx n="508" f="v">
      <t c="3" si="4">
        <n x="509"/>
        <n x="91"/>
        <n x="478"/>
      </t>
    </mdx>
    <mdx n="508" f="v">
      <t c="3" si="4">
        <n x="509"/>
        <n x="246"/>
        <n x="479"/>
      </t>
    </mdx>
    <mdx n="508" f="v">
      <t c="3" si="4">
        <n x="509"/>
        <n x="284"/>
        <n x="480"/>
      </t>
    </mdx>
    <mdx n="508" f="v">
      <t c="3" si="4">
        <n x="509"/>
        <n x="99"/>
        <n x="481"/>
      </t>
    </mdx>
    <mdx n="508" f="v">
      <t c="3" si="4">
        <n x="509"/>
        <n x="331"/>
        <n x="478"/>
      </t>
    </mdx>
    <mdx n="508" f="v">
      <t c="3" si="4">
        <n x="509"/>
        <n x="69"/>
        <n x="479"/>
      </t>
    </mdx>
    <mdx n="508" f="v">
      <t c="3" si="4">
        <n x="509"/>
        <n x="336"/>
        <n x="480"/>
      </t>
    </mdx>
    <mdx n="508" f="v">
      <t c="3" si="4">
        <n x="509"/>
        <n x="165"/>
        <n x="481"/>
      </t>
    </mdx>
    <mdx n="508" f="v">
      <t c="3" si="4">
        <n x="509"/>
        <n x="424"/>
        <n x="478"/>
      </t>
    </mdx>
    <mdx n="508" f="v">
      <t c="3" si="4">
        <n x="509"/>
        <n x="355"/>
        <n x="479"/>
      </t>
    </mdx>
    <mdx n="508" f="v">
      <t c="3" si="4">
        <n x="509"/>
        <n x="269"/>
        <n x="480"/>
      </t>
    </mdx>
    <mdx n="508" f="v">
      <t c="3" si="4">
        <n x="509"/>
        <n x="181"/>
        <n x="481"/>
      </t>
    </mdx>
    <mdx n="508" f="v">
      <t c="3" si="4">
        <n x="509"/>
        <n x="58"/>
        <n x="471"/>
      </t>
    </mdx>
    <mdx n="508" f="v">
      <t c="3" si="4">
        <n x="509"/>
        <n x="412"/>
        <n x="479"/>
      </t>
    </mdx>
    <mdx n="508" f="v">
      <t c="3" si="4">
        <n x="509"/>
        <n x="192"/>
        <n x="480"/>
      </t>
    </mdx>
    <mdx n="508" f="v">
      <t c="3" si="4">
        <n x="509"/>
        <n x="334"/>
        <n x="481"/>
      </t>
    </mdx>
    <mdx n="508" f="v">
      <t c="3" si="4">
        <n x="509"/>
        <n x="356"/>
        <n x="471"/>
      </t>
    </mdx>
    <mdx n="508" f="v">
      <t c="3" si="4">
        <n x="509"/>
        <n x="128"/>
        <n x="479"/>
      </t>
    </mdx>
    <mdx n="508" f="v">
      <t c="3" si="4">
        <n x="509"/>
        <n x="412"/>
        <n x="480"/>
      </t>
    </mdx>
    <mdx n="508" f="v">
      <t c="3" si="4">
        <n x="509"/>
        <n x="393"/>
        <n x="481"/>
      </t>
    </mdx>
    <mdx n="508" f="v">
      <t c="3" si="4">
        <n x="509"/>
        <n x="270"/>
        <n x="471"/>
      </t>
    </mdx>
    <mdx n="508" f="v">
      <t c="3" si="4">
        <n x="509"/>
        <n x="322"/>
        <n x="479"/>
      </t>
    </mdx>
    <mdx n="508" f="v">
      <t c="3" si="4">
        <n x="509"/>
        <n x="384"/>
        <n x="480"/>
      </t>
    </mdx>
    <mdx n="508" f="v">
      <t c="3" si="4">
        <n x="509"/>
        <n x="167"/>
        <n x="2"/>
      </t>
    </mdx>
    <mdx n="508" f="v">
      <t c="3" si="4">
        <n x="509"/>
        <n x="162"/>
        <n x="2"/>
      </t>
    </mdx>
    <mdx n="508" f="v">
      <t c="3" si="4">
        <n x="509"/>
        <n x="60"/>
        <n x="466"/>
      </t>
    </mdx>
    <mdx n="508" f="v">
      <t c="3" si="4">
        <n x="509"/>
        <n x="89"/>
        <n x="470"/>
      </t>
    </mdx>
    <mdx n="508" f="v">
      <t c="3" si="4">
        <n x="509"/>
        <n x="7"/>
        <n x="468"/>
      </t>
    </mdx>
    <mdx n="508" f="v">
      <t c="3" si="4">
        <n x="509"/>
        <n x="425"/>
        <n x="476"/>
      </t>
    </mdx>
    <mdx n="508" f="v">
      <t c="3" si="4">
        <n x="509"/>
        <n x="287"/>
        <n x="477"/>
      </t>
    </mdx>
    <mdx n="508" f="v">
      <t c="3" si="4">
        <n x="509"/>
        <n x="136"/>
        <n x="468"/>
      </t>
    </mdx>
    <mdx n="508" f="v">
      <t c="3" si="4">
        <n x="509"/>
        <n x="388"/>
        <n x="476"/>
      </t>
    </mdx>
    <mdx n="508" f="v">
      <t c="3" si="4">
        <n x="509"/>
        <n x="271"/>
        <n x="477"/>
      </t>
    </mdx>
    <mdx n="508" f="v">
      <t c="3" si="4">
        <n x="509"/>
        <n x="134"/>
        <n x="466"/>
      </t>
    </mdx>
    <mdx n="508" f="v">
      <t c="3" si="4">
        <n x="509"/>
        <n x="116"/>
        <n x="476"/>
      </t>
    </mdx>
    <mdx n="508" f="v">
      <t c="3" si="4">
        <n x="509"/>
        <n x="233"/>
        <n x="477"/>
      </t>
    </mdx>
    <mdx n="508" f="v">
      <t c="3" si="4">
        <n x="509"/>
        <n x="87"/>
        <n x="478"/>
      </t>
    </mdx>
    <mdx n="508" f="v">
      <t c="3" si="4">
        <n x="509"/>
        <n x="276"/>
        <n x="468"/>
      </t>
    </mdx>
    <mdx n="508" f="v">
      <t c="3" si="4">
        <n x="509"/>
        <n x="456"/>
        <n x="466"/>
      </t>
    </mdx>
    <mdx n="508" f="v">
      <t c="3" si="4">
        <n x="509"/>
        <n x="243"/>
        <n x="466"/>
      </t>
    </mdx>
    <mdx n="508" f="v">
      <t c="3" si="4">
        <n x="509"/>
        <n x="316"/>
        <n x="466"/>
      </t>
    </mdx>
    <mdx n="508" f="v">
      <t c="3" si="4">
        <n x="509"/>
        <n x="125"/>
        <n x="476"/>
      </t>
    </mdx>
    <mdx n="508" f="v">
      <t c="3" si="4">
        <n x="509"/>
        <n x="294"/>
        <n x="477"/>
      </t>
    </mdx>
    <mdx n="508" f="v">
      <t c="3" si="4">
        <n x="509"/>
        <n x="255"/>
        <n x="5"/>
      </t>
    </mdx>
    <mdx n="508" f="v">
      <t c="3" si="4">
        <n x="509"/>
        <n x="15"/>
        <n x="476"/>
      </t>
    </mdx>
    <mdx n="508" f="v">
      <t c="3" si="4">
        <n x="509"/>
        <n x="27"/>
        <n x="477"/>
      </t>
    </mdx>
    <mdx n="508" f="v">
      <t c="3" si="4">
        <n x="509"/>
        <n x="454"/>
        <n x="468"/>
      </t>
    </mdx>
    <mdx n="508" f="v">
      <t c="3" si="4">
        <n x="509"/>
        <n x="142"/>
        <n x="476"/>
      </t>
    </mdx>
    <mdx n="508" f="v">
      <t c="3" si="4">
        <n x="509"/>
        <n x="44"/>
        <n x="478"/>
      </t>
    </mdx>
    <mdx n="508" f="v">
      <t c="3" si="4">
        <n x="509"/>
        <n x="142"/>
        <n x="468"/>
      </t>
    </mdx>
    <mdx n="508" f="v">
      <t c="3" si="4">
        <n x="509"/>
        <n x="14"/>
        <n x="477"/>
      </t>
    </mdx>
    <mdx n="508" f="v">
      <t c="3" si="4">
        <n x="509"/>
        <n x="254"/>
        <n x="478"/>
      </t>
    </mdx>
    <mdx n="508" f="v">
      <t c="3" si="4">
        <n x="509"/>
        <n x="151"/>
        <n x="468"/>
      </t>
    </mdx>
    <mdx n="508" f="v">
      <t c="3" si="4">
        <n x="509"/>
        <n x="105"/>
        <n x="476"/>
      </t>
    </mdx>
    <mdx n="508" f="v">
      <t c="3" si="4">
        <n x="509"/>
        <n x="119"/>
        <n x="478"/>
      </t>
    </mdx>
    <mdx n="508" f="v">
      <t c="3" si="4">
        <n x="509"/>
        <n x="244"/>
        <n x="466"/>
      </t>
    </mdx>
    <mdx n="508" f="v">
      <t c="3" si="4">
        <n x="509"/>
        <n x="174"/>
        <n x="476"/>
      </t>
    </mdx>
    <mdx n="508" f="v">
      <t c="3" si="4">
        <n x="509"/>
        <n x="331"/>
        <n x="477"/>
      </t>
    </mdx>
    <mdx n="508" f="v">
      <t c="3" si="4">
        <n x="509"/>
        <n x="227"/>
        <n x="466"/>
      </t>
    </mdx>
    <mdx n="508" f="v">
      <t c="3" si="4">
        <n x="509"/>
        <n x="413"/>
        <n x="476"/>
      </t>
    </mdx>
    <mdx n="508" f="v">
      <t c="3" si="4">
        <n x="509"/>
        <n x="114"/>
        <n x="477"/>
      </t>
    </mdx>
    <mdx n="508" f="v">
      <t c="3" si="4">
        <n x="509"/>
        <n x="166"/>
        <n x="471"/>
      </t>
    </mdx>
    <mdx n="508" f="v">
      <t c="3" si="4">
        <n x="509"/>
        <n x="112"/>
        <n x="471"/>
      </t>
    </mdx>
    <mdx n="508" f="v">
      <t c="3" si="4">
        <n x="509"/>
        <n x="83"/>
        <n x="480"/>
      </t>
    </mdx>
    <mdx n="508" f="v">
      <t c="3" si="4">
        <n x="509"/>
        <n x="183"/>
        <n x="481"/>
      </t>
    </mdx>
    <mdx n="508" f="v">
      <t c="3" si="4">
        <n x="509"/>
        <n x="375"/>
        <n x="471"/>
      </t>
    </mdx>
    <mdx n="508" f="v">
      <t c="3" si="4">
        <n x="509"/>
        <n x="70"/>
        <n x="480"/>
      </t>
    </mdx>
    <mdx n="508" f="v">
      <t c="3" si="4">
        <n x="509"/>
        <n x="39"/>
        <n x="481"/>
      </t>
    </mdx>
    <mdx n="508" f="v">
      <t c="3" si="4">
        <n x="509"/>
        <n x="309"/>
        <n x="471"/>
      </t>
    </mdx>
    <mdx n="508" f="v">
      <t c="3" si="4">
        <n x="509"/>
        <n x="184"/>
        <n x="480"/>
      </t>
    </mdx>
    <mdx n="508" f="v">
      <t c="3" si="4">
        <n x="509"/>
        <n x="299"/>
        <n x="468"/>
      </t>
    </mdx>
    <mdx n="508" f="v">
      <t c="3" si="4">
        <n x="509"/>
        <n x="45"/>
        <n x="479"/>
      </t>
    </mdx>
    <mdx n="508" f="v">
      <t c="3" si="4">
        <n x="509"/>
        <n x="62"/>
        <n x="480"/>
      </t>
    </mdx>
    <mdx n="508" f="v">
      <t c="3" si="4">
        <n x="509"/>
        <n x="346"/>
        <n x="468"/>
      </t>
    </mdx>
    <mdx n="508" f="v">
      <t c="3" si="4">
        <n x="509"/>
        <n x="162"/>
        <n x="466"/>
      </t>
    </mdx>
    <mdx n="508" f="v">
      <t c="3" si="4">
        <n x="509"/>
        <n x="138"/>
        <n x="468"/>
      </t>
    </mdx>
    <mdx n="508" f="v">
      <t c="3" si="4">
        <n x="509"/>
        <n x="138"/>
        <n x="466"/>
      </t>
    </mdx>
    <mdx n="508" f="v">
      <t c="3" si="4">
        <n x="509"/>
        <n x="401"/>
        <n x="468"/>
      </t>
    </mdx>
    <mdx n="508" f="v">
      <t c="3" si="4">
        <n x="509"/>
        <n x="275"/>
        <n x="476"/>
      </t>
    </mdx>
    <mdx n="508" f="v">
      <t c="3" si="4">
        <n x="509"/>
        <n x="134"/>
        <n x="478"/>
      </t>
    </mdx>
    <mdx n="508" f="v">
      <t c="3" si="4">
        <n x="509"/>
        <n x="243"/>
        <n x="5"/>
      </t>
    </mdx>
    <mdx n="508" f="v">
      <t c="3" si="4">
        <n x="509"/>
        <n x="271"/>
        <n x="468"/>
      </t>
    </mdx>
    <mdx n="508" f="v">
      <t c="3" si="4">
        <n x="509"/>
        <n x="190"/>
        <n x="477"/>
      </t>
    </mdx>
    <mdx n="508" f="v">
      <t c="3" si="4">
        <n x="509"/>
        <n x="226"/>
        <n x="478"/>
      </t>
    </mdx>
    <mdx n="508" f="v">
      <t c="3" si="4">
        <n x="509"/>
        <n x="343"/>
        <n x="468"/>
      </t>
    </mdx>
    <mdx n="508" f="v">
      <t c="3" si="4">
        <n x="509"/>
        <n x="231"/>
        <n x="476"/>
      </t>
    </mdx>
    <mdx n="508" f="v">
      <t c="3" si="4">
        <n x="509"/>
        <n x="86"/>
        <n x="477"/>
      </t>
    </mdx>
    <mdx n="508" f="v">
      <t c="3" si="4">
        <n x="509"/>
        <n x="124"/>
        <n x="468"/>
      </t>
    </mdx>
    <mdx n="508" f="v">
      <t c="3" si="4">
        <n x="509"/>
        <n x="357"/>
        <n x="476"/>
      </t>
    </mdx>
    <mdx n="508" f="v">
      <t c="3" si="4">
        <n x="509"/>
        <n x="68"/>
        <n x="478"/>
      </t>
    </mdx>
    <mdx n="508" f="v">
      <t c="3" si="4">
        <n x="509"/>
        <n x="451"/>
        <n x="471"/>
      </t>
    </mdx>
    <mdx n="508" f="v">
      <t c="3" si="4">
        <n x="509"/>
        <n x="382"/>
        <n x="468"/>
      </t>
    </mdx>
    <mdx n="508" f="v">
      <t c="3" si="4">
        <n x="509"/>
        <n x="99"/>
        <n x="476"/>
      </t>
    </mdx>
    <mdx n="508" f="v">
      <t c="3" si="4">
        <n x="509"/>
        <n x="299"/>
        <n x="477"/>
      </t>
    </mdx>
    <mdx n="508" f="v">
      <t c="3" si="4">
        <n x="509"/>
        <n x="462"/>
        <n x="478"/>
      </t>
    </mdx>
    <mdx n="508" f="v">
      <t c="3" si="4">
        <n x="509"/>
        <n x="291"/>
        <n x="466"/>
      </t>
    </mdx>
    <mdx n="508" f="v">
      <t c="3" si="4">
        <n x="509"/>
        <n x="126"/>
        <n x="476"/>
      </t>
    </mdx>
    <mdx n="508" f="v">
      <t c="3" si="4">
        <n x="509"/>
        <n x="456"/>
        <n x="477"/>
      </t>
    </mdx>
    <mdx n="508" f="v">
      <t c="3" si="4">
        <n x="509"/>
        <n x="225"/>
        <n x="478"/>
      </t>
    </mdx>
    <mdx n="508" f="v">
      <t c="3" si="4">
        <n x="509"/>
        <n x="66"/>
        <n x="466"/>
      </t>
    </mdx>
    <mdx n="508" f="v">
      <t c="3" si="4">
        <n x="509"/>
        <n x="430"/>
        <n x="476"/>
      </t>
    </mdx>
    <mdx n="508" f="v">
      <t c="3" si="4">
        <n x="509"/>
        <n x="55"/>
        <n x="477"/>
      </t>
    </mdx>
    <mdx n="508" f="v">
      <t c="3" si="4">
        <n x="509"/>
        <n x="94"/>
        <n x="478"/>
      </t>
    </mdx>
    <mdx n="508" f="v">
      <t c="3" si="4">
        <n x="509"/>
        <n x="44"/>
        <n x="471"/>
      </t>
    </mdx>
    <mdx n="508" f="v">
      <t c="3" si="4">
        <n x="509"/>
        <n x="267"/>
        <n x="471"/>
      </t>
    </mdx>
    <mdx n="508" f="v">
      <t c="3" si="4">
        <n x="509"/>
        <n x="147"/>
        <n x="479"/>
      </t>
    </mdx>
    <mdx n="508" f="v">
      <t c="3" si="4">
        <n x="509"/>
        <n x="64"/>
        <n x="480"/>
      </t>
    </mdx>
    <mdx n="508" f="v">
      <t c="3" si="4">
        <n x="509"/>
        <n x="164"/>
        <n x="481"/>
      </t>
    </mdx>
    <mdx n="508" f="v">
      <t c="3" si="4">
        <n x="509"/>
        <n x="34"/>
        <n x="471"/>
      </t>
    </mdx>
    <mdx n="508" f="v">
      <t c="3" si="4">
        <n x="509"/>
        <n x="218"/>
        <n x="479"/>
      </t>
    </mdx>
    <mdx n="508" f="v">
      <t c="3" si="4">
        <n x="509"/>
        <n x="353"/>
        <n x="480"/>
      </t>
    </mdx>
    <mdx n="508" f="v">
      <t c="3" si="4">
        <n x="509"/>
        <n x="135"/>
        <n x="481"/>
      </t>
    </mdx>
    <mdx n="508" f="v">
      <t c="3" si="4">
        <n x="509"/>
        <n x="342"/>
        <n x="471"/>
      </t>
    </mdx>
    <mdx n="508" f="v">
      <t c="3" si="4">
        <n x="509"/>
        <n x="230"/>
        <n x="479"/>
      </t>
    </mdx>
    <mdx n="508" f="v">
      <t c="3" si="4">
        <n x="509"/>
        <n x="464"/>
        <n x="480"/>
      </t>
    </mdx>
    <mdx n="508" f="v">
      <t c="3" si="4">
        <n x="509"/>
        <n x="78"/>
        <n x="468"/>
      </t>
    </mdx>
    <mdx n="508" f="v">
      <t c="3" si="4">
        <n x="509"/>
        <n x="234"/>
        <n x="471"/>
      </t>
    </mdx>
    <mdx n="508" f="v">
      <t c="3" si="4">
        <n x="509"/>
        <n x="10"/>
        <n x="479"/>
      </t>
    </mdx>
    <mdx n="508" f="v">
      <t c="3" si="4">
        <n x="509"/>
        <n x="76"/>
        <n x="480"/>
      </t>
    </mdx>
    <mdx n="508" f="v">
      <t c="3" si="4">
        <n x="509"/>
        <n x="100"/>
        <n x="468"/>
      </t>
    </mdx>
    <mdx n="508" f="v">
      <t c="3" si="4">
        <n x="509"/>
        <n x="231"/>
        <n x="471"/>
      </t>
    </mdx>
    <mdx n="508" f="v">
      <t c="3" si="4">
        <n x="509"/>
        <n x="60"/>
        <n x="479"/>
      </t>
    </mdx>
    <mdx n="508" f="v">
      <t c="3" si="4">
        <n x="509"/>
        <n x="60"/>
        <n x="480"/>
      </t>
    </mdx>
    <mdx n="508" f="v">
      <t c="3" si="4">
        <n x="509"/>
        <n x="111"/>
        <n x="468"/>
      </t>
    </mdx>
    <mdx n="508" f="v">
      <t c="3" si="4">
        <n x="509"/>
        <n x="238"/>
        <n x="2"/>
      </t>
    </mdx>
    <mdx n="508" f="v">
      <t c="3" si="4">
        <n x="509"/>
        <n x="101"/>
        <n x="473"/>
      </t>
    </mdx>
    <mdx n="508" f="v">
      <t c="3" si="4">
        <n x="509"/>
        <n x="452"/>
        <n x="466"/>
      </t>
    </mdx>
    <mdx n="508" f="v">
      <t c="3" si="4">
        <n x="509"/>
        <n x="235"/>
        <n x="466"/>
      </t>
    </mdx>
    <mdx n="508" f="v">
      <t c="3" si="4">
        <n x="509"/>
        <n x="430"/>
        <n x="468"/>
      </t>
    </mdx>
    <mdx n="508" f="v">
      <t c="3" si="4">
        <n x="509"/>
        <n x="204"/>
        <n x="476"/>
      </t>
    </mdx>
    <mdx n="508" f="v">
      <t c="3" si="4">
        <n x="509"/>
        <n x="307"/>
        <n x="477"/>
      </t>
    </mdx>
    <mdx n="508" f="v">
      <t c="3" si="4">
        <n x="509"/>
        <n x="328"/>
        <n x="468"/>
      </t>
    </mdx>
    <mdx n="508" f="v">
      <t c="3" si="4">
        <n x="509"/>
        <n x="188"/>
        <n x="476"/>
      </t>
    </mdx>
    <mdx n="508" f="v">
      <t c="3" si="4">
        <n x="509"/>
        <n x="73"/>
        <n x="478"/>
      </t>
    </mdx>
    <mdx n="508" f="v">
      <t c="3" si="4">
        <n x="509"/>
        <n x="168"/>
        <n x="468"/>
      </t>
    </mdx>
    <mdx n="508" f="v">
      <t c="3" si="4">
        <n x="509"/>
        <n x="299"/>
        <n x="476"/>
      </t>
    </mdx>
    <mdx n="508" f="v">
      <t c="3" si="4">
        <n x="509"/>
        <n x="251"/>
        <n x="477"/>
      </t>
    </mdx>
    <mdx n="508" f="v">
      <t c="3" si="4">
        <n x="509"/>
        <n x="61"/>
        <n x="468"/>
      </t>
    </mdx>
    <mdx n="508" f="v">
      <t c="3" si="4">
        <n x="509"/>
        <n x="338"/>
        <n x="476"/>
      </t>
    </mdx>
    <mdx n="508" f="v">
      <t c="3" si="4">
        <n x="509"/>
        <n x="362"/>
        <n x="477"/>
      </t>
    </mdx>
    <mdx n="508" f="v">
      <t c="3" si="4">
        <n x="509"/>
        <n x="73"/>
        <n x="471"/>
      </t>
    </mdx>
    <mdx n="508" f="v">
      <t c="3" si="4">
        <n x="509"/>
        <n x="325"/>
        <n x="466"/>
      </t>
    </mdx>
    <mdx n="508" f="v">
      <t c="3" si="4">
        <n x="509"/>
        <n x="267"/>
        <n x="476"/>
      </t>
    </mdx>
    <mdx n="508" f="v">
      <t c="3" si="4">
        <n x="509"/>
        <n x="92"/>
        <n x="477"/>
      </t>
    </mdx>
    <mdx n="508" f="v">
      <t c="3" si="4">
        <n x="509"/>
        <n x="178"/>
        <n x="478"/>
      </t>
    </mdx>
    <mdx n="508" f="v">
      <t c="3" si="4">
        <n x="509"/>
        <n x="116"/>
        <n x="2"/>
      </t>
    </mdx>
    <mdx n="508" f="v">
      <t c="3" si="4">
        <n x="509"/>
        <n x="188"/>
        <n x="468"/>
      </t>
    </mdx>
    <mdx n="508" f="v">
      <t c="3" si="4">
        <n x="509"/>
        <n x="286"/>
        <n x="477"/>
      </t>
    </mdx>
    <mdx n="508" f="v">
      <t c="3" si="4">
        <n x="509"/>
        <n x="327"/>
        <n x="478"/>
      </t>
    </mdx>
    <mdx n="508" f="v">
      <t c="3" si="4">
        <n x="509"/>
        <n x="319"/>
        <n x="2"/>
      </t>
    </mdx>
    <mdx n="508" f="v">
      <t c="3" si="4">
        <n x="509"/>
        <n x="169"/>
        <n x="468"/>
      </t>
    </mdx>
    <mdx n="508" f="v">
      <t c="3" si="4">
        <n x="509"/>
        <n x="440"/>
        <n x="477"/>
      </t>
    </mdx>
    <mdx n="508" f="v">
      <t c="3" si="4">
        <n x="509"/>
        <n x="219"/>
        <n x="478"/>
      </t>
    </mdx>
    <mdx n="508" f="v">
      <t c="3" si="4">
        <n x="509"/>
        <n x="54"/>
        <n x="471"/>
      </t>
    </mdx>
    <mdx n="508" f="v">
      <t c="3" si="4">
        <n x="509"/>
        <n x="192"/>
        <n x="471"/>
      </t>
    </mdx>
    <mdx n="508" f="v">
      <t c="3" si="4">
        <n x="509"/>
        <n x="192"/>
        <n x="479"/>
      </t>
    </mdx>
    <mdx n="508" f="v">
      <t c="3" si="4">
        <n x="509"/>
        <n x="207"/>
        <n x="480"/>
      </t>
    </mdx>
    <mdx n="508" f="v">
      <t c="3" si="4">
        <n x="509"/>
        <n x="356"/>
        <n x="481"/>
      </t>
    </mdx>
    <mdx n="508" f="v">
      <t c="3" si="4">
        <n x="509"/>
        <n x="349"/>
        <n x="471"/>
      </t>
    </mdx>
    <mdx n="508" f="v">
      <t c="3" si="4">
        <n x="509"/>
        <n x="139"/>
        <n x="479"/>
      </t>
    </mdx>
    <mdx n="508" f="v">
      <t c="3" si="4">
        <n x="509"/>
        <n x="280"/>
        <n x="480"/>
      </t>
    </mdx>
    <mdx n="508" f="v">
      <t c="3" si="4">
        <n x="509"/>
        <n x="161"/>
        <n x="481"/>
      </t>
    </mdx>
    <mdx n="508" f="v">
      <t c="3" si="4">
        <n x="509"/>
        <n x="47"/>
        <n x="471"/>
      </t>
    </mdx>
    <mdx n="508" f="v">
      <t c="3" si="4">
        <n x="509"/>
        <n x="57"/>
        <n x="479"/>
      </t>
    </mdx>
    <mdx n="508" f="v">
      <t c="3" si="4">
        <n x="509"/>
        <n x="462"/>
        <n x="480"/>
      </t>
    </mdx>
    <mdx n="508" f="v">
      <t c="3" si="4">
        <n x="509"/>
        <n x="137"/>
        <n x="471"/>
      </t>
    </mdx>
    <mdx n="508" f="v">
      <t c="3" si="4">
        <n x="509"/>
        <n x="446"/>
        <n x="479"/>
      </t>
    </mdx>
    <mdx n="508" f="v">
      <t c="3" si="4">
        <n x="509"/>
        <n x="324"/>
        <n x="480"/>
      </t>
    </mdx>
    <mdx n="508" f="v">
      <t c="3" si="4">
        <n x="509"/>
        <n x="132"/>
        <n x="471"/>
      </t>
    </mdx>
    <mdx n="508" f="v">
      <t c="3" si="4">
        <n x="509"/>
        <n x="371"/>
        <n x="479"/>
      </t>
    </mdx>
    <mdx n="508" f="v">
      <t c="3" si="4">
        <n x="509"/>
        <n x="9"/>
        <n x="480"/>
      </t>
    </mdx>
    <mdx n="508" f="v">
      <t c="3" si="4">
        <n x="509"/>
        <n x="215"/>
        <n x="466"/>
      </t>
    </mdx>
    <mdx n="508" f="v">
      <t c="3" si="4">
        <n x="509"/>
        <n x="244"/>
        <n x="471"/>
      </t>
    </mdx>
    <mdx n="508" f="v">
      <t c="3" si="4">
        <n x="509"/>
        <n x="445"/>
        <n x="479"/>
      </t>
    </mdx>
    <mdx n="508" f="v">
      <t c="3" si="4">
        <n x="509"/>
        <n x="144"/>
        <n x="469"/>
      </t>
    </mdx>
    <mdx n="508" f="v">
      <t c="3" si="4">
        <n x="509"/>
        <n x="173"/>
        <n x="470"/>
      </t>
    </mdx>
    <mdx n="508" f="v">
      <t c="3" si="4">
        <n x="509"/>
        <n x="124"/>
        <n x="466"/>
      </t>
    </mdx>
    <mdx n="508" f="v">
      <t c="3" si="4">
        <n x="509"/>
        <n x="317"/>
        <n x="468"/>
      </t>
    </mdx>
    <mdx n="508" f="v">
      <t c="3" si="4">
        <n x="509"/>
        <n x="108"/>
        <n x="476"/>
      </t>
    </mdx>
    <mdx n="508" f="v">
      <t c="3" si="4">
        <n x="509"/>
        <n x="128"/>
        <n x="477"/>
      </t>
    </mdx>
    <mdx n="508" f="v">
      <t c="3" si="4">
        <n x="509"/>
        <n x="371"/>
        <n x="468"/>
      </t>
    </mdx>
    <mdx n="508" f="v">
      <t c="3" si="4">
        <n x="509"/>
        <n x="148"/>
        <n x="476"/>
      </t>
    </mdx>
    <mdx n="508" f="v">
      <t c="3" si="4">
        <n x="509"/>
        <n x="451"/>
        <n x="477"/>
      </t>
    </mdx>
    <mdx n="508" f="v">
      <t c="3" si="4">
        <n x="509"/>
        <n x="431"/>
        <n x="466"/>
      </t>
    </mdx>
    <mdx n="508" f="v">
      <t c="3" si="4">
        <n x="509"/>
        <n x="330"/>
        <n x="476"/>
      </t>
    </mdx>
    <mdx n="508" f="v">
      <t c="3" si="4">
        <n x="509"/>
        <n x="69"/>
        <n x="477"/>
      </t>
    </mdx>
    <mdx n="508" f="v">
      <t c="3" si="4">
        <n x="509"/>
        <n x="323"/>
        <n x="478"/>
      </t>
    </mdx>
    <mdx n="508" f="v">
      <t c="3" si="4">
        <n x="509"/>
        <n x="292"/>
        <n x="468"/>
      </t>
    </mdx>
    <mdx n="508" f="v">
      <t c="3" si="4">
        <n x="509"/>
        <n x="218"/>
        <n x="476"/>
      </t>
    </mdx>
    <mdx n="508" f="v">
      <t c="3" si="4">
        <n x="509"/>
        <n x="328"/>
        <n x="477"/>
      </t>
    </mdx>
    <mdx n="508" f="v">
      <t c="3" si="4">
        <n x="509"/>
        <n x="214"/>
        <n x="478"/>
      </t>
    </mdx>
    <mdx n="508" f="v">
      <t c="3" si="4">
        <n x="509"/>
        <n x="288"/>
        <n x="466"/>
      </t>
    </mdx>
    <mdx n="508" f="v">
      <t c="3" si="4">
        <n x="509"/>
        <n x="457"/>
        <n x="476"/>
      </t>
    </mdx>
    <mdx n="508" f="v">
      <t c="3" si="4">
        <n x="509"/>
        <n x="144"/>
        <n x="477"/>
      </t>
    </mdx>
    <mdx n="508" f="v">
      <t c="3" si="4">
        <n x="509"/>
        <n x="354"/>
        <n x="478"/>
      </t>
    </mdx>
    <mdx n="508" f="v">
      <t c="3" si="4">
        <n x="509"/>
        <n x="409"/>
        <n x="468"/>
      </t>
    </mdx>
    <mdx n="508" f="v">
      <t c="3" si="4">
        <n x="509"/>
        <n x="451"/>
        <n x="476"/>
      </t>
    </mdx>
    <mdx n="508" f="v">
      <t c="3" si="4">
        <n x="509"/>
        <n x="298"/>
        <n x="478"/>
      </t>
    </mdx>
    <mdx n="508" f="v">
      <t c="3" si="4">
        <n x="509"/>
        <n x="228"/>
        <n x="468"/>
      </t>
    </mdx>
    <mdx n="508" f="v">
      <t c="3" si="4">
        <n x="509"/>
        <n x="51"/>
        <n x="476"/>
      </t>
    </mdx>
    <mdx n="508" f="v">
      <t c="3" si="4">
        <n x="509"/>
        <n x="191"/>
        <n x="478"/>
      </t>
    </mdx>
    <mdx n="508" f="v">
      <t c="3" si="4">
        <n x="509"/>
        <n x="283"/>
        <n x="471"/>
      </t>
    </mdx>
    <mdx n="508" f="v">
      <t c="3" si="4">
        <n x="509"/>
        <n x="103"/>
        <n x="478"/>
      </t>
    </mdx>
    <mdx n="508" f="v">
      <t c="3" si="4">
        <n x="509"/>
        <n x="143"/>
        <n x="479"/>
      </t>
    </mdx>
    <mdx n="508" f="v">
      <t c="3" si="4">
        <n x="509"/>
        <n x="233"/>
        <n x="480"/>
      </t>
    </mdx>
    <mdx n="508" f="v">
      <t c="3" si="4">
        <n x="509"/>
        <n x="413"/>
        <n x="481"/>
      </t>
    </mdx>
    <mdx n="508" f="v">
      <t c="3" si="4">
        <n x="509"/>
        <n x="447"/>
        <n x="471"/>
      </t>
    </mdx>
    <mdx n="508" f="v">
      <t c="3" si="4">
        <n x="509"/>
        <n x="360"/>
        <n x="479"/>
      </t>
    </mdx>
    <mdx n="508" f="v">
      <t c="3" si="4">
        <n x="509"/>
        <n x="285"/>
        <n x="480"/>
      </t>
    </mdx>
    <mdx n="508" f="v">
      <t c="3" si="4">
        <n x="509"/>
        <n x="52"/>
        <n x="481"/>
      </t>
    </mdx>
    <mdx n="508" f="v">
      <t c="3" si="4">
        <n x="509"/>
        <n x="449"/>
        <n x="471"/>
      </t>
    </mdx>
    <mdx n="508" f="v">
      <t c="3" si="4">
        <n x="509"/>
        <n x="200"/>
        <n x="479"/>
      </t>
    </mdx>
    <mdx n="508" f="v">
      <t c="3" si="4">
        <n x="509"/>
        <n x="400"/>
        <n x="480"/>
      </t>
    </mdx>
    <mdx n="508" f="v">
      <t c="3" si="4">
        <n x="509"/>
        <n x="280"/>
        <n x="481"/>
      </t>
    </mdx>
    <mdx n="508" f="v">
      <t c="3" si="4">
        <n x="509"/>
        <n x="153"/>
        <n x="471"/>
      </t>
    </mdx>
    <mdx n="508" f="v">
      <t c="3" si="4">
        <n x="509"/>
        <n x="175"/>
        <n x="479"/>
      </t>
    </mdx>
    <mdx n="508" f="v">
      <t c="3" si="4">
        <n x="509"/>
        <n x="333"/>
        <n x="480"/>
      </t>
    </mdx>
    <mdx n="508" f="v">
      <t c="3" si="4">
        <n x="509"/>
        <n x="320"/>
        <n x="481"/>
      </t>
    </mdx>
    <mdx n="508" f="v">
      <t c="3" si="4">
        <n x="509"/>
        <n x="151"/>
        <n x="471"/>
      </t>
    </mdx>
    <mdx n="508" f="v">
      <t c="3" si="4">
        <n x="509"/>
        <n x="262"/>
        <n x="479"/>
      </t>
    </mdx>
    <mdx n="508" f="v">
      <t c="3" si="4">
        <n x="509"/>
        <n x="115"/>
        <n x="480"/>
      </t>
    </mdx>
    <mdx n="508" f="v">
      <t c="3" si="4">
        <n x="509"/>
        <n x="6"/>
        <n x="481"/>
      </t>
    </mdx>
    <mdx n="508" f="v">
      <t c="3" si="4">
        <n x="509"/>
        <n x="261"/>
        <n x="471"/>
      </t>
    </mdx>
    <mdx n="508" f="v">
      <t c="3" si="4">
        <n x="509"/>
        <n x="130"/>
        <n x="479"/>
      </t>
    </mdx>
    <mdx n="508" f="v">
      <t c="3" si="4">
        <n x="509"/>
        <n x="366"/>
        <n x="5"/>
      </t>
    </mdx>
    <mdx n="508" f="v">
      <t c="3" si="4">
        <n x="509"/>
        <n x="196"/>
        <n x="466"/>
      </t>
    </mdx>
    <mdx n="508" f="v">
      <t c="3" si="4">
        <n x="509"/>
        <n x="80"/>
        <n x="1"/>
      </t>
    </mdx>
    <mdx n="508" f="v">
      <t c="3" si="4">
        <n x="509"/>
        <n x="107"/>
        <n x="466"/>
      </t>
    </mdx>
    <mdx n="508" f="v">
      <t c="3" si="475">
        <n x="509"/>
        <n x="74"/>
        <n x="474"/>
      </t>
    </mdx>
    <mdx n="508" f="v">
      <t c="3" si="4">
        <n x="509"/>
        <n x="388"/>
        <n x="468"/>
      </t>
    </mdx>
    <mdx n="508" f="v">
      <t c="3" si="4">
        <n x="509"/>
        <n x="435"/>
        <n x="476"/>
      </t>
    </mdx>
    <mdx n="508" f="v">
      <t c="3" si="4">
        <n x="509"/>
        <n x="56"/>
        <n x="478"/>
      </t>
    </mdx>
    <mdx n="508" f="v">
      <t c="3" si="4">
        <n x="509"/>
        <n x="167"/>
        <n x="466"/>
      </t>
    </mdx>
    <mdx n="508" f="v">
      <t c="3" si="4">
        <n x="509"/>
        <n x="180"/>
        <n x="472"/>
      </t>
    </mdx>
    <mdx n="508" f="v">
      <t c="3" si="4">
        <n x="509"/>
        <n x="184"/>
        <n x="466"/>
      </t>
    </mdx>
    <mdx n="508" f="v">
      <t c="3" si="4">
        <n x="509"/>
        <n x="166"/>
        <n x="466"/>
      </t>
    </mdx>
    <mdx n="508" f="v">
      <t c="3" si="4">
        <n x="509"/>
        <n x="337"/>
        <n x="469"/>
      </t>
    </mdx>
    <mdx n="508" f="v">
      <t c="3" si="4">
        <n x="509"/>
        <n x="363"/>
        <n x="466"/>
      </t>
    </mdx>
    <mdx n="508" f="v">
      <t c="3" si="4">
        <n x="509"/>
        <n x="182"/>
        <n x="466"/>
      </t>
    </mdx>
    <mdx n="508" f="v">
      <t c="3" si="4">
        <n x="509"/>
        <n x="162"/>
        <n x="476"/>
      </t>
    </mdx>
    <mdx n="508" f="v">
      <t c="3" si="4">
        <n x="509"/>
        <n x="239"/>
        <n x="477"/>
      </t>
    </mdx>
    <mdx n="508" f="v">
      <t c="3" si="4">
        <n x="509"/>
        <n x="400"/>
        <n x="466"/>
      </t>
    </mdx>
    <mdx n="508" f="v">
      <t c="3" si="4">
        <n x="509"/>
        <n x="141"/>
        <n x="476"/>
      </t>
    </mdx>
    <mdx n="508" f="v">
      <t c="3" si="4">
        <n x="509"/>
        <n x="103"/>
        <n x="477"/>
      </t>
    </mdx>
    <mdx n="508" f="v">
      <t c="3" si="4">
        <n x="509"/>
        <n x="281"/>
        <n x="468"/>
      </t>
    </mdx>
    <mdx n="508" f="v">
      <t c="3" si="4">
        <n x="509"/>
        <n x="169"/>
        <n x="476"/>
      </t>
    </mdx>
    <mdx n="508" f="v">
      <t c="3" si="4">
        <n x="509"/>
        <n x="247"/>
        <n x="476"/>
      </t>
    </mdx>
    <mdx n="508" f="v">
      <t c="3" si="4">
        <n x="509"/>
        <n x="150"/>
        <n x="477"/>
      </t>
    </mdx>
    <mdx n="508" f="v">
      <t c="3" si="4">
        <n x="509"/>
        <n x="111"/>
        <n x="478"/>
      </t>
    </mdx>
    <mdx n="508" f="v">
      <t c="3" si="4">
        <n x="509"/>
        <n x="120"/>
        <n x="468"/>
      </t>
    </mdx>
    <mdx n="508" f="v">
      <t c="3" si="4">
        <n x="509"/>
        <n x="63"/>
        <n x="476"/>
      </t>
    </mdx>
    <mdx n="508" f="v">
      <t c="3" si="4">
        <n x="509"/>
        <n x="303"/>
        <n x="478"/>
      </t>
    </mdx>
    <mdx n="508" f="v">
      <t c="3" si="4">
        <n x="509"/>
        <n x="219"/>
        <n x="468"/>
      </t>
    </mdx>
    <mdx n="508" f="v">
      <t c="3" si="4">
        <n x="509"/>
        <n x="462"/>
        <n x="476"/>
      </t>
    </mdx>
    <mdx n="508" f="v">
      <t c="3" si="4">
        <n x="509"/>
        <n x="158"/>
        <n x="478"/>
      </t>
    </mdx>
    <mdx n="508" f="v">
      <t c="3" si="4">
        <n x="509"/>
        <n x="139"/>
        <n x="468"/>
      </t>
    </mdx>
    <mdx n="508" f="v">
      <t c="3" si="4">
        <n x="509"/>
        <n x="62"/>
        <n x="476"/>
      </t>
    </mdx>
    <mdx n="508" f="v">
      <t c="3" si="4">
        <n x="509"/>
        <n x="30"/>
        <n x="478"/>
      </t>
    </mdx>
    <mdx n="508" f="v">
      <t c="3" si="4">
        <n x="509"/>
        <n x="369"/>
        <n x="468"/>
      </t>
    </mdx>
    <mdx n="508" f="v">
      <t c="3" si="4">
        <n x="509"/>
        <n x="215"/>
        <n x="471"/>
      </t>
    </mdx>
    <mdx n="508" f="v">
      <t c="3" si="4">
        <n x="509"/>
        <n x="178"/>
        <n x="480"/>
      </t>
    </mdx>
    <mdx n="508" f="v">
      <t c="3" si="4">
        <n x="509"/>
        <n x="306"/>
        <n x="476"/>
      </t>
    </mdx>
    <mdx n="508" f="v">
      <t c="3" si="4">
        <n x="509"/>
        <n x="370"/>
        <n x="479"/>
      </t>
    </mdx>
    <mdx n="508" f="v">
      <t c="3" si="4">
        <n x="509"/>
        <n x="313"/>
        <n x="480"/>
      </t>
    </mdx>
    <mdx n="508" f="v">
      <t c="3" si="4">
        <n x="509"/>
        <n x="139"/>
        <n x="476"/>
      </t>
    </mdx>
    <mdx n="508" f="v">
      <t c="3" si="4">
        <n x="509"/>
        <n x="432"/>
        <n x="479"/>
      </t>
    </mdx>
    <mdx n="508" f="v">
      <t c="3" si="4">
        <n x="509"/>
        <n x="396"/>
        <n x="480"/>
      </t>
    </mdx>
    <mdx n="508" f="v">
      <t c="3" si="4">
        <n x="509"/>
        <n x="39"/>
        <n x="477"/>
      </t>
    </mdx>
    <mdx n="508" f="v">
      <t c="3" si="4">
        <n x="509"/>
        <n x="167"/>
        <n x="479"/>
      </t>
    </mdx>
    <mdx n="508" f="v">
      <t c="3" si="4">
        <n x="509"/>
        <n x="346"/>
        <n x="480"/>
      </t>
    </mdx>
    <mdx n="508" f="v">
      <t c="3" si="4">
        <n x="509"/>
        <n x="357"/>
        <n x="477"/>
      </t>
    </mdx>
    <mdx n="508" f="v">
      <t c="3" si="4">
        <n x="509"/>
        <n x="217"/>
        <n x="466"/>
      </t>
    </mdx>
    <mdx n="508" f="v">
      <t c="3" si="4">
        <n x="509"/>
        <n x="285"/>
        <n x="468"/>
      </t>
    </mdx>
    <mdx n="508" f="v">
      <t c="3" si="4">
        <n x="509"/>
        <n x="163"/>
        <n x="476"/>
      </t>
    </mdx>
    <mdx n="508" f="v">
      <t c="3" si="4">
        <n x="509"/>
        <n x="221"/>
        <n x="478"/>
      </t>
    </mdx>
    <mdx n="508" f="v">
      <t c="3" si="4">
        <n x="509"/>
        <n x="234"/>
        <n x="466"/>
      </t>
    </mdx>
    <mdx n="508" f="v">
      <t c="3" si="4">
        <n x="509"/>
        <n x="260"/>
        <n x="476"/>
      </t>
    </mdx>
    <mdx n="508" f="v">
      <t c="3" si="4">
        <n x="509"/>
        <n x="350"/>
        <n x="477"/>
      </t>
    </mdx>
    <mdx n="508" f="v">
      <t c="3" si="4">
        <n x="509"/>
        <n x="304"/>
        <n x="478"/>
      </t>
    </mdx>
    <mdx n="508" f="v">
      <t c="3" si="4">
        <n x="509"/>
        <n x="441"/>
        <n x="468"/>
      </t>
    </mdx>
    <mdx n="508" f="v">
      <t c="3" si="4">
        <n x="509"/>
        <n x="147"/>
        <n x="476"/>
      </t>
    </mdx>
    <mdx n="508" f="v">
      <t c="3" si="4">
        <n x="509"/>
        <n x="54"/>
        <n x="477"/>
      </t>
    </mdx>
    <mdx n="508" f="v">
      <t c="3" si="4">
        <n x="509"/>
        <n x="125"/>
        <n x="1"/>
      </t>
    </mdx>
    <mdx n="508" f="v">
      <t c="3" si="4">
        <n x="509"/>
        <n x="152"/>
        <n x="468"/>
      </t>
    </mdx>
    <mdx n="508" f="v">
      <t c="3" si="4">
        <n x="509"/>
        <n x="168"/>
        <n x="477"/>
      </t>
    </mdx>
    <mdx n="508" f="v">
      <t c="3" si="4">
        <n x="509"/>
        <n x="374"/>
        <n x="478"/>
      </t>
    </mdx>
    <mdx n="508" f="v">
      <t c="3" si="4">
        <n x="509"/>
        <n x="271"/>
        <n x="471"/>
      </t>
    </mdx>
    <mdx n="508" f="v">
      <t c="3" si="4">
        <n x="509"/>
        <n x="265"/>
        <n x="468"/>
      </t>
    </mdx>
    <mdx n="508" f="v">
      <t c="3" si="4">
        <n x="509"/>
        <n x="335"/>
        <n x="476"/>
      </t>
    </mdx>
    <mdx n="508" f="v">
      <t c="3" si="4">
        <n x="509"/>
        <n x="32"/>
        <n x="477"/>
      </t>
    </mdx>
    <mdx n="508" f="v">
      <t c="3" si="4">
        <n x="509"/>
        <n x="278"/>
        <n x="478"/>
      </t>
    </mdx>
    <mdx n="508" f="v">
      <t c="3" si="4">
        <n x="509"/>
        <n x="70"/>
        <n x="466"/>
      </t>
    </mdx>
    <mdx n="508" f="v">
      <t c="3" si="4">
        <n x="509"/>
        <n x="222"/>
        <n x="476"/>
      </t>
    </mdx>
    <mdx n="508" f="v">
      <t c="3" si="4">
        <n x="509"/>
        <n x="99"/>
        <n x="477"/>
      </t>
    </mdx>
    <mdx n="508" f="v">
      <t c="3" si="4">
        <n x="509"/>
        <n x="75"/>
        <n x="478"/>
      </t>
    </mdx>
    <mdx n="508" f="v">
      <t c="3" si="4">
        <n x="509"/>
        <n x="453"/>
        <n x="466"/>
      </t>
    </mdx>
    <mdx n="508" f="v">
      <t c="3" si="4">
        <n x="509"/>
        <n x="305"/>
        <n x="476"/>
      </t>
    </mdx>
    <mdx n="508" f="v">
      <t c="3" si="4">
        <n x="509"/>
        <n x="141"/>
        <n x="477"/>
      </t>
    </mdx>
    <mdx n="508" f="v">
      <t c="3" si="4">
        <n x="509"/>
        <n x="458"/>
        <n x="478"/>
      </t>
    </mdx>
    <mdx n="508" f="v">
      <t c="3" si="4">
        <n x="509"/>
        <n x="256"/>
        <n x="471"/>
      </t>
    </mdx>
    <mdx n="508" f="v">
      <t c="3" si="4">
        <n x="509"/>
        <n x="254"/>
        <n x="471"/>
      </t>
    </mdx>
    <mdx n="508" f="v">
      <t c="3" si="4">
        <n x="509"/>
        <n x="373"/>
        <n x="479"/>
      </t>
    </mdx>
    <mdx n="508" f="v">
      <t c="3" si="4">
        <n x="509"/>
        <n x="426"/>
        <n x="480"/>
      </t>
    </mdx>
    <mdx n="508" f="v">
      <t c="3" si="4">
        <n x="509"/>
        <n x="137"/>
        <n x="468"/>
      </t>
    </mdx>
    <mdx n="508" f="v">
      <t c="3" si="4">
        <n x="509"/>
        <n x="398"/>
        <n x="471"/>
      </t>
    </mdx>
    <mdx n="508" f="v">
      <t c="3" si="4">
        <n x="509"/>
        <n x="28"/>
        <n x="479"/>
      </t>
    </mdx>
    <mdx n="508" f="v">
      <t c="3" si="4">
        <n x="509"/>
        <n x="240"/>
        <n x="480"/>
      </t>
    </mdx>
    <mdx n="508" f="v">
      <t c="3" si="4">
        <n x="509"/>
        <n x="207"/>
        <n x="468"/>
      </t>
    </mdx>
    <mdx n="508" f="v">
      <t c="3" si="4">
        <n x="509"/>
        <n x="402"/>
        <n x="471"/>
      </t>
    </mdx>
    <mdx n="508" f="v">
      <t c="3" si="4">
        <n x="509"/>
        <n x="347"/>
        <n x="479"/>
      </t>
    </mdx>
    <mdx n="508" f="v">
      <t c="3" si="4">
        <n x="509"/>
        <n x="409"/>
        <n x="480"/>
      </t>
    </mdx>
    <mdx n="508" f="v">
      <t c="3" si="4">
        <n x="509"/>
        <n x="172"/>
        <n x="476"/>
      </t>
    </mdx>
    <mdx n="508" f="v">
      <t c="3" si="4">
        <n x="509"/>
        <n x="321"/>
        <n x="471"/>
      </t>
    </mdx>
    <mdx n="508" f="v">
      <t c="3" si="4">
        <n x="509"/>
        <n x="31"/>
        <n x="479"/>
      </t>
    </mdx>
    <mdx n="508" f="v">
      <t c="3" si="4">
        <n x="509"/>
        <n x="327"/>
        <n x="481"/>
      </t>
    </mdx>
    <mdx n="508" f="v">
      <t c="3" si="4">
        <n x="509"/>
        <n x="152"/>
        <n x="476"/>
      </t>
    </mdx>
    <mdx n="508" f="v">
      <t c="3" si="4">
        <n x="509"/>
        <n x="15"/>
        <n x="471"/>
      </t>
    </mdx>
    <mdx n="508" f="v">
      <t c="3" si="4">
        <n x="509"/>
        <n x="121"/>
        <n x="479"/>
      </t>
    </mdx>
    <mdx n="508" f="v">
      <t c="3" si="4">
        <n x="509"/>
        <n x="315"/>
        <n x="481"/>
      </t>
    </mdx>
    <mdx n="508" f="v">
      <t c="3" si="4">
        <n x="509"/>
        <n x="232"/>
        <n x="477"/>
      </t>
    </mdx>
    <mdx n="508" f="v">
      <t c="3" si="4">
        <n x="509"/>
        <n x="313"/>
        <n x="471"/>
      </t>
    </mdx>
    <mdx n="508" f="v">
      <t c="3" si="4">
        <n x="509"/>
        <n x="27"/>
        <n x="473"/>
      </t>
    </mdx>
    <mdx n="508" f="v">
      <t c="3" si="4">
        <n x="509"/>
        <n x="109"/>
        <n x="467"/>
      </t>
    </mdx>
    <mdx n="508" f="v">
      <t c="3" si="4">
        <n x="509"/>
        <n x="461"/>
        <n x="472"/>
      </t>
    </mdx>
    <mdx n="508" f="v">
      <t c="3" si="4">
        <n x="509"/>
        <n x="67"/>
        <n x="473"/>
      </t>
    </mdx>
    <mdx n="508" f="v">
      <t c="3" si="4">
        <n x="509"/>
        <n x="332"/>
        <n x="466"/>
      </t>
    </mdx>
    <mdx n="508" f="v">
      <t c="3" si="4">
        <n x="509"/>
        <n x="450"/>
        <n x="466"/>
      </t>
    </mdx>
    <mdx n="508" f="v">
      <t c="3" si="4">
        <n x="509"/>
        <n x="94"/>
        <n x="5"/>
      </t>
    </mdx>
    <mdx n="508" f="v">
      <t c="3" si="4">
        <n x="509"/>
        <n x="74"/>
        <n x="466"/>
      </t>
    </mdx>
    <mdx n="508" f="v">
      <t c="3" si="4">
        <n x="509"/>
        <n x="399"/>
        <n x="2"/>
      </t>
    </mdx>
    <mdx n="508" f="v">
      <t c="3" si="4">
        <n x="509"/>
        <n x="56"/>
        <n x="468"/>
      </t>
    </mdx>
    <mdx n="508" f="v">
      <t c="3" si="4">
        <n x="509"/>
        <n x="279"/>
        <n x="477"/>
      </t>
    </mdx>
    <mdx n="508" f="v">
      <t c="3" si="4">
        <n x="509"/>
        <n x="22"/>
        <n x="478"/>
      </t>
    </mdx>
    <mdx n="508" f="v">
      <t c="3" si="4">
        <n x="509"/>
        <n x="341"/>
        <n x="5"/>
      </t>
    </mdx>
    <mdx n="508" f="v">
      <t c="3" si="4">
        <n x="509"/>
        <n x="424"/>
        <n x="468"/>
      </t>
    </mdx>
    <mdx n="508" f="v">
      <t c="3" si="4">
        <n x="509"/>
        <n x="434"/>
        <n x="477"/>
      </t>
    </mdx>
    <mdx n="508" f="v">
      <t c="3" si="4">
        <n x="509"/>
        <n x="377"/>
        <n x="478"/>
      </t>
    </mdx>
    <mdx n="508" f="v">
      <t c="3" si="4">
        <n x="509"/>
        <n x="129"/>
        <n x="468"/>
      </t>
    </mdx>
    <mdx n="508" f="v">
      <t c="3" si="4">
        <n x="509"/>
        <n x="282"/>
        <n x="476"/>
      </t>
    </mdx>
    <mdx n="508" f="v">
      <t c="3" si="4">
        <n x="509"/>
        <n x="366"/>
        <n x="477"/>
      </t>
    </mdx>
    <mdx n="508" f="v">
      <t c="3" si="4">
        <n x="509"/>
        <n x="104"/>
        <n x="468"/>
      </t>
    </mdx>
    <mdx n="508" f="v">
      <t c="3" si="4">
        <n x="509"/>
        <n x="428"/>
        <n x="476"/>
      </t>
    </mdx>
    <mdx n="508" f="v">
      <t c="3" si="4">
        <n x="509"/>
        <n x="169"/>
        <n x="478"/>
      </t>
    </mdx>
    <mdx n="508" f="v">
      <t c="3" si="4">
        <n x="509"/>
        <n x="365"/>
        <n x="471"/>
      </t>
    </mdx>
    <mdx n="508" f="v">
      <t c="3" si="4">
        <n x="509"/>
        <n x="83"/>
        <n x="468"/>
      </t>
    </mdx>
    <mdx n="508" f="v">
      <t c="3" si="4">
        <n x="509"/>
        <n x="193"/>
        <n x="476"/>
      </t>
    </mdx>
    <mdx n="508" f="v">
      <t c="3" si="4">
        <n x="509"/>
        <n x="256"/>
        <n x="477"/>
      </t>
    </mdx>
    <mdx n="508" f="v">
      <t c="3" si="4">
        <n x="509"/>
        <n x="447"/>
        <n x="478"/>
      </t>
    </mdx>
    <mdx n="508" f="v">
      <t c="3" si="4">
        <n x="509"/>
        <n x="130"/>
        <n x="466"/>
      </t>
    </mdx>
    <mdx n="508" f="v">
      <t c="3" si="4">
        <n x="509"/>
        <n x="352"/>
        <n x="476"/>
      </t>
    </mdx>
    <mdx n="508" f="v">
      <t c="3" si="4">
        <n x="509"/>
        <n x="182"/>
        <n x="477"/>
      </t>
    </mdx>
    <mdx n="508" f="v">
      <t c="3" si="4">
        <n x="509"/>
        <n x="8"/>
        <n x="478"/>
      </t>
    </mdx>
    <mdx n="508" f="v">
      <t c="3" si="4">
        <n x="509"/>
        <n x="145"/>
        <n x="466"/>
      </t>
    </mdx>
    <mdx n="508" f="v">
      <t c="3" si="4">
        <n x="509"/>
        <n x="73"/>
        <n x="476"/>
      </t>
    </mdx>
    <mdx n="508" f="v">
      <t c="3" si="4">
        <n x="509"/>
        <n x="42"/>
        <n x="477"/>
      </t>
    </mdx>
    <mdx n="508" f="v">
      <t c="3" si="4">
        <n x="509"/>
        <n x="367"/>
        <n x="478"/>
      </t>
    </mdx>
    <mdx n="508" f="v">
      <t c="3" si="4">
        <n x="509"/>
        <n x="157"/>
        <n x="471"/>
      </t>
    </mdx>
    <mdx n="508" f="v">
      <t c="3" si="4">
        <n x="509"/>
        <n x="429"/>
        <n x="471"/>
      </t>
    </mdx>
    <mdx n="508" f="v">
      <t c="3" si="4">
        <n x="509"/>
        <n x="431"/>
        <n x="479"/>
      </t>
    </mdx>
    <mdx n="508" f="v">
      <t c="3" si="4">
        <n x="509"/>
        <n x="52"/>
        <n x="480"/>
      </t>
    </mdx>
    <mdx n="508" f="v">
      <t c="3" si="4">
        <n x="509"/>
        <n x="34"/>
        <n x="481"/>
      </t>
    </mdx>
    <mdx n="508" f="v">
      <t c="3" si="4">
        <n x="509"/>
        <n x="253"/>
        <n x="471"/>
      </t>
    </mdx>
    <mdx n="508" f="v">
      <t c="3" si="4">
        <n x="509"/>
        <n x="78"/>
        <n x="479"/>
      </t>
    </mdx>
    <mdx n="508" f="v">
      <t c="3" si="4">
        <n x="509"/>
        <n x="153"/>
        <n x="480"/>
      </t>
    </mdx>
    <mdx n="508" f="v">
      <t c="3" si="4">
        <n x="509"/>
        <n x="395"/>
        <n x="481"/>
      </t>
    </mdx>
    <mdx n="508" f="v">
      <t c="3" si="4">
        <n x="509"/>
        <n x="142"/>
        <n x="471"/>
      </t>
    </mdx>
    <mdx n="508" f="v">
      <t c="3" si="4">
        <n x="509"/>
        <n x="317"/>
        <n x="479"/>
      </t>
    </mdx>
    <mdx n="508" f="v">
      <t c="3" si="4">
        <n x="509"/>
        <n x="268"/>
        <n x="480"/>
      </t>
    </mdx>
    <mdx n="508" f="v">
      <t c="3" si="4">
        <n x="509"/>
        <n x="118"/>
        <n x="468"/>
      </t>
    </mdx>
    <mdx n="508" f="v">
      <t c="3" si="4">
        <n x="509"/>
        <n x="23"/>
        <n x="471"/>
      </t>
    </mdx>
    <mdx n="508" f="v">
      <t c="3" si="4">
        <n x="509"/>
        <n x="288"/>
        <n x="479"/>
      </t>
    </mdx>
    <mdx n="508" f="v">
      <t c="3" si="4">
        <n x="509"/>
        <n x="63"/>
        <n x="480"/>
      </t>
    </mdx>
    <mdx n="508" f="v">
      <t c="3" si="4">
        <n x="509"/>
        <n x="398"/>
        <n x="468"/>
      </t>
    </mdx>
    <mdx n="508" f="v">
      <t c="3" si="4">
        <n x="509"/>
        <n x="20"/>
        <n x="471"/>
      </t>
    </mdx>
    <mdx n="508" f="v">
      <t c="3" si="4">
        <n x="509"/>
        <n x="332"/>
        <n x="479"/>
      </t>
    </mdx>
    <mdx n="508" f="v">
      <t c="3" si="4">
        <n x="509"/>
        <n x="68"/>
        <n x="480"/>
      </t>
    </mdx>
    <mdx n="508" f="v">
      <t c="3" si="4">
        <n x="509"/>
        <n x="419"/>
        <n x="476"/>
      </t>
    </mdx>
    <mdx n="508" f="v">
      <t c="3" si="4">
        <n x="509"/>
        <n x="17"/>
        <n x="471"/>
      </t>
    </mdx>
    <mdx n="508" f="v">
      <t c="3" si="4">
        <n x="509"/>
        <n x="263"/>
        <n x="472"/>
      </t>
    </mdx>
    <mdx n="508" f="v">
      <t c="3" si="4">
        <n x="509"/>
        <n x="324"/>
        <n x="466"/>
      </t>
    </mdx>
    <mdx n="508" f="v">
      <t c="3" si="4">
        <n x="509"/>
        <n x="227"/>
        <n x="1"/>
      </t>
    </mdx>
    <mdx n="508" f="v">
      <t c="3" si="4">
        <n x="509"/>
        <n x="171"/>
        <n x="466"/>
      </t>
    </mdx>
    <mdx n="508" f="v">
      <t c="3" si="4">
        <n x="509"/>
        <n x="404"/>
        <n x="468"/>
      </t>
    </mdx>
    <mdx n="508" f="v">
      <t c="3" si="4">
        <n x="509"/>
        <n x="191"/>
        <n x="476"/>
      </t>
    </mdx>
    <mdx n="508" f="v">
      <t c="3" si="4">
        <n x="509"/>
        <n x="277"/>
        <n x="478"/>
      </t>
    </mdx>
    <mdx n="508" f="v">
      <t c="3" si="4">
        <n x="509"/>
        <n x="112"/>
        <n x="468"/>
      </t>
    </mdx>
    <mdx n="508" f="v">
      <t c="3" si="4">
        <n x="509"/>
        <n x="432"/>
        <n x="476"/>
      </t>
    </mdx>
    <mdx n="508" f="v">
      <t c="3" si="4">
        <n x="509"/>
        <n x="51"/>
        <n x="478"/>
      </t>
    </mdx>
    <mdx n="508" f="v">
      <t c="3" si="4">
        <n x="509"/>
        <n x="226"/>
        <n x="468"/>
      </t>
    </mdx>
    <mdx n="508" f="v">
      <t c="3" si="4">
        <n x="509"/>
        <n x="150"/>
        <n x="476"/>
      </t>
    </mdx>
    <mdx n="508" f="v">
      <t c="3" si="4">
        <n x="509"/>
        <n x="326"/>
        <n x="477"/>
      </t>
    </mdx>
    <mdx n="508" f="v">
      <t c="3" si="4">
        <n x="509"/>
        <n x="26"/>
        <n x="468"/>
      </t>
    </mdx>
    <mdx n="508" f="v">
      <t c="3" si="4">
        <n x="509"/>
        <n x="223"/>
        <n x="476"/>
      </t>
    </mdx>
    <mdx n="508" f="v">
      <t c="3" si="4">
        <n x="509"/>
        <n x="177"/>
        <n x="477"/>
      </t>
    </mdx>
    <mdx n="508" f="v">
      <t c="3" si="4">
        <n x="509"/>
        <n x="297"/>
        <n x="471"/>
      </t>
    </mdx>
    <mdx n="508" f="v">
      <t c="3" si="4">
        <n x="509"/>
        <n x="149"/>
        <n x="466"/>
      </t>
    </mdx>
    <mdx n="508" f="v">
      <t c="3" si="4">
        <n x="509"/>
        <n x="119"/>
        <n x="476"/>
      </t>
    </mdx>
    <mdx n="508" f="v">
      <t c="3" si="4">
        <n x="509"/>
        <n x="447"/>
        <n x="477"/>
      </t>
    </mdx>
    <mdx n="508" f="v">
      <t c="3" si="4">
        <n x="509"/>
        <n x="255"/>
        <n x="478"/>
      </t>
    </mdx>
    <mdx n="508" f="v">
      <t c="3" si="4">
        <n x="509"/>
        <n x="460"/>
        <n x="5"/>
      </t>
    </mdx>
    <mdx n="508" f="v">
      <t c="3" si="4">
        <n x="509"/>
        <n x="432"/>
        <n x="468"/>
      </t>
    </mdx>
    <mdx n="508" f="v">
      <t c="3" si="4">
        <n x="509"/>
        <n x="273"/>
        <n x="477"/>
      </t>
    </mdx>
    <mdx n="508" f="v">
      <t c="3" si="4">
        <n x="509"/>
        <n x="222"/>
        <n x="478"/>
      </t>
    </mdx>
    <mdx n="508" f="v">
      <t c="3" si="4">
        <n x="509"/>
        <n x="35"/>
        <n x="468"/>
      </t>
    </mdx>
    <mdx n="508" f="v">
      <t c="3" si="4">
        <n x="509"/>
        <n x="423"/>
        <n x="477"/>
      </t>
    </mdx>
    <mdx n="508" f="v">
      <t c="3" si="4">
        <n x="509"/>
        <n x="305"/>
        <n x="478"/>
      </t>
    </mdx>
    <mdx n="508" f="v">
      <t c="3" si="4">
        <n x="509"/>
        <n x="354"/>
        <n x="471"/>
      </t>
    </mdx>
    <mdx n="508" f="v">
      <t c="3" si="4">
        <n x="509"/>
        <n x="60"/>
        <n x="471"/>
      </t>
    </mdx>
    <mdx n="508" f="v">
      <t c="3" si="4">
        <n x="509"/>
        <n x="446"/>
        <n x="480"/>
      </t>
    </mdx>
    <mdx n="508" f="v">
      <t c="3" si="4">
        <n x="509"/>
        <n x="427"/>
        <n x="481"/>
      </t>
    </mdx>
    <mdx n="508" f="v">
      <t c="3" si="4">
        <n x="509"/>
        <n x="164"/>
        <n x="471"/>
      </t>
    </mdx>
    <mdx n="508" f="v">
      <t c="3" si="4">
        <n x="509"/>
        <n x="155"/>
        <n x="479"/>
      </t>
    </mdx>
    <mdx n="508" f="v">
      <t c="3" si="4">
        <n x="509"/>
        <n x="438"/>
        <n x="480"/>
      </t>
    </mdx>
    <mdx n="508" f="v">
      <t c="3" si="4">
        <n x="509"/>
        <n x="340"/>
        <n x="481"/>
      </t>
    </mdx>
    <mdx n="508" f="v">
      <t c="3" si="4">
        <n x="509"/>
        <n x="170"/>
        <n x="471"/>
      </t>
    </mdx>
    <mdx n="508" f="v">
      <t c="3" si="4">
        <n x="509"/>
        <n x="242"/>
        <n x="479"/>
      </t>
    </mdx>
    <mdx n="508" f="v">
      <t c="3" si="4">
        <n x="509"/>
        <n x="447"/>
        <n x="480"/>
      </t>
    </mdx>
    <mdx n="508" f="v">
      <t c="3" si="4">
        <n x="509"/>
        <n x="133"/>
        <n x="471"/>
      </t>
    </mdx>
    <mdx n="508" f="v">
      <t c="3" si="4">
        <n x="509"/>
        <n x="461"/>
        <n x="479"/>
      </t>
    </mdx>
    <mdx n="508" f="v">
      <t c="3" si="4">
        <n x="509"/>
        <n x="10"/>
        <n x="480"/>
      </t>
    </mdx>
    <mdx n="508" f="v">
      <t c="3" si="4">
        <n x="509"/>
        <n x="48"/>
        <n x="466"/>
      </t>
    </mdx>
    <mdx n="508" f="v">
      <t c="3" si="4">
        <n x="509"/>
        <n x="27"/>
        <n x="471"/>
      </t>
    </mdx>
    <mdx n="508" f="v">
      <t c="3" si="4">
        <n x="509"/>
        <n x="61"/>
        <n x="479"/>
      </t>
    </mdx>
    <mdx n="508" f="v">
      <t c="3" si="4">
        <n x="509"/>
        <n x="371"/>
        <n x="480"/>
      </t>
    </mdx>
    <mdx n="508" f="v">
      <t c="3" si="4">
        <n x="509"/>
        <n x="443"/>
        <n x="468"/>
      </t>
    </mdx>
    <mdx n="508" f="v">
      <t c="3" si="4">
        <n x="509"/>
        <n x="406"/>
        <n x="471"/>
      </t>
    </mdx>
    <mdx n="508" f="v">
      <t c="3" si="4">
        <n x="509"/>
        <n x="266"/>
        <n x="479"/>
      </t>
    </mdx>
    <mdx n="508" f="v">
      <t c="3" si="4">
        <n x="509"/>
        <n x="447"/>
        <n x="470"/>
      </t>
    </mdx>
    <mdx n="508" f="v">
      <t c="3" si="4">
        <n x="509"/>
        <n x="106"/>
        <n x="469"/>
      </t>
    </mdx>
    <mdx n="508" f="v">
      <t c="3" si="4">
        <n x="509"/>
        <n x="118"/>
        <n x="472"/>
      </t>
    </mdx>
    <mdx n="508" f="v">
      <t c="3" si="4">
        <n x="509"/>
        <n x="270"/>
        <n x="468"/>
      </t>
    </mdx>
    <mdx n="508" f="v">
      <t c="3" si="4">
        <n x="509"/>
        <n x="202"/>
        <n x="466"/>
      </t>
    </mdx>
    <mdx n="508" f="v">
      <t c="3" si="4">
        <n x="509"/>
        <n x="84"/>
        <n x="468"/>
      </t>
    </mdx>
    <mdx n="508" f="v">
      <t c="3" si="4">
        <n x="509"/>
        <n x="236"/>
        <n x="476"/>
      </t>
    </mdx>
    <mdx n="508" f="v">
      <t c="3" si="4">
        <n x="509"/>
        <n x="416"/>
        <n x="478"/>
      </t>
    </mdx>
    <mdx n="508" f="v">
      <t c="3" si="4">
        <n x="509"/>
        <n x="234"/>
        <n x="468"/>
      </t>
    </mdx>
    <mdx n="508" f="v">
      <t c="3" si="4">
        <n x="509"/>
        <n x="96"/>
        <n x="476"/>
      </t>
    </mdx>
    <mdx n="508" f="v">
      <t c="3" si="4">
        <n x="509"/>
        <n x="246"/>
        <n x="478"/>
      </t>
    </mdx>
    <mdx n="508" f="v">
      <t c="3" si="4">
        <n x="509"/>
        <n x="65"/>
        <n x="468"/>
      </t>
    </mdx>
    <mdx n="508" f="v">
      <t c="3" si="4">
        <n x="509"/>
        <n x="245"/>
        <n x="477"/>
      </t>
    </mdx>
    <mdx n="508" f="v">
      <t c="3" si="4">
        <n x="509"/>
        <n x="55"/>
        <n x="476"/>
      </t>
    </mdx>
    <mdx n="508" f="v">
      <t c="3" si="4">
        <n x="509"/>
        <n x="274"/>
        <n x="477"/>
      </t>
    </mdx>
    <mdx n="508" f="v">
      <t c="3" si="4">
        <n x="509"/>
        <n x="287"/>
        <n x="471"/>
      </t>
    </mdx>
    <mdx n="508" f="v">
      <t c="3" si="4">
        <n x="509"/>
        <n x="411"/>
        <n x="468"/>
      </t>
    </mdx>
    <mdx n="508" f="v">
      <t c="3" si="4">
        <n x="509"/>
        <n x="368"/>
        <n x="477"/>
      </t>
    </mdx>
    <mdx n="508" f="v">
      <t c="3" si="4">
        <n x="509"/>
        <n x="439"/>
        <n x="478"/>
      </t>
    </mdx>
    <mdx n="508" f="v">
      <t c="3" si="4">
        <n x="509"/>
        <n x="381"/>
        <n x="468"/>
      </t>
    </mdx>
    <mdx n="508" f="v">
      <t c="3" si="4">
        <n x="509"/>
        <n x="347"/>
        <n x="476"/>
      </t>
    </mdx>
    <mdx n="508" f="v">
      <t c="3" si="4">
        <n x="509"/>
        <n x="407"/>
        <n x="478"/>
      </t>
    </mdx>
    <mdx n="508" f="v">
      <t c="3" si="4">
        <n x="509"/>
        <n x="75"/>
        <n x="468"/>
      </t>
    </mdx>
    <mdx n="508" f="v">
      <t c="3" si="4">
        <n x="509"/>
        <n x="53"/>
        <n x="476"/>
      </t>
    </mdx>
    <mdx n="508" f="v">
      <t c="3" si="4">
        <n x="509"/>
        <n x="386"/>
        <n x="478"/>
      </t>
    </mdx>
    <mdx n="508" f="v">
      <t c="3" si="4">
        <n x="509"/>
        <n x="412"/>
        <n x="476"/>
      </t>
    </mdx>
    <mdx n="508" f="v">
      <t c="3" si="4">
        <n x="509"/>
        <n x="94"/>
        <n x="479"/>
      </t>
    </mdx>
    <mdx n="508" f="v">
      <t c="3" si="4">
        <n x="509"/>
        <n x="211"/>
        <n x="480"/>
      </t>
    </mdx>
    <mdx n="508" f="v">
      <t c="3" si="4">
        <n x="509"/>
        <n x="446"/>
        <n x="477"/>
      </t>
    </mdx>
    <mdx n="508" f="v">
      <t c="3" si="4">
        <n x="509"/>
        <n x="359"/>
        <n x="479"/>
      </t>
    </mdx>
    <mdx n="508" f="v">
      <t c="3" si="4">
        <n x="509"/>
        <n x="7"/>
        <n x="480"/>
      </t>
    </mdx>
    <mdx n="508" f="v">
      <t c="3" si="4">
        <n x="509"/>
        <n x="202"/>
        <n x="477"/>
      </t>
    </mdx>
    <mdx n="508" f="v">
      <t c="3" si="4">
        <n x="509"/>
        <n x="306"/>
        <n x="479"/>
      </t>
    </mdx>
    <mdx n="508" f="v">
      <t c="3" si="4">
        <n x="509"/>
        <n x="380"/>
        <n x="480"/>
      </t>
    </mdx>
    <mdx n="508" f="v">
      <t c="3" si="4">
        <n x="509"/>
        <n x="52"/>
        <n x="478"/>
      </t>
    </mdx>
    <mdx n="508" f="v">
      <t c="3" si="4">
        <n x="509"/>
        <n x="225"/>
        <n x="479"/>
      </t>
    </mdx>
    <mdx n="508" f="v">
      <t c="3" si="4">
        <n x="509"/>
        <n x="319"/>
        <n x="480"/>
      </t>
    </mdx>
    <mdx n="508" f="v">
      <t c="3" si="4">
        <n x="509"/>
        <n x="326"/>
        <n x="478"/>
      </t>
    </mdx>
    <mdx n="508" f="v">
      <t c="3" si="4">
        <n x="509"/>
        <n x="132"/>
        <n x="469"/>
      </t>
    </mdx>
    <mdx n="508" f="v">
      <t c="3" si="4">
        <n x="509"/>
        <n x="365"/>
        <n x="2"/>
      </t>
    </mdx>
    <mdx n="508" f="v">
      <t c="3" si="4">
        <n x="509"/>
        <n x="225"/>
        <n x="2"/>
      </t>
    </mdx>
    <mdx n="508" f="v">
      <t c="3" si="4">
        <n x="509"/>
        <n x="246"/>
        <n x="466"/>
      </t>
    </mdx>
    <mdx n="508" f="v">
      <t c="3" si="4">
        <n x="509"/>
        <n x="384"/>
        <n x="468"/>
      </t>
    </mdx>
    <mdx n="508" f="v">
      <t c="3" si="4">
        <n x="509"/>
        <n x="296"/>
        <n x="477"/>
      </t>
    </mdx>
    <mdx n="508" f="v">
      <t c="3" si="4">
        <n x="509"/>
        <n x="294"/>
        <n x="478"/>
      </t>
    </mdx>
    <mdx n="508" f="v">
      <t c="3" si="4">
        <n x="509"/>
        <n x="389"/>
        <n x="466"/>
      </t>
    </mdx>
    <mdx n="508" f="v">
      <t c="3" si="4">
        <n x="509"/>
        <n x="285"/>
        <n x="476"/>
      </t>
    </mdx>
    <mdx n="508" f="v">
      <t c="3" si="4">
        <n x="509"/>
        <n x="390"/>
        <n x="477"/>
      </t>
    </mdx>
    <mdx n="508" f="v">
      <t c="3" si="4">
        <n x="509"/>
        <n x="360"/>
        <n x="478"/>
      </t>
    </mdx>
    <mdx n="508" f="v">
      <t c="3" si="4">
        <n x="509"/>
        <n x="202"/>
        <n x="468"/>
      </t>
    </mdx>
    <mdx n="508" f="v">
      <t c="3" si="4">
        <n x="509"/>
        <n x="106"/>
        <n x="476"/>
      </t>
    </mdx>
    <mdx n="508" f="v">
      <t c="3" si="4">
        <n x="509"/>
        <n x="404"/>
        <n x="477"/>
      </t>
    </mdx>
    <mdx n="508" f="v">
      <t c="3" si="4">
        <n x="509"/>
        <n x="304"/>
        <n x="466"/>
      </t>
    </mdx>
    <mdx n="508" f="v">
      <t c="3" si="4">
        <n x="509"/>
        <n x="459"/>
        <n x="476"/>
      </t>
    </mdx>
    <mdx n="508" f="v">
      <t c="3" si="4">
        <n x="509"/>
        <n x="146"/>
        <n x="477"/>
      </t>
    </mdx>
    <mdx n="508" f="v">
      <t c="3" si="4">
        <n x="509"/>
        <n x="54"/>
        <n x="478"/>
      </t>
    </mdx>
    <mdx n="508" f="v">
      <t c="3" si="4">
        <n x="509"/>
        <n x="424"/>
        <n x="471"/>
      </t>
    </mdx>
    <mdx n="508" f="v">
      <t c="3" si="4">
        <n x="509"/>
        <n x="14"/>
        <n x="468"/>
      </t>
    </mdx>
    <mdx n="508" f="v">
      <t c="3" si="4">
        <n x="509"/>
        <n x="438"/>
        <n x="476"/>
      </t>
    </mdx>
    <mdx n="508" f="v">
      <t c="3" si="4">
        <n x="509"/>
        <n x="288"/>
        <n x="477"/>
      </t>
    </mdx>
    <mdx n="508" f="v">
      <t c="3" si="4">
        <n x="509"/>
        <n x="425"/>
        <n x="478"/>
      </t>
    </mdx>
    <mdx n="508" f="v">
      <t c="3" si="4">
        <n x="509"/>
        <n x="257"/>
        <n x="468"/>
      </t>
    </mdx>
    <mdx n="508" f="v">
      <t c="3" si="4">
        <n x="509"/>
        <n x="385"/>
        <n x="476"/>
      </t>
    </mdx>
    <mdx n="508" f="v">
      <t c="3" si="4">
        <n x="509"/>
        <n x="101"/>
        <n x="477"/>
      </t>
    </mdx>
    <mdx n="508" f="v">
      <t c="3" si="4">
        <n x="509"/>
        <n x="321"/>
        <n x="468"/>
      </t>
    </mdx>
    <mdx n="508" f="v">
      <t c="3" si="4">
        <n x="509"/>
        <n x="87"/>
        <n x="476"/>
      </t>
    </mdx>
    <mdx n="508" f="v">
      <t c="3" si="4">
        <n x="509"/>
        <n x="281"/>
        <n x="477"/>
      </t>
    </mdx>
    <mdx n="508" f="v">
      <t c="3" si="4">
        <n x="509"/>
        <n x="292"/>
        <n x="478"/>
      </t>
    </mdx>
    <mdx n="508" f="v">
      <t c="3" si="4">
        <n x="509"/>
        <n x="390"/>
        <n x="468"/>
      </t>
    </mdx>
    <mdx n="508" f="v">
      <t c="3" si="4">
        <n x="509"/>
        <n x="240"/>
        <n x="471"/>
      </t>
    </mdx>
    <mdx n="508" f="v">
      <t c="3" si="4">
        <n x="509"/>
        <n x="236"/>
        <n x="479"/>
      </t>
    </mdx>
    <mdx n="508" f="v">
      <t c="3" si="4">
        <n x="509"/>
        <n x="112"/>
        <n x="480"/>
      </t>
    </mdx>
    <mdx n="508" f="v">
      <t c="3" si="4">
        <n x="509"/>
        <n x="400"/>
        <n x="476"/>
      </t>
    </mdx>
    <mdx n="508" f="v">
      <t c="3" si="4">
        <n x="509"/>
        <n x="111"/>
        <n x="471"/>
      </t>
    </mdx>
    <mdx n="508" f="v">
      <t c="3" si="4">
        <n x="509"/>
        <n x="297"/>
        <n x="479"/>
      </t>
    </mdx>
    <mdx n="508" f="v">
      <t c="3" si="4">
        <n x="509"/>
        <n x="208"/>
        <n x="481"/>
      </t>
    </mdx>
    <mdx n="508" f="v">
      <t c="3" si="4">
        <n x="509"/>
        <n x="167"/>
        <n x="476"/>
      </t>
    </mdx>
    <mdx n="508" f="v">
      <t c="3" si="4">
        <n x="509"/>
        <n x="387"/>
        <n x="471"/>
      </t>
    </mdx>
    <mdx n="508" f="v">
      <t c="3" si="4">
        <n x="509"/>
        <n x="185"/>
        <n x="479"/>
      </t>
    </mdx>
    <mdx n="508" f="v">
      <t c="3" si="4">
        <n x="509"/>
        <n x="289"/>
        <n x="481"/>
      </t>
    </mdx>
    <mdx n="508" f="v">
      <t c="3" si="4">
        <n x="509"/>
        <n x="67"/>
        <n x="477"/>
      </t>
    </mdx>
    <mdx n="508" f="v">
      <t c="3" si="4">
        <n x="509"/>
        <n x="304"/>
        <n x="471"/>
      </t>
    </mdx>
    <mdx n="508" f="v">
      <t c="3" si="4">
        <n x="509"/>
        <n x="111"/>
        <n x="480"/>
      </t>
    </mdx>
    <mdx n="508" f="v">
      <t c="3" si="4">
        <n x="509"/>
        <n x="350"/>
        <n x="481"/>
      </t>
    </mdx>
    <mdx n="508" f="v">
      <t c="3" si="4">
        <n x="509"/>
        <n x="208"/>
        <n x="478"/>
      </t>
    </mdx>
    <mdx n="508" f="v">
      <t c="3" si="4">
        <n x="509"/>
        <n x="75"/>
        <n x="471"/>
      </t>
    </mdx>
    <mdx n="508" f="v">
      <t c="3" si="4">
        <n x="509"/>
        <n x="302"/>
        <n x="480"/>
      </t>
    </mdx>
    <mdx n="508" f="v">
      <t c="3" si="4">
        <n x="509"/>
        <n x="147"/>
        <n x="481"/>
      </t>
    </mdx>
    <mdx n="508" f="v">
      <t c="3" si="4">
        <n x="509"/>
        <n x="265"/>
        <n x="478"/>
      </t>
    </mdx>
    <mdx n="508" f="v">
      <t c="3" si="4">
        <n x="509"/>
        <n x="421"/>
        <n x="479"/>
      </t>
    </mdx>
    <mdx n="508" f="v">
      <t c="3" si="4">
        <n x="509"/>
        <n x="389"/>
        <n x="469"/>
      </t>
    </mdx>
    <mdx n="508" f="v">
      <t c="3" si="475">
        <n x="509"/>
        <n x="375"/>
        <n x="474"/>
      </t>
    </mdx>
    <mdx n="508" f="v">
      <t c="3" si="4">
        <n x="509"/>
        <n x="313"/>
        <n x="466"/>
      </t>
    </mdx>
    <mdx n="508" f="v">
      <t c="3" si="4">
        <n x="509"/>
        <n x="297"/>
        <n x="466"/>
      </t>
    </mdx>
    <mdx n="508" f="v">
      <t c="3" si="4">
        <n x="509"/>
        <n x="272"/>
        <n x="466"/>
      </t>
    </mdx>
    <mdx n="508" f="v">
      <t c="3" si="4">
        <n x="509"/>
        <n x="202"/>
        <n x="5"/>
      </t>
    </mdx>
    <mdx n="508" f="v">
      <t c="3" si="4">
        <n x="509"/>
        <n x="153"/>
        <n x="466"/>
      </t>
    </mdx>
    <mdx n="508" f="v">
      <t c="3" si="4">
        <n x="509"/>
        <n x="362"/>
        <n x="466"/>
      </t>
    </mdx>
    <mdx n="508" f="v">
      <t c="3" si="4">
        <n x="509"/>
        <n x="39"/>
        <n x="476"/>
      </t>
    </mdx>
    <mdx n="508" f="v">
      <t c="3" si="4">
        <n x="509"/>
        <n x="351"/>
        <n x="477"/>
      </t>
    </mdx>
    <mdx n="508" f="v">
      <t c="3" si="4">
        <n x="509"/>
        <n x="83"/>
        <n x="478"/>
      </t>
    </mdx>
    <mdx n="508" f="v">
      <t c="3" si="4">
        <n x="509"/>
        <n x="352"/>
        <n x="466"/>
      </t>
    </mdx>
    <mdx n="508" f="v">
      <t c="3" si="4">
        <n x="509"/>
        <n x="372"/>
        <n x="476"/>
      </t>
    </mdx>
    <mdx n="508" f="v">
      <t c="3" si="4">
        <n x="509"/>
        <n x="151"/>
        <n x="477"/>
      </t>
    </mdx>
    <mdx n="508" f="v">
      <t c="3" si="4">
        <n x="509"/>
        <n x="184"/>
        <n x="478"/>
      </t>
    </mdx>
    <mdx n="508" f="v">
      <t c="3" si="4">
        <n x="509"/>
        <n x="156"/>
        <n x="468"/>
      </t>
    </mdx>
    <mdx n="508" f="v">
      <t c="3" si="4">
        <n x="509"/>
        <n x="448"/>
        <n x="476"/>
      </t>
    </mdx>
    <mdx n="508" f="v">
      <t c="3" si="4">
        <n x="509"/>
        <n x="314"/>
        <n x="477"/>
      </t>
    </mdx>
    <mdx n="508" f="v">
      <t c="3" si="4">
        <n x="509"/>
        <n x="249"/>
        <n x="468"/>
      </t>
    </mdx>
    <mdx n="508" f="v">
      <t c="3" si="4">
        <n x="509"/>
        <n x="145"/>
        <n x="477"/>
      </t>
    </mdx>
    <mdx n="508" f="v">
      <t c="3" si="4">
        <n x="509"/>
        <n x="193"/>
        <n x="478"/>
      </t>
    </mdx>
    <mdx n="508" f="v">
      <t c="3" si="4">
        <n x="509"/>
        <n x="51"/>
        <n x="471"/>
      </t>
    </mdx>
    <mdx n="508" f="v">
      <t c="3" si="4">
        <n x="509"/>
        <n x="361"/>
        <n x="468"/>
      </t>
    </mdx>
    <mdx n="508" f="v">
      <t c="3" si="4">
        <n x="509"/>
        <n x="236"/>
        <n x="477"/>
      </t>
    </mdx>
    <mdx n="508" f="v">
      <t c="3" si="4">
        <n x="509"/>
        <n x="48"/>
        <n x="478"/>
      </t>
    </mdx>
    <mdx n="508" f="v">
      <t c="3" si="4">
        <n x="509"/>
        <n x="222"/>
        <n x="466"/>
      </t>
    </mdx>
    <mdx n="508" f="v">
      <t c="3" si="4">
        <n x="509"/>
        <n x="84"/>
        <n x="476"/>
      </t>
    </mdx>
    <mdx n="508" f="v">
      <t c="3" si="4">
        <n x="509"/>
        <n x="345"/>
        <n x="477"/>
      </t>
    </mdx>
    <mdx n="508" f="v">
      <t c="3" si="4">
        <n x="509"/>
        <n x="70"/>
        <n x="478"/>
      </t>
    </mdx>
    <mdx n="508" f="v">
      <t c="3" si="4">
        <n x="509"/>
        <n x="277"/>
        <n x="466"/>
      </t>
    </mdx>
    <mdx n="508" f="v">
      <t c="3" si="4">
        <n x="509"/>
        <n x="146"/>
        <n x="476"/>
      </t>
    </mdx>
    <mdx n="508" f="v">
      <t c="3" si="4">
        <n x="509"/>
        <n x="211"/>
        <n x="477"/>
      </t>
    </mdx>
    <mdx n="508" f="v">
      <t c="3" si="4">
        <n x="509"/>
        <n x="349"/>
        <n x="478"/>
      </t>
    </mdx>
    <mdx n="508" f="v">
      <t c="3" si="4">
        <n x="509"/>
        <n x="409"/>
        <n x="471"/>
      </t>
    </mdx>
    <mdx n="508" f="v">
      <t c="3" si="4">
        <n x="509"/>
        <n x="449"/>
        <n x="479"/>
      </t>
    </mdx>
    <mdx n="508" f="v">
      <t c="3" si="4">
        <n x="509"/>
        <n x="32"/>
        <n x="480"/>
      </t>
    </mdx>
    <mdx n="508" f="v">
      <t c="3" si="4">
        <n x="509"/>
        <n x="98"/>
        <n x="468"/>
      </t>
    </mdx>
    <mdx n="508" f="v">
      <t c="3" si="4">
        <n x="509"/>
        <n x="239"/>
        <n x="471"/>
      </t>
    </mdx>
    <mdx n="508" f="v">
      <t c="3" si="4">
        <n x="509"/>
        <n x="123"/>
        <n x="479"/>
      </t>
    </mdx>
    <mdx n="508" f="v">
      <t c="3" si="4">
        <n x="509"/>
        <n x="223"/>
        <n x="480"/>
      </t>
    </mdx>
    <mdx n="508" f="v">
      <t c="3" si="4">
        <n x="509"/>
        <n x="176"/>
        <n x="468"/>
      </t>
    </mdx>
    <mdx n="508" f="v">
      <t c="3" si="4">
        <n x="509"/>
        <n x="243"/>
        <n x="471"/>
      </t>
    </mdx>
    <mdx n="508" f="v">
      <t c="3" si="4">
        <n x="509"/>
        <n x="136"/>
        <n x="479"/>
      </t>
    </mdx>
    <mdx n="508" f="v">
      <t c="3" si="4">
        <n x="509"/>
        <n x="124"/>
        <n x="480"/>
      </t>
    </mdx>
    <mdx n="508" f="v">
      <t c="3" si="4">
        <n x="509"/>
        <n x="177"/>
        <n x="476"/>
      </t>
    </mdx>
    <mdx n="508" f="v">
      <t c="3" si="4">
        <n x="509"/>
        <n x="217"/>
        <n x="471"/>
      </t>
    </mdx>
    <mdx n="508" f="v">
      <t c="3" si="4">
        <n x="509"/>
        <n x="397"/>
        <n x="479"/>
      </t>
    </mdx>
    <mdx n="508" f="v">
      <t c="3" si="4">
        <n x="509"/>
        <n x="318"/>
        <n x="481"/>
      </t>
    </mdx>
    <mdx n="508" f="v">
      <t c="3" si="4">
        <n x="509"/>
        <n x="138"/>
        <n x="477"/>
      </t>
    </mdx>
    <mdx n="508" f="v">
      <t c="3" si="4">
        <n x="509"/>
        <n x="314"/>
        <n x="471"/>
      </t>
    </mdx>
    <mdx n="508" f="v">
      <t c="3" si="4">
        <n x="509"/>
        <n x="16"/>
        <n x="479"/>
      </t>
    </mdx>
    <mdx n="508" f="v">
      <t c="3" si="4">
        <n x="509"/>
        <n x="196"/>
        <n x="481"/>
      </t>
    </mdx>
    <mdx n="508" f="v">
      <t c="3" si="4">
        <n x="509"/>
        <n x="321"/>
        <n x="477"/>
      </t>
    </mdx>
    <mdx n="508" f="v">
      <t c="3" si="4">
        <n x="509"/>
        <n x="376"/>
        <n x="471"/>
      </t>
    </mdx>
    <mdx n="508" f="v">
      <t c="3" si="475">
        <n x="509"/>
        <n x="145"/>
        <n x="474"/>
      </t>
    </mdx>
    <mdx n="508" f="v">
      <t c="3" si="4">
        <n x="509"/>
        <n x="79"/>
        <n x="473"/>
      </t>
    </mdx>
    <mdx n="508" f="v">
      <t c="3" si="4">
        <n x="509"/>
        <n x="78"/>
        <n x="469"/>
      </t>
    </mdx>
    <mdx n="508" f="v">
      <t c="3" si="4">
        <n x="509"/>
        <n x="114"/>
        <n x="469"/>
      </t>
    </mdx>
    <mdx n="508" f="v">
      <t c="3" si="4">
        <n x="509"/>
        <n x="192"/>
        <n x="467"/>
      </t>
    </mdx>
    <mdx n="508" f="v">
      <t c="3" si="4">
        <n x="509"/>
        <n x="430"/>
        <n x="466"/>
      </t>
    </mdx>
    <mdx n="508" f="v">
      <t c="3" si="4">
        <n x="509"/>
        <n x="197"/>
        <n x="472"/>
      </t>
    </mdx>
    <mdx n="508" f="v">
      <t c="3" si="4">
        <n x="509"/>
        <n x="210"/>
        <n x="466"/>
      </t>
    </mdx>
    <mdx n="508" f="v">
      <t c="3" si="4">
        <n x="509"/>
        <n x="390"/>
        <n x="1"/>
      </t>
    </mdx>
    <mdx n="508" f="v">
      <t c="3" si="4">
        <n x="509"/>
        <n x="10"/>
        <n x="466"/>
      </t>
    </mdx>
    <mdx n="508" f="v">
      <t c="3" si="4">
        <n x="509"/>
        <n x="31"/>
        <n x="1"/>
      </t>
    </mdx>
    <mdx n="508" f="v">
      <t c="3" si="4">
        <n x="509"/>
        <n x="159"/>
        <n x="468"/>
      </t>
    </mdx>
    <mdx n="508" f="v">
      <t c="3" si="4">
        <n x="509"/>
        <n x="437"/>
        <n x="477"/>
      </t>
    </mdx>
    <mdx n="508" f="v">
      <t c="3" si="4">
        <n x="509"/>
        <n x="315"/>
        <n x="478"/>
      </t>
    </mdx>
    <mdx n="508" f="v">
      <t c="3" si="4">
        <n x="509"/>
        <n x="31"/>
        <n x="468"/>
      </t>
    </mdx>
    <mdx n="508" f="v">
      <t c="3" si="4">
        <n x="509"/>
        <n x="263"/>
        <n x="477"/>
      </t>
    </mdx>
    <mdx n="508" f="v">
      <t c="3" si="4">
        <n x="509"/>
        <n x="285"/>
        <n x="478"/>
      </t>
    </mdx>
    <mdx n="508" f="v">
      <t c="3" si="4">
        <n x="509"/>
        <n x="385"/>
        <n x="468"/>
      </t>
    </mdx>
    <mdx n="508" f="v">
      <t c="3" si="4">
        <n x="509"/>
        <n x="439"/>
        <n x="476"/>
      </t>
    </mdx>
    <mdx n="508" f="v">
      <t c="3" si="4">
        <n x="509"/>
        <n x="183"/>
        <n x="477"/>
      </t>
    </mdx>
    <mdx n="508" f="v">
      <t c="3" si="4">
        <n x="509"/>
        <n x="81"/>
        <n x="468"/>
      </t>
    </mdx>
    <mdx n="508" f="v">
      <t c="3" si="4">
        <n x="509"/>
        <n x="259"/>
        <n x="476"/>
      </t>
    </mdx>
    <mdx n="508" f="v">
      <t c="3" si="4">
        <n x="509"/>
        <n x="459"/>
        <n x="478"/>
      </t>
    </mdx>
    <mdx n="508" f="v">
      <t c="3" si="4">
        <n x="509"/>
        <n x="362"/>
        <n x="471"/>
      </t>
    </mdx>
    <mdx n="508" f="v">
      <t c="3" si="4">
        <n x="509"/>
        <n x="267"/>
        <n x="468"/>
      </t>
    </mdx>
    <mdx n="508" f="v">
      <t c="3" si="4">
        <n x="509"/>
        <n x="382"/>
        <n x="476"/>
      </t>
    </mdx>
    <mdx n="508" f="v">
      <t c="3" si="4">
        <n x="509"/>
        <n x="70"/>
        <n x="477"/>
      </t>
    </mdx>
    <mdx n="508" f="v">
      <t c="3" si="4">
        <n x="509"/>
        <n x="175"/>
        <n x="478"/>
      </t>
    </mdx>
    <mdx n="508" f="v">
      <t c="3" si="4">
        <n x="509"/>
        <n x="209"/>
        <n x="466"/>
      </t>
    </mdx>
    <mdx n="508" f="v">
      <t c="3" si="4">
        <n x="509"/>
        <n x="395"/>
        <n x="476"/>
      </t>
    </mdx>
    <mdx n="508" f="v">
      <t c="3" si="4">
        <n x="509"/>
        <n x="265"/>
        <n x="477"/>
      </t>
    </mdx>
    <mdx n="508" f="v">
      <t c="3" si="4">
        <n x="509"/>
        <n x="206"/>
        <n x="478"/>
      </t>
    </mdx>
    <mdx n="508" f="v">
      <t c="3" si="4">
        <n x="509"/>
        <n x="240"/>
        <n x="466"/>
      </t>
    </mdx>
    <mdx n="508" f="v">
      <t c="3" si="4">
        <n x="509"/>
        <n x="450"/>
        <n x="476"/>
      </t>
    </mdx>
    <mdx n="508" f="v">
      <t c="3" si="4">
        <n x="509"/>
        <n x="252"/>
        <n x="477"/>
      </t>
    </mdx>
    <mdx n="508" f="v">
      <t c="3" si="4">
        <n x="509"/>
        <n x="176"/>
        <n x="478"/>
      </t>
    </mdx>
    <mdx n="508" f="v">
      <t c="3" si="4">
        <n x="509"/>
        <n x="155"/>
        <n x="471"/>
      </t>
    </mdx>
    <mdx n="508" f="v">
      <t c="3" si="4">
        <n x="509"/>
        <n x="160"/>
        <n x="471"/>
      </t>
    </mdx>
    <mdx n="508" f="v">
      <t c="3" si="4">
        <n x="509"/>
        <n x="66"/>
        <n x="479"/>
      </t>
    </mdx>
    <mdx n="508" f="v">
      <t c="3" si="4">
        <n x="509"/>
        <n x="154"/>
        <n x="480"/>
      </t>
    </mdx>
    <mdx n="508" f="v">
      <t c="3" si="4">
        <n x="509"/>
        <n x="31"/>
        <n x="471"/>
      </t>
    </mdx>
    <mdx n="508" f="v">
      <t c="3" si="4">
        <n x="509"/>
        <n x="182"/>
        <n x="479"/>
      </t>
    </mdx>
    <mdx n="508" f="v">
      <t c="3" si="4">
        <n x="509"/>
        <n x="28"/>
        <n x="480"/>
      </t>
    </mdx>
    <mdx n="508" f="v">
      <t c="3" si="4">
        <n x="509"/>
        <n x="13"/>
        <n x="481"/>
      </t>
    </mdx>
    <mdx n="508" f="v">
      <t c="3" si="4">
        <n x="509"/>
        <n x="33"/>
        <n x="471"/>
      </t>
    </mdx>
    <mdx n="508" f="v">
      <t c="3" si="4">
        <n x="509"/>
        <n x="7"/>
        <n x="479"/>
      </t>
    </mdx>
    <mdx n="508" f="v">
      <t c="3" si="4">
        <n x="509"/>
        <n x="347"/>
        <n x="480"/>
      </t>
    </mdx>
    <mdx n="508" f="v">
      <t c="3" si="4">
        <n x="509"/>
        <n x="259"/>
        <n x="468"/>
      </t>
    </mdx>
    <mdx n="508" f="v">
      <t c="3" si="4">
        <n x="509"/>
        <n x="21"/>
        <n x="471"/>
      </t>
    </mdx>
    <mdx n="508" f="v">
      <t c="3" si="4">
        <n x="509"/>
        <n x="247"/>
        <n x="479"/>
      </t>
    </mdx>
    <mdx n="508" f="v">
      <t c="3" si="4">
        <n x="509"/>
        <n x="204"/>
        <n x="480"/>
      </t>
    </mdx>
    <mdx n="508" f="v">
      <t c="3" si="4">
        <n x="509"/>
        <n x="270"/>
        <n x="476"/>
      </t>
    </mdx>
    <mdx n="508" f="v">
      <t c="3" si="4">
        <n x="509"/>
        <n x="394"/>
        <n x="471"/>
      </t>
    </mdx>
    <mdx n="508" f="v">
      <t c="3" si="4">
        <n x="509"/>
        <n x="112"/>
        <n x="479"/>
      </t>
    </mdx>
    <mdx n="508" f="v">
      <t c="3" si="4">
        <n x="509"/>
        <n x="428"/>
        <n x="480"/>
      </t>
    </mdx>
    <mdx n="508" f="v">
      <t c="3" si="4">
        <n x="509"/>
        <n x="257"/>
        <n x="476"/>
      </t>
    </mdx>
    <mdx n="508" f="v">
      <t c="3" si="4">
        <n x="509"/>
        <n x="390"/>
        <n x="471"/>
      </t>
    </mdx>
    <mdx n="508" f="v">
      <t c="3" si="4">
        <n x="509"/>
        <n x="214"/>
        <n x="479"/>
      </t>
    </mdx>
    <mdx n="508" f="v">
      <t c="3" si="4">
        <n x="509"/>
        <n x="69"/>
        <n x="472"/>
      </t>
    </mdx>
    <mdx n="508" f="v">
      <t c="3" si="4">
        <n x="509"/>
        <n x="148"/>
        <n x="469"/>
      </t>
    </mdx>
    <mdx n="508" f="v">
      <t c="3" si="475">
        <n x="509"/>
        <n x="383"/>
        <n x="474"/>
      </t>
    </mdx>
    <mdx n="508" f="v">
      <t c="3" si="4">
        <n x="509"/>
        <n x="364"/>
        <n x="466"/>
      </t>
    </mdx>
    <mdx n="508" f="v">
      <t c="3" si="4">
        <n x="509"/>
        <n x="360"/>
        <n x="466"/>
      </t>
    </mdx>
    <mdx n="508" f="v">
      <t c="3" si="4">
        <n x="509"/>
        <n x="41"/>
        <n x="466"/>
      </t>
    </mdx>
    <mdx n="508" f="v">
      <t c="3" si="4">
        <n x="509"/>
        <n x="177"/>
        <n x="470"/>
      </t>
    </mdx>
    <mdx n="508" f="v">
      <t c="3" si="4">
        <n x="509"/>
        <n x="16"/>
        <n x="466"/>
      </t>
    </mdx>
    <mdx n="508" f="v">
      <t c="3" si="4">
        <n x="509"/>
        <n x="346"/>
        <n x="5"/>
      </t>
    </mdx>
    <mdx n="508" f="v">
      <t c="3" si="4">
        <n x="509"/>
        <n x="25"/>
        <n x="466"/>
      </t>
    </mdx>
    <mdx n="508" f="v">
      <t c="3" si="4">
        <n x="509"/>
        <n x="192"/>
        <n x="466"/>
      </t>
    </mdx>
    <mdx n="508" f="v">
      <t c="3" si="4">
        <n x="509"/>
        <n x="279"/>
        <n x="476"/>
      </t>
    </mdx>
    <mdx n="508" f="v">
      <t c="3" si="4">
        <n x="509"/>
        <n x="137"/>
        <n x="477"/>
      </t>
    </mdx>
    <mdx n="508" f="v">
      <t c="3" si="4">
        <n x="509"/>
        <n x="431"/>
        <n x="478"/>
      </t>
    </mdx>
    <mdx n="508" f="v">
      <t c="3" si="4">
        <n x="509"/>
        <n x="368"/>
        <n x="466"/>
      </t>
    </mdx>
    <mdx n="508" f="v">
      <t c="3" si="4">
        <n x="509"/>
        <n x="434"/>
        <n x="476"/>
      </t>
    </mdx>
    <mdx n="508" f="v">
      <t c="3" si="4">
        <n x="509"/>
        <n x="21"/>
        <n x="477"/>
      </t>
    </mdx>
    <mdx n="508" f="v">
      <t c="3" si="4">
        <n x="509"/>
        <n x="143"/>
        <n x="478"/>
      </t>
    </mdx>
    <mdx n="508" f="v">
      <t c="3" si="4">
        <n x="509"/>
        <n x="238"/>
        <n x="468"/>
      </t>
    </mdx>
    <mdx n="508" f="v">
      <t c="3" si="4">
        <n x="509"/>
        <n x="66"/>
        <n x="476"/>
      </t>
    </mdx>
    <mdx n="508" f="v">
      <t c="3" si="4">
        <n x="509"/>
        <n x="300"/>
        <n x="477"/>
      </t>
    </mdx>
    <mdx n="508" f="v">
      <t c="3" si="4">
        <n x="509"/>
        <n x="12"/>
        <n x="468"/>
      </t>
    </mdx>
    <mdx n="508" f="v">
      <t c="3" si="4">
        <n x="509"/>
        <n x="176"/>
        <n x="481"/>
      </t>
    </mdx>
    <mdx n="508" f="v">
      <t c="3" si="4">
        <n x="509"/>
        <n x="93"/>
        <n x="466"/>
      </t>
    </mdx>
    <mdx n="508" f="v">
      <t c="3" si="4">
        <n x="509"/>
        <n x="86"/>
        <n x="476"/>
      </t>
    </mdx>
    <mdx n="508" f="v">
      <t c="3" si="4">
        <n x="509"/>
        <n x="43"/>
        <n x="478"/>
      </t>
    </mdx>
    <mdx n="508" f="v">
      <t c="3" si="4">
        <n x="509"/>
        <n x="462"/>
        <n x="468"/>
      </t>
    </mdx>
    <mdx n="508" f="v">
      <t c="3" si="4">
        <n x="509"/>
        <n x="246"/>
        <n x="477"/>
      </t>
    </mdx>
    <mdx n="508" f="v">
      <t c="3" si="4">
        <n x="509"/>
        <n x="36"/>
        <n x="476"/>
      </t>
    </mdx>
    <mdx n="508" f="v">
      <t c="3" si="4">
        <n x="509"/>
        <n x="164"/>
        <n x="477"/>
      </t>
    </mdx>
    <mdx n="508" f="v">
      <t c="3" si="4">
        <n x="509"/>
        <n x="158"/>
        <n x="468"/>
      </t>
    </mdx>
    <mdx n="508" f="v">
      <t c="3" si="4">
        <n x="509"/>
        <n x="184"/>
        <n x="476"/>
      </t>
    </mdx>
    <mdx n="508" f="v">
      <t c="3" si="4">
        <n x="509"/>
        <n x="75"/>
        <n x="477"/>
      </t>
    </mdx>
    <mdx n="508" f="v">
      <t c="3" si="4">
        <n x="509"/>
        <n x="316"/>
        <n x="478"/>
      </t>
    </mdx>
    <mdx n="508" f="v">
      <t c="3" si="4">
        <n x="509"/>
        <n x="131"/>
        <n x="468"/>
      </t>
    </mdx>
    <mdx n="508" f="v">
      <t c="3" si="4">
        <n x="509"/>
        <n x="258"/>
        <n x="477"/>
      </t>
    </mdx>
    <mdx n="508" f="v">
      <t c="3" si="4">
        <n x="509"/>
        <n x="189"/>
        <n x="478"/>
      </t>
    </mdx>
    <mdx n="508" f="v">
      <t c="3" si="4">
        <n x="509"/>
        <n x="85"/>
        <n x="468"/>
      </t>
    </mdx>
    <mdx n="508" f="v">
      <t c="3" si="4">
        <n x="509"/>
        <n x="57"/>
        <n x="476"/>
      </t>
    </mdx>
    <mdx n="508" f="v">
      <t c="3" si="4">
        <n x="509"/>
        <n x="201"/>
        <n x="477"/>
      </t>
    </mdx>
    <mdx n="508" f="v">
      <t c="3" si="4">
        <n x="509"/>
        <n x="161"/>
        <n x="468"/>
      </t>
    </mdx>
    <mdx n="508" f="v">
      <t c="3" si="4">
        <n x="509"/>
        <n x="124"/>
        <n x="476"/>
      </t>
    </mdx>
    <mdx n="508" f="v">
      <t c="3" si="4">
        <n x="509"/>
        <n x="444"/>
        <n x="477"/>
      </t>
    </mdx>
    <mdx n="508" f="v">
      <t c="3" si="4">
        <n x="509"/>
        <n x="299"/>
        <n x="471"/>
      </t>
    </mdx>
    <mdx n="508" f="v">
      <t c="3" si="4">
        <n x="509"/>
        <n x="353"/>
        <n x="478"/>
      </t>
    </mdx>
    <mdx n="508" f="v">
      <t c="3" si="4">
        <n x="509"/>
        <n x="226"/>
        <n x="479"/>
      </t>
    </mdx>
    <mdx n="508" f="v">
      <t c="3" si="4">
        <n x="509"/>
        <n x="42"/>
        <n x="480"/>
      </t>
    </mdx>
    <mdx n="508" f="v">
      <t c="3" si="4">
        <n x="509"/>
        <n x="452"/>
        <n x="481"/>
      </t>
    </mdx>
    <mdx n="508" f="v">
      <t c="3" si="4">
        <n x="509"/>
        <n x="12"/>
        <n x="478"/>
      </t>
    </mdx>
    <mdx n="508" f="v">
      <t c="3" si="4">
        <n x="509"/>
        <n x="256"/>
        <n x="479"/>
      </t>
    </mdx>
    <mdx n="508" f="v">
      <t c="3" si="4">
        <n x="509"/>
        <n x="231"/>
        <n x="480"/>
      </t>
    </mdx>
    <mdx n="508" f="v">
      <t c="3" si="4">
        <n x="509"/>
        <n x="412"/>
        <n x="481"/>
      </t>
    </mdx>
    <mdx n="508" f="v">
      <t c="3" si="4">
        <n x="509"/>
        <n x="403"/>
        <n x="478"/>
      </t>
    </mdx>
    <mdx n="508" f="v">
      <t c="3" si="4">
        <n x="509"/>
        <n x="283"/>
        <n x="479"/>
      </t>
    </mdx>
    <mdx n="508" f="v">
      <t c="3" si="4">
        <n x="509"/>
        <n x="132"/>
        <n x="480"/>
      </t>
    </mdx>
    <mdx n="508" f="v">
      <t c="3" si="4">
        <n x="509"/>
        <n x="162"/>
        <n x="481"/>
      </t>
    </mdx>
    <mdx n="508" f="v">
      <t c="3" si="4">
        <n x="509"/>
        <n x="441"/>
        <n x="471"/>
      </t>
    </mdx>
    <mdx n="508" f="v">
      <t c="3" si="4">
        <n x="509"/>
        <n x="400"/>
        <n x="479"/>
      </t>
    </mdx>
    <mdx n="508" f="v">
      <t c="3" si="4">
        <n x="509"/>
        <n x="345"/>
        <n x="480"/>
      </t>
    </mdx>
    <mdx n="508" f="v">
      <t c="3" si="4">
        <n x="509"/>
        <n x="18"/>
        <n x="481"/>
      </t>
    </mdx>
    <mdx n="508" f="v">
      <t c="3" si="4">
        <n x="509"/>
        <n x="352"/>
        <n x="471"/>
      </t>
    </mdx>
    <mdx n="508" f="v">
      <t c="3" si="4">
        <n x="509"/>
        <n x="224"/>
        <n x="479"/>
      </t>
    </mdx>
    <mdx n="508" f="v">
      <t c="3" si="4">
        <n x="509"/>
        <n x="390"/>
        <n x="480"/>
      </t>
    </mdx>
    <mdx n="508" f="v">
      <t c="3" si="4">
        <n x="509"/>
        <n x="101"/>
        <n x="481"/>
      </t>
    </mdx>
    <mdx n="508" f="v">
      <t c="3" si="4">
        <n x="509"/>
        <n x="113"/>
        <n x="472"/>
      </t>
    </mdx>
    <mdx n="508" f="v">
      <t c="3" si="4">
        <n x="509"/>
        <n x="52"/>
        <n x="470"/>
      </t>
    </mdx>
    <mdx n="508" f="v">
      <t c="3" si="4">
        <n x="509"/>
        <n x="375"/>
        <n x="466"/>
      </t>
    </mdx>
    <mdx n="508" f="v">
      <t c="3" si="4">
        <n x="509"/>
        <n x="417"/>
        <n x="468"/>
      </t>
    </mdx>
    <mdx n="508" f="v">
      <t c="3" si="4">
        <n x="509"/>
        <n x="336"/>
        <n x="476"/>
      </t>
    </mdx>
    <mdx n="508" f="v">
      <t c="3" si="4">
        <n x="509"/>
        <n x="224"/>
        <n x="477"/>
      </t>
    </mdx>
    <mdx n="508" f="v">
      <t c="3" si="4">
        <n x="509"/>
        <n x="341"/>
        <n x="478"/>
      </t>
    </mdx>
    <mdx n="508" f="v">
      <t c="3" si="4">
        <n x="509"/>
        <n x="25"/>
        <n x="468"/>
      </t>
    </mdx>
    <mdx n="508" f="v">
      <t c="3" si="4">
        <n x="509"/>
        <n x="453"/>
        <n x="476"/>
      </t>
    </mdx>
    <mdx n="508" f="v">
      <t c="3" si="4">
        <n x="509"/>
        <n x="199"/>
        <n x="477"/>
      </t>
    </mdx>
    <mdx n="508" f="v">
      <t c="3" si="4">
        <n x="509"/>
        <n x="197"/>
        <n x="468"/>
      </t>
    </mdx>
    <mdx n="508" f="v">
      <t c="3" si="4">
        <n x="509"/>
        <n x="414"/>
        <n x="476"/>
      </t>
    </mdx>
    <mdx n="508" f="v">
      <t c="3" si="4">
        <n x="509"/>
        <n x="16"/>
        <n x="477"/>
      </t>
    </mdx>
    <mdx n="508" f="v">
      <t c="3" si="4">
        <n x="509"/>
        <n x="387"/>
        <n x="468"/>
      </t>
    </mdx>
    <mdx n="508" f="v">
      <t c="3" si="4">
        <n x="509"/>
        <n x="143"/>
        <n x="476"/>
      </t>
    </mdx>
    <mdx n="508" f="v">
      <t c="3" si="4">
        <n x="509"/>
        <n x="230"/>
        <n x="477"/>
      </t>
    </mdx>
    <mdx n="508" f="v">
      <t c="3" si="4">
        <n x="509"/>
        <n x="454"/>
        <n x="478"/>
      </t>
    </mdx>
    <mdx n="508" f="v">
      <t c="3" si="4">
        <n x="509"/>
        <n x="236"/>
        <n x="468"/>
      </t>
    </mdx>
    <mdx n="508" f="v">
      <t c="3" si="4">
        <n x="509"/>
        <n x="104"/>
        <n x="476"/>
      </t>
    </mdx>
    <mdx n="508" f="v">
      <t c="3" si="4">
        <n x="509"/>
        <n x="435"/>
        <n x="477"/>
      </t>
    </mdx>
    <mdx n="508" f="v">
      <t c="3" si="4">
        <n x="509"/>
        <n x="296"/>
        <n x="471"/>
      </t>
    </mdx>
    <mdx n="508" f="v">
      <t c="3" si="4">
        <n x="509"/>
        <n x="192"/>
        <n x="468"/>
      </t>
    </mdx>
    <mdx n="508" f="v">
      <t c="3" si="4">
        <n x="509"/>
        <n x="284"/>
        <n x="476"/>
      </t>
    </mdx>
    <mdx n="508" f="v">
      <t c="3" si="4">
        <n x="509"/>
        <n x="77"/>
        <n x="477"/>
      </t>
    </mdx>
    <mdx n="508" f="v">
      <t c="3" si="4">
        <n x="509"/>
        <n x="26"/>
        <n x="478"/>
      </t>
    </mdx>
    <mdx n="508" f="v">
      <t c="3" si="4">
        <n x="509"/>
        <n x="174"/>
        <n x="468"/>
      </t>
    </mdx>
    <mdx n="508" f="v">
      <t c="3" si="4">
        <n x="509"/>
        <n x="23"/>
        <n x="476"/>
      </t>
    </mdx>
    <mdx n="508" f="v">
      <t c="3" si="4">
        <n x="509"/>
        <n x="336"/>
        <n x="477"/>
      </t>
    </mdx>
    <mdx n="508" f="v">
      <t c="3" si="4">
        <n x="509"/>
        <n x="389"/>
        <n x="478"/>
      </t>
    </mdx>
    <mdx n="508" f="v">
      <t c="3" si="4">
        <n x="509"/>
        <n x="284"/>
        <n x="477"/>
      </t>
    </mdx>
    <mdx n="508" f="v">
      <t c="3" si="4">
        <n x="509"/>
        <n x="379"/>
        <n x="471"/>
      </t>
    </mdx>
    <mdx n="508" f="v">
      <t c="3" si="4">
        <n x="509"/>
        <n x="375"/>
        <n x="479"/>
      </t>
    </mdx>
    <mdx n="508" f="v">
      <t c="3" si="4">
        <n x="509"/>
        <n x="191"/>
        <n x="481"/>
      </t>
    </mdx>
    <mdx n="508" f="v">
      <t c="3" si="4">
        <n x="509"/>
        <n x="232"/>
        <n x="478"/>
      </t>
    </mdx>
    <mdx n="508" f="v">
      <t c="3" si="4">
        <n x="509"/>
        <n x="3"/>
        <n x="471"/>
      </t>
    </mdx>
    <mdx n="508" f="v">
      <t c="3" si="4">
        <n x="509"/>
        <n x="370"/>
        <n x="480"/>
      </t>
    </mdx>
    <mdx n="508" f="v">
      <t c="3" si="4">
        <n x="509"/>
        <n x="139"/>
        <n x="481"/>
      </t>
    </mdx>
    <mdx n="508" f="v">
      <t c="3" si="4">
        <n x="509"/>
        <n x="452"/>
        <n x="478"/>
      </t>
    </mdx>
    <mdx n="508" f="v">
      <t c="3" si="4">
        <n x="509"/>
        <n x="301"/>
        <n x="471"/>
      </t>
    </mdx>
    <mdx n="508" f="v">
      <t c="3" si="4">
        <n x="509"/>
        <n x="90"/>
        <n x="480"/>
      </t>
    </mdx>
    <mdx n="508" f="v">
      <t c="3" si="4">
        <n x="509"/>
        <n x="418"/>
        <n x="481"/>
      </t>
    </mdx>
    <mdx n="508" f="v">
      <t c="3" si="4">
        <n x="509"/>
        <n x="436"/>
        <n x="478"/>
      </t>
    </mdx>
    <mdx n="508" f="v">
      <t c="3" si="4">
        <n x="509"/>
        <n x="55"/>
        <n x="479"/>
      </t>
    </mdx>
    <mdx n="508" f="v">
      <t c="3" si="4">
        <n x="509"/>
        <n x="21"/>
        <n x="480"/>
      </t>
    </mdx>
    <mdx n="508" f="v">
      <t c="3" si="4">
        <n x="509"/>
        <n x="256"/>
        <n x="481"/>
      </t>
    </mdx>
    <mdx n="508" f="v">
      <t c="3" si="4">
        <n x="509"/>
        <n x="228"/>
        <n x="478"/>
      </t>
    </mdx>
    <mdx n="508" f="v">
      <t c="3" si="4">
        <n x="509"/>
        <n x="217"/>
        <n x="479"/>
      </t>
    </mdx>
    <mdx n="508" f="v">
      <t c="3" si="4">
        <n x="509"/>
        <n x="312"/>
        <n x="480"/>
      </t>
    </mdx>
    <mdx n="508" f="v">
      <t c="3" si="4">
        <n x="509"/>
        <n x="381"/>
        <n x="481"/>
      </t>
    </mdx>
    <mdx n="508" f="v">
      <t c="3" si="4">
        <n x="509"/>
        <n x="397"/>
        <n x="473"/>
      </t>
    </mdx>
    <mdx n="508" f="v">
      <t c="3" si="4">
        <n x="509"/>
        <n x="437"/>
        <n x="470"/>
      </t>
    </mdx>
    <mdx n="508" f="v">
      <t c="3" si="475">
        <n x="509"/>
        <n x="397"/>
        <n x="474"/>
      </t>
    </mdx>
    <mdx n="508" f="v">
      <t c="3" si="4">
        <n x="509"/>
        <n x="189"/>
        <n x="1"/>
      </t>
    </mdx>
    <mdx n="508" f="v">
      <t c="3" si="4">
        <n x="509"/>
        <n x="406"/>
        <n x="466"/>
      </t>
    </mdx>
    <mdx n="508" f="v">
      <t c="3" si="4">
        <n x="509"/>
        <n x="65"/>
        <n x="5"/>
      </t>
    </mdx>
    <mdx n="508" f="v">
      <t c="3" si="4">
        <n x="509"/>
        <n x="434"/>
        <n x="466"/>
      </t>
    </mdx>
    <mdx n="508" f="v">
      <t c="3" si="4">
        <n x="509"/>
        <n x="254"/>
        <n x="472"/>
      </t>
    </mdx>
    <mdx n="508" f="v">
      <t c="3" si="4">
        <n x="509"/>
        <n x="196"/>
        <n x="468"/>
      </t>
    </mdx>
    <mdx n="508" f="v">
      <t c="3" si="4">
        <n x="509"/>
        <n x="131"/>
        <n x="476"/>
      </t>
    </mdx>
    <mdx n="508" f="v">
      <t c="3" si="4">
        <n x="509"/>
        <n x="279"/>
        <n x="478"/>
      </t>
    </mdx>
    <mdx n="508" f="v">
      <t c="3" si="4">
        <n x="509"/>
        <n x="195"/>
        <n x="468"/>
      </t>
    </mdx>
    <mdx n="508" f="v">
      <t c="3" si="4">
        <n x="509"/>
        <n x="117"/>
        <n x="476"/>
      </t>
    </mdx>
    <mdx n="508" f="v">
      <t c="3" si="4">
        <n x="509"/>
        <n x="434"/>
        <n x="478"/>
      </t>
    </mdx>
    <mdx n="508" f="v">
      <t c="3" si="4">
        <n x="509"/>
        <n x="94"/>
        <n x="468"/>
      </t>
    </mdx>
    <mdx n="508" f="v">
      <t c="3" si="4">
        <n x="509"/>
        <n x="203"/>
        <n x="476"/>
      </t>
    </mdx>
    <mdx n="508" f="v">
      <t c="3" si="4">
        <n x="509"/>
        <n x="157"/>
        <n x="477"/>
      </t>
    </mdx>
    <mdx n="508" f="v">
      <t c="3" si="4">
        <n x="509"/>
        <n x="353"/>
        <n x="468"/>
      </t>
    </mdx>
    <mdx n="508" f="v">
      <t c="3" si="4">
        <n x="509"/>
        <n x="288"/>
        <n x="476"/>
      </t>
    </mdx>
    <mdx n="508" f="v">
      <t c="3" si="4">
        <n x="509"/>
        <n x="229"/>
        <n x="477"/>
      </t>
    </mdx>
    <mdx n="508" f="v">
      <t c="3" si="4">
        <n x="509"/>
        <n x="68"/>
        <n x="471"/>
      </t>
    </mdx>
    <mdx n="508" f="v">
      <t c="3" si="4">
        <n x="509"/>
        <n x="263"/>
        <n x="468"/>
      </t>
    </mdx>
    <mdx n="508" f="v">
      <t c="3" si="4">
        <n x="509"/>
        <n x="283"/>
        <n x="476"/>
      </t>
    </mdx>
    <mdx n="508" f="v">
      <t c="3" si="4">
        <n x="509"/>
        <n x="334"/>
        <n x="477"/>
      </t>
    </mdx>
    <mdx n="508" f="v">
      <t c="3" si="4">
        <n x="509"/>
        <n x="86"/>
        <n x="478"/>
      </t>
    </mdx>
    <mdx n="508" f="v">
      <t c="3" si="4">
        <n x="509"/>
        <n x="117"/>
        <n x="468"/>
      </t>
    </mdx>
    <mdx n="508" f="v">
      <t c="3" si="4">
        <n x="509"/>
        <n x="327"/>
        <n x="477"/>
      </t>
    </mdx>
    <mdx n="508" f="v">
      <t c="3" si="4">
        <n x="509"/>
        <n x="267"/>
        <n x="478"/>
      </t>
    </mdx>
    <mdx n="508" f="v">
      <t c="3" si="4">
        <n x="509"/>
        <n x="375"/>
        <n x="468"/>
      </t>
    </mdx>
    <mdx n="508" f="v">
      <t c="3" si="4">
        <n x="509"/>
        <n x="219"/>
        <n x="477"/>
      </t>
    </mdx>
    <mdx n="508" f="v">
      <t c="3" si="4">
        <n x="509"/>
        <n x="144"/>
        <n x="478"/>
      </t>
    </mdx>
    <mdx n="508" f="v">
      <t c="3" si="4">
        <n x="509"/>
        <n x="46"/>
        <n x="471"/>
      </t>
    </mdx>
    <mdx n="508" f="v">
      <t c="3" si="4">
        <n x="509"/>
        <n x="355"/>
        <n x="471"/>
      </t>
    </mdx>
    <mdx n="508" f="v">
      <t c="3" si="4">
        <n x="509"/>
        <n x="406"/>
        <n x="480"/>
      </t>
    </mdx>
    <mdx n="508" f="v">
      <t c="3" si="4">
        <n x="509"/>
        <n x="106"/>
        <n x="481"/>
      </t>
    </mdx>
    <mdx n="508" f="v">
      <t c="3" si="4">
        <n x="509"/>
        <n x="347"/>
        <n x="471"/>
      </t>
    </mdx>
    <mdx n="508" f="v">
      <t c="3" si="4">
        <n x="509"/>
        <n x="154"/>
        <n x="479"/>
      </t>
    </mdx>
    <mdx n="508" f="v">
      <t c="3" si="4">
        <n x="509"/>
        <n x="230"/>
        <n x="480"/>
      </t>
    </mdx>
    <mdx n="508" f="v">
      <t c="3" si="4">
        <n x="509"/>
        <n x="308"/>
        <n x="481"/>
      </t>
    </mdx>
    <mdx n="508" f="v">
      <t c="3" si="4">
        <n x="509"/>
        <n x="154"/>
        <n x="471"/>
      </t>
    </mdx>
    <mdx n="508" f="v">
      <t c="3" si="4">
        <n x="509"/>
        <n x="438"/>
        <n x="479"/>
      </t>
    </mdx>
    <mdx n="508" f="v">
      <t c="3" si="4">
        <n x="509"/>
        <n x="334"/>
        <n x="480"/>
      </t>
    </mdx>
    <mdx n="508" f="v">
      <t c="3" si="4">
        <n x="509"/>
        <n x="133"/>
        <n x="468"/>
      </t>
    </mdx>
    <mdx n="508" f="v">
      <t c="3" si="4">
        <n x="509"/>
        <n x="401"/>
        <n x="471"/>
      </t>
    </mdx>
    <mdx n="508" f="v">
      <t c="3" si="4">
        <n x="509"/>
        <n x="346"/>
        <n x="479"/>
      </t>
    </mdx>
    <mdx n="508" f="v">
      <t c="3" si="4">
        <n x="509"/>
        <n x="338"/>
        <n x="480"/>
      </t>
    </mdx>
    <mdx n="508" f="v">
      <t c="3" si="4">
        <n x="509"/>
        <n x="186"/>
        <n x="468"/>
      </t>
    </mdx>
    <mdx n="508" f="v">
      <t c="3" si="4">
        <n x="509"/>
        <n x="241"/>
        <n x="471"/>
      </t>
    </mdx>
    <mdx n="508" f="v">
      <t c="3" si="4">
        <n x="509"/>
        <n x="26"/>
        <n x="479"/>
      </t>
    </mdx>
    <mdx n="508" f="v">
      <t c="3" si="4">
        <n x="509"/>
        <n x="395"/>
        <n x="480"/>
      </t>
    </mdx>
    <mdx n="508" f="v">
      <t c="3" si="4">
        <n x="509"/>
        <n x="64"/>
        <n x="468"/>
      </t>
    </mdx>
    <mdx n="508" f="v">
      <t c="3" si="4">
        <n x="509"/>
        <n x="238"/>
        <n x="471"/>
      </t>
    </mdx>
    <mdx n="508" f="v">
      <t c="3" si="4">
        <n x="509"/>
        <n x="389"/>
        <n x="479"/>
      </t>
    </mdx>
    <mdx n="508" f="v">
      <t c="3" si="4">
        <n x="509"/>
        <n x="371"/>
        <n x="466"/>
      </t>
    </mdx>
    <mdx n="508" f="v">
      <t c="3" si="4">
        <n x="509"/>
        <n x="452"/>
        <n x="468"/>
      </t>
    </mdx>
    <mdx n="508" f="v">
      <t c="3" si="4">
        <n x="509"/>
        <n x="431"/>
        <n x="471"/>
      </t>
    </mdx>
    <mdx n="508" f="v">
      <t c="3" si="4">
        <n x="509"/>
        <n x="50"/>
        <n x="481"/>
      </t>
    </mdx>
    <mdx n="508" f="v">
      <t c="3" si="4">
        <n x="509"/>
        <n x="211"/>
        <n x="468"/>
      </t>
    </mdx>
    <mdx n="508" f="v">
      <t c="3" si="4">
        <n x="509"/>
        <n x="388"/>
        <n x="478"/>
      </t>
    </mdx>
    <mdx n="508" f="v">
      <t c="3" si="4">
        <n x="509"/>
        <n x="450"/>
        <n x="480"/>
      </t>
    </mdx>
    <mdx n="508" f="v">
      <t c="3" si="4">
        <n x="509"/>
        <n x="299"/>
        <n x="481"/>
      </t>
    </mdx>
    <mdx n="508" f="v">
      <t c="3" si="4">
        <n x="509"/>
        <n x="82"/>
        <n x="478"/>
      </t>
    </mdx>
    <mdx n="508" f="v">
      <t c="3" si="4">
        <n x="509"/>
        <n x="301"/>
        <n x="479"/>
      </t>
    </mdx>
    <mdx n="508" f="v">
      <t c="3" si="4">
        <n x="509"/>
        <n x="401"/>
        <n x="480"/>
      </t>
    </mdx>
    <mdx n="508" f="v">
      <t c="3" si="4">
        <n x="509"/>
        <n x="166"/>
        <n x="481"/>
      </t>
    </mdx>
    <mdx n="508" f="v">
      <t c="3" si="4">
        <n x="509"/>
        <n x="3"/>
        <n x="481"/>
      </t>
    </mdx>
    <mdx n="508" f="v">
      <t c="3" si="4">
        <n x="509"/>
        <n x="138"/>
        <n x="483"/>
      </t>
    </mdx>
    <mdx n="508" f="v">
      <t c="3" si="4">
        <n x="509"/>
        <n x="133"/>
        <n x="484"/>
      </t>
    </mdx>
    <mdx n="508" f="v">
      <t c="3" si="4">
        <n x="509"/>
        <n x="311"/>
        <n x="485"/>
      </t>
    </mdx>
    <mdx n="508" f="v">
      <t c="3" si="4">
        <n x="509"/>
        <n x="250"/>
        <n x="486"/>
      </t>
    </mdx>
    <mdx n="508" f="v">
      <t c="3" si="4">
        <n x="509"/>
        <n x="32"/>
        <n x="487"/>
      </t>
    </mdx>
    <mdx n="508" f="v">
      <t c="3" si="4">
        <n x="509"/>
        <n x="85"/>
        <n x="488"/>
      </t>
    </mdx>
    <mdx n="508" f="v">
      <t c="3" si="4">
        <n x="509"/>
        <n x="41"/>
        <n x="479"/>
      </t>
    </mdx>
    <mdx n="508" f="v">
      <t c="3" si="4">
        <n x="509"/>
        <n x="120"/>
        <n x="482"/>
      </t>
    </mdx>
    <mdx n="508" f="v">
      <t c="3" si="4">
        <n x="509"/>
        <n x="105"/>
        <n x="483"/>
      </t>
    </mdx>
    <mdx n="508" f="v">
      <t c="3" si="4">
        <n x="509"/>
        <n x="328"/>
        <n x="484"/>
      </t>
    </mdx>
    <mdx n="508" f="v">
      <t c="3" si="4">
        <n x="509"/>
        <n x="227"/>
        <n x="485"/>
      </t>
    </mdx>
    <mdx n="508" f="v">
      <t c="3" si="4">
        <n x="509"/>
        <n x="270"/>
        <n x="487"/>
      </t>
    </mdx>
    <mdx n="508" f="v">
      <t c="3" si="4">
        <n x="509"/>
        <n x="301"/>
        <n x="488"/>
      </t>
    </mdx>
    <mdx n="508" f="v">
      <t c="3" si="4">
        <n x="509"/>
        <n x="81"/>
        <n x="481"/>
      </t>
    </mdx>
    <mdx n="508" f="v">
      <t c="3" si="4">
        <n x="509"/>
        <n x="293"/>
        <n x="483"/>
      </t>
    </mdx>
    <mdx n="508" f="v">
      <t c="3" si="4">
        <n x="509"/>
        <n x="243"/>
        <n x="484"/>
      </t>
    </mdx>
    <mdx n="508" f="v">
      <t c="3" si="4">
        <n x="509"/>
        <n x="245"/>
        <n x="485"/>
      </t>
    </mdx>
    <mdx n="508" f="v">
      <t c="3" si="4">
        <n x="509"/>
        <n x="311"/>
        <n x="486"/>
      </t>
    </mdx>
    <mdx n="508" f="v">
      <t c="3" si="4">
        <n x="509"/>
        <n x="129"/>
        <n x="487"/>
      </t>
    </mdx>
    <mdx n="508" f="v">
      <t c="3" si="4">
        <n x="509"/>
        <n x="64"/>
        <n x="488"/>
      </t>
    </mdx>
    <mdx n="508" f="v">
      <t c="3" si="4">
        <n x="509"/>
        <n x="402"/>
        <n x="482"/>
      </t>
    </mdx>
    <mdx n="508" f="v">
      <t c="3" si="4">
        <n x="509"/>
        <n x="220"/>
        <n x="483"/>
      </t>
    </mdx>
    <mdx n="508" f="v">
      <t c="3" si="4">
        <n x="509"/>
        <n x="72"/>
        <n x="484"/>
      </t>
    </mdx>
    <mdx n="508" f="v">
      <t c="3" si="4">
        <n x="509"/>
        <n x="280"/>
        <n x="485"/>
      </t>
    </mdx>
    <mdx n="508" f="v">
      <t c="3" si="4">
        <n x="509"/>
        <n x="411"/>
        <n x="486"/>
      </t>
    </mdx>
    <mdx n="508" f="v">
      <t c="3" si="4">
        <n x="509"/>
        <n x="124"/>
        <n x="487"/>
      </t>
    </mdx>
    <mdx n="508" f="v">
      <t c="3" si="4">
        <n x="509"/>
        <n x="215"/>
        <n x="488"/>
      </t>
    </mdx>
    <mdx n="508" f="v">
      <t c="3" si="4">
        <n x="509"/>
        <n x="375"/>
        <n x="489"/>
      </t>
    </mdx>
    <mdx n="508" f="v">
      <t c="3" si="4">
        <n x="509"/>
        <n x="110"/>
        <n x="482"/>
      </t>
    </mdx>
    <mdx n="508" f="v">
      <t c="3" si="4">
        <n x="509"/>
        <n x="303"/>
        <n x="483"/>
      </t>
    </mdx>
    <mdx n="508" f="v">
      <t c="3" si="4">
        <n x="509"/>
        <n x="192"/>
        <n x="484"/>
      </t>
    </mdx>
    <mdx n="508" f="v">
      <t c="3" si="4">
        <n x="509"/>
        <n x="175"/>
        <n x="485"/>
      </t>
    </mdx>
    <mdx n="508" f="v">
      <t c="3" si="4">
        <n x="509"/>
        <n x="127"/>
        <n x="486"/>
      </t>
    </mdx>
    <mdx n="508" f="v">
      <t c="3" si="4">
        <n x="509"/>
        <n x="319"/>
        <n x="487"/>
      </t>
    </mdx>
    <mdx n="508" f="v">
      <t c="3" si="4">
        <n x="509"/>
        <n x="298"/>
        <n x="488"/>
      </t>
    </mdx>
    <mdx n="508" f="v">
      <t c="3" si="4">
        <n x="509"/>
        <n x="409"/>
        <n x="479"/>
      </t>
    </mdx>
    <mdx n="508" f="v">
      <t c="3" si="4">
        <n x="509"/>
        <n x="251"/>
        <n x="482"/>
      </t>
    </mdx>
    <mdx n="508" f="v">
      <t c="3" si="4">
        <n x="509"/>
        <n x="404"/>
        <n x="483"/>
      </t>
    </mdx>
    <mdx n="508" f="v">
      <t c="3" si="4">
        <n x="509"/>
        <n x="287"/>
        <n x="484"/>
      </t>
    </mdx>
    <mdx n="508" f="v">
      <t c="3" si="4">
        <n x="509"/>
        <n x="53"/>
        <n x="486"/>
      </t>
    </mdx>
    <mdx n="508" f="v">
      <t c="3" si="4">
        <n x="509"/>
        <n x="93"/>
        <n x="487"/>
      </t>
    </mdx>
    <mdx n="508" f="v">
      <t c="3" si="4">
        <n x="509"/>
        <n x="23"/>
        <n x="488"/>
      </t>
    </mdx>
    <mdx n="508" f="v">
      <t c="3" si="4">
        <n x="509"/>
        <n x="55"/>
        <n x="489"/>
      </t>
    </mdx>
    <mdx n="508" f="v">
      <t c="3" si="4">
        <n x="509"/>
        <n x="219"/>
        <n x="482"/>
      </t>
    </mdx>
    <mdx n="508" f="v">
      <t c="3" si="4">
        <n x="509"/>
        <n x="207"/>
        <n x="483"/>
      </t>
    </mdx>
    <mdx n="508" f="v">
      <t c="3" si="4">
        <n x="509"/>
        <n x="186"/>
        <n x="484"/>
      </t>
    </mdx>
    <mdx n="508" f="v">
      <t c="3" si="4">
        <n x="509"/>
        <n x="170"/>
        <n x="485"/>
      </t>
    </mdx>
    <mdx n="508" f="v">
      <t c="3" si="4">
        <n x="509"/>
        <n x="326"/>
        <n x="486"/>
      </t>
    </mdx>
    <mdx n="508" f="v">
      <t c="3" si="4">
        <n x="509"/>
        <n x="78"/>
        <n x="5"/>
      </t>
    </mdx>
    <mdx n="508" f="v">
      <t c="3" si="4">
        <n x="509"/>
        <n x="295"/>
        <n x="477"/>
      </t>
    </mdx>
    <mdx n="508" f="v">
      <t c="3" si="4">
        <n x="509"/>
        <n x="402"/>
        <n x="478"/>
      </t>
    </mdx>
    <mdx n="508" f="v">
      <t c="3" si="4">
        <n x="509"/>
        <n x="88"/>
        <n x="477"/>
      </t>
    </mdx>
    <mdx n="508" f="v">
      <t c="3" si="4">
        <n x="509"/>
        <n x="237"/>
        <n x="479"/>
      </t>
    </mdx>
    <mdx n="508" f="v">
      <t c="3" si="4">
        <n x="509"/>
        <n x="363"/>
        <n x="479"/>
      </t>
    </mdx>
    <mdx n="508" f="v">
      <t c="3" si="4">
        <n x="509"/>
        <n x="181"/>
        <n x="479"/>
      </t>
    </mdx>
    <mdx n="508" f="v">
      <t c="3" si="4">
        <n x="509"/>
        <n x="128"/>
        <n x="471"/>
      </t>
    </mdx>
    <mdx n="508" f="v">
      <t c="3" si="4">
        <n x="509"/>
        <n x="38"/>
        <n x="480"/>
      </t>
    </mdx>
    <mdx n="508" f="v">
      <t c="3" si="4">
        <n x="509"/>
        <n x="115"/>
        <n x="481"/>
      </t>
    </mdx>
    <mdx n="508" f="v">
      <t c="3" si="4">
        <n x="509"/>
        <n x="351"/>
        <n x="471"/>
      </t>
    </mdx>
    <mdx n="508" f="v">
      <t c="3" si="4">
        <n x="509"/>
        <n x="102"/>
        <n x="479"/>
      </t>
    </mdx>
    <mdx n="508" f="v">
      <t c="3" si="4">
        <n x="509"/>
        <n x="322"/>
        <n x="480"/>
      </t>
    </mdx>
    <mdx n="508" f="v">
      <t c="3" si="4">
        <n x="509"/>
        <n x="91"/>
        <n x="481"/>
      </t>
    </mdx>
    <mdx n="508" f="v">
      <t c="3" si="4">
        <n x="509"/>
        <n x="94"/>
        <n x="482"/>
      </t>
    </mdx>
    <mdx n="508" f="v">
      <t c="3" si="4">
        <n x="509"/>
        <n x="102"/>
        <n x="481"/>
      </t>
    </mdx>
    <mdx n="508" f="v">
      <t c="3" si="4">
        <n x="509"/>
        <n x="246"/>
        <n x="470"/>
      </t>
    </mdx>
    <mdx n="508" f="v">
      <t c="3" si="4">
        <n x="509"/>
        <n x="82"/>
        <n x="469"/>
      </t>
    </mdx>
    <mdx n="508" f="v">
      <t c="3" si="4">
        <n x="509"/>
        <n x="134"/>
        <n x="468"/>
      </t>
    </mdx>
    <mdx n="508" f="v">
      <t c="3" si="4">
        <n x="509"/>
        <n x="399"/>
        <n x="476"/>
      </t>
    </mdx>
    <mdx n="508" f="v">
      <t c="3" si="4">
        <n x="509"/>
        <n x="340"/>
        <n x="478"/>
      </t>
    </mdx>
    <mdx n="508" f="v">
      <t c="3" si="4">
        <n x="509"/>
        <n x="215"/>
        <n x="468"/>
      </t>
    </mdx>
    <mdx n="508" f="v">
      <t c="3" si="4">
        <n x="509"/>
        <n x="427"/>
        <n x="477"/>
      </t>
    </mdx>
    <mdx n="508" f="v">
      <t c="3" si="4">
        <n x="509"/>
        <n x="20"/>
        <n x="476"/>
      </t>
    </mdx>
    <mdx n="508" f="v">
      <t c="3" si="4">
        <n x="509"/>
        <n x="448"/>
        <n x="477"/>
      </t>
    </mdx>
    <mdx n="508" f="v">
      <t c="3" si="4">
        <n x="509"/>
        <n x="241"/>
        <n x="468"/>
      </t>
    </mdx>
    <mdx n="508" f="v">
      <t c="3" si="4">
        <n x="509"/>
        <n x="78"/>
        <n x="476"/>
      </t>
    </mdx>
    <mdx n="508" f="v">
      <t c="3" si="4">
        <n x="509"/>
        <n x="112"/>
        <n x="477"/>
      </t>
    </mdx>
    <mdx n="508" f="v">
      <t c="3" si="4">
        <n x="509"/>
        <n x="185"/>
        <n x="478"/>
      </t>
    </mdx>
    <mdx n="508" f="v">
      <t c="3" si="4">
        <n x="509"/>
        <n x="112"/>
        <n x="466"/>
      </t>
    </mdx>
    <mdx n="508" f="v">
      <t c="3" si="4">
        <n x="509"/>
        <n x="58"/>
        <n x="476"/>
      </t>
    </mdx>
    <mdx n="508" f="v">
      <t c="3" si="4">
        <n x="509"/>
        <n x="401"/>
        <n x="477"/>
      </t>
    </mdx>
    <mdx n="508" f="v">
      <t c="3" si="4">
        <n x="509"/>
        <n x="155"/>
        <n x="478"/>
      </t>
    </mdx>
    <mdx n="508" f="v">
      <t c="3" si="4">
        <n x="509"/>
        <n x="395"/>
        <n x="468"/>
      </t>
    </mdx>
    <mdx n="508" f="v">
      <t c="3" si="4">
        <n x="509"/>
        <n x="271"/>
        <n x="476"/>
      </t>
    </mdx>
    <mdx n="508" f="v">
      <t c="3" si="4">
        <n x="509"/>
        <n x="365"/>
        <n x="478"/>
      </t>
    </mdx>
    <mdx n="508" f="v">
      <t c="3" si="4">
        <n x="509"/>
        <n x="63"/>
        <n x="2"/>
      </t>
    </mdx>
    <mdx n="508" f="v">
      <t c="3" si="4">
        <n x="509"/>
        <n x="379"/>
        <n x="468"/>
      </t>
    </mdx>
    <mdx n="508" f="v">
      <t c="3" si="4">
        <n x="509"/>
        <n x="420"/>
        <n x="476"/>
      </t>
    </mdx>
    <mdx n="508" f="v">
      <t c="3" si="4">
        <n x="509"/>
        <n x="344"/>
        <n x="478"/>
      </t>
    </mdx>
    <mdx n="508" f="v">
      <t c="3" si="4">
        <n x="509"/>
        <n x="281"/>
        <n x="471"/>
      </t>
    </mdx>
    <mdx n="508" f="v">
      <t c="3" si="4">
        <n x="509"/>
        <n x="210"/>
        <n x="471"/>
      </t>
    </mdx>
    <mdx n="508" f="v">
      <t c="3" si="4">
        <n x="509"/>
        <n x="129"/>
        <n x="479"/>
      </t>
    </mdx>
    <mdx n="508" f="v">
      <t c="3" si="4">
        <n x="509"/>
        <n x="381"/>
        <n x="480"/>
      </t>
    </mdx>
    <mdx n="508" f="v">
      <t c="3" si="4">
        <n x="509"/>
        <n x="406"/>
        <n x="481"/>
      </t>
    </mdx>
    <mdx n="508" f="v">
      <t c="3" si="4">
        <n x="509"/>
        <n x="359"/>
        <n x="471"/>
      </t>
    </mdx>
    <mdx n="508" f="v">
      <t c="3" si="4">
        <n x="509"/>
        <n x="174"/>
        <n x="479"/>
      </t>
    </mdx>
    <mdx n="508" f="v">
      <t c="3" si="4">
        <n x="509"/>
        <n x="54"/>
        <n x="480"/>
      </t>
    </mdx>
    <mdx n="508" f="v">
      <t c="3" si="4">
        <n x="509"/>
        <n x="154"/>
        <n x="481"/>
      </t>
    </mdx>
    <mdx n="508" f="v">
      <t c="3" si="4">
        <n x="509"/>
        <n x="278"/>
        <n x="471"/>
      </t>
    </mdx>
    <mdx n="508" f="v">
      <t c="3" si="4">
        <n x="509"/>
        <n x="186"/>
        <n x="479"/>
      </t>
    </mdx>
    <mdx n="508" f="v">
      <t c="3" si="4">
        <n x="509"/>
        <n x="193"/>
        <n x="480"/>
      </t>
    </mdx>
    <mdx n="508" f="v">
      <t c="3" si="4">
        <n x="509"/>
        <n x="438"/>
        <n x="481"/>
      </t>
    </mdx>
    <mdx n="508" f="v">
      <t c="3" si="4">
        <n x="509"/>
        <n x="416"/>
        <n x="471"/>
      </t>
    </mdx>
    <mdx n="508" f="v">
      <t c="3" si="4">
        <n x="509"/>
        <n x="149"/>
        <n x="479"/>
      </t>
    </mdx>
    <mdx n="508" f="v">
      <t c="3" si="4">
        <n x="509"/>
        <n x="393"/>
        <n x="480"/>
      </t>
    </mdx>
    <mdx n="508" f="v">
      <t c="3" si="4">
        <n x="509"/>
        <n x="77"/>
        <n x="481"/>
      </t>
    </mdx>
    <mdx n="508" f="v">
      <t c="3" si="4">
        <n x="509"/>
        <n x="262"/>
        <n x="471"/>
      </t>
    </mdx>
    <mdx n="508" f="v">
      <t c="3" si="4">
        <n x="509"/>
        <n x="333"/>
        <n x="479"/>
      </t>
    </mdx>
    <mdx n="508" f="v">
      <t c="3" si="4">
        <n x="509"/>
        <n x="97"/>
        <n x="480"/>
      </t>
    </mdx>
    <mdx n="508" f="v">
      <t c="3" si="4">
        <n x="509"/>
        <n x="430"/>
        <n x="481"/>
      </t>
    </mdx>
    <mdx n="508" f="v">
      <t c="3" si="4">
        <n x="509"/>
        <n x="436"/>
        <n x="472"/>
      </t>
    </mdx>
    <mdx n="508" f="v">
      <t c="3" si="4">
        <n x="509"/>
        <n x="315"/>
        <n x="467"/>
      </t>
    </mdx>
    <mdx n="508" f="v">
      <t c="3" si="4">
        <n x="509"/>
        <n x="11"/>
        <n x="473"/>
      </t>
    </mdx>
    <mdx n="508" f="v">
      <t c="3" si="4">
        <n x="509"/>
        <n x="148"/>
        <n x="470"/>
      </t>
    </mdx>
    <mdx n="508" f="v">
      <t c="3" si="4">
        <n x="509"/>
        <n x="244"/>
        <n x="2"/>
      </t>
    </mdx>
    <mdx n="508" f="v">
      <t c="3" si="4">
        <n x="509"/>
        <n x="29"/>
        <n x="466"/>
      </t>
    </mdx>
    <mdx n="508" f="v">
      <t c="3" si="4">
        <n x="509"/>
        <n x="358"/>
        <n x="468"/>
      </t>
    </mdx>
    <mdx n="508" f="v">
      <t c="3" si="4">
        <n x="509"/>
        <n x="47"/>
        <n x="476"/>
      </t>
    </mdx>
    <mdx n="508" f="v">
      <t c="3" si="4">
        <n x="509"/>
        <n x="455"/>
        <n x="477"/>
      </t>
    </mdx>
    <mdx n="508" f="v">
      <t c="3" si="4">
        <n x="509"/>
        <n x="126"/>
        <n x="478"/>
      </t>
    </mdx>
    <mdx n="508" f="v">
      <t c="3" si="4">
        <n x="509"/>
        <n x="162"/>
        <n x="468"/>
      </t>
    </mdx>
    <mdx n="508" f="v">
      <t c="3" si="4">
        <n x="509"/>
        <n x="455"/>
        <n x="476"/>
      </t>
    </mdx>
    <mdx n="508" f="v">
      <t c="3" si="4">
        <n x="509"/>
        <n x="323"/>
        <n x="477"/>
      </t>
    </mdx>
    <mdx n="508" f="v">
      <t c="3" si="4">
        <n x="509"/>
        <n x="391"/>
        <n x="5"/>
      </t>
    </mdx>
    <mdx n="508" f="v">
      <t c="3" si="4">
        <n x="509"/>
        <n x="365"/>
        <n x="468"/>
      </t>
    </mdx>
    <mdx n="508" f="v">
      <t c="3" si="4">
        <n x="509"/>
        <n x="370"/>
        <n x="477"/>
      </t>
    </mdx>
    <mdx n="508" f="v">
      <t c="3" si="4">
        <n x="509"/>
        <n x="330"/>
        <n x="478"/>
      </t>
    </mdx>
    <mdx n="508" f="v">
      <t c="3" si="4">
        <n x="509"/>
        <n x="323"/>
        <n x="468"/>
      </t>
    </mdx>
    <mdx n="508" f="v">
      <t c="3" si="4">
        <n x="509"/>
        <n x="178"/>
        <n x="476"/>
      </t>
    </mdx>
    <mdx n="508" f="v">
      <t c="3" si="4">
        <n x="509"/>
        <n x="179"/>
        <n x="477"/>
      </t>
    </mdx>
    <mdx n="508" f="v">
      <t c="3" si="4">
        <n x="509"/>
        <n x="317"/>
        <n x="478"/>
      </t>
    </mdx>
    <mdx n="508" f="v">
      <t c="3" si="4">
        <n x="509"/>
        <n x="76"/>
        <n x="468"/>
      </t>
    </mdx>
    <mdx n="508" f="v">
      <t c="3" si="4">
        <n x="509"/>
        <n x="253"/>
        <n x="476"/>
      </t>
    </mdx>
    <mdx n="508" f="v">
      <t c="3" si="4">
        <n x="509"/>
        <n x="457"/>
        <n x="478"/>
      </t>
    </mdx>
    <mdx n="508" f="v">
      <t c="3" si="4">
        <n x="509"/>
        <n x="279"/>
        <n x="471"/>
      </t>
    </mdx>
    <mdx n="508" f="v">
      <t c="3" si="4">
        <n x="509"/>
        <n x="431"/>
        <n x="468"/>
      </t>
    </mdx>
    <mdx n="508" f="v">
      <t c="3" si="4">
        <n x="509"/>
        <n x="18"/>
        <n x="476"/>
      </t>
    </mdx>
    <mdx n="508" f="v">
      <t c="3" si="4">
        <n x="509"/>
        <n x="409"/>
        <n x="477"/>
      </t>
    </mdx>
    <mdx n="508" f="v">
      <t c="3" si="4">
        <n x="509"/>
        <n x="319"/>
        <n x="478"/>
      </t>
    </mdx>
    <mdx n="508" f="v">
      <t c="3" si="4">
        <n x="509"/>
        <n x="66"/>
        <n x="468"/>
      </t>
    </mdx>
    <mdx n="508" f="v">
      <t c="3" si="4">
        <n x="509"/>
        <n x="101"/>
        <n x="476"/>
      </t>
    </mdx>
    <mdx n="508" f="v">
      <t c="3" si="4">
        <n x="509"/>
        <n x="122"/>
        <n x="477"/>
      </t>
    </mdx>
    <mdx n="508" f="v">
      <t c="3" si="4">
        <n x="509"/>
        <n x="74"/>
        <n x="478"/>
      </t>
    </mdx>
    <mdx n="508" f="v">
      <t c="3" si="4">
        <n x="509"/>
        <n x="382"/>
        <n x="478"/>
      </t>
    </mdx>
    <mdx n="508" f="v">
      <t c="3" si="4">
        <n x="509"/>
        <n x="240"/>
        <n x="479"/>
      </t>
    </mdx>
    <mdx n="508" f="v">
      <t c="3" si="4">
        <n x="509"/>
        <n x="190"/>
        <n x="480"/>
      </t>
    </mdx>
    <mdx n="508" f="v">
      <t c="3" si="4">
        <n x="509"/>
        <n x="24"/>
        <n x="481"/>
      </t>
    </mdx>
    <mdx n="508" f="v">
      <t c="3" si="4">
        <n x="509"/>
        <n x="164"/>
        <n x="478"/>
      </t>
    </mdx>
    <mdx n="508" f="v">
      <t c="3" si="4">
        <n x="509"/>
        <n x="116"/>
        <n x="479"/>
      </t>
    </mdx>
    <mdx n="508" f="v">
      <t c="3" si="4">
        <n x="509"/>
        <n x="348"/>
        <n x="480"/>
      </t>
    </mdx>
    <mdx n="508" f="v">
      <t c="3" si="4">
        <n x="509"/>
        <n x="185"/>
        <n x="481"/>
      </t>
    </mdx>
    <mdx n="508" f="v">
      <t c="3" si="4">
        <n x="509"/>
        <n x="78"/>
        <n x="478"/>
      </t>
    </mdx>
    <mdx n="508" f="v">
      <t c="3" si="4">
        <n x="509"/>
        <n x="402"/>
        <n x="479"/>
      </t>
    </mdx>
    <mdx n="508" f="v">
      <t c="3" si="4">
        <n x="509"/>
        <n x="182"/>
        <n x="480"/>
      </t>
    </mdx>
    <mdx n="508" f="v">
      <t c="3" si="4">
        <n x="509"/>
        <n x="87"/>
        <n x="481"/>
      </t>
    </mdx>
    <mdx n="508" f="v">
      <t c="3" si="4">
        <n x="509"/>
        <n x="292"/>
        <n x="471"/>
      </t>
    </mdx>
    <mdx n="508" f="v">
      <t c="3" si="4">
        <n x="509"/>
        <n x="303"/>
        <n x="479"/>
      </t>
    </mdx>
    <mdx n="508" f="v">
      <t c="3" si="4">
        <n x="509"/>
        <n x="354"/>
        <n x="480"/>
      </t>
    </mdx>
    <mdx n="508" f="v">
      <t c="3" si="4">
        <n x="509"/>
        <n x="213"/>
        <n x="481"/>
      </t>
    </mdx>
    <mdx n="508" f="v">
      <t c="3" si="4">
        <n x="509"/>
        <n x="291"/>
        <n x="471"/>
      </t>
    </mdx>
    <mdx n="508" f="v">
      <t c="3" si="4">
        <n x="509"/>
        <n x="418"/>
        <n x="479"/>
      </t>
    </mdx>
    <mdx n="508" f="v">
      <t c="3" si="4">
        <n x="509"/>
        <n x="194"/>
        <n x="480"/>
      </t>
    </mdx>
    <mdx n="508" f="v">
      <t c="3" si="4">
        <n x="509"/>
        <n x="169"/>
        <n x="481"/>
      </t>
    </mdx>
    <mdx n="508" f="v">
      <t c="3" si="4">
        <n x="509"/>
        <n x="444"/>
        <n x="467"/>
      </t>
    </mdx>
    <mdx n="508" f="v">
      <t c="3" si="4">
        <n x="509"/>
        <n x="73"/>
        <n x="472"/>
      </t>
    </mdx>
    <mdx n="508" f="v">
      <t c="3" si="4">
        <n x="509"/>
        <n x="334"/>
        <n x="1"/>
      </t>
    </mdx>
    <mdx n="508" f="v">
      <t c="3" si="4">
        <n x="509"/>
        <n x="218"/>
        <n x="466"/>
      </t>
    </mdx>
    <mdx n="508" f="v">
      <t c="3" si="475">
        <n x="509"/>
        <n x="167"/>
        <n x="474"/>
      </t>
    </mdx>
    <mdx n="508" f="v">
      <t c="3" si="4">
        <n x="509"/>
        <n x="417"/>
        <n x="466"/>
      </t>
    </mdx>
    <mdx n="508" f="v">
      <t c="3" si="4">
        <n x="509"/>
        <n x="463"/>
        <n x="2"/>
      </t>
    </mdx>
    <mdx n="508" f="v">
      <t c="3" si="4">
        <n x="509"/>
        <n x="409"/>
        <n x="466"/>
      </t>
    </mdx>
    <mdx n="508" f="v">
      <t c="3" si="4">
        <n x="509"/>
        <n x="107"/>
        <n x="468"/>
      </t>
    </mdx>
    <mdx n="508" f="v">
      <t c="3" si="4">
        <n x="509"/>
        <n x="22"/>
        <n x="477"/>
      </t>
    </mdx>
    <mdx n="508" f="v">
      <t c="3" si="4">
        <n x="509"/>
        <n x="42"/>
        <n x="478"/>
      </t>
    </mdx>
    <mdx n="508" f="v">
      <t c="3" si="4">
        <n x="509"/>
        <n x="366"/>
        <n x="466"/>
      </t>
    </mdx>
    <mdx n="508" f="v">
      <t c="3" si="4">
        <n x="509"/>
        <n x="80"/>
        <n x="468"/>
      </t>
    </mdx>
    <mdx n="508" f="v">
      <t c="3" si="4">
        <n x="509"/>
        <n x="377"/>
        <n x="477"/>
      </t>
    </mdx>
    <mdx n="508" f="v">
      <t c="3" si="4">
        <n x="509"/>
        <n x="139"/>
        <n x="478"/>
      </t>
    </mdx>
    <mdx n="508" f="v">
      <t c="3" si="4">
        <n x="509"/>
        <n x="367"/>
        <n x="468"/>
      </t>
    </mdx>
    <mdx n="508" f="v">
      <t c="3" si="4">
        <n x="509"/>
        <n x="396"/>
        <n x="476"/>
      </t>
    </mdx>
    <mdx n="508" f="v">
      <t c="3" si="4">
        <n x="509"/>
        <n x="329"/>
        <n x="477"/>
      </t>
    </mdx>
    <mdx n="508" f="v">
      <t c="3" si="4">
        <n x="509"/>
        <n x="297"/>
        <n x="468"/>
      </t>
    </mdx>
    <mdx n="508" f="v">
      <t c="3" si="4">
        <n x="509"/>
        <n x="90"/>
        <n x="476"/>
      </t>
    </mdx>
    <mdx n="508" f="v">
      <t c="3" si="4">
        <n x="509"/>
        <n x="145"/>
        <n x="478"/>
      </t>
    </mdx>
    <mdx n="508" f="v">
      <t c="3" si="4">
        <n x="509"/>
        <n x="444"/>
        <n x="471"/>
      </t>
    </mdx>
    <mdx n="508" f="v">
      <t c="3" si="4">
        <n x="509"/>
        <n x="125"/>
        <n x="468"/>
      </t>
    </mdx>
    <mdx n="508" f="v">
      <t c="3" si="4">
        <n x="509"/>
        <n x="192"/>
        <n x="476"/>
      </t>
    </mdx>
    <mdx n="508" f="v">
      <t c="3" si="4">
        <n x="509"/>
        <n x="65"/>
        <n x="477"/>
      </t>
    </mdx>
    <mdx n="508" f="v">
      <t c="3" si="4">
        <n x="509"/>
        <n x="18"/>
        <n x="478"/>
      </t>
    </mdx>
    <mdx n="508" f="v">
      <t c="3" si="4">
        <n x="509"/>
        <n x="263"/>
        <n x="466"/>
      </t>
    </mdx>
    <mdx n="508" f="v">
      <t c="3" si="4">
        <n x="509"/>
        <n x="158"/>
        <n x="476"/>
      </t>
    </mdx>
    <mdx n="508" f="v">
      <t c="3" si="4">
        <n x="509"/>
        <n x="382"/>
        <n x="477"/>
      </t>
    </mdx>
    <mdx n="508" f="v">
      <t c="3" si="4">
        <n x="509"/>
        <n x="336"/>
        <n x="478"/>
      </t>
    </mdx>
    <mdx n="508" f="v">
      <t c="3" si="4">
        <n x="509"/>
        <n x="71"/>
        <n x="466"/>
      </t>
    </mdx>
    <mdx n="508" f="v">
      <t c="3" si="4">
        <n x="509"/>
        <n x="30"/>
        <n x="476"/>
      </t>
    </mdx>
    <mdx n="508" f="v">
      <t c="3" si="4">
        <n x="509"/>
        <n x="83"/>
        <n x="477"/>
      </t>
    </mdx>
    <mdx n="508" f="v">
      <t c="3" si="4">
        <n x="509"/>
        <n x="20"/>
        <n x="478"/>
      </t>
    </mdx>
    <mdx n="508" f="v">
      <t c="3" si="4">
        <n x="509"/>
        <n x="38"/>
        <n x="471"/>
      </t>
    </mdx>
    <mdx n="508" f="v">
      <t c="3" si="4">
        <n x="509"/>
        <n x="148"/>
        <n x="471"/>
      </t>
    </mdx>
    <mdx n="508" f="v">
      <t c="3" si="4">
        <n x="509"/>
        <n x="140"/>
        <n x="479"/>
      </t>
    </mdx>
    <mdx n="508" f="v">
      <t c="3" si="4">
        <n x="509"/>
        <n x="218"/>
        <n x="480"/>
      </t>
    </mdx>
    <mdx n="508" f="v">
      <t c="3" si="4">
        <n x="509"/>
        <n x="448"/>
        <n x="466"/>
      </t>
    </mdx>
    <mdx n="508" f="v">
      <t c="3" si="4">
        <n x="509"/>
        <n x="131"/>
        <n x="471"/>
      </t>
    </mdx>
    <mdx n="508" f="v">
      <t c="3" si="4">
        <n x="509"/>
        <n x="196"/>
        <n x="479"/>
      </t>
    </mdx>
    <mdx n="508" f="v">
      <t c="3" si="4">
        <n x="509"/>
        <n x="77"/>
        <n x="480"/>
      </t>
    </mdx>
    <mdx n="508" f="v">
      <t c="3" si="4">
        <n x="509"/>
        <n x="223"/>
        <n x="5"/>
      </t>
    </mdx>
    <mdx n="508" f="v">
      <t c="3" si="4">
        <n x="509"/>
        <n x="134"/>
        <n x="471"/>
      </t>
    </mdx>
    <mdx n="508" f="v">
      <t c="3" si="4">
        <n x="509"/>
        <n x="464"/>
        <n x="479"/>
      </t>
    </mdx>
    <mdx n="508" f="v">
      <t c="3" si="4">
        <n x="509"/>
        <n x="316"/>
        <n x="480"/>
      </t>
    </mdx>
    <mdx n="508" f="v">
      <t c="3" si="4">
        <n x="509"/>
        <n x="454"/>
        <n x="476"/>
      </t>
    </mdx>
    <mdx n="508" f="v">
      <t c="3" si="4">
        <n x="509"/>
        <n x="386"/>
        <n x="471"/>
      </t>
    </mdx>
    <mdx n="508" f="v">
      <t c="3" si="4">
        <n x="509"/>
        <n x="172"/>
        <n x="479"/>
      </t>
    </mdx>
    <mdx n="508" f="v">
      <t c="3" si="4">
        <n x="509"/>
        <n x="293"/>
        <n x="481"/>
      </t>
    </mdx>
    <mdx n="508" f="v">
      <t c="3" si="4">
        <n x="509"/>
        <n x="355"/>
        <n x="476"/>
      </t>
    </mdx>
    <mdx n="508" f="v">
      <t c="3" si="4">
        <n x="509"/>
        <n x="323"/>
        <n x="471"/>
      </t>
    </mdx>
    <mdx n="508" f="v">
      <t c="3" si="4">
        <n x="509"/>
        <n x="287"/>
        <n x="479"/>
      </t>
    </mdx>
    <mdx n="508" f="v">
      <t c="3" si="4">
        <n x="509"/>
        <n x="450"/>
        <n x="481"/>
      </t>
    </mdx>
    <mdx n="508" f="v">
      <t c="3" si="4">
        <n x="509"/>
        <n x="97"/>
        <n x="476"/>
      </t>
    </mdx>
    <mdx n="508" f="v">
      <t c="3" si="4">
        <n x="509"/>
        <n x="322"/>
        <n x="471"/>
      </t>
    </mdx>
    <mdx n="508" f="v">
      <t c="3" si="4">
        <n x="509"/>
        <n x="420"/>
        <n x="479"/>
      </t>
    </mdx>
    <mdx n="508" f="v">
      <t c="3" si="4">
        <n x="509"/>
        <n x="268"/>
        <n x="472"/>
      </t>
    </mdx>
    <mdx n="508" f="v">
      <t c="3" si="4">
        <n x="509"/>
        <n x="338"/>
        <n x="468"/>
      </t>
    </mdx>
    <mdx n="508" f="v">
      <t c="3" si="4">
        <n x="509"/>
        <n x="254"/>
        <n x="476"/>
      </t>
    </mdx>
    <mdx n="508" f="v">
      <t c="3" si="4">
        <n x="509"/>
        <n x="310"/>
        <n x="468"/>
      </t>
    </mdx>
    <mdx n="508" f="v">
      <t c="3" si="4">
        <n x="509"/>
        <n x="438"/>
        <n x="471"/>
      </t>
    </mdx>
    <mdx n="508" f="v">
      <t c="3" si="4">
        <n x="509"/>
        <n x="39"/>
        <n x="471"/>
      </t>
    </mdx>
    <mdx n="508" f="v">
      <t c="3" si="4">
        <n x="509"/>
        <n x="125"/>
        <n x="471"/>
      </t>
    </mdx>
    <mdx n="508" f="v">
      <t c="3" si="4">
        <n x="509"/>
        <n x="8"/>
        <n x="480"/>
      </t>
    </mdx>
    <mdx n="508" f="v">
      <t c="3" si="4">
        <n x="509"/>
        <n x="120"/>
        <n x="481"/>
      </t>
    </mdx>
    <mdx n="508" f="v">
      <t c="3" si="4">
        <n x="509"/>
        <n x="202"/>
        <n x="471"/>
      </t>
    </mdx>
    <mdx n="508" f="v">
      <t c="3" si="4">
        <n x="509"/>
        <n x="311"/>
        <n x="479"/>
      </t>
    </mdx>
    <mdx n="508" f="v">
      <t c="3" si="4">
        <n x="509"/>
        <n x="206"/>
        <n x="480"/>
      </t>
    </mdx>
    <mdx n="508" f="v">
      <t c="3" si="4">
        <n x="509"/>
        <n x="313"/>
        <n x="481"/>
      </t>
    </mdx>
    <mdx n="508" f="v">
      <t c="3" si="4">
        <n x="509"/>
        <n x="279"/>
        <n x="482"/>
      </t>
    </mdx>
    <mdx n="508" f="v">
      <t c="3" si="4">
        <n x="509"/>
        <n x="304"/>
        <n x="483"/>
      </t>
    </mdx>
    <mdx n="508" f="v">
      <t c="3" si="4">
        <n x="509"/>
        <n x="93"/>
        <n x="484"/>
      </t>
    </mdx>
    <mdx n="508" f="v">
      <t c="3" si="4">
        <n x="509"/>
        <n x="384"/>
        <n x="485"/>
      </t>
    </mdx>
    <mdx n="508" f="v">
      <t c="3" si="4">
        <n x="509"/>
        <n x="462"/>
        <n x="486"/>
      </t>
    </mdx>
    <mdx n="508" f="v">
      <t c="3" si="4">
        <n x="509"/>
        <n x="185"/>
        <n x="487"/>
      </t>
    </mdx>
    <mdx n="508" f="v">
      <t c="3" si="4">
        <n x="509"/>
        <n x="421"/>
        <n x="488"/>
      </t>
    </mdx>
    <mdx n="508" f="v">
      <t c="3" si="4">
        <n x="509"/>
        <n x="463"/>
        <n x="480"/>
      </t>
    </mdx>
    <mdx n="508" f="v">
      <t c="3" si="4">
        <n x="509"/>
        <n x="136"/>
        <n x="482"/>
      </t>
    </mdx>
    <mdx n="508" f="v">
      <t c="3" si="4">
        <n x="509"/>
        <n x="73"/>
        <n x="483"/>
      </t>
    </mdx>
    <mdx n="508" f="v">
      <t c="3" si="4">
        <n x="509"/>
        <n x="307"/>
        <n x="484"/>
      </t>
    </mdx>
    <mdx n="508" f="v">
      <t c="3" si="4">
        <n x="509"/>
        <n x="457"/>
        <n x="486"/>
      </t>
    </mdx>
    <mdx n="508" f="v">
      <t c="3" si="4">
        <n x="509"/>
        <n x="459"/>
        <n x="487"/>
      </t>
    </mdx>
    <mdx n="508" f="v">
      <t c="3" si="4">
        <n x="509"/>
        <n x="132"/>
        <n x="488"/>
      </t>
    </mdx>
    <mdx n="508" f="v">
      <t c="3" si="4">
        <n x="509"/>
        <n x="409"/>
        <n x="482"/>
      </t>
    </mdx>
    <mdx n="508" f="v">
      <t c="3" si="4">
        <n x="509"/>
        <n x="377"/>
        <n x="483"/>
      </t>
    </mdx>
    <mdx n="508" f="v">
      <t c="3" si="4">
        <n x="509"/>
        <n x="8"/>
        <n x="484"/>
      </t>
    </mdx>
    <mdx n="508" f="v">
      <t c="3" si="4">
        <n x="509"/>
        <n x="27"/>
        <n x="485"/>
      </t>
    </mdx>
    <mdx n="508" f="v">
      <t c="3" si="4">
        <n x="509"/>
        <n x="376"/>
        <n x="486"/>
      </t>
    </mdx>
    <mdx n="508" f="v">
      <t c="3" si="4">
        <n x="509"/>
        <n x="316"/>
        <n x="487"/>
      </t>
    </mdx>
    <mdx n="508" f="v">
      <t c="3" si="4">
        <n x="509"/>
        <n x="426"/>
        <n x="488"/>
      </t>
    </mdx>
    <mdx n="508" f="v">
      <t c="3" si="4">
        <n x="509"/>
        <n x="407"/>
        <n x="482"/>
      </t>
    </mdx>
    <mdx n="508" f="v">
      <t c="3" si="4">
        <n x="509"/>
        <n x="250"/>
        <n x="483"/>
      </t>
    </mdx>
    <mdx n="508" f="v">
      <t c="3" si="4">
        <n x="509"/>
        <n x="180"/>
        <n x="484"/>
      </t>
    </mdx>
    <mdx n="508" f="v">
      <t c="3" si="4">
        <n x="509"/>
        <n x="199"/>
        <n x="485"/>
      </t>
    </mdx>
    <mdx n="508" f="v">
      <t c="3" si="4">
        <n x="509"/>
        <n x="308"/>
        <n x="486"/>
      </t>
    </mdx>
    <mdx n="508" f="v">
      <t c="3" si="4">
        <n x="509"/>
        <n x="444"/>
        <n x="487"/>
      </t>
    </mdx>
    <mdx n="508" f="v">
      <t c="3" si="4">
        <n x="509"/>
        <n x="298"/>
        <n x="489"/>
      </t>
    </mdx>
    <mdx n="508" f="v">
      <t c="3" si="4">
        <n x="509"/>
        <n x="222"/>
        <n x="490"/>
      </t>
    </mdx>
    <mdx n="508" f="v">
      <t c="3" si="4">
        <n x="509"/>
        <n x="206"/>
        <n x="482"/>
      </t>
    </mdx>
    <mdx n="508" f="v">
      <t c="3" si="4">
        <n x="509"/>
        <n x="427"/>
        <n x="484"/>
      </t>
    </mdx>
    <mdx n="508" f="v">
      <t c="3" si="4">
        <n x="509"/>
        <n x="183"/>
        <n x="485"/>
      </t>
    </mdx>
    <mdx n="508" f="v">
      <t c="3" si="4">
        <n x="509"/>
        <n x="268"/>
        <n x="486"/>
      </t>
    </mdx>
    <mdx n="508" f="v">
      <t c="3" si="4">
        <n x="509"/>
        <n x="428"/>
        <n x="487"/>
      </t>
    </mdx>
    <mdx n="508" f="v">
      <t c="3" si="4">
        <n x="509"/>
        <n x="414"/>
        <n x="489"/>
      </t>
    </mdx>
    <mdx n="508" f="v">
      <t c="3" si="4">
        <n x="509"/>
        <n x="357"/>
        <n x="481"/>
      </t>
    </mdx>
    <mdx n="508" f="v">
      <t c="3" si="4">
        <n x="509"/>
        <n x="366"/>
        <n x="482"/>
      </t>
    </mdx>
    <mdx n="508" f="v">
      <t c="3" si="4">
        <n x="509"/>
        <n x="253"/>
        <n x="483"/>
      </t>
    </mdx>
    <mdx n="508" f="v">
      <t c="3" si="4">
        <n x="509"/>
        <n x="270"/>
        <n x="485"/>
      </t>
    </mdx>
    <mdx n="508" f="v">
      <t c="3" si="4">
        <n x="509"/>
        <n x="134"/>
        <n x="486"/>
      </t>
    </mdx>
    <mdx n="508" f="v">
      <t c="3" si="4">
        <n x="509"/>
        <n x="360"/>
        <n x="487"/>
      </t>
    </mdx>
    <mdx n="508" f="v">
      <t c="3" si="4">
        <n x="509"/>
        <n x="294"/>
        <n x="488"/>
      </t>
    </mdx>
    <mdx n="508" f="v">
      <t c="3" si="4">
        <n x="509"/>
        <n x="59"/>
        <n x="489"/>
      </t>
    </mdx>
    <mdx n="508" f="v">
      <t c="3" si="4">
        <n x="509"/>
        <n x="454"/>
        <n x="482"/>
      </t>
    </mdx>
    <mdx n="508" f="v">
      <t c="3" si="4">
        <n x="509"/>
        <n x="390"/>
        <n x="483"/>
      </t>
    </mdx>
    <mdx n="508" f="v">
      <t c="3" si="4">
        <n x="509"/>
        <n x="40"/>
        <n x="484"/>
      </t>
    </mdx>
    <mdx n="508" f="v">
      <t c="3" si="4">
        <n x="509"/>
        <n x="272"/>
        <n x="485"/>
      </t>
    </mdx>
    <mdx n="508" f="v">
      <t c="3" si="4">
        <n x="509"/>
        <n x="163"/>
        <n x="478"/>
      </t>
    </mdx>
    <mdx n="508" f="v">
      <t c="3" si="4">
        <n x="509"/>
        <n x="187"/>
        <n x="2"/>
      </t>
    </mdx>
    <mdx n="508" f="v">
      <t c="3" si="475">
        <n x="509"/>
        <n x="13"/>
        <n x="474"/>
      </t>
    </mdx>
    <mdx n="508" f="v">
      <t c="3" si="4">
        <n x="509"/>
        <n x="416"/>
        <n x="477"/>
      </t>
    </mdx>
    <mdx n="508" f="v">
      <t c="3" si="4">
        <n x="509"/>
        <n x="118"/>
        <n x="478"/>
      </t>
    </mdx>
    <mdx n="508" f="v">
      <t c="3" si="4">
        <n x="509"/>
        <n x="397"/>
        <n x="468"/>
      </t>
    </mdx>
    <mdx n="508" f="v">
      <t c="3" si="4">
        <n x="509"/>
        <n x="313"/>
        <n x="477"/>
      </t>
    </mdx>
    <mdx n="508" f="v">
      <t c="3" si="4">
        <n x="509"/>
        <n x="334"/>
        <n x="466"/>
      </t>
    </mdx>
    <mdx n="508" f="v">
      <t c="3" si="4">
        <n x="509"/>
        <n x="422"/>
        <n x="476"/>
      </t>
    </mdx>
    <mdx n="508" f="v">
      <t c="3" si="4">
        <n x="509"/>
        <n x="121"/>
        <n x="477"/>
      </t>
    </mdx>
    <mdx n="508" f="v">
      <t c="3" si="4">
        <n x="509"/>
        <n x="422"/>
        <n x="468"/>
      </t>
    </mdx>
    <mdx n="508" f="v">
      <t c="3" si="4">
        <n x="509"/>
        <n x="214"/>
        <n x="476"/>
      </t>
    </mdx>
    <mdx n="508" f="v">
      <t c="3" si="4">
        <n x="509"/>
        <n x="152"/>
        <n x="477"/>
      </t>
    </mdx>
    <mdx n="508" f="v">
      <t c="3" si="4">
        <n x="509"/>
        <n x="204"/>
        <n x="471"/>
      </t>
    </mdx>
    <mdx n="508" f="v">
      <t c="3" si="4">
        <n x="509"/>
        <n x="366"/>
        <n x="468"/>
      </t>
    </mdx>
    <mdx n="508" f="v">
      <t c="3" si="4">
        <n x="509"/>
        <n x="88"/>
        <n x="476"/>
      </t>
    </mdx>
    <mdx n="508" f="v">
      <t c="3" si="4">
        <n x="509"/>
        <n x="175"/>
        <n x="477"/>
      </t>
    </mdx>
    <mdx n="508" f="v">
      <t c="3" si="4">
        <n x="509"/>
        <n x="128"/>
        <n x="478"/>
      </t>
    </mdx>
    <mdx n="508" f="v">
      <t c="3" si="4">
        <n x="509"/>
        <n x="344"/>
        <n x="468"/>
      </t>
    </mdx>
    <mdx n="508" f="v">
      <t c="3" si="4">
        <n x="509"/>
        <n x="158"/>
        <n x="477"/>
      </t>
    </mdx>
    <mdx n="508" f="v">
      <t c="3" si="4">
        <n x="509"/>
        <n x="84"/>
        <n x="478"/>
      </t>
    </mdx>
    <mdx n="508" f="v">
      <t c="3" si="4">
        <n x="509"/>
        <n x="403"/>
        <n x="468"/>
      </t>
    </mdx>
    <mdx n="508" f="v">
      <t c="3" si="4">
        <n x="509"/>
        <n x="30"/>
        <n x="477"/>
      </t>
    </mdx>
    <mdx n="508" f="v">
      <t c="3" si="4">
        <n x="509"/>
        <n x="59"/>
        <n x="478"/>
      </t>
    </mdx>
    <mdx n="508" f="v">
      <t c="3" si="4">
        <n x="509"/>
        <n x="269"/>
        <n x="471"/>
      </t>
    </mdx>
    <mdx n="508" f="v">
      <t c="3" si="4">
        <n x="509"/>
        <n x="275"/>
        <n x="471"/>
      </t>
    </mdx>
    <mdx n="508" f="v">
      <t c="3" si="4">
        <n x="509"/>
        <n x="264"/>
        <n x="479"/>
      </t>
    </mdx>
    <mdx n="508" f="v">
      <t c="3" si="4">
        <n x="509"/>
        <n x="200"/>
        <n x="480"/>
      </t>
    </mdx>
    <mdx n="508" f="v">
      <t c="3" si="4">
        <n x="509"/>
        <n x="140"/>
        <n x="481"/>
      </t>
    </mdx>
    <mdx n="508" f="v">
      <t c="3" si="4">
        <n x="509"/>
        <n x="158"/>
        <n x="471"/>
      </t>
    </mdx>
    <mdx n="508" f="v">
      <t c="3" si="4">
        <n x="509"/>
        <n x="64"/>
        <n x="479"/>
      </t>
    </mdx>
    <mdx n="508" f="v">
      <t c="3" si="4">
        <n x="509"/>
        <n x="40"/>
        <n x="480"/>
      </t>
    </mdx>
    <mdx n="508" f="v">
      <t c="3" si="4">
        <n x="509"/>
        <n x="126"/>
        <n x="481"/>
      </t>
    </mdx>
    <mdx n="508" f="v">
      <t c="3" si="4">
        <n x="509"/>
        <n x="163"/>
        <n x="471"/>
      </t>
    </mdx>
    <mdx n="508" f="v">
      <t c="3" si="4">
        <n x="509"/>
        <n x="211"/>
        <n x="479"/>
      </t>
    </mdx>
    <mdx n="508" f="v">
      <t c="3" si="4">
        <n x="509"/>
        <n x="175"/>
        <n x="480"/>
      </t>
    </mdx>
    <mdx n="508" f="v">
      <t c="3" si="4">
        <n x="509"/>
        <n x="224"/>
        <n x="466"/>
      </t>
    </mdx>
    <mdx n="508" f="v">
      <t c="3" si="4">
        <n x="509"/>
        <n x="245"/>
        <n x="471"/>
      </t>
    </mdx>
    <mdx n="508" f="v">
      <t c="3" si="4">
        <n x="509"/>
        <n x="278"/>
        <n x="479"/>
      </t>
    </mdx>
    <mdx n="508" f="v">
      <t c="3" si="4">
        <n x="509"/>
        <n x="369"/>
        <n x="480"/>
      </t>
    </mdx>
    <mdx n="508" f="v">
      <t c="3" si="4">
        <n x="509"/>
        <n x="209"/>
        <n x="468"/>
      </t>
    </mdx>
    <mdx n="508" f="v">
      <t c="3" si="4">
        <n x="509"/>
        <n x="25"/>
        <n x="471"/>
      </t>
    </mdx>
    <mdx n="508" f="v">
      <t c="3" si="4">
        <n x="509"/>
        <n x="173"/>
        <n x="479"/>
      </t>
    </mdx>
    <mdx n="508" f="v">
      <t c="3" si="4">
        <n x="509"/>
        <n x="436"/>
        <n x="480"/>
      </t>
    </mdx>
    <mdx n="508" f="v">
      <t c="3" si="4">
        <n x="509"/>
        <n x="132"/>
        <n x="468"/>
      </t>
    </mdx>
    <mdx n="508" f="v">
      <t c="3" si="4">
        <n x="509"/>
        <n x="275"/>
        <n x="466"/>
      </t>
    </mdx>
    <mdx n="508" f="v">
      <t c="3" si="4">
        <n x="509"/>
        <n x="398"/>
        <n x="2"/>
      </t>
    </mdx>
    <mdx n="508" f="v">
      <t c="3" si="4">
        <n x="509"/>
        <n x="130"/>
        <n x="470"/>
      </t>
    </mdx>
    <mdx n="508" f="v">
      <t c="3" si="4">
        <n x="509"/>
        <n x="398"/>
        <n x="466"/>
      </t>
    </mdx>
    <mdx n="508" f="v">
      <t c="3" si="4">
        <n x="509"/>
        <n x="22"/>
        <n x="468"/>
      </t>
    </mdx>
    <mdx n="508" f="v">
      <t c="3" si="4">
        <n x="509"/>
        <n x="71"/>
        <n x="468"/>
      </t>
    </mdx>
    <mdx n="508" f="v">
      <t c="3" si="4">
        <n x="509"/>
        <n x="113"/>
        <n x="476"/>
      </t>
    </mdx>
    <mdx n="508" f="v">
      <t c="3" si="4">
        <n x="509"/>
        <n x="247"/>
        <n x="477"/>
      </t>
    </mdx>
    <mdx n="508" f="v">
      <t c="3" si="4">
        <n x="509"/>
        <n x="100"/>
        <n x="478"/>
      </t>
    </mdx>
    <mdx n="508" f="v">
      <t c="3" si="4">
        <n x="509"/>
        <n x="447"/>
        <n x="468"/>
      </t>
    </mdx>
    <mdx n="508" f="v">
      <t c="3" si="4">
        <n x="509"/>
        <n x="85"/>
        <n x="476"/>
      </t>
    </mdx>
    <mdx n="508" f="v">
      <t c="3" si="4">
        <n x="509"/>
        <n x="118"/>
        <n x="477"/>
      </t>
    </mdx>
    <mdx n="508" f="v">
      <t c="3" si="4">
        <n x="509"/>
        <n x="418"/>
        <n x="466"/>
      </t>
    </mdx>
    <mdx n="508" f="v">
      <t c="3" si="4">
        <n x="509"/>
        <n x="195"/>
        <n x="476"/>
      </t>
    </mdx>
    <mdx n="508" f="v">
      <t c="3" si="4">
        <n x="509"/>
        <n x="189"/>
        <n x="477"/>
      </t>
    </mdx>
    <mdx n="508" f="v">
      <t c="3" si="4">
        <n x="509"/>
        <n x="217"/>
        <n x="478"/>
      </t>
    </mdx>
    <mdx n="508" f="v">
      <t c="3" si="4">
        <n x="509"/>
        <n x="29"/>
        <n x="468"/>
      </t>
    </mdx>
    <mdx n="508" f="v">
      <t c="3" si="4">
        <n x="509"/>
        <n x="211"/>
        <n x="476"/>
      </t>
    </mdx>
    <mdx n="508" f="v">
      <t c="3" si="4">
        <n x="509"/>
        <n x="335"/>
        <n x="477"/>
      </t>
    </mdx>
    <mdx n="508" f="v">
      <t c="3" si="4">
        <n x="509"/>
        <n x="6"/>
        <n x="478"/>
      </t>
    </mdx>
    <mdx n="508" f="v">
      <t c="3" si="4">
        <n x="509"/>
        <n x="227"/>
        <n x="468"/>
      </t>
    </mdx>
    <mdx n="508" f="v">
      <t c="3" si="4">
        <n x="509"/>
        <n x="243"/>
        <n x="477"/>
      </t>
    </mdx>
    <mdx n="508" f="v">
      <t c="3" si="4">
        <n x="509"/>
        <n x="47"/>
        <n x="478"/>
      </t>
    </mdx>
    <mdx n="508" f="v">
      <t c="3" si="4">
        <n x="509"/>
        <n x="173"/>
        <n x="468"/>
      </t>
    </mdx>
    <mdx n="508" f="v">
      <t c="3" si="4">
        <n x="509"/>
        <n x="240"/>
        <n x="476"/>
      </t>
    </mdx>
    <mdx n="508" f="v">
      <t c="3" si="4">
        <n x="509"/>
        <n x="188"/>
        <n x="477"/>
      </t>
    </mdx>
    <mdx n="508" f="v">
      <t c="3" si="4">
        <n x="509"/>
        <n x="325"/>
        <n x="468"/>
      </t>
    </mdx>
    <mdx n="508" f="v">
      <t c="3" si="4">
        <n x="509"/>
        <n x="13"/>
        <n x="476"/>
      </t>
    </mdx>
    <mdx n="508" f="v">
      <t c="3" si="4">
        <n x="509"/>
        <n x="169"/>
        <n x="477"/>
      </t>
    </mdx>
    <mdx n="508" f="v">
      <t c="3" si="4">
        <n x="509"/>
        <n x="206"/>
        <n x="471"/>
      </t>
    </mdx>
    <mdx n="508" f="v">
      <t c="3" si="4">
        <n x="509"/>
        <n x="236"/>
        <n x="478"/>
      </t>
    </mdx>
    <mdx n="508" f="v">
      <t c="3" si="4">
        <n x="509"/>
        <n x="377"/>
        <n x="479"/>
      </t>
    </mdx>
    <mdx n="508" f="v">
      <t c="3" si="4">
        <n x="509"/>
        <n x="252"/>
        <n x="480"/>
      </t>
    </mdx>
    <mdx n="508" f="v">
      <t c="3" si="4">
        <n x="509"/>
        <n x="281"/>
        <n x="481"/>
      </t>
    </mdx>
    <mdx n="508" f="v">
      <t c="3" si="4">
        <n x="509"/>
        <n x="209"/>
        <n x="471"/>
      </t>
    </mdx>
    <mdx n="508" f="v">
      <t c="3" si="4">
        <n x="509"/>
        <n x="241"/>
        <n x="479"/>
      </t>
    </mdx>
    <mdx n="508" f="v">
      <t c="3" si="4">
        <n x="509"/>
        <n x="15"/>
        <n x="480"/>
      </t>
    </mdx>
    <mdx n="508" f="v">
      <t c="3" si="4">
        <n x="509"/>
        <n x="400"/>
        <n x="481"/>
      </t>
    </mdx>
    <mdx n="508" f="v">
      <t c="3" si="4">
        <n x="509"/>
        <n x="378"/>
        <n x="478"/>
      </t>
    </mdx>
    <mdx n="508" f="v">
      <t c="3" si="4">
        <n x="509"/>
        <n x="410"/>
        <n x="479"/>
      </t>
    </mdx>
    <mdx n="508" f="v">
      <t c="3" si="4">
        <n x="509"/>
        <n x="20"/>
        <n x="480"/>
      </t>
    </mdx>
    <mdx n="508" f="v">
      <t c="3" si="4">
        <n x="509"/>
        <n x="255"/>
        <n x="481"/>
      </t>
    </mdx>
    <mdx n="508" f="v">
      <t c="3" si="4">
        <n x="509"/>
        <n x="353"/>
        <n x="471"/>
      </t>
    </mdx>
    <mdx n="508" f="v">
      <t c="3" si="4">
        <n x="509"/>
        <n x="384"/>
        <n x="479"/>
      </t>
    </mdx>
    <mdx n="508" f="v">
      <t c="3" si="4">
        <n x="509"/>
        <n x="380"/>
        <n x="481"/>
      </t>
    </mdx>
    <mdx n="508" f="v">
      <t c="3" si="4">
        <n x="509"/>
        <n x="350"/>
        <n x="471"/>
      </t>
    </mdx>
    <mdx n="508" f="v">
      <t c="3" si="4">
        <n x="509"/>
        <n x="86"/>
        <n x="479"/>
      </t>
    </mdx>
    <mdx n="508" f="v">
      <t c="3" si="4">
        <n x="509"/>
        <n x="92"/>
        <n x="480"/>
      </t>
    </mdx>
    <mdx n="508" f="v">
      <t c="3" si="4">
        <n x="509"/>
        <n x="363"/>
        <n x="481"/>
      </t>
    </mdx>
    <mdx n="508" f="v">
      <t c="3" si="4">
        <n x="509"/>
        <n x="272"/>
        <n x="472"/>
      </t>
    </mdx>
    <mdx n="508" f="v">
      <t c="3" si="4">
        <n x="509"/>
        <n x="266"/>
        <n x="466"/>
      </t>
    </mdx>
    <mdx n="508" f="v">
      <t c="3" si="4">
        <n x="509"/>
        <n x="421"/>
        <n x="468"/>
      </t>
    </mdx>
    <mdx n="508" f="v">
      <t c="3" si="4">
        <n x="509"/>
        <n x="152"/>
        <n x="466"/>
      </t>
    </mdx>
    <mdx n="508" f="v">
      <t c="3" si="4">
        <n x="509"/>
        <n x="103"/>
        <n x="466"/>
      </t>
    </mdx>
    <mdx n="508" f="v">
      <t c="3" si="4">
        <n x="509"/>
        <n x="442"/>
        <n x="5"/>
      </t>
    </mdx>
    <mdx n="508" f="v">
      <t c="3" si="4">
        <n x="509"/>
        <n x="264"/>
        <n x="466"/>
      </t>
    </mdx>
    <mdx n="508" f="v">
      <t c="3" si="4">
        <n x="509"/>
        <n x="199"/>
        <n x="466"/>
      </t>
    </mdx>
    <mdx n="508" f="v">
      <t c="3" si="4">
        <n x="509"/>
        <n x="416"/>
        <n x="476"/>
      </t>
    </mdx>
    <mdx n="508" f="v">
      <t c="3" si="4">
        <n x="509"/>
        <n x="217"/>
        <n x="477"/>
      </t>
    </mdx>
    <mdx n="508" f="v">
      <t c="3" si="4">
        <n x="509"/>
        <n x="25"/>
        <n x="478"/>
      </t>
    </mdx>
    <mdx n="508" f="v">
      <t c="3" si="4">
        <n x="509"/>
        <n x="7"/>
        <n x="466"/>
      </t>
    </mdx>
    <mdx n="508" f="v">
      <t c="3" si="4">
        <n x="509"/>
        <n x="246"/>
        <n x="476"/>
      </t>
    </mdx>
    <mdx n="508" f="v">
      <t c="3" si="4">
        <n x="509"/>
        <n x="208"/>
        <n x="477"/>
      </t>
    </mdx>
    <mdx n="508" f="v">
      <t c="3" si="4">
        <n x="509"/>
        <n x="385"/>
        <n x="478"/>
      </t>
    </mdx>
    <mdx n="508" f="v">
      <t c="3" si="4">
        <n x="509"/>
        <n x="213"/>
        <n x="468"/>
      </t>
    </mdx>
    <mdx n="508" f="v">
      <t c="3" si="4">
        <n x="509"/>
        <n x="427"/>
        <n x="476"/>
      </t>
    </mdx>
    <mdx n="508" f="v">
      <t c="3" si="4">
        <n x="509"/>
        <n x="185"/>
        <n x="477"/>
      </t>
    </mdx>
    <mdx n="508" f="v">
      <t c="3" si="4">
        <n x="509"/>
        <n x="419"/>
        <n x="466"/>
      </t>
    </mdx>
    <mdx n="508" f="v">
      <t c="3" si="4">
        <n x="509"/>
        <n x="28"/>
        <n x="476"/>
      </t>
    </mdx>
    <mdx n="508" f="v">
      <t c="3" si="4">
        <n x="509"/>
        <n x="369"/>
        <n x="477"/>
      </t>
    </mdx>
    <mdx n="508" f="v">
      <t c="3" si="4">
        <n x="509"/>
        <n x="21"/>
        <n x="478"/>
      </t>
    </mdx>
    <mdx n="508" f="v">
      <t c="3" si="4">
        <n x="509"/>
        <n x="169"/>
        <n x="471"/>
      </t>
    </mdx>
    <mdx n="508" f="v">
      <t c="3" si="4">
        <n x="509"/>
        <n x="41"/>
        <n x="468"/>
      </t>
    </mdx>
    <mdx n="508" f="v">
      <t c="3" si="4">
        <n x="509"/>
        <n x="54"/>
        <n x="476"/>
      </t>
    </mdx>
    <mdx n="508" f="v">
      <t c="3" si="4">
        <n x="509"/>
        <n x="458"/>
        <n x="477"/>
      </t>
    </mdx>
    <mdx n="508" f="v">
      <t c="3" si="4">
        <n x="509"/>
        <n x="10"/>
        <n x="478"/>
      </t>
    </mdx>
    <mdx n="508" f="v">
      <t c="3" si="4">
        <n x="509"/>
        <n x="286"/>
        <n x="468"/>
      </t>
    </mdx>
    <mdx n="508" f="v">
      <t c="3" si="4">
        <n x="509"/>
        <n x="265"/>
        <n x="476"/>
      </t>
    </mdx>
    <mdx n="508" f="v">
      <t c="3" si="4">
        <n x="509"/>
        <n x="262"/>
        <n x="477"/>
      </t>
    </mdx>
    <mdx n="508" f="v">
      <t c="3" si="4">
        <n x="509"/>
        <n x="322"/>
        <n x="478"/>
      </t>
    </mdx>
    <mdx n="508" f="v">
      <t c="3" si="4">
        <n x="509"/>
        <n x="33"/>
        <n x="468"/>
      </t>
    </mdx>
    <mdx n="508" f="v">
      <t c="3" si="4">
        <n x="509"/>
        <n x="442"/>
        <n x="476"/>
      </t>
    </mdx>
    <mdx n="508" f="v">
      <t c="3" si="4">
        <n x="509"/>
        <n x="130"/>
        <n x="477"/>
      </t>
    </mdx>
    <mdx n="508" f="v">
      <t c="3" si="4">
        <n x="509"/>
        <n x="79"/>
        <n x="478"/>
      </t>
    </mdx>
    <mdx n="508" f="v">
      <t c="3" si="4">
        <n x="509"/>
        <n x="22"/>
        <n x="466"/>
      </t>
    </mdx>
    <mdx n="508" f="v">
      <t c="3" si="4">
        <n x="509"/>
        <n x="332"/>
        <n x="471"/>
      </t>
    </mdx>
    <mdx n="508" f="v">
      <t c="3" si="4">
        <n x="509"/>
        <n x="272"/>
        <n x="479"/>
      </t>
    </mdx>
    <mdx n="508" f="v">
      <t c="3" si="4">
        <n x="509"/>
        <n x="197"/>
        <n x="480"/>
      </t>
    </mdx>
    <mdx n="508" f="v">
      <t c="3" si="4">
        <n x="509"/>
        <n x="160"/>
        <n x="476"/>
      </t>
    </mdx>
    <mdx n="508" f="v">
      <t c="3" si="4">
        <n x="509"/>
        <n x="227"/>
        <n x="471"/>
      </t>
    </mdx>
    <mdx n="508" f="v">
      <t c="3" si="4">
        <n x="509"/>
        <n x="228"/>
        <n x="479"/>
      </t>
    </mdx>
    <mdx n="508" f="v">
      <t c="3" si="4">
        <n x="509"/>
        <n x="271"/>
        <n x="480"/>
      </t>
    </mdx>
    <mdx n="508" f="v">
      <t c="3" si="4">
        <n x="509"/>
        <n x="428"/>
        <n x="468"/>
      </t>
    </mdx>
    <mdx n="508" f="v">
      <t c="3" si="4">
        <n x="509"/>
        <n x="22"/>
        <n x="471"/>
      </t>
    </mdx>
    <mdx n="508" f="v">
      <t c="3" si="4">
        <n x="509"/>
        <n x="135"/>
        <n x="479"/>
      </t>
    </mdx>
    <mdx n="508" f="v">
      <t c="3" si="4">
        <n x="509"/>
        <n x="73"/>
        <n x="480"/>
      </t>
    </mdx>
    <mdx n="508" f="v">
      <t c="3" si="4">
        <n x="509"/>
        <n x="181"/>
        <n x="477"/>
      </t>
    </mdx>
    <mdx n="508" f="v">
      <t c="3" si="4">
        <n x="509"/>
        <n x="94"/>
        <n x="471"/>
      </t>
    </mdx>
    <mdx n="508" f="v">
      <t c="3" si="4">
        <n x="509"/>
        <n x="254"/>
        <n x="480"/>
      </t>
    </mdx>
    <mdx n="508" f="v">
      <t c="3" si="4">
        <n x="509"/>
        <n x="258"/>
        <n x="481"/>
      </t>
    </mdx>
    <mdx n="508" f="v">
      <t c="3" si="4">
        <n x="509"/>
        <n x="206"/>
        <n x="477"/>
      </t>
    </mdx>
    <mdx n="508" f="v">
      <t c="3" si="4">
        <n x="509"/>
        <n x="87"/>
        <n x="471"/>
      </t>
    </mdx>
    <mdx n="508" f="v">
      <t c="3" si="4">
        <n x="509"/>
        <n x="51"/>
        <n x="480"/>
      </t>
    </mdx>
    <mdx n="508" f="v">
      <t c="3" si="4">
        <n x="509"/>
        <n x="203"/>
        <n x="481"/>
      </t>
    </mdx>
    <mdx n="508" f="v">
      <t c="3" si="4">
        <n x="509"/>
        <n x="395"/>
        <n x="477"/>
      </t>
    </mdx>
    <mdx n="508" f="v">
      <t c="3" si="4">
        <n x="509"/>
        <n x="213"/>
        <n x="471"/>
      </t>
    </mdx>
    <mdx n="508" f="v">
      <t c="3" si="4">
        <n x="509"/>
        <n x="131"/>
        <n x="480"/>
      </t>
    </mdx>
    <mdx n="508" f="v">
      <t c="3" si="4">
        <n x="509"/>
        <n x="319"/>
        <n x="467"/>
      </t>
    </mdx>
    <mdx n="508" f="v">
      <t c="3" si="4">
        <n x="509"/>
        <n x="430"/>
        <n x="5"/>
      </t>
    </mdx>
    <mdx n="508" f="v">
      <t c="3" si="4">
        <n x="509"/>
        <n x="310"/>
        <n x="476"/>
      </t>
    </mdx>
    <mdx n="508" f="v">
      <t c="3" si="4">
        <n x="509"/>
        <n x="12"/>
        <n x="477"/>
      </t>
    </mdx>
    <mdx n="508" f="v">
      <t c="3" si="4">
        <n x="509"/>
        <n x="222"/>
        <n x="477"/>
      </t>
    </mdx>
    <mdx n="508" f="v">
      <t c="3" si="4">
        <n x="509"/>
        <n x="313"/>
        <n x="479"/>
      </t>
    </mdx>
    <mdx n="508" f="v">
      <t c="3" si="4">
        <n x="509"/>
        <n x="40"/>
        <n x="479"/>
      </t>
    </mdx>
    <mdx n="508" f="v">
      <t c="3" si="4">
        <n x="509"/>
        <n x="291"/>
        <n x="479"/>
      </t>
    </mdx>
    <mdx n="508" f="v">
      <t c="3" si="4">
        <n x="509"/>
        <n x="400"/>
        <n x="471"/>
      </t>
    </mdx>
    <mdx n="508" f="v">
      <t c="3" si="4">
        <n x="509"/>
        <n x="294"/>
        <n x="480"/>
      </t>
    </mdx>
    <mdx n="508" f="v">
      <t c="3" si="4">
        <n x="509"/>
        <n x="130"/>
        <n x="481"/>
      </t>
    </mdx>
    <mdx n="508" f="v">
      <t c="3" si="4">
        <n x="509"/>
        <n x="53"/>
        <n x="471"/>
      </t>
    </mdx>
    <mdx n="508" f="v">
      <t c="3" si="4">
        <n x="509"/>
        <n x="396"/>
        <n x="479"/>
      </t>
    </mdx>
    <mdx n="508" f="v">
      <t c="3" si="4">
        <n x="509"/>
        <n x="29"/>
        <n x="480"/>
      </t>
    </mdx>
    <mdx n="508" f="v">
      <t c="3" si="4">
        <n x="509"/>
        <n x="113"/>
        <n x="481"/>
      </t>
    </mdx>
    <mdx n="508" f="v">
      <t c="3" si="4">
        <n x="509"/>
        <n x="146"/>
        <n x="482"/>
      </t>
    </mdx>
    <mdx n="508" f="v">
      <t c="3" si="4">
        <n x="509"/>
        <n x="291"/>
        <n x="483"/>
      </t>
    </mdx>
    <mdx n="508" f="v">
      <t c="3" si="4">
        <n x="509"/>
        <n x="128"/>
        <n x="484"/>
      </t>
    </mdx>
    <mdx n="508" f="v">
      <t c="3" si="4">
        <n x="509"/>
        <n x="109"/>
        <n x="485"/>
      </t>
    </mdx>
    <mdx n="508" f="v">
      <t c="3" si="4">
        <n x="509"/>
        <n x="347"/>
        <n x="486"/>
      </t>
    </mdx>
    <mdx n="508" f="v">
      <t c="3" si="4">
        <n x="509"/>
        <n x="446"/>
        <n x="487"/>
      </t>
    </mdx>
    <mdx n="508" f="v">
      <t c="3" si="4">
        <n x="509"/>
        <n x="398"/>
        <n x="488"/>
      </t>
    </mdx>
    <mdx n="508" f="v">
      <t c="3" si="4">
        <n x="509"/>
        <n x="341"/>
        <n x="481"/>
      </t>
    </mdx>
    <mdx n="508" f="v">
      <t c="3" si="4">
        <n x="509"/>
        <n x="436"/>
        <n x="482"/>
      </t>
    </mdx>
    <mdx n="508" f="v">
      <t c="3" si="4">
        <n x="509"/>
        <n x="451"/>
        <n x="484"/>
      </t>
    </mdx>
    <mdx n="508" f="v">
      <t c="3" si="4">
        <n x="509"/>
        <n x="374"/>
        <n x="485"/>
      </t>
    </mdx>
    <mdx n="508" f="v">
      <t c="3" si="4">
        <n x="509"/>
        <n x="133"/>
        <n x="486"/>
      </t>
    </mdx>
    <mdx n="508" f="v">
      <t c="3" si="4">
        <n x="509"/>
        <n x="399"/>
        <n x="487"/>
      </t>
    </mdx>
    <mdx n="508" f="v">
      <t c="3" si="4">
        <n x="509"/>
        <n x="390"/>
        <n x="488"/>
      </t>
    </mdx>
    <mdx n="508" f="v">
      <t c="3" si="4">
        <n x="509"/>
        <n x="37"/>
        <n x="482"/>
      </t>
    </mdx>
    <mdx n="508" f="v">
      <t c="3" si="4">
        <n x="509"/>
        <n x="25"/>
        <n x="483"/>
      </t>
    </mdx>
    <mdx n="508" f="v">
      <t c="3" si="4">
        <n x="509"/>
        <n x="354"/>
        <n x="484"/>
      </t>
    </mdx>
    <mdx n="508" f="v">
      <t c="3" si="4">
        <n x="509"/>
        <n x="155"/>
        <n x="485"/>
      </t>
    </mdx>
    <mdx n="508" f="v">
      <t c="3" si="4">
        <n x="509"/>
        <n x="170"/>
        <n x="486"/>
      </t>
    </mdx>
    <mdx n="508" f="v">
      <t c="3" si="4">
        <n x="509"/>
        <n x="254"/>
        <n x="487"/>
      </t>
    </mdx>
    <mdx n="508" f="v">
      <t c="3" si="4">
        <n x="509"/>
        <n x="371"/>
        <n x="471"/>
      </t>
    </mdx>
    <mdx n="508" f="v">
      <t c="3" si="4">
        <n x="509"/>
        <n x="83"/>
        <n x="482"/>
      </t>
    </mdx>
    <mdx n="508" f="v">
      <t c="3" si="4">
        <n x="509"/>
        <n x="427"/>
        <n x="483"/>
      </t>
    </mdx>
    <mdx n="508" f="v">
      <t c="3" si="4">
        <n x="509"/>
        <n x="173"/>
        <n x="484"/>
      </t>
    </mdx>
    <mdx n="508" f="v">
      <t c="3" si="4">
        <n x="509"/>
        <n x="247"/>
        <n x="485"/>
      </t>
    </mdx>
    <mdx n="508" f="v">
      <t c="3" si="4">
        <n x="509"/>
        <n x="188"/>
        <n x="486"/>
      </t>
    </mdx>
    <mdx n="508" f="v">
      <t c="3" si="4">
        <n x="509"/>
        <n x="362"/>
        <n x="488"/>
      </t>
    </mdx>
    <mdx n="508" f="v">
      <t c="3" si="4">
        <n x="509"/>
        <n x="416"/>
        <n x="489"/>
      </t>
    </mdx>
    <mdx n="508" f="v">
      <t c="3" si="4">
        <n x="509"/>
        <n x="178"/>
        <n x="471"/>
      </t>
    </mdx>
    <mdx n="508" f="v">
      <t c="3" si="4">
        <n x="509"/>
        <n x="354"/>
        <n x="482"/>
      </t>
    </mdx>
    <mdx n="508" f="v">
      <t c="3" si="4">
        <n x="509"/>
        <n x="251"/>
        <n x="483"/>
      </t>
    </mdx>
    <mdx n="508" f="v">
      <t c="3" si="4">
        <n x="509"/>
        <n x="36"/>
        <n x="484"/>
      </t>
    </mdx>
    <mdx n="508" f="v">
      <t c="3" si="4">
        <n x="509"/>
        <n x="112"/>
        <n x="485"/>
      </t>
    </mdx>
    <mdx n="508" f="v">
      <t c="3" si="4">
        <n x="509"/>
        <n x="253"/>
        <n x="486"/>
      </t>
    </mdx>
    <mdx n="508" f="v">
      <t c="3" si="4">
        <n x="509"/>
        <n x="344"/>
        <n x="488"/>
      </t>
    </mdx>
    <mdx n="508" f="v">
      <t c="3" si="4">
        <n x="509"/>
        <n x="246"/>
        <n x="489"/>
      </t>
    </mdx>
    <mdx n="508" f="v">
      <t c="3" si="4">
        <n x="509"/>
        <n x="421"/>
        <n x="481"/>
      </t>
    </mdx>
    <mdx n="508" f="v">
      <t c="3" si="4">
        <n x="509"/>
        <n x="344"/>
        <n x="482"/>
      </t>
    </mdx>
    <mdx n="508" f="v">
      <t c="3" si="4">
        <n x="509"/>
        <n x="270"/>
        <n x="484"/>
      </t>
    </mdx>
    <mdx n="508" f="v">
      <t c="3" si="4">
        <n x="509"/>
        <n x="182"/>
        <n x="485"/>
      </t>
    </mdx>
    <mdx n="508" f="v">
      <t c="3" si="4">
        <n x="509"/>
        <n x="167"/>
        <n x="486"/>
      </t>
    </mdx>
    <mdx n="508" f="v">
      <t c="3" si="4">
        <n x="509"/>
        <n x="138"/>
        <n x="487"/>
      </t>
    </mdx>
    <mdx n="508" f="v">
      <t c="3" si="4">
        <n x="509"/>
        <n x="282"/>
        <n x="488"/>
      </t>
    </mdx>
    <mdx n="508" f="v">
      <t c="3" si="4">
        <n x="509"/>
        <n x="171"/>
        <n x="471"/>
      </t>
    </mdx>
    <mdx n="508" f="v">
      <t c="3" si="4">
        <n x="509"/>
        <n x="431"/>
        <n x="482"/>
      </t>
    </mdx>
    <mdx n="508" f="v">
      <t c="3" si="4">
        <n x="509"/>
        <n x="334"/>
        <n x="483"/>
      </t>
    </mdx>
    <mdx n="508" f="v">
      <t c="3" si="4">
        <n x="509"/>
        <n x="340"/>
        <n x="484"/>
      </t>
    </mdx>
    <mdx n="508" f="v">
      <t c="3" si="4">
        <n x="509"/>
        <n x="104"/>
        <n x="485"/>
      </t>
    </mdx>
    <mdx n="508" f="v">
      <t c="3" si="4">
        <n x="509"/>
        <n x="131"/>
        <n x="486"/>
      </t>
    </mdx>
    <mdx n="508" f="v">
      <t c="3" si="4">
        <n x="509"/>
        <n x="99"/>
        <n x="5"/>
      </t>
    </mdx>
    <mdx n="508" f="v">
      <t c="3" si="4">
        <n x="509"/>
        <n x="460"/>
        <n x="471"/>
      </t>
    </mdx>
    <mdx n="508" f="v">
      <t c="3" si="4">
        <n x="509"/>
        <n x="165"/>
        <n x="467"/>
      </t>
    </mdx>
    <mdx n="508" f="v">
      <t c="3" si="4">
        <n x="509"/>
        <n x="228"/>
        <n x="466"/>
      </t>
    </mdx>
    <mdx n="508" f="v">
      <t c="3" si="4">
        <n x="509"/>
        <n x="436"/>
        <n x="1"/>
      </t>
    </mdx>
    <mdx n="508" f="v">
      <t c="3" si="4">
        <n x="509"/>
        <n x="130"/>
        <n x="1"/>
      </t>
    </mdx>
    <mdx n="508" f="v">
      <t c="3" si="4">
        <n x="509"/>
        <n x="23"/>
        <n x="468"/>
      </t>
    </mdx>
    <mdx n="508" f="v">
      <t c="3" si="4">
        <n x="509"/>
        <n x="368"/>
        <n x="476"/>
      </t>
    </mdx>
    <mdx n="508" f="v">
      <t c="3" si="4">
        <n x="509"/>
        <n x="361"/>
        <n x="477"/>
      </t>
    </mdx>
    <mdx n="508" f="v">
      <t c="3" si="4">
        <n x="509"/>
        <n x="284"/>
        <n x="468"/>
      </t>
    </mdx>
    <mdx n="508" f="v">
      <t c="3" si="4">
        <n x="509"/>
        <n x="324"/>
        <n x="476"/>
      </t>
    </mdx>
    <mdx n="508" f="v">
      <t c="3" si="4">
        <n x="509"/>
        <n x="37"/>
        <n x="478"/>
      </t>
    </mdx>
    <mdx n="508" f="v">
      <t c="3" si="4">
        <n x="509"/>
        <n x="108"/>
        <n x="468"/>
      </t>
    </mdx>
    <mdx n="508" f="v">
      <t c="3" si="4">
        <n x="509"/>
        <n x="398"/>
        <n x="476"/>
      </t>
    </mdx>
    <mdx n="508" f="v">
      <t c="3" si="4">
        <n x="509"/>
        <n x="443"/>
        <n x="478"/>
      </t>
    </mdx>
    <mdx n="508" f="v">
      <t c="3" si="4">
        <n x="509"/>
        <n x="191"/>
        <n x="471"/>
      </t>
    </mdx>
    <mdx n="508" f="v">
      <t c="3" si="4">
        <n x="509"/>
        <n x="446"/>
        <n x="468"/>
      </t>
    </mdx>
    <mdx n="508" f="v">
      <t c="3" si="4">
        <n x="509"/>
        <n x="44"/>
        <n x="476"/>
      </t>
    </mdx>
    <mdx n="508" f="v">
      <t c="3" si="4">
        <n x="509"/>
        <n x="250"/>
        <n x="477"/>
      </t>
    </mdx>
    <mdx n="508" f="v">
      <t c="3" si="4">
        <n x="509"/>
        <n x="149"/>
        <n x="478"/>
      </t>
    </mdx>
    <mdx n="508" f="v">
      <t c="3" si="4">
        <n x="509"/>
        <n x="256"/>
        <n x="466"/>
      </t>
    </mdx>
    <mdx n="508" f="v">
      <t c="3" si="4">
        <n x="509"/>
        <n x="286"/>
        <n x="476"/>
      </t>
    </mdx>
    <mdx n="508" f="v">
      <t c="3" si="4">
        <n x="509"/>
        <n x="257"/>
        <n x="477"/>
      </t>
    </mdx>
    <mdx n="508" f="v">
      <t c="3" si="4">
        <n x="509"/>
        <n x="269"/>
        <n x="478"/>
      </t>
    </mdx>
    <mdx n="508" f="v">
      <t c="3" si="4">
        <n x="509"/>
        <n x="64"/>
        <n x="466"/>
      </t>
    </mdx>
    <mdx n="508" f="v">
      <t c="3" si="4">
        <n x="509"/>
        <n x="440"/>
        <n x="476"/>
      </t>
    </mdx>
    <mdx n="508" f="v">
      <t c="3" si="4">
        <n x="509"/>
        <n x="24"/>
        <n x="477"/>
      </t>
    </mdx>
    <mdx n="508" f="v">
      <t c="3" si="4">
        <n x="509"/>
        <n x="150"/>
        <n x="478"/>
      </t>
    </mdx>
    <mdx n="508" f="v">
      <t c="3" si="4">
        <n x="509"/>
        <n x="417"/>
        <n x="471"/>
      </t>
    </mdx>
    <mdx n="508" f="v">
      <t c="3" si="4">
        <n x="509"/>
        <n x="348"/>
        <n x="471"/>
      </t>
    </mdx>
    <mdx n="508" f="v">
      <t c="3" si="4">
        <n x="509"/>
        <n x="356"/>
        <n x="479"/>
      </t>
    </mdx>
    <mdx n="508" f="v">
      <t c="3" si="4">
        <n x="509"/>
        <n x="251"/>
        <n x="480"/>
      </t>
    </mdx>
    <mdx n="508" f="v">
      <t c="3" si="4">
        <n x="509"/>
        <n x="337"/>
        <n x="471"/>
      </t>
    </mdx>
    <mdx n="508" f="v">
      <t c="3" si="4">
        <n x="509"/>
        <n x="367"/>
        <n x="479"/>
      </t>
    </mdx>
    <mdx n="508" f="v">
      <t c="3" si="4">
        <n x="509"/>
        <n x="123"/>
        <n x="480"/>
      </t>
    </mdx>
    <mdx n="508" f="v">
      <t c="3" si="4">
        <n x="509"/>
        <n x="30"/>
        <n x="471"/>
      </t>
    </mdx>
    <mdx n="508" f="v">
      <t c="3" si="4">
        <n x="509"/>
        <n x="47"/>
        <n x="479"/>
      </t>
    </mdx>
    <mdx n="508" f="v">
      <t c="3" si="4">
        <n x="509"/>
        <n x="136"/>
        <n x="480"/>
      </t>
    </mdx>
    <mdx n="508" f="v">
      <t c="3" si="4">
        <n x="509"/>
        <n x="364"/>
        <n x="476"/>
      </t>
    </mdx>
    <mdx n="508" f="v">
      <t c="3" si="4">
        <n x="509"/>
        <n x="119"/>
        <n x="471"/>
      </t>
    </mdx>
    <mdx n="508" f="v">
      <t c="3" si="4">
        <n x="509"/>
        <n x="388"/>
        <n x="479"/>
      </t>
    </mdx>
    <mdx n="508" f="v">
      <t c="3" si="4">
        <n x="509"/>
        <n x="432"/>
        <n x="480"/>
      </t>
    </mdx>
    <mdx n="508" f="v">
      <t c="3" si="4">
        <n x="509"/>
        <n x="212"/>
        <n x="476"/>
      </t>
    </mdx>
    <mdx n="508" f="v">
      <t c="3" si="4">
        <n x="509"/>
        <n x="391"/>
        <n x="471"/>
      </t>
    </mdx>
    <mdx n="508" f="v">
      <t c="3" si="4">
        <n x="509"/>
        <n x="215"/>
        <n x="479"/>
      </t>
    </mdx>
    <mdx n="508" f="v">
      <t c="3" si="4">
        <n x="509"/>
        <n x="398"/>
        <n x="480"/>
      </t>
    </mdx>
    <mdx n="508" f="v">
      <t c="3" si="4">
        <n x="509"/>
        <n x="458"/>
        <n x="476"/>
      </t>
    </mdx>
    <mdx n="508" f="v">
      <t c="3" si="4">
        <n x="509"/>
        <n x="17"/>
        <n x="5"/>
      </t>
    </mdx>
    <mdx n="508" f="v">
      <t c="3" si="4">
        <n x="509"/>
        <n x="392"/>
        <n x="466"/>
      </t>
    </mdx>
    <mdx n="508" f="v">
      <t c="3" si="4">
        <n x="509"/>
        <n x="34"/>
        <n x="468"/>
      </t>
    </mdx>
    <mdx n="508" f="v">
      <t c="3" si="4">
        <n x="509"/>
        <n x="228"/>
        <n x="476"/>
      </t>
    </mdx>
    <mdx n="508" f="v">
      <t c="3" si="4">
        <n x="509"/>
        <n x="56"/>
        <n x="477"/>
      </t>
    </mdx>
    <mdx n="508" f="v">
      <t c="3" si="4">
        <n x="509"/>
        <n x="389"/>
        <n x="468"/>
      </t>
    </mdx>
    <mdx n="508" f="v">
      <t c="3" si="4">
        <n x="509"/>
        <n x="95"/>
        <n x="476"/>
      </t>
    </mdx>
    <mdx n="508" f="v">
      <t c="3" si="4">
        <n x="509"/>
        <n x="424"/>
        <n x="477"/>
      </t>
    </mdx>
    <mdx n="508" f="v">
      <t c="3" si="4">
        <n x="509"/>
        <n x="327"/>
        <n x="466"/>
      </t>
    </mdx>
    <mdx n="508" f="v">
      <t c="3" si="4">
        <n x="509"/>
        <n x="309"/>
        <n x="476"/>
      </t>
    </mdx>
    <mdx n="508" f="v">
      <t c="3" si="4">
        <n x="509"/>
        <n x="441"/>
        <n x="477"/>
      </t>
    </mdx>
    <mdx n="508" f="v">
      <t c="3" si="4">
        <n x="509"/>
        <n x="281"/>
        <n x="478"/>
      </t>
    </mdx>
    <mdx n="508" f="v">
      <t c="3" si="4">
        <n x="509"/>
        <n x="170"/>
        <n x="468"/>
      </t>
    </mdx>
    <mdx n="508" f="v">
      <t c="3" si="4">
        <n x="509"/>
        <n x="161"/>
        <n x="476"/>
      </t>
    </mdx>
    <mdx n="508" f="v">
      <t c="3" si="4">
        <n x="509"/>
        <n x="215"/>
        <n x="477"/>
      </t>
    </mdx>
    <mdx n="508" f="v">
      <t c="3" si="4">
        <n x="509"/>
        <n x="271"/>
        <n x="478"/>
      </t>
    </mdx>
    <mdx n="508" f="v">
      <t c="3" si="4">
        <n x="509"/>
        <n x="279"/>
        <n x="466"/>
      </t>
    </mdx>
    <mdx n="508" f="v">
      <t c="3" si="4">
        <n x="509"/>
        <n x="45"/>
        <n x="476"/>
      </t>
    </mdx>
    <mdx n="508" f="v">
      <t c="3" si="4">
        <n x="509"/>
        <n x="386"/>
        <n x="477"/>
      </t>
    </mdx>
    <mdx n="508" f="v">
      <t c="3" si="4">
        <n x="509"/>
        <n x="339"/>
        <n x="478"/>
      </t>
    </mdx>
    <mdx n="508" f="v">
      <t c="3" si="4">
        <n x="509"/>
        <n x="13"/>
        <n x="468"/>
      </t>
    </mdx>
    <mdx n="508" f="v">
      <t c="3" si="4">
        <n x="509"/>
        <n x="424"/>
        <n x="476"/>
      </t>
    </mdx>
    <mdx n="508" f="v">
      <t c="3" si="4">
        <n x="509"/>
        <n x="420"/>
        <n x="478"/>
      </t>
    </mdx>
    <mdx n="508" f="v">
      <t c="3" si="4">
        <n x="509"/>
        <n x="210"/>
        <n x="468"/>
      </t>
    </mdx>
    <mdx n="508" f="v">
      <t c="3" si="4">
        <n x="509"/>
        <n x="337"/>
        <n x="476"/>
      </t>
    </mdx>
    <mdx n="508" f="v">
      <t c="3" si="4">
        <n x="509"/>
        <n x="450"/>
        <n x="478"/>
      </t>
    </mdx>
    <mdx n="508" f="v">
      <t c="3" si="4">
        <n x="509"/>
        <n x="448"/>
        <n x="471"/>
      </t>
    </mdx>
    <mdx n="508" f="v">
      <t c="3" si="4">
        <n x="509"/>
        <n x="463"/>
        <n x="471"/>
      </t>
    </mdx>
    <mdx n="508" f="v">
      <t c="3" si="4">
        <n x="509"/>
        <n x="385"/>
        <n x="479"/>
      </t>
    </mdx>
    <mdx n="508" f="v">
      <t c="3" si="4">
        <n x="509"/>
        <n x="303"/>
        <n x="480"/>
      </t>
    </mdx>
    <mdx n="508" f="v">
      <t c="3" si="4">
        <n x="509"/>
        <n x="390"/>
        <n x="481"/>
      </t>
    </mdx>
    <mdx n="508" f="v">
      <t c="3" si="4">
        <n x="509"/>
        <n x="183"/>
        <n x="471"/>
      </t>
    </mdx>
    <mdx n="508" f="v">
      <t c="3" si="4">
        <n x="509"/>
        <n x="345"/>
        <n x="479"/>
      </t>
    </mdx>
    <mdx n="508" f="v">
      <t c="3" si="4">
        <n x="509"/>
        <n x="291"/>
        <n x="480"/>
      </t>
    </mdx>
    <mdx n="508" f="v">
      <t c="3" si="4">
        <n x="509"/>
        <n x="251"/>
        <n x="481"/>
      </t>
    </mdx>
    <mdx n="508" f="v">
      <t c="3" si="4">
        <n x="509"/>
        <n x="186"/>
        <n x="471"/>
      </t>
    </mdx>
    <mdx n="508" f="v">
      <t c="3" si="4">
        <n x="509"/>
        <n x="349"/>
        <n x="479"/>
      </t>
    </mdx>
    <mdx n="508" f="v">
      <t c="3" si="4">
        <n x="509"/>
        <n x="176"/>
        <n x="480"/>
      </t>
    </mdx>
    <mdx n="508" f="v">
      <t c="3" si="4">
        <n x="509"/>
        <n x="40"/>
        <n x="481"/>
      </t>
    </mdx>
    <mdx n="508" f="v">
      <t c="3" si="4">
        <n x="509"/>
        <n x="345"/>
        <n x="471"/>
      </t>
    </mdx>
    <mdx n="508" f="v">
      <t c="3" si="4">
        <n x="509"/>
        <n x="334"/>
        <n x="479"/>
      </t>
    </mdx>
    <mdx n="508" f="v">
      <t c="3" si="4">
        <n x="509"/>
        <n x="101"/>
        <n x="480"/>
      </t>
    </mdx>
    <mdx n="508" f="v">
      <t c="3" si="4">
        <n x="509"/>
        <n x="172"/>
        <n x="481"/>
      </t>
    </mdx>
    <mdx n="508" f="v">
      <t c="3" si="4">
        <n x="509"/>
        <n x="260"/>
        <n x="471"/>
      </t>
    </mdx>
    <mdx n="508" f="v">
      <t c="3" si="4">
        <n x="509"/>
        <n x="393"/>
        <n x="479"/>
      </t>
    </mdx>
    <mdx n="508" f="v">
      <t c="3" si="4">
        <n x="509"/>
        <n x="196"/>
        <n x="480"/>
      </t>
    </mdx>
    <mdx n="508" f="v">
      <t c="3" si="4">
        <n x="509"/>
        <n x="260"/>
        <n x="481"/>
      </t>
    </mdx>
    <mdx n="508" f="v">
      <t c="3" si="475">
        <n x="509"/>
        <n x="438"/>
        <n x="474"/>
      </t>
    </mdx>
    <mdx n="508" f="v">
      <t c="3" si="4">
        <n x="509"/>
        <n x="260"/>
        <n x="467"/>
      </t>
    </mdx>
    <mdx n="508" f="v">
      <t c="3" si="4">
        <n x="509"/>
        <n x="427"/>
        <n x="472"/>
      </t>
    </mdx>
    <mdx n="508" f="v">
      <t c="3" si="4">
        <n x="509"/>
        <n x="365"/>
        <n x="466"/>
      </t>
    </mdx>
    <mdx n="508" f="v">
      <t c="3" si="4">
        <n x="509"/>
        <n x="179"/>
        <n x="468"/>
      </t>
    </mdx>
    <mdx n="508" f="v">
      <t c="3" si="4">
        <n x="509"/>
        <n x="95"/>
        <n x="466"/>
      </t>
    </mdx>
    <mdx n="508" f="v">
      <t c="3" si="4">
        <n x="509"/>
        <n x="273"/>
        <n x="468"/>
      </t>
    </mdx>
    <mdx n="508" f="v">
      <t c="3" si="4">
        <n x="509"/>
        <n x="401"/>
        <n x="476"/>
      </t>
    </mdx>
    <mdx n="508" f="v">
      <t c="3" si="4">
        <n x="509"/>
        <n x="341"/>
        <n x="477"/>
      </t>
    </mdx>
    <mdx n="508" f="v">
      <t c="3" si="4">
        <n x="509"/>
        <n x="313"/>
        <n x="478"/>
      </t>
    </mdx>
    <mdx n="508" f="v">
      <t c="3" si="4">
        <n x="509"/>
        <n x="327"/>
        <n x="468"/>
      </t>
    </mdx>
    <mdx n="508" f="v">
      <t c="3" si="4">
        <n x="509"/>
        <n x="157"/>
        <n x="476"/>
      </t>
    </mdx>
    <mdx n="508" f="v">
      <t c="3" si="4">
        <n x="509"/>
        <n x="237"/>
        <n x="477"/>
      </t>
    </mdx>
    <mdx n="508" f="v">
      <t c="3" si="4">
        <n x="509"/>
        <n x="393"/>
        <n x="468"/>
      </t>
    </mdx>
    <mdx n="508" f="v">
      <t c="3" si="4">
        <n x="509"/>
        <n x="353"/>
        <n x="476"/>
      </t>
    </mdx>
    <mdx n="508" f="v">
      <t c="3" si="4">
        <n x="509"/>
        <n x="186"/>
        <n x="477"/>
      </t>
    </mdx>
    <mdx n="508" f="v">
      <t c="3" si="4">
        <n x="509"/>
        <n x="118"/>
        <n x="466"/>
      </t>
    </mdx>
    <mdx n="508" f="v">
      <t c="3" si="4">
        <n x="509"/>
        <n x="387"/>
        <n x="476"/>
      </t>
    </mdx>
    <mdx n="508" f="v">
      <t c="3" si="4">
        <n x="509"/>
        <n x="391"/>
        <n x="477"/>
      </t>
    </mdx>
    <mdx n="508" f="v">
      <t c="3" si="4">
        <n x="509"/>
        <n x="306"/>
        <n x="478"/>
      </t>
    </mdx>
    <mdx n="508" f="v">
      <t c="3" si="4">
        <n x="509"/>
        <n x="35"/>
        <n x="471"/>
      </t>
    </mdx>
    <mdx n="508" f="v">
      <t c="3" si="4">
        <n x="509"/>
        <n x="275"/>
        <n x="468"/>
      </t>
    </mdx>
    <mdx n="508" f="v">
      <t c="3" si="4">
        <n x="509"/>
        <n x="7"/>
        <n x="476"/>
      </t>
    </mdx>
    <mdx n="508" f="v">
      <t c="3" si="4">
        <n x="509"/>
        <n x="223"/>
        <n x="477"/>
      </t>
    </mdx>
    <mdx n="508" f="v">
      <t c="3" si="4">
        <n x="509"/>
        <n x="297"/>
        <n x="478"/>
      </t>
    </mdx>
    <mdx n="508" f="v">
      <t c="3" si="4">
        <n x="509"/>
        <n x="339"/>
        <n x="468"/>
      </t>
    </mdx>
    <mdx n="508" f="v">
      <t c="3" si="4">
        <n x="509"/>
        <n x="70"/>
        <n x="476"/>
      </t>
    </mdx>
    <mdx n="508" f="v">
      <t c="3" si="4">
        <n x="509"/>
        <n x="292"/>
        <n x="477"/>
      </t>
    </mdx>
    <mdx n="508" f="v">
      <t c="3" si="4">
        <n x="509"/>
        <n x="333"/>
        <n x="478"/>
      </t>
    </mdx>
    <mdx n="508" f="v">
      <t c="3" si="4">
        <n x="509"/>
        <n x="231"/>
        <n x="468"/>
      </t>
    </mdx>
    <mdx n="508" f="v">
      <t c="3" si="4">
        <n x="509"/>
        <n x="186"/>
        <n x="476"/>
      </t>
    </mdx>
    <mdx n="508" f="v">
      <t c="3" si="4">
        <n x="509"/>
        <n x="363"/>
        <n x="477"/>
      </t>
    </mdx>
    <mdx n="508" f="v">
      <t c="3" si="4">
        <n x="509"/>
        <n x="115"/>
        <n x="478"/>
      </t>
    </mdx>
    <mdx n="508" f="v">
      <t c="3" si="4">
        <n x="509"/>
        <n x="318"/>
        <n x="476"/>
      </t>
    </mdx>
    <mdx n="508" f="v">
      <t c="3" si="4">
        <n x="509"/>
        <n x="118"/>
        <n x="471"/>
      </t>
    </mdx>
    <mdx n="508" f="v">
      <t c="3" si="4">
        <n x="509"/>
        <n x="13"/>
        <n x="479"/>
      </t>
    </mdx>
    <mdx n="508" f="v">
      <t c="3" si="4">
        <n x="509"/>
        <n x="259"/>
        <n x="480"/>
      </t>
    </mdx>
    <mdx n="508" f="v">
      <t c="3" si="4">
        <n x="509"/>
        <n x="355"/>
        <n x="477"/>
      </t>
    </mdx>
    <mdx n="508" f="v">
      <t c="3" si="4">
        <n x="509"/>
        <n x="378"/>
        <n x="471"/>
      </t>
    </mdx>
    <mdx n="508" f="v">
      <t c="3" si="4">
        <n x="509"/>
        <n x="90"/>
        <n x="479"/>
      </t>
    </mdx>
    <mdx n="508" f="v">
      <t c="3" si="4">
        <n x="509"/>
        <n x="56"/>
        <n x="481"/>
      </t>
    </mdx>
    <mdx n="508" f="v">
      <t c="3" si="4">
        <n x="509"/>
        <n x="270"/>
        <n x="477"/>
      </t>
    </mdx>
    <mdx n="508" f="v">
      <t c="3" si="4">
        <n x="509"/>
        <n x="315"/>
        <n x="471"/>
      </t>
    </mdx>
    <mdx n="508" f="v">
      <t c="3" si="4">
        <n x="509"/>
        <n x="107"/>
        <n x="479"/>
      </t>
    </mdx>
    <mdx n="508" f="v">
      <t c="3" si="4">
        <n x="509"/>
        <n x="305"/>
        <n x="481"/>
      </t>
    </mdx>
    <mdx n="508" f="v">
      <t c="3" si="4">
        <n x="509"/>
        <n x="376"/>
        <n x="478"/>
      </t>
    </mdx>
    <mdx n="508" f="v">
      <t c="3" si="4">
        <n x="509"/>
        <n x="457"/>
        <n x="479"/>
      </t>
    </mdx>
    <mdx n="508" f="v">
      <t c="3" si="4">
        <n x="509"/>
        <n x="258"/>
        <n x="480"/>
      </t>
    </mdx>
    <mdx n="508" f="v">
      <t c="3" si="4">
        <n x="509"/>
        <n x="199"/>
        <n x="481"/>
      </t>
    </mdx>
    <mdx n="508" f="v">
      <t c="3" si="4">
        <n x="509"/>
        <n x="345"/>
        <n x="478"/>
      </t>
    </mdx>
    <mdx n="508" f="v">
      <t c="3" si="4">
        <n x="509"/>
        <n x="273"/>
        <n x="479"/>
      </t>
    </mdx>
    <mdx n="508" f="v">
      <t c="3" si="4">
        <n x="509"/>
        <n x="327"/>
        <n x="480"/>
      </t>
    </mdx>
    <mdx n="508" f="v">
      <t c="3" si="4">
        <n x="509"/>
        <n x="446"/>
        <n x="481"/>
      </t>
    </mdx>
    <mdx n="508" f="v">
      <t c="3" si="4">
        <n x="509"/>
        <n x="427"/>
        <n x="478"/>
      </t>
    </mdx>
    <mdx n="508" f="v">
      <t c="3" si="4">
        <n x="509"/>
        <n x="423"/>
        <n x="479"/>
      </t>
    </mdx>
    <mdx n="508" f="v">
      <t c="3" si="4">
        <n x="509"/>
        <n x="219"/>
        <n x="480"/>
      </t>
    </mdx>
    <mdx n="508" f="v">
      <t c="3" si="4">
        <n x="509"/>
        <n x="298"/>
        <n x="466"/>
      </t>
    </mdx>
    <mdx n="508" f="v">
      <t c="3" si="4">
        <n x="509"/>
        <n x="263"/>
        <n x="478"/>
      </t>
    </mdx>
    <mdx n="508" f="v">
      <t c="3" si="4">
        <n x="509"/>
        <n x="67"/>
        <n x="471"/>
      </t>
    </mdx>
    <mdx n="508" f="v">
      <t c="3" si="4">
        <n x="509"/>
        <n x="146"/>
        <n x="478"/>
      </t>
    </mdx>
    <mdx n="508" f="v">
      <t c="3" si="4">
        <n x="509"/>
        <n x="14"/>
        <n x="480"/>
      </t>
    </mdx>
    <mdx n="508" f="v">
      <t c="3" si="4">
        <n x="509"/>
        <n x="18"/>
        <n x="480"/>
      </t>
    </mdx>
    <mdx n="508" f="v">
      <t c="3" si="4">
        <n x="509"/>
        <n x="159"/>
        <n x="479"/>
      </t>
    </mdx>
    <mdx n="508" f="v">
      <t c="3" si="4">
        <n x="509"/>
        <n x="92"/>
        <n x="471"/>
      </t>
    </mdx>
    <mdx n="508" f="v">
      <t c="3" si="4">
        <n x="509"/>
        <n x="399"/>
        <n x="480"/>
      </t>
    </mdx>
    <mdx n="508" f="v">
      <t c="3" si="4">
        <n x="509"/>
        <n x="10"/>
        <n x="481"/>
      </t>
    </mdx>
    <mdx n="508" f="v">
      <t c="3" si="4">
        <n x="509"/>
        <n x="149"/>
        <n x="471"/>
      </t>
    </mdx>
    <mdx n="508" f="v">
      <t c="3" si="4">
        <n x="509"/>
        <n x="411"/>
        <n x="479"/>
      </t>
    </mdx>
    <mdx n="508" f="v">
      <t c="3" si="4">
        <n x="509"/>
        <n x="109"/>
        <n x="480"/>
      </t>
    </mdx>
    <mdx n="508" f="v">
      <t c="3" si="4">
        <n x="509"/>
        <n x="26"/>
        <n x="476"/>
      </t>
    </mdx>
    <mdx n="508" f="v">
      <t c="3" si="4">
        <n x="509"/>
        <n x="211"/>
        <n x="482"/>
      </t>
    </mdx>
    <mdx n="508" f="v">
      <t c="3" si="4">
        <n x="509"/>
        <n x="166"/>
        <n x="483"/>
      </t>
    </mdx>
    <mdx n="508" f="v">
      <t c="3" si="4">
        <n x="509"/>
        <n x="101"/>
        <n x="484"/>
      </t>
    </mdx>
    <mdx n="508" f="v">
      <t c="3" si="4">
        <n x="509"/>
        <n x="325"/>
        <n x="485"/>
      </t>
    </mdx>
    <mdx n="508" f="v">
      <t c="3" si="4">
        <n x="509"/>
        <n x="179"/>
        <n x="486"/>
      </t>
    </mdx>
    <mdx n="508" f="v">
      <t c="3" si="4">
        <n x="509"/>
        <n x="12"/>
        <n x="487"/>
      </t>
    </mdx>
    <mdx n="508" f="v">
      <t c="3" si="4">
        <n x="509"/>
        <n x="397"/>
        <n x="489"/>
      </t>
    </mdx>
    <mdx n="508" f="v">
      <t c="3" si="4">
        <n x="509"/>
        <n x="415"/>
        <n x="481"/>
      </t>
    </mdx>
    <mdx n="508" f="v">
      <t c="3" si="4">
        <n x="509"/>
        <n x="296"/>
        <n x="483"/>
      </t>
    </mdx>
    <mdx n="508" f="v">
      <t c="3" si="4">
        <n x="509"/>
        <n x="374"/>
        <n x="484"/>
      </t>
    </mdx>
    <mdx n="508" f="v">
      <t c="3" si="4">
        <n x="509"/>
        <n x="11"/>
        <n x="485"/>
      </t>
    </mdx>
    <mdx n="508" f="v">
      <t c="3" si="4">
        <n x="509"/>
        <n x="446"/>
        <n x="486"/>
      </t>
    </mdx>
    <mdx n="508" f="v">
      <t c="3" si="4">
        <n x="509"/>
        <n x="210"/>
        <n x="487"/>
      </t>
    </mdx>
    <mdx n="508" f="v">
      <t c="3" si="4">
        <n x="509"/>
        <n x="427"/>
        <n x="488"/>
      </t>
    </mdx>
    <mdx n="508" f="v">
      <t c="3" si="4">
        <n x="509"/>
        <n x="285"/>
        <n x="482"/>
      </t>
    </mdx>
    <mdx n="508" f="v">
      <t c="3" si="4">
        <n x="509"/>
        <n x="422"/>
        <n x="483"/>
      </t>
    </mdx>
    <mdx n="508" f="v">
      <t c="3" si="4">
        <n x="509"/>
        <n x="79"/>
        <n x="484"/>
      </t>
    </mdx>
    <mdx n="508" f="v">
      <t c="3" si="4">
        <n x="509"/>
        <n x="44"/>
        <n x="485"/>
      </t>
    </mdx>
    <mdx n="508" f="v">
      <t c="3" si="4">
        <n x="509"/>
        <n x="383"/>
        <n x="486"/>
      </t>
    </mdx>
    <mdx n="508" f="v">
      <t c="3" si="4">
        <n x="509"/>
        <n x="201"/>
        <n x="487"/>
      </t>
    </mdx>
    <mdx n="508" f="v">
      <t c="3" si="4">
        <n x="509"/>
        <n x="99"/>
        <n x="479"/>
      </t>
    </mdx>
    <mdx n="508" f="v">
      <t c="3" si="4">
        <n x="509"/>
        <n x="244"/>
        <n x="482"/>
      </t>
    </mdx>
    <mdx n="508" f="v">
      <t c="3" si="4">
        <n x="509"/>
        <n x="325"/>
        <n x="483"/>
      </t>
    </mdx>
    <mdx n="508" f="v">
      <t c="3" si="4">
        <n x="509"/>
        <n x="409"/>
        <n x="484"/>
      </t>
    </mdx>
    <mdx n="508" f="v">
      <t c="3" si="4">
        <n x="509"/>
        <n x="403"/>
        <n x="485"/>
      </t>
    </mdx>
    <mdx n="508" f="v">
      <t c="3" si="4">
        <n x="509"/>
        <n x="83"/>
        <n x="487"/>
      </t>
    </mdx>
    <mdx n="508" f="v">
      <t c="3" si="4">
        <n x="509"/>
        <n x="377"/>
        <n x="488"/>
      </t>
    </mdx>
    <mdx n="508" f="v">
      <t c="3" si="4">
        <n x="509"/>
        <n x="88"/>
        <n x="489"/>
      </t>
    </mdx>
    <mdx n="508" f="v">
      <t c="3" si="4">
        <n x="509"/>
        <n x="14"/>
        <n x="479"/>
      </t>
    </mdx>
    <mdx n="508" f="v">
      <t c="3" si="4">
        <n x="509"/>
        <n x="390"/>
        <n x="482"/>
      </t>
    </mdx>
    <mdx n="508" f="v">
      <t c="3" si="4">
        <n x="509"/>
        <n x="10"/>
        <n x="483"/>
      </t>
    </mdx>
    <mdx n="508" f="v">
      <t c="3" si="4">
        <n x="509"/>
        <n x="122"/>
        <n x="484"/>
      </t>
    </mdx>
    <mdx n="508" f="v">
      <t c="3" si="4">
        <n x="509"/>
        <n x="111"/>
        <n x="485"/>
      </t>
    </mdx>
    <mdx n="508" f="v">
      <t c="3" si="4">
        <n x="509"/>
        <n x="258"/>
        <n x="487"/>
      </t>
    </mdx>
    <mdx n="508" f="v">
      <t c="3" si="4">
        <n x="509"/>
        <n x="59"/>
        <n x="488"/>
      </t>
    </mdx>
    <mdx n="508" f="v">
      <t c="3" si="4">
        <n x="509"/>
        <n x="144"/>
        <n x="489"/>
      </t>
    </mdx>
    <mdx n="508" f="v">
      <t c="3" si="4">
        <n x="509"/>
        <n x="307"/>
        <n x="481"/>
      </t>
    </mdx>
    <mdx n="508" f="v">
      <t c="3" si="4">
        <n x="509"/>
        <n x="258"/>
        <n x="483"/>
      </t>
    </mdx>
    <mdx n="508" f="v">
      <t c="3" si="4">
        <n x="509"/>
        <n x="252"/>
        <n x="484"/>
      </t>
    </mdx>
    <mdx n="508" f="v">
      <t c="3" si="4">
        <n x="509"/>
        <n x="381"/>
        <n x="485"/>
      </t>
    </mdx>
    <mdx n="508" f="v">
      <t c="3" si="4">
        <n x="509"/>
        <n x="413"/>
        <n x="486"/>
      </t>
    </mdx>
    <mdx n="508" f="v">
      <t c="3" si="4">
        <n x="509"/>
        <n x="36"/>
        <n x="487"/>
      </t>
    </mdx>
    <mdx n="508" f="v">
      <t c="3" si="4">
        <n x="509"/>
        <n x="101"/>
        <n x="488"/>
      </t>
    </mdx>
    <mdx n="508" f="v">
      <t c="3" si="4">
        <n x="509"/>
        <n x="42"/>
        <n x="479"/>
      </t>
    </mdx>
    <mdx n="508" f="v">
      <t c="3" si="4">
        <n x="509"/>
        <n x="224"/>
        <n x="482"/>
      </t>
    </mdx>
    <mdx n="508" f="v">
      <t c="3" si="4">
        <n x="509"/>
        <n x="96"/>
        <n x="483"/>
      </t>
    </mdx>
    <mdx n="508" f="v">
      <t c="3" si="4">
        <n x="509"/>
        <n x="228"/>
        <n x="484"/>
      </t>
    </mdx>
    <mdx n="508" f="v">
      <t c="3" si="4">
        <n x="509"/>
        <n x="103"/>
        <n x="485"/>
      </t>
    </mdx>
    <mdx n="508" f="v">
      <t c="3" si="4">
        <n x="509"/>
        <n x="243"/>
        <n x="487"/>
      </t>
    </mdx>
    <mdx n="508" f="v">
      <t c="3" si="4">
        <n x="509"/>
        <n x="348"/>
        <n x="466"/>
      </t>
    </mdx>
    <mdx n="508" f="v">
      <t c="3" si="4">
        <n x="509"/>
        <n x="144"/>
        <n x="479"/>
      </t>
    </mdx>
    <mdx n="508" f="v">
      <t c="3" si="4">
        <n x="509"/>
        <n x="458"/>
        <n x="468"/>
      </t>
    </mdx>
    <mdx n="508" f="v">
      <t c="3" si="4">
        <n x="509"/>
        <n x="9"/>
        <n x="477"/>
      </t>
    </mdx>
    <mdx n="508" f="v">
      <t c="3" si="4">
        <n x="509"/>
        <n x="129"/>
        <n x="476"/>
      </t>
    </mdx>
    <mdx n="508" f="v">
      <t c="3" si="4">
        <n x="509"/>
        <n x="332"/>
        <n x="477"/>
      </t>
    </mdx>
    <mdx n="508" f="v">
      <t c="3" si="4">
        <n x="509"/>
        <n x="93"/>
        <n x="468"/>
      </t>
    </mdx>
    <mdx n="508" f="v">
      <t c="3" si="4">
        <n x="509"/>
        <n x="293"/>
        <n x="476"/>
      </t>
    </mdx>
    <mdx n="508" f="v">
      <t c="3" si="4">
        <n x="509"/>
        <n x="23"/>
        <n x="478"/>
      </t>
    </mdx>
    <mdx n="508" f="v">
      <t c="3" si="4">
        <n x="509"/>
        <n x="164"/>
        <n x="468"/>
      </t>
    </mdx>
    <mdx n="508" f="v">
      <t c="3" si="4">
        <n x="509"/>
        <n x="387"/>
        <n x="477"/>
      </t>
    </mdx>
    <mdx n="508" f="v">
      <t c="3" si="4">
        <n x="509"/>
        <n x="151"/>
        <n x="478"/>
      </t>
    </mdx>
    <mdx n="508" f="v">
      <t c="3" si="4">
        <n x="509"/>
        <n x="435"/>
        <n x="471"/>
      </t>
    </mdx>
    <mdx n="508" f="v">
      <t c="3" si="4">
        <n x="509"/>
        <n x="194"/>
        <n x="468"/>
      </t>
    </mdx>
    <mdx n="508" f="v">
      <t c="3" si="4">
        <n x="509"/>
        <n x="295"/>
        <n x="476"/>
      </t>
    </mdx>
    <mdx n="508" f="v">
      <t c="3" si="4">
        <n x="509"/>
        <n x="82"/>
        <n x="477"/>
      </t>
    </mdx>
    <mdx n="508" f="v">
      <t c="3" si="4">
        <n x="509"/>
        <n x="248"/>
        <n x="478"/>
      </t>
    </mdx>
    <mdx n="508" f="v">
      <t c="3" si="4">
        <n x="509"/>
        <n x="133"/>
        <n x="466"/>
      </t>
    </mdx>
    <mdx n="508" f="v">
      <t c="3" si="4">
        <n x="509"/>
        <n x="386"/>
        <n x="476"/>
      </t>
    </mdx>
    <mdx n="508" f="v">
      <t c="3" si="4">
        <n x="509"/>
        <n x="62"/>
        <n x="477"/>
      </t>
    </mdx>
    <mdx n="508" f="v">
      <t c="3" si="4">
        <n x="509"/>
        <n x="141"/>
        <n x="478"/>
      </t>
    </mdx>
    <mdx n="508" f="v">
      <t c="3" si="4">
        <n x="509"/>
        <n x="32"/>
        <n x="468"/>
      </t>
    </mdx>
    <mdx n="508" f="v">
      <t c="3" si="4">
        <n x="509"/>
        <n x="304"/>
        <n x="476"/>
      </t>
    </mdx>
    <mdx n="508" f="v">
      <t c="3" si="4">
        <n x="509"/>
        <n x="170"/>
        <n x="477"/>
      </t>
    </mdx>
    <mdx n="508" f="v">
      <t c="3" si="4">
        <n x="509"/>
        <n x="396"/>
        <n x="478"/>
      </t>
    </mdx>
    <mdx n="508" f="v">
      <t c="3" si="4">
        <n x="509"/>
        <n x="326"/>
        <n x="2"/>
      </t>
    </mdx>
    <mdx n="508" f="v">
      <t c="3" si="4">
        <n x="509"/>
        <n x="135"/>
        <n x="471"/>
      </t>
    </mdx>
    <mdx n="508" f="v">
      <t c="3" si="4">
        <n x="509"/>
        <n x="71"/>
        <n x="479"/>
      </t>
    </mdx>
    <mdx n="508" f="v">
      <t c="3" si="4">
        <n x="509"/>
        <n x="105"/>
        <n x="480"/>
      </t>
    </mdx>
    <mdx n="508" f="v">
      <t c="3" si="4">
        <n x="509"/>
        <n x="436"/>
        <n x="468"/>
      </t>
    </mdx>
    <mdx n="508" f="v">
      <t c="3" si="4">
        <n x="509"/>
        <n x="121"/>
        <n x="471"/>
      </t>
    </mdx>
    <mdx n="508" f="v">
      <t c="3" si="4">
        <n x="509"/>
        <n x="77"/>
        <n x="479"/>
      </t>
    </mdx>
    <mdx n="508" f="v">
      <t c="3" si="4">
        <n x="509"/>
        <n x="293"/>
        <n x="480"/>
      </t>
    </mdx>
    <mdx n="508" f="v">
      <t c="3" si="4">
        <n x="509"/>
        <n x="218"/>
        <n x="468"/>
      </t>
    </mdx>
    <mdx n="508" f="v">
      <t c="3" si="4">
        <n x="509"/>
        <n x="235"/>
        <n x="471"/>
      </t>
    </mdx>
    <mdx n="508" f="v">
      <t c="3" si="4">
        <n x="509"/>
        <n x="316"/>
        <n x="479"/>
      </t>
    </mdx>
    <mdx n="508" f="v">
      <t c="3" si="4">
        <n x="509"/>
        <n x="81"/>
        <n x="480"/>
      </t>
    </mdx>
    <mdx n="508" f="v">
      <t c="3" si="4">
        <n x="509"/>
        <n x="139"/>
        <n x="477"/>
      </t>
    </mdx>
    <mdx n="508" f="v">
      <t c="3" si="4">
        <n x="509"/>
        <n x="312"/>
        <n x="471"/>
      </t>
    </mdx>
    <mdx n="508" f="v">
      <t c="3" si="4">
        <n x="509"/>
        <n x="80"/>
        <n x="479"/>
      </t>
    </mdx>
    <mdx n="508" f="v">
      <t c="3" si="4">
        <n x="509"/>
        <n x="420"/>
        <n x="481"/>
      </t>
    </mdx>
    <mdx n="508" f="v">
      <t c="3" si="4">
        <n x="509"/>
        <n x="429"/>
        <n x="477"/>
      </t>
    </mdx>
    <mdx n="508" f="v">
      <t c="3" si="4">
        <n x="509"/>
        <n x="99"/>
        <n x="471"/>
      </t>
    </mdx>
    <mdx n="508" f="v">
      <t c="3" si="4">
        <n x="509"/>
        <n x="452"/>
        <n x="480"/>
      </t>
    </mdx>
    <mdx n="508" f="v">
      <t c="3" si="4">
        <n x="509"/>
        <n x="270"/>
        <n x="481"/>
      </t>
    </mdx>
    <mdx n="508" f="v">
      <t c="3" si="4">
        <n x="509"/>
        <n x="368"/>
        <n x="470"/>
      </t>
    </mdx>
    <mdx n="508" f="v">
      <t c="3" si="4">
        <n x="509"/>
        <n x="346"/>
        <n x="1"/>
      </t>
    </mdx>
    <mdx n="508" f="v">
      <t c="3" si="4">
        <n x="509"/>
        <n x="68"/>
        <n x="466"/>
      </t>
    </mdx>
    <mdx n="508" f="v">
      <t c="3" si="4">
        <n x="509"/>
        <n x="303"/>
        <n x="5"/>
      </t>
    </mdx>
    <mdx n="508" f="v">
      <t c="3" si="4">
        <n x="509"/>
        <n x="43"/>
        <n x="466"/>
      </t>
    </mdx>
    <mdx n="508" f="v">
      <t c="3" si="4">
        <n x="509"/>
        <n x="95"/>
        <n x="468"/>
      </t>
    </mdx>
    <mdx n="508" f="v">
      <t c="3" si="4">
        <n x="509"/>
        <n x="415"/>
        <n x="476"/>
      </t>
    </mdx>
    <mdx n="508" f="v">
      <t c="3" si="4">
        <n x="509"/>
        <n x="296"/>
        <n x="478"/>
      </t>
    </mdx>
    <mdx n="508" f="v">
      <t c="3" si="4">
        <n x="509"/>
        <n x="183"/>
        <n x="468"/>
      </t>
    </mdx>
    <mdx n="508" f="v">
      <t c="3" si="4">
        <n x="509"/>
        <n x="331"/>
        <n x="476"/>
      </t>
    </mdx>
    <mdx n="508" f="v">
      <t c="3" si="4">
        <n x="509"/>
        <n x="190"/>
        <n x="478"/>
      </t>
    </mdx>
    <mdx n="508" f="v">
      <t c="3" si="4">
        <n x="509"/>
        <n x="225"/>
        <n x="468"/>
      </t>
    </mdx>
    <mdx n="508" f="v">
      <t c="3" si="4">
        <n x="509"/>
        <n x="314"/>
        <n x="476"/>
      </t>
    </mdx>
    <mdx n="508" f="v">
      <t c="3" si="4">
        <n x="509"/>
        <n x="78"/>
        <n x="477"/>
      </t>
    </mdx>
    <mdx n="508" f="v">
      <t c="3" si="4">
        <n x="509"/>
        <n x="308"/>
        <n x="468"/>
      </t>
    </mdx>
    <mdx n="508" f="v">
      <t c="3" si="4">
        <n x="509"/>
        <n x="268"/>
        <n x="476"/>
      </t>
    </mdx>
    <mdx n="508" f="v">
      <t c="3" si="4">
        <n x="509"/>
        <n x="249"/>
        <n x="477"/>
      </t>
    </mdx>
    <mdx n="508" f="v">
      <t c="3" si="4">
        <n x="509"/>
        <n x="201"/>
        <n x="471"/>
      </t>
    </mdx>
    <mdx n="508" f="v">
      <t c="3" si="4">
        <n x="509"/>
        <n x="459"/>
        <n x="468"/>
      </t>
    </mdx>
    <mdx n="508" f="v">
      <t c="3" si="4">
        <n x="509"/>
        <n x="351"/>
        <n x="476"/>
      </t>
    </mdx>
    <mdx n="508" f="v">
      <t c="3" si="4">
        <n x="509"/>
        <n x="149"/>
        <n x="477"/>
      </t>
    </mdx>
    <mdx n="508" f="v">
      <t c="3" si="4">
        <n x="509"/>
        <n x="224"/>
        <n x="478"/>
      </t>
    </mdx>
    <mdx n="508" f="v">
      <t c="3" si="4">
        <n x="509"/>
        <n x="331"/>
        <n x="468"/>
      </t>
    </mdx>
    <mdx n="508" f="v">
      <t c="3" si="4">
        <n x="509"/>
        <n x="33"/>
        <n x="477"/>
      </t>
    </mdx>
    <mdx n="508" f="v">
      <t c="3" si="4">
        <n x="509"/>
        <n x="359"/>
        <n x="478"/>
      </t>
    </mdx>
    <mdx n="508" f="v">
      <t c="3" si="4">
        <n x="509"/>
        <n x="114"/>
        <n x="468"/>
      </t>
    </mdx>
    <mdx n="508" f="v">
      <t c="3" si="4">
        <n x="509"/>
        <n x="235"/>
        <n x="477"/>
      </t>
    </mdx>
    <mdx n="508" f="v">
      <t c="3" si="4">
        <n x="509"/>
        <n x="167"/>
        <n x="478"/>
      </t>
    </mdx>
    <mdx n="508" f="v">
      <t c="3" si="4">
        <n x="509"/>
        <n x="176"/>
        <n x="471"/>
      </t>
    </mdx>
    <mdx n="508" f="v">
      <t c="3" si="4">
        <n x="509"/>
        <n x="57"/>
        <n x="471"/>
      </t>
    </mdx>
    <mdx n="508" f="v">
      <t c="3" si="4">
        <n x="509"/>
        <n x="335"/>
        <n x="479"/>
      </t>
    </mdx>
    <mdx n="508" f="v">
      <t c="3" si="4">
        <n x="509"/>
        <n x="349"/>
        <n x="480"/>
      </t>
    </mdx>
    <mdx n="508" f="v">
      <t c="3" si="4">
        <n x="509"/>
        <n x="237"/>
        <n x="481"/>
      </t>
    </mdx>
    <mdx n="508" f="v">
      <t c="3" si="4">
        <n x="509"/>
        <n x="422"/>
        <n x="471"/>
      </t>
    </mdx>
    <mdx n="508" f="v">
      <t c="3" si="4">
        <n x="509"/>
        <n x="52"/>
        <n x="479"/>
      </t>
    </mdx>
    <mdx n="508" f="v">
      <t c="3" si="4">
        <n x="509"/>
        <n x="408"/>
        <n x="480"/>
      </t>
    </mdx>
    <mdx n="508" f="v">
      <t c="3" si="4">
        <n x="509"/>
        <n x="108"/>
        <n x="481"/>
      </t>
    </mdx>
    <mdx n="508" f="v">
      <t c="3" si="4">
        <n x="509"/>
        <n x="42"/>
        <n x="471"/>
      </t>
    </mdx>
    <mdx n="508" f="v">
      <t c="3" si="4">
        <n x="509"/>
        <n x="280"/>
        <n x="479"/>
      </t>
    </mdx>
    <mdx n="508" f="v">
      <t c="3" si="4">
        <n x="509"/>
        <n x="149"/>
        <n x="480"/>
      </t>
    </mdx>
    <mdx n="508" f="v">
      <t c="3" si="4">
        <n x="509"/>
        <n x="85"/>
        <n x="466"/>
      </t>
    </mdx>
    <mdx n="508" f="v">
      <t c="3" si="4">
        <n x="509"/>
        <n x="407"/>
        <n x="471"/>
      </t>
    </mdx>
    <mdx n="508" f="v">
      <t c="3" si="4">
        <n x="509"/>
        <n x="48"/>
        <n x="479"/>
      </t>
    </mdx>
    <mdx n="508" f="v">
      <t c="3" si="4">
        <n x="509"/>
        <n x="53"/>
        <n x="480"/>
      </t>
    </mdx>
    <mdx n="508" f="v">
      <t c="3" si="4">
        <n x="509"/>
        <n x="44"/>
        <n x="468"/>
      </t>
    </mdx>
    <mdx n="508" f="v">
      <t c="3" si="4">
        <n x="509"/>
        <n x="129"/>
        <n x="471"/>
      </t>
    </mdx>
    <mdx n="508" f="v">
      <t c="3" si="4">
        <n x="509"/>
        <n x="261"/>
        <n x="479"/>
      </t>
    </mdx>
    <mdx n="508" f="v">
      <t c="3" si="4">
        <n x="509"/>
        <n x="135"/>
        <n x="480"/>
      </t>
    </mdx>
    <mdx n="508" f="v">
      <t c="3" si="4">
        <n x="509"/>
        <n x="349"/>
        <n x="468"/>
      </t>
    </mdx>
    <mdx n="508" f="v">
      <t c="3" si="4">
        <n x="509"/>
        <n x="30"/>
        <n x="467"/>
      </t>
    </mdx>
    <mdx n="508" f="v">
      <t c="3" si="4">
        <n x="509"/>
        <n x="464"/>
        <n x="472"/>
      </t>
    </mdx>
    <mdx n="508" f="v">
      <t c="3" si="4">
        <n x="509"/>
        <n x="352"/>
        <n x="470"/>
      </t>
    </mdx>
    <mdx n="508" f="v">
      <t c="3" si="4">
        <n x="509"/>
        <n x="262"/>
        <n x="466"/>
      </t>
    </mdx>
    <mdx n="508" f="v">
      <t c="3" si="4">
        <n x="509"/>
        <n x="27"/>
        <n x="468"/>
      </t>
    </mdx>
    <mdx n="508" f="v">
      <t c="3" si="4">
        <n x="509"/>
        <n x="291"/>
        <n x="476"/>
      </t>
    </mdx>
    <mdx n="508" f="v">
      <t c="3" si="4">
        <n x="509"/>
        <n x="371"/>
        <n x="477"/>
      </t>
    </mdx>
    <mdx n="508" f="v">
      <t c="3" si="4">
        <n x="509"/>
        <n x="127"/>
        <n x="478"/>
      </t>
    </mdx>
    <mdx n="508" f="v">
      <t c="3" si="4">
        <n x="509"/>
        <n x="391"/>
        <n x="468"/>
      </t>
    </mdx>
    <mdx n="508" f="v">
      <t c="3" si="4">
        <n x="509"/>
        <n x="441"/>
        <n x="476"/>
      </t>
    </mdx>
    <mdx n="508" f="v">
      <t c="3" si="4">
        <n x="509"/>
        <n x="445"/>
        <n x="477"/>
      </t>
    </mdx>
    <mdx n="508" f="v">
      <t c="3" si="4">
        <n x="509"/>
        <n x="148"/>
        <n x="468"/>
      </t>
    </mdx>
    <mdx n="508" f="v">
      <t c="3" si="4">
        <n x="509"/>
        <n x="68"/>
        <n x="476"/>
      </t>
    </mdx>
    <mdx n="508" f="v">
      <t c="3" si="4">
        <n x="509"/>
        <n x="302"/>
        <n x="477"/>
      </t>
    </mdx>
    <mdx n="508" f="v">
      <t c="3" si="4">
        <n x="509"/>
        <n x="351"/>
        <n x="468"/>
      </t>
    </mdx>
    <mdx n="508" f="v">
      <t c="3" si="4">
        <n x="509"/>
        <n x="394"/>
        <n x="476"/>
      </t>
    </mdx>
    <mdx n="508" f="v">
      <t c="3" si="4">
        <n x="509"/>
        <n x="317"/>
        <n x="477"/>
      </t>
    </mdx>
    <mdx n="508" f="v">
      <t c="3" si="4">
        <n x="509"/>
        <n x="181"/>
        <n x="478"/>
      </t>
    </mdx>
    <mdx n="508" f="v">
      <t c="3" si="4">
        <n x="509"/>
        <n x="105"/>
        <n x="468"/>
      </t>
    </mdx>
    <mdx n="508" f="v">
      <t c="3" si="4">
        <n x="509"/>
        <n x="81"/>
        <n x="476"/>
      </t>
    </mdx>
    <mdx n="508" f="v">
      <t c="3" si="4">
        <n x="509"/>
        <n x="415"/>
        <n x="477"/>
      </t>
    </mdx>
    <mdx n="508" f="v">
      <t c="3" si="4">
        <n x="509"/>
        <n x="372"/>
        <n x="471"/>
      </t>
    </mdx>
    <mdx n="508" f="v">
      <t c="3" si="4">
        <n x="509"/>
        <n x="24"/>
        <n x="476"/>
      </t>
    </mdx>
    <mdx n="508" f="v">
      <t c="3" si="4">
        <n x="509"/>
        <n x="343"/>
        <n x="477"/>
      </t>
    </mdx>
    <mdx n="508" f="v">
      <t c="3" si="4">
        <n x="509"/>
        <n x="392"/>
        <n x="478"/>
      </t>
    </mdx>
    <mdx n="508" f="v">
      <t c="3" si="4">
        <n x="509"/>
        <n x="345"/>
        <n x="468"/>
      </t>
    </mdx>
    <mdx n="508" f="v">
      <t c="3" si="4">
        <n x="509"/>
        <n x="166"/>
        <n x="476"/>
      </t>
    </mdx>
    <mdx n="508" f="v">
      <t c="3" si="4">
        <n x="509"/>
        <n x="358"/>
        <n x="477"/>
      </t>
    </mdx>
    <mdx n="508" f="v">
      <t c="3" si="4">
        <n x="509"/>
        <n x="96"/>
        <n x="478"/>
      </t>
    </mdx>
    <mdx n="508" f="v">
      <t c="3" si="4">
        <n x="509"/>
        <n x="463"/>
        <n x="477"/>
      </t>
    </mdx>
    <mdx n="508" f="v">
      <t c="3" si="4">
        <n x="509"/>
        <n x="100"/>
        <n x="471"/>
      </t>
    </mdx>
    <mdx n="508" f="v">
      <t c="3" si="4">
        <n x="509"/>
        <n x="289"/>
        <n x="480"/>
      </t>
    </mdx>
    <mdx n="508" f="v">
      <t c="3" si="4">
        <n x="509"/>
        <n x="364"/>
        <n x="481"/>
      </t>
    </mdx>
    <mdx n="508" f="v">
      <t c="3" si="4">
        <n x="509"/>
        <n x="88"/>
        <n x="478"/>
      </t>
    </mdx>
    <mdx n="508" f="v">
      <t c="3" si="4">
        <n x="509"/>
        <n x="73"/>
        <n x="479"/>
      </t>
    </mdx>
    <mdx n="508" f="v">
      <t c="3" si="4">
        <n x="509"/>
        <n x="187"/>
        <n x="480"/>
      </t>
    </mdx>
    <mdx n="508" f="v">
      <t c="3" si="4">
        <n x="509"/>
        <n x="234"/>
        <n x="481"/>
      </t>
    </mdx>
    <mdx n="508" f="v">
      <t c="3" si="4">
        <n x="509"/>
        <n x="318"/>
        <n x="478"/>
      </t>
    </mdx>
    <mdx n="508" f="v">
      <t c="3" si="4">
        <n x="509"/>
        <n x="460"/>
        <n x="479"/>
      </t>
    </mdx>
    <mdx n="508" f="v">
      <t c="3" si="4">
        <n x="509"/>
        <n x="459"/>
        <n x="480"/>
      </t>
    </mdx>
    <mdx n="508" f="v">
      <t c="3" si="4">
        <n x="509"/>
        <n x="137"/>
        <n x="481"/>
      </t>
    </mdx>
    <mdx n="508" f="v">
      <t c="3" si="4">
        <n x="509"/>
        <n x="328"/>
        <n x="478"/>
      </t>
    </mdx>
    <mdx n="508" f="v">
      <t c="3" si="4">
        <n x="509"/>
        <n x="321"/>
        <n x="479"/>
      </t>
    </mdx>
    <mdx n="508" f="v">
      <t c="3" si="4">
        <n x="509"/>
        <n x="11"/>
        <n x="480"/>
      </t>
    </mdx>
    <mdx n="508" f="v">
      <t c="3" si="4">
        <n x="509"/>
        <n x="391"/>
        <n x="481"/>
      </t>
    </mdx>
    <mdx n="508" f="v">
      <t c="3" si="4">
        <n x="509"/>
        <n x="195"/>
        <n x="478"/>
      </t>
    </mdx>
    <mdx n="508" f="v">
      <t c="3" si="4">
        <n x="509"/>
        <n x="212"/>
        <n x="479"/>
      </t>
    </mdx>
    <mdx n="508" f="v">
      <t c="3" si="4">
        <n x="509"/>
        <n x="189"/>
        <n x="480"/>
      </t>
    </mdx>
    <mdx n="508" f="v">
      <t c="3" si="4">
        <n x="509"/>
        <n x="282"/>
        <n x="481"/>
      </t>
    </mdx>
    <mdx n="508" f="v">
      <t c="3" si="4">
        <n x="509"/>
        <n x="35"/>
        <n x="478"/>
      </t>
    </mdx>
    <mdx n="508" f="v">
      <t c="3" si="4">
        <n x="509"/>
        <n x="252"/>
        <n x="479"/>
      </t>
    </mdx>
    <mdx n="508" f="v">
      <t c="3" si="4">
        <n x="509"/>
        <n x="150"/>
        <n x="480"/>
      </t>
    </mdx>
    <mdx n="508" f="v">
      <t c="3" si="4">
        <n x="509"/>
        <n x="359"/>
        <n x="468"/>
      </t>
    </mdx>
    <mdx n="508" f="v">
      <t c="3" si="4">
        <n x="509"/>
        <n x="222"/>
        <n x="468"/>
      </t>
    </mdx>
    <mdx n="508" f="v">
      <t c="3" si="4">
        <n x="509"/>
        <n x="180"/>
        <n x="466"/>
      </t>
    </mdx>
    <mdx n="508" f="v">
      <t c="3" si="4">
        <n x="509"/>
        <n x="373"/>
        <n x="481"/>
      </t>
    </mdx>
    <mdx n="508" f="v">
      <t c="3" si="4">
        <n x="509"/>
        <n x="200"/>
        <n x="468"/>
      </t>
    </mdx>
    <mdx n="508" f="v">
      <t c="3" si="4">
        <n x="509"/>
        <n x="120"/>
        <n x="480"/>
      </t>
    </mdx>
    <mdx n="508" f="v">
      <t c="3" si="4">
        <n x="509"/>
        <n x="11"/>
        <n x="479"/>
      </t>
    </mdx>
    <mdx n="508" f="v">
      <t c="3" si="4">
        <n x="509"/>
        <n x="96"/>
        <n x="480"/>
      </t>
    </mdx>
    <mdx n="508" f="v">
      <t c="3" si="4">
        <n x="509"/>
        <n x="55"/>
        <n x="466"/>
      </t>
    </mdx>
    <mdx n="508" f="v">
      <t c="3" si="4">
        <n x="509"/>
        <n x="333"/>
        <n x="471"/>
      </t>
    </mdx>
    <mdx n="508" f="v">
      <t c="3" si="4">
        <n x="509"/>
        <n x="183"/>
        <n x="479"/>
      </t>
    </mdx>
    <mdx n="508" f="v">
      <t c="3" si="4">
        <n x="509"/>
        <n x="61"/>
        <n x="480"/>
      </t>
    </mdx>
    <mdx n="508" f="v">
      <t c="3" si="4">
        <n x="509"/>
        <n x="320"/>
        <n x="471"/>
      </t>
    </mdx>
    <mdx n="508" f="v">
      <t c="3" si="4">
        <n x="509"/>
        <n x="282"/>
        <n x="482"/>
      </t>
    </mdx>
    <mdx n="508" f="v">
      <t c="3" si="4">
        <n x="509"/>
        <n x="363"/>
        <n x="483"/>
      </t>
    </mdx>
    <mdx n="508" f="v">
      <t c="3" si="4">
        <n x="509"/>
        <n x="77"/>
        <n x="484"/>
      </t>
    </mdx>
    <mdx n="508" f="v">
      <t c="3" si="4">
        <n x="509"/>
        <n x="362"/>
        <n x="485"/>
      </t>
    </mdx>
    <mdx n="508" f="v">
      <t c="3" si="4">
        <n x="509"/>
        <n x="437"/>
        <n x="487"/>
      </t>
    </mdx>
    <mdx n="508" f="v">
      <t c="3" si="4">
        <n x="509"/>
        <n x="423"/>
        <n x="488"/>
      </t>
    </mdx>
    <mdx n="508" f="v">
      <t c="3" si="4">
        <n x="509"/>
        <n x="348"/>
        <n x="489"/>
      </t>
    </mdx>
    <mdx n="508" f="v">
      <t c="3" si="4">
        <n x="509"/>
        <n x="56"/>
        <n x="482"/>
      </t>
    </mdx>
    <mdx n="508" f="v">
      <t c="3" si="4">
        <n x="509"/>
        <n x="418"/>
        <n x="483"/>
      </t>
    </mdx>
    <mdx n="508" f="v">
      <t c="3" si="4">
        <n x="509"/>
        <n x="361"/>
        <n x="484"/>
      </t>
    </mdx>
    <mdx n="508" f="v">
      <t c="3" si="4">
        <n x="509"/>
        <n x="181"/>
        <n x="485"/>
      </t>
    </mdx>
    <mdx n="508" f="v">
      <t c="3" si="4">
        <n x="509"/>
        <n x="283"/>
        <n x="486"/>
      </t>
    </mdx>
    <mdx n="508" f="v">
      <t c="3" si="4">
        <n x="509"/>
        <n x="137"/>
        <n x="487"/>
      </t>
    </mdx>
    <mdx n="508" f="v">
      <t c="3" si="4">
        <n x="509"/>
        <n x="329"/>
        <n x="478"/>
      </t>
    </mdx>
    <mdx n="508" f="v">
      <t c="3" si="4">
        <n x="509"/>
        <n x="147"/>
        <n x="482"/>
      </t>
    </mdx>
    <mdx n="508" f="v">
      <t c="3" si="4">
        <n x="509"/>
        <n x="180"/>
        <n x="483"/>
      </t>
    </mdx>
    <mdx n="508" f="v">
      <t c="3" si="4">
        <n x="509"/>
        <n x="278"/>
        <n x="484"/>
      </t>
    </mdx>
    <mdx n="508" f="v">
      <t c="3" si="4">
        <n x="509"/>
        <n x="195"/>
        <n x="485"/>
      </t>
    </mdx>
    <mdx n="508" f="v">
      <t c="3" si="4">
        <n x="509"/>
        <n x="228"/>
        <n x="486"/>
      </t>
    </mdx>
    <mdx n="508" f="v">
      <t c="3" si="4">
        <n x="509"/>
        <n x="57"/>
        <n x="488"/>
      </t>
    </mdx>
    <mdx n="508" f="v">
      <t c="3" si="4">
        <n x="509"/>
        <n x="367"/>
        <n x="480"/>
      </t>
    </mdx>
    <mdx n="508" f="v">
      <t c="3" si="4">
        <n x="509"/>
        <n x="278"/>
        <n x="482"/>
      </t>
    </mdx>
    <mdx n="508" f="v">
      <t c="3" si="4">
        <n x="509"/>
        <n x="172"/>
        <n x="483"/>
      </t>
    </mdx>
    <mdx n="508" f="v">
      <t c="3" si="4">
        <n x="509"/>
        <n x="16"/>
        <n x="484"/>
      </t>
    </mdx>
    <mdx n="508" f="v">
      <t c="3" si="4">
        <n x="509"/>
        <n x="403"/>
        <n x="486"/>
      </t>
    </mdx>
    <mdx n="508" f="v">
      <t c="3" si="4">
        <n x="509"/>
        <n x="98"/>
        <n x="487"/>
      </t>
    </mdx>
    <mdx n="508" f="v">
      <t c="3" si="4">
        <n x="509"/>
        <n x="38"/>
        <n x="488"/>
      </t>
    </mdx>
    <mdx n="508" f="v">
      <t c="3" si="4">
        <n x="509"/>
        <n x="181"/>
        <n x="489"/>
      </t>
    </mdx>
    <mdx n="508" f="v">
      <t c="3" si="4">
        <n x="509"/>
        <n x="102"/>
        <n x="480"/>
      </t>
    </mdx>
    <mdx n="508" f="v">
      <t c="3" si="4">
        <n x="509"/>
        <n x="405"/>
        <n x="482"/>
      </t>
    </mdx>
    <mdx n="508" f="v">
      <t c="3" si="4">
        <n x="509"/>
        <n x="67"/>
        <n x="483"/>
      </t>
    </mdx>
    <mdx n="508" f="v">
      <t c="3" si="4">
        <n x="509"/>
        <n x="3"/>
        <n x="484"/>
      </t>
    </mdx>
    <mdx n="508" f="v">
      <t c="3" si="4">
        <n x="509"/>
        <n x="364"/>
        <n x="486"/>
      </t>
    </mdx>
    <mdx n="508" f="v">
      <t c="3" si="4">
        <n x="509"/>
        <n x="45"/>
        <n x="487"/>
      </t>
    </mdx>
    <mdx n="508" f="v">
      <t c="3" si="4">
        <n x="509"/>
        <n x="129"/>
        <n x="488"/>
      </t>
    </mdx>
    <mdx n="508" f="v">
      <t c="3" si="4">
        <n x="509"/>
        <n x="255"/>
        <n x="489"/>
      </t>
    </mdx>
    <mdx n="508" f="v">
      <t c="3" si="4">
        <n x="509"/>
        <n x="286"/>
        <n x="482"/>
      </t>
    </mdx>
    <mdx n="508" f="v">
      <t c="3" si="4">
        <n x="509"/>
        <n x="94"/>
        <n x="483"/>
      </t>
    </mdx>
    <mdx n="508" f="v">
      <t c="3" si="4">
        <n x="509"/>
        <n x="314"/>
        <n x="484"/>
      </t>
    </mdx>
    <mdx n="508" f="v">
      <t c="3" si="4">
        <n x="509"/>
        <n x="29"/>
        <n x="486"/>
      </t>
    </mdx>
    <mdx n="508" f="v">
      <t c="3" si="4">
        <n x="509"/>
        <n x="63"/>
        <n x="487"/>
      </t>
    </mdx>
    <mdx n="508" f="v">
      <t c="3" si="4">
        <n x="509"/>
        <n x="352"/>
        <n x="488"/>
      </t>
    </mdx>
    <mdx n="508" f="v">
      <t c="3" si="4">
        <n x="509"/>
        <n x="66"/>
        <n x="480"/>
      </t>
    </mdx>
    <mdx n="508" f="v">
      <t c="3" si="4">
        <n x="509"/>
        <n x="126"/>
        <n x="482"/>
      </t>
    </mdx>
    <mdx n="508" f="v">
      <t c="3" si="4">
        <n x="509"/>
        <n x="451"/>
        <n x="483"/>
      </t>
    </mdx>
    <mdx n="508" f="v">
      <t c="3" si="4">
        <n x="509"/>
        <n x="63"/>
        <n x="485"/>
      </t>
    </mdx>
    <mdx n="508" f="v">
      <t c="3" si="4">
        <n x="509"/>
        <n x="190"/>
        <n x="486"/>
      </t>
    </mdx>
    <mdx n="508" f="v">
      <t c="3" si="4">
        <n x="509"/>
        <n x="246"/>
        <n x="487"/>
      </t>
    </mdx>
    <mdx n="508" f="v">
      <t c="3" si="4">
        <n x="509"/>
        <n x="90"/>
        <n x="466"/>
      </t>
    </mdx>
    <mdx n="508" f="v">
      <t c="3" si="4">
        <n x="509"/>
        <n x="315"/>
        <n x="477"/>
      </t>
    </mdx>
    <mdx n="508" f="v">
      <t c="3" si="4">
        <n x="509"/>
        <n x="383"/>
        <n x="477"/>
      </t>
    </mdx>
    <mdx n="508" f="v">
      <t c="3" si="4">
        <n x="509"/>
        <n x="272"/>
        <n x="477"/>
      </t>
    </mdx>
    <mdx n="508" f="v">
      <t c="3" si="4">
        <n x="509"/>
        <n x="166"/>
        <n x="477"/>
      </t>
    </mdx>
    <mdx n="508" f="v">
      <t c="3" si="4">
        <n x="509"/>
        <n x="353"/>
        <n x="479"/>
      </t>
    </mdx>
    <mdx n="508" f="v">
      <t c="3" si="4">
        <n x="509"/>
        <n x="67"/>
        <n x="479"/>
      </t>
    </mdx>
    <mdx n="508" f="v">
      <t c="3" si="4">
        <n x="509"/>
        <n x="433"/>
        <n x="481"/>
      </t>
    </mdx>
    <mdx n="508" f="v">
      <t c="3" si="4">
        <n x="509"/>
        <n x="405"/>
        <n x="479"/>
      </t>
    </mdx>
    <mdx n="508" f="v">
      <t c="3" si="4">
        <n x="509"/>
        <n x="372"/>
        <n x="481"/>
      </t>
    </mdx>
    <mdx n="508" f="v">
      <t c="3" si="4">
        <n x="509"/>
        <n x="399"/>
        <n x="477"/>
      </t>
    </mdx>
    <mdx n="508" f="v">
      <t c="3" si="4">
        <n x="509"/>
        <n x="97"/>
        <n x="471"/>
      </t>
    </mdx>
    <mdx n="508" f="v">
      <t c="3" si="4">
        <n x="509"/>
        <n x="274"/>
        <n x="480"/>
      </t>
    </mdx>
    <mdx n="508" f="v">
      <t c="3" si="4">
        <n x="509"/>
        <n x="168"/>
        <n x="481"/>
      </t>
    </mdx>
    <mdx n="508" f="v">
      <t c="3" si="4">
        <n x="509"/>
        <n x="265"/>
        <n x="481"/>
      </t>
    </mdx>
    <mdx n="508" f="v">
      <t c="3" si="4">
        <n x="509"/>
        <n x="421"/>
        <n x="482"/>
      </t>
    </mdx>
    <mdx n="508" f="v">
      <t c="3" si="4">
        <n x="509"/>
        <n x="229"/>
        <n x="483"/>
      </t>
    </mdx>
    <mdx n="508" f="v">
      <t c="3" si="4">
        <n x="509"/>
        <n x="37"/>
        <n x="485"/>
      </t>
    </mdx>
    <mdx n="508" f="v">
      <t c="3" si="4">
        <n x="509"/>
        <n x="387"/>
        <n x="486"/>
      </t>
    </mdx>
    <mdx n="508" f="v">
      <t c="3" si="4">
        <n x="509"/>
        <n x="276"/>
        <n x="487"/>
      </t>
    </mdx>
    <mdx n="508" f="v">
      <t c="3" si="4">
        <n x="509"/>
        <n x="458"/>
        <n x="488"/>
      </t>
    </mdx>
    <mdx n="508" f="v">
      <t c="3" si="4">
        <n x="509"/>
        <n x="155"/>
        <n x="489"/>
      </t>
    </mdx>
    <mdx n="508" f="v">
      <t c="3" si="4">
        <n x="509"/>
        <n x="184"/>
        <n x="482"/>
      </t>
    </mdx>
    <mdx n="508" f="v">
      <t c="3" si="4">
        <n x="509"/>
        <n x="322"/>
        <n x="483"/>
      </t>
    </mdx>
    <mdx n="508" f="v">
      <t c="3" si="4">
        <n x="509"/>
        <n x="342"/>
        <n x="484"/>
      </t>
    </mdx>
    <mdx n="508" f="v">
      <t c="3" si="4">
        <n x="509"/>
        <n x="48"/>
        <n x="485"/>
      </t>
    </mdx>
    <mdx n="508" f="v">
      <t c="3" si="4">
        <n x="509"/>
        <n x="277"/>
        <n x="486"/>
      </t>
    </mdx>
    <mdx n="508" f="v">
      <t c="3" si="4">
        <n x="509"/>
        <n x="415"/>
        <n x="487"/>
      </t>
    </mdx>
    <mdx n="508" f="v">
      <t c="3" si="4">
        <n x="509"/>
        <n x="306"/>
        <n x="480"/>
      </t>
    </mdx>
    <mdx n="508" f="v">
      <t c="3" si="4">
        <n x="509"/>
        <n x="199"/>
        <n x="482"/>
      </t>
    </mdx>
    <mdx n="508" f="v">
      <t c="3" si="4">
        <n x="509"/>
        <n x="352"/>
        <n x="483"/>
      </t>
    </mdx>
    <mdx n="508" f="v">
      <t c="3" si="4">
        <n x="509"/>
        <n x="103"/>
        <n x="484"/>
      </t>
    </mdx>
    <mdx n="508" f="v">
      <t c="3" si="4">
        <n x="509"/>
        <n x="249"/>
        <n x="486"/>
      </t>
    </mdx>
    <mdx n="508" f="v">
      <t c="3" si="4">
        <n x="509"/>
        <n x="376"/>
        <n x="487"/>
      </t>
    </mdx>
    <mdx n="508" f="v">
      <t c="3" si="4">
        <n x="509"/>
        <n x="417"/>
        <n x="488"/>
      </t>
    </mdx>
    <mdx n="508" f="v">
      <t c="3" si="4">
        <n x="509"/>
        <n x="35"/>
        <n x="481"/>
      </t>
    </mdx>
    <mdx n="508" f="v">
      <t c="3" si="4">
        <n x="509"/>
        <n x="370"/>
        <n x="483"/>
      </t>
    </mdx>
    <mdx n="508" f="v">
      <t c="3" si="4">
        <n x="509"/>
        <n x="84"/>
        <n x="484"/>
      </t>
    </mdx>
    <mdx n="508" f="v">
      <t c="3" si="4">
        <n x="509"/>
        <n x="8"/>
        <n x="485"/>
      </t>
    </mdx>
    <mdx n="508" f="v">
      <t c="3" si="4">
        <n x="509"/>
        <n x="269"/>
        <n x="486"/>
      </t>
    </mdx>
    <mdx n="508" f="v">
      <t c="3" si="4">
        <n x="509"/>
        <n x="461"/>
        <n x="487"/>
      </t>
    </mdx>
    <mdx n="508" f="v">
      <t c="3" si="4">
        <n x="509"/>
        <n x="40"/>
        <n x="488"/>
      </t>
    </mdx>
    <mdx n="508" f="v">
      <t c="3" si="4">
        <n x="509"/>
        <n x="197"/>
        <n x="479"/>
      </t>
    </mdx>
    <mdx n="508" f="v">
      <t c="3" si="4">
        <n x="509"/>
        <n x="82"/>
        <n x="466"/>
      </t>
    </mdx>
    <mdx n="508" f="v">
      <t c="3" si="4">
        <n x="509"/>
        <n x="432"/>
        <n x="466"/>
      </t>
    </mdx>
    <mdx n="508" f="v">
      <t c="3" si="4">
        <n x="509"/>
        <n x="69"/>
        <n x="468"/>
      </t>
    </mdx>
    <mdx n="508" f="v">
      <t c="3" si="4">
        <n x="509"/>
        <n x="148"/>
        <n x="477"/>
      </t>
    </mdx>
    <mdx n="508" f="v">
      <t c="3" si="4">
        <n x="509"/>
        <n x="163"/>
        <n x="468"/>
      </t>
    </mdx>
    <mdx n="508" f="v">
      <t c="3" si="4">
        <n x="509"/>
        <n x="42"/>
        <n x="476"/>
      </t>
    </mdx>
    <mdx n="508" f="v">
      <t c="3" si="4">
        <n x="509"/>
        <n x="372"/>
        <n x="478"/>
      </t>
    </mdx>
    <mdx n="508" f="v">
      <t c="3" si="4">
        <n x="509"/>
        <n x="262"/>
        <n x="468"/>
      </t>
    </mdx>
    <mdx n="508" f="v">
      <t c="3" si="4">
        <n x="509"/>
        <n x="375"/>
        <n x="476"/>
      </t>
    </mdx>
    <mdx n="508" f="v">
      <t c="3" si="4">
        <n x="509"/>
        <n x="153"/>
        <n x="470"/>
      </t>
    </mdx>
    <mdx n="508" f="v">
      <t c="3" si="4">
        <n x="509"/>
        <n x="145"/>
        <n x="476"/>
      </t>
    </mdx>
    <mdx n="508" f="v">
      <t c="3" si="4">
        <n x="509"/>
        <n x="8"/>
        <n x="477"/>
      </t>
    </mdx>
    <mdx n="508" f="v">
      <t c="3" si="4">
        <n x="509"/>
        <n x="125"/>
        <n x="478"/>
      </t>
    </mdx>
    <mdx n="508" f="v">
      <t c="3" si="4">
        <n x="509"/>
        <n x="415"/>
        <n x="471"/>
      </t>
    </mdx>
    <mdx n="508" f="v">
      <t c="3" si="4">
        <n x="509"/>
        <n x="269"/>
        <n x="468"/>
      </t>
    </mdx>
    <mdx n="508" f="v">
      <t c="3" si="4">
        <n x="509"/>
        <n x="230"/>
        <n x="476"/>
      </t>
    </mdx>
    <mdx n="508" f="v">
      <t c="3" si="4">
        <n x="509"/>
        <n x="254"/>
        <n x="477"/>
      </t>
    </mdx>
    <mdx n="508" f="v">
      <t c="3" si="4">
        <n x="509"/>
        <n x="104"/>
        <n x="478"/>
      </t>
    </mdx>
    <mdx n="508" f="v">
      <t c="3" si="4">
        <n x="509"/>
        <n x="348"/>
        <n x="468"/>
      </t>
    </mdx>
    <mdx n="508" f="v">
      <t c="3" si="4">
        <n x="509"/>
        <n x="206"/>
        <n x="476"/>
      </t>
    </mdx>
    <mdx n="508" f="v">
      <t c="3" si="4">
        <n x="509"/>
        <n x="453"/>
        <n x="477"/>
      </t>
    </mdx>
    <mdx n="508" f="v">
      <t c="3" si="4">
        <n x="509"/>
        <n x="433"/>
        <n x="478"/>
      </t>
    </mdx>
    <mdx n="508" f="v">
      <t c="3" si="4">
        <n x="509"/>
        <n x="46"/>
        <n x="468"/>
      </t>
    </mdx>
    <mdx n="508" f="v">
      <t c="3" si="4">
        <n x="509"/>
        <n x="343"/>
        <n x="476"/>
      </t>
    </mdx>
    <mdx n="508" f="v">
      <t c="3" si="4">
        <n x="509"/>
        <n x="120"/>
        <n x="477"/>
      </t>
    </mdx>
    <mdx n="508" f="v">
      <t c="3" si="4">
        <n x="509"/>
        <n x="342"/>
        <n x="478"/>
      </t>
    </mdx>
    <mdx n="508" f="v">
      <t c="3" si="4">
        <n x="509"/>
        <n x="67"/>
        <n x="468"/>
      </t>
    </mdx>
    <mdx n="508" f="v">
      <t c="3" si="4">
        <n x="509"/>
        <n x="395"/>
        <n x="471"/>
      </t>
    </mdx>
    <mdx n="508" f="v">
      <t c="3" si="4">
        <n x="509"/>
        <n x="142"/>
        <n x="479"/>
      </t>
    </mdx>
    <mdx n="508" f="v">
      <t c="3" si="4">
        <n x="509"/>
        <n x="425"/>
        <n x="480"/>
      </t>
    </mdx>
    <mdx n="508" f="v">
      <t c="3" si="4">
        <n x="509"/>
        <n x="297"/>
        <n x="476"/>
      </t>
    </mdx>
    <mdx n="508" f="v">
      <t c="3" si="4">
        <n x="509"/>
        <n x="16"/>
        <n x="471"/>
      </t>
    </mdx>
    <mdx n="508" f="v">
      <t c="3" si="4">
        <n x="509"/>
        <n x="398"/>
        <n x="479"/>
      </t>
    </mdx>
    <mdx n="508" f="v">
      <t c="3" si="4">
        <n x="509"/>
        <n x="222"/>
        <n x="481"/>
      </t>
    </mdx>
    <mdx n="508" f="v">
      <t c="3" si="4">
        <n x="509"/>
        <n x="329"/>
        <n x="476"/>
      </t>
    </mdx>
    <mdx n="508" f="v">
      <t c="3" si="4">
        <n x="509"/>
        <n x="219"/>
        <n x="471"/>
      </t>
    </mdx>
    <mdx n="508" f="v">
      <t c="3" si="4">
        <n x="509"/>
        <n x="253"/>
        <n x="479"/>
      </t>
    </mdx>
    <mdx n="508" f="v">
      <t c="3" si="4">
        <n x="509"/>
        <n x="402"/>
        <n x="481"/>
      </t>
    </mdx>
    <mdx n="508" f="v">
      <t c="3" si="4">
        <n x="509"/>
        <n x="46"/>
        <n x="478"/>
      </t>
    </mdx>
    <mdx n="508" f="v">
      <t c="3" si="4">
        <n x="509"/>
        <n x="68"/>
        <n x="479"/>
      </t>
    </mdx>
    <mdx n="508" f="v">
      <t c="3" si="4">
        <n x="509"/>
        <n x="58"/>
        <n x="480"/>
      </t>
    </mdx>
    <mdx n="508" f="v">
      <t c="3" si="4">
        <n x="509"/>
        <n x="21"/>
        <n x="481"/>
      </t>
    </mdx>
    <mdx n="508" f="v">
      <t c="3" si="4">
        <n x="509"/>
        <n x="413"/>
        <n x="478"/>
      </t>
    </mdx>
    <mdx n="508" f="v">
      <t c="3" si="4">
        <n x="509"/>
        <n x="424"/>
        <n x="479"/>
      </t>
    </mdx>
    <mdx n="508" f="v">
      <t c="3" si="4">
        <n x="509"/>
        <n x="158"/>
        <n x="480"/>
      </t>
    </mdx>
    <mdx n="508" f="v">
      <t c="3" si="4">
        <n x="509"/>
        <n x="312"/>
        <n x="481"/>
      </t>
    </mdx>
    <mdx n="508" f="v">
      <t c="3" si="475">
        <n x="509"/>
        <n x="55"/>
        <n x="474"/>
      </t>
    </mdx>
    <mdx n="508" f="v">
      <t c="3" si="4">
        <n x="509"/>
        <n x="103"/>
        <n x="472"/>
      </t>
    </mdx>
    <mdx n="508" f="v">
      <t c="3" si="4">
        <n x="509"/>
        <n x="376"/>
        <n x="466"/>
      </t>
    </mdx>
    <mdx n="508" f="v">
      <t c="3" si="4">
        <n x="509"/>
        <n x="205"/>
        <n x="473"/>
      </t>
    </mdx>
    <mdx n="508" f="v">
      <t c="3" si="4">
        <n x="509"/>
        <n x="394"/>
        <n x="466"/>
      </t>
    </mdx>
    <mdx n="508" f="v">
      <t c="3" si="4">
        <n x="509"/>
        <n x="50"/>
        <n x="2"/>
      </t>
    </mdx>
    <mdx n="508" f="v">
      <t c="3" si="4">
        <n x="509"/>
        <n x="258"/>
        <n x="466"/>
      </t>
    </mdx>
    <mdx n="508" f="v">
      <t c="3" si="4">
        <n x="509"/>
        <n x="239"/>
        <n x="468"/>
      </t>
    </mdx>
    <mdx n="508" f="v">
      <t c="3" si="4">
        <n x="509"/>
        <n x="134"/>
        <n x="477"/>
      </t>
    </mdx>
    <mdx n="508" f="v">
      <t c="3" si="4">
        <n x="509"/>
        <n x="55"/>
        <n x="478"/>
      </t>
    </mdx>
    <mdx n="508" f="v">
      <t c="3" si="4">
        <n x="509"/>
        <n x="103"/>
        <n x="468"/>
      </t>
    </mdx>
    <mdx n="508" f="v">
      <t c="3" si="4">
        <n x="509"/>
        <n x="226"/>
        <n x="477"/>
      </t>
    </mdx>
    <mdx n="508" f="v">
      <t c="3" si="4">
        <n x="509"/>
        <n x="348"/>
        <n x="478"/>
      </t>
    </mdx>
    <mdx n="508" f="v">
      <t c="3" si="4">
        <n x="509"/>
        <n x="55"/>
        <n x="468"/>
      </t>
    </mdx>
    <mdx n="508" f="v">
      <t c="3" si="4">
        <n x="509"/>
        <n x="29"/>
        <n x="476"/>
      </t>
    </mdx>
    <mdx n="508" f="v">
      <t c="3" si="4">
        <n x="509"/>
        <n x="34"/>
        <n x="477"/>
      </t>
    </mdx>
    <mdx n="508" f="v">
      <t c="3" si="4">
        <n x="509"/>
        <n x="57"/>
        <n x="468"/>
      </t>
    </mdx>
    <mdx n="508" f="v">
      <t c="3" si="4">
        <n x="509"/>
        <n x="111"/>
        <n x="476"/>
      </t>
    </mdx>
    <mdx n="508" f="v">
      <t c="3" si="4">
        <n x="509"/>
        <n x="168"/>
        <n x="478"/>
      </t>
    </mdx>
    <mdx n="508" f="v">
      <t c="3" si="4">
        <n x="509"/>
        <n x="188"/>
        <n x="471"/>
      </t>
    </mdx>
    <mdx n="508" f="v">
      <t c="3" si="4">
        <n x="509"/>
        <n x="410"/>
        <n x="468"/>
      </t>
    </mdx>
    <mdx n="508" f="v">
      <t c="3" si="4">
        <n x="509"/>
        <n x="463"/>
        <n x="476"/>
      </t>
    </mdx>
    <mdx n="508" f="v">
      <t c="3" si="4">
        <n x="509"/>
        <n x="71"/>
        <n x="477"/>
      </t>
    </mdx>
    <mdx n="508" f="v">
      <t c="3" si="4">
        <n x="509"/>
        <n x="334"/>
        <n x="478"/>
      </t>
    </mdx>
    <mdx n="508" f="v">
      <t c="3" si="4">
        <n x="509"/>
        <n x="96"/>
        <n x="466"/>
      </t>
    </mdx>
    <mdx n="508" f="v">
      <t c="3" si="4">
        <n x="509"/>
        <n x="273"/>
        <n x="476"/>
      </t>
    </mdx>
    <mdx n="508" f="v">
      <t c="3" si="4">
        <n x="509"/>
        <n x="242"/>
        <n x="477"/>
      </t>
    </mdx>
    <mdx n="508" f="v">
      <t c="3" si="4">
        <n x="509"/>
        <n x="417"/>
        <n x="478"/>
      </t>
    </mdx>
    <mdx n="508" f="v">
      <t c="3" si="4">
        <n x="509"/>
        <n x="247"/>
        <n x="466"/>
      </t>
    </mdx>
    <mdx n="508" f="v">
      <t c="3" si="4">
        <n x="509"/>
        <n x="423"/>
        <n x="476"/>
      </t>
    </mdx>
    <mdx n="508" f="v">
      <t c="3" si="4">
        <n x="509"/>
        <n x="221"/>
        <n x="477"/>
      </t>
    </mdx>
    <mdx n="508" f="v">
      <t c="3" si="4">
        <n x="509"/>
        <n x="132"/>
        <n x="478"/>
      </t>
    </mdx>
    <mdx n="508" f="v">
      <t c="3" si="4">
        <n x="509"/>
        <n x="150"/>
        <n x="471"/>
      </t>
    </mdx>
    <mdx n="508" f="v">
      <t c="3" si="4">
        <n x="509"/>
        <n x="40"/>
        <n x="471"/>
      </t>
    </mdx>
    <mdx n="508" f="v">
      <t c="3" si="4">
        <n x="509"/>
        <n x="427"/>
        <n x="479"/>
      </t>
    </mdx>
    <mdx n="508" f="v">
      <t c="3" si="4">
        <n x="509"/>
        <n x="326"/>
        <n x="480"/>
      </t>
    </mdx>
    <mdx n="508" f="v">
      <t c="3" si="4">
        <n x="509"/>
        <n x="209"/>
        <n x="5"/>
      </t>
    </mdx>
    <mdx n="508" f="v">
      <t c="3" si="4">
        <n x="509"/>
        <n x="249"/>
        <n x="471"/>
      </t>
    </mdx>
    <mdx n="508" f="v">
      <t c="3" si="4">
        <n x="509"/>
        <n x="210"/>
        <n x="479"/>
      </t>
    </mdx>
    <mdx n="508" f="v">
      <t c="3" si="4">
        <n x="509"/>
        <n x="320"/>
        <n x="480"/>
      </t>
    </mdx>
    <mdx n="508" f="v">
      <t c="3" si="4">
        <n x="509"/>
        <n x="224"/>
        <n x="5"/>
      </t>
    </mdx>
    <mdx n="508" f="v">
      <t c="3" si="4">
        <n x="509"/>
        <n x="138"/>
        <n x="471"/>
      </t>
    </mdx>
    <mdx n="508" f="v">
      <t c="3" si="4">
        <n x="509"/>
        <n x="281"/>
        <n x="479"/>
      </t>
    </mdx>
    <mdx n="508" f="v">
      <t c="3" si="4">
        <n x="509"/>
        <n x="325"/>
        <n x="480"/>
      </t>
    </mdx>
    <mdx n="508" f="v">
      <t c="3" si="4">
        <n x="509"/>
        <n x="217"/>
        <n x="476"/>
      </t>
    </mdx>
    <mdx n="508" f="v">
      <t c="3" si="4">
        <n x="509"/>
        <n x="225"/>
        <n x="471"/>
      </t>
    </mdx>
    <mdx n="508" f="v">
      <t c="3" si="4">
        <n x="509"/>
        <n x="95"/>
        <n x="479"/>
      </t>
    </mdx>
    <mdx n="508" f="v">
      <t c="3" si="4">
        <n x="509"/>
        <n x="331"/>
        <n x="480"/>
      </t>
    </mdx>
    <mdx n="508" f="v">
      <t c="3" si="4">
        <n x="509"/>
        <n x="256"/>
        <n x="476"/>
      </t>
    </mdx>
    <mdx n="508" f="v">
      <t c="3" si="4">
        <n x="509"/>
        <n x="385"/>
        <n x="471"/>
      </t>
    </mdx>
    <mdx n="508" f="v">
      <t c="3" si="4">
        <n x="509"/>
        <n x="160"/>
        <n x="479"/>
      </t>
    </mdx>
    <mdx n="508" f="v">
      <t c="3" si="4">
        <n x="509"/>
        <n x="274"/>
        <n x="481"/>
      </t>
    </mdx>
    <mdx n="508" f="v">
      <t c="3" si="4">
        <n x="509"/>
        <n x="221"/>
        <n x="476"/>
      </t>
    </mdx>
    <mdx n="508" f="v">
      <t c="3" si="475">
        <n x="509"/>
        <n x="424"/>
        <n x="474"/>
      </t>
    </mdx>
    <mdx n="508" f="v">
      <t c="3" si="4">
        <n x="509"/>
        <n x="174"/>
        <n x="467"/>
      </t>
    </mdx>
    <mdx n="508" f="v">
      <t c="3" si="4">
        <n x="509"/>
        <n x="289"/>
        <n x="470"/>
      </t>
    </mdx>
    <mdx n="508" f="v">
      <t c="3" si="4">
        <n x="509"/>
        <n x="384"/>
        <n x="5"/>
      </t>
    </mdx>
    <mdx n="508" f="v">
      <t c="3" si="4">
        <n x="509"/>
        <n x="156"/>
        <n x="1"/>
      </t>
    </mdx>
    <mdx n="508" f="v">
      <t c="3" si="4">
        <n x="509"/>
        <n x="123"/>
        <n x="472"/>
      </t>
    </mdx>
    <mdx n="508" f="v">
      <t c="3" si="4">
        <n x="509"/>
        <n x="48"/>
        <n x="468"/>
      </t>
    </mdx>
    <mdx n="508" f="v">
      <t c="3" si="4">
        <n x="509"/>
        <n x="165"/>
        <n x="468"/>
      </t>
    </mdx>
    <mdx n="508" f="v">
      <t c="3" si="4">
        <n x="509"/>
        <n x="294"/>
        <n x="476"/>
      </t>
    </mdx>
    <mdx n="508" f="v">
      <t c="3" si="4">
        <n x="509"/>
        <n x="20"/>
        <n x="477"/>
      </t>
    </mdx>
    <mdx n="508" f="v">
      <t c="3" si="4">
        <n x="509"/>
        <n x="108"/>
        <n x="478"/>
      </t>
    </mdx>
    <mdx n="508" f="v">
      <t c="3" si="4">
        <n x="509"/>
        <n x="255"/>
        <n x="468"/>
      </t>
    </mdx>
    <mdx n="508" f="v">
      <t c="3" si="4">
        <n x="509"/>
        <n x="410"/>
        <n x="476"/>
      </t>
    </mdx>
    <mdx n="508" f="v">
      <t c="3" si="4">
        <n x="509"/>
        <n x="264"/>
        <n x="477"/>
      </t>
    </mdx>
    <mdx n="508" f="v">
      <t c="3" si="4">
        <n x="509"/>
        <n x="371"/>
        <n x="1"/>
      </t>
    </mdx>
    <mdx n="508" f="v">
      <t c="3" si="4">
        <n x="509"/>
        <n x="51"/>
        <n x="468"/>
      </t>
    </mdx>
    <mdx n="508" f="v">
      <t c="3" si="4">
        <n x="509"/>
        <n x="187"/>
        <n x="477"/>
      </t>
    </mdx>
    <mdx n="508" f="v">
      <t c="3" si="4">
        <n x="509"/>
        <n x="116"/>
        <n x="478"/>
      </t>
    </mdx>
    <mdx n="508" f="v">
      <t c="3" si="4">
        <n x="509"/>
        <n x="87"/>
        <n x="468"/>
      </t>
    </mdx>
    <mdx n="508" f="v">
      <t c="3" si="4">
        <n x="509"/>
        <n x="41"/>
        <n x="476"/>
      </t>
    </mdx>
    <mdx n="508" f="v">
      <t c="3" si="4">
        <n x="509"/>
        <n x="161"/>
        <n x="477"/>
      </t>
    </mdx>
    <mdx n="508" f="v">
      <t c="3" si="4">
        <n x="509"/>
        <n x="7"/>
        <n x="478"/>
      </t>
    </mdx>
    <mdx n="508" f="v">
      <t c="3" si="4">
        <n x="509"/>
        <n x="347"/>
        <n x="468"/>
      </t>
    </mdx>
    <mdx n="508" f="v">
      <t c="3" si="4">
        <n x="509"/>
        <n x="239"/>
        <n x="476"/>
      </t>
    </mdx>
    <mdx n="508" f="v">
      <t c="3" si="4">
        <n x="509"/>
        <n x="58"/>
        <n x="478"/>
      </t>
    </mdx>
    <mdx n="508" f="v">
      <t c="3" si="4">
        <n x="509"/>
        <n x="190"/>
        <n x="471"/>
      </t>
    </mdx>
    <mdx n="508" f="v">
      <t c="3" si="4">
        <n x="509"/>
        <n x="290"/>
        <n x="468"/>
      </t>
    </mdx>
    <mdx n="508" f="v">
      <t c="3" si="4">
        <n x="509"/>
        <n x="380"/>
        <n x="476"/>
      </t>
    </mdx>
    <mdx n="508" f="v">
      <t c="3" si="4">
        <n x="509"/>
        <n x="124"/>
        <n x="477"/>
      </t>
    </mdx>
    <mdx n="508" f="v">
      <t c="3" si="4">
        <n x="509"/>
        <n x="76"/>
        <n x="478"/>
      </t>
    </mdx>
    <mdx n="508" f="v">
      <t c="3" si="4">
        <n x="509"/>
        <n x="356"/>
        <n x="468"/>
      </t>
    </mdx>
    <mdx n="508" f="v">
      <t c="3" si="4">
        <n x="509"/>
        <n x="199"/>
        <n x="476"/>
      </t>
    </mdx>
    <mdx n="508" f="v">
      <t c="3" si="4">
        <n x="509"/>
        <n x="319"/>
        <n x="477"/>
      </t>
    </mdx>
    <mdx n="508" f="v">
      <t c="3" si="4">
        <n x="509"/>
        <n x="67"/>
        <n x="478"/>
      </t>
    </mdx>
    <mdx n="508" f="v">
      <t c="3" si="4">
        <n x="509"/>
        <n x="284"/>
        <n x="478"/>
      </t>
    </mdx>
    <mdx n="508" f="v">
      <t c="3" si="4">
        <n x="509"/>
        <n x="271"/>
        <n x="479"/>
      </t>
    </mdx>
    <mdx n="508" f="v">
      <t c="3" si="4">
        <n x="509"/>
        <n x="434"/>
        <n x="480"/>
      </t>
    </mdx>
    <mdx n="508" f="v">
      <t c="3" si="4">
        <n x="509"/>
        <n x="221"/>
        <n x="481"/>
      </t>
    </mdx>
    <mdx n="508" f="v">
      <t c="3" si="4">
        <n x="509"/>
        <n x="123"/>
        <n x="478"/>
      </t>
    </mdx>
    <mdx n="508" f="v">
      <t c="3" si="4">
        <n x="509"/>
        <n x="309"/>
        <n x="479"/>
      </t>
    </mdx>
    <mdx n="508" f="v">
      <t c="3" si="4">
        <n x="509"/>
        <n x="139"/>
        <n x="480"/>
      </t>
    </mdx>
    <mdx n="508" f="v">
      <t c="3" si="4">
        <n x="509"/>
        <n x="361"/>
        <n x="481"/>
      </t>
    </mdx>
    <mdx n="508" f="v">
      <t c="3" si="4">
        <n x="509"/>
        <n x="426"/>
        <n x="478"/>
      </t>
    </mdx>
    <mdx n="508" f="v">
      <t c="3" si="4">
        <n x="509"/>
        <n x="387"/>
        <n x="479"/>
      </t>
    </mdx>
    <mdx n="508" f="v">
      <t c="3" si="4">
        <n x="509"/>
        <n x="418"/>
        <n x="480"/>
      </t>
    </mdx>
    <mdx n="508" f="v">
      <t c="3" si="4">
        <n x="509"/>
        <n x="201"/>
        <n x="481"/>
      </t>
    </mdx>
    <mdx n="508" f="v">
      <t c="3" si="4">
        <n x="509"/>
        <n x="456"/>
        <n x="471"/>
      </t>
    </mdx>
    <mdx n="508" f="v">
      <t c="3" si="4">
        <n x="509"/>
        <n x="267"/>
        <n x="479"/>
      </t>
    </mdx>
    <mdx n="508" f="v">
      <t c="3" si="4">
        <n x="509"/>
        <n x="453"/>
        <n x="480"/>
      </t>
    </mdx>
    <mdx n="508" f="v">
      <t c="3" si="4">
        <n x="509"/>
        <n x="188"/>
        <n x="481"/>
      </t>
    </mdx>
    <mdx n="508" f="v">
      <t c="3" si="4">
        <n x="509"/>
        <n x="452"/>
        <n x="471"/>
      </t>
    </mdx>
    <mdx n="508" f="v">
      <t c="3" si="4">
        <n x="509"/>
        <n x="269"/>
        <n x="479"/>
      </t>
    </mdx>
    <mdx n="508" f="v">
      <t c="3" si="4">
        <n x="509"/>
        <n x="422"/>
        <n x="480"/>
      </t>
    </mdx>
    <mdx n="508" f="v">
      <t c="3" si="4">
        <n x="509"/>
        <n x="202"/>
        <n x="481"/>
      </t>
    </mdx>
    <mdx n="508" f="v">
      <t c="3" si="4">
        <n x="509"/>
        <n x="363"/>
        <n x="471"/>
      </t>
    </mdx>
    <mdx n="508" f="v">
      <t c="3" si="4">
        <n x="509"/>
        <n x="453"/>
        <n x="479"/>
      </t>
    </mdx>
    <mdx n="508" f="v">
      <t c="3" si="4">
        <n x="509"/>
        <n x="17"/>
        <n x="480"/>
      </t>
    </mdx>
    <mdx n="508" f="v">
      <t c="3" si="4">
        <n x="509"/>
        <n x="460"/>
        <n x="468"/>
      </t>
    </mdx>
    <mdx n="508" f="v">
      <t c="3" si="4">
        <n x="509"/>
        <n x="137"/>
        <n x="476"/>
      </t>
    </mdx>
    <mdx n="508" f="v">
      <t c="3" si="4">
        <n x="509"/>
        <n x="339"/>
        <n x="476"/>
      </t>
    </mdx>
    <mdx n="508" f="v">
      <t c="3" si="4">
        <n x="509"/>
        <n x="278"/>
        <n x="476"/>
      </t>
    </mdx>
    <mdx n="508" f="v">
      <t c="3" si="4">
        <n x="509"/>
        <n x="263"/>
        <n x="471"/>
      </t>
    </mdx>
    <mdx n="508" f="v">
      <t c="3" si="4">
        <n x="509"/>
        <n x="242"/>
        <n x="471"/>
      </t>
    </mdx>
    <mdx n="508" f="v">
      <t c="3" si="4">
        <n x="509"/>
        <n x="423"/>
        <n x="481"/>
      </t>
    </mdx>
    <mdx n="508" f="v">
      <t c="3" si="4">
        <n x="509"/>
        <n x="213"/>
        <n x="479"/>
      </t>
    </mdx>
    <mdx n="508" f="v">
      <t c="3" si="4">
        <n x="509"/>
        <n x="287"/>
        <n x="480"/>
      </t>
    </mdx>
    <mdx n="508" f="v">
      <t c="3" si="4">
        <n x="509"/>
        <n x="138"/>
        <n x="476"/>
      </t>
    </mdx>
    <mdx n="508" f="v">
      <t c="3" si="4">
        <n x="509"/>
        <n x="393"/>
        <n x="471"/>
      </t>
    </mdx>
    <mdx n="508" f="v">
      <t c="3" si="4">
        <n x="509"/>
        <n x="104"/>
        <n x="479"/>
      </t>
    </mdx>
    <mdx n="508" f="v">
      <t c="3" si="4">
        <n x="509"/>
        <n x="152"/>
        <n x="480"/>
      </t>
    </mdx>
    <mdx n="508" f="v">
      <t c="3" si="4">
        <n x="509"/>
        <n x="331"/>
        <n x="479"/>
      </t>
    </mdx>
    <mdx n="508" f="v">
      <t c="3" si="4">
        <n x="509"/>
        <n x="333"/>
        <n x="482"/>
      </t>
    </mdx>
    <mdx n="508" f="v">
      <t c="3" si="4">
        <n x="509"/>
        <n x="395"/>
        <n x="483"/>
      </t>
    </mdx>
    <mdx n="508" f="v">
      <t c="3" si="4">
        <n x="509"/>
        <n x="444"/>
        <n x="484"/>
      </t>
    </mdx>
    <mdx n="508" f="v">
      <t c="3" si="4">
        <n x="509"/>
        <n x="421"/>
        <n x="486"/>
      </t>
    </mdx>
    <mdx n="508" f="v">
      <t c="3" si="4">
        <n x="509"/>
        <n x="186"/>
        <n x="487"/>
      </t>
    </mdx>
    <mdx n="508" f="v">
      <t c="3" si="4">
        <n x="509"/>
        <n x="225"/>
        <n x="488"/>
      </t>
    </mdx>
    <mdx n="508" f="v">
      <t c="3" si="4">
        <n x="509"/>
        <n x="147"/>
        <n x="489"/>
      </t>
    </mdx>
    <mdx n="508" f="v">
      <t c="3" si="4">
        <n x="509"/>
        <n x="226"/>
        <n x="482"/>
      </t>
    </mdx>
    <mdx n="508" f="v">
      <t c="3" si="4">
        <n x="509"/>
        <n x="93"/>
        <n x="483"/>
      </t>
    </mdx>
    <mdx n="508" f="v">
      <t c="3" si="4">
        <n x="509"/>
        <n x="453"/>
        <n x="484"/>
      </t>
    </mdx>
    <mdx n="508" f="v">
      <t c="3" si="4">
        <n x="509"/>
        <n x="356"/>
        <n x="485"/>
      </t>
    </mdx>
    <mdx n="508" f="v">
      <t c="3" si="4">
        <n x="509"/>
        <n x="333"/>
        <n x="486"/>
      </t>
    </mdx>
    <mdx n="508" f="v">
      <t c="3" si="4">
        <n x="509"/>
        <n x="112"/>
        <n x="487"/>
      </t>
    </mdx>
    <mdx n="508" f="v">
      <t c="3" si="4">
        <n x="509"/>
        <n x="315"/>
        <n x="479"/>
      </t>
    </mdx>
    <mdx n="508" f="v">
      <t c="3" si="4">
        <n x="509"/>
        <n x="264"/>
        <n x="482"/>
      </t>
    </mdx>
    <mdx n="508" f="v">
      <t c="3" si="4">
        <n x="509"/>
        <n x="28"/>
        <n x="483"/>
      </t>
    </mdx>
    <mdx n="508" f="v">
      <t c="3" si="4">
        <n x="509"/>
        <n x="160"/>
        <n x="484"/>
      </t>
    </mdx>
    <mdx n="508" f="v">
      <t c="3" si="4">
        <n x="509"/>
        <n x="344"/>
        <n x="485"/>
      </t>
    </mdx>
    <mdx n="508" f="v">
      <t c="3" si="4">
        <n x="509"/>
        <n x="382"/>
        <n x="487"/>
      </t>
    </mdx>
    <mdx n="508" f="v">
      <t c="3" si="4">
        <n x="509"/>
        <n x="22"/>
        <n x="488"/>
      </t>
    </mdx>
    <mdx n="508" f="v">
      <t c="3" si="4">
        <n x="509"/>
        <n x="376"/>
        <n x="481"/>
      </t>
    </mdx>
    <mdx n="508" f="v">
      <t c="3" si="4">
        <n x="509"/>
        <n x="298"/>
        <n x="482"/>
      </t>
    </mdx>
    <mdx n="508" f="v">
      <t c="3" si="4">
        <n x="509"/>
        <n x="460"/>
        <n x="484"/>
      </t>
    </mdx>
    <mdx n="508" f="v">
      <t c="3" si="4">
        <n x="509"/>
        <n x="222"/>
        <n x="485"/>
      </t>
    </mdx>
    <mdx n="508" f="v">
      <t c="3" si="4">
        <n x="509"/>
        <n x="418"/>
        <n x="486"/>
      </t>
    </mdx>
    <mdx n="508" f="v">
      <t c="3" si="4">
        <n x="509"/>
        <n x="140"/>
        <n x="487"/>
      </t>
    </mdx>
    <mdx n="508" f="v">
      <t c="3" si="4">
        <n x="509"/>
        <n x="128"/>
        <n x="488"/>
      </t>
    </mdx>
    <mdx n="508" f="v">
      <t c="3" si="4">
        <n x="509"/>
        <n x="422"/>
        <n x="489"/>
      </t>
    </mdx>
    <mdx n="508" f="v">
      <t c="3" si="4">
        <n x="509"/>
        <n x="85"/>
        <n x="481"/>
      </t>
    </mdx>
    <mdx n="508" f="v">
      <t c="3" si="4">
        <n x="509"/>
        <n x="148"/>
        <n x="482"/>
      </t>
    </mdx>
    <mdx n="508" f="v">
      <t c="3" si="4">
        <n x="509"/>
        <n x="357"/>
        <n x="484"/>
      </t>
    </mdx>
    <mdx n="508" f="v">
      <t c="3" si="4">
        <n x="509"/>
        <n x="305"/>
        <n x="485"/>
      </t>
    </mdx>
    <mdx n="508" f="v">
      <t c="3" si="4">
        <n x="509"/>
        <n x="401"/>
        <n x="486"/>
      </t>
    </mdx>
    <mdx n="508" f="v">
      <t c="3" si="4">
        <n x="509"/>
        <n x="326"/>
        <n x="487"/>
      </t>
    </mdx>
    <mdx n="508" f="v">
      <t c="3" si="4">
        <n x="509"/>
        <n x="322"/>
        <n x="488"/>
      </t>
    </mdx>
    <mdx n="508" f="v">
      <t c="3" si="4">
        <n x="509"/>
        <n x="71"/>
        <n x="489"/>
      </t>
    </mdx>
    <mdx n="508" f="v">
      <t c="3" si="4">
        <n x="509"/>
        <n x="267"/>
        <n x="482"/>
      </t>
    </mdx>
    <mdx n="508" f="v">
      <t c="3" si="4">
        <n x="509"/>
        <n x="70"/>
        <n x="483"/>
      </t>
    </mdx>
    <mdx n="508" f="v">
      <t c="3" si="4">
        <n x="509"/>
        <n x="244"/>
        <n x="484"/>
      </t>
    </mdx>
    <mdx n="508" f="v">
      <t c="3" si="4">
        <n x="509"/>
        <n x="393"/>
        <n x="485"/>
      </t>
    </mdx>
    <mdx n="508" f="v">
      <t c="3" si="4">
        <n x="509"/>
        <n x="266"/>
        <n x="486"/>
      </t>
    </mdx>
    <mdx n="508" f="v">
      <t c="3" si="4">
        <n x="509"/>
        <n x="21"/>
        <n x="487"/>
      </t>
    </mdx>
    <mdx n="508" f="v">
      <t c="3" si="4">
        <n x="509"/>
        <n x="337"/>
        <n x="488"/>
      </t>
    </mdx>
    <mdx n="508" f="v">
      <t c="3" si="4">
        <n x="509"/>
        <n x="445"/>
        <n x="481"/>
      </t>
    </mdx>
    <mdx n="508" f="v">
      <t c="3" si="4">
        <n x="509"/>
        <n x="338"/>
        <n x="482"/>
      </t>
    </mdx>
    <mdx n="508" f="v">
      <t c="3" si="4">
        <n x="509"/>
        <n x="177"/>
        <n x="484"/>
      </t>
    </mdx>
    <mdx n="508" f="v">
      <t c="3" si="4">
        <n x="509"/>
        <n x="298"/>
        <n x="485"/>
      </t>
    </mdx>
    <mdx n="508" f="v">
      <t c="3" si="4">
        <n x="509"/>
        <n x="24"/>
        <n x="486"/>
      </t>
    </mdx>
    <mdx n="508" f="v">
      <t c="3" si="4">
        <n x="509"/>
        <n x="252"/>
        <n x="478"/>
      </t>
    </mdx>
    <mdx n="508" f="v">
      <t c="3" si="4">
        <n x="509"/>
        <n x="266"/>
        <n x="5"/>
      </t>
    </mdx>
    <mdx n="508" f="v">
      <t c="3" si="4">
        <n x="509"/>
        <n x="380"/>
        <n x="478"/>
      </t>
    </mdx>
    <mdx n="508" f="v">
      <t c="3" si="4">
        <n x="509"/>
        <n x="314"/>
        <n x="478"/>
      </t>
    </mdx>
    <mdx n="508" f="v">
      <t c="3" si="4">
        <n x="509"/>
        <n x="195"/>
        <n x="480"/>
      </t>
    </mdx>
    <mdx n="508" f="v">
      <t c="3" si="4">
        <n x="509"/>
        <n x="457"/>
        <n x="481"/>
      </t>
    </mdx>
    <mdx n="508" f="v">
      <t c="3" si="4">
        <n x="509"/>
        <n x="249"/>
        <n x="476"/>
      </t>
    </mdx>
    <mdx n="508" f="v">
      <t c="3" si="4">
        <n x="509"/>
        <n x="229"/>
        <n x="479"/>
      </t>
    </mdx>
    <mdx n="508" f="v">
      <t c="3" si="4">
        <n x="509"/>
        <n x="225"/>
        <n x="481"/>
      </t>
    </mdx>
    <mdx n="508" f="v">
      <t c="3" si="4">
        <n x="509"/>
        <n x="406"/>
        <n x="478"/>
      </t>
    </mdx>
    <mdx n="508" f="v">
      <t c="3" si="4">
        <n x="509"/>
        <n x="208"/>
        <n x="479"/>
      </t>
    </mdx>
    <mdx n="508" f="v">
      <t c="3" si="4">
        <n x="509"/>
        <n x="419"/>
        <n x="480"/>
      </t>
    </mdx>
    <mdx n="508" f="v">
      <t c="3" si="4">
        <n x="509"/>
        <n x="94"/>
        <n x="481"/>
      </t>
    </mdx>
    <mdx n="508" f="v">
      <t c="3" si="4">
        <n x="509"/>
        <n x="388"/>
        <n x="481"/>
      </t>
    </mdx>
    <mdx n="508" f="v">
      <t c="3" si="4">
        <n x="509"/>
        <n x="378"/>
        <n x="482"/>
      </t>
    </mdx>
    <mdx n="508" f="v">
      <t c="3" si="4">
        <n x="509"/>
        <n x="225"/>
        <n x="480"/>
      </t>
    </mdx>
    <mdx n="508" f="v">
      <t c="3" si="4">
        <n x="509"/>
        <n x="378"/>
        <n x="466"/>
      </t>
    </mdx>
    <mdx n="508" f="v">
      <t c="3" si="4">
        <n x="509"/>
        <n x="253"/>
        <n x="468"/>
      </t>
    </mdx>
    <mdx n="508" f="v">
      <t c="3" si="4">
        <n x="509"/>
        <n x="203"/>
        <n x="478"/>
      </t>
    </mdx>
    <mdx n="508" f="v">
      <t c="3" si="4">
        <n x="509"/>
        <n x="38"/>
        <n x="468"/>
      </t>
    </mdx>
    <mdx n="508" f="v">
      <t c="3" si="4">
        <n x="509"/>
        <n x="109"/>
        <n x="476"/>
      </t>
    </mdx>
    <mdx n="508" f="v">
      <t c="3" si="4">
        <n x="509"/>
        <n x="355"/>
        <n x="478"/>
      </t>
    </mdx>
    <mdx n="508" f="v">
      <t c="3" si="4">
        <n x="509"/>
        <n x="445"/>
        <n x="468"/>
      </t>
    </mdx>
    <mdx n="508" f="v">
      <t c="3" si="4">
        <n x="509"/>
        <n x="203"/>
        <n x="477"/>
      </t>
    </mdx>
    <mdx n="508" f="v">
      <t c="3" si="4">
        <n x="509"/>
        <n x="69"/>
        <n x="476"/>
      </t>
    </mdx>
    <mdx n="508" f="v">
      <t c="3" si="4">
        <n x="509"/>
        <n x="408"/>
        <n x="477"/>
      </t>
    </mdx>
    <mdx n="508" f="v">
      <t c="3" si="4">
        <n x="509"/>
        <n x="92"/>
        <n x="478"/>
      </t>
    </mdx>
    <mdx n="508" f="v">
      <t c="3" si="4">
        <n x="509"/>
        <n x="272"/>
        <n x="468"/>
      </t>
    </mdx>
    <mdx n="508" f="v">
      <t c="3" si="4">
        <n x="509"/>
        <n x="332"/>
        <n x="476"/>
      </t>
    </mdx>
    <mdx n="508" f="v">
      <t c="3" si="4">
        <n x="509"/>
        <n x="191"/>
        <n x="477"/>
      </t>
    </mdx>
    <mdx n="508" f="v">
      <t c="3" si="4">
        <n x="509"/>
        <n x="208"/>
        <n x="471"/>
      </t>
    </mdx>
    <mdx n="508" f="v">
      <t c="3" si="4">
        <n x="509"/>
        <n x="463"/>
        <n x="468"/>
      </t>
    </mdx>
    <mdx n="508" f="v">
      <t c="3" si="4">
        <n x="509"/>
        <n x="376"/>
        <n x="476"/>
      </t>
    </mdx>
    <mdx n="508" f="v">
      <t c="3" si="4">
        <n x="509"/>
        <n x="320"/>
        <n x="477"/>
      </t>
    </mdx>
    <mdx n="508" f="v">
      <t c="3" si="4">
        <n x="509"/>
        <n x="261"/>
        <n x="478"/>
      </t>
    </mdx>
    <mdx n="508" f="v">
      <t c="3" si="4">
        <n x="509"/>
        <n x="360"/>
        <n x="468"/>
      </t>
    </mdx>
    <mdx n="508" f="v">
      <t c="3" si="4">
        <n x="509"/>
        <n x="359"/>
        <n x="476"/>
      </t>
    </mdx>
    <mdx n="508" f="v">
      <t c="3" si="4">
        <n x="509"/>
        <n x="6"/>
        <n x="477"/>
      </t>
    </mdx>
    <mdx n="508" f="v">
      <t c="3" si="4">
        <n x="509"/>
        <n x="405"/>
        <n x="478"/>
      </t>
    </mdx>
    <mdx n="508" f="v">
      <t c="3" si="4">
        <n x="509"/>
        <n x="3"/>
        <n x="476"/>
      </t>
    </mdx>
    <mdx n="508" f="v">
      <t c="3" si="4">
        <n x="509"/>
        <n x="13"/>
        <n x="471"/>
      </t>
    </mdx>
    <mdx n="508" f="v">
      <t c="3" si="4">
        <n x="509"/>
        <n x="114"/>
        <n x="479"/>
      </t>
    </mdx>
    <mdx n="508" f="v">
      <t c="3" si="4">
        <n x="509"/>
        <n x="89"/>
        <n x="481"/>
      </t>
    </mdx>
    <mdx n="508" f="v">
      <t c="3" si="4">
        <n x="509"/>
        <n x="90"/>
        <n x="477"/>
      </t>
    </mdx>
    <mdx n="508" f="v">
      <t c="3" si="4">
        <n x="509"/>
        <n x="302"/>
        <n x="471"/>
      </t>
    </mdx>
    <mdx n="508" f="v">
      <t c="3" si="4">
        <n x="509"/>
        <n x="375"/>
        <n x="480"/>
      </t>
    </mdx>
    <mdx n="508" f="v">
      <t c="3" si="4">
        <n x="509"/>
        <n x="348"/>
        <n x="481"/>
      </t>
    </mdx>
    <mdx n="508" f="v">
      <t c="3" si="4">
        <n x="509"/>
        <n x="29"/>
        <n x="477"/>
      </t>
    </mdx>
    <mdx n="508" f="v">
      <t c="3" si="4">
        <n x="509"/>
        <n x="305"/>
        <n x="471"/>
      </t>
    </mdx>
    <mdx n="508" f="v">
      <t c="3" si="4">
        <n x="509"/>
        <n x="114"/>
        <n x="480"/>
      </t>
    </mdx>
    <mdx n="508" f="v">
      <t c="3" si="4">
        <n x="509"/>
        <n x="351"/>
        <n x="481"/>
      </t>
    </mdx>
    <mdx n="508" f="v">
      <t c="3" si="4">
        <n x="509"/>
        <n x="105"/>
        <n x="478"/>
      </t>
    </mdx>
    <mdx n="508" f="v">
      <t c="3" si="4">
        <n x="509"/>
        <n x="89"/>
        <n x="479"/>
      </t>
    </mdx>
    <mdx n="508" f="v">
      <t c="3" si="4">
        <n x="509"/>
        <n x="133"/>
        <n x="480"/>
      </t>
    </mdx>
    <mdx n="508" f="v">
      <t c="3" si="4">
        <n x="509"/>
        <n x="354"/>
        <n x="481"/>
      </t>
    </mdx>
    <mdx n="508" f="v">
      <t c="3" si="4">
        <n x="509"/>
        <n x="430"/>
        <n x="478"/>
      </t>
    </mdx>
    <mdx n="508" f="v">
      <t c="3" si="4">
        <n x="509"/>
        <n x="265"/>
        <n x="479"/>
      </t>
    </mdx>
    <mdx n="508" f="v">
      <t c="3" si="4">
        <n x="509"/>
        <n x="119"/>
        <n x="480"/>
      </t>
    </mdx>
    <mdx n="508" f="v">
      <t c="3" si="4">
        <n x="509"/>
        <n x="339"/>
        <n x="481"/>
      </t>
    </mdx>
    <mdx n="508" f="v">
      <t c="3" si="4">
        <n x="509"/>
        <n x="125"/>
        <n x="472"/>
      </t>
    </mdx>
    <mdx n="508" f="v">
      <t c="3" si="4">
        <n x="509"/>
        <n x="213"/>
        <n x="1"/>
      </t>
    </mdx>
    <mdx n="508" f="v">
      <t c="3" si="475">
        <n x="509"/>
        <n x="93"/>
        <n x="474"/>
      </t>
    </mdx>
    <mdx n="508" f="v">
      <t c="3" si="4">
        <n x="509"/>
        <n x="411"/>
        <n x="466"/>
      </t>
    </mdx>
    <mdx n="508" f="v">
      <t c="3" si="4">
        <n x="509"/>
        <n x="381"/>
        <n x="466"/>
      </t>
    </mdx>
    <mdx n="508" f="v">
      <t c="3" si="4">
        <n x="509"/>
        <n x="280"/>
        <n x="466"/>
      </t>
    </mdx>
    <mdx n="508" f="v">
      <t c="3" si="4">
        <n x="509"/>
        <n x="231"/>
        <n x="466"/>
      </t>
    </mdx>
    <mdx n="508" f="v">
      <t c="3" si="4">
        <n x="509"/>
        <n x="191"/>
        <n x="5"/>
      </t>
    </mdx>
    <mdx n="508" f="v">
      <t c="3" si="4">
        <n x="509"/>
        <n x="328"/>
        <n x="466"/>
      </t>
    </mdx>
    <mdx n="508" f="v">
      <t c="3" si="4">
        <n x="509"/>
        <n x="32"/>
        <n x="466"/>
      </t>
    </mdx>
    <mdx n="508" f="v">
      <t c="3" si="4">
        <n x="509"/>
        <n x="437"/>
        <n x="476"/>
      </t>
    </mdx>
    <mdx n="508" f="v">
      <t c="3" si="4">
        <n x="509"/>
        <n x="23"/>
        <n x="477"/>
      </t>
    </mdx>
    <mdx n="508" f="v">
      <t c="3" si="4">
        <n x="509"/>
        <n x="343"/>
        <n x="478"/>
      </t>
    </mdx>
    <mdx n="508" f="v">
      <t c="3" si="4">
        <n x="509"/>
        <n x="183"/>
        <n x="466"/>
      </t>
    </mdx>
    <mdx n="508" f="v">
      <t c="3" si="4">
        <n x="509"/>
        <n x="263"/>
        <n x="476"/>
      </t>
    </mdx>
    <mdx n="508" f="v">
      <t c="3" si="4">
        <n x="509"/>
        <n x="11"/>
        <n x="477"/>
      </t>
    </mdx>
    <mdx n="508" f="v">
      <t c="3" si="4">
        <n x="509"/>
        <n x="129"/>
        <n x="478"/>
      </t>
    </mdx>
    <mdx n="508" f="v">
      <t c="3" si="4">
        <n x="509"/>
        <n x="322"/>
        <n x="468"/>
      </t>
    </mdx>
    <mdx n="508" f="v">
      <t c="3" si="4">
        <n x="509"/>
        <n x="356"/>
        <n x="476"/>
      </t>
    </mdx>
    <mdx n="508" f="v">
      <t c="3" si="4">
        <n x="509"/>
        <n x="460"/>
        <n x="477"/>
      </t>
    </mdx>
    <mdx n="508" f="v">
      <t c="3" si="4">
        <n x="509"/>
        <n x="372"/>
        <n x="466"/>
      </t>
    </mdx>
    <mdx n="508" f="v">
      <t c="3" si="4">
        <n x="509"/>
        <n x="3"/>
        <n x="468"/>
      </t>
    </mdx>
    <mdx n="508" f="v">
      <t c="3" si="4">
        <n x="509"/>
        <n x="374"/>
        <n x="477"/>
      </t>
    </mdx>
    <mdx n="508" f="v">
      <t c="3" si="4">
        <n x="509"/>
        <n x="133"/>
        <n x="478"/>
      </t>
    </mdx>
    <mdx n="508" f="v">
      <t c="3" si="4">
        <n x="509"/>
        <n x="432"/>
        <n x="471"/>
      </t>
    </mdx>
    <mdx n="508" f="v">
      <t c="3" si="4">
        <n x="509"/>
        <n x="178"/>
        <n x="468"/>
      </t>
    </mdx>
    <mdx n="508" f="v">
      <t c="3" si="4">
        <n x="509"/>
        <n x="245"/>
        <n x="476"/>
      </t>
    </mdx>
    <mdx n="508" f="v">
      <t c="3" si="4">
        <n x="509"/>
        <n x="155"/>
        <n x="477"/>
      </t>
    </mdx>
    <mdx n="508" f="v">
      <t c="3" si="4">
        <n x="509"/>
        <n x="324"/>
        <n x="478"/>
      </t>
    </mdx>
    <mdx n="508" f="v">
      <t c="3" si="4">
        <n x="509"/>
        <n x="426"/>
        <n x="468"/>
      </t>
    </mdx>
    <mdx n="508" f="v">
      <t c="3" si="4">
        <n x="509"/>
        <n x="83"/>
        <n x="476"/>
      </t>
    </mdx>
    <mdx n="508" f="v">
      <t c="3" si="4">
        <n x="509"/>
        <n x="433"/>
        <n x="477"/>
      </t>
    </mdx>
    <mdx n="508" f="v">
      <t c="3" si="4">
        <n x="509"/>
        <n x="238"/>
        <n x="478"/>
      </t>
    </mdx>
    <mdx n="508" f="v">
      <t c="3" si="4">
        <n x="509"/>
        <n x="190"/>
        <n x="468"/>
      </t>
    </mdx>
    <mdx n="508" f="v">
      <t c="3" si="4">
        <n x="509"/>
        <n x="151"/>
        <n x="476"/>
      </t>
    </mdx>
    <mdx n="508" f="v">
      <t c="3" si="4">
        <n x="509"/>
        <n x="342"/>
        <n x="477"/>
      </t>
    </mdx>
    <mdx n="508" f="v">
      <t c="3" si="4">
        <n x="509"/>
        <n x="102"/>
        <n x="478"/>
      </t>
    </mdx>
    <mdx n="508" f="v">
      <t c="3" si="4">
        <n x="509"/>
        <n x="163"/>
        <n x="466"/>
      </t>
    </mdx>
    <mdx n="508" f="v">
      <t c="3" si="4">
        <n x="509"/>
        <n x="247"/>
        <n x="471"/>
      </t>
    </mdx>
    <mdx n="508" f="v">
      <t c="3" si="4">
        <n x="509"/>
        <n x="65"/>
        <n x="479"/>
      </t>
    </mdx>
    <mdx n="508" f="v">
      <t c="3" si="4">
        <n x="509"/>
        <n x="82"/>
        <n x="480"/>
      </t>
    </mdx>
    <mdx n="508" f="v">
      <t c="3" si="4">
        <n x="509"/>
        <n x="357"/>
        <n x="468"/>
      </t>
    </mdx>
    <mdx n="508" f="v">
      <t c="3" si="4">
        <n x="509"/>
        <n x="229"/>
        <n x="471"/>
      </t>
    </mdx>
    <mdx n="508" f="v">
      <t c="3" si="4">
        <n x="509"/>
        <n x="338"/>
        <n x="479"/>
      </t>
    </mdx>
    <mdx n="508" f="v">
      <t c="3" si="4">
        <n x="509"/>
        <n x="260"/>
        <n x="480"/>
      </t>
    </mdx>
    <mdx n="508" f="v">
      <t c="3" si="4">
        <n x="509"/>
        <n x="332"/>
        <n x="468"/>
      </t>
    </mdx>
    <mdx n="508" f="v">
      <t c="3" si="4">
        <n x="509"/>
        <n x="232"/>
        <n x="471"/>
      </t>
    </mdx>
    <mdx n="508" f="v">
      <t c="3" si="4">
        <n x="509"/>
        <n x="6"/>
        <n x="479"/>
      </t>
    </mdx>
    <mdx n="508" f="v">
      <t c="3" si="4">
        <n x="509"/>
        <n x="288"/>
        <n x="480"/>
      </t>
    </mdx>
    <mdx n="508" f="v">
      <t c="3" si="4">
        <n x="509"/>
        <n x="275"/>
        <n x="477"/>
      </t>
    </mdx>
    <mdx n="508" f="v">
      <t c="3" si="4">
        <n x="509"/>
        <n x="8"/>
        <n x="471"/>
      </t>
    </mdx>
    <mdx n="508" f="v">
      <t c="3" si="4">
        <n x="509"/>
        <n x="460"/>
        <n x="480"/>
      </t>
    </mdx>
    <mdx n="508" f="v">
      <t c="3" si="4">
        <n x="509"/>
        <n x="273"/>
        <n x="481"/>
      </t>
    </mdx>
    <mdx n="508" f="v">
      <t c="3" si="4">
        <n x="509"/>
        <n x="17"/>
        <n x="477"/>
      </t>
    </mdx>
    <mdx n="508" f="v">
      <t c="3" si="4">
        <n x="509"/>
        <n x="93"/>
        <n x="471"/>
      </t>
    </mdx>
    <mdx n="508" f="v">
      <t c="3" si="4">
        <n x="509"/>
        <n x="297"/>
        <n x="480"/>
      </t>
    </mdx>
    <mdx n="508" f="v">
      <t c="3" si="4">
        <n x="509"/>
        <n x="30"/>
        <n x="481"/>
      </t>
    </mdx>
    <mdx n="508" f="v">
      <t c="3" si="4">
        <n x="509"/>
        <n x="241"/>
        <n x="477"/>
      </t>
    </mdx>
    <mdx n="508" f="v">
      <t c="3" si="475">
        <n x="509"/>
        <n x="411"/>
        <n x="474"/>
      </t>
    </mdx>
    <mdx n="508" f="v">
      <t c="3" si="4">
        <n x="509"/>
        <n x="40"/>
        <n x="470"/>
      </t>
    </mdx>
    <mdx n="508" f="v">
      <t c="3" si="4">
        <n x="509"/>
        <n x="114"/>
        <n x="466"/>
      </t>
    </mdx>
    <mdx n="508" f="v">
      <t c="3" si="4">
        <n x="509"/>
        <n x="444"/>
        <n x="466"/>
      </t>
    </mdx>
    <mdx n="508" f="v">
      <t c="3" si="4">
        <n x="509"/>
        <n x="315"/>
        <n x="468"/>
      </t>
    </mdx>
    <mdx n="508" f="v">
      <t c="3" si="4">
        <n x="509"/>
        <n x="280"/>
        <n x="468"/>
      </t>
    </mdx>
    <mdx n="508" f="v">
      <t c="3" si="4">
        <n x="509"/>
        <n x="91"/>
        <n x="476"/>
      </t>
    </mdx>
    <mdx n="508" f="v">
      <t c="3" si="4">
        <n x="509"/>
        <n x="228"/>
        <n x="477"/>
      </t>
    </mdx>
    <mdx n="508" f="v">
      <t c="3" si="4">
        <n x="509"/>
        <n x="205"/>
        <n x="478"/>
      </t>
    </mdx>
    <mdx n="508" f="v">
      <t c="3" si="4">
        <n x="509"/>
        <n x="175"/>
        <n x="468"/>
      </t>
    </mdx>
    <mdx n="508" f="v">
      <t c="3" si="4">
        <n x="509"/>
        <n x="179"/>
        <n x="476"/>
      </t>
    </mdx>
    <mdx n="508" f="v">
      <t c="3" si="4">
        <n x="509"/>
        <n x="100"/>
        <n x="477"/>
      </t>
    </mdx>
    <mdx n="508" f="v">
      <t c="3" si="4">
        <n x="509"/>
        <n x="401"/>
        <n x="466"/>
      </t>
    </mdx>
    <mdx n="508" f="v">
      <t c="3" si="4">
        <n x="509"/>
        <n x="409"/>
        <n x="476"/>
      </t>
    </mdx>
    <mdx n="508" f="v">
      <t c="3" si="4">
        <n x="509"/>
        <n x="47"/>
        <n x="477"/>
      </t>
    </mdx>
    <mdx n="508" f="v">
      <t c="3" si="4">
        <n x="509"/>
        <n x="212"/>
        <n x="478"/>
      </t>
    </mdx>
    <mdx n="508" f="v">
      <t c="3" si="4">
        <n x="509"/>
        <n x="396"/>
        <n x="468"/>
      </t>
    </mdx>
    <mdx n="508" f="v">
      <t c="3" si="4">
        <n x="509"/>
        <n x="64"/>
        <n x="476"/>
      </t>
    </mdx>
    <mdx n="508" f="v">
      <t c="3" si="4">
        <n x="509"/>
        <n x="462"/>
        <n x="477"/>
      </t>
    </mdx>
    <mdx n="508" f="v">
      <t c="3" si="4">
        <n x="509"/>
        <n x="57"/>
        <n x="478"/>
      </t>
    </mdx>
    <mdx n="508" f="v">
      <t c="3" si="4">
        <n x="509"/>
        <n x="378"/>
        <n x="468"/>
      </t>
    </mdx>
    <mdx n="508" f="v">
      <t c="3" si="4">
        <n x="509"/>
        <n x="110"/>
        <n x="477"/>
      </t>
    </mdx>
    <mdx n="508" f="v">
      <t c="3" si="4">
        <n x="509"/>
        <n x="147"/>
        <n x="478"/>
      </t>
    </mdx>
    <mdx n="508" f="v">
      <t c="3" si="4">
        <n x="509"/>
        <n x="123"/>
        <n x="468"/>
      </t>
    </mdx>
    <mdx n="508" f="v">
      <t c="3" si="4">
        <n x="509"/>
        <n x="319"/>
        <n x="476"/>
      </t>
    </mdx>
    <mdx n="508" f="v">
      <t c="3" si="4">
        <n x="509"/>
        <n x="432"/>
        <n x="477"/>
      </t>
    </mdx>
    <mdx n="508" f="v">
      <t c="3" si="4">
        <n x="509"/>
        <n x="316"/>
        <n x="468"/>
      </t>
    </mdx>
    <mdx n="508" f="v">
      <t c="3" si="4">
        <n x="509"/>
        <n x="74"/>
        <n x="476"/>
      </t>
    </mdx>
    <mdx n="508" f="v">
      <t c="3" si="4">
        <n x="509"/>
        <n x="35"/>
        <n x="477"/>
      </t>
    </mdx>
    <mdx n="508" f="v">
      <t c="3" si="4">
        <n x="509"/>
        <n x="294"/>
        <n x="471"/>
      </t>
    </mdx>
    <mdx n="508" f="v">
      <t c="3" si="4">
        <n x="509"/>
        <n x="288"/>
        <n x="478"/>
      </t>
    </mdx>
    <mdx n="508" f="v">
      <t c="3" si="4">
        <n x="509"/>
        <n x="436"/>
        <n x="479"/>
      </t>
    </mdx>
    <mdx n="508" f="v">
      <t c="3" si="4">
        <n x="509"/>
        <n x="24"/>
        <n x="480"/>
      </t>
    </mdx>
    <mdx n="508" f="v">
      <t c="3" si="4">
        <n x="509"/>
        <n x="417"/>
        <n x="481"/>
      </t>
    </mdx>
    <mdx n="508" f="v">
      <t c="3" si="4">
        <n x="509"/>
        <n x="462"/>
        <n x="471"/>
      </t>
    </mdx>
    <mdx n="508" f="v">
      <t c="3" si="4">
        <n x="509"/>
        <n x="323"/>
        <n x="479"/>
      </t>
    </mdx>
    <mdx n="508" f="v">
      <t c="3" si="4">
        <n x="509"/>
        <n x="75"/>
        <n x="480"/>
      </t>
    </mdx>
    <mdx n="508" f="v">
      <t c="3" si="4">
        <n x="509"/>
        <n x="384"/>
        <n x="481"/>
      </t>
    </mdx>
    <mdx n="508" f="v">
      <t c="3" si="4">
        <n x="509"/>
        <n x="207"/>
        <n x="471"/>
      </t>
    </mdx>
    <mdx n="508" f="v">
      <t c="3" si="4">
        <n x="509"/>
        <n x="125"/>
        <n x="479"/>
      </t>
    </mdx>
    <mdx n="508" f="v">
      <t c="3" si="4">
        <n x="509"/>
        <n x="314"/>
        <n x="480"/>
      </t>
    </mdx>
    <mdx n="508" f="v">
      <t c="3" si="4">
        <n x="509"/>
        <n x="128"/>
        <n x="481"/>
      </t>
    </mdx>
    <mdx n="508" f="v">
      <t c="3" si="4">
        <n x="509"/>
        <n x="437"/>
        <n x="471"/>
      </t>
    </mdx>
    <mdx n="508" f="v">
      <t c="3" si="4">
        <n x="509"/>
        <n x="92"/>
        <n x="479"/>
      </t>
    </mdx>
    <mdx n="508" f="v">
      <t c="3" si="4">
        <n x="509"/>
        <n x="98"/>
        <n x="480"/>
      </t>
    </mdx>
    <mdx n="508" f="v">
      <t c="3" si="4">
        <n x="509"/>
        <n x="461"/>
        <n x="481"/>
      </t>
    </mdx>
    <mdx n="508" f="v">
      <t c="3" si="4">
        <n x="509"/>
        <n x="433"/>
        <n x="471"/>
      </t>
    </mdx>
    <mdx n="508" f="v">
      <t c="3" si="4">
        <n x="509"/>
        <n x="285"/>
        <n x="479"/>
      </t>
    </mdx>
    <mdx n="508" f="v">
      <t c="3" si="4">
        <n x="509"/>
        <n x="292"/>
        <n x="480"/>
      </t>
    </mdx>
    <mdx n="508" f="v">
      <t c="3" si="4">
        <n x="509"/>
        <n x="268"/>
        <n x="481"/>
      </t>
    </mdx>
    <mdx n="508" f="v">
      <t c="3" si="4">
        <n x="509"/>
        <n x="168"/>
        <n x="471"/>
      </t>
    </mdx>
    <mdx n="508" f="v">
      <t c="3" si="4">
        <n x="509"/>
        <n x="455"/>
        <n x="479"/>
      </t>
    </mdx>
    <mdx n="508" f="v">
      <t c="3" si="4">
        <n x="509"/>
        <n x="275"/>
        <n x="480"/>
      </t>
    </mdx>
    <mdx n="508" f="v">
      <t c="3" si="4">
        <n x="509"/>
        <n x="227"/>
        <n x="476"/>
      </t>
    </mdx>
    <mdx n="508" f="v">
      <t c="3" si="4">
        <n x="509"/>
        <n x="93"/>
        <n x="477"/>
      </t>
    </mdx>
    <mdx n="508" f="v">
      <t c="3" si="4">
        <n x="509"/>
        <n x="18"/>
        <n x="477"/>
      </t>
    </mdx>
    <mdx n="508" f="v">
      <t c="3" si="4">
        <n x="509"/>
        <n x="305"/>
        <n x="477"/>
      </t>
    </mdx>
    <mdx n="508" f="v">
      <t c="3" si="4">
        <n x="509"/>
        <n x="251"/>
        <n x="479"/>
      </t>
    </mdx>
    <mdx n="508" f="v">
      <t c="3" si="4">
        <n x="509"/>
        <n x="248"/>
        <n x="479"/>
      </t>
    </mdx>
    <mdx n="508" f="v">
      <t c="3" si="4">
        <n x="509"/>
        <n x="62"/>
        <n x="481"/>
      </t>
    </mdx>
    <mdx n="508" f="v">
      <t c="3" si="4">
        <n x="509"/>
        <n x="36"/>
        <n x="479"/>
      </t>
    </mdx>
    <mdx n="508" f="v">
      <t c="3" si="4">
        <n x="509"/>
        <n x="197"/>
        <n x="481"/>
      </t>
    </mdx>
    <mdx n="508" f="v">
      <t c="3" si="4">
        <n x="509"/>
        <n x="304"/>
        <n x="477"/>
      </t>
    </mdx>
    <mdx n="508" f="v">
      <t c="3" si="4">
        <n x="509"/>
        <n x="101"/>
        <n x="471"/>
      </t>
    </mdx>
    <mdx n="508" f="v">
      <t c="3" si="4">
        <n x="509"/>
        <n x="295"/>
        <n x="480"/>
      </t>
    </mdx>
    <mdx n="508" f="v">
      <t c="3" si="4">
        <n x="509"/>
        <n x="459"/>
        <n x="481"/>
      </t>
    </mdx>
    <mdx n="508" f="v">
      <t c="3" si="4">
        <n x="509"/>
        <n x="116"/>
        <n x="481"/>
      </t>
    </mdx>
    <mdx n="508" f="v">
      <t c="3" si="4">
        <n x="509"/>
        <n x="340"/>
        <n x="482"/>
      </t>
    </mdx>
    <mdx n="508" f="v">
      <t c="3" si="4">
        <n x="509"/>
        <n x="249"/>
        <n x="483"/>
      </t>
    </mdx>
    <mdx n="508" f="v">
      <t c="3" si="4">
        <n x="509"/>
        <n x="171"/>
        <n x="485"/>
      </t>
    </mdx>
    <mdx n="508" f="v">
      <t c="3" si="4">
        <n x="509"/>
        <n x="402"/>
        <n x="486"/>
      </t>
    </mdx>
    <mdx n="508" f="v">
      <t c="3" si="4">
        <n x="509"/>
        <n x="255"/>
        <n x="487"/>
      </t>
    </mdx>
    <mdx n="508" f="v">
      <t c="3" si="4">
        <n x="509"/>
        <n x="361"/>
        <n x="488"/>
      </t>
    </mdx>
    <mdx n="508" f="v">
      <t c="3" si="4">
        <n x="509"/>
        <n x="146"/>
        <n x="489"/>
      </t>
    </mdx>
    <mdx n="508" f="v">
      <t c="3" si="4">
        <n x="509"/>
        <n x="8"/>
        <n x="482"/>
      </t>
    </mdx>
    <mdx n="508" f="v">
      <t c="3" si="4">
        <n x="509"/>
        <n x="238"/>
        <n x="483"/>
      </t>
    </mdx>
    <mdx n="508" f="v">
      <t c="3" si="4">
        <n x="509"/>
        <n x="170"/>
        <n x="484"/>
      </t>
    </mdx>
    <mdx n="508" f="v">
      <t c="3" si="4">
        <n x="509"/>
        <n x="278"/>
        <n x="485"/>
      </t>
    </mdx>
    <mdx n="508" f="v">
      <t c="3" si="4">
        <n x="509"/>
        <n x="289"/>
        <n x="486"/>
      </t>
    </mdx>
    <mdx n="508" f="v">
      <t c="3" si="4">
        <n x="509"/>
        <n x="435"/>
        <n x="487"/>
      </t>
    </mdx>
    <mdx n="508" f="v">
      <t c="3" si="4">
        <n x="509"/>
        <n x="257"/>
        <n x="480"/>
      </t>
    </mdx>
    <mdx n="508" f="v">
      <t c="3" si="4">
        <n x="509"/>
        <n x="91"/>
        <n x="482"/>
      </t>
    </mdx>
    <mdx n="508" f="v">
      <t c="3" si="4">
        <n x="509"/>
        <n x="366"/>
        <n x="483"/>
      </t>
    </mdx>
    <mdx n="508" f="v">
      <t c="3" si="4">
        <n x="509"/>
        <n x="397"/>
        <n x="484"/>
      </t>
    </mdx>
    <mdx n="508" f="v">
      <t c="3" si="4">
        <n x="509"/>
        <n x="177"/>
        <n x="486"/>
      </t>
    </mdx>
    <mdx n="508" f="v">
      <t c="3" si="4">
        <n x="509"/>
        <n x="17"/>
        <n x="487"/>
      </t>
    </mdx>
    <mdx n="508" f="v">
      <t c="3" si="4">
        <n x="509"/>
        <n x="69"/>
        <n x="488"/>
      </t>
    </mdx>
    <mdx n="508" f="v">
      <t c="3" si="4">
        <n x="509"/>
        <n x="444"/>
        <n x="481"/>
      </t>
    </mdx>
    <mdx n="508" f="v">
      <t c="3" si="4">
        <n x="509"/>
        <n x="260"/>
        <n x="483"/>
      </t>
    </mdx>
    <mdx n="508" f="v">
      <t c="3" si="4">
        <n x="509"/>
        <n x="222"/>
        <n x="484"/>
      </t>
    </mdx>
    <mdx n="508" f="v">
      <t c="3" si="4">
        <n x="509"/>
        <n x="225"/>
        <n x="485"/>
      </t>
    </mdx>
    <mdx n="508" f="v">
      <t c="3" si="4">
        <n x="509"/>
        <n x="47"/>
        <n x="486"/>
      </t>
    </mdx>
    <mdx n="508" f="v">
      <t c="3" si="4">
        <n x="509"/>
        <n x="141"/>
        <n x="487"/>
      </t>
    </mdx>
    <mdx n="508" f="v">
      <t c="3" si="4">
        <n x="509"/>
        <n x="438"/>
        <n x="488"/>
      </t>
    </mdx>
    <mdx n="508" f="v">
      <t c="3" si="4">
        <n x="509"/>
        <n x="78"/>
        <n x="489"/>
      </t>
    </mdx>
    <mdx n="508" f="v">
      <t c="3" si="4">
        <n x="509"/>
        <n x="259"/>
        <n x="481"/>
      </t>
    </mdx>
    <mdx n="508" f="v">
      <t c="3" si="4">
        <n x="509"/>
        <n x="459"/>
        <n x="483"/>
      </t>
    </mdx>
    <mdx n="508" f="v">
      <t c="3" si="4">
        <n x="509"/>
        <n x="305"/>
        <n x="484"/>
      </t>
    </mdx>
    <mdx n="508" f="v">
      <t c="3" si="4">
        <n x="509"/>
        <n x="94"/>
        <n x="485"/>
      </t>
    </mdx>
    <mdx n="508" f="v">
      <t c="3" si="4">
        <n x="509"/>
        <n x="46"/>
        <n x="486"/>
      </t>
    </mdx>
    <mdx n="508" f="v">
      <t c="3" si="4">
        <n x="509"/>
        <n x="371"/>
        <n x="487"/>
      </t>
    </mdx>
    <mdx n="508" f="v">
      <t c="3" si="4">
        <n x="509"/>
        <n x="149"/>
        <n x="488"/>
      </t>
    </mdx>
    <mdx n="508" f="v">
      <t c="3" si="4">
        <n x="509"/>
        <n x="165"/>
        <n x="476"/>
      </t>
    </mdx>
    <mdx n="508" f="v">
      <t c="3" si="4">
        <n x="509"/>
        <n x="87"/>
        <n x="482"/>
      </t>
    </mdx>
    <mdx n="508" f="v">
      <t c="3" si="4">
        <n x="509"/>
        <n x="446"/>
        <n x="483"/>
      </t>
    </mdx>
    <mdx n="508" f="v">
      <t c="3" si="4">
        <n x="509"/>
        <n x="218"/>
        <n x="484"/>
      </t>
    </mdx>
    <mdx n="508" f="v">
      <t c="3" si="4">
        <n x="509"/>
        <n x="126"/>
        <n x="485"/>
      </t>
    </mdx>
    <mdx n="508" f="v">
      <t c="3" si="4">
        <n x="509"/>
        <n x="210"/>
        <n x="486"/>
      </t>
    </mdx>
    <mdx n="508" f="v">
      <t c="3" si="4">
        <n x="509"/>
        <n x="107"/>
        <n x="487"/>
      </t>
    </mdx>
    <mdx n="508" f="v">
      <t c="3" si="4">
        <n x="509"/>
        <n x="249"/>
        <n x="489"/>
      </t>
    </mdx>
    <mdx n="508" f="v">
      <t c="3" si="4">
        <n x="509"/>
        <n x="31"/>
        <n x="481"/>
      </t>
    </mdx>
    <mdx n="508" f="v">
      <t c="3" si="4">
        <n x="509"/>
        <n x="286"/>
        <n x="483"/>
      </t>
    </mdx>
    <mdx n="508" f="v">
      <t c="3" si="4">
        <n x="509"/>
        <n x="71"/>
        <n x="484"/>
      </t>
    </mdx>
    <mdx n="508" f="v">
      <t c="3" si="4">
        <n x="509"/>
        <n x="83"/>
        <n x="485"/>
      </t>
    </mdx>
    <mdx n="508" f="v">
      <t c="3" si="4">
        <n x="509"/>
        <n x="166"/>
        <n x="480"/>
      </t>
    </mdx>
    <mdx n="508" f="v">
      <t c="3" si="4">
        <n x="509"/>
        <n x="379"/>
        <n x="466"/>
      </t>
    </mdx>
    <mdx n="508" f="v">
      <t c="3" si="4">
        <n x="509"/>
        <n x="30"/>
        <n x="466"/>
      </t>
    </mdx>
    <mdx n="508" f="v">
      <t c="3" si="4">
        <n x="509"/>
        <n x="281"/>
        <n x="476"/>
      </t>
    </mdx>
    <mdx n="508" f="v">
      <t c="3" si="4">
        <n x="509"/>
        <n x="335"/>
        <n x="478"/>
      </t>
    </mdx>
    <mdx n="508" f="v">
      <t c="3" si="4">
        <n x="509"/>
        <n x="181"/>
        <n x="468"/>
      </t>
    </mdx>
    <mdx n="508" f="v">
      <t c="3" si="4">
        <n x="509"/>
        <n x="344"/>
        <n x="476"/>
      </t>
    </mdx>
    <mdx n="508" f="v">
      <t c="3" si="4">
        <n x="509"/>
        <n x="288"/>
        <n x="472"/>
      </t>
    </mdx>
    <mdx n="508" f="v">
      <t c="3" si="4">
        <n x="509"/>
        <n x="73"/>
        <n x="468"/>
      </t>
    </mdx>
    <mdx n="508" f="v">
      <t c="3" si="4">
        <n x="509"/>
        <n x="218"/>
        <n x="477"/>
      </t>
    </mdx>
    <mdx n="508" f="v">
      <t c="3" si="4">
        <n x="509"/>
        <n x="135"/>
        <n x="466"/>
      </t>
    </mdx>
    <mdx n="508" f="v">
      <t c="3" si="4">
        <n x="509"/>
        <n x="194"/>
        <n x="476"/>
      </t>
    </mdx>
    <mdx n="508" f="v">
      <t c="3" si="4">
        <n x="509"/>
        <n x="289"/>
        <n x="477"/>
      </t>
    </mdx>
    <mdx n="508" f="v">
      <t c="3" si="4">
        <n x="509"/>
        <n x="230"/>
        <n x="478"/>
      </t>
    </mdx>
    <mdx n="508" f="v">
      <t c="3" si="4">
        <n x="509"/>
        <n x="319"/>
        <n x="468"/>
      </t>
    </mdx>
    <mdx n="508" f="v">
      <t c="3" si="4">
        <n x="509"/>
        <n x="159"/>
        <n x="476"/>
      </t>
    </mdx>
    <mdx n="508" f="v">
      <t c="3" si="4">
        <n x="509"/>
        <n x="159"/>
        <n x="478"/>
      </t>
    </mdx>
    <mdx n="508" f="v">
      <t c="3" si="4">
        <n x="509"/>
        <n x="364"/>
        <n x="471"/>
      </t>
    </mdx>
    <mdx n="508" f="v">
      <t c="3" si="4">
        <n x="509"/>
        <n x="245"/>
        <n x="468"/>
      </t>
    </mdx>
    <mdx n="508" f="v">
      <t c="3" si="4">
        <n x="509"/>
        <n x="334"/>
        <n x="476"/>
      </t>
    </mdx>
    <mdx n="508" f="v">
      <t c="3" si="4">
        <n x="509"/>
        <n x="425"/>
        <n x="477"/>
      </t>
    </mdx>
    <mdx n="508" f="v">
      <t c="3" si="4">
        <n x="509"/>
        <n x="122"/>
        <n x="478"/>
      </t>
    </mdx>
    <mdx n="508" f="v">
      <t c="3" si="4">
        <n x="509"/>
        <n x="155"/>
        <n x="468"/>
      </t>
    </mdx>
    <mdx n="508" f="v">
      <t c="3" si="4">
        <n x="509"/>
        <n x="393"/>
        <n x="476"/>
      </t>
    </mdx>
    <mdx n="508" f="v">
      <t c="3" si="4">
        <n x="509"/>
        <n x="338"/>
        <n x="477"/>
      </t>
    </mdx>
    <mdx n="508" f="v">
      <t c="3" si="4">
        <n x="509"/>
        <n x="13"/>
        <n x="478"/>
      </t>
    </mdx>
    <mdx n="508" f="v">
      <t c="3" si="4">
        <n x="509"/>
        <n x="138"/>
        <n x="478"/>
      </t>
    </mdx>
    <mdx n="508" f="v">
      <t c="3" si="4">
        <n x="509"/>
        <n x="74"/>
        <n x="471"/>
      </t>
    </mdx>
    <mdx n="508" f="v">
      <t c="3" si="4">
        <n x="509"/>
        <n x="372"/>
        <n x="480"/>
      </t>
    </mdx>
    <mdx n="508" f="v">
      <t c="3" si="4">
        <n x="509"/>
        <n x="252"/>
        <n x="481"/>
      </t>
    </mdx>
    <mdx n="508" f="v">
      <t c="3" si="4">
        <n x="509"/>
        <n x="373"/>
        <n x="478"/>
      </t>
    </mdx>
    <mdx n="508" f="v">
      <t c="3" si="4">
        <n x="509"/>
        <n x="330"/>
        <n x="479"/>
      </t>
    </mdx>
    <mdx n="508" f="v">
      <t c="3" si="4">
        <n x="509"/>
        <n x="359"/>
        <n x="480"/>
      </t>
    </mdx>
    <mdx n="508" f="v">
      <t c="3" si="4">
        <n x="509"/>
        <n x="93"/>
        <n x="481"/>
      </t>
    </mdx>
    <mdx n="508" f="v">
      <t c="3" si="4">
        <n x="509"/>
        <n x="399"/>
        <n x="478"/>
      </t>
    </mdx>
    <mdx n="508" f="v">
      <t c="3" si="4">
        <n x="509"/>
        <n x="145"/>
        <n x="479"/>
      </t>
    </mdx>
    <mdx n="508" f="v">
      <t c="3" si="4">
        <n x="509"/>
        <n x="374"/>
        <n x="480"/>
      </t>
    </mdx>
    <mdx n="508" f="v">
      <t c="3" si="4">
        <n x="509"/>
        <n x="385"/>
        <n x="481"/>
      </t>
    </mdx>
    <mdx n="508" f="v">
      <t c="3" si="4">
        <n x="509"/>
        <n x="205"/>
        <n x="471"/>
      </t>
    </mdx>
    <mdx n="508" f="v">
      <t c="3" si="4">
        <n x="509"/>
        <n x="381"/>
        <n x="479"/>
      </t>
    </mdx>
    <mdx n="508" f="v">
      <t c="3" si="4">
        <n x="509"/>
        <n x="449"/>
        <n x="480"/>
      </t>
    </mdx>
    <mdx n="508" f="v">
      <t c="3" si="4">
        <n x="509"/>
        <n x="322"/>
        <n x="481"/>
      </t>
    </mdx>
    <mdx n="508" f="v">
      <t c="3" si="4">
        <n x="509"/>
        <n x="199"/>
        <n x="471"/>
      </t>
    </mdx>
    <mdx n="508" f="v">
      <t c="3" si="4">
        <n x="509"/>
        <n x="75"/>
        <n x="479"/>
      </t>
    </mdx>
    <mdx n="508" f="v">
      <t c="3" si="4">
        <n x="509"/>
        <n x="46"/>
        <n x="480"/>
      </t>
    </mdx>
    <mdx n="508" f="v">
      <t c="3" si="4">
        <n x="509"/>
        <n x="79"/>
        <n x="481"/>
      </t>
    </mdx>
    <mdx n="508" f="v">
      <t c="3" si="4">
        <n x="509"/>
        <n x="310"/>
        <n x="466"/>
      </t>
    </mdx>
    <mdx n="508" f="v">
      <t c="3" si="475">
        <n x="509"/>
        <n x="456"/>
        <n x="474"/>
      </t>
    </mdx>
    <mdx n="508" f="v">
      <t c="3" si="4">
        <n x="509"/>
        <n x="101"/>
        <n x="466"/>
      </t>
    </mdx>
    <mdx n="508" f="v">
      <t c="3" si="4">
        <n x="509"/>
        <n x="159"/>
        <n x="466"/>
      </t>
    </mdx>
    <mdx n="508" f="v">
      <t c="3" si="4">
        <n x="509"/>
        <n x="185"/>
        <n x="468"/>
      </t>
    </mdx>
    <mdx n="508" f="v">
      <t c="3" si="4">
        <n x="509"/>
        <n x="207"/>
        <n x="476"/>
      </t>
    </mdx>
    <mdx n="508" f="v">
      <t c="3" si="4">
        <n x="509"/>
        <n x="43"/>
        <n x="477"/>
      </t>
    </mdx>
    <mdx n="508" f="v">
      <t c="3" si="4">
        <n x="509"/>
        <n x="434"/>
        <n x="468"/>
      </t>
    </mdx>
    <mdx n="508" f="v">
      <t c="3" si="4">
        <n x="509"/>
        <n x="225"/>
        <n x="476"/>
      </t>
    </mdx>
    <mdx n="508" f="v">
      <t c="3" si="4">
        <n x="509"/>
        <n x="140"/>
        <n x="477"/>
      </t>
    </mdx>
    <mdx n="508" f="v">
      <t c="3" si="4">
        <n x="509"/>
        <n x="130"/>
        <n x="472"/>
      </t>
    </mdx>
    <mdx n="508" f="v">
      <t c="3" si="4">
        <n x="509"/>
        <n x="333"/>
        <n x="468"/>
      </t>
    </mdx>
    <mdx n="508" f="v">
      <t c="3" si="4">
        <n x="509"/>
        <n x="216"/>
        <n x="476"/>
      </t>
    </mdx>
    <mdx n="508" f="v">
      <t c="3" si="4">
        <n x="509"/>
        <n x="125"/>
        <n x="477"/>
      </t>
    </mdx>
    <mdx n="508" f="v">
      <t c="3" si="4">
        <n x="509"/>
        <n x="422"/>
        <n x="466"/>
      </t>
    </mdx>
    <mdx n="508" f="v">
      <t c="3" si="4">
        <n x="509"/>
        <n x="402"/>
        <n x="476"/>
      </t>
    </mdx>
    <mdx n="508" f="v">
      <t c="3" si="4">
        <n x="509"/>
        <n x="283"/>
        <n x="477"/>
      </t>
    </mdx>
    <mdx n="508" f="v">
      <t c="3" si="4">
        <n x="509"/>
        <n x="220"/>
        <n x="478"/>
      </t>
    </mdx>
    <mdx n="508" f="v">
      <t c="3" si="4">
        <n x="509"/>
        <n x="344"/>
        <n x="471"/>
      </t>
    </mdx>
    <mdx n="508" f="v">
      <t c="3" si="4">
        <n x="509"/>
        <n x="198"/>
        <n x="468"/>
      </t>
    </mdx>
    <mdx n="508" f="v">
      <t c="3" si="4">
        <n x="509"/>
        <n x="317"/>
        <n x="476"/>
      </t>
    </mdx>
    <mdx n="508" f="v">
      <t c="3" si="4">
        <n x="509"/>
        <n x="240"/>
        <n x="477"/>
      </t>
    </mdx>
    <mdx n="508" f="v">
      <t c="3" si="4">
        <n x="509"/>
        <n x="81"/>
        <n x="478"/>
      </t>
    </mdx>
    <mdx n="508" f="v">
      <t c="3" si="4">
        <n x="509"/>
        <n x="354"/>
        <n x="468"/>
      </t>
    </mdx>
    <mdx n="508" f="v">
      <t c="3" si="4">
        <n x="509"/>
        <n x="417"/>
        <n x="476"/>
      </t>
    </mdx>
    <mdx n="508" f="v">
      <t c="3" si="4">
        <n x="509"/>
        <n x="400"/>
        <n x="477"/>
      </t>
    </mdx>
    <mdx n="508" f="v">
      <t c="3" si="4">
        <n x="509"/>
        <n x="262"/>
        <n x="478"/>
      </t>
    </mdx>
    <mdx n="508" f="v">
      <t c="3" si="4">
        <n x="509"/>
        <n x="336"/>
        <n x="468"/>
      </t>
    </mdx>
    <mdx n="508" f="v">
      <t c="3" si="4">
        <n x="509"/>
        <n x="200"/>
        <n x="476"/>
      </t>
    </mdx>
    <mdx n="508" f="v">
      <t c="3" si="4">
        <n x="509"/>
        <n x="210"/>
        <n x="477"/>
      </t>
    </mdx>
    <mdx n="508" f="v">
      <t c="3" si="4">
        <n x="509"/>
        <n x="130"/>
        <n x="478"/>
      </t>
    </mdx>
    <mdx n="508" f="v">
      <t c="3" si="4">
        <n x="509"/>
        <n x="383"/>
        <n x="476"/>
      </t>
    </mdx>
    <mdx n="508" f="v">
      <t c="3" si="4">
        <n x="509"/>
        <n x="228"/>
        <n x="471"/>
      </t>
    </mdx>
    <mdx n="508" f="v">
      <t c="3" si="4">
        <n x="509"/>
        <n x="395"/>
        <n x="479"/>
      </t>
    </mdx>
    <mdx n="508" f="v">
      <t c="3" si="4">
        <n x="509"/>
        <n x="357"/>
        <n x="480"/>
      </t>
    </mdx>
    <mdx n="508" f="v">
      <t c="3" si="4">
        <n x="509"/>
        <n x="364"/>
        <n x="477"/>
      </t>
    </mdx>
    <mdx n="508" f="v">
      <t c="3" si="4">
        <n x="509"/>
        <n x="12"/>
        <n x="471"/>
      </t>
    </mdx>
    <mdx n="508" f="v">
      <t c="3" si="4">
        <n x="509"/>
        <n x="111"/>
        <n x="479"/>
      </t>
    </mdx>
    <mdx n="508" f="v">
      <t c="3" si="4">
        <n x="509"/>
        <n x="84"/>
        <n x="481"/>
      </t>
    </mdx>
    <mdx n="508" f="v">
      <t c="3" si="4">
        <n x="509"/>
        <n x="362"/>
        <n x="476"/>
      </t>
    </mdx>
    <mdx n="508" f="v">
      <t c="3" si="4">
        <n x="509"/>
        <n x="318"/>
        <n x="471"/>
      </t>
    </mdx>
    <mdx n="508" f="v">
      <t c="3" si="4">
        <n x="509"/>
        <n x="239"/>
        <n x="479"/>
      </t>
    </mdx>
    <mdx n="508" f="v">
      <t c="3" si="4">
        <n x="509"/>
        <n x="219"/>
        <n x="481"/>
      </t>
    </mdx>
    <mdx n="508" f="v">
      <t c="3" si="4">
        <n x="509"/>
        <n x="162"/>
        <n x="478"/>
      </t>
    </mdx>
    <mdx n="508" f="v">
      <t c="3" si="4">
        <n x="509"/>
        <n x="428"/>
        <n x="479"/>
      </t>
    </mdx>
    <mdx n="508" f="v">
      <t c="3" si="4">
        <n x="509"/>
        <n x="45"/>
        <n x="480"/>
      </t>
    </mdx>
    <mdx n="508" f="v">
      <t c="3" si="4">
        <n x="509"/>
        <n x="11"/>
        <n x="481"/>
      </t>
    </mdx>
    <mdx n="508" f="v">
      <t c="3" si="4">
        <n x="509"/>
        <n x="98"/>
        <n x="478"/>
      </t>
    </mdx>
    <mdx n="508" f="v">
      <t c="3" si="4">
        <n x="509"/>
        <n x="286"/>
        <n x="479"/>
      </t>
    </mdx>
    <mdx n="508" f="v">
      <t c="3" si="4">
        <n x="509"/>
        <n x="33"/>
        <n x="480"/>
      </t>
    </mdx>
    <mdx n="508" f="v">
      <t c="3" si="4">
        <n x="509"/>
        <n x="205"/>
        <n x="481"/>
      </t>
    </mdx>
    <mdx n="508" f="v">
      <t c="3" si="4">
        <n x="509"/>
        <n x="211"/>
        <n x="478"/>
      </t>
    </mdx>
    <mdx n="508" f="v">
      <t c="3" si="4">
        <n x="509"/>
        <n x="241"/>
        <n x="469"/>
      </t>
    </mdx>
    <mdx n="508" f="v">
      <t c="3" si="4">
        <n x="509"/>
        <n x="231"/>
        <n x="2"/>
      </t>
    </mdx>
    <mdx n="508" f="v">
      <t c="3" si="4">
        <n x="509"/>
        <n x="374"/>
        <n x="466"/>
      </t>
    </mdx>
    <mdx n="508" f="v">
      <t c="3" si="4">
        <n x="509"/>
        <n x="392"/>
        <n x="468"/>
      </t>
    </mdx>
    <mdx n="508" f="v">
      <t c="3" si="4">
        <n x="509"/>
        <n x="100"/>
        <n x="476"/>
      </t>
    </mdx>
    <mdx n="508" f="v">
      <t c="3" si="4">
        <n x="509"/>
        <n x="159"/>
        <n x="477"/>
      </t>
    </mdx>
    <mdx n="508" f="v">
      <t c="3" si="4">
        <n x="509"/>
        <n x="96"/>
        <n x="468"/>
      </t>
    </mdx>
    <mdx n="508" f="v">
      <t c="3" si="4">
        <n x="509"/>
        <n x="363"/>
        <n x="476"/>
      </t>
    </mdx>
    <mdx n="508" f="v">
      <t c="3" si="4">
        <n x="509"/>
        <n x="31"/>
        <n x="477"/>
      </t>
    </mdx>
    <mdx n="508" f="v">
      <t c="3" si="4">
        <n x="509"/>
        <n x="373"/>
        <n x="466"/>
      </t>
    </mdx>
    <mdx n="508" f="v">
      <t c="3" si="4">
        <n x="509"/>
        <n x="189"/>
        <n x="476"/>
      </t>
    </mdx>
    <mdx n="508" f="v">
      <t c="3" si="4">
        <n x="509"/>
        <n x="322"/>
        <n x="477"/>
      </t>
    </mdx>
    <mdx n="508" f="v">
      <t c="3" si="4">
        <n x="509"/>
        <n x="342"/>
        <n x="468"/>
      </t>
    </mdx>
    <mdx n="508" f="v">
      <t c="3" si="4">
        <n x="509"/>
        <n x="389"/>
        <n x="476"/>
      </t>
    </mdx>
    <mdx n="508" f="v">
      <t c="3" si="4">
        <n x="509"/>
        <n x="442"/>
        <n x="477"/>
      </t>
    </mdx>
    <mdx n="508" f="v">
      <t c="3" si="4">
        <n x="509"/>
        <n x="259"/>
        <n x="478"/>
      </t>
    </mdx>
    <mdx n="508" f="v">
      <t c="3" si="4">
        <n x="509"/>
        <n x="119"/>
        <n x="466"/>
      </t>
    </mdx>
    <mdx n="508" f="v">
      <t c="3" si="4">
        <n x="509"/>
        <n x="258"/>
        <n x="476"/>
      </t>
    </mdx>
    <mdx n="508" f="v">
      <t c="3" si="4">
        <n x="509"/>
        <n x="94"/>
        <n x="477"/>
      </t>
    </mdx>
    <mdx n="508" f="v">
      <t c="3" si="4">
        <n x="509"/>
        <n x="233"/>
        <n x="478"/>
      </t>
    </mdx>
    <mdx n="508" f="v">
      <t c="3" si="4">
        <n x="509"/>
        <n x="74"/>
        <n x="468"/>
      </t>
    </mdx>
    <mdx n="508" f="v">
      <t c="3" si="4">
        <n x="509"/>
        <n x="31"/>
        <n x="476"/>
      </t>
    </mdx>
    <mdx n="508" f="v">
      <t c="3" si="4">
        <n x="509"/>
        <n x="286"/>
        <n x="478"/>
      </t>
    </mdx>
    <mdx n="508" f="v">
      <t c="3" si="4">
        <n x="509"/>
        <n x="405"/>
        <n x="468"/>
      </t>
    </mdx>
    <mdx n="508" f="v">
      <t c="3" si="4">
        <n x="509"/>
        <n x="121"/>
        <n x="476"/>
      </t>
    </mdx>
    <mdx n="508" f="v">
      <t c="3" si="4">
        <n x="509"/>
        <n x="440"/>
        <n x="478"/>
      </t>
    </mdx>
    <mdx n="508" f="v">
      <t c="3" si="4">
        <n x="509"/>
        <n x="361"/>
        <n x="471"/>
      </t>
    </mdx>
    <mdx n="508" f="v">
      <t c="3" si="4">
        <n x="509"/>
        <n x="293"/>
        <n x="471"/>
      </t>
    </mdx>
    <mdx n="508" f="v">
      <t c="3" si="4">
        <n x="509"/>
        <n x="93"/>
        <n x="479"/>
      </t>
    </mdx>
    <mdx n="508" f="v">
      <t c="3" si="4">
        <n x="509"/>
        <n x="454"/>
        <n x="480"/>
      </t>
    </mdx>
    <mdx n="508" f="v">
      <t c="3" si="4">
        <n x="509"/>
        <n x="98"/>
        <n x="481"/>
      </t>
    </mdx>
    <mdx n="508" f="v">
      <t c="3" si="4">
        <n x="509"/>
        <n x="273"/>
        <n x="471"/>
      </t>
    </mdx>
    <mdx n="508" f="v">
      <t c="3" si="4">
        <n x="509"/>
        <n x="244"/>
        <n x="479"/>
      </t>
    </mdx>
    <mdx n="508" f="v">
      <t c="3" si="4">
        <n x="509"/>
        <n x="156"/>
        <n x="480"/>
      </t>
    </mdx>
    <mdx n="508" f="v">
      <t c="3" si="4">
        <n x="509"/>
        <n x="326"/>
        <n x="481"/>
      </t>
    </mdx>
    <mdx n="508" f="v">
      <t c="3" si="4">
        <n x="509"/>
        <n x="274"/>
        <n x="471"/>
      </t>
    </mdx>
    <mdx n="508" f="v">
      <t c="3" si="4">
        <n x="509"/>
        <n x="413"/>
        <n x="479"/>
      </t>
    </mdx>
    <mdx n="508" f="v">
      <t c="3" si="4">
        <n x="509"/>
        <n x="282"/>
        <n x="480"/>
      </t>
    </mdx>
    <mdx n="508" f="v">
      <t c="3" si="4">
        <n x="509"/>
        <n x="408"/>
        <n x="481"/>
      </t>
    </mdx>
    <mdx n="508" f="v">
      <t c="3" si="4">
        <n x="509"/>
        <n x="36"/>
        <n x="471"/>
      </t>
    </mdx>
    <mdx n="508" f="v">
      <t c="3" si="4">
        <n x="509"/>
        <n x="18"/>
        <n x="479"/>
      </t>
    </mdx>
    <mdx n="508" f="v">
      <t c="3" si="4">
        <n x="509"/>
        <n x="366"/>
        <n x="480"/>
      </t>
    </mdx>
    <mdx n="508" f="v">
      <t c="3" si="4">
        <n x="509"/>
        <n x="414"/>
        <n x="481"/>
      </t>
    </mdx>
    <mdx n="508" f="v">
      <t c="3" si="4">
        <n x="509"/>
        <n x="257"/>
        <n x="471"/>
      </t>
    </mdx>
    <mdx n="508" f="v">
      <t c="3" si="4">
        <n x="509"/>
        <n x="101"/>
        <n x="479"/>
      </t>
    </mdx>
    <mdx n="508" f="v">
      <t c="3" si="4">
        <n x="509"/>
        <n x="173"/>
        <n x="480"/>
      </t>
    </mdx>
    <mdx n="508" f="v">
      <t c="3" si="4">
        <n x="509"/>
        <n x="404"/>
        <n x="481"/>
      </t>
    </mdx>
    <mdx n="508" f="v">
      <t c="3" si="4">
        <n x="509"/>
        <n x="141"/>
        <n x="471"/>
      </t>
    </mdx>
    <mdx n="508" f="v">
      <t c="3" si="4">
        <n x="509"/>
        <n x="53"/>
        <n x="479"/>
      </t>
    </mdx>
    <mdx n="508" f="v">
      <t c="3" si="4">
        <n x="509"/>
        <n x="437"/>
        <n x="478"/>
      </t>
    </mdx>
    <mdx n="508" f="v">
      <t c="3" si="4">
        <n x="509"/>
        <n x="446"/>
        <n x="478"/>
      </t>
    </mdx>
    <mdx n="508" f="v">
      <t c="3" si="4">
        <n x="509"/>
        <n x="401"/>
        <n x="478"/>
      </t>
    </mdx>
    <mdx n="508" f="v">
      <t c="3" si="4">
        <n x="509"/>
        <n x="317"/>
        <n x="480"/>
      </t>
    </mdx>
    <mdx n="508" f="v">
      <t c="3" si="4">
        <n x="509"/>
        <n x="122"/>
        <n x="480"/>
      </t>
    </mdx>
    <mdx n="508" f="v">
      <t c="3" si="4">
        <n x="509"/>
        <n x="379"/>
        <n x="476"/>
      </t>
    </mdx>
    <mdx n="508" f="v">
      <t c="3" si="4">
        <n x="509"/>
        <n x="249"/>
        <n x="479"/>
      </t>
    </mdx>
    <mdx n="508" f="v">
      <t c="3" si="4">
        <n x="509"/>
        <n x="407"/>
        <n x="481"/>
      </t>
    </mdx>
    <mdx n="508" f="v">
      <t c="3" si="4">
        <n x="509"/>
        <n x="394"/>
        <n x="478"/>
      </t>
    </mdx>
    <mdx n="508" f="v">
      <t c="3" si="4">
        <n x="509"/>
        <n x="191"/>
        <n x="479"/>
      </t>
    </mdx>
    <mdx n="508" f="v">
      <t c="3" si="4">
        <n x="509"/>
        <n x="270"/>
        <n x="480"/>
      </t>
    </mdx>
    <mdx n="508" f="v">
      <t c="3" si="4">
        <n x="509"/>
        <n x="386"/>
        <n x="481"/>
      </t>
    </mdx>
    <mdx n="508" f="v">
      <t c="3" si="4">
        <n x="509"/>
        <n x="409"/>
        <n x="481"/>
      </t>
    </mdx>
    <mdx n="508" f="v">
      <t c="3" si="4">
        <n x="509"/>
        <n x="131"/>
        <n x="482"/>
      </t>
    </mdx>
    <mdx n="508" f="v">
      <t c="3" si="4">
        <n x="509"/>
        <n x="171"/>
        <n x="484"/>
      </t>
    </mdx>
    <mdx n="508" f="v">
      <t c="3" si="4">
        <n x="509"/>
        <n x="351"/>
        <n x="485"/>
      </t>
    </mdx>
    <mdx n="508" f="v">
      <t c="3" si="4">
        <n x="509"/>
        <n x="69"/>
        <n x="486"/>
      </t>
    </mdx>
    <mdx n="508" f="v">
      <t c="3" si="4">
        <n x="509"/>
        <n x="116"/>
        <n x="487"/>
      </t>
    </mdx>
    <mdx n="508" f="v">
      <t c="3" si="4">
        <n x="509"/>
        <n x="441"/>
        <n x="488"/>
      </t>
    </mdx>
    <mdx n="508" f="v">
      <t c="3" si="4">
        <n x="509"/>
        <n x="358"/>
        <n x="471"/>
      </t>
    </mdx>
    <mdx n="508" f="v">
      <t c="3" si="4">
        <n x="509"/>
        <n x="448"/>
        <n x="482"/>
      </t>
    </mdx>
    <mdx n="508" f="v">
      <t c="3" si="4">
        <n x="509"/>
        <n x="411"/>
        <n x="483"/>
      </t>
    </mdx>
    <mdx n="508" f="v">
      <t c="3" si="4">
        <n x="509"/>
        <n x="347"/>
        <n x="484"/>
      </t>
    </mdx>
    <mdx n="508" f="v">
      <t c="3" si="4">
        <n x="509"/>
        <n x="228"/>
        <n x="485"/>
      </t>
    </mdx>
    <mdx n="508" f="v">
      <t c="3" si="4">
        <n x="509"/>
        <n x="420"/>
        <n x="486"/>
      </t>
    </mdx>
    <mdx n="508" f="v">
      <t c="3" si="4">
        <n x="509"/>
        <n x="428"/>
        <n x="488"/>
      </t>
    </mdx>
    <mdx n="508" f="v">
      <t c="3" si="4">
        <n x="509"/>
        <n x="455"/>
        <n x="481"/>
      </t>
    </mdx>
    <mdx n="508" f="v">
      <t c="3" si="4">
        <n x="509"/>
        <n x="215"/>
        <n x="482"/>
      </t>
    </mdx>
    <mdx n="508" f="v">
      <t c="3" si="4">
        <n x="509"/>
        <n x="310"/>
        <n x="483"/>
      </t>
    </mdx>
    <mdx n="508" f="v">
      <t c="3" si="4">
        <n x="509"/>
        <n x="243"/>
        <n x="485"/>
      </t>
    </mdx>
    <mdx n="508" f="v">
      <t c="3" si="4">
        <n x="509"/>
        <n x="84"/>
        <n x="486"/>
      </t>
    </mdx>
    <mdx n="508" f="v">
      <t c="3" si="4">
        <n x="509"/>
        <n x="43"/>
        <n x="487"/>
      </t>
    </mdx>
    <mdx n="508" f="v">
      <t c="3" si="4">
        <n x="509"/>
        <n x="422"/>
        <n x="488"/>
      </t>
    </mdx>
    <mdx n="508" f="v">
      <t c="3" si="4">
        <n x="509"/>
        <n x="204"/>
        <n x="482"/>
      </t>
    </mdx>
    <mdx n="508" f="v">
      <t c="3" si="4">
        <n x="509"/>
        <n x="189"/>
        <n x="483"/>
      </t>
    </mdx>
    <mdx n="508" f="v">
      <t c="3" si="4">
        <n x="509"/>
        <n x="449"/>
        <n x="484"/>
      </t>
    </mdx>
    <mdx n="508" f="v">
      <t c="3" si="4">
        <n x="509"/>
        <n x="282"/>
        <n x="485"/>
      </t>
    </mdx>
    <mdx n="508" f="v">
      <t c="3" si="4">
        <n x="509"/>
        <n x="59"/>
        <n x="486"/>
      </t>
    </mdx>
    <mdx n="508" f="v">
      <t c="3" si="4">
        <n x="509"/>
        <n x="309"/>
        <n x="487"/>
      </t>
    </mdx>
    <mdx n="508" f="v">
      <t c="3" si="4">
        <n x="509"/>
        <n x="28"/>
        <n x="488"/>
      </t>
    </mdx>
    <mdx n="508" f="v">
      <t c="3" si="4">
        <n x="509"/>
        <n x="122"/>
        <n x="489"/>
      </t>
    </mdx>
    <mdx n="508" f="v">
      <t c="3" si="4">
        <n x="509"/>
        <n x="169"/>
        <n x="482"/>
      </t>
    </mdx>
    <mdx n="508" f="v">
      <t c="3" si="4">
        <n x="509"/>
        <n x="146"/>
        <n x="483"/>
      </t>
    </mdx>
    <mdx n="508" f="v">
      <t c="3" si="4">
        <n x="509"/>
        <n x="176"/>
        <n x="484"/>
      </t>
    </mdx>
    <mdx n="508" f="v">
      <t c="3" si="4">
        <n x="509"/>
        <n x="178"/>
        <n x="485"/>
      </t>
    </mdx>
    <mdx n="508" f="v">
      <t c="3" si="4">
        <n x="509"/>
        <n x="176"/>
        <n x="486"/>
      </t>
    </mdx>
    <mdx n="508" f="v">
      <t c="3" si="4">
        <n x="509"/>
        <n x="281"/>
        <n x="487"/>
      </t>
    </mdx>
    <mdx n="508" f="v">
      <t c="3" si="4">
        <n x="509"/>
        <n x="325"/>
        <n x="488"/>
      </t>
    </mdx>
    <mdx n="508" f="v">
      <t c="3" si="4">
        <n x="509"/>
        <n x="383"/>
        <n x="471"/>
      </t>
    </mdx>
    <mdx n="508" f="v">
      <t c="3" si="4">
        <n x="509"/>
        <n x="458"/>
        <n x="482"/>
      </t>
    </mdx>
    <mdx n="508" f="v">
      <t c="3" si="4">
        <n x="509"/>
        <n x="7"/>
        <n x="483"/>
      </t>
    </mdx>
    <mdx n="508" f="v">
      <t c="3" si="4">
        <n x="509"/>
        <n x="216"/>
        <n x="484"/>
      </t>
    </mdx>
    <mdx n="508" f="v">
      <t c="3" si="4">
        <n x="509"/>
        <n x="287"/>
        <n x="485"/>
      </t>
    </mdx>
    <mdx n="508" f="v">
      <t c="3" si="4">
        <n x="509"/>
        <n x="370"/>
        <n x="487"/>
      </t>
    </mdx>
    <mdx n="508" f="v">
      <t c="3" si="4">
        <n x="509"/>
        <n x="168"/>
        <n x="488"/>
      </t>
    </mdx>
    <mdx n="508" f="v">
      <t c="3" si="4">
        <n x="509"/>
        <n x="182"/>
        <n x="489"/>
      </t>
    </mdx>
    <mdx n="508" f="v">
      <t c="3" si="4">
        <n x="509"/>
        <n x="420"/>
        <n x="482"/>
      </t>
    </mdx>
    <mdx n="508" f="v">
      <t c="3" si="4">
        <n x="509"/>
        <n x="257"/>
        <n x="483"/>
      </t>
    </mdx>
    <mdx n="508" f="v">
      <t c="3" si="4">
        <n x="509"/>
        <n x="44"/>
        <n x="484"/>
      </t>
    </mdx>
    <mdx n="508" f="v">
      <t c="3" si="4">
        <n x="509"/>
        <n x="174"/>
        <n x="485"/>
      </t>
    </mdx>
    <mdx n="508" f="v">
      <t c="3" si="4">
        <n x="509"/>
        <n x="155"/>
        <n x="486"/>
      </t>
    </mdx>
    <mdx n="508" f="v">
      <t c="3" si="4">
        <n x="509"/>
        <n x="94"/>
        <n x="469"/>
      </t>
    </mdx>
    <mdx n="508" f="v">
      <t c="3" si="4">
        <n x="509"/>
        <n x="153"/>
        <n x="476"/>
      </t>
    </mdx>
    <mdx n="508" f="v">
      <t c="3" si="4">
        <n x="509"/>
        <n x="459"/>
        <n x="477"/>
      </t>
    </mdx>
    <mdx n="508" f="v">
      <t c="3" si="4">
        <n x="509"/>
        <n x="33"/>
        <n x="476"/>
      </t>
    </mdx>
    <mdx n="508" f="v">
      <t c="3" si="4">
        <n x="509"/>
        <n x="146"/>
        <n x="471"/>
      </t>
    </mdx>
    <mdx n="508" f="v">
      <t c="3" si="4">
        <n x="509"/>
        <n x="246"/>
        <n x="471"/>
      </t>
    </mdx>
    <mdx n="508" f="v">
      <t c="3" si="4">
        <n x="509"/>
        <n x="220"/>
        <n x="471"/>
      </t>
    </mdx>
    <mdx n="508" f="v">
      <t c="3" si="4">
        <n x="509"/>
        <n x="173"/>
        <n x="471"/>
      </t>
    </mdx>
    <mdx n="508" f="v">
      <t c="3" si="4">
        <n x="509"/>
        <n x="350"/>
        <n x="480"/>
      </t>
    </mdx>
    <mdx n="508" f="v">
      <t c="3" si="4">
        <n x="509"/>
        <n x="14"/>
        <n x="481"/>
      </t>
    </mdx>
    <mdx n="508" f="v">
      <t c="3" si="4">
        <n x="509"/>
        <n x="368"/>
        <n x="471"/>
      </t>
    </mdx>
    <mdx n="508" f="v">
      <t c="3" si="4">
        <n x="509"/>
        <n x="50"/>
        <n x="479"/>
      </t>
    </mdx>
    <mdx n="508" f="v">
      <t c="3" si="4">
        <n x="509"/>
        <n x="155"/>
        <n x="480"/>
      </t>
    </mdx>
    <mdx n="508" f="v">
      <t c="3" si="4">
        <n x="509"/>
        <n x="464"/>
        <n x="481"/>
      </t>
    </mdx>
    <mdx n="508" f="v">
      <t c="3" si="4">
        <n x="509"/>
        <n x="437"/>
        <n x="482"/>
      </t>
    </mdx>
    <mdx n="508" f="v">
      <t c="3" si="4">
        <n x="509"/>
        <n x="455"/>
        <n x="483"/>
      </t>
    </mdx>
    <mdx n="508" f="v">
      <t c="3" si="4">
        <n x="509"/>
        <n x="284"/>
        <n x="484"/>
      </t>
    </mdx>
    <mdx n="508" f="v">
      <t c="3" si="4">
        <n x="509"/>
        <n x="92"/>
        <n x="485"/>
      </t>
    </mdx>
    <mdx n="508" f="v">
      <t c="3" si="4">
        <n x="509"/>
        <n x="447"/>
        <n x="486"/>
      </t>
    </mdx>
    <mdx n="508" f="v">
      <t c="3" si="4">
        <n x="509"/>
        <n x="430"/>
        <n x="487"/>
      </t>
    </mdx>
    <mdx n="508" f="v">
      <t c="3" si="4">
        <n x="509"/>
        <n x="247"/>
        <n x="488"/>
      </t>
    </mdx>
    <mdx n="508" f="v">
      <t c="3" si="4">
        <n x="509"/>
        <n x="140"/>
        <n x="480"/>
      </t>
    </mdx>
    <mdx n="508" f="v">
      <t c="3" si="4">
        <n x="509"/>
        <n x="325"/>
        <n x="482"/>
      </t>
    </mdx>
    <mdx n="508" f="v">
      <t c="3" si="4">
        <n x="509"/>
        <n x="191"/>
        <n x="483"/>
      </t>
    </mdx>
    <mdx n="508" f="v">
      <t c="3" si="4">
        <n x="509"/>
        <n x="160"/>
        <n x="485"/>
      </t>
    </mdx>
    <mdx n="508" f="v">
      <t c="3" si="4">
        <n x="509"/>
        <n x="58"/>
        <n x="486"/>
      </t>
    </mdx>
    <mdx n="508" f="v">
      <t c="3" si="4">
        <n x="509"/>
        <n x="315"/>
        <n x="487"/>
      </t>
    </mdx>
    <mdx n="508" f="v">
      <t c="3" si="4">
        <n x="509"/>
        <n x="20"/>
        <n x="488"/>
      </t>
    </mdx>
    <mdx n="508" f="v">
      <t c="3" si="4">
        <n x="509"/>
        <n x="73"/>
        <n x="482"/>
      </t>
    </mdx>
    <mdx n="508" f="v">
      <t c="3" si="4">
        <n x="509"/>
        <n x="285"/>
        <n x="483"/>
      </t>
    </mdx>
    <mdx n="508" f="v">
      <t c="3" si="4">
        <n x="509"/>
        <n x="456"/>
        <n x="484"/>
      </t>
    </mdx>
    <mdx n="508" f="v">
      <t c="3" si="4">
        <n x="509"/>
        <n x="453"/>
        <n x="485"/>
      </t>
    </mdx>
    <mdx n="508" f="v">
      <t c="3" si="4">
        <n x="509"/>
        <n x="449"/>
        <n x="486"/>
      </t>
    </mdx>
    <mdx n="508" f="v">
      <t c="3" si="4">
        <n x="509"/>
        <n x="6"/>
        <n x="487"/>
      </t>
    </mdx>
    <mdx n="508" f="v">
      <t c="3" si="4">
        <n x="509"/>
        <n x="32"/>
        <n x="488"/>
      </t>
    </mdx>
    <mdx n="508" f="v">
      <t c="3" si="4">
        <n x="509"/>
        <n x="304"/>
        <n x="482"/>
      </t>
    </mdx>
    <mdx n="508" f="v">
      <t c="3" si="4">
        <n x="509"/>
        <n x="120"/>
        <n x="483"/>
      </t>
    </mdx>
    <mdx n="508" f="v">
      <t c="3" si="4">
        <n x="509"/>
        <n x="43"/>
        <n x="484"/>
      </t>
    </mdx>
    <mdx n="508" f="v">
      <t c="3" si="4">
        <n x="509"/>
        <n x="445"/>
        <n x="485"/>
      </t>
    </mdx>
    <mdx n="508" f="v">
      <t c="3" si="4">
        <n x="509"/>
        <n x="445"/>
        <n x="486"/>
      </t>
    </mdx>
    <mdx n="508" f="v">
      <t c="3" si="4">
        <n x="509"/>
        <n x="169"/>
        <n x="487"/>
      </t>
    </mdx>
    <mdx n="508" f="v">
      <t c="3" si="4">
        <n x="509"/>
        <n x="421"/>
        <n x="489"/>
      </t>
    </mdx>
    <mdx n="508" f="v">
      <t c="3" si="4">
        <n x="509"/>
        <n x="417"/>
        <n x="486"/>
      </t>
    </mdx>
    <mdx n="508" f="v">
      <t c="3" si="4">
        <n x="509"/>
        <n x="439"/>
        <n x="466"/>
      </t>
    </mdx>
    <mdx n="508" f="v">
      <t c="3" si="4">
        <n x="509"/>
        <n x="87"/>
        <n x="466"/>
      </t>
    </mdx>
    <mdx n="508" f="v">
      <t c="3" si="4">
        <n x="509"/>
        <n x="81"/>
        <n x="466"/>
      </t>
    </mdx>
    <mdx n="508" f="v">
      <t c="3" si="4">
        <n x="509"/>
        <n x="451"/>
        <n x="478"/>
      </t>
    </mdx>
    <mdx n="508" f="v">
      <t c="3" si="4">
        <n x="509"/>
        <n x="431"/>
        <n x="481"/>
      </t>
    </mdx>
    <mdx n="508" f="v">
      <t c="3" si="4">
        <n x="509"/>
        <n x="133"/>
        <n x="479"/>
      </t>
    </mdx>
    <mdx n="508" f="v">
      <t c="3" si="4">
        <n x="509"/>
        <n x="27"/>
        <n x="481"/>
      </t>
    </mdx>
    <mdx n="508" f="v">
      <t c="3" si="4">
        <n x="509"/>
        <n x="232"/>
        <n x="483"/>
      </t>
    </mdx>
    <mdx n="508" f="v">
      <t c="3" si="4">
        <n x="509"/>
        <n x="210"/>
        <n x="484"/>
      </t>
    </mdx>
    <mdx n="508" f="v">
      <t c="3" si="4">
        <n x="509"/>
        <n x="104"/>
        <n x="486"/>
      </t>
    </mdx>
    <mdx n="508" f="v">
      <t c="3" si="4">
        <n x="509"/>
        <n x="236"/>
        <n x="487"/>
      </t>
    </mdx>
    <mdx n="508" f="v">
      <t c="3" si="4">
        <n x="509"/>
        <n x="286"/>
        <n x="489"/>
      </t>
    </mdx>
    <mdx n="508" f="v">
      <t c="3" si="4">
        <n x="509"/>
        <n x="377"/>
        <n x="482"/>
      </t>
    </mdx>
    <mdx n="508" f="v">
      <t c="3" si="4">
        <n x="509"/>
        <n x="82"/>
        <n x="483"/>
      </t>
    </mdx>
    <mdx n="508" f="v">
      <t c="3" si="4">
        <n x="509"/>
        <n x="209"/>
        <n x="485"/>
      </t>
    </mdx>
    <mdx n="508" f="v">
      <t c="3" si="4">
        <n x="509"/>
        <n x="393"/>
        <n x="486"/>
      </t>
    </mdx>
    <mdx n="508" f="v">
      <t c="3" si="4">
        <n x="509"/>
        <n x="167"/>
        <n x="488"/>
      </t>
    </mdx>
    <mdx n="508" f="v">
      <t c="3" si="4">
        <n x="509"/>
        <n x="137"/>
        <n x="482"/>
      </t>
    </mdx>
    <mdx n="508" f="v">
      <t c="3" si="4">
        <n x="509"/>
        <n x="123"/>
        <n x="483"/>
      </t>
    </mdx>
    <mdx n="508" f="v">
      <t c="3" si="4">
        <n x="509"/>
        <n x="119"/>
        <n x="485"/>
      </t>
    </mdx>
    <mdx n="508" f="v">
      <t c="3" si="4">
        <n x="509"/>
        <n x="216"/>
        <n x="486"/>
      </t>
    </mdx>
    <mdx n="508" f="v">
      <t c="3" si="4">
        <n x="509"/>
        <n x="315"/>
        <n x="488"/>
      </t>
    </mdx>
    <mdx n="508" f="v">
      <t c="3" si="4">
        <n x="509"/>
        <n x="387"/>
        <n x="482"/>
      </t>
    </mdx>
    <mdx n="508" f="v">
      <t c="3" si="4">
        <n x="509"/>
        <n x="316"/>
        <n x="483"/>
      </t>
    </mdx>
    <mdx n="508" f="v">
      <t c="3" si="4">
        <n x="509"/>
        <n x="84"/>
        <n x="485"/>
      </t>
    </mdx>
    <mdx n="508" f="v">
      <t c="3" si="4">
        <n x="509"/>
        <n x="399"/>
        <n x="486"/>
      </t>
    </mdx>
    <mdx n="508" f="v">
      <t c="3" si="4">
        <n x="509"/>
        <n x="189"/>
        <n x="488"/>
      </t>
    </mdx>
    <mdx n="508" f="v">
      <t c="3" si="4">
        <n x="509"/>
        <n x="211"/>
        <n x="489"/>
      </t>
    </mdx>
    <mdx n="508" f="v">
      <t c="3" si="4">
        <n x="509"/>
        <n x="405"/>
        <n x="481"/>
      </t>
    </mdx>
    <mdx n="508" f="v">
      <t c="3" si="4">
        <n x="509"/>
        <n x="379"/>
        <n x="482"/>
      </t>
    </mdx>
    <mdx n="508" f="v">
      <t c="3" si="4">
        <n x="509"/>
        <n x="253"/>
        <n x="484"/>
      </t>
    </mdx>
    <mdx n="508" f="v">
      <t c="3" si="4">
        <n x="509"/>
        <n x="421"/>
        <n x="485"/>
      </t>
    </mdx>
    <mdx n="508" f="v">
      <t c="3" si="4">
        <n x="509"/>
        <n x="386"/>
        <n x="486"/>
      </t>
    </mdx>
    <mdx n="508" f="v">
      <t c="3" si="4">
        <n x="509"/>
        <n x="218"/>
        <n x="487"/>
      </t>
    </mdx>
    <mdx n="508" f="v">
      <t c="3" si="4">
        <n x="509"/>
        <n x="213"/>
        <n x="488"/>
      </t>
    </mdx>
    <mdx n="508" f="v">
      <t c="3" si="4">
        <n x="509"/>
        <n x="280"/>
        <n x="489"/>
      </t>
    </mdx>
    <mdx n="508" f="v">
      <t c="3" si="4">
        <n x="509"/>
        <n x="386"/>
        <n x="482"/>
      </t>
    </mdx>
    <mdx n="508" f="v">
      <t c="3" si="4">
        <n x="509"/>
        <n x="360"/>
        <n x="483"/>
      </t>
    </mdx>
    <mdx n="508" f="v">
      <t c="3" si="4">
        <n x="509"/>
        <n x="17"/>
        <n x="484"/>
      </t>
    </mdx>
    <mdx n="508" f="v">
      <t c="3" si="4">
        <n x="509"/>
        <n x="101"/>
        <n x="485"/>
      </t>
    </mdx>
    <mdx n="508" f="v">
      <t c="3" si="4">
        <n x="509"/>
        <n x="28"/>
        <n x="486"/>
      </t>
    </mdx>
    <mdx n="508" f="v">
      <t c="3" si="4">
        <n x="509"/>
        <n x="25"/>
        <n x="487"/>
      </t>
    </mdx>
    <mdx n="508" f="v">
      <t c="3" si="4">
        <n x="509"/>
        <n x="200"/>
        <n x="466"/>
      </t>
    </mdx>
    <mdx n="508" f="v">
      <t c="3" si="4">
        <n x="509"/>
        <n x="93"/>
        <n x="478"/>
      </t>
    </mdx>
    <mdx n="508" f="v">
      <t c="3" si="4">
        <n x="509"/>
        <n x="428"/>
        <n x="471"/>
      </t>
    </mdx>
    <mdx n="508" f="v">
      <t c="3" si="4">
        <n x="509"/>
        <n x="213"/>
        <n x="478"/>
      </t>
    </mdx>
    <mdx n="508" f="v">
      <t c="3" si="4">
        <n x="509"/>
        <n x="414"/>
        <n x="480"/>
      </t>
    </mdx>
    <mdx n="508" f="v">
      <t c="3" si="4">
        <n x="509"/>
        <n x="177"/>
        <n x="480"/>
      </t>
    </mdx>
    <mdx n="508" f="v">
      <t c="3" si="4">
        <n x="509"/>
        <n x="337"/>
        <n x="480"/>
      </t>
    </mdx>
    <mdx n="508" f="v">
      <t c="3" si="4">
        <n x="509"/>
        <n x="79"/>
        <n x="471"/>
      </t>
    </mdx>
    <mdx n="508" f="v">
      <t c="3" si="4">
        <n x="509"/>
        <n x="91"/>
        <n x="480"/>
      </t>
    </mdx>
    <mdx n="508" f="v">
      <t c="3" si="4">
        <n x="509"/>
        <n x="163"/>
        <n x="481"/>
      </t>
    </mdx>
    <mdx n="508" f="v">
      <t c="3" si="4">
        <n x="509"/>
        <n x="144"/>
        <n x="471"/>
      </t>
    </mdx>
    <mdx n="508" f="v">
      <t c="3" si="4">
        <n x="509"/>
        <n x="113"/>
        <n x="479"/>
      </t>
    </mdx>
    <mdx n="508" f="v">
      <t c="3" si="4">
        <n x="509"/>
        <n x="183"/>
        <n x="480"/>
      </t>
    </mdx>
    <mdx n="508" f="v">
      <t c="3" si="4">
        <n x="509"/>
        <n x="218"/>
        <n x="478"/>
      </t>
    </mdx>
    <mdx n="508" f="v">
      <t c="3" si="4">
        <n x="509"/>
        <n x="167"/>
        <n x="482"/>
      </t>
    </mdx>
    <mdx n="508" f="v">
      <t c="3" si="4">
        <n x="509"/>
        <n x="276"/>
        <n x="483"/>
      </t>
    </mdx>
    <mdx n="508" f="v">
      <t c="3" si="4">
        <n x="509"/>
        <n x="196"/>
        <n x="484"/>
      </t>
    </mdx>
    <mdx n="508" f="v">
      <t c="3" si="4">
        <n x="509"/>
        <n x="6"/>
        <n x="485"/>
      </t>
    </mdx>
    <mdx n="508" f="v">
      <t c="3" si="4">
        <n x="509"/>
        <n x="328"/>
        <n x="486"/>
      </t>
    </mdx>
    <mdx n="508" f="v">
      <t c="3" si="4">
        <n x="509"/>
        <n x="195"/>
        <n x="488"/>
      </t>
    </mdx>
    <mdx n="508" f="v">
      <t c="3" si="4">
        <n x="509"/>
        <n x="273"/>
        <n x="489"/>
      </t>
    </mdx>
    <mdx n="508" f="v">
      <t c="3" si="4">
        <n x="509"/>
        <n x="227"/>
        <n x="481"/>
      </t>
    </mdx>
    <mdx n="508" f="v">
      <t c="3" si="4">
        <n x="509"/>
        <n x="437"/>
        <n x="483"/>
      </t>
    </mdx>
    <mdx n="508" f="v">
      <t c="3" si="4">
        <n x="509"/>
        <n x="47"/>
        <n x="484"/>
      </t>
    </mdx>
    <mdx n="508" f="v">
      <t c="3" si="4">
        <n x="509"/>
        <n x="256"/>
        <n x="485"/>
      </t>
    </mdx>
    <mdx n="508" f="v">
      <t c="3" si="4">
        <n x="509"/>
        <n x="200"/>
        <n x="486"/>
      </t>
    </mdx>
    <mdx n="508" f="v">
      <t c="3" si="4">
        <n x="509"/>
        <n x="353"/>
        <n x="487"/>
      </t>
    </mdx>
    <mdx n="508" f="v">
      <t c="3" si="4">
        <n x="509"/>
        <n x="237"/>
        <n x="488"/>
      </t>
    </mdx>
    <mdx n="508" f="v">
      <t c="3" si="4">
        <n x="509"/>
        <n x="88"/>
        <n x="482"/>
      </t>
    </mdx>
    <mdx n="508" f="v">
      <t c="3" si="4">
        <n x="509"/>
        <n x="396"/>
        <n x="483"/>
      </t>
    </mdx>
    <mdx n="508" f="v">
      <t c="3" si="4">
        <n x="509"/>
        <n x="429"/>
        <n x="484"/>
      </t>
    </mdx>
    <mdx n="508" f="v">
      <t c="3" si="4">
        <n x="509"/>
        <n x="61"/>
        <n x="485"/>
      </t>
    </mdx>
    <mdx n="508" f="v">
      <t c="3" si="4">
        <n x="509"/>
        <n x="196"/>
        <n x="486"/>
      </t>
    </mdx>
    <mdx n="508" f="v">
      <t c="3" si="4">
        <n x="509"/>
        <n x="432"/>
        <n x="487"/>
      </t>
    </mdx>
    <mdx n="508" f="v">
      <t c="3" si="4">
        <n x="509"/>
        <n x="341"/>
        <n x="479"/>
      </t>
    </mdx>
    <mdx n="508" f="v">
      <t c="3" si="4">
        <n x="509"/>
        <n x="376"/>
        <n x="482"/>
      </t>
    </mdx>
    <mdx n="508" f="v">
      <t c="3" si="4">
        <n x="509"/>
        <n x="6"/>
        <n x="483"/>
      </t>
    </mdx>
    <mdx n="508" f="v">
      <t c="3" si="4">
        <n x="509"/>
        <n x="104"/>
        <n x="484"/>
      </t>
    </mdx>
    <mdx n="508" f="v">
      <t c="3" si="4">
        <n x="509"/>
        <n x="375"/>
        <n x="485"/>
      </t>
    </mdx>
    <mdx n="508" f="v">
      <t c="3" si="4">
        <n x="509"/>
        <n x="456"/>
        <n x="487"/>
      </t>
    </mdx>
    <mdx n="508" f="v">
      <t c="3" si="4">
        <n x="509"/>
        <n x="42"/>
        <n x="488"/>
      </t>
    </mdx>
    <mdx n="508" f="v">
      <t c="3" si="4">
        <n x="509"/>
        <n x="44"/>
        <n x="489"/>
      </t>
    </mdx>
    <mdx n="508" f="v">
      <t c="3" si="4">
        <n x="509"/>
        <n x="161"/>
        <n x="479"/>
      </t>
    </mdx>
    <mdx n="508" f="v">
      <t c="3" si="4">
        <n x="509"/>
        <n x="356"/>
        <n x="482"/>
      </t>
    </mdx>
    <mdx n="508" f="v">
      <t c="3" si="4">
        <n x="509"/>
        <n x="53"/>
        <n x="483"/>
      </t>
    </mdx>
    <mdx n="508" f="v">
      <t c="3" si="4">
        <n x="509"/>
        <n x="76"/>
        <n x="484"/>
      </t>
    </mdx>
    <mdx n="508" f="v">
      <t c="3" si="4">
        <n x="509"/>
        <n x="61"/>
        <n x="486"/>
      </t>
    </mdx>
    <mdx n="508" f="v">
      <t c="3" si="4">
        <n x="509"/>
        <n x="442"/>
        <n x="487"/>
      </t>
    </mdx>
    <mdx n="508" f="v">
      <t c="3" si="4">
        <n x="509"/>
        <n x="139"/>
        <n x="488"/>
      </t>
    </mdx>
    <mdx n="508" f="v">
      <t c="3" si="4">
        <n x="509"/>
        <n x="15"/>
        <n x="489"/>
      </t>
    </mdx>
    <mdx n="508" f="v">
      <t c="3" si="4">
        <n x="509"/>
        <n x="352"/>
        <n x="482"/>
      </t>
    </mdx>
    <mdx n="508" f="v">
      <t c="3" si="4">
        <n x="509"/>
        <n x="110"/>
        <n x="483"/>
      </t>
    </mdx>
    <mdx n="508" f="v">
      <t c="3" si="4">
        <n x="509"/>
        <n x="221"/>
        <n x="484"/>
      </t>
    </mdx>
    <mdx n="508" f="v">
      <t c="3" si="4">
        <n x="509"/>
        <n x="157"/>
        <n x="485"/>
      </t>
    </mdx>
    <mdx n="508" f="v">
      <t c="3" si="4">
        <n x="509"/>
        <n x="224"/>
        <n x="486"/>
      </t>
    </mdx>
    <mdx n="508" f="v">
      <t c="3" si="4">
        <n x="509"/>
        <n x="389"/>
        <n x="487"/>
      </t>
    </mdx>
    <mdx n="508" f="v">
      <t c="3" si="4">
        <n x="509"/>
        <n x="48"/>
        <n x="488"/>
      </t>
    </mdx>
    <mdx n="508" f="v">
      <t c="3" si="4">
        <n x="509"/>
        <n x="126"/>
        <n x="479"/>
      </t>
    </mdx>
    <mdx n="508" f="v">
      <t c="3" si="4">
        <n x="509"/>
        <n x="175"/>
        <n x="482"/>
      </t>
    </mdx>
    <mdx n="508" f="v">
      <t c="3" si="4">
        <n x="509"/>
        <n x="163"/>
        <n x="483"/>
      </t>
    </mdx>
    <mdx n="508" f="v">
      <t c="3" si="4">
        <n x="509"/>
        <n x="64"/>
        <n x="484"/>
      </t>
    </mdx>
    <mdx n="508" f="v">
      <t c="3" si="4">
        <n x="509"/>
        <n x="48"/>
        <n x="486"/>
      </t>
    </mdx>
    <mdx n="508" f="v">
      <t c="3" si="4">
        <n x="509"/>
        <n x="44"/>
        <n x="487"/>
      </t>
    </mdx>
    <mdx n="508" f="v">
      <t c="3" si="4">
        <n x="509"/>
        <n x="237"/>
        <n x="466"/>
      </t>
    </mdx>
    <mdx n="508" f="v">
      <t c="3" si="4">
        <n x="509"/>
        <n x="127"/>
        <n x="477"/>
      </t>
    </mdx>
    <mdx n="508" f="v">
      <t c="3" si="4">
        <n x="509"/>
        <n x="73"/>
        <n x="477"/>
      </t>
    </mdx>
    <mdx n="508" f="v">
      <t c="3" si="4">
        <n x="509"/>
        <n x="214"/>
        <n x="477"/>
      </t>
    </mdx>
    <mdx n="508" f="v">
      <t c="3" si="4">
        <n x="509"/>
        <n x="268"/>
        <n x="477"/>
      </t>
    </mdx>
    <mdx n="508" f="v">
      <t c="3" si="4">
        <n x="509"/>
        <n x="278"/>
        <n x="480"/>
      </t>
    </mdx>
    <mdx n="508" f="v">
      <t c="3" si="4">
        <n x="509"/>
        <n x="243"/>
        <n x="480"/>
      </t>
    </mdx>
    <mdx n="508" f="v">
      <t c="3" si="4">
        <n x="509"/>
        <n x="136"/>
        <n x="481"/>
      </t>
    </mdx>
    <mdx n="508" f="v">
      <t c="3" si="4">
        <n x="509"/>
        <n x="352"/>
        <n x="479"/>
      </t>
    </mdx>
    <mdx n="508" f="v">
      <t c="3" si="4">
        <n x="509"/>
        <n x="134"/>
        <n x="481"/>
      </t>
    </mdx>
    <mdx n="508" f="v">
      <t c="3" si="4">
        <n x="509"/>
        <n x="178"/>
        <n x="477"/>
      </t>
    </mdx>
    <mdx n="508" f="v">
      <t c="3" si="4">
        <n x="509"/>
        <n x="85"/>
        <n x="471"/>
      </t>
    </mdx>
    <mdx n="508" f="v">
      <t c="3" si="4">
        <n x="509"/>
        <n x="169"/>
        <n x="480"/>
      </t>
    </mdx>
    <mdx n="508" f="v">
      <t c="3" si="4">
        <n x="509"/>
        <n x="368"/>
        <n x="481"/>
      </t>
    </mdx>
    <mdx n="508" f="v">
      <t c="3" si="4">
        <n x="509"/>
        <n x="345"/>
        <n x="481"/>
      </t>
    </mdx>
    <mdx n="508" f="v">
      <t c="3" si="4">
        <n x="509"/>
        <n x="179"/>
        <n x="482"/>
      </t>
    </mdx>
    <mdx n="508" f="v">
      <t c="3" si="4">
        <n x="509"/>
        <n x="3"/>
        <n x="483"/>
      </t>
    </mdx>
    <mdx n="508" f="v">
      <t c="3" si="4">
        <n x="509"/>
        <n x="116"/>
        <n x="485"/>
      </t>
    </mdx>
    <mdx n="508" f="v">
      <t c="3" si="4">
        <n x="509"/>
        <n x="355"/>
        <n x="486"/>
      </t>
    </mdx>
    <mdx n="508" f="v">
      <t c="3" si="4">
        <n x="509"/>
        <n x="342"/>
        <n x="487"/>
      </t>
    </mdx>
    <mdx n="508" f="v">
      <t c="3" si="4">
        <n x="509"/>
        <n x="335"/>
        <n x="488"/>
      </t>
    </mdx>
    <mdx n="508" f="v">
      <t c="3" si="4">
        <n x="509"/>
        <n x="39"/>
        <n x="468"/>
      </t>
    </mdx>
    <mdx n="508" f="v">
      <t c="3" si="4">
        <n x="509"/>
        <n x="323"/>
        <n x="482"/>
      </t>
    </mdx>
    <mdx n="508" f="v">
      <t c="3" si="4">
        <n x="509"/>
        <n x="299"/>
        <n x="483"/>
      </t>
    </mdx>
    <mdx n="508" f="v">
      <t c="3" si="4">
        <n x="509"/>
        <n x="115"/>
        <n x="484"/>
      </t>
    </mdx>
    <mdx n="508" f="v">
      <t c="3" si="4">
        <n x="509"/>
        <n x="248"/>
        <n x="485"/>
      </t>
    </mdx>
    <mdx n="508" f="v">
      <t c="3" si="4">
        <n x="509"/>
        <n x="214"/>
        <n x="486"/>
      </t>
    </mdx>
    <mdx n="508" f="v">
      <t c="3" si="4">
        <n x="509"/>
        <n x="227"/>
        <n x="487"/>
      </t>
    </mdx>
    <mdx n="508" f="v">
      <t c="3" si="4">
        <n x="509"/>
        <n x="237"/>
        <n x="480"/>
      </t>
    </mdx>
    <mdx n="508" f="v">
      <t c="3" si="4">
        <n x="509"/>
        <n x="324"/>
        <n x="482"/>
      </t>
    </mdx>
    <mdx n="508" f="v">
      <t c="3" si="4">
        <n x="509"/>
        <n x="188"/>
        <n x="483"/>
      </t>
    </mdx>
    <mdx n="508" f="v">
      <t c="3" si="4">
        <n x="509"/>
        <n x="148"/>
        <n x="485"/>
      </t>
    </mdx>
    <mdx n="508" f="v">
      <t c="3" si="4">
        <n x="509"/>
        <n x="273"/>
        <n x="486"/>
      </t>
    </mdx>
    <mdx n="508" f="v">
      <t c="3" si="4">
        <n x="509"/>
        <n x="84"/>
        <n x="487"/>
      </t>
    </mdx>
    <mdx n="508" f="v">
      <t c="3" si="4">
        <n x="509"/>
        <n x="394"/>
        <n x="488"/>
      </t>
    </mdx>
    <mdx n="508" f="v">
      <t c="3" si="4">
        <n x="509"/>
        <n x="114"/>
        <n x="481"/>
      </t>
    </mdx>
    <mdx n="508" f="v">
      <t c="3" si="4">
        <n x="509"/>
        <n x="171"/>
        <n x="483"/>
      </t>
    </mdx>
    <mdx n="508" f="v">
      <t c="3" si="4">
        <n x="509"/>
        <n x="167"/>
        <n x="484"/>
      </t>
    </mdx>
    <mdx n="508" f="v">
      <t c="3" si="4">
        <n x="509"/>
        <n x="132"/>
        <n x="485"/>
      </t>
    </mdx>
    <mdx n="508" f="v">
      <t c="3" si="4">
        <n x="509"/>
        <n x="282"/>
        <n x="486"/>
      </t>
    </mdx>
    <mdx n="508" f="v">
      <t c="3" si="4">
        <n x="509"/>
        <n x="48"/>
        <n x="487"/>
      </t>
    </mdx>
    <mdx n="508" f="v">
      <t c="3" si="4">
        <n x="509"/>
        <n x="230"/>
        <n x="488"/>
      </t>
    </mdx>
    <mdx n="508" f="v">
      <t c="3" si="4">
        <n x="509"/>
        <n x="126"/>
        <n x="489"/>
      </t>
    </mdx>
    <mdx n="508" f="v">
      <t c="3" si="4">
        <n x="509"/>
        <n x="90"/>
        <n x="481"/>
      </t>
    </mdx>
    <mdx n="508" f="v">
      <t c="3" si="4">
        <n x="509"/>
        <n x="145"/>
        <n x="483"/>
      </t>
    </mdx>
    <mdx n="508" f="v">
      <t c="3" si="4">
        <n x="509"/>
        <n x="257"/>
        <n x="484"/>
      </t>
    </mdx>
    <mdx n="508" f="v">
      <t c="3" si="4">
        <n x="509"/>
        <n x="220"/>
        <n x="485"/>
      </t>
    </mdx>
    <mdx n="508" f="v">
      <t c="3" si="4">
        <n x="509"/>
        <n x="264"/>
        <n x="486"/>
      </t>
    </mdx>
    <mdx n="508" f="v">
      <t c="3" si="4">
        <n x="509"/>
        <n x="261"/>
        <n x="487"/>
      </t>
    </mdx>
    <mdx n="508" f="v">
      <t c="3" si="4">
        <n x="509"/>
        <n x="380"/>
        <n x="488"/>
      </t>
    </mdx>
    <mdx n="508" f="v">
      <t c="3" si="4">
        <n x="509"/>
        <n x="379"/>
        <n x="478"/>
      </t>
    </mdx>
    <mdx n="508" f="v">
      <t c="3" si="4">
        <n x="509"/>
        <n x="245"/>
        <n x="482"/>
      </t>
    </mdx>
    <mdx n="508" f="v">
      <t c="3" si="4">
        <n x="509"/>
        <n x="438"/>
        <n x="483"/>
      </t>
    </mdx>
    <mdx n="508" f="v">
      <t c="3" si="4">
        <n x="509"/>
        <n x="183"/>
        <n x="484"/>
      </t>
    </mdx>
    <mdx n="508" f="v">
      <t c="3" si="4">
        <n x="509"/>
        <n x="430"/>
        <n x="485"/>
      </t>
    </mdx>
    <mdx n="508" f="v">
      <t c="3" si="4">
        <n x="509"/>
        <n x="73"/>
        <n x="486"/>
      </t>
    </mdx>
    <mdx n="508" f="v">
      <t c="3" si="4">
        <n x="509"/>
        <n x="425"/>
        <n x="488"/>
      </t>
    </mdx>
    <mdx n="508" f="v">
      <t c="3" si="4">
        <n x="509"/>
        <n x="171"/>
        <n x="489"/>
      </t>
    </mdx>
    <mdx n="508" f="v">
      <t c="3" si="4">
        <n x="509"/>
        <n x="80"/>
        <n x="481"/>
      </t>
    </mdx>
    <mdx n="508" f="v">
      <t c="3" si="4">
        <n x="509"/>
        <n x="33"/>
        <n x="483"/>
      </t>
    </mdx>
    <mdx n="508" f="v">
      <t c="3" si="4">
        <n x="509"/>
        <n x="139"/>
        <n x="484"/>
      </t>
    </mdx>
    <mdx n="508" f="v">
      <t c="3" si="4">
        <n x="509"/>
        <n x="15"/>
        <n x="485"/>
      </t>
    </mdx>
    <mdx n="508" f="v">
      <t c="3" si="4">
        <n x="509"/>
        <n x="394"/>
        <n x="468"/>
      </t>
    </mdx>
    <mdx n="508" f="v">
      <t c="3" si="4">
        <n x="509"/>
        <n x="240"/>
        <n x="468"/>
      </t>
    </mdx>
    <mdx n="508" f="v">
      <t c="3" si="4">
        <n x="509"/>
        <n x="82"/>
        <n x="468"/>
      </t>
    </mdx>
    <mdx n="508" f="v">
      <t c="3" si="4">
        <n x="509"/>
        <n x="244"/>
        <n x="468"/>
      </t>
    </mdx>
    <mdx n="508" f="v">
      <t c="3" si="4">
        <n x="509"/>
        <n x="453"/>
        <n x="478"/>
      </t>
    </mdx>
    <mdx n="508" f="v">
      <t c="3" si="4">
        <n x="509"/>
        <n x="197"/>
        <n x="478"/>
      </t>
    </mdx>
    <mdx n="508" f="v">
      <t c="3" si="4">
        <n x="509"/>
        <n x="261"/>
        <n x="480"/>
      </t>
    </mdx>
    <mdx n="508" f="v">
      <t c="3" si="4">
        <n x="509"/>
        <n x="257"/>
        <n x="479"/>
      </t>
    </mdx>
    <mdx n="508" f="v">
      <t c="3" si="4">
        <n x="509"/>
        <n x="228"/>
        <n x="480"/>
      </t>
    </mdx>
    <mdx n="508" f="v">
      <t c="3" si="4">
        <n x="509"/>
        <n x="52"/>
        <n x="468"/>
      </t>
    </mdx>
    <mdx n="508" f="v">
      <t c="3" si="4">
        <n x="509"/>
        <n x="237"/>
        <n x="471"/>
      </t>
    </mdx>
    <mdx n="508" f="v">
      <t c="3" si="4">
        <n x="509"/>
        <n x="383"/>
        <n x="479"/>
      </t>
    </mdx>
    <mdx n="508" f="v">
      <t c="3" si="4">
        <n x="509"/>
        <n x="100"/>
        <n x="480"/>
      </t>
    </mdx>
    <mdx n="508" f="v">
      <t c="3" si="4">
        <n x="509"/>
        <n x="178"/>
        <n x="479"/>
      </t>
    </mdx>
    <mdx n="508" f="v">
      <t c="3" si="4">
        <n x="509"/>
        <n x="396"/>
        <n x="482"/>
      </t>
    </mdx>
    <mdx n="508" f="v">
      <t c="3" si="4">
        <n x="509"/>
        <n x="108"/>
        <n x="483"/>
      </t>
    </mdx>
    <mdx n="508" f="v">
      <t c="3" si="4">
        <n x="509"/>
        <n x="404"/>
        <n x="484"/>
      </t>
    </mdx>
    <mdx n="508" f="v">
      <t c="3" si="4">
        <n x="509"/>
        <n x="229"/>
        <n x="485"/>
      </t>
    </mdx>
    <mdx n="508" f="v">
      <t c="3" si="4">
        <n x="509"/>
        <n x="187"/>
        <n x="487"/>
      </t>
    </mdx>
    <mdx n="508" f="v">
      <t c="3" si="4">
        <n x="509"/>
        <n x="305"/>
        <n x="488"/>
      </t>
    </mdx>
    <mdx n="508" f="v">
      <t c="3" si="4">
        <n x="509"/>
        <n x="284"/>
        <n x="489"/>
      </t>
    </mdx>
    <mdx n="508" f="v">
      <t c="3" si="4">
        <n x="509"/>
        <n x="190"/>
        <n x="482"/>
      </t>
    </mdx>
    <mdx n="508" f="v">
      <t c="3" si="4">
        <n x="509"/>
        <n x="212"/>
        <n x="483"/>
      </t>
    </mdx>
    <mdx n="508" f="v">
      <t c="3" si="4">
        <n x="509"/>
        <n x="87"/>
        <n x="484"/>
      </t>
    </mdx>
    <mdx n="508" f="v">
      <t c="3" si="4">
        <n x="509"/>
        <n x="224"/>
        <n x="485"/>
      </t>
    </mdx>
    <mdx n="508" f="v">
      <t c="3" si="4">
        <n x="509"/>
        <n x="202"/>
        <n x="486"/>
      </t>
    </mdx>
    <mdx n="508" f="v">
      <t c="3" si="4">
        <n x="509"/>
        <n x="274"/>
        <n x="487"/>
      </t>
    </mdx>
    <mdx n="508" f="v">
      <t c="3" si="4">
        <n x="509"/>
        <n x="248"/>
        <n x="471"/>
      </t>
    </mdx>
    <mdx n="508" f="v">
      <t c="3" si="4">
        <n x="509"/>
        <n x="394"/>
        <n x="482"/>
      </t>
    </mdx>
    <mdx n="508" f="v">
      <t c="3" si="4">
        <n x="509"/>
        <n x="109"/>
        <n x="483"/>
      </t>
    </mdx>
    <mdx n="508" f="v">
      <t c="3" si="4">
        <n x="509"/>
        <n x="324"/>
        <n x="484"/>
      </t>
    </mdx>
    <mdx n="508" f="v">
      <t c="3" si="4">
        <n x="509"/>
        <n x="452"/>
        <n x="485"/>
      </t>
    </mdx>
    <mdx n="508" f="v">
      <t c="3" si="4">
        <n x="509"/>
        <n x="103"/>
        <n x="486"/>
      </t>
    </mdx>
    <mdx n="508" f="v">
      <t c="3" si="4">
        <n x="509"/>
        <n x="279"/>
        <n x="488"/>
      </t>
    </mdx>
    <mdx n="508" f="v">
      <t c="3" si="4">
        <n x="509"/>
        <n x="344"/>
        <n x="480"/>
      </t>
    </mdx>
    <mdx n="508" f="v">
      <t c="3" si="4">
        <n x="509"/>
        <n x="276"/>
        <n x="482"/>
      </t>
    </mdx>
    <mdx n="508" f="v">
      <t c="3" si="4">
        <n x="509"/>
        <n x="35"/>
        <n x="483"/>
      </t>
    </mdx>
    <mdx n="508" f="v">
      <t c="3" si="4">
        <n x="509"/>
        <n x="273"/>
        <n x="485"/>
      </t>
    </mdx>
    <mdx n="508" f="v">
      <t c="3" si="4">
        <n x="509"/>
        <n x="30"/>
        <n x="486"/>
      </t>
    </mdx>
    <mdx n="508" f="v">
      <t c="3" si="4">
        <n x="509"/>
        <n x="463"/>
        <n x="487"/>
      </t>
    </mdx>
    <mdx n="508" f="v">
      <t c="3" si="4">
        <n x="509"/>
        <n x="359"/>
        <n x="488"/>
      </t>
    </mdx>
    <mdx n="508" f="v">
      <t c="3" si="4">
        <n x="509"/>
        <n x="285"/>
        <n x="489"/>
      </t>
    </mdx>
    <mdx n="508" f="v">
      <t c="3" si="4">
        <n x="509"/>
        <n x="158"/>
        <n x="481"/>
      </t>
    </mdx>
    <mdx n="508" f="v">
      <t c="3" si="4">
        <n x="509"/>
        <n x="60"/>
        <n x="482"/>
      </t>
    </mdx>
    <mdx n="508" f="v">
      <t c="3" si="4">
        <n x="509"/>
        <n x="398"/>
        <n x="483"/>
      </t>
    </mdx>
    <mdx n="508" f="v">
      <t c="3" si="4">
        <n x="509"/>
        <n x="423"/>
        <n x="485"/>
      </t>
    </mdx>
    <mdx n="508" f="v">
      <t c="3" si="4">
        <n x="509"/>
        <n x="232"/>
        <n x="486"/>
      </t>
    </mdx>
    <mdx n="508" f="v">
      <t c="3" si="4">
        <n x="509"/>
        <n x="66"/>
        <n x="487"/>
      </t>
    </mdx>
    <mdx n="508" f="v">
      <t c="3" si="4">
        <n x="509"/>
        <n x="157"/>
        <n x="488"/>
      </t>
    </mdx>
    <mdx n="508" f="v">
      <t c="3" si="4">
        <n x="509"/>
        <n x="361"/>
        <n x="489"/>
      </t>
    </mdx>
    <mdx n="508" f="v">
      <t c="3" si="4">
        <n x="509"/>
        <n x="327"/>
        <n x="482"/>
      </t>
    </mdx>
    <mdx n="508" f="v">
      <t c="3" si="4">
        <n x="509"/>
        <n x="15"/>
        <n x="483"/>
      </t>
    </mdx>
    <mdx n="508" f="v">
      <t c="3" si="4">
        <n x="509"/>
        <n x="70"/>
        <n x="484"/>
      </t>
    </mdx>
    <mdx n="508" f="v">
      <t c="3" si="4">
        <n x="509"/>
        <n x="62"/>
        <n x="485"/>
      </t>
    </mdx>
    <mdx n="508" f="v">
      <t c="3" si="4">
        <n x="509"/>
        <n x="140"/>
        <n x="486"/>
      </t>
    </mdx>
    <mdx n="508" f="v">
      <t c="3" si="4">
        <n x="509"/>
        <n x="395"/>
        <n x="487"/>
      </t>
    </mdx>
    <mdx n="508" f="v">
      <t c="3" si="4">
        <n x="509"/>
        <n x="81"/>
        <n x="488"/>
      </t>
    </mdx>
    <mdx n="508" f="v">
      <t c="3" si="4">
        <n x="509"/>
        <n x="456"/>
        <n x="481"/>
      </t>
    </mdx>
    <mdx n="508" f="v">
      <t c="3" si="4">
        <n x="509"/>
        <n x="50"/>
        <n x="482"/>
      </t>
    </mdx>
    <mdx n="508" f="v">
      <t c="3" si="4">
        <n x="509"/>
        <n x="397"/>
        <n x="483"/>
      </t>
    </mdx>
    <mdx n="508" f="v">
      <t c="3" si="4">
        <n x="509"/>
        <n x="416"/>
        <n x="485"/>
      </t>
    </mdx>
    <mdx n="508" f="v">
      <t c="3" si="4">
        <n x="509"/>
        <n x="226"/>
        <n x="486"/>
      </t>
    </mdx>
    <mdx n="508" f="v">
      <t c="3" si="4">
        <n x="509"/>
        <n x="447"/>
        <n x="487"/>
      </t>
    </mdx>
    <mdx n="508" f="v">
      <t c="3" si="4">
        <n x="509"/>
        <n x="276"/>
        <n x="466"/>
      </t>
    </mdx>
    <mdx n="508" f="v">
      <t c="3" si="4">
        <n x="509"/>
        <n x="38"/>
        <n x="476"/>
      </t>
    </mdx>
    <mdx n="508" f="v">
      <t c="3" si="4">
        <n x="509"/>
        <n x="171"/>
        <n x="477"/>
      </t>
    </mdx>
    <mdx n="508" f="v">
      <t c="3" si="4">
        <n x="509"/>
        <n x="107"/>
        <n x="476"/>
      </t>
    </mdx>
    <mdx n="508" f="v">
      <t c="3" si="4">
        <n x="509"/>
        <n x="136"/>
        <n x="476"/>
      </t>
    </mdx>
    <mdx n="508" f="v">
      <t c="3" si="4">
        <n x="509"/>
        <n x="369"/>
        <n x="479"/>
      </t>
    </mdx>
    <mdx n="508" f="v">
      <t c="3" si="4">
        <n x="509"/>
        <n x="442"/>
        <n x="479"/>
      </t>
    </mdx>
    <mdx n="508" f="v">
      <t c="3" si="4">
        <n x="509"/>
        <n x="220"/>
        <n x="481"/>
      </t>
    </mdx>
    <mdx n="508" f="v">
      <t c="3" si="4">
        <n x="509"/>
        <n x="97"/>
        <n x="479"/>
      </t>
    </mdx>
    <mdx n="508" f="v">
      <t c="3" si="4">
        <n x="509"/>
        <n x="209"/>
        <n x="486"/>
      </t>
    </mdx>
    <mdx n="508" f="v">
      <t c="3" si="4">
        <n x="509"/>
        <n x="234"/>
        <n x="478"/>
      </t>
    </mdx>
    <mdx n="508" f="v">
      <t c="3" si="4">
        <n x="509"/>
        <n x="231"/>
        <n x="478"/>
      </t>
    </mdx>
    <mdx n="508" f="v">
      <t c="3" si="4">
        <n x="509"/>
        <n x="6"/>
        <n x="480"/>
      </t>
    </mdx>
    <mdx n="508" f="v">
      <t c="3" si="4">
        <n x="509"/>
        <n x="86"/>
        <n x="471"/>
      </t>
    </mdx>
    <mdx n="508" f="v">
      <t c="3" si="4">
        <n x="509"/>
        <n x="366"/>
        <n x="481"/>
      </t>
    </mdx>
    <mdx n="508" f="v">
      <t c="3" si="4">
        <n x="509"/>
        <n x="399"/>
        <n x="479"/>
      </t>
    </mdx>
    <mdx n="508" f="v">
      <t c="3" si="4">
        <n x="509"/>
        <n x="398"/>
        <n x="477"/>
      </t>
    </mdx>
    <mdx n="508" f="v">
      <t c="3" si="4">
        <n x="509"/>
        <n x="181"/>
        <n x="483"/>
      </t>
    </mdx>
    <mdx n="508" f="v">
      <t c="3" si="4">
        <n x="509"/>
        <n x="185"/>
        <n x="484"/>
      </t>
    </mdx>
    <mdx n="508" f="v">
      <t c="3" si="4">
        <n x="509"/>
        <n x="256"/>
        <n x="486"/>
      </t>
    </mdx>
    <mdx n="508" f="v">
      <t c="3" si="4">
        <n x="509"/>
        <n x="311"/>
        <n x="487"/>
      </t>
    </mdx>
    <mdx n="508" f="v">
      <t c="3" si="4">
        <n x="509"/>
        <n x="245"/>
        <n x="489"/>
      </t>
    </mdx>
    <mdx n="508" f="v">
      <t c="3" si="4">
        <n x="509"/>
        <n x="417"/>
        <n x="482"/>
      </t>
    </mdx>
    <mdx n="508" f="v">
      <t c="3" si="4">
        <n x="509"/>
        <n x="424"/>
        <n x="484"/>
      </t>
    </mdx>
    <mdx n="508" f="v">
      <t c="3" si="4">
        <n x="509"/>
        <n x="162"/>
        <n x="485"/>
      </t>
    </mdx>
    <mdx n="508" f="v">
      <t c="3" si="4">
        <n x="509"/>
        <n x="239"/>
        <n x="486"/>
      </t>
    </mdx>
    <mdx n="508" f="v">
      <t c="3" si="4">
        <n x="509"/>
        <n x="98"/>
        <n x="488"/>
      </t>
    </mdx>
    <mdx n="508" f="v">
      <t c="3" si="4">
        <n x="509"/>
        <n x="217"/>
        <n x="482"/>
      </t>
    </mdx>
    <mdx n="508" f="v">
      <t c="3" si="4">
        <n x="509"/>
        <n x="298"/>
        <n x="484"/>
      </t>
    </mdx>
    <mdx n="508" f="v">
      <t c="3" si="4">
        <n x="509"/>
        <n x="64"/>
        <n x="485"/>
      </t>
    </mdx>
    <mdx n="508" f="v">
      <t c="3" si="4">
        <n x="509"/>
        <n x="362"/>
        <n x="486"/>
      </t>
    </mdx>
    <mdx n="508" f="v">
      <t c="3" si="4">
        <n x="509"/>
        <n x="400"/>
        <n x="488"/>
      </t>
    </mdx>
    <mdx n="508" f="v">
      <t c="3" si="4">
        <n x="509"/>
        <n x="442"/>
        <n x="482"/>
      </t>
    </mdx>
    <mdx n="508" f="v">
      <t c="3" si="4">
        <n x="509"/>
        <n x="68"/>
        <n x="483"/>
      </t>
    </mdx>
    <mdx n="508" f="v">
      <t c="3" si="4">
        <n x="509"/>
        <n x="439"/>
        <n x="485"/>
      </t>
    </mdx>
    <mdx n="508" f="v">
      <t c="3" si="4">
        <n x="509"/>
        <n x="35"/>
        <n x="486"/>
      </t>
    </mdx>
    <mdx n="508" f="v">
      <t c="3" si="4">
        <n x="509"/>
        <n x="25"/>
        <n x="488"/>
      </t>
    </mdx>
    <mdx n="508" f="v">
      <t c="3" si="4">
        <n x="509"/>
        <n x="353"/>
        <n x="489"/>
      </t>
    </mdx>
    <mdx n="508" f="v">
      <t c="3" si="4">
        <n x="509"/>
        <n x="398"/>
        <n x="481"/>
      </t>
    </mdx>
    <mdx n="508" f="v">
      <t c="3" si="4">
        <n x="509"/>
        <n x="443"/>
        <n x="483"/>
      </t>
    </mdx>
    <mdx n="508" f="v">
      <t c="3" si="4">
        <n x="509"/>
        <n x="59"/>
        <n x="484"/>
      </t>
    </mdx>
    <mdx n="508" f="v">
      <t c="3" si="4">
        <n x="509"/>
        <n x="361"/>
        <n x="485"/>
      </t>
    </mdx>
    <mdx n="508" f="v">
      <t c="3" si="4">
        <n x="509"/>
        <n x="394"/>
        <n x="486"/>
      </t>
    </mdx>
    <mdx n="508" f="v">
      <t c="3" si="4">
        <n x="509"/>
        <n x="61"/>
        <n x="487"/>
      </t>
    </mdx>
    <mdx n="508" f="v">
      <t c="3" si="4">
        <n x="509"/>
        <n x="334"/>
        <n x="488"/>
      </t>
    </mdx>
    <mdx n="508" f="v">
      <t c="3" si="4">
        <n x="509"/>
        <n x="48"/>
        <n x="477"/>
      </t>
    </mdx>
    <mdx n="508" f="v">
      <t c="3" si="4">
        <n x="509"/>
        <n x="196"/>
        <n x="482"/>
      </t>
    </mdx>
    <mdx n="508" f="v">
      <t c="3" si="4">
        <n x="509"/>
        <n x="71"/>
        <n x="483"/>
      </t>
    </mdx>
    <mdx n="508" f="v">
      <t c="3" si="4">
        <n x="509"/>
        <n x="78"/>
        <n x="484"/>
      </t>
    </mdx>
    <mdx n="508" f="v">
      <t c="3" si="4">
        <n x="509"/>
        <n x="108"/>
        <n x="485"/>
      </t>
    </mdx>
    <mdx n="508" f="v">
      <t c="3" si="4">
        <n x="509"/>
        <n x="288"/>
        <n x="486"/>
      </t>
    </mdx>
    <mdx n="508" f="v">
      <t c="3" si="4">
        <n x="509"/>
        <n x="307"/>
        <n x="487"/>
      </t>
    </mdx>
    <mdx n="508" f="v">
      <t c="3" si="4">
        <n x="509"/>
        <n x="329"/>
        <n x="466"/>
      </t>
    </mdx>
    <mdx n="508" f="v">
      <t c="3" si="4">
        <n x="509"/>
        <n x="23"/>
        <n x="466"/>
      </t>
    </mdx>
    <mdx n="508" f="v">
      <t c="3" si="4">
        <n x="509"/>
        <n x="42"/>
        <n x="468"/>
      </t>
    </mdx>
    <mdx n="508" f="v">
      <t c="3" si="4">
        <n x="509"/>
        <n x="250"/>
        <n x="468"/>
      </t>
    </mdx>
    <mdx n="508" f="v">
      <t c="3" si="4">
        <n x="509"/>
        <n x="377"/>
        <n x="468"/>
      </t>
    </mdx>
    <mdx n="508" f="v">
      <t c="3" si="4">
        <n x="509"/>
        <n x="301"/>
        <n x="476"/>
      </t>
    </mdx>
    <mdx n="508" f="v">
      <t c="3" si="4">
        <n x="509"/>
        <n x="10"/>
        <n x="477"/>
      </t>
    </mdx>
    <mdx n="508" f="v">
      <t c="3" si="4">
        <n x="509"/>
        <n x="276"/>
        <n x="480"/>
      </t>
    </mdx>
    <mdx n="508" f="v">
      <t c="3" si="4">
        <n x="509"/>
        <n x="44"/>
        <n x="479"/>
      </t>
    </mdx>
    <mdx n="508" f="v">
      <t c="3" si="4">
        <n x="509"/>
        <n x="163"/>
        <n x="480"/>
      </t>
    </mdx>
    <mdx n="508" f="v">
      <t c="3" si="4">
        <n x="509"/>
        <n x="20"/>
        <n x="468"/>
      </t>
    </mdx>
    <mdx n="508" f="v">
      <t c="3" si="4">
        <n x="509"/>
        <n x="399"/>
        <n x="471"/>
      </t>
    </mdx>
    <mdx n="508" f="v">
      <t c="3" si="4">
        <n x="509"/>
        <n x="34"/>
        <n x="479"/>
      </t>
    </mdx>
    <mdx n="508" f="v">
      <t c="3" si="4">
        <n x="509"/>
        <n x="332"/>
        <n x="480"/>
      </t>
    </mdx>
    <mdx n="508" f="v">
      <t c="3" si="4">
        <n x="509"/>
        <n x="134"/>
        <n x="479"/>
      </t>
    </mdx>
    <mdx n="508" f="v">
      <t c="3" si="4">
        <n x="509"/>
        <n x="422"/>
        <n x="482"/>
      </t>
    </mdx>
    <mdx n="508" f="v">
      <t c="3" si="4">
        <n x="509"/>
        <n x="340"/>
        <n x="483"/>
      </t>
    </mdx>
    <mdx n="508" f="v">
      <t c="3" si="4">
        <n x="509"/>
        <n x="430"/>
        <n x="484"/>
      </t>
    </mdx>
    <mdx n="508" f="v">
      <t c="3" si="4">
        <n x="509"/>
        <n x="152"/>
        <n x="485"/>
      </t>
    </mdx>
    <mdx n="508" f="v">
      <t c="3" si="4">
        <n x="509"/>
        <n x="234"/>
        <n x="487"/>
      </t>
    </mdx>
    <mdx n="508" f="v">
      <t c="3" si="4">
        <n x="509"/>
        <n x="235"/>
        <n x="488"/>
      </t>
    </mdx>
    <mdx n="508" f="v">
      <t c="3" si="4">
        <n x="509"/>
        <n x="119"/>
        <n x="489"/>
      </t>
    </mdx>
    <mdx n="508" f="v">
      <t c="3" si="4">
        <n x="509"/>
        <n x="111"/>
        <n x="482"/>
      </t>
    </mdx>
    <mdx n="508" f="v">
      <t c="3" si="4">
        <n x="509"/>
        <n x="23"/>
        <n x="483"/>
      </t>
    </mdx>
    <mdx n="508" f="v">
      <t c="3" si="4">
        <n x="509"/>
        <n x="241"/>
        <n x="484"/>
      </t>
    </mdx>
    <mdx n="508" f="v">
      <t c="3" si="4">
        <n x="509"/>
        <n x="255"/>
        <n x="485"/>
      </t>
    </mdx>
    <mdx n="508" f="v">
      <t c="3" si="4">
        <n x="509"/>
        <n x="453"/>
        <n x="486"/>
      </t>
    </mdx>
    <mdx n="508" f="v">
      <t c="3" si="4">
        <n x="509"/>
        <n x="358"/>
        <n x="487"/>
      </t>
    </mdx>
    <mdx n="508" f="v">
      <t c="3" si="4">
        <n x="509"/>
        <n x="179"/>
        <n x="471"/>
      </t>
    </mdx>
    <mdx n="508" f="v">
      <t c="3" si="4">
        <n x="509"/>
        <n x="446"/>
        <n x="482"/>
      </t>
    </mdx>
    <mdx n="508" f="v">
      <t c="3" si="4">
        <n x="509"/>
        <n x="341"/>
        <n x="483"/>
      </t>
    </mdx>
    <mdx n="508" f="v">
      <t c="3" si="4">
        <n x="509"/>
        <n x="346"/>
        <n x="484"/>
      </t>
    </mdx>
    <mdx n="508" f="v">
      <t c="3" si="4">
        <n x="509"/>
        <n x="118"/>
        <n x="485"/>
      </t>
    </mdx>
    <mdx n="508" f="v">
      <t c="3" si="4">
        <n x="509"/>
        <n x="415"/>
        <n x="486"/>
      </t>
    </mdx>
    <mdx n="508" f="v">
      <t c="3" si="4">
        <n x="509"/>
        <n x="424"/>
        <n x="488"/>
      </t>
    </mdx>
    <mdx n="508" f="v">
      <t c="3" si="4">
        <n x="509"/>
        <n x="106"/>
        <n x="480"/>
      </t>
    </mdx>
    <mdx n="508" f="v">
      <t c="3" si="4">
        <n x="509"/>
        <n x="392"/>
        <n x="482"/>
      </t>
    </mdx>
    <mdx n="508" f="v">
      <t c="3" si="4">
        <n x="509"/>
        <n x="444"/>
        <n x="483"/>
      </t>
    </mdx>
    <mdx n="508" f="v">
      <t c="3" si="4">
        <n x="509"/>
        <n x="135"/>
        <n x="485"/>
      </t>
    </mdx>
    <mdx n="508" f="v">
      <t c="3" si="4">
        <n x="509"/>
        <n x="440"/>
        <n x="486"/>
      </t>
    </mdx>
    <mdx n="508" f="v">
      <t c="3" si="4">
        <n x="509"/>
        <n x="368"/>
        <n x="487"/>
      </t>
    </mdx>
    <mdx n="508" f="v">
      <t c="3" si="4">
        <n x="509"/>
        <n x="391"/>
        <n x="488"/>
      </t>
    </mdx>
    <mdx n="508" f="v">
      <t c="3" si="4">
        <n x="509"/>
        <n x="148"/>
        <n x="480"/>
      </t>
    </mdx>
    <mdx n="508" f="v">
      <t c="3" si="4">
        <n x="509"/>
        <n x="96"/>
        <n x="482"/>
      </t>
    </mdx>
    <mdx n="508" f="v">
      <t c="3" si="4">
        <n x="509"/>
        <n x="428"/>
        <n x="483"/>
      </t>
    </mdx>
    <mdx n="508" f="v">
      <t c="3" si="4">
        <n x="509"/>
        <n x="450"/>
        <n x="485"/>
      </t>
    </mdx>
    <mdx n="508" f="v">
      <t c="3" si="4">
        <n x="509"/>
        <n x="419"/>
        <n x="486"/>
      </t>
    </mdx>
    <mdx n="508" f="v">
      <t c="3" si="4">
        <n x="509"/>
        <n x="431"/>
        <n x="487"/>
      </t>
    </mdx>
    <mdx n="508" f="v">
      <t c="3" si="4">
        <n x="509"/>
        <n x="93"/>
        <n x="488"/>
      </t>
    </mdx>
    <mdx n="508" f="v">
      <t c="3" si="4">
        <n x="509"/>
        <n x="376"/>
        <n x="489"/>
      </t>
    </mdx>
    <mdx n="508" f="v">
      <t c="3" si="4">
        <n x="509"/>
        <n x="158"/>
        <n x="482"/>
      </t>
    </mdx>
    <mdx n="508" f="v">
      <t c="3" si="4">
        <n x="509"/>
        <n x="157"/>
        <n x="483"/>
      </t>
    </mdx>
    <mdx n="508" f="v">
      <t c="3" si="4">
        <n x="509"/>
        <n x="455"/>
        <n x="484"/>
      </t>
    </mdx>
    <mdx n="508" f="v">
      <t c="3" si="4">
        <n x="509"/>
        <n x="206"/>
        <n x="485"/>
      </t>
    </mdx>
    <mdx n="508" f="v">
      <t c="3" si="4">
        <n x="509"/>
        <n x="356"/>
        <n x="486"/>
      </t>
    </mdx>
    <mdx n="508" f="v">
      <t c="3" si="4">
        <n x="509"/>
        <n x="39"/>
        <n x="487"/>
      </t>
    </mdx>
    <mdx n="508" f="v">
      <t c="3" si="4">
        <n x="509"/>
        <n x="124"/>
        <n x="488"/>
      </t>
    </mdx>
    <mdx n="508" f="v">
      <t c="3" si="4">
        <n x="509"/>
        <n x="388"/>
        <n x="480"/>
      </t>
    </mdx>
    <mdx n="508" f="v">
      <t c="3" si="4">
        <n x="509"/>
        <n x="308"/>
        <n x="482"/>
      </t>
    </mdx>
    <mdx n="508" f="v">
      <t c="3" si="4">
        <n x="509"/>
        <n x="424"/>
        <n x="483"/>
      </t>
    </mdx>
    <mdx n="508" f="v">
      <t c="3" si="4">
        <n x="509"/>
        <n x="279"/>
        <n x="485"/>
      </t>
    </mdx>
    <mdx n="508" f="v">
      <t c="3" si="4">
        <n x="509"/>
        <n x="263"/>
        <n x="486"/>
      </t>
    </mdx>
    <mdx n="508" f="v">
      <t c="3" si="4">
        <n x="509"/>
        <n x="456"/>
        <n x="478"/>
      </t>
    </mdx>
    <mdx n="508" f="v">
      <t c="3" si="4">
        <n x="509"/>
        <n x="414"/>
        <n x="466"/>
      </t>
    </mdx>
    <mdx n="508" f="v">
      <t c="3" si="4">
        <n x="509"/>
        <n x="177"/>
        <n x="478"/>
      </t>
    </mdx>
    <mdx n="508" f="v">
      <t c="3" si="4">
        <n x="509"/>
        <n x="97"/>
        <n x="478"/>
      </t>
    </mdx>
    <mdx n="508" f="v">
      <t c="3" si="4">
        <n x="509"/>
        <n x="190"/>
        <n x="481"/>
      </t>
    </mdx>
    <mdx n="508" f="v">
      <t c="3" si="4">
        <n x="509"/>
        <n x="283"/>
        <n x="481"/>
      </t>
    </mdx>
    <mdx n="508" f="v">
      <t c="3" si="4">
        <n x="509"/>
        <n x="428"/>
        <n x="477"/>
      </t>
    </mdx>
    <mdx n="508" f="v">
      <t c="3" si="4">
        <n x="509"/>
        <n x="3"/>
        <n x="479"/>
      </t>
    </mdx>
    <mdx n="508" f="v">
      <t c="3" si="4">
        <n x="509"/>
        <n x="60"/>
        <n x="481"/>
      </t>
    </mdx>
    <mdx n="508" f="v">
      <t c="3" si="4">
        <n x="509"/>
        <n x="198"/>
        <n x="478"/>
      </t>
    </mdx>
    <mdx n="508" f="v">
      <t c="3" si="4">
        <n x="509"/>
        <n x="270"/>
        <n x="479"/>
      </t>
    </mdx>
    <mdx n="508" f="v">
      <t c="3" si="4">
        <n x="509"/>
        <n x="232"/>
        <n x="480"/>
      </t>
    </mdx>
    <mdx n="508" f="v">
      <t c="3" si="4">
        <n x="509"/>
        <n x="269"/>
        <n x="481"/>
      </t>
    </mdx>
    <mdx n="508" f="v">
      <t c="3" si="4">
        <n x="509"/>
        <n x="63"/>
        <n x="481"/>
      </t>
    </mdx>
    <mdx n="508" f="v">
      <t c="3" si="4">
        <n x="509"/>
        <n x="430"/>
        <n x="483"/>
      </t>
    </mdx>
    <mdx n="508" f="v">
      <t c="3" si="4">
        <n x="509"/>
        <n x="116"/>
        <n x="484"/>
      </t>
    </mdx>
    <mdx n="508" f="v">
      <t c="3" si="4">
        <n x="509"/>
        <n x="23"/>
        <n x="485"/>
      </t>
    </mdx>
    <mdx n="508" f="v">
      <t c="3" si="4">
        <n x="509"/>
        <n x="285"/>
        <n x="486"/>
      </t>
    </mdx>
    <mdx n="508" f="v">
      <t c="3" si="4">
        <n x="509"/>
        <n x="441"/>
        <n x="487"/>
      </t>
    </mdx>
    <mdx n="508" f="v">
      <t c="3" si="4">
        <n x="509"/>
        <n x="180"/>
        <n x="488"/>
      </t>
    </mdx>
    <mdx n="508" f="v">
      <t c="3" si="4">
        <n x="509"/>
        <n x="325"/>
        <n x="471"/>
      </t>
    </mdx>
    <mdx n="508" f="v">
      <t c="3" si="4">
        <n x="509"/>
        <n x="72"/>
        <n x="482"/>
      </t>
    </mdx>
    <mdx n="508" f="v">
      <t c="3" si="4">
        <n x="509"/>
        <n x="91"/>
        <n x="483"/>
      </t>
    </mdx>
    <mdx n="508" f="v">
      <t c="3" si="4">
        <n x="509"/>
        <n x="316"/>
        <n x="484"/>
      </t>
    </mdx>
    <mdx n="508" f="v">
      <t c="3" si="4">
        <n x="509"/>
        <n x="204"/>
        <n x="485"/>
      </t>
    </mdx>
    <mdx n="508" f="v">
      <t c="3" si="4">
        <n x="509"/>
        <n x="307"/>
        <n x="486"/>
      </t>
    </mdx>
    <mdx n="508" f="v">
      <t c="3" si="4">
        <n x="509"/>
        <n x="270"/>
        <n x="488"/>
      </t>
    </mdx>
    <mdx n="508" f="v">
      <t c="3" si="4">
        <n x="509"/>
        <n x="36"/>
        <n x="481"/>
      </t>
    </mdx>
    <mdx n="508" f="v">
      <t c="3" si="4">
        <n x="509"/>
        <n x="388"/>
        <n x="482"/>
      </t>
    </mdx>
    <mdx n="508" f="v">
      <t c="3" si="4">
        <n x="509"/>
        <n x="152"/>
        <n x="484"/>
      </t>
    </mdx>
    <mdx n="508" f="v">
      <t c="3" si="4">
        <n x="509"/>
        <n x="436"/>
        <n x="485"/>
      </t>
    </mdx>
    <mdx n="508" f="v">
      <t c="3" si="4">
        <n x="509"/>
        <n x="119"/>
        <n x="486"/>
      </t>
    </mdx>
    <mdx n="508" f="v">
      <t c="3" si="4">
        <n x="509"/>
        <n x="109"/>
        <n x="487"/>
      </t>
    </mdx>
    <mdx n="508" f="v">
      <t c="3" si="4">
        <n x="509"/>
        <n x="92"/>
        <n x="488"/>
      </t>
    </mdx>
    <mdx n="508" f="v">
      <t c="3" si="4">
        <n x="509"/>
        <n x="12"/>
        <n x="482"/>
      </t>
    </mdx>
    <mdx n="508" f="v">
      <t c="3" si="4">
        <n x="509"/>
        <n x="119"/>
        <n x="483"/>
      </t>
    </mdx>
    <mdx n="508" f="v">
      <t c="3" si="4">
        <n x="509"/>
        <n x="233"/>
        <n x="484"/>
      </t>
    </mdx>
    <mdx n="508" f="v">
      <t c="3" si="4">
        <n x="509"/>
        <n x="29"/>
        <n x="485"/>
      </t>
    </mdx>
    <mdx n="508" f="v">
      <t c="3" si="4">
        <n x="509"/>
        <n x="360"/>
        <n x="486"/>
      </t>
    </mdx>
    <mdx n="508" f="v">
      <t c="3" si="4">
        <n x="509"/>
        <n x="264"/>
        <n x="487"/>
      </t>
    </mdx>
    <mdx n="508" f="v">
      <t c="3" si="4">
        <n x="509"/>
        <n x="77"/>
        <n x="488"/>
      </t>
    </mdx>
    <mdx n="508" f="v">
      <t c="3" si="4">
        <n x="509"/>
        <n x="430"/>
        <n x="489"/>
      </t>
    </mdx>
    <mdx n="508" f="v">
      <t c="3" si="4">
        <n x="509"/>
        <n x="457"/>
        <n x="482"/>
      </t>
    </mdx>
    <mdx n="508" f="v">
      <t c="3" si="4">
        <n x="509"/>
        <n x="8"/>
        <n x="483"/>
      </t>
    </mdx>
    <mdx n="508" f="v">
      <t c="3" si="4">
        <n x="509"/>
        <n x="15"/>
        <n x="484"/>
      </t>
    </mdx>
    <mdx n="508" f="v">
      <t c="3" si="4">
        <n x="509"/>
        <n x="120"/>
        <n x="485"/>
      </t>
    </mdx>
    <mdx n="508" f="v">
      <t c="3" si="4">
        <n x="509"/>
        <n x="412"/>
        <n x="486"/>
      </t>
    </mdx>
    <mdx n="508" f="v">
      <t c="3" si="4">
        <n x="509"/>
        <n x="195"/>
        <n x="487"/>
      </t>
    </mdx>
    <mdx n="508" f="v">
      <t c="3" si="4">
        <n x="509"/>
        <n x="274"/>
        <n x="488"/>
      </t>
    </mdx>
    <mdx n="508" f="v">
      <t c="3" si="4">
        <n x="509"/>
        <n x="8"/>
        <n x="479"/>
      </t>
    </mdx>
    <mdx n="508" f="v">
      <t c="3" si="4">
        <n x="509"/>
        <n x="412"/>
        <n x="482"/>
      </t>
    </mdx>
    <mdx n="508" f="v">
      <t c="3" si="4">
        <n x="509"/>
        <n x="26"/>
        <n x="483"/>
      </t>
    </mdx>
    <mdx n="508" f="v">
      <t c="3" si="4">
        <n x="509"/>
        <n x="39"/>
        <n x="484"/>
      </t>
    </mdx>
    <mdx n="508" f="v">
      <t c="3" si="4">
        <n x="509"/>
        <n x="253"/>
        <n x="485"/>
      </t>
    </mdx>
    <mdx n="508" f="v">
      <t c="3" si="4">
        <n x="509"/>
        <n x="217"/>
        <n x="487"/>
      </t>
    </mdx>
    <mdx n="508" f="v">
      <t c="3" si="4">
        <n x="509"/>
        <n x="387"/>
        <n x="488"/>
      </t>
    </mdx>
    <mdx n="508" f="v">
      <t c="3" si="4">
        <n x="509"/>
        <n x="321"/>
        <n x="489"/>
      </t>
    </mdx>
    <mdx n="508" f="v">
      <t c="3" si="4">
        <n x="509"/>
        <n x="450"/>
        <n x="482"/>
      </t>
    </mdx>
    <mdx n="508" f="v">
      <t c="3" si="4">
        <n x="509"/>
        <n x="88"/>
        <n x="483"/>
      </t>
    </mdx>
    <mdx n="508" f="v">
      <t c="3" si="4">
        <n x="509"/>
        <n x="311"/>
        <n x="484"/>
      </t>
    </mdx>
    <mdx n="508" f="v">
      <t c="3" si="4">
        <n x="509"/>
        <n x="17"/>
        <n x="485"/>
      </t>
    </mdx>
    <mdx n="508" f="v">
      <t c="3" si="4">
        <n x="509"/>
        <n x="181"/>
        <n x="476"/>
      </t>
    </mdx>
    <mdx n="508" f="v">
      <t c="3" si="4">
        <n x="509"/>
        <n x="444"/>
        <n x="476"/>
      </t>
    </mdx>
    <mdx n="508" f="v">
      <t c="3" si="4">
        <n x="509"/>
        <n x="164"/>
        <n x="476"/>
      </t>
    </mdx>
    <mdx n="508" f="v">
      <t c="3" si="4">
        <n x="509"/>
        <n x="202"/>
        <n x="476"/>
      </t>
    </mdx>
    <mdx n="508" f="v">
      <t c="3" si="4">
        <n x="509"/>
        <n x="177"/>
        <n x="479"/>
      </t>
    </mdx>
    <mdx n="508" f="v">
      <t c="3" si="4">
        <n x="509"/>
        <n x="304"/>
        <n x="479"/>
      </t>
    </mdx>
    <mdx n="508" f="v">
      <t c="3" si="4">
        <n x="509"/>
        <n x="410"/>
        <n x="481"/>
      </t>
    </mdx>
    <mdx n="508" f="v">
      <t c="3" si="4">
        <n x="509"/>
        <n x="115"/>
        <n x="479"/>
      </t>
    </mdx>
    <mdx n="508" f="v">
      <t c="3" si="4">
        <n x="509"/>
        <n x="279"/>
        <n x="481"/>
      </t>
    </mdx>
    <mdx n="508" f="v">
      <t c="3" si="4">
        <n x="509"/>
        <n x="196"/>
        <n x="476"/>
      </t>
    </mdx>
    <mdx n="508" f="v">
      <t c="3" si="4">
        <n x="509"/>
        <n x="106"/>
        <n x="471"/>
      </t>
    </mdx>
    <mdx n="508" f="v">
      <t c="3" si="4">
        <n x="509"/>
        <n x="152"/>
        <n x="479"/>
      </t>
    </mdx>
    <mdx n="508" f="v">
      <t c="3" si="4">
        <n x="509"/>
        <n x="145"/>
        <n x="481"/>
      </t>
    </mdx>
    <mdx n="508" f="v">
      <t c="3" si="4">
        <n x="509"/>
        <n x="281"/>
        <n x="480"/>
      </t>
    </mdx>
    <mdx n="508" f="v">
      <t c="3" si="4">
        <n x="509"/>
        <n x="28"/>
        <n x="482"/>
      </t>
    </mdx>
    <mdx n="508" f="v">
      <t c="3" si="4">
        <n x="509"/>
        <n x="328"/>
        <n x="483"/>
      </t>
    </mdx>
    <mdx n="508" f="v">
      <t c="3" si="4">
        <n x="509"/>
        <n x="90"/>
        <n x="484"/>
      </t>
    </mdx>
    <mdx n="508" f="v">
      <t c="3" si="4">
        <n x="509"/>
        <n x="459"/>
        <n x="486"/>
      </t>
    </mdx>
    <mdx n="508" f="v">
      <t c="3" si="4">
        <n x="509"/>
        <n x="300"/>
        <n x="487"/>
      </t>
    </mdx>
    <mdx n="508" f="v">
      <t c="3" si="4">
        <n x="509"/>
        <n x="336"/>
        <n x="488"/>
      </t>
    </mdx>
    <mdx n="508" f="v">
      <t c="3" si="4">
        <n x="509"/>
        <n x="156"/>
        <n x="489"/>
      </t>
    </mdx>
    <mdx n="508" f="v">
      <t c="3" si="4">
        <n x="509"/>
        <n x="252"/>
        <n x="482"/>
      </t>
    </mdx>
    <mdx n="508" f="v">
      <t c="3" si="4">
        <n x="509"/>
        <n x="453"/>
        <n x="483"/>
      </t>
    </mdx>
    <mdx n="508" f="v">
      <t c="3" si="4">
        <n x="509"/>
        <n x="238"/>
        <n x="484"/>
      </t>
    </mdx>
    <mdx n="508" f="v">
      <t c="3" si="4">
        <n x="509"/>
        <n x="106"/>
        <n x="485"/>
      </t>
    </mdx>
    <mdx n="508" f="v">
      <t c="3" si="4">
        <n x="509"/>
        <n x="36"/>
        <n x="486"/>
      </t>
    </mdx>
    <mdx n="508" f="v">
      <t c="3" si="4">
        <n x="509"/>
        <n x="269"/>
        <n x="487"/>
      </t>
    </mdx>
    <mdx n="508" f="v">
      <t c="3" si="4">
        <n x="509"/>
        <n x="289"/>
        <n x="479"/>
      </t>
    </mdx>
    <mdx n="508" f="v">
      <t c="3" si="4">
        <n x="509"/>
        <n x="462"/>
        <n x="482"/>
      </t>
    </mdx>
    <mdx n="508" f="v">
      <t c="3" si="4">
        <n x="509"/>
        <n x="63"/>
        <n x="483"/>
      </t>
    </mdx>
    <mdx n="508" f="v">
      <t c="3" si="4">
        <n x="509"/>
        <n x="214"/>
        <n x="484"/>
      </t>
    </mdx>
    <mdx n="508" f="v">
      <t c="3" si="4">
        <n x="509"/>
        <n x="371"/>
        <n x="486"/>
      </t>
    </mdx>
    <mdx n="508" f="v">
      <t c="3" si="4">
        <n x="509"/>
        <n x="367"/>
        <n x="487"/>
      </t>
    </mdx>
    <mdx n="508" f="v">
      <t c="3" si="4">
        <n x="509"/>
        <n x="257"/>
        <n x="488"/>
      </t>
    </mdx>
    <mdx n="508" f="v">
      <t c="3" si="4">
        <n x="509"/>
        <n x="160"/>
        <n x="481"/>
      </t>
    </mdx>
    <mdx n="508" f="v">
      <t c="3" si="4">
        <n x="509"/>
        <n x="424"/>
        <n x="482"/>
      </t>
    </mdx>
    <mdx n="508" f="v">
      <t c="3" si="4">
        <n x="509"/>
        <n x="273"/>
        <n x="484"/>
      </t>
    </mdx>
    <mdx n="508" f="v">
      <t c="3" si="4">
        <n x="509"/>
        <n x="359"/>
        <n x="485"/>
      </t>
    </mdx>
    <mdx n="508" f="v">
      <t c="3" si="4">
        <n x="509"/>
        <n x="182"/>
        <n x="486"/>
      </t>
    </mdx>
    <mdx n="508" f="v">
      <t c="3" si="4">
        <n x="509"/>
        <n x="423"/>
        <n x="487"/>
      </t>
    </mdx>
    <mdx n="508" f="v">
      <t c="3" si="4">
        <n x="509"/>
        <n x="200"/>
        <n x="488"/>
      </t>
    </mdx>
    <mdx n="508" f="v">
      <t c="3" si="4">
        <n x="509"/>
        <n x="154"/>
        <n x="489"/>
      </t>
    </mdx>
    <mdx n="508" f="v">
      <t c="3" si="4">
        <n x="509"/>
        <n x="124"/>
        <n x="481"/>
      </t>
    </mdx>
    <mdx n="508" f="v">
      <t c="3" si="4">
        <n x="509"/>
        <n x="227"/>
        <n x="482"/>
      </t>
    </mdx>
    <mdx n="508" f="v">
      <t c="3" si="4">
        <n x="509"/>
        <n x="423"/>
        <n x="484"/>
      </t>
    </mdx>
    <mdx n="508" f="v">
      <t c="3" si="4">
        <n x="509"/>
        <n x="167"/>
        <n x="485"/>
      </t>
    </mdx>
    <mdx n="508" f="v">
      <t c="3" si="4">
        <n x="509"/>
        <n x="354"/>
        <n x="486"/>
      </t>
    </mdx>
    <mdx n="508" f="v">
      <t c="3" si="4">
        <n x="509"/>
        <n x="449"/>
        <n x="487"/>
      </t>
    </mdx>
    <mdx n="508" f="v">
      <t c="3" si="4">
        <n x="509"/>
        <n x="156"/>
        <n x="488"/>
      </t>
    </mdx>
    <mdx n="508" f="v">
      <t c="3" si="4">
        <n x="509"/>
        <n x="408"/>
        <n x="489"/>
      </t>
    </mdx>
    <mdx n="508" f="v">
      <t c="3" si="4">
        <n x="509"/>
        <n x="21"/>
        <n x="482"/>
      </t>
    </mdx>
    <mdx n="508" f="v">
      <t c="3" si="4">
        <n x="509"/>
        <n x="244"/>
        <n x="483"/>
      </t>
    </mdx>
    <mdx n="508" f="v">
      <t c="3" si="4">
        <n x="509"/>
        <n x="52"/>
        <n x="484"/>
      </t>
    </mdx>
    <mdx n="508" f="v">
      <t c="3" si="4">
        <n x="509"/>
        <n x="289"/>
        <n x="485"/>
      </t>
    </mdx>
    <mdx n="508" f="v">
      <t c="3" si="4">
        <n x="509"/>
        <n x="77"/>
        <n x="486"/>
      </t>
    </mdx>
    <mdx n="508" f="v">
      <t c="3" si="4">
        <n x="509"/>
        <n x="56"/>
        <n x="487"/>
      </t>
    </mdx>
    <mdx n="508" f="v">
      <t c="3" si="4">
        <n x="509"/>
        <n x="452"/>
        <n x="489"/>
      </t>
    </mdx>
    <mdx n="508" f="v">
      <t c="3" si="4">
        <n x="509"/>
        <n x="228"/>
        <n x="481"/>
      </t>
    </mdx>
    <mdx n="508" f="v">
      <t c="3" si="4">
        <n x="509"/>
        <n x="107"/>
        <n x="482"/>
      </t>
    </mdx>
    <mdx n="508" f="v">
      <t c="3" si="4">
        <n x="509"/>
        <n x="416"/>
        <n x="484"/>
      </t>
    </mdx>
    <mdx n="508" f="v">
      <t c="3" si="4">
        <n x="509"/>
        <n x="42"/>
        <n x="485"/>
      </t>
    </mdx>
    <mdx n="508" f="v">
      <t c="3" si="4">
        <n x="509"/>
        <n x="157"/>
        <n x="486"/>
      </t>
    </mdx>
    <mdx n="508" f="v">
      <t c="3" si="4">
        <n x="509"/>
        <n x="47"/>
        <n x="487"/>
      </t>
    </mdx>
    <mdx n="508" f="v">
      <t c="3" si="4">
        <n x="509"/>
        <n x="162"/>
        <n x="477"/>
      </t>
    </mdx>
    <mdx n="508" f="v">
      <t c="3" si="4">
        <n x="509"/>
        <n x="309"/>
        <n x="478"/>
      </t>
    </mdx>
    <mdx n="508" f="v">
      <t c="3" si="4">
        <n x="509"/>
        <n x="45"/>
        <n x="478"/>
      </t>
    </mdx>
    <mdx n="508" f="v">
      <t c="3" si="4">
        <n x="509"/>
        <n x="76"/>
        <n x="477"/>
      </t>
    </mdx>
    <mdx n="508" f="v">
      <t c="3" si="4">
        <n x="509"/>
        <n x="234"/>
        <n x="480"/>
      </t>
    </mdx>
    <mdx n="508" f="v">
      <t c="3" si="4">
        <n x="509"/>
        <n x="162"/>
        <n x="480"/>
      </t>
    </mdx>
    <mdx n="508" f="v">
      <t c="3" si="4">
        <n x="509"/>
        <n x="223"/>
        <n x="479"/>
      </t>
    </mdx>
    <mdx n="508" f="v">
      <t c="3" si="4">
        <n x="509"/>
        <n x="359"/>
        <n x="481"/>
      </t>
    </mdx>
    <mdx n="508" f="v">
      <t c="3" si="4">
        <n x="509"/>
        <n x="259"/>
        <n x="477"/>
      </t>
    </mdx>
    <mdx n="508" f="v">
      <t c="3" si="4">
        <n x="509"/>
        <n x="78"/>
        <n x="471"/>
      </t>
    </mdx>
    <mdx n="508" f="v">
      <t c="3" si="4">
        <n x="509"/>
        <n x="12"/>
        <n x="480"/>
      </t>
    </mdx>
    <mdx n="508" f="v">
      <t c="3" si="4">
        <n x="509"/>
        <n x="167"/>
        <n x="481"/>
      </t>
    </mdx>
    <mdx n="508" f="v">
      <t c="3" si="4">
        <n x="509"/>
        <n x="266"/>
        <n x="481"/>
      </t>
    </mdx>
    <mdx n="508" f="v">
      <t c="3" si="4">
        <n x="509"/>
        <n x="240"/>
        <n x="482"/>
      </t>
    </mdx>
    <mdx n="508" f="v">
      <t c="3" si="4">
        <n x="509"/>
        <n x="428"/>
        <n x="484"/>
      </t>
    </mdx>
    <mdx n="508" f="v">
      <t c="3" si="4">
        <n x="509"/>
        <n x="277"/>
        <n x="485"/>
      </t>
    </mdx>
    <mdx n="508" f="v">
      <t c="3" si="4">
        <n x="509"/>
        <n x="23"/>
        <n x="486"/>
      </t>
    </mdx>
    <mdx n="508" f="v">
      <t c="3" si="4">
        <n x="509"/>
        <n x="115"/>
        <n x="487"/>
      </t>
    </mdx>
    <mdx n="508" f="v">
      <t c="3" si="4">
        <n x="509"/>
        <n x="376"/>
        <n x="488"/>
      </t>
    </mdx>
    <mdx n="508" f="v">
      <t c="3" si="4">
        <n x="509"/>
        <n x="419"/>
        <n x="478"/>
      </t>
    </mdx>
    <mdx n="508" f="v">
      <t c="3" si="4">
        <n x="509"/>
        <n x="207"/>
        <n x="482"/>
      </t>
    </mdx>
    <mdx n="508" f="v">
      <t c="3" si="4">
        <n x="509"/>
        <n x="150"/>
        <n x="468"/>
      </t>
    </mdx>
    <mdx n="508" f="v">
      <t c="3" si="4">
        <n x="509"/>
        <n x="214"/>
        <n x="466"/>
      </t>
    </mdx>
    <mdx n="508" f="v">
      <t c="3" si="4">
        <n x="509"/>
        <n x="92"/>
        <n x="476"/>
      </t>
    </mdx>
    <mdx n="508" f="v">
      <t c="3" si="4">
        <n x="509"/>
        <n x="205"/>
        <n x="479"/>
      </t>
    </mdx>
    <mdx n="508" f="v">
      <t c="3" si="4">
        <n x="509"/>
        <n x="246"/>
        <n x="468"/>
      </t>
    </mdx>
    <mdx n="508" f="v">
      <t c="3" si="4">
        <n x="509"/>
        <n x="164"/>
        <n x="479"/>
      </t>
    </mdx>
    <mdx n="508" f="v">
      <t c="3" si="4">
        <n x="509"/>
        <n x="77"/>
        <n x="471"/>
      </t>
    </mdx>
    <mdx n="508" f="v">
      <t c="3" si="4">
        <n x="509"/>
        <n x="292"/>
        <n x="483"/>
      </t>
    </mdx>
    <mdx n="508" f="v">
      <t c="3" si="4">
        <n x="509"/>
        <n x="35"/>
        <n x="484"/>
      </t>
    </mdx>
    <mdx n="508" f="v">
      <t c="3" si="4">
        <n x="509"/>
        <n x="120"/>
        <n x="486"/>
      </t>
    </mdx>
    <mdx n="508" f="v">
      <t c="3" si="4">
        <n x="509"/>
        <n x="3"/>
        <n x="487"/>
      </t>
    </mdx>
    <mdx n="508" f="v">
      <t c="3" si="4">
        <n x="509"/>
        <n x="431"/>
        <n x="489"/>
      </t>
    </mdx>
    <mdx n="508" f="v">
      <t c="3" si="4">
        <n x="509"/>
        <n x="14"/>
        <n x="482"/>
      </t>
    </mdx>
    <mdx n="508" f="v">
      <t c="3" si="4">
        <n x="509"/>
        <n x="285"/>
        <n x="484"/>
      </t>
    </mdx>
    <mdx n="508" f="v">
      <t c="3" si="4">
        <n x="509"/>
        <n x="427"/>
        <n x="485"/>
      </t>
    </mdx>
    <mdx n="508" f="v">
      <t c="3" si="4">
        <n x="509"/>
        <n x="374"/>
        <n x="487"/>
      </t>
    </mdx>
    <mdx n="508" f="v">
      <t c="3" si="4">
        <n x="509"/>
        <n x="140"/>
        <n x="488"/>
      </t>
    </mdx>
    <mdx n="508" f="v">
      <t c="3" si="4">
        <n x="509"/>
        <n x="335"/>
        <n x="482"/>
      </t>
    </mdx>
    <mdx n="508" f="v">
      <t c="3" si="4">
        <n x="509"/>
        <n x="110"/>
        <n x="484"/>
      </t>
    </mdx>
    <mdx n="508" f="v">
      <t c="3" si="4">
        <n x="509"/>
        <n x="371"/>
        <n x="485"/>
      </t>
    </mdx>
    <mdx n="508" f="v">
      <t c="3" si="4">
        <n x="509"/>
        <n x="88"/>
        <n x="487"/>
      </t>
    </mdx>
    <mdx n="508" f="v">
      <t c="3" si="4">
        <n x="509"/>
        <n x="52"/>
        <n x="488"/>
      </t>
    </mdx>
    <mdx n="508" f="v">
      <t c="3" si="4">
        <n x="509"/>
        <n x="17"/>
        <n x="482"/>
      </t>
    </mdx>
    <mdx n="508" f="v">
      <t c="3" si="4">
        <n x="509"/>
        <n x="188"/>
        <n x="484"/>
      </t>
    </mdx>
    <mdx n="508" f="v">
      <t c="3" si="4">
        <n x="509"/>
        <n x="438"/>
        <n x="485"/>
      </t>
    </mdx>
    <mdx n="508" f="v">
      <t c="3" si="4">
        <n x="509"/>
        <n x="419"/>
        <n x="487"/>
      </t>
    </mdx>
    <mdx n="508" f="v">
      <t c="3" si="4">
        <n x="509"/>
        <n x="224"/>
        <n x="488"/>
      </t>
    </mdx>
    <mdx n="508" f="v">
      <t c="3" si="4">
        <n x="509"/>
        <n x="214"/>
        <n x="489"/>
      </t>
    </mdx>
    <mdx n="508" f="v">
      <t c="3" si="4">
        <n x="509"/>
        <n x="331"/>
        <n x="482"/>
      </t>
    </mdx>
    <mdx n="508" f="v">
      <t c="3" si="4">
        <n x="509"/>
        <n x="407"/>
        <n x="483"/>
      </t>
    </mdx>
    <mdx n="508" f="v">
      <t c="3" si="4">
        <n x="509"/>
        <n x="336"/>
        <n x="484"/>
      </t>
    </mdx>
    <mdx n="508" f="v">
      <t c="3" si="4">
        <n x="509"/>
        <n x="41"/>
        <n x="485"/>
      </t>
    </mdx>
    <mdx n="508" f="v">
      <t c="3" si="4">
        <n x="509"/>
        <n x="220"/>
        <n x="486"/>
      </t>
    </mdx>
    <mdx n="508" f="v">
      <t c="3" si="4">
        <n x="509"/>
        <n x="15"/>
        <n x="487"/>
      </t>
    </mdx>
    <mdx n="508" f="v">
      <t c="3" si="4">
        <n x="509"/>
        <n x="316"/>
        <n x="488"/>
      </t>
    </mdx>
    <mdx n="508" f="v">
      <t c="3" si="4">
        <n x="509"/>
        <n x="216"/>
        <n x="471"/>
      </t>
    </mdx>
    <mdx n="508" f="v">
      <t c="3" si="4">
        <n x="509"/>
        <n x="358"/>
        <n x="482"/>
      </t>
    </mdx>
    <mdx n="508" f="v">
      <t c="3" si="4">
        <n x="509"/>
        <n x="173"/>
        <n x="483"/>
      </t>
    </mdx>
    <mdx n="508" f="v">
      <t c="3" si="4">
        <n x="509"/>
        <n x="197"/>
        <n x="484"/>
      </t>
    </mdx>
    <mdx n="508" f="v">
      <t c="3" si="4">
        <n x="509"/>
        <n x="56"/>
        <n x="485"/>
      </t>
    </mdx>
    <mdx n="508" f="v">
      <t c="3" si="4">
        <n x="509"/>
        <n x="110"/>
        <n x="487"/>
      </t>
    </mdx>
    <mdx n="508" f="v">
      <t c="3" si="4">
        <n x="509"/>
        <n x="145"/>
        <n x="488"/>
      </t>
    </mdx>
    <mdx n="508" f="v">
      <t c="3" si="4">
        <n x="509"/>
        <n x="167"/>
        <n x="468"/>
      </t>
    </mdx>
    <mdx n="508" f="v">
      <t c="3" si="4">
        <n x="509"/>
        <n x="134"/>
        <n x="476"/>
      </t>
    </mdx>
    <mdx n="508" f="v">
      <t c="3" si="4">
        <n x="509"/>
        <n x="140"/>
        <n x="476"/>
      </t>
    </mdx>
    <mdx n="508" f="v">
      <t c="3" si="4">
        <n x="509"/>
        <n x="71"/>
        <n x="476"/>
      </t>
    </mdx>
    <mdx n="508" f="v">
      <t c="3" si="4">
        <n x="509"/>
        <n x="25"/>
        <n x="476"/>
      </t>
    </mdx>
    <mdx n="508" f="v">
      <t c="3" si="4">
        <n x="509"/>
        <n x="117"/>
        <n x="471"/>
      </t>
    </mdx>
    <mdx n="508" f="v">
      <t c="3" si="4">
        <n x="509"/>
        <n x="88"/>
        <n x="471"/>
      </t>
    </mdx>
    <mdx n="508" f="v">
      <t c="3" si="4">
        <n x="509"/>
        <n x="189"/>
        <n x="481"/>
      </t>
    </mdx>
    <mdx n="508" f="v">
      <t c="3" si="4">
        <n x="509"/>
        <n x="292"/>
        <n x="479"/>
      </t>
    </mdx>
    <mdx n="508" f="v">
      <t c="3" si="4">
        <n x="509"/>
        <n x="397"/>
        <n x="480"/>
      </t>
    </mdx>
    <mdx n="508" f="v">
      <t c="3" si="4">
        <n x="509"/>
        <n x="358"/>
        <n x="476"/>
      </t>
    </mdx>
    <mdx n="508" f="v">
      <t c="3" si="4">
        <n x="509"/>
        <n x="113"/>
        <n x="471"/>
      </t>
    </mdx>
    <mdx n="508" f="v">
      <t c="3" si="4">
        <n x="509"/>
        <n x="260"/>
        <n x="479"/>
      </t>
    </mdx>
    <mdx n="508" f="v">
      <t c="3" si="4">
        <n x="509"/>
        <n x="451"/>
        <n x="481"/>
      </t>
    </mdx>
    <mdx n="508" f="v">
      <t c="3" si="4">
        <n x="509"/>
        <n x="203"/>
        <n x="480"/>
      </t>
    </mdx>
    <mdx n="508" f="v">
      <t c="3" si="4">
        <n x="509"/>
        <n x="101"/>
        <n x="482"/>
      </t>
    </mdx>
    <mdx n="508" f="v">
      <t c="3" si="4">
        <n x="509"/>
        <n x="74"/>
        <n x="483"/>
      </t>
    </mdx>
    <mdx n="508" f="v">
      <t c="3" si="4">
        <n x="509"/>
        <n x="398"/>
        <n x="484"/>
      </t>
    </mdx>
    <mdx n="508" f="v">
      <t c="3" si="4">
        <n x="509"/>
        <n x="56"/>
        <n x="486"/>
      </t>
    </mdx>
    <mdx n="508" f="v">
      <t c="3" si="4">
        <n x="509"/>
        <n x="120"/>
        <n x="487"/>
      </t>
    </mdx>
    <mdx n="508" f="v">
      <t c="3" si="4">
        <n x="509"/>
        <n x="182"/>
        <n x="488"/>
      </t>
    </mdx>
    <mdx n="508" f="v">
      <t c="3" si="4">
        <n x="509"/>
        <n x="231"/>
        <n x="489"/>
      </t>
    </mdx>
    <mdx n="508" f="v">
      <t c="3" si="4">
        <n x="509"/>
        <n x="275"/>
        <n x="482"/>
      </t>
    </mdx>
    <mdx n="508" f="v">
      <t c="3" si="4">
        <n x="509"/>
        <n x="269"/>
        <n x="483"/>
      </t>
    </mdx>
    <mdx n="508" f="v">
      <t c="3" si="4">
        <n x="509"/>
        <n x="156"/>
        <n x="484"/>
      </t>
    </mdx>
    <mdx n="508" f="v">
      <t c="3" si="4">
        <n x="509"/>
        <n x="140"/>
        <n x="485"/>
      </t>
    </mdx>
    <mdx n="508" f="v">
      <t c="3" si="4">
        <n x="509"/>
        <n x="101"/>
        <n x="486"/>
      </t>
    </mdx>
    <mdx n="508" f="v">
      <t c="3" si="4">
        <n x="509"/>
        <n x="171"/>
        <n x="487"/>
      </t>
    </mdx>
    <mdx n="508" f="v">
      <t c="3" si="4">
        <n x="509"/>
        <n x="250"/>
        <n x="479"/>
      </t>
    </mdx>
    <mdx n="508" f="v">
      <t c="3" si="4">
        <n x="509"/>
        <n x="320"/>
        <n x="483"/>
      </t>
    </mdx>
    <mdx n="508" f="v">
      <t c="3" si="4">
        <n x="509"/>
        <n x="240"/>
        <n x="484"/>
      </t>
    </mdx>
    <mdx n="508" f="v">
      <t c="3" si="4">
        <n x="509"/>
        <n x="117"/>
        <n x="485"/>
      </t>
    </mdx>
    <mdx n="508" f="v">
      <t c="3" si="4">
        <n x="509"/>
        <n x="168"/>
        <n x="487"/>
      </t>
    </mdx>
    <mdx n="508" f="v">
      <t c="3" si="4">
        <n x="509"/>
        <n x="285"/>
        <n x="488"/>
      </t>
    </mdx>
    <mdx n="508" f="v">
      <t c="3" si="4">
        <n x="509"/>
        <n x="32"/>
        <n x="481"/>
      </t>
    </mdx>
    <mdx n="508" f="v">
      <t c="3" si="4">
        <n x="509"/>
        <n x="104"/>
        <n x="482"/>
      </t>
    </mdx>
    <mdx n="508" f="v">
      <t c="3" si="4">
        <n x="509"/>
        <n x="344"/>
        <n x="484"/>
      </t>
    </mdx>
    <mdx n="508" f="v">
      <t c="3" si="4">
        <n x="509"/>
        <n x="163"/>
        <n x="485"/>
      </t>
    </mdx>
    <mdx n="508" f="v">
      <t c="3" si="4">
        <n x="509"/>
        <n x="225"/>
        <n x="486"/>
      </t>
    </mdx>
    <mdx n="508" f="v">
      <t c="3" si="4">
        <n x="509"/>
        <n x="106"/>
        <n x="487"/>
      </t>
    </mdx>
    <mdx n="508" f="v">
      <t c="3" si="4">
        <n x="509"/>
        <n x="86"/>
        <n x="488"/>
      </t>
    </mdx>
    <mdx n="508" f="v">
      <t c="3" si="4">
        <n x="509"/>
        <n x="64"/>
        <n x="489"/>
      </t>
    </mdx>
    <mdx n="508" f="v">
      <t c="3" si="4">
        <n x="509"/>
        <n x="96"/>
        <n x="481"/>
      </t>
    </mdx>
    <mdx n="508" f="v">
      <t c="3" si="4">
        <n x="509"/>
        <n x="362"/>
        <n x="482"/>
      </t>
    </mdx>
    <mdx n="508" f="v">
      <t c="3" si="4">
        <n x="509"/>
        <n x="450"/>
        <n x="484"/>
      </t>
    </mdx>
    <mdx n="508" f="v">
      <t c="3" si="4">
        <n x="509"/>
        <n x="368"/>
        <n x="485"/>
      </t>
    </mdx>
    <mdx n="508" f="v">
      <t c="3" si="4">
        <n x="509"/>
        <n x="94"/>
        <n x="486"/>
      </t>
    </mdx>
    <mdx n="508" f="v">
      <t c="3" si="4">
        <n x="509"/>
        <n x="78"/>
        <n x="487"/>
      </t>
    </mdx>
    <mdx n="508" f="v">
      <t c="3" si="4">
        <n x="509"/>
        <n x="448"/>
        <n x="488"/>
      </t>
    </mdx>
    <mdx n="508" f="v">
      <t c="3" si="4">
        <n x="509"/>
        <n x="438"/>
        <n x="489"/>
      </t>
    </mdx>
    <mdx n="508" f="v">
      <t c="3" si="4">
        <n x="509"/>
        <n x="464"/>
        <n x="482"/>
      </t>
    </mdx>
    <mdx n="508" f="v">
      <t c="3" si="4">
        <n x="509"/>
        <n x="174"/>
        <n x="483"/>
      </t>
    </mdx>
    <mdx n="508" f="v">
      <t c="3" si="4">
        <n x="509"/>
        <n x="376"/>
        <n x="484"/>
      </t>
    </mdx>
    <mdx n="508" f="v">
      <t c="3" si="4">
        <n x="509"/>
        <n x="69"/>
        <n x="485"/>
      </t>
    </mdx>
    <mdx n="508" f="v">
      <t c="3" si="4">
        <n x="509"/>
        <n x="123"/>
        <n x="486"/>
      </t>
    </mdx>
    <mdx n="508" f="v">
      <t c="3" si="4">
        <n x="509"/>
        <n x="378"/>
        <n x="488"/>
      </t>
    </mdx>
    <mdx n="508" f="v">
      <t c="3" si="4">
        <n x="509"/>
        <n x="82"/>
        <n x="481"/>
      </t>
    </mdx>
    <mdx n="508" f="v">
      <t c="3" si="4">
        <n x="509"/>
        <n x="357"/>
        <n x="482"/>
      </t>
    </mdx>
    <mdx n="508" f="v">
      <t c="3" si="4">
        <n x="509"/>
        <n x="279"/>
        <n x="484"/>
      </t>
    </mdx>
    <mdx n="508" f="v">
      <t c="3" si="4">
        <n x="509"/>
        <n x="285"/>
        <n x="485"/>
      </t>
    </mdx>
    <mdx n="508" f="v">
      <t c="3" si="4">
        <n x="509"/>
        <n x="83"/>
        <n x="486"/>
      </t>
    </mdx>
    <mdx n="508" f="v">
      <t c="3" si="4">
        <n x="509"/>
        <n x="208"/>
        <n x="468"/>
      </t>
    </mdx>
    <mdx n="508" f="v">
      <t c="3" si="4">
        <n x="509"/>
        <n x="305"/>
        <n x="468"/>
      </t>
    </mdx>
    <mdx n="508" f="v">
      <t c="3" si="4">
        <n x="509"/>
        <n x="374"/>
        <n x="476"/>
      </t>
    </mdx>
    <mdx n="508" f="v">
      <t c="3" si="4">
        <n x="509"/>
        <n x="233"/>
        <n x="468"/>
      </t>
    </mdx>
    <mdx n="508" f="v">
      <t c="3" si="4">
        <n x="509"/>
        <n x="220"/>
        <n x="476"/>
      </t>
    </mdx>
    <mdx n="508" f="v">
      <t c="3" si="4">
        <n x="509"/>
        <n x="348"/>
        <n x="477"/>
      </t>
    </mdx>
    <mdx n="508" f="v">
      <t c="3" si="4">
        <n x="509"/>
        <n x="429"/>
        <n x="478"/>
      </t>
    </mdx>
    <mdx n="508" f="v">
      <t c="3" si="4">
        <n x="509"/>
        <n x="80"/>
        <n x="478"/>
      </t>
    </mdx>
    <mdx n="508" f="v">
      <t c="3" si="4">
        <n x="509"/>
        <n x="235"/>
        <n x="480"/>
      </t>
    </mdx>
    <mdx n="508" f="v">
      <t c="3" si="4">
        <n x="509"/>
        <n x="72"/>
        <n x="481"/>
      </t>
    </mdx>
    <mdx n="508" f="v">
      <t c="3" si="4">
        <n x="509"/>
        <n x="362"/>
        <n x="478"/>
      </t>
    </mdx>
    <mdx n="508" f="v">
      <t c="3" si="4">
        <n x="509"/>
        <n x="277"/>
        <n x="479"/>
      </t>
    </mdx>
    <mdx n="508" f="v">
      <t c="3" si="4">
        <n x="509"/>
        <n x="69"/>
        <n x="480"/>
      </t>
    </mdx>
    <mdx n="508" f="v">
      <t c="3" si="4">
        <n x="509"/>
        <n x="192"/>
        <n x="481"/>
      </t>
    </mdx>
    <mdx n="508" f="v">
      <t c="3" si="4">
        <n x="509"/>
        <n x="13"/>
        <n x="482"/>
      </t>
    </mdx>
    <mdx n="508" f="v">
      <t c="3" si="4">
        <n x="509"/>
        <n x="301"/>
        <n x="483"/>
      </t>
    </mdx>
    <mdx n="508" f="v">
      <t c="3" si="4">
        <n x="509"/>
        <n x="198"/>
        <n x="484"/>
      </t>
    </mdx>
    <mdx n="508" f="v">
      <t c="3" si="4">
        <n x="509"/>
        <n x="458"/>
        <n x="485"/>
      </t>
    </mdx>
    <mdx n="508" f="v">
      <t c="3" si="4">
        <n x="509"/>
        <n x="300"/>
        <n x="486"/>
      </t>
    </mdx>
    <mdx n="508" f="v">
      <t c="3" si="4">
        <n x="509"/>
        <n x="82"/>
        <n x="487"/>
      </t>
    </mdx>
    <mdx n="508" f="v">
      <t c="3" si="4">
        <n x="509"/>
        <n x="34"/>
        <n x="488"/>
      </t>
    </mdx>
    <mdx n="508" f="v">
      <t c="3" si="4">
        <n x="509"/>
        <n x="148"/>
        <n x="479"/>
      </t>
    </mdx>
    <mdx n="508" f="v">
      <t c="3" si="4">
        <n x="509"/>
        <n x="342"/>
        <n x="482"/>
      </t>
    </mdx>
    <mdx n="508" f="v">
      <t c="3" si="4">
        <n x="509"/>
        <n x="254"/>
        <n x="483"/>
      </t>
    </mdx>
    <mdx n="508" f="v">
      <t c="3" si="4">
        <n x="509"/>
        <n x="63"/>
        <n x="484"/>
      </t>
    </mdx>
    <mdx n="508" f="v">
      <t c="3" si="4">
        <n x="509"/>
        <n x="205"/>
        <n x="486"/>
      </t>
    </mdx>
    <mdx n="508" f="v">
      <t c="3" si="4">
        <n x="509"/>
        <n x="27"/>
        <n x="487"/>
      </t>
    </mdx>
    <mdx n="508" f="v">
      <t c="3" si="4">
        <n x="509"/>
        <n x="401"/>
        <n x="488"/>
      </t>
    </mdx>
    <mdx n="508" f="v">
      <t c="3" si="4">
        <n x="509"/>
        <n x="331"/>
        <n x="481"/>
      </t>
    </mdx>
    <mdx n="508" f="v">
      <t c="3" si="4">
        <n x="509"/>
        <n x="190"/>
        <n x="483"/>
      </t>
    </mdx>
    <mdx n="508" f="v">
      <t c="3" si="4">
        <n x="509"/>
        <n x="193"/>
        <n x="484"/>
      </t>
    </mdx>
    <mdx n="508" f="v">
      <t c="3" si="4">
        <n x="509"/>
        <n x="294"/>
        <n x="485"/>
      </t>
    </mdx>
    <mdx n="508" f="v">
      <t c="3" si="4">
        <n x="509"/>
        <n x="129"/>
        <n x="486"/>
      </t>
    </mdx>
    <mdx n="508" f="v">
      <t c="3" si="4">
        <n x="509"/>
        <n x="363"/>
        <n x="487"/>
      </t>
    </mdx>
    <mdx n="508" f="v">
      <t c="3" si="4">
        <n x="509"/>
        <n x="251"/>
        <n x="488"/>
      </t>
    </mdx>
    <mdx n="508" f="v">
      <t c="3" si="4">
        <n x="509"/>
        <n x="371"/>
        <n x="482"/>
      </t>
    </mdx>
    <mdx n="508" f="v">
      <t c="3" si="4">
        <n x="509"/>
        <n x="44"/>
        <n x="483"/>
      </t>
    </mdx>
    <mdx n="508" f="v">
      <t c="3" si="4">
        <n x="509"/>
        <n x="41"/>
        <n x="484"/>
      </t>
    </mdx>
    <mdx n="508" f="v">
      <t c="3" si="4">
        <n x="509"/>
        <n x="408"/>
        <n x="485"/>
      </t>
    </mdx>
    <mdx n="508" f="v">
      <t c="3" si="4">
        <n x="509"/>
        <n x="91"/>
        <n x="486"/>
      </t>
    </mdx>
    <mdx n="508" f="v">
      <t c="3" si="4">
        <n x="509"/>
        <n x="33"/>
        <n x="487"/>
      </t>
    </mdx>
    <mdx n="508" f="v">
      <t c="3" si="4">
        <n x="509"/>
        <n x="444"/>
        <n x="488"/>
      </t>
    </mdx>
    <mdx n="508" f="v">
      <t c="3" si="4">
        <n x="509"/>
        <n x="286"/>
        <n x="490"/>
      </t>
    </mdx>
    <mdx n="508" f="v">
      <t c="3" si="4">
        <n x="509"/>
        <n x="351"/>
        <n x="482"/>
      </t>
    </mdx>
    <mdx n="508" f="v">
      <t c="3" si="4">
        <n x="509"/>
        <n x="463"/>
        <n x="483"/>
      </t>
    </mdx>
    <mdx n="508" f="v">
      <t c="3" si="4">
        <n x="509"/>
        <n x="335"/>
        <n x="484"/>
      </t>
    </mdx>
    <mdx n="508" f="v">
      <t c="3" si="4">
        <n x="509"/>
        <n x="18"/>
        <n x="485"/>
      </t>
    </mdx>
    <mdx n="508" f="v">
      <t c="3" si="4">
        <n x="509"/>
        <n x="353"/>
        <n x="486"/>
      </t>
    </mdx>
    <mdx n="508" f="v">
      <t c="3" si="4">
        <n x="509"/>
        <n x="139"/>
        <n x="487"/>
      </t>
    </mdx>
    <mdx n="508" f="v">
      <t c="3" si="4">
        <n x="509"/>
        <n x="253"/>
        <n x="488"/>
      </t>
    </mdx>
    <mdx n="508" f="v">
      <t c="3" si="4">
        <n x="509"/>
        <n x="88"/>
        <n x="480"/>
      </t>
    </mdx>
    <mdx n="508" f="v">
      <t c="3" si="4">
        <n x="509"/>
        <n x="78"/>
        <n x="482"/>
      </t>
    </mdx>
    <mdx n="508" f="v">
      <t c="3" si="4">
        <n x="509"/>
        <n x="205"/>
        <n x="483"/>
      </t>
    </mdx>
    <mdx n="508" f="v">
      <t c="3" si="4">
        <n x="509"/>
        <n x="227"/>
        <n x="484"/>
      </t>
    </mdx>
    <mdx n="508" f="v">
      <t c="3" si="4">
        <n x="509"/>
        <n x="424"/>
        <n x="486"/>
      </t>
    </mdx>
    <mdx n="508" f="v">
      <t c="3" si="4">
        <n x="509"/>
        <n x="224"/>
        <n x="487"/>
      </t>
    </mdx>
    <mdx n="508" f="v">
      <t c="3" si="4">
        <n x="509"/>
        <n x="446"/>
        <n x="488"/>
      </t>
    </mdx>
    <mdx n="508" f="v">
      <t c="3" si="4">
        <n x="509"/>
        <n x="70"/>
        <n x="489"/>
      </t>
    </mdx>
    <mdx n="508" f="v">
      <t c="3" si="4">
        <n x="509"/>
        <n x="265"/>
        <n x="482"/>
      </t>
    </mdx>
    <mdx n="508" f="v">
      <t c="3" si="4">
        <n x="509"/>
        <n x="200"/>
        <n x="483"/>
      </t>
    </mdx>
    <mdx n="508" f="v">
      <t c="3" si="4">
        <n x="509"/>
        <n x="406"/>
        <n x="484"/>
      </t>
    </mdx>
    <mdx n="508" f="v">
      <t c="3" si="4">
        <n x="509"/>
        <n x="115"/>
        <n x="485"/>
      </t>
    </mdx>
    <mdx n="508" f="v">
      <t c="3" si="4">
        <n x="509"/>
        <n x="61"/>
        <n x="477"/>
      </t>
    </mdx>
    <mdx n="508" f="v">
      <t c="3" si="4">
        <n x="509"/>
        <n x="204"/>
        <n x="478"/>
      </t>
    </mdx>
    <mdx n="508" f="v">
      <t c="3" si="4">
        <n x="509"/>
        <n x="131"/>
        <n x="477"/>
      </t>
    </mdx>
    <mdx n="508" f="v">
      <t c="3" si="4">
        <n x="509"/>
        <n x="171"/>
        <n x="480"/>
      </t>
    </mdx>
    <mdx n="508" f="v">
      <t c="3" si="4">
        <n x="509"/>
        <n x="456"/>
        <n x="480"/>
      </t>
    </mdx>
    <mdx n="508" f="v">
      <t c="3" si="4">
        <n x="509"/>
        <n x="404"/>
        <n x="479"/>
      </t>
    </mdx>
    <mdx n="508" f="v">
      <t c="3" si="4">
        <n x="509"/>
        <n x="369"/>
        <n x="481"/>
      </t>
    </mdx>
    <mdx n="508" f="v">
      <t c="3" si="4">
        <n x="509"/>
        <n x="13"/>
        <n x="477"/>
      </t>
    </mdx>
    <mdx n="508" f="v">
      <t c="3" si="4">
        <n x="509"/>
        <n x="373"/>
        <n x="471"/>
      </t>
    </mdx>
    <mdx n="508" f="v">
      <t c="3" si="4">
        <n x="509"/>
        <n x="403"/>
        <n x="480"/>
      </t>
    </mdx>
    <mdx n="508" f="v">
      <t c="3" si="4">
        <n x="509"/>
        <n x="59"/>
        <n x="481"/>
      </t>
    </mdx>
    <mdx n="508" f="v">
      <t c="3" si="4">
        <n x="509"/>
        <n x="43"/>
        <n x="481"/>
      </t>
    </mdx>
    <mdx n="508" f="v">
      <t c="3" si="4">
        <n x="509"/>
        <n x="53"/>
        <n x="482"/>
      </t>
    </mdx>
    <mdx n="508" f="v">
      <t c="3" si="4">
        <n x="509"/>
        <n x="67"/>
        <n x="484"/>
      </t>
    </mdx>
    <mdx n="508" f="v">
      <t c="3" si="4">
        <n x="509"/>
        <n x="309"/>
        <n x="485"/>
      </t>
    </mdx>
    <mdx n="508" f="v">
      <t c="3" si="4">
        <n x="509"/>
        <n x="137"/>
        <n x="486"/>
      </t>
    </mdx>
    <mdx n="508" f="v">
      <t c="3" si="4">
        <n x="509"/>
        <n x="130"/>
        <n x="487"/>
      </t>
    </mdx>
    <mdx n="508" f="v">
      <t c="3" si="4">
        <n x="509"/>
        <n x="17"/>
        <n x="488"/>
      </t>
    </mdx>
    <mdx n="508" f="v">
      <t c="3" si="4">
        <n x="509"/>
        <n x="12"/>
        <n x="476"/>
      </t>
    </mdx>
    <mdx n="508" f="v">
      <t c="3" si="4">
        <n x="509"/>
        <n x="66"/>
        <n x="482"/>
      </t>
    </mdx>
    <mdx n="508" f="v">
      <t c="3" si="4">
        <n x="509"/>
        <n x="155"/>
        <n x="483"/>
      </t>
    </mdx>
    <mdx n="508" f="v">
      <t c="3" si="4">
        <n x="509"/>
        <n x="97"/>
        <n x="484"/>
      </t>
    </mdx>
    <mdx n="508" f="v">
      <t c="3" si="4">
        <n x="509"/>
        <n x="324"/>
        <n x="485"/>
      </t>
    </mdx>
    <mdx n="508" f="v">
      <t c="3" si="4">
        <n x="509"/>
        <n x="173"/>
        <n x="486"/>
      </t>
    </mdx>
    <mdx n="508" f="v">
      <t c="3" si="4">
        <n x="509"/>
        <n x="378"/>
        <n x="487"/>
      </t>
    </mdx>
    <mdx n="508" f="v">
      <t c="3" si="4">
        <n x="509"/>
        <n x="308"/>
        <n x="480"/>
      </t>
    </mdx>
    <mdx n="508" f="v">
      <t c="3" si="4">
        <n x="509"/>
        <n x="10"/>
        <n x="482"/>
      </t>
    </mdx>
    <mdx n="508" f="v">
      <t c="3" si="4">
        <n x="509"/>
        <n x="432"/>
        <n x="483"/>
      </t>
    </mdx>
    <mdx n="508" f="v">
      <t c="3" si="4">
        <n x="509"/>
        <n x="457"/>
        <n x="485"/>
      </t>
    </mdx>
    <mdx n="508" f="v">
      <t c="3" si="4">
        <n x="509"/>
        <n x="158"/>
        <n x="486"/>
      </t>
    </mdx>
    <mdx n="508" f="v">
      <t c="3" si="4">
        <n x="509"/>
        <n x="455"/>
        <n x="487"/>
      </t>
    </mdx>
    <mdx n="508" f="v">
      <t c="3" si="4">
        <n x="509"/>
        <n x="311"/>
        <n x="488"/>
      </t>
    </mdx>
    <mdx n="508" f="v">
      <t c="3" si="4">
        <n x="509"/>
        <n x="375"/>
        <n x="481"/>
      </t>
    </mdx>
    <mdx n="508" f="v">
      <t c="3" si="4">
        <n x="509"/>
        <n x="37"/>
        <n x="483"/>
      </t>
    </mdx>
    <mdx n="508" f="v">
      <t c="3" si="4">
        <n x="509"/>
        <n x="144"/>
        <n x="484"/>
      </t>
    </mdx>
    <mdx n="508" f="v">
      <t c="3" si="4">
        <n x="509"/>
        <n x="323"/>
        <n x="485"/>
      </t>
    </mdx>
    <mdx n="508" f="v">
      <t c="3" si="4">
        <n x="509"/>
        <n x="422"/>
        <n x="486"/>
      </t>
    </mdx>
    <mdx n="508" f="v">
      <t c="3" si="4">
        <n x="509"/>
        <n x="346"/>
        <n x="487"/>
      </t>
    </mdx>
    <mdx n="508" f="v">
      <t c="3" si="4">
        <n x="509"/>
        <n x="317"/>
        <n x="488"/>
      </t>
    </mdx>
    <mdx n="508" f="v">
      <t c="3" si="4">
        <n x="509"/>
        <n x="108"/>
        <n x="489"/>
      </t>
    </mdx>
    <mdx n="508" f="v">
      <t c="3" si="4">
        <n x="509"/>
        <n x="289"/>
        <n x="482"/>
      </t>
    </mdx>
    <mdx n="508" f="v">
      <t c="3" si="4">
        <n x="509"/>
        <n x="402"/>
        <n x="483"/>
      </t>
    </mdx>
    <mdx n="508" f="v">
      <t c="3" si="4">
        <n x="509"/>
        <n x="242"/>
        <n x="484"/>
      </t>
    </mdx>
    <mdx n="508" f="v">
      <t c="3" si="4">
        <n x="509"/>
        <n x="306"/>
        <n x="485"/>
      </t>
    </mdx>
    <mdx n="508" f="v">
      <t c="3" si="4">
        <n x="509"/>
        <n x="400"/>
        <n x="486"/>
      </t>
    </mdx>
    <mdx n="508" f="v">
      <t c="3" si="4">
        <n x="509"/>
        <n x="26"/>
        <n x="487"/>
      </t>
    </mdx>
    <mdx n="508" f="v">
      <t c="3" si="4">
        <n x="509"/>
        <n x="369"/>
        <n x="488"/>
      </t>
    </mdx>
    <mdx n="508" f="v">
      <t c="3" si="4">
        <n x="509"/>
        <n x="288"/>
        <n x="471"/>
      </t>
    </mdx>
    <mdx n="508" f="v">
      <t c="3" si="4">
        <n x="509"/>
        <n x="294"/>
        <n x="482"/>
      </t>
    </mdx>
    <mdx n="508" f="v">
      <t c="3" si="4">
        <n x="509"/>
        <n x="40"/>
        <n x="483"/>
      </t>
    </mdx>
    <mdx n="508" f="v">
      <t c="3" si="4">
        <n x="509"/>
        <n x="164"/>
        <n x="484"/>
      </t>
    </mdx>
    <mdx n="508" f="v">
      <t c="3" si="4">
        <n x="509"/>
        <n x="240"/>
        <n x="485"/>
      </t>
    </mdx>
    <mdx n="508" f="v">
      <t c="3" si="4">
        <n x="509"/>
        <n x="271"/>
        <n x="486"/>
      </t>
    </mdx>
    <mdx n="508" f="v">
      <t c="3" si="4">
        <n x="509"/>
        <n x="357"/>
        <n x="488"/>
      </t>
    </mdx>
    <mdx n="508" f="v">
      <t c="3" si="4">
        <n x="509"/>
        <n x="102"/>
        <n x="476"/>
      </t>
    </mdx>
    <mdx n="508" f="v">
      <t c="3" si="4">
        <n x="509"/>
        <n x="235"/>
        <n x="476"/>
      </t>
    </mdx>
    <mdx n="508" f="v">
      <t c="3" si="4">
        <n x="509"/>
        <n x="382"/>
        <n x="471"/>
      </t>
    </mdx>
    <mdx n="508" f="v">
      <t c="3" si="4">
        <n x="509"/>
        <n x="59"/>
        <n x="479"/>
      </t>
    </mdx>
    <mdx n="508" f="v">
      <t c="3" si="4">
        <n x="509"/>
        <n x="354"/>
        <n x="476"/>
      </t>
    </mdx>
    <mdx n="508" f="v">
      <t c="3" si="4">
        <n x="509"/>
        <n x="81"/>
        <n x="479"/>
      </t>
    </mdx>
    <mdx n="508" f="v">
      <t c="3" si="4">
        <n x="509"/>
        <n x="378"/>
        <n x="480"/>
      </t>
    </mdx>
    <mdx n="508" f="v">
      <t c="3" si="4">
        <n x="509"/>
        <n x="161"/>
        <n x="483"/>
      </t>
    </mdx>
    <mdx n="508" f="v">
      <t c="3" si="4">
        <n x="509"/>
        <n x="418"/>
        <n x="485"/>
      </t>
    </mdx>
    <mdx n="508" f="v">
      <t c="3" si="4">
        <n x="509"/>
        <n x="26"/>
        <n x="486"/>
      </t>
    </mdx>
    <mdx n="508" f="v">
      <t c="3" si="4">
        <n x="509"/>
        <n x="30"/>
        <n x="488"/>
      </t>
    </mdx>
    <mdx n="508" f="v">
      <t c="3" si="4">
        <n x="509"/>
        <n x="423"/>
        <n x="471"/>
      </t>
    </mdx>
    <mdx n="508" f="v">
      <t c="3" si="4">
        <n x="509"/>
        <n x="395"/>
        <n x="482"/>
      </t>
    </mdx>
    <mdx n="508" f="v">
      <t c="3" si="4">
        <n x="509"/>
        <n x="343"/>
        <n x="484"/>
      </t>
    </mdx>
    <mdx n="508" f="v">
      <t c="3" si="4">
        <n x="509"/>
        <n x="379"/>
        <n x="485"/>
      </t>
    </mdx>
    <mdx n="508" f="v">
      <t c="3" si="4">
        <n x="509"/>
        <n x="113"/>
        <n x="487"/>
      </t>
    </mdx>
    <mdx n="508" f="v">
      <t c="3" si="4">
        <n x="509"/>
        <n x="295"/>
        <n x="471"/>
      </t>
    </mdx>
    <mdx n="508" f="v">
      <t c="3" si="4">
        <n x="509"/>
        <n x="346"/>
        <n x="482"/>
      </t>
    </mdx>
    <mdx n="508" f="v">
      <t c="3" si="4">
        <n x="509"/>
        <n x="410"/>
        <n x="484"/>
      </t>
    </mdx>
    <mdx n="508" f="v">
      <t c="3" si="4">
        <n x="509"/>
        <n x="338"/>
        <n x="485"/>
      </t>
    </mdx>
    <mdx n="508" f="v">
      <t c="3" si="4">
        <n x="509"/>
        <n x="341"/>
        <n x="487"/>
      </t>
    </mdx>
    <mdx n="508" f="v">
      <t c="3" si="4">
        <n x="509"/>
        <n x="440"/>
        <n x="471"/>
      </t>
    </mdx>
    <mdx n="508" f="v">
      <t c="3" si="4">
        <n x="509"/>
        <n x="26"/>
        <n x="482"/>
      </t>
    </mdx>
    <mdx n="508" f="v">
      <t c="3" si="4">
        <n x="509"/>
        <n x="54"/>
        <n x="484"/>
      </t>
    </mdx>
    <mdx n="508" f="v">
      <t c="3" si="4">
        <n x="509"/>
        <n x="388"/>
        <n x="485"/>
      </t>
    </mdx>
    <mdx n="508" f="v">
      <t c="3" si="4">
        <n x="509"/>
        <n x="440"/>
        <n x="487"/>
      </t>
    </mdx>
    <mdx n="508" f="v">
      <t c="3" si="4">
        <n x="509"/>
        <n x="123"/>
        <n x="488"/>
      </t>
    </mdx>
    <mdx n="508" f="v">
      <t c="3" si="4">
        <n x="509"/>
        <n x="46"/>
        <n x="490"/>
      </t>
    </mdx>
    <mdx n="508" f="v">
      <t c="3" si="4">
        <n x="509"/>
        <n x="89"/>
        <n x="482"/>
      </t>
    </mdx>
    <mdx n="508" f="v">
      <t c="3" si="4">
        <n x="509"/>
        <n x="294"/>
        <n x="483"/>
      </t>
    </mdx>
    <mdx n="508" f="v">
      <t c="3" si="4">
        <n x="509"/>
        <n x="149"/>
        <n x="485"/>
      </t>
    </mdx>
    <mdx n="508" f="v">
      <t c="3" si="4">
        <n x="509"/>
        <n x="109"/>
        <n x="486"/>
      </t>
    </mdx>
    <mdx n="508" f="v">
      <t c="3" si="4">
        <n x="509"/>
        <n x="76"/>
        <n x="487"/>
      </t>
    </mdx>
    <mdx n="508" f="v">
      <t c="3" si="4">
        <n x="509"/>
        <n x="414"/>
        <n x="488"/>
      </t>
    </mdx>
    <mdx n="508" f="v">
      <t c="3" si="4">
        <n x="509"/>
        <n x="451"/>
        <n x="480"/>
      </t>
    </mdx>
    <mdx n="508" f="v">
      <t c="3" si="4">
        <n x="509"/>
        <n x="326"/>
        <n x="482"/>
      </t>
    </mdx>
    <mdx n="508" f="v">
      <t c="3" si="4">
        <n x="509"/>
        <n x="223"/>
        <n x="483"/>
      </t>
    </mdx>
    <mdx n="508" f="v">
      <t c="3" si="4">
        <n x="509"/>
        <n x="159"/>
        <n x="484"/>
      </t>
    </mdx>
    <mdx n="508" f="v">
      <t c="3" si="4">
        <n x="509"/>
        <n x="240"/>
        <n x="486"/>
      </t>
    </mdx>
    <mdx n="508" f="v">
      <t c="3" si="4">
        <n x="509"/>
        <n x="413"/>
        <n x="487"/>
      </t>
    </mdx>
    <mdx n="508" f="v">
      <t c="3" si="4">
        <n x="509"/>
        <n x="217"/>
        <n x="488"/>
      </t>
    </mdx>
    <mdx n="508" f="v">
      <t c="3" si="4">
        <n x="509"/>
        <n x="24"/>
        <n x="466"/>
      </t>
    </mdx>
    <mdx n="508" f="v">
      <t c="3" si="4">
        <n x="509"/>
        <n x="212"/>
        <n x="477"/>
      </t>
    </mdx>
    <mdx n="508" f="v">
      <t c="3" si="4">
        <n x="509"/>
        <n x="430"/>
        <n x="477"/>
      </t>
    </mdx>
    <mdx n="508" f="v">
      <t c="3" si="4">
        <n x="509"/>
        <n x="244"/>
        <n x="477"/>
      </t>
    </mdx>
    <mdx n="508" f="v">
      <t c="3" si="4">
        <n x="509"/>
        <n x="115"/>
        <n x="477"/>
      </t>
    </mdx>
    <mdx n="508" f="v">
      <t c="3" si="4">
        <n x="509"/>
        <n x="379"/>
        <n x="479"/>
      </t>
    </mdx>
    <mdx n="508" f="v">
      <t c="3" si="4">
        <n x="509"/>
        <n x="56"/>
        <n x="480"/>
      </t>
    </mdx>
    <mdx n="508" f="v">
      <t c="3" si="4">
        <n x="509"/>
        <n x="347"/>
        <n x="481"/>
      </t>
    </mdx>
    <mdx n="508" f="v">
      <t c="3" si="4">
        <n x="509"/>
        <n x="96"/>
        <n x="479"/>
      </t>
    </mdx>
    <mdx n="508" f="v">
      <t c="3" si="4">
        <n x="509"/>
        <n x="434"/>
        <n x="481"/>
      </t>
    </mdx>
    <mdx n="508" f="v">
      <t c="3" si="4">
        <n x="509"/>
        <n x="278"/>
        <n x="477"/>
      </t>
    </mdx>
    <mdx n="508" f="v">
      <t c="3" si="4">
        <n x="509"/>
        <n x="91"/>
        <n x="471"/>
      </t>
    </mdx>
    <mdx n="508" f="v">
      <t c="3" si="4">
        <n x="509"/>
        <n x="67"/>
        <n x="480"/>
      </t>
    </mdx>
    <mdx n="508" f="v">
      <t c="3" si="4">
        <n x="509"/>
        <n x="330"/>
        <n x="481"/>
      </t>
    </mdx>
    <mdx n="508" f="v">
      <t c="3" si="4">
        <n x="509"/>
        <n x="311"/>
        <n x="481"/>
      </t>
    </mdx>
    <mdx n="508" f="v">
      <t c="3" si="4">
        <n x="509"/>
        <n x="319"/>
        <n x="482"/>
      </t>
    </mdx>
    <mdx n="508" f="v">
      <t c="3" si="4">
        <n x="509"/>
        <n x="12"/>
        <n x="483"/>
      </t>
    </mdx>
    <mdx n="508" f="v">
      <t c="3" si="4">
        <n x="509"/>
        <n x="330"/>
        <n x="485"/>
      </t>
    </mdx>
    <mdx n="508" f="v">
      <t c="3" si="4">
        <n x="509"/>
        <n x="374"/>
        <n x="486"/>
      </t>
    </mdx>
    <mdx n="508" f="v">
      <t c="3" si="4">
        <n x="509"/>
        <n x="170"/>
        <n x="487"/>
      </t>
    </mdx>
    <mdx n="508" f="v">
      <t c="3" si="4">
        <n x="509"/>
        <n x="349"/>
        <n x="488"/>
      </t>
    </mdx>
    <mdx n="508" f="v">
      <t c="3" si="4">
        <n x="509"/>
        <n x="256"/>
        <n x="482"/>
      </t>
    </mdx>
    <mdx n="508" f="v">
      <t c="3" si="4">
        <n x="509"/>
        <n x="213"/>
        <n x="483"/>
      </t>
    </mdx>
    <mdx n="508" f="v">
      <t c="3" si="4">
        <n x="509"/>
        <n x="130"/>
        <n x="484"/>
      </t>
    </mdx>
    <mdx n="508" f="v">
      <t c="3" si="4">
        <n x="509"/>
        <n x="346"/>
        <n x="485"/>
      </t>
    </mdx>
    <mdx n="508" f="v">
      <t c="3" si="4">
        <n x="509"/>
        <n x="332"/>
        <n x="486"/>
      </t>
    </mdx>
    <mdx n="508" f="v">
      <t c="3" si="4">
        <n x="509"/>
        <n x="131"/>
        <n x="487"/>
      </t>
    </mdx>
    <mdx n="508" f="v">
      <t c="3" si="4">
        <n x="509"/>
        <n x="248"/>
        <n x="482"/>
      </t>
    </mdx>
    <mdx n="508" f="v">
      <t c="3" si="4">
        <n x="509"/>
        <n x="204"/>
        <n x="483"/>
      </t>
    </mdx>
    <mdx n="508" f="v">
      <t c="3" si="4">
        <n x="509"/>
        <n x="80"/>
        <n x="484"/>
      </t>
    </mdx>
    <mdx n="508" f="v">
      <t c="3" si="4">
        <n x="509"/>
        <n x="286"/>
        <n x="486"/>
      </t>
    </mdx>
    <mdx n="508" f="v">
      <t c="3" si="4">
        <n x="509"/>
        <n x="279"/>
        <n x="487"/>
      </t>
    </mdx>
    <mdx n="508" f="v">
      <t c="3" si="4">
        <n x="509"/>
        <n x="27"/>
        <n x="488"/>
      </t>
    </mdx>
    <mdx n="508" f="v">
      <t c="3" si="4">
        <n x="509"/>
        <n x="403"/>
        <n x="481"/>
      </t>
    </mdx>
    <mdx n="508" f="v">
      <t c="3" si="4">
        <n x="509"/>
        <n x="187"/>
        <n x="483"/>
      </t>
    </mdx>
    <mdx n="508" f="v">
      <t c="3" si="4">
        <n x="509"/>
        <n x="189"/>
        <n x="484"/>
      </t>
    </mdx>
    <mdx n="508" f="v">
      <t c="3" si="4">
        <n x="509"/>
        <n x="454"/>
        <n x="485"/>
      </t>
    </mdx>
    <mdx n="508" f="v">
      <t c="3" si="4">
        <n x="509"/>
        <n x="231"/>
        <n x="486"/>
      </t>
    </mdx>
    <mdx n="508" f="v">
      <t c="3" si="4">
        <n x="509"/>
        <n x="278"/>
        <n x="487"/>
      </t>
    </mdx>
    <mdx n="508" f="v">
      <t c="3" si="4">
        <n x="509"/>
        <n x="408"/>
        <n x="488"/>
      </t>
    </mdx>
    <mdx n="508" f="v">
      <t c="3" si="4">
        <n x="509"/>
        <n x="340"/>
        <n x="489"/>
      </t>
    </mdx>
    <mdx n="508" f="v">
      <t c="3" si="4">
        <n x="509"/>
        <n x="111"/>
        <n x="481"/>
      </t>
    </mdx>
    <mdx n="508" f="v">
      <t c="3" si="4">
        <n x="509"/>
        <n x="168"/>
        <n x="483"/>
      </t>
    </mdx>
    <mdx n="508" f="v">
      <t c="3" si="4">
        <n x="509"/>
        <n x="265"/>
        <n x="484"/>
      </t>
    </mdx>
    <mdx n="508" f="v">
      <t c="3" si="4">
        <n x="509"/>
        <n x="129"/>
        <n x="485"/>
      </t>
    </mdx>
    <mdx n="508" f="v">
      <t c="3" si="4">
        <n x="509"/>
        <n x="192"/>
        <n x="486"/>
      </t>
    </mdx>
    <mdx n="508" f="v">
      <t c="3" si="4">
        <n x="509"/>
        <n x="173"/>
        <n x="487"/>
      </t>
    </mdx>
    <mdx n="508" f="v">
      <t c="3" si="4">
        <n x="509"/>
        <n x="18"/>
        <n x="488"/>
      </t>
    </mdx>
    <mdx n="508" f="v">
      <t c="3" si="4">
        <n x="509"/>
        <n x="69"/>
        <n x="478"/>
      </t>
    </mdx>
    <mdx n="508" f="v">
      <t c="3" si="4">
        <n x="509"/>
        <n x="359"/>
        <n x="482"/>
      </t>
    </mdx>
    <mdx n="508" f="v">
      <t c="3" si="4">
        <n x="509"/>
        <n x="280"/>
        <n x="483"/>
      </t>
    </mdx>
    <mdx n="508" f="v">
      <t c="3" si="4">
        <n x="509"/>
        <n x="366"/>
        <n x="484"/>
      </t>
    </mdx>
    <mdx n="508" f="v">
      <t c="3" si="4">
        <n x="509"/>
        <n x="308"/>
        <n x="485"/>
      </t>
    </mdx>
    <mdx n="508" f="v">
      <t c="3" si="4">
        <n x="509"/>
        <n x="142"/>
        <n x="486"/>
      </t>
    </mdx>
    <mdx n="508" f="v">
      <t c="3" si="4">
        <n x="509"/>
        <n x="445"/>
        <n x="488"/>
      </t>
    </mdx>
    <mdx n="508" f="v">
      <t c="3" si="4">
        <n x="509"/>
        <n x="187"/>
        <n x="489"/>
      </t>
    </mdx>
    <mdx n="508" f="v">
      <t c="3" si="4">
        <n x="509"/>
        <n x="103"/>
        <n x="481"/>
      </t>
    </mdx>
    <mdx n="508" f="v">
      <t c="3" si="4">
        <n x="509"/>
        <n x="158"/>
        <n x="483"/>
      </t>
    </mdx>
    <mdx n="508" f="v">
      <t c="3" si="4">
        <n x="509"/>
        <n x="348"/>
        <n x="484"/>
      </t>
    </mdx>
    <mdx n="508" f="v">
      <t c="3" si="4">
        <n x="509"/>
        <n x="233"/>
        <n x="485"/>
      </t>
    </mdx>
    <mdx n="508" f="v">
      <t c="3" si="4">
        <n x="509"/>
        <n x="181"/>
        <n x="486"/>
      </t>
    </mdx>
    <mdx n="508" f="v">
      <t c="3" si="4">
        <n x="509"/>
        <n x="51"/>
        <n x="1"/>
      </t>
    </mdx>
    <mdx n="508" f="v">
      <t c="3" si="4">
        <n x="509"/>
        <n x="233"/>
        <n x="476"/>
      </t>
    </mdx>
    <mdx n="508" f="v">
      <t c="3" si="4">
        <n x="509"/>
        <n x="174"/>
        <n x="477"/>
      </t>
    </mdx>
    <mdx n="508" f="v">
      <t c="3" si="4">
        <n x="509"/>
        <n x="360"/>
        <n x="476"/>
      </t>
    </mdx>
    <mdx n="508" f="v">
      <t c="3" si="4">
        <n x="509"/>
        <n x="388"/>
        <n x="471"/>
      </t>
    </mdx>
    <mdx n="508" f="v">
      <t c="3" si="4">
        <n x="509"/>
        <n x="377"/>
        <n x="471"/>
      </t>
    </mdx>
    <mdx n="508" f="v">
      <t c="3" si="4">
        <n x="509"/>
        <n x="303"/>
        <n x="471"/>
      </t>
    </mdx>
    <mdx n="508" f="v">
      <t c="3" si="4">
        <n x="509"/>
        <n x="426"/>
        <n x="471"/>
      </t>
    </mdx>
    <mdx n="508" f="v">
      <t c="3" si="4">
        <n x="509"/>
        <n x="385"/>
        <n x="480"/>
      </t>
    </mdx>
    <mdx n="508" f="v">
      <t c="3" si="4">
        <n x="509"/>
        <n x="294"/>
        <n x="481"/>
      </t>
    </mdx>
    <mdx n="508" f="v">
      <t c="3" si="4">
        <n x="509"/>
        <n x="282"/>
        <n x="471"/>
      </t>
    </mdx>
    <mdx n="508" f="v">
      <t c="3" si="4">
        <n x="509"/>
        <n x="343"/>
        <n x="479"/>
      </t>
    </mdx>
    <mdx n="508" f="v">
      <t c="3" si="4">
        <n x="509"/>
        <n x="413"/>
        <n x="480"/>
      </t>
    </mdx>
    <mdx n="508" f="v">
      <t c="3" si="4">
        <n x="509"/>
        <n x="198"/>
        <n x="481"/>
      </t>
    </mdx>
    <mdx n="508" f="v">
      <t c="3" si="4">
        <n x="509"/>
        <n x="134"/>
        <n x="482"/>
      </t>
    </mdx>
    <mdx n="508" f="v">
      <t c="3" si="4">
        <n x="509"/>
        <n x="391"/>
        <n x="483"/>
      </t>
    </mdx>
    <mdx n="508" f="v">
      <t c="3" si="4">
        <n x="509"/>
        <n x="38"/>
        <n x="484"/>
      </t>
    </mdx>
    <mdx n="508" f="v">
      <t c="3" si="4">
        <n x="509"/>
        <n x="290"/>
        <n x="485"/>
      </t>
    </mdx>
    <mdx n="508" f="v">
      <t c="3" si="4">
        <n x="509"/>
        <n x="149"/>
        <n x="486"/>
      </t>
    </mdx>
    <mdx n="508" f="v">
      <t c="3" si="4">
        <n x="509"/>
        <n x="404"/>
        <n x="487"/>
      </t>
    </mdx>
    <mdx n="508" f="v">
      <t c="3" si="4">
        <n x="509"/>
        <n x="379"/>
        <n x="488"/>
      </t>
    </mdx>
    <mdx n="508" f="v">
      <t c="3" si="4">
        <n x="509"/>
        <n x="430"/>
        <n x="480"/>
      </t>
    </mdx>
    <mdx n="508" f="v">
      <t c="3" si="4">
        <n x="509"/>
        <n x="6"/>
        <n x="482"/>
      </t>
    </mdx>
    <mdx n="508" f="v">
      <t c="3" si="4">
        <n x="509"/>
        <n x="415"/>
        <n x="483"/>
      </t>
    </mdx>
    <mdx n="508" f="v">
      <t c="3" si="4">
        <n x="509"/>
        <n x="443"/>
        <n x="485"/>
      </t>
    </mdx>
    <mdx n="508" f="v">
      <t c="3" si="4">
        <n x="509"/>
        <n x="258"/>
        <n x="486"/>
      </t>
    </mdx>
    <mdx n="508" f="v">
      <t c="3" si="4">
        <n x="509"/>
        <n x="381"/>
        <n x="487"/>
      </t>
    </mdx>
    <mdx n="508" f="v">
      <t c="3" si="4">
        <n x="509"/>
        <n x="207"/>
        <n x="488"/>
      </t>
    </mdx>
    <mdx n="508" f="v">
      <t c="3" si="4">
        <n x="509"/>
        <n x="31"/>
        <n x="482"/>
      </t>
    </mdx>
    <mdx n="508" f="v">
      <t c="3" si="4">
        <n x="509"/>
        <n x="133"/>
        <n x="483"/>
      </t>
    </mdx>
    <mdx n="508" f="v">
      <t c="3" si="4">
        <n x="509"/>
        <n x="256"/>
        <n x="484"/>
      </t>
    </mdx>
    <mdx n="508" f="v">
      <t c="3" si="4">
        <n x="509"/>
        <n x="156"/>
        <n x="485"/>
      </t>
    </mdx>
    <mdx n="508" f="v">
      <t c="3" si="4">
        <n x="509"/>
        <n x="27"/>
        <n x="486"/>
      </t>
    </mdx>
    <mdx n="508" f="v">
      <t c="3" si="4">
        <n x="509"/>
        <n x="125"/>
        <n x="487"/>
      </t>
    </mdx>
    <mdx n="508" f="v">
      <t c="3" si="4">
        <n x="509"/>
        <n x="198"/>
        <n x="466"/>
      </t>
    </mdx>
    <mdx n="508" f="v">
      <t c="3" si="4">
        <n x="509"/>
        <n x="132"/>
        <n x="482"/>
      </t>
    </mdx>
    <mdx n="508" f="v">
      <t c="3" si="4">
        <n x="509"/>
        <n x="300"/>
        <n x="483"/>
      </t>
    </mdx>
    <mdx n="508" f="v">
      <t c="3" si="4">
        <n x="509"/>
        <n x="127"/>
        <n x="484"/>
      </t>
    </mdx>
    <mdx n="508" f="v">
      <t c="3" si="4">
        <n x="509"/>
        <n x="36"/>
        <n x="485"/>
      </t>
    </mdx>
    <mdx n="508" f="v">
      <t c="3" si="4">
        <n x="509"/>
        <n x="118"/>
        <n x="486"/>
      </t>
    </mdx>
    <mdx n="508" f="v">
      <t c="3" si="4">
        <n x="509"/>
        <n x="403"/>
        <n x="487"/>
      </t>
    </mdx>
    <mdx n="508" f="v">
      <t c="3" si="4">
        <n x="509"/>
        <n x="271"/>
        <n x="489"/>
      </t>
    </mdx>
    <mdx n="508" f="v">
      <t c="3" si="4">
        <n x="509"/>
        <n x="241"/>
        <n x="476"/>
      </t>
    </mdx>
    <mdx n="508" f="v">
      <t c="3" si="4">
        <n x="509"/>
        <n x="99"/>
        <n x="482"/>
      </t>
    </mdx>
    <mdx n="508" f="v">
      <t c="3" si="4">
        <n x="509"/>
        <n x="448"/>
        <n x="483"/>
      </t>
    </mdx>
    <mdx n="508" f="v">
      <t c="3" si="4">
        <n x="509"/>
        <n x="106"/>
        <n x="484"/>
      </t>
    </mdx>
    <mdx n="508" f="v">
      <t c="3" si="4">
        <n x="509"/>
        <n x="329"/>
        <n x="485"/>
      </t>
    </mdx>
    <mdx n="508" f="v">
      <t c="3" si="4">
        <n x="509"/>
        <n x="74"/>
        <n x="486"/>
      </t>
    </mdx>
    <mdx n="508" f="v">
      <t c="3" si="4">
        <n x="509"/>
        <n x="111"/>
        <n x="487"/>
      </t>
    </mdx>
    <mdx n="508" f="v">
      <t c="3" si="4">
        <n x="509"/>
        <n x="337"/>
        <n x="489"/>
      </t>
    </mdx>
    <mdx n="508" f="v">
      <t c="3" si="4">
        <n x="509"/>
        <n x="70"/>
        <n x="481"/>
      </t>
    </mdx>
    <mdx n="508" f="v">
      <t c="3" si="4">
        <n x="509"/>
        <n x="427"/>
        <n x="482"/>
      </t>
    </mdx>
    <mdx n="508" f="v">
      <t c="3" si="4">
        <n x="509"/>
        <n x="307"/>
        <n x="483"/>
      </t>
    </mdx>
    <mdx n="508" f="v">
      <t c="3" si="4">
        <n x="509"/>
        <n x="232"/>
        <n x="485"/>
      </t>
    </mdx>
    <mdx n="508" f="v">
      <t c="3" si="4">
        <n x="509"/>
        <n x="207"/>
        <n x="486"/>
      </t>
    </mdx>
    <mdx n="508" f="v">
      <t c="3" si="4">
        <n x="509"/>
        <n x="40"/>
        <n x="487"/>
      </t>
    </mdx>
    <mdx n="508" f="v">
      <t c="3" si="4">
        <n x="509"/>
        <n x="412"/>
        <n x="488"/>
      </t>
    </mdx>
    <mdx n="508" f="v">
      <t c="3" si="4">
        <n x="509"/>
        <n x="292"/>
        <n x="476"/>
      </t>
    </mdx>
    <mdx n="508" f="v">
      <t c="3" si="4">
        <n x="509"/>
        <n x="303"/>
        <n x="482"/>
      </t>
    </mdx>
    <mdx n="508" f="v">
      <t c="3" si="4">
        <n x="509"/>
        <n x="54"/>
        <n x="483"/>
      </t>
    </mdx>
    <mdx n="508" f="v">
      <t c="3" si="4">
        <n x="509"/>
        <n x="317"/>
        <n x="484"/>
      </t>
    </mdx>
    <mdx n="508" f="v">
      <t c="3" si="4">
        <n x="509"/>
        <n x="109"/>
        <n x="478"/>
      </t>
    </mdx>
    <mdx n="508" f="v">
      <t c="3" si="4">
        <n x="509"/>
        <n x="386"/>
        <n x="468"/>
      </t>
    </mdx>
    <mdx n="508" f="v">
      <t c="3" si="4">
        <n x="509"/>
        <n x="370"/>
        <n x="471"/>
      </t>
    </mdx>
    <mdx n="508" f="v">
      <t c="3" si="4">
        <n x="509"/>
        <n x="293"/>
        <n x="478"/>
      </t>
    </mdx>
    <mdx n="508" f="v">
      <t c="3" si="4">
        <n x="509"/>
        <n x="321"/>
        <n x="481"/>
      </t>
    </mdx>
    <mdx n="508" f="v">
      <t c="3" si="4">
        <n x="509"/>
        <n x="453"/>
        <n x="481"/>
      </t>
    </mdx>
    <mdx n="508" f="v">
      <t c="3" si="4">
        <n x="509"/>
        <n x="364"/>
        <n x="478"/>
      </t>
    </mdx>
    <mdx n="508" f="v">
      <t c="3" si="4">
        <n x="509"/>
        <n x="201"/>
        <n x="480"/>
      </t>
    </mdx>
    <mdx n="508" f="v">
      <t c="3" si="4">
        <n x="509"/>
        <n x="54"/>
        <n x="481"/>
      </t>
    </mdx>
    <mdx n="508" f="v">
      <t c="3" si="4">
        <n x="509"/>
        <n x="154"/>
        <n x="478"/>
      </t>
    </mdx>
    <mdx n="508" f="v">
      <t c="3" si="4">
        <n x="509"/>
        <n x="419"/>
        <n x="479"/>
      </t>
    </mdx>
    <mdx n="508" f="v">
      <t c="3" si="4">
        <n x="509"/>
        <n x="318"/>
        <n x="480"/>
      </t>
    </mdx>
    <mdx n="508" f="v">
      <t c="3" si="4">
        <n x="509"/>
        <n x="25"/>
        <n x="481"/>
      </t>
    </mdx>
    <mdx n="508" f="v">
      <t c="3" si="4">
        <n x="509"/>
        <n x="152"/>
        <n x="481"/>
      </t>
    </mdx>
    <mdx n="508" f="v">
      <t c="3" si="4">
        <n x="509"/>
        <n x="208"/>
        <n x="483"/>
      </t>
    </mdx>
    <mdx n="508" f="v">
      <t c="3" si="4">
        <n x="509"/>
        <n x="309"/>
        <n x="484"/>
      </t>
    </mdx>
    <mdx n="508" f="v">
      <t c="3" si="4">
        <n x="509"/>
        <n x="217"/>
        <n x="485"/>
      </t>
    </mdx>
    <mdx n="508" f="v">
      <t c="3" si="4">
        <n x="509"/>
        <n x="281"/>
        <n x="486"/>
      </t>
    </mdx>
    <mdx n="508" f="v">
      <t c="3" si="4">
        <n x="509"/>
        <n x="64"/>
        <n x="487"/>
      </t>
    </mdx>
    <mdx n="508" f="v">
      <t c="3" si="4">
        <n x="509"/>
        <n x="43"/>
        <n x="488"/>
      </t>
    </mdx>
    <mdx n="508" f="v">
      <t c="3" si="4">
        <n x="509"/>
        <n x="316"/>
        <n x="471"/>
      </t>
    </mdx>
    <mdx n="508" f="v">
      <t c="3" si="4">
        <n x="509"/>
        <n x="194"/>
        <n x="482"/>
      </t>
    </mdx>
    <mdx n="508" f="v">
      <t c="3" si="4">
        <n x="509"/>
        <n x="445"/>
        <n x="483"/>
      </t>
    </mdx>
    <mdx n="508" f="v">
      <t c="3" si="4">
        <n x="509"/>
        <n x="6"/>
        <n x="484"/>
      </t>
    </mdx>
    <mdx n="508" f="v">
      <t c="3" si="4">
        <n x="509"/>
        <n x="191"/>
        <n x="485"/>
      </t>
    </mdx>
    <mdx n="508" f="v">
      <t c="3" si="4">
        <n x="509"/>
        <n x="158"/>
        <n x="487"/>
      </t>
    </mdx>
    <mdx n="508" f="v">
      <t c="3" si="4">
        <n x="509"/>
        <n x="419"/>
        <n x="488"/>
      </t>
    </mdx>
    <mdx n="508" f="v">
      <t c="3" si="4">
        <n x="509"/>
        <n x="105"/>
        <n x="481"/>
      </t>
    </mdx>
    <mdx n="508" f="v">
      <t c="3" si="4">
        <n x="509"/>
        <n x="67"/>
        <n x="482"/>
      </t>
    </mdx>
    <mdx n="508" f="v">
      <t c="3" si="4">
        <n x="509"/>
        <n x="457"/>
        <n x="484"/>
      </t>
    </mdx>
    <mdx n="508" f="v">
      <t c="3" si="4">
        <n x="509"/>
        <n x="203"/>
        <n x="485"/>
      </t>
    </mdx>
    <mdx n="508" f="v">
      <t c="3" si="4">
        <n x="509"/>
        <n x="312"/>
        <n x="486"/>
      </t>
    </mdx>
    <mdx n="508" f="v">
      <t c="3" si="4">
        <n x="509"/>
        <n x="85"/>
        <n x="487"/>
      </t>
    </mdx>
    <mdx n="508" f="v">
      <t c="3" si="4">
        <n x="509"/>
        <n x="206"/>
        <n x="488"/>
      </t>
    </mdx>
    <mdx n="508" f="v">
      <t c="3" si="4">
        <n x="509"/>
        <n x="459"/>
        <n x="482"/>
      </t>
    </mdx>
    <mdx n="508" f="v">
      <t c="3" si="4">
        <n x="509"/>
        <n x="312"/>
        <n x="483"/>
      </t>
    </mdx>
    <mdx n="508" f="v">
      <t c="3" si="4">
        <n x="509"/>
        <n x="381"/>
        <n x="484"/>
      </t>
    </mdx>
    <mdx n="508" f="v">
      <t c="3" si="4">
        <n x="509"/>
        <n x="396"/>
        <n x="485"/>
      </t>
    </mdx>
    <mdx n="508" f="v">
      <t c="3" si="4">
        <n x="509"/>
        <n x="345"/>
        <n x="486"/>
      </t>
    </mdx>
    <mdx n="508" f="v">
      <t c="3" si="4">
        <n x="509"/>
        <n x="452"/>
        <n x="487"/>
      </t>
    </mdx>
    <mdx n="508" f="v">
      <t c="3" si="4">
        <n x="509"/>
        <n x="277"/>
        <n x="488"/>
      </t>
    </mdx>
    <mdx n="508" f="v">
      <t c="3" si="4">
        <n x="509"/>
        <n x="118"/>
        <n x="489"/>
      </t>
    </mdx>
    <mdx n="508" f="v">
      <t c="3" si="4">
        <n x="509"/>
        <n x="58"/>
        <n x="482"/>
      </t>
    </mdx>
    <mdx n="508" f="v">
      <t c="3" si="4">
        <n x="509"/>
        <n x="359"/>
        <n x="483"/>
      </t>
    </mdx>
    <mdx n="508" f="v">
      <t c="3" si="4">
        <n x="509"/>
        <n x="75"/>
        <n x="484"/>
      </t>
    </mdx>
    <mdx n="508" f="v">
      <t c="3" si="4">
        <n x="509"/>
        <n x="14"/>
        <n x="485"/>
      </t>
    </mdx>
    <mdx n="508" f="v">
      <t c="3" si="4">
        <n x="509"/>
        <n x="290"/>
        <n x="486"/>
      </t>
    </mdx>
    <mdx n="508" f="v">
      <t c="3" si="4">
        <n x="509"/>
        <n x="352"/>
        <n x="487"/>
      </t>
    </mdx>
    <mdx n="508" f="v">
      <t c="3" si="4">
        <n x="509"/>
        <n x="254"/>
        <n x="488"/>
      </t>
    </mdx>
    <mdx n="508" f="v">
      <t c="3" si="4">
        <n x="509"/>
        <n x="382"/>
        <n x="479"/>
      </t>
    </mdx>
    <mdx n="508" f="v">
      <t c="3" si="4">
        <n x="509"/>
        <n x="400"/>
        <n x="482"/>
      </t>
    </mdx>
    <mdx n="508" f="v">
      <t c="3" si="4">
        <n x="509"/>
        <n x="392"/>
        <n x="483"/>
      </t>
    </mdx>
    <mdx n="508" f="v">
      <t c="3" si="4">
        <n x="509"/>
        <n x="135"/>
        <n x="484"/>
      </t>
    </mdx>
    <mdx n="508" f="v">
      <t c="3" si="4">
        <n x="509"/>
        <n x="239"/>
        <n x="485"/>
      </t>
    </mdx>
    <mdx n="508" f="v">
      <t c="3" si="4">
        <n x="509"/>
        <n x="212"/>
        <n x="487"/>
      </t>
    </mdx>
    <mdx n="508" f="v">
      <t c="3" si="4">
        <n x="509"/>
        <n x="374"/>
        <n x="488"/>
      </t>
    </mdx>
    <mdx n="508" f="v">
      <t c="3" si="4">
        <n x="509"/>
        <n x="304"/>
        <n x="489"/>
      </t>
    </mdx>
    <mdx n="508" f="v">
      <t c="3" si="4">
        <n x="509"/>
        <n x="440"/>
        <n x="482"/>
      </t>
    </mdx>
    <mdx n="508" f="v">
      <t c="3" si="4">
        <n x="509"/>
        <n x="265"/>
        <n x="483"/>
      </t>
    </mdx>
    <mdx n="508" f="v">
      <t c="3" si="4">
        <n x="509"/>
        <n x="295"/>
        <n x="484"/>
      </t>
    </mdx>
    <mdx n="508" f="v">
      <t c="3" si="4">
        <n x="509"/>
        <n x="376"/>
        <n x="485"/>
      </t>
    </mdx>
    <mdx n="508" f="v">
      <t c="3" si="4">
        <n x="509"/>
        <n x="64"/>
        <n x="486"/>
      </t>
    </mdx>
    <mdx n="508" f="v">
      <t c="3" si="4">
        <n x="509"/>
        <n x="452"/>
        <n x="470"/>
      </t>
    </mdx>
    <mdx n="508" f="v">
      <t c="3" si="4">
        <n x="509"/>
        <n x="128"/>
        <n x="468"/>
      </t>
    </mdx>
    <mdx n="508" f="v">
      <t c="3" si="4">
        <n x="509"/>
        <n x="250"/>
        <n x="476"/>
      </t>
    </mdx>
    <mdx n="508" f="v">
      <t c="3" si="4">
        <n x="509"/>
        <n x="180"/>
        <n x="468"/>
      </t>
    </mdx>
    <mdx n="508" f="v">
      <t c="3" si="4">
        <n x="509"/>
        <n x="17"/>
        <n x="478"/>
      </t>
    </mdx>
    <mdx n="508" f="v">
      <t c="3" si="4">
        <n x="509"/>
        <n x="383"/>
        <n x="478"/>
      </t>
    </mdx>
    <mdx n="508" f="v">
      <t c="3" si="4">
        <n x="509"/>
        <n x="280"/>
        <n x="471"/>
      </t>
    </mdx>
    <mdx n="508" f="v">
      <t c="3" si="4">
        <n x="509"/>
        <n x="284"/>
        <n x="471"/>
      </t>
    </mdx>
    <mdx n="508" f="v">
      <t c="3" si="4">
        <n x="509"/>
        <n x="267"/>
        <n x="480"/>
      </t>
    </mdx>
    <mdx n="508" f="v">
      <t c="3" si="4">
        <n x="509"/>
        <n x="178"/>
        <n x="481"/>
      </t>
    </mdx>
    <mdx n="508" f="v">
      <t c="3" si="4">
        <n x="509"/>
        <n x="117"/>
        <n x="478"/>
      </t>
    </mdx>
    <mdx n="508" f="v">
      <t c="3" si="4">
        <n x="509"/>
        <n x="417"/>
        <n x="479"/>
      </t>
    </mdx>
    <mdx n="508" f="v">
      <t c="3" si="4">
        <n x="509"/>
        <n x="241"/>
        <n x="480"/>
      </t>
    </mdx>
    <mdx n="508" f="v">
      <t c="3" si="4">
        <n x="509"/>
        <n x="264"/>
        <n x="481"/>
      </t>
    </mdx>
    <mdx n="508" f="v">
      <t c="3" si="4">
        <n x="509"/>
        <n x="35"/>
        <n x="482"/>
      </t>
    </mdx>
    <mdx n="508" f="v">
      <t c="3" si="4">
        <n x="509"/>
        <n x="139"/>
        <n x="483"/>
      </t>
    </mdx>
    <mdx n="508" f="v">
      <t c="3" si="4">
        <n x="509"/>
        <n x="150"/>
        <n x="484"/>
      </t>
    </mdx>
    <mdx n="508" f="v">
      <t c="3" si="4">
        <n x="509"/>
        <n x="165"/>
        <n x="485"/>
      </t>
    </mdx>
    <mdx n="508" f="v">
      <t c="3" si="4">
        <n x="509"/>
        <n x="143"/>
        <n x="486"/>
      </t>
    </mdx>
    <mdx n="508" f="v">
      <t c="3" si="4">
        <n x="509"/>
        <n x="143"/>
        <n x="487"/>
      </t>
    </mdx>
    <mdx n="508" f="v">
      <t c="3" si="4">
        <n x="509"/>
        <n x="383"/>
        <n x="488"/>
      </t>
    </mdx>
    <mdx n="508" f="v">
      <t c="3" si="4">
        <n x="509"/>
        <n x="296"/>
        <n x="480"/>
      </t>
    </mdx>
    <mdx n="508" f="v">
      <t c="3" si="4">
        <n x="509"/>
        <n x="115"/>
        <n x="482"/>
      </t>
    </mdx>
    <mdx n="508" f="v">
      <t c="3" si="4">
        <n x="509"/>
        <n x="379"/>
        <n x="483"/>
      </t>
    </mdx>
    <mdx n="508" f="v">
      <t c="3" si="4">
        <n x="509"/>
        <n x="259"/>
        <n x="484"/>
      </t>
    </mdx>
    <mdx n="508" f="v">
      <t c="3" si="4">
        <n x="509"/>
        <n x="215"/>
        <n x="486"/>
      </t>
    </mdx>
    <mdx n="508" f="v">
      <t c="3" si="4">
        <n x="509"/>
        <n x="335"/>
        <n x="487"/>
      </t>
    </mdx>
    <mdx n="508" f="v">
      <t c="3" si="4">
        <n x="509"/>
        <n x="94"/>
        <n x="488"/>
      </t>
    </mdx>
    <mdx n="508" f="v">
      <t c="3" si="4">
        <n x="509"/>
        <n x="310"/>
        <n x="481"/>
      </t>
    </mdx>
    <mdx n="508" f="v">
      <t c="3" si="4">
        <n x="509"/>
        <n x="263"/>
        <n x="483"/>
      </t>
    </mdx>
    <mdx n="508" f="v">
      <t c="3" si="4">
        <n x="509"/>
        <n x="146"/>
        <n x="484"/>
      </t>
    </mdx>
    <mdx n="508" f="v">
      <t c="3" si="4">
        <n x="509"/>
        <n x="385"/>
        <n x="485"/>
      </t>
    </mdx>
    <mdx n="508" f="v">
      <t c="3" si="4">
        <n x="509"/>
        <n x="162"/>
        <n x="486"/>
      </t>
    </mdx>
    <mdx n="508" f="v">
      <t c="3" si="4">
        <n x="509"/>
        <n x="347"/>
        <n x="487"/>
      </t>
    </mdx>
    <mdx n="508" f="v">
      <t c="3" si="4">
        <n x="509"/>
        <n x="218"/>
        <n x="488"/>
      </t>
    </mdx>
    <mdx n="508" f="v">
      <t c="3" si="4">
        <n x="509"/>
        <n x="242"/>
        <n x="482"/>
      </t>
    </mdx>
    <mdx n="508" f="v">
      <t c="3" si="4">
        <n x="509"/>
        <n x="194"/>
        <n x="483"/>
      </t>
    </mdx>
    <mdx n="508" f="v">
      <t c="3" si="4">
        <n x="509"/>
        <n x="120"/>
        <n x="484"/>
      </t>
    </mdx>
    <mdx n="508" f="v">
      <t c="3" si="4">
        <n x="509"/>
        <n x="317"/>
        <n x="485"/>
      </t>
    </mdx>
    <mdx n="508" f="v">
      <t c="3" si="4">
        <n x="509"/>
        <n x="340"/>
        <n x="486"/>
      </t>
    </mdx>
    <mdx n="508" f="v">
      <t c="3" si="4">
        <n x="509"/>
        <n x="343"/>
        <n x="487"/>
      </t>
    </mdx>
    <mdx n="508" f="v">
      <t c="3" si="4">
        <n x="509"/>
        <n x="121"/>
        <n x="488"/>
      </t>
    </mdx>
    <mdx n="508" f="v">
      <t c="3" si="4">
        <n x="509"/>
        <n x="158"/>
        <n x="490"/>
      </t>
    </mdx>
    <mdx n="508" f="v">
      <t c="3" si="4">
        <n x="509"/>
        <n x="170"/>
        <n x="482"/>
      </t>
    </mdx>
    <mdx n="508" f="v">
      <t c="3" si="4">
        <n x="509"/>
        <n x="313"/>
        <n x="484"/>
      </t>
    </mdx>
    <mdx n="508" f="v">
      <t c="3" si="4">
        <n x="509"/>
        <n x="205"/>
        <n x="485"/>
      </t>
    </mdx>
    <mdx n="508" f="v">
      <t c="3" si="4">
        <n x="509"/>
        <n x="236"/>
        <n x="486"/>
      </t>
    </mdx>
    <mdx n="508" f="v">
      <t c="3" si="4">
        <n x="509"/>
        <n x="181"/>
        <n x="487"/>
      </t>
    </mdx>
    <mdx n="508" f="v">
      <t c="3" si="4">
        <n x="509"/>
        <n x="12"/>
        <n x="488"/>
      </t>
    </mdx>
    <mdx n="508" f="v">
      <t c="3" si="4">
        <n x="509"/>
        <n x="300"/>
        <n x="480"/>
      </t>
    </mdx>
    <mdx n="508" f="v">
      <t c="3" si="4">
        <n x="509"/>
        <n x="329"/>
        <n x="482"/>
      </t>
    </mdx>
    <mdx n="508" f="v">
      <t c="3" si="4">
        <n x="509"/>
        <n x="287"/>
        <n x="483"/>
      </t>
    </mdx>
    <mdx n="508" f="v">
      <t c="3" si="4">
        <n x="509"/>
        <n x="197"/>
        <n x="485"/>
      </t>
    </mdx>
    <mdx n="508" f="v">
      <t c="3" si="4">
        <n x="509"/>
        <n x="279"/>
        <n x="486"/>
      </t>
    </mdx>
    <mdx n="508" f="v">
      <t c="3" si="4">
        <n x="509"/>
        <n x="145"/>
        <n x="487"/>
      </t>
    </mdx>
    <mdx n="508" f="v">
      <t c="3" si="4">
        <n x="509"/>
        <n x="241"/>
        <n x="488"/>
      </t>
    </mdx>
    <mdx n="508" f="v">
      <t c="3" si="4">
        <n x="509"/>
        <n x="29"/>
        <n x="489"/>
      </t>
    </mdx>
    <mdx n="508" f="v">
      <t c="3" si="4">
        <n x="509"/>
        <n x="363"/>
        <n x="482"/>
      </t>
    </mdx>
    <mdx n="508" f="v">
      <t c="3" si="4">
        <n x="509"/>
        <n x="349"/>
        <n x="483"/>
      </t>
    </mdx>
    <mdx n="508" f="v">
      <t c="3" si="4">
        <n x="509"/>
        <n x="289"/>
        <n x="466"/>
      </t>
    </mdx>
    <mdx n="508" f="v">
      <t c="3" si="4">
        <n x="509"/>
        <n x="362"/>
        <n x="468"/>
      </t>
    </mdx>
    <mdx n="508" f="v">
      <t c="3" si="4">
        <n x="509"/>
        <n x="343"/>
        <n x="471"/>
      </t>
    </mdx>
    <mdx n="508" f="v">
      <t c="3" si="4">
        <n x="509"/>
        <n x="115"/>
        <n x="476"/>
      </t>
    </mdx>
    <mdx n="508" f="v">
      <t c="3" si="4">
        <n x="509"/>
        <n x="440"/>
        <n x="480"/>
      </t>
    </mdx>
    <mdx n="508" f="v">
      <t c="3" si="4">
        <n x="509"/>
        <n x="148"/>
        <n x="478"/>
      </t>
    </mdx>
    <mdx n="508" f="v">
      <t c="3" si="4">
        <n x="509"/>
        <n x="386"/>
        <n x="480"/>
      </t>
    </mdx>
    <mdx n="508" f="v">
      <t c="3" si="4">
        <n x="509"/>
        <n x="209"/>
        <n x="482"/>
      </t>
    </mdx>
    <mdx n="508" f="v">
      <t c="3" si="4">
        <n x="509"/>
        <n x="13"/>
        <n x="483"/>
      </t>
    </mdx>
    <mdx n="508" f="v">
      <t c="3" si="4">
        <n x="509"/>
        <n x="367"/>
        <n x="485"/>
      </t>
    </mdx>
    <mdx n="508" f="v">
      <t c="3" si="4">
        <n x="509"/>
        <n x="57"/>
        <n x="486"/>
      </t>
    </mdx>
    <mdx n="508" f="v">
      <t c="3" si="4">
        <n x="509"/>
        <n x="8"/>
        <n x="488"/>
      </t>
    </mdx>
    <mdx n="508" f="v">
      <t c="3" si="4">
        <n x="509"/>
        <n x="180"/>
        <n x="479"/>
      </t>
    </mdx>
    <mdx n="508" f="v">
      <t c="3" si="4">
        <n x="509"/>
        <n x="279"/>
        <n x="483"/>
      </t>
    </mdx>
    <mdx n="508" f="v">
      <t c="3" si="4">
        <n x="509"/>
        <n x="441"/>
        <n x="484"/>
      </t>
    </mdx>
    <mdx n="508" f="v">
      <t c="3" si="4">
        <n x="509"/>
        <n x="378"/>
        <n x="485"/>
      </t>
    </mdx>
    <mdx n="508" f="v">
      <t c="3" si="4">
        <n x="509"/>
        <n x="196"/>
        <n x="487"/>
      </t>
    </mdx>
    <mdx n="508" f="v">
      <t c="3" si="4">
        <n x="509"/>
        <n x="391"/>
        <n x="479"/>
      </t>
    </mdx>
    <mdx n="508" f="v">
      <t c="3" si="4">
        <n x="509"/>
        <n x="39"/>
        <n x="483"/>
      </t>
    </mdx>
    <mdx n="508" f="v">
      <t c="3" si="4">
        <n x="509"/>
        <n x="275"/>
        <n x="484"/>
      </t>
    </mdx>
    <mdx n="508" f="v">
      <t c="3" si="4">
        <n x="509"/>
        <n x="331"/>
        <n x="485"/>
      </t>
    </mdx>
    <mdx n="508" f="v">
      <t c="3" si="4">
        <n x="509"/>
        <n x="41"/>
        <n x="487"/>
      </t>
    </mdx>
    <mdx n="508" f="v">
      <t c="3" si="4">
        <n x="509"/>
        <n x="120"/>
        <n x="479"/>
      </t>
    </mdx>
    <mdx n="508" f="v">
      <t c="3" si="4">
        <n x="509"/>
        <n x="425"/>
        <n x="482"/>
      </t>
    </mdx>
    <mdx n="508" f="v">
      <t c="3" si="4">
        <n x="509"/>
        <n x="194"/>
        <n x="484"/>
      </t>
    </mdx>
    <mdx n="508" f="v">
      <t c="3" si="4">
        <n x="509"/>
        <n x="114"/>
        <n x="485"/>
      </t>
    </mdx>
    <mdx n="508" f="v">
      <t c="3" si="4">
        <n x="509"/>
        <n x="237"/>
        <n x="487"/>
      </t>
    </mdx>
    <mdx n="508" f="v">
      <t c="3" si="4">
        <n x="509"/>
        <n x="61"/>
        <n x="488"/>
      </t>
    </mdx>
    <mdx n="508" f="v">
      <t c="3" si="4">
        <n x="509"/>
        <n x="84"/>
        <n x="490"/>
      </t>
    </mdx>
    <mdx n="508" f="v">
      <t c="3" si="4">
        <n x="509"/>
        <n x="46"/>
        <n x="482"/>
      </t>
    </mdx>
    <mdx n="508" f="v">
      <t c="3" si="4">
        <n x="509"/>
        <n x="313"/>
        <n x="483"/>
      </t>
    </mdx>
    <mdx n="508" f="v">
      <t c="3" si="4">
        <n x="509"/>
        <n x="140"/>
        <n x="484"/>
      </t>
    </mdx>
    <mdx n="508" f="v">
      <t c="3" si="4">
        <n x="509"/>
        <n x="164"/>
        <n x="485"/>
      </t>
    </mdx>
    <mdx n="508" f="v">
      <t c="3" si="4">
        <n x="509"/>
        <n x="172"/>
        <n x="486"/>
      </t>
    </mdx>
    <mdx n="508" f="v">
      <t c="3" si="4">
        <n x="509"/>
        <n x="259"/>
        <n x="487"/>
      </t>
    </mdx>
    <mdx n="508" f="v">
      <t c="3" si="4">
        <n x="509"/>
        <n x="204"/>
        <n x="489"/>
      </t>
    </mdx>
    <mdx n="508" f="v">
      <t c="3" si="4">
        <n x="509"/>
        <n x="243"/>
        <n x="481"/>
      </t>
    </mdx>
    <mdx n="508" f="v">
      <t c="3" si="4">
        <n x="509"/>
        <n x="57"/>
        <n x="482"/>
      </t>
    </mdx>
    <mdx n="508" f="v">
      <t c="3" si="4">
        <n x="509"/>
        <n x="239"/>
        <n x="483"/>
      </t>
    </mdx>
    <mdx n="508" f="v">
      <t c="3" si="4">
        <n x="509"/>
        <n x="419"/>
        <n x="485"/>
      </t>
    </mdx>
    <mdx n="508" f="v">
      <t c="3" si="4">
        <n x="509"/>
        <n x="22"/>
        <n x="486"/>
      </t>
    </mdx>
    <mdx n="508" f="v">
      <t c="3" si="4">
        <n x="509"/>
        <n x="280"/>
        <n x="487"/>
      </t>
    </mdx>
    <mdx n="508" f="v">
      <t c="3" si="4">
        <n x="509"/>
        <n x="391"/>
        <n x="478"/>
      </t>
    </mdx>
    <mdx n="508" f="v">
      <t c="3" si="4">
        <n x="509"/>
        <n x="282"/>
        <n x="466"/>
      </t>
    </mdx>
    <mdx n="508" f="v">
      <t c="3" si="4">
        <n x="509"/>
        <n x="210"/>
        <n x="478"/>
      </t>
    </mdx>
    <mdx n="508" f="v">
      <t c="3" si="4">
        <n x="509"/>
        <n x="200"/>
        <n x="478"/>
      </t>
    </mdx>
    <mdx n="508" f="v">
      <t c="3" si="4">
        <n x="509"/>
        <n x="31"/>
        <n x="480"/>
      </t>
    </mdx>
    <mdx n="508" f="v">
      <t c="3" si="4">
        <n x="509"/>
        <n x="295"/>
        <n x="481"/>
      </t>
    </mdx>
    <mdx n="508" f="v">
      <t c="3" si="4">
        <n x="509"/>
        <n x="461"/>
        <n x="477"/>
      </t>
    </mdx>
    <mdx n="508" f="v">
      <t c="3" si="4">
        <n x="509"/>
        <n x="12"/>
        <n x="479"/>
      </t>
    </mdx>
    <mdx n="508" f="v">
      <t c="3" si="4">
        <n x="509"/>
        <n x="8"/>
        <n x="481"/>
      </t>
    </mdx>
    <mdx n="508" f="v">
      <t c="3" si="4">
        <n x="509"/>
        <n x="299"/>
        <n x="478"/>
      </t>
    </mdx>
    <mdx n="508" f="v">
      <t c="3" si="4">
        <n x="509"/>
        <n x="364"/>
        <n x="479"/>
      </t>
    </mdx>
    <mdx n="508" f="v">
      <t c="3" si="4">
        <n x="509"/>
        <n x="138"/>
        <n x="480"/>
      </t>
    </mdx>
    <mdx n="508" f="v">
      <t c="3" si="4">
        <n x="509"/>
        <n x="297"/>
        <n x="481"/>
      </t>
    </mdx>
    <mdx n="508" f="v">
      <t c="3" si="4">
        <n x="509"/>
        <n x="215"/>
        <n x="481"/>
      </t>
    </mdx>
    <mdx n="508" f="v">
      <t c="3" si="4">
        <n x="509"/>
        <n x="179"/>
        <n x="483"/>
      </t>
    </mdx>
    <mdx n="508" f="v">
      <t c="3" si="4">
        <n x="509"/>
        <n x="330"/>
        <n x="484"/>
      </t>
    </mdx>
    <mdx n="508" f="v">
      <t c="3" si="4">
        <n x="509"/>
        <n x="137"/>
        <n x="485"/>
      </t>
    </mdx>
    <mdx n="508" f="v">
      <t c="3" si="4">
        <n x="509"/>
        <n x="15"/>
        <n x="486"/>
      </t>
    </mdx>
    <mdx n="508" f="v">
      <t c="3" si="4">
        <n x="509"/>
        <n x="417"/>
        <n x="487"/>
      </t>
    </mdx>
    <mdx n="508" f="v">
      <t c="3" si="4">
        <n x="509"/>
        <n x="290"/>
        <n x="488"/>
      </t>
    </mdx>
    <mdx n="508" f="v">
      <t c="3" si="4">
        <n x="509"/>
        <n x="136"/>
        <n x="471"/>
      </t>
    </mdx>
    <mdx n="508" f="v">
      <t c="3" si="4">
        <n x="509"/>
        <n x="231"/>
        <n x="482"/>
      </t>
    </mdx>
    <mdx n="508" f="v">
      <t c="3" si="4">
        <n x="509"/>
        <n x="113"/>
        <n x="483"/>
      </t>
    </mdx>
    <mdx n="508" f="v">
      <t c="3" si="4">
        <n x="509"/>
        <n x="325"/>
        <n x="484"/>
      </t>
    </mdx>
    <mdx n="508" f="v">
      <t c="3" si="4">
        <n x="509"/>
        <n x="460"/>
        <n x="485"/>
      </t>
    </mdx>
    <mdx n="508" f="v">
      <t c="3" si="4">
        <n x="509"/>
        <n x="107"/>
        <n x="486"/>
      </t>
    </mdx>
    <mdx n="508" f="v">
      <t c="3" si="4">
        <n x="509"/>
        <n x="364"/>
        <n x="488"/>
      </t>
    </mdx>
    <mdx n="508" f="v">
      <t c="3" si="4">
        <n x="509"/>
        <n x="127"/>
        <n x="481"/>
      </t>
    </mdx>
    <mdx n="508" f="v">
      <t c="3" si="4">
        <n x="509"/>
        <n x="430"/>
        <n x="482"/>
      </t>
    </mdx>
    <mdx n="508" f="v">
      <t c="3" si="4">
        <n x="509"/>
        <n x="362"/>
        <n x="484"/>
      </t>
    </mdx>
    <mdx n="508" f="v">
      <t c="3" si="4">
        <n x="509"/>
        <n x="89"/>
        <n x="485"/>
      </t>
    </mdx>
    <mdx n="508" f="v">
      <t c="3" si="4">
        <n x="509"/>
        <n x="245"/>
        <n x="486"/>
      </t>
    </mdx>
    <mdx n="508" f="v">
      <t c="3" si="4">
        <n x="509"/>
        <n x="127"/>
        <n x="487"/>
      </t>
    </mdx>
    <mdx n="508" f="v">
      <t c="3" si="4">
        <n x="509"/>
        <n x="384"/>
        <n x="488"/>
      </t>
    </mdx>
    <mdx n="508" f="v">
      <t c="3" si="4">
        <n x="509"/>
        <n x="249"/>
        <n x="482"/>
      </t>
    </mdx>
    <mdx n="508" f="v">
      <t c="3" si="4">
        <n x="509"/>
        <n x="245"/>
        <n x="483"/>
      </t>
    </mdx>
    <mdx n="508" f="v">
      <t c="3" si="4">
        <n x="509"/>
        <n x="339"/>
        <n x="484"/>
      </t>
    </mdx>
    <mdx n="508" f="v">
      <t c="3" si="4">
        <n x="509"/>
        <n x="422"/>
        <n x="485"/>
      </t>
    </mdx>
    <mdx n="508" f="v">
      <t c="3" si="4">
        <n x="509"/>
        <n x="125"/>
        <n x="486"/>
      </t>
    </mdx>
    <mdx n="508" f="v">
      <t c="3" si="4">
        <n x="509"/>
        <n x="391"/>
        <n x="487"/>
      </t>
    </mdx>
    <mdx n="508" f="v">
      <t c="3" si="4">
        <n x="509"/>
        <n x="320"/>
        <n x="488"/>
      </t>
    </mdx>
    <mdx n="508" f="v">
      <t c="3" si="4">
        <n x="509"/>
        <n x="268"/>
        <n x="489"/>
      </t>
    </mdx>
    <mdx n="508" f="v">
      <t c="3" si="4">
        <n x="509"/>
        <n x="310"/>
        <n x="482"/>
      </t>
    </mdx>
    <mdx n="508" f="v">
      <t c="3" si="4">
        <n x="509"/>
        <n x="225"/>
        <n x="483"/>
      </t>
    </mdx>
    <mdx n="508" f="v">
      <t c="3" si="4">
        <n x="509"/>
        <n x="231"/>
        <n x="484"/>
      </t>
    </mdx>
    <mdx n="508" f="v">
      <t c="3" si="4">
        <n x="509"/>
        <n x="250"/>
        <n x="485"/>
      </t>
    </mdx>
    <mdx n="508" f="v">
      <t c="3" si="4">
        <n x="509"/>
        <n x="358"/>
        <n x="486"/>
      </t>
    </mdx>
    <mdx n="508" f="v">
      <t c="3" si="4">
        <n x="509"/>
        <n x="209"/>
        <n x="487"/>
      </t>
    </mdx>
    <mdx n="508" f="v">
      <t c="3" si="4">
        <n x="509"/>
        <n x="6"/>
        <n x="488"/>
      </t>
    </mdx>
    <mdx n="508" f="v">
      <t c="3" si="4">
        <n x="509"/>
        <n x="279"/>
        <n x="479"/>
      </t>
    </mdx>
    <mdx n="508" f="v">
      <t c="3" si="4">
        <n x="509"/>
        <n x="165"/>
        <n x="482"/>
      </t>
    </mdx>
    <mdx n="508" f="v">
      <t c="3" si="4">
        <n x="509"/>
        <n x="261"/>
        <n x="483"/>
      </t>
    </mdx>
    <mdx n="508" f="v">
      <t c="3" si="4">
        <n x="509"/>
        <n x="50"/>
        <n x="484"/>
      </t>
    </mdx>
    <mdx n="508" f="v">
      <t c="3" si="4">
        <n x="509"/>
        <n x="159"/>
        <n x="485"/>
      </t>
    </mdx>
    <mdx n="508" f="v">
      <t c="3" si="4">
        <n x="509"/>
        <n x="133"/>
        <n x="487"/>
      </t>
    </mdx>
    <mdx n="508" f="v">
      <t c="3" si="4">
        <n x="509"/>
        <n x="402"/>
        <n x="488"/>
      </t>
    </mdx>
    <mdx n="508" f="v">
      <t c="3" si="4">
        <n x="509"/>
        <n x="234"/>
        <n x="489"/>
      </t>
    </mdx>
    <mdx n="508" f="v">
      <t c="3" si="4">
        <n x="509"/>
        <n x="80"/>
        <n x="482"/>
      </t>
    </mdx>
    <mdx n="508" f="v">
      <t c="3" si="4">
        <n x="509"/>
        <n x="382"/>
        <n x="483"/>
      </t>
    </mdx>
    <mdx n="508" f="v">
      <t c="3" si="4">
        <n x="509"/>
        <n x="394"/>
        <n x="484"/>
      </t>
    </mdx>
    <mdx n="508" f="v">
      <t c="3" si="4">
        <n x="509"/>
        <n x="244"/>
        <n x="485"/>
      </t>
    </mdx>
    <mdx n="508" f="v">
      <t c="3" si="4">
        <n x="509"/>
        <n x="178"/>
        <n x="486"/>
      </t>
    </mdx>
    <mdx n="508" f="v">
      <t c="3" si="4">
        <n x="509"/>
        <n x="106"/>
        <n x="477"/>
      </t>
    </mdx>
    <mdx n="508" f="v">
      <t c="3" si="4">
        <n x="509"/>
        <n x="361"/>
        <n x="478"/>
      </t>
    </mdx>
    <mdx n="508" f="v">
      <t c="3" si="4">
        <n x="509"/>
        <n x="196"/>
        <n x="477"/>
      </t>
    </mdx>
    <mdx n="508" f="v">
      <t c="3" si="4">
        <n x="509"/>
        <n x="74"/>
        <n x="479"/>
      </t>
    </mdx>
    <mdx n="508" f="v">
      <t c="3" si="4">
        <n x="509"/>
        <n x="307"/>
        <n x="479"/>
      </t>
    </mdx>
    <mdx n="508" f="v">
      <t c="3" si="4">
        <n x="509"/>
        <n x="202"/>
        <n x="479"/>
      </t>
    </mdx>
    <mdx n="508" f="v">
      <t c="3" si="4">
        <n x="509"/>
        <n x="120"/>
        <n x="471"/>
      </t>
    </mdx>
    <mdx n="508" f="v">
      <t c="3" si="4">
        <n x="509"/>
        <n x="255"/>
        <n x="480"/>
      </t>
    </mdx>
    <mdx n="508" f="v">
      <t c="3" si="4">
        <n x="509"/>
        <n x="278"/>
        <n x="481"/>
      </t>
    </mdx>
    <mdx n="508" f="v">
      <t c="3" si="4">
        <n x="509"/>
        <n x="172"/>
        <n x="471"/>
      </t>
    </mdx>
    <mdx n="508" f="v">
      <t c="3" si="4">
        <n x="509"/>
        <n x="350"/>
        <n x="479"/>
      </t>
    </mdx>
    <mdx n="508" f="v">
      <t c="3" si="4">
        <n x="509"/>
        <n x="290"/>
        <n x="480"/>
      </t>
    </mdx>
    <mdx n="508" f="v">
      <t c="3" si="4">
        <n x="509"/>
        <n x="173"/>
        <n x="481"/>
      </t>
    </mdx>
    <mdx n="508" f="v">
      <t c="3" si="4">
        <n x="509"/>
        <n x="151"/>
        <n x="482"/>
      </t>
    </mdx>
    <mdx n="508" f="v">
      <t c="3" si="4">
        <n x="509"/>
        <n x="255"/>
        <n x="483"/>
      </t>
    </mdx>
    <mdx n="508" f="v">
      <t c="3" si="4">
        <n x="509"/>
        <n x="62"/>
        <n x="484"/>
      </t>
    </mdx>
    <mdx n="508" f="v">
      <t c="3" si="4">
        <n x="509"/>
        <n x="464"/>
        <n x="485"/>
      </t>
    </mdx>
    <mdx n="508" f="v">
      <t c="3" si="4">
        <n x="509"/>
        <n x="9"/>
        <n x="486"/>
      </t>
    </mdx>
    <mdx n="508" f="v">
      <t c="3" si="4">
        <n x="509"/>
        <n x="362"/>
        <n x="487"/>
      </t>
    </mdx>
    <mdx n="508" f="v">
      <t c="3" si="4">
        <n x="509"/>
        <n x="179"/>
        <n x="489"/>
      </t>
    </mdx>
    <mdx n="508" f="v">
      <t c="3" si="4">
        <n x="509"/>
        <n x="352"/>
        <n x="481"/>
      </t>
    </mdx>
    <mdx n="508" f="v">
      <t c="3" si="4">
        <n x="509"/>
        <n x="432"/>
        <n x="482"/>
      </t>
    </mdx>
    <mdx n="508" f="v">
      <t c="3" si="4">
        <n x="509"/>
        <n x="443"/>
        <n x="484"/>
      </t>
    </mdx>
    <mdx n="508" f="v">
      <t c="3" si="4">
        <n x="509"/>
        <n x="193"/>
        <n x="485"/>
      </t>
    </mdx>
    <mdx n="508" f="v">
      <t c="3" si="4">
        <n x="509"/>
        <n x="456"/>
        <n x="486"/>
      </t>
    </mdx>
    <mdx n="508" f="v">
      <t c="3" si="4">
        <n x="509"/>
        <n x="273"/>
        <n x="487"/>
      </t>
    </mdx>
    <mdx n="508" f="v">
      <t c="3" si="4">
        <n x="509"/>
        <n x="343"/>
        <n x="488"/>
      </t>
    </mdx>
    <mdx n="508" f="v">
      <t c="3" si="4">
        <n x="509"/>
        <n x="309"/>
        <n x="482"/>
      </t>
    </mdx>
    <mdx n="508" f="v">
      <t c="3" si="4">
        <n x="509"/>
        <n x="351"/>
        <n x="483"/>
      </t>
    </mdx>
    <mdx n="508" f="v">
      <t c="3" si="4">
        <n x="509"/>
        <n x="439"/>
        <n x="484"/>
      </t>
    </mdx>
    <mdx n="508" f="v">
      <t c="3" si="4">
        <n x="509"/>
        <n x="154"/>
        <n x="485"/>
      </t>
    </mdx>
    <mdx n="508" f="v">
      <t c="3" si="4">
        <n x="509"/>
        <n x="115"/>
        <n x="486"/>
      </t>
    </mdx>
    <mdx n="508" f="v">
      <t c="3" si="4">
        <n x="509"/>
        <n x="214"/>
        <n x="487"/>
      </t>
    </mdx>
    <mdx n="508" f="v">
      <t c="3" si="4">
        <n x="509"/>
        <n x="26"/>
        <n x="471"/>
      </t>
    </mdx>
    <mdx n="508" f="v">
      <t c="3" si="4">
        <n x="509"/>
        <n x="385"/>
        <n x="482"/>
      </t>
    </mdx>
    <mdx n="508" f="v">
      <t c="3" si="4">
        <n x="509"/>
        <n x="106"/>
        <n x="483"/>
      </t>
    </mdx>
    <mdx n="508" f="v">
      <t c="3" si="4">
        <n x="509"/>
        <n x="392"/>
        <n x="484"/>
      </t>
    </mdx>
    <mdx n="508" f="v">
      <t c="3" si="4">
        <n x="509"/>
        <n x="60"/>
        <n x="485"/>
      </t>
    </mdx>
    <mdx n="508" f="v">
      <t c="3" si="4">
        <n x="509"/>
        <n x="16"/>
        <n x="486"/>
      </t>
    </mdx>
    <mdx n="508" f="v">
      <t c="3" si="4">
        <n x="509"/>
        <n x="190"/>
        <n x="488"/>
      </t>
    </mdx>
    <mdx n="508" f="v">
      <t c="3" si="4">
        <n x="509"/>
        <n x="315"/>
        <n x="489"/>
      </t>
    </mdx>
    <mdx n="508" f="v">
      <t c="3" si="4">
        <n x="509"/>
        <n x="389"/>
        <n x="471"/>
      </t>
    </mdx>
    <mdx n="508" f="v">
      <t c="3" si="4">
        <n x="509"/>
        <n x="200"/>
        <n x="482"/>
      </t>
    </mdx>
    <mdx n="508" f="v">
      <t c="3" si="4">
        <n x="509"/>
        <n x="78"/>
        <n x="483"/>
      </t>
    </mdx>
    <mdx n="508" f="v">
      <t c="3" si="4">
        <n x="509"/>
        <n x="96"/>
        <n x="484"/>
      </t>
    </mdx>
    <mdx n="508" f="v">
      <t c="3" si="4">
        <n x="509"/>
        <n x="67"/>
        <n x="485"/>
      </t>
    </mdx>
    <mdx n="508" f="v">
      <t c="3" si="4">
        <n x="509"/>
        <n x="3"/>
        <n x="486"/>
      </t>
    </mdx>
    <mdx n="508" f="v">
      <t c="3" si="4">
        <n x="509"/>
        <n x="171"/>
        <n x="488"/>
      </t>
    </mdx>
    <mdx n="508" f="v">
      <t c="3" si="4">
        <n x="509"/>
        <n x="449"/>
        <n x="489"/>
      </t>
    </mdx>
    <mdx n="508" f="v">
      <t c="3" si="4">
        <n x="509"/>
        <n x="371"/>
        <n x="481"/>
      </t>
    </mdx>
    <mdx n="508" f="v">
      <t c="3" si="4">
        <n x="509"/>
        <n x="60"/>
        <n x="483"/>
      </t>
    </mdx>
    <mdx n="508" f="v">
      <t c="3" si="4">
        <n x="509"/>
        <n x="232"/>
        <n x="484"/>
      </t>
    </mdx>
    <mdx n="508" f="v">
      <t c="3" si="4">
        <n x="509"/>
        <n x="242"/>
        <n x="485"/>
      </t>
    </mdx>
    <mdx n="508" f="v">
      <t c="3" si="4">
        <n x="509"/>
        <n x="303"/>
        <n x="486"/>
      </t>
    </mdx>
    <mdx n="508" f="v">
      <t c="3" si="4">
        <n x="509"/>
        <n x="303"/>
        <n x="487"/>
      </t>
    </mdx>
    <mdx n="508" f="v">
      <t c="3" si="4">
        <n x="509"/>
        <n x="62"/>
        <n x="488"/>
      </t>
    </mdx>
    <mdx n="508" f="v">
      <t c="3" si="4">
        <n x="509"/>
        <n x="108"/>
        <n x="471"/>
      </t>
    </mdx>
    <mdx n="508" f="v">
      <t c="3" si="4">
        <n x="509"/>
        <n x="291"/>
        <n x="482"/>
      </t>
    </mdx>
    <mdx n="508" f="v">
      <t c="3" si="4">
        <n x="509"/>
        <n x="371"/>
        <n x="483"/>
      </t>
    </mdx>
    <mdx n="508" f="v">
      <t c="3" si="4">
        <n x="509"/>
        <n x="308"/>
        <n x="484"/>
      </t>
    </mdx>
    <mdx n="508" f="v">
      <t c="3" si="475">
        <n x="509"/>
        <n x="271"/>
        <n x="474"/>
      </t>
    </mdx>
    <mdx n="508" f="v">
      <t c="3" si="4">
        <n x="509"/>
        <n x="99"/>
        <n x="468"/>
      </t>
    </mdx>
    <mdx n="508" f="v">
      <t c="3" si="4">
        <n x="509"/>
        <n x="311"/>
        <n x="476"/>
      </t>
    </mdx>
    <mdx n="508" f="v">
      <t c="3" si="4">
        <n x="509"/>
        <n x="264"/>
        <n x="468"/>
      </t>
    </mdx>
    <mdx n="508" f="v">
      <t c="3" si="4">
        <n x="509"/>
        <n x="91"/>
        <n x="477"/>
      </t>
    </mdx>
    <mdx n="508" f="v">
      <t c="3" si="4">
        <n x="509"/>
        <n x="283"/>
        <n x="478"/>
      </t>
    </mdx>
    <mdx n="508" f="v">
      <t c="3" si="4">
        <n x="509"/>
        <n x="415"/>
        <n x="478"/>
      </t>
    </mdx>
    <mdx n="508" f="v">
      <t c="3" si="4">
        <n x="509"/>
        <n x="290"/>
        <n x="471"/>
      </t>
    </mdx>
    <mdx n="508" f="v">
      <t c="3" si="4">
        <n x="509"/>
        <n x="305"/>
        <n x="480"/>
      </t>
    </mdx>
    <mdx n="508" f="v">
      <t c="3" si="4">
        <n x="509"/>
        <n x="194"/>
        <n x="481"/>
      </t>
    </mdx>
    <mdx n="508" f="v">
      <t c="3" si="4">
        <n x="509"/>
        <n x="31"/>
        <n x="478"/>
      </t>
    </mdx>
    <mdx n="508" f="v">
      <t c="3" si="4">
        <n x="509"/>
        <n x="245"/>
        <n x="479"/>
      </t>
    </mdx>
    <mdx n="508" f="v">
      <t c="3" si="4">
        <n x="509"/>
        <n x="343"/>
        <n x="480"/>
      </t>
    </mdx>
    <mdx n="508" f="v">
      <t c="3" si="4">
        <n x="509"/>
        <n x="444"/>
        <n x="482"/>
      </t>
    </mdx>
    <mdx n="508" f="v">
      <t c="3" si="4">
        <n x="509"/>
        <n x="348"/>
        <n x="483"/>
      </t>
    </mdx>
    <mdx n="508" f="v">
      <t c="3" si="4">
        <n x="509"/>
        <n x="281"/>
        <n x="484"/>
      </t>
    </mdx>
    <mdx n="508" f="v">
      <t c="3" si="4">
        <n x="509"/>
        <n x="358"/>
        <n x="485"/>
      </t>
    </mdx>
    <mdx n="508" f="v">
      <t c="3" si="4">
        <n x="509"/>
        <n x="367"/>
        <n x="486"/>
      </t>
    </mdx>
    <mdx n="508" f="v">
      <t c="3" si="4">
        <n x="509"/>
        <n x="147"/>
        <n x="487"/>
      </t>
    </mdx>
    <mdx n="508" f="v">
      <t c="3" si="4">
        <n x="509"/>
        <n x="329"/>
        <n x="488"/>
      </t>
    </mdx>
    <mdx n="508" f="v">
      <t c="3" si="4">
        <n x="509"/>
        <n x="117"/>
        <n x="479"/>
      </t>
    </mdx>
    <mdx n="508" f="v">
      <t c="3" si="4">
        <n x="509"/>
        <n x="130"/>
        <n x="482"/>
      </t>
    </mdx>
    <mdx n="508" f="v">
      <t c="3" si="4">
        <n x="509"/>
        <n x="228"/>
        <n x="483"/>
      </t>
    </mdx>
    <mdx n="508" f="v">
      <t c="3" si="4">
        <n x="509"/>
        <n x="56"/>
        <n x="484"/>
      </t>
    </mdx>
    <mdx n="508" f="v">
      <t c="3" si="4">
        <n x="509"/>
        <n x="414"/>
        <n x="486"/>
      </t>
    </mdx>
    <mdx n="508" f="v">
      <t c="3" si="4">
        <n x="509"/>
        <n x="439"/>
        <n x="487"/>
      </t>
    </mdx>
    <mdx n="508" f="v">
      <t c="3" si="4">
        <n x="509"/>
        <n x="386"/>
        <n x="488"/>
      </t>
    </mdx>
    <mdx n="508" f="v">
      <t c="3" si="4">
        <n x="509"/>
        <n x="117"/>
        <n x="481"/>
      </t>
    </mdx>
    <mdx n="508" f="v">
      <t c="3" si="4">
        <n x="509"/>
        <n x="434"/>
        <n x="483"/>
      </t>
    </mdx>
    <mdx n="508" f="v">
      <t c="3" si="4">
        <n x="509"/>
        <n x="267"/>
        <n x="484"/>
      </t>
    </mdx>
    <mdx n="508" f="v">
      <t c="3" si="4">
        <n x="509"/>
        <n x="339"/>
        <n x="485"/>
      </t>
    </mdx>
    <mdx n="508" f="v">
      <t c="3" si="4">
        <n x="509"/>
        <n x="291"/>
        <n x="486"/>
      </t>
    </mdx>
    <mdx n="508" f="v">
      <t c="3" si="4">
        <n x="509"/>
        <n x="268"/>
        <n x="487"/>
      </t>
    </mdx>
    <mdx n="508" f="v">
      <t c="3" si="4">
        <n x="509"/>
        <n x="326"/>
        <n x="488"/>
      </t>
    </mdx>
    <mdx n="508" f="v">
      <t c="3" si="4">
        <n x="509"/>
        <n x="182"/>
        <n x="482"/>
      </t>
    </mdx>
    <mdx n="508" f="v">
      <t c="3" si="4">
        <n x="509"/>
        <n x="72"/>
        <n x="483"/>
      </t>
    </mdx>
    <mdx n="508" f="v">
      <t c="3" si="4">
        <n x="509"/>
        <n x="250"/>
        <n x="484"/>
      </t>
    </mdx>
    <mdx n="508" f="v">
      <t c="3" si="4">
        <n x="509"/>
        <n x="230"/>
        <n x="485"/>
      </t>
    </mdx>
    <mdx n="508" f="v">
      <t c="3" si="4">
        <n x="509"/>
        <n x="183"/>
        <n x="486"/>
      </t>
    </mdx>
    <mdx n="508" f="v">
      <t c="3" si="4">
        <n x="509"/>
        <n x="151"/>
        <n x="487"/>
      </t>
    </mdx>
    <mdx n="508" f="v">
      <t c="3" si="4">
        <n x="509"/>
        <n x="35"/>
        <n x="488"/>
      </t>
    </mdx>
    <mdx n="508" f="v">
      <t c="3" si="4">
        <n x="509"/>
        <n x="273"/>
        <n x="490"/>
      </t>
    </mdx>
    <mdx n="508" f="v">
      <t c="3" si="4">
        <n x="509"/>
        <n x="23"/>
        <n x="482"/>
      </t>
    </mdx>
    <mdx n="508" f="v">
      <t c="3" si="4">
        <n x="509"/>
        <n x="192"/>
        <n x="483"/>
      </t>
    </mdx>
    <mdx n="508" f="v">
      <t c="3" si="4">
        <n x="509"/>
        <n x="380"/>
        <n x="485"/>
      </t>
    </mdx>
    <mdx n="508" f="v">
      <t c="3" si="4">
        <n x="509"/>
        <n x="32"/>
        <n x="486"/>
      </t>
    </mdx>
    <mdx n="508" f="v">
      <t c="3" si="4">
        <n x="509"/>
        <n x="339"/>
        <n x="487"/>
      </t>
    </mdx>
    <mdx n="508" f="v">
      <t c="3" si="4">
        <n x="509"/>
        <n x="229"/>
        <n x="488"/>
      </t>
    </mdx>
    <mdx n="508" f="v">
      <t c="3" si="4">
        <n x="509"/>
        <n x="441"/>
        <n x="480"/>
      </t>
    </mdx>
    <mdx n="508" f="v">
      <t c="3" si="4">
        <n x="509"/>
        <n x="426"/>
        <n x="482"/>
      </t>
    </mdx>
    <mdx n="508" f="v">
      <t c="3" si="4">
        <n x="509"/>
        <n x="148"/>
        <n x="483"/>
      </t>
    </mdx>
    <mdx n="508" f="v">
      <t c="3" si="4">
        <n x="509"/>
        <n x="378"/>
        <n x="484"/>
      </t>
    </mdx>
    <mdx n="508" f="v">
      <t c="3" si="4">
        <n x="509"/>
        <n x="296"/>
        <n x="486"/>
      </t>
    </mdx>
    <mdx n="508" f="v">
      <t c="3" si="4">
        <n x="509"/>
        <n x="86"/>
        <n x="487"/>
      </t>
    </mdx>
    <mdx n="508" f="v">
      <t c="3" si="4">
        <n x="509"/>
        <n x="256"/>
        <n x="488"/>
      </t>
    </mdx>
    <mdx n="508" f="v">
      <t c="3" si="4">
        <n x="509"/>
        <n x="178"/>
        <n x="489"/>
      </t>
    </mdx>
    <mdx n="508" f="v">
      <t c="3" si="4">
        <n x="509"/>
        <n x="321"/>
        <n x="482"/>
      </t>
    </mdx>
    <mdx n="508" f="v">
      <t c="3" si="4">
        <n x="509"/>
        <n x="186"/>
        <n x="483"/>
      </t>
    </mdx>
    <mdx n="508" f="v">
      <t c="3" si="4">
        <n x="509"/>
        <n x="390"/>
        <n x="484"/>
      </t>
    </mdx>
    <mdx n="508" f="v">
      <t c="3" si="4">
        <n x="509"/>
        <n x="97"/>
        <n x="485"/>
      </t>
    </mdx>
    <mdx n="508" f="v">
      <t c="3" si="4">
        <n x="509"/>
        <n x="136"/>
        <n x="486"/>
      </t>
    </mdx>
    <mdx n="508" f="v">
      <t c="3" si="4">
        <n x="509"/>
        <n x="290"/>
        <n x="476"/>
      </t>
    </mdx>
    <mdx n="508" f="v">
      <t c="3" si="4">
        <n x="509"/>
        <n x="340"/>
        <n x="477"/>
      </t>
    </mdx>
    <mdx n="508" f="v">
      <t c="3" si="4">
        <n x="509"/>
        <n x="210"/>
        <n x="476"/>
      </t>
    </mdx>
    <mdx n="508" f="v">
      <t c="3" si="4">
        <n x="509"/>
        <n x="372"/>
        <n x="479"/>
      </t>
    </mdx>
    <mdx n="508" f="v">
      <t c="3" si="4">
        <n x="509"/>
        <n x="374"/>
        <n x="479"/>
      </t>
    </mdx>
    <mdx n="508" f="v">
      <t c="3" si="4">
        <n x="509"/>
        <n x="33"/>
        <n x="479"/>
      </t>
    </mdx>
    <mdx n="508" f="v">
      <t c="3" si="4">
        <n x="509"/>
        <n x="255"/>
        <n x="471"/>
      </t>
    </mdx>
    <mdx n="508" f="v">
      <t c="3" si="4">
        <n x="509"/>
        <n x="351"/>
        <n x="480"/>
      </t>
    </mdx>
    <mdx n="508" f="v">
      <t c="3" si="4">
        <n x="509"/>
        <n x="345"/>
        <n x="466"/>
      </t>
    </mdx>
    <mdx n="508" f="v">
      <t c="3" si="4">
        <n x="509"/>
        <n x="357"/>
        <n x="471"/>
      </t>
    </mdx>
    <mdx n="508" f="v">
      <t c="3" si="4">
        <n x="509"/>
        <n x="78"/>
        <n x="480"/>
      </t>
    </mdx>
    <mdx n="508" f="v">
      <t c="3" si="4">
        <n x="509"/>
        <n x="337"/>
        <n x="479"/>
      </t>
    </mdx>
    <mdx n="508" f="v">
      <t c="3" si="4">
        <n x="509"/>
        <n x="113"/>
        <n x="480"/>
      </t>
    </mdx>
    <mdx n="508" f="v">
      <t c="3" si="4">
        <n x="509"/>
        <n x="414"/>
        <n x="471"/>
      </t>
    </mdx>
    <mdx n="508" f="v">
      <t c="3" si="4">
        <n x="509"/>
        <n x="85"/>
        <n x="480"/>
      </t>
    </mdx>
    <mdx n="508" f="v">
      <t c="3" si="4">
        <n x="509"/>
        <n x="347"/>
        <n x="482"/>
      </t>
    </mdx>
    <mdx n="508" f="v">
      <t c="3" si="4">
        <n x="509"/>
        <n x="37"/>
        <n x="484"/>
      </t>
    </mdx>
    <mdx n="508" f="v">
      <t c="3" si="4">
        <n x="509"/>
        <n x="85"/>
        <n x="485"/>
      </t>
    </mdx>
    <mdx n="508" f="v">
      <t c="3" si="4">
        <n x="509"/>
        <n x="369"/>
        <n x="487"/>
      </t>
    </mdx>
    <mdx n="508" f="v">
      <t c="3" si="4">
        <n x="509"/>
        <n x="29"/>
        <n x="488"/>
      </t>
    </mdx>
    <mdx n="508" f="v">
      <t c="3" si="4">
        <n x="509"/>
        <n x="426"/>
        <n x="481"/>
      </t>
    </mdx>
    <mdx n="508" f="v">
      <t c="3" si="4">
        <n x="509"/>
        <n x="137"/>
        <n x="483"/>
      </t>
    </mdx>
    <mdx n="508" f="v">
      <t c="3" si="4">
        <n x="509"/>
        <n x="136"/>
        <n x="484"/>
      </t>
    </mdx>
    <mdx n="508" f="v">
      <t c="3" si="4">
        <n x="509"/>
        <n x="21"/>
        <n x="486"/>
      </t>
    </mdx>
    <mdx n="508" f="v">
      <t c="3" si="4">
        <n x="509"/>
        <n x="132"/>
        <n x="487"/>
      </t>
    </mdx>
    <mdx n="508" f="v">
      <t c="3" si="4">
        <n x="509"/>
        <n x="17"/>
        <n x="481"/>
      </t>
    </mdx>
    <mdx n="508" f="v">
      <t c="3" si="4">
        <n x="509"/>
        <n x="323"/>
        <n x="483"/>
      </t>
    </mdx>
    <mdx n="508" f="v">
      <t c="3" si="4">
        <n x="509"/>
        <n x="48"/>
        <n x="484"/>
      </t>
    </mdx>
    <mdx n="508" f="v">
      <t c="3" si="4">
        <n x="509"/>
        <n x="348"/>
        <n x="486"/>
      </t>
    </mdx>
    <mdx n="508" f="v">
      <t c="3" si="4">
        <n x="509"/>
        <n x="240"/>
        <n x="487"/>
      </t>
    </mdx>
    <mdx n="508" f="v">
      <t c="3" si="4">
        <n x="509"/>
        <n x="335"/>
        <n x="480"/>
      </t>
    </mdx>
    <mdx n="508" f="v">
      <t c="3" si="4">
        <n x="509"/>
        <n x="147"/>
        <n x="483"/>
      </t>
    </mdx>
    <mdx n="508" f="v">
      <t c="3" si="4">
        <n x="509"/>
        <n x="261"/>
        <n x="484"/>
      </t>
    </mdx>
    <mdx n="508" f="v">
      <t c="3" si="4">
        <n x="509"/>
        <n x="450"/>
        <n x="486"/>
      </t>
    </mdx>
    <mdx n="508" f="v">
      <t c="3" si="4">
        <n x="509"/>
        <n x="294"/>
        <n x="487"/>
      </t>
    </mdx>
    <mdx n="508" f="v">
      <t c="3" si="4">
        <n x="509"/>
        <n x="134"/>
        <n x="489"/>
      </t>
    </mdx>
    <mdx n="508" f="v">
      <t c="3" si="4">
        <n x="509"/>
        <n x="37"/>
        <n x="471"/>
      </t>
    </mdx>
    <mdx n="508" f="v">
      <t c="3" si="4">
        <n x="509"/>
        <n x="410"/>
        <n x="482"/>
      </t>
    </mdx>
    <mdx n="508" f="v">
      <t c="3" si="4">
        <n x="509"/>
        <n x="326"/>
        <n x="483"/>
      </t>
    </mdx>
    <mdx n="508" f="v">
      <t c="3" si="4">
        <n x="509"/>
        <n x="405"/>
        <n x="484"/>
      </t>
    </mdx>
    <mdx n="508" f="v">
      <t c="3" si="4">
        <n x="509"/>
        <n x="215"/>
        <n x="485"/>
      </t>
    </mdx>
    <mdx n="508" f="v">
      <t c="3" si="4">
        <n x="509"/>
        <n x="229"/>
        <n x="486"/>
      </t>
    </mdx>
    <mdx n="508" f="v">
      <t c="3" si="4">
        <n x="509"/>
        <n x="370"/>
        <n x="488"/>
      </t>
    </mdx>
    <mdx n="508" f="v">
      <t c="3" si="4">
        <n x="509"/>
        <n x="226"/>
        <n x="489"/>
      </t>
    </mdx>
    <mdx n="508" f="v">
      <t c="3" si="4">
        <n x="509"/>
        <n x="122"/>
        <n x="481"/>
      </t>
    </mdx>
    <mdx n="508" f="v">
      <t c="3" si="4">
        <n x="509"/>
        <n x="114"/>
        <n x="482"/>
      </t>
    </mdx>
    <mdx n="508" f="v">
      <t c="3" si="4">
        <n x="509"/>
        <n x="419"/>
        <n x="484"/>
      </t>
    </mdx>
    <mdx n="508" f="v">
      <t c="3" si="4">
        <n x="509"/>
        <n x="265"/>
        <n x="485"/>
      </t>
    </mdx>
    <mdx n="508" f="v">
      <t c="3" si="4">
        <n x="509"/>
        <n x="431"/>
        <n x="486"/>
      </t>
    </mdx>
    <mdx n="508" f="v">
      <t c="3" si="4">
        <n x="509"/>
        <n x="55"/>
        <n x="487"/>
      </t>
    </mdx>
    <mdx n="508" f="v">
      <t c="3" si="4">
        <n x="509"/>
        <n x="335"/>
        <n x="466"/>
      </t>
    </mdx>
    <mdx n="508" f="v">
      <t c="3" si="4">
        <n x="509"/>
        <n x="150"/>
        <n x="466"/>
      </t>
    </mdx>
    <mdx n="508" f="v">
      <t c="3" si="4">
        <n x="509"/>
        <n x="60"/>
        <n x="476"/>
      </t>
    </mdx>
    <mdx n="508" f="v">
      <t c="3" si="4">
        <n x="509"/>
        <n x="145"/>
        <n x="468"/>
      </t>
    </mdx>
    <mdx n="508" f="v">
      <t c="3" si="4">
        <n x="509"/>
        <n x="407"/>
        <n x="468"/>
      </t>
    </mdx>
    <mdx n="508" f="v">
      <t c="3" si="4">
        <n x="509"/>
        <n x="208"/>
        <n x="476"/>
      </t>
    </mdx>
    <mdx n="508" f="v">
      <t c="3" si="4">
        <n x="509"/>
        <n x="135"/>
        <n x="477"/>
      </t>
    </mdx>
    <mdx n="508" f="v">
      <t c="3" si="4">
        <n x="509"/>
        <n x="227"/>
        <n x="478"/>
      </t>
    </mdx>
    <mdx n="508" f="v">
      <t c="3" si="4">
        <n x="509"/>
        <n x="30"/>
        <n x="480"/>
      </t>
    </mdx>
    <mdx n="508" f="v">
      <t c="3" si="4">
        <n x="509"/>
        <n x="132"/>
        <n x="481"/>
      </t>
    </mdx>
    <mdx n="508" f="v">
      <t c="3" si="4">
        <n x="509"/>
        <n x="112"/>
        <n x="478"/>
      </t>
    </mdx>
    <mdx n="508" f="v">
      <t c="3" si="4">
        <n x="509"/>
        <n x="312"/>
        <n x="479"/>
      </t>
    </mdx>
    <mdx n="508" f="v">
      <t c="3" si="4">
        <n x="509"/>
        <n x="94"/>
        <n x="480"/>
      </t>
    </mdx>
    <mdx n="508" f="v">
      <t c="3" si="4">
        <n x="509"/>
        <n x="463"/>
        <n x="481"/>
      </t>
    </mdx>
    <mdx n="508" f="v">
      <t c="3" si="4">
        <n x="509"/>
        <n x="39"/>
        <n x="482"/>
      </t>
    </mdx>
    <mdx n="508" f="v">
      <t c="3" si="4">
        <n x="509"/>
        <n x="318"/>
        <n x="483"/>
      </t>
    </mdx>
    <mdx n="508" f="v">
      <t c="3" si="4">
        <n x="509"/>
        <n x="11"/>
        <n x="484"/>
      </t>
    </mdx>
    <mdx n="508" f="v">
      <t c="3" si="4">
        <n x="509"/>
        <n x="410"/>
        <n x="485"/>
      </t>
    </mdx>
    <mdx n="508" f="v">
      <t c="3" si="4">
        <n x="509"/>
        <n x="14"/>
        <n x="486"/>
      </t>
    </mdx>
    <mdx n="508" f="v">
      <t c="3" si="4">
        <n x="509"/>
        <n x="105"/>
        <n x="487"/>
      </t>
    </mdx>
    <mdx n="508" f="v">
      <t c="3" si="4">
        <n x="509"/>
        <n x="164"/>
        <n x="488"/>
      </t>
    </mdx>
    <mdx n="508" f="v">
      <t c="3" si="4">
        <n x="509"/>
        <n x="150"/>
        <n x="479"/>
      </t>
    </mdx>
    <mdx n="508" f="v">
      <t c="3" si="4">
        <n x="509"/>
        <n x="300"/>
        <n x="482"/>
      </t>
    </mdx>
    <mdx n="508" f="v">
      <t c="3" si="4">
        <n x="509"/>
        <n x="288"/>
        <n x="483"/>
      </t>
    </mdx>
    <mdx n="508" f="v">
      <t c="3" si="4">
        <n x="509"/>
        <n x="215"/>
        <n x="484"/>
      </t>
    </mdx>
    <mdx n="508" f="v">
      <t c="3" si="4">
        <n x="509"/>
        <n x="368"/>
        <n x="486"/>
      </t>
    </mdx>
    <mdx n="508" f="v">
      <t c="3" si="4">
        <n x="509"/>
        <n x="299"/>
        <n x="487"/>
      </t>
    </mdx>
    <mdx n="508" f="v">
      <t c="3" si="4">
        <n x="509"/>
        <n x="144"/>
        <n x="488"/>
      </t>
    </mdx>
    <mdx n="508" f="v">
      <t c="3" si="4">
        <n x="509"/>
        <n x="344"/>
        <n x="481"/>
      </t>
    </mdx>
    <mdx n="508" f="v">
      <t c="3" si="4">
        <n x="509"/>
        <n x="372"/>
        <n x="483"/>
      </t>
    </mdx>
    <mdx n="508" f="v">
      <t c="3" si="4">
        <n x="509"/>
        <n x="89"/>
        <n x="484"/>
      </t>
    </mdx>
    <mdx n="508" f="v">
      <t c="3" si="4">
        <n x="509"/>
        <n x="312"/>
        <n x="485"/>
      </t>
    </mdx>
    <mdx n="508" f="v">
      <t c="3" si="4">
        <n x="509"/>
        <n x="54"/>
        <n x="486"/>
      </t>
    </mdx>
    <mdx n="508" f="v">
      <t c="3" si="4">
        <n x="509"/>
        <n x="464"/>
        <n x="487"/>
      </t>
    </mdx>
    <mdx n="508" f="v">
      <t c="3" si="4">
        <n x="509"/>
        <n x="154"/>
        <n x="488"/>
      </t>
    </mdx>
    <mdx n="508" f="v">
      <t c="3" si="4">
        <n x="509"/>
        <n x="374"/>
        <n x="482"/>
      </t>
    </mdx>
    <mdx n="508" f="v">
      <t c="3" si="4">
        <n x="509"/>
        <n x="42"/>
        <n x="483"/>
      </t>
    </mdx>
    <mdx n="508" f="v">
      <t c="3" si="4">
        <n x="509"/>
        <n x="178"/>
        <n x="484"/>
      </t>
    </mdx>
    <mdx n="508" f="v">
      <t c="3" si="4">
        <n x="509"/>
        <n x="40"/>
        <n x="485"/>
      </t>
    </mdx>
    <mdx n="508" f="v">
      <t c="3" si="4">
        <n x="509"/>
        <n x="113"/>
        <n x="486"/>
      </t>
    </mdx>
    <mdx n="508" f="v">
      <t c="3" si="4">
        <n x="509"/>
        <n x="81"/>
        <n x="487"/>
      </t>
    </mdx>
    <mdx n="508" f="v">
      <t c="3" si="4">
        <n x="509"/>
        <n x="160"/>
        <n x="488"/>
      </t>
    </mdx>
    <mdx n="508" f="v">
      <t c="3" si="4">
        <n x="509"/>
        <n x="188"/>
        <n x="490"/>
      </t>
    </mdx>
    <mdx n="508" f="v">
      <t c="3" si="4">
        <n x="509"/>
        <n x="61"/>
        <n x="482"/>
      </t>
    </mdx>
    <mdx n="508" f="v">
      <t c="3" si="4">
        <n x="509"/>
        <n x="417"/>
        <n x="483"/>
      </t>
    </mdx>
    <mdx n="508" f="v">
      <t c="3" si="4">
        <n x="509"/>
        <n x="264"/>
        <n x="484"/>
      </t>
    </mdx>
    <mdx n="508" f="v">
      <t c="3" si="4">
        <n x="509"/>
        <n x="334"/>
        <n x="485"/>
      </t>
    </mdx>
    <mdx n="508" f="v">
      <t c="3" si="4">
        <n x="509"/>
        <n x="85"/>
        <n x="486"/>
      </t>
    </mdx>
    <mdx n="508" f="v">
      <t c="3" si="4">
        <n x="509"/>
        <n x="330"/>
        <n x="487"/>
      </t>
    </mdx>
    <mdx n="508" f="v">
      <t c="3" si="4">
        <n x="509"/>
        <n x="56"/>
        <n x="488"/>
      </t>
    </mdx>
    <mdx n="508" f="v">
      <t c="3" si="4">
        <n x="509"/>
        <n x="134"/>
        <n x="480"/>
      </t>
    </mdx>
    <mdx n="508" f="v">
      <t c="3" si="4">
        <n x="509"/>
        <n x="218"/>
        <n x="482"/>
      </t>
    </mdx>
    <mdx n="508" f="v">
      <t c="3" si="4">
        <n x="509"/>
        <n x="214"/>
        <n x="483"/>
      </t>
    </mdx>
    <mdx n="508" f="v">
      <t c="3" si="4">
        <n x="509"/>
        <n x="131"/>
        <n x="484"/>
      </t>
    </mdx>
    <mdx n="508" f="v">
      <t c="3" si="4">
        <n x="509"/>
        <n x="365"/>
        <n x="486"/>
      </t>
    </mdx>
    <mdx n="508" f="v">
      <t c="3" si="4">
        <n x="509"/>
        <n x="128"/>
        <n x="487"/>
      </t>
    </mdx>
    <mdx n="508" f="v">
      <t c="3" si="4">
        <n x="509"/>
        <n x="212"/>
        <n x="488"/>
      </t>
    </mdx>
    <mdx n="508" f="v">
      <t c="3" si="4">
        <n x="509"/>
        <n x="336"/>
        <n x="489"/>
      </t>
    </mdx>
    <mdx n="508" f="v">
      <t c="3" si="4">
        <n x="509"/>
        <n x="34"/>
        <n x="482"/>
      </t>
    </mdx>
    <mdx n="508" f="v">
      <t c="3" si="4">
        <n x="509"/>
        <n x="256"/>
        <n x="483"/>
      </t>
    </mdx>
    <mdx n="508" f="v">
      <t c="3" si="4">
        <n x="509"/>
        <n x="413"/>
        <n x="484"/>
      </t>
    </mdx>
    <mdx n="508" f="v">
      <t c="3" si="4">
        <n x="509"/>
        <n x="130"/>
        <n x="485"/>
      </t>
    </mdx>
    <mdx n="508" f="v">
      <t c="3" si="4">
        <n x="509"/>
        <n x="78"/>
        <n x="486"/>
      </t>
    </mdx>
    <mdx n="508" f="v">
      <t c="3" si="4">
        <n x="509"/>
        <n x="31"/>
        <n x="466"/>
      </t>
    </mdx>
    <mdx n="508" f="v">
      <t c="3" si="4">
        <n x="509"/>
        <n x="150"/>
        <n x="469"/>
      </t>
    </mdx>
    <mdx n="508" f="v">
      <t c="3" si="4">
        <n x="509"/>
        <n x="259"/>
        <n x="471"/>
      </t>
    </mdx>
    <mdx n="508" f="v">
      <t c="3" si="4">
        <n x="509"/>
        <n x="393"/>
        <n x="478"/>
      </t>
    </mdx>
    <mdx n="508" f="v">
      <t c="3" si="4">
        <n x="509"/>
        <n x="107"/>
        <n x="480"/>
      </t>
    </mdx>
    <mdx n="508" f="v">
      <t c="3" si="4">
        <n x="509"/>
        <n x="51"/>
        <n x="481"/>
      </t>
    </mdx>
    <mdx n="508" f="v">
      <t c="3" si="4">
        <n x="509"/>
        <n x="103"/>
        <n x="480"/>
      </t>
    </mdx>
    <mdx n="508" f="v">
      <t c="3" si="4">
        <n x="509"/>
        <n x="300"/>
        <n x="471"/>
      </t>
    </mdx>
    <mdx n="508" f="v">
      <t c="3" si="4">
        <n x="509"/>
        <n x="445"/>
        <n x="480"/>
      </t>
    </mdx>
    <mdx n="508" f="v">
      <t c="3" si="4">
        <n x="509"/>
        <n x="142"/>
        <n x="481"/>
      </t>
    </mdx>
    <mdx n="508" f="v">
      <t c="3" si="4">
        <n x="509"/>
        <n x="341"/>
        <n x="471"/>
      </t>
    </mdx>
    <mdx n="508" f="v">
      <t c="3" si="4">
        <n x="509"/>
        <n x="91"/>
        <n x="479"/>
      </t>
    </mdx>
    <mdx n="508" f="v">
      <t c="3" si="4">
        <n x="509"/>
        <n x="164"/>
        <n x="480"/>
      </t>
    </mdx>
    <mdx n="508" f="v">
      <t c="3" si="4">
        <n x="509"/>
        <n x="114"/>
        <n x="478"/>
      </t>
    </mdx>
    <mdx n="508" f="v">
      <t c="3" si="4">
        <n x="509"/>
        <n x="119"/>
        <n x="482"/>
      </t>
    </mdx>
    <mdx n="508" f="v">
      <t c="3" si="4">
        <n x="509"/>
        <n x="170"/>
        <n x="483"/>
      </t>
    </mdx>
    <mdx n="508" f="v">
      <t c="3" si="4">
        <n x="509"/>
        <n x="353"/>
        <n x="484"/>
      </t>
    </mdx>
    <mdx n="508" f="v">
      <t c="3" si="4">
        <n x="509"/>
        <n x="142"/>
        <n x="485"/>
      </t>
    </mdx>
    <mdx n="508" f="v">
      <t c="3" si="4">
        <n x="509"/>
        <n x="67"/>
        <n x="486"/>
      </t>
    </mdx>
    <mdx n="508" f="v">
      <t c="3" si="4">
        <n x="509"/>
        <n x="201"/>
        <n x="488"/>
      </t>
    </mdx>
    <mdx n="508" f="v">
      <t c="3" si="4">
        <n x="509"/>
        <n x="158"/>
        <n x="489"/>
      </t>
    </mdx>
    <mdx n="508" f="v">
      <t c="3" si="4">
        <n x="509"/>
        <n x="378"/>
        <n x="481"/>
      </t>
    </mdx>
    <mdx n="508" f="v">
      <t c="3" si="4">
        <n x="509"/>
        <n x="416"/>
        <n x="483"/>
      </t>
    </mdx>
    <mdx n="508" f="v">
      <t c="3" si="4">
        <n x="509"/>
        <n x="147"/>
        <n x="484"/>
      </t>
    </mdx>
    <mdx n="508" f="v">
      <t c="3" si="4">
        <n x="509"/>
        <n x="391"/>
        <n x="485"/>
      </t>
    </mdx>
    <mdx n="508" f="v">
      <t c="3" si="4">
        <n x="509"/>
        <n x="349"/>
        <n x="486"/>
      </t>
    </mdx>
    <mdx n="508" f="v">
      <t c="3" si="4">
        <n x="509"/>
        <n x="153"/>
        <n x="487"/>
      </t>
    </mdx>
    <mdx n="508" f="v">
      <t c="3" si="4">
        <n x="509"/>
        <n x="106"/>
        <n x="488"/>
      </t>
    </mdx>
    <mdx n="508" f="v">
      <t c="3" si="4">
        <n x="509"/>
        <n x="54"/>
        <n x="482"/>
      </t>
    </mdx>
    <mdx n="508" f="v">
      <t c="3" si="4">
        <n x="509"/>
        <n x="102"/>
        <n x="483"/>
      </t>
    </mdx>
    <mdx n="508" f="v">
      <t c="3" si="4">
        <n x="509"/>
        <n x="411"/>
        <n x="484"/>
      </t>
    </mdx>
    <mdx n="508" f="v">
      <t c="3" si="4">
        <n x="509"/>
        <n x="173"/>
        <n x="485"/>
      </t>
    </mdx>
    <mdx n="508" f="v">
      <t c="3" si="4">
        <n x="509"/>
        <n x="274"/>
        <n x="486"/>
      </t>
    </mdx>
    <mdx n="508" f="v">
      <t c="3" si="4">
        <n x="509"/>
        <n x="344"/>
        <n x="487"/>
      </t>
    </mdx>
    <mdx n="508" f="v">
      <t c="3" si="4">
        <n x="509"/>
        <n x="179"/>
        <n x="479"/>
      </t>
    </mdx>
    <mdx n="508" f="v">
      <t c="3" si="4">
        <n x="509"/>
        <n x="64"/>
        <n x="482"/>
      </t>
    </mdx>
    <mdx n="508" f="v">
      <t c="3" si="4">
        <n x="509"/>
        <n x="185"/>
        <n x="483"/>
      </t>
    </mdx>
    <mdx n="508" f="v">
      <t c="3" si="4">
        <n x="509"/>
        <n x="81"/>
        <n x="484"/>
      </t>
    </mdx>
    <mdx n="508" f="v">
      <t c="3" si="4">
        <n x="509"/>
        <n x="65"/>
        <n x="486"/>
      </t>
    </mdx>
    <mdx n="508" f="v">
      <t c="3" si="4">
        <n x="509"/>
        <n x="448"/>
        <n x="487"/>
      </t>
    </mdx>
    <mdx n="508" f="v">
      <t c="3" si="4">
        <n x="509"/>
        <n x="252"/>
        <n x="488"/>
      </t>
    </mdx>
    <mdx n="508" f="v">
      <t c="3" si="4">
        <n x="509"/>
        <n x="381"/>
        <n x="489"/>
      </t>
    </mdx>
    <mdx n="508" f="v">
      <t c="3" si="4">
        <n x="509"/>
        <n x="76"/>
        <n x="479"/>
      </t>
    </mdx>
    <mdx n="508" f="v">
      <t c="3" si="4">
        <n x="509"/>
        <n x="140"/>
        <n x="482"/>
      </t>
    </mdx>
    <mdx n="508" f="v">
      <t c="3" si="4">
        <n x="509"/>
        <n x="332"/>
        <n x="483"/>
      </t>
    </mdx>
    <mdx n="508" f="v">
      <t c="3" si="4">
        <n x="509"/>
        <n x="68"/>
        <n x="484"/>
      </t>
    </mdx>
    <mdx n="508" f="v">
      <t c="3" si="4">
        <n x="509"/>
        <n x="60"/>
        <n x="486"/>
      </t>
    </mdx>
    <mdx n="508" f="v">
      <t c="3" si="4">
        <n x="509"/>
        <n x="314"/>
        <n x="487"/>
      </t>
    </mdx>
    <mdx n="508" f="v">
      <t c="3" si="4">
        <n x="509"/>
        <n x="234"/>
        <n x="488"/>
      </t>
    </mdx>
    <mdx n="508" f="v">
      <t c="3" si="4">
        <n x="509"/>
        <n x="189"/>
        <n x="489"/>
      </t>
    </mdx>
    <mdx n="508" f="v">
      <t c="3" si="4">
        <n x="509"/>
        <n x="122"/>
        <n x="482"/>
      </t>
    </mdx>
    <mdx n="508" f="v">
      <t c="3" si="4">
        <n x="509"/>
        <n x="89"/>
        <n x="483"/>
      </t>
    </mdx>
    <mdx n="508" f="v">
      <t c="3" si="4">
        <n x="509"/>
        <n x="83"/>
        <n x="484"/>
      </t>
    </mdx>
    <mdx n="508" f="v">
      <t c="3" si="4">
        <n x="509"/>
        <n x="463"/>
        <n x="485"/>
      </t>
    </mdx>
    <mdx n="508" f="v">
      <t c="3" si="4">
        <n x="509"/>
        <n x="86"/>
        <n x="486"/>
      </t>
    </mdx>
    <mdx n="508" f="v">
      <t c="3" si="4">
        <n x="509"/>
        <n x="96"/>
        <n x="487"/>
      </t>
    </mdx>
    <mdx n="508" f="v">
      <t c="3" si="4">
        <n x="509"/>
        <n x="346"/>
        <n x="488"/>
      </t>
    </mdx>
    <mdx n="508" f="v">
      <t c="3" si="4">
        <n x="509"/>
        <n x="444"/>
        <n x="479"/>
      </t>
    </mdx>
    <mdx n="508" f="v">
      <t c="3" si="4">
        <n x="509"/>
        <n x="408"/>
        <n x="482"/>
      </t>
    </mdx>
    <mdx n="508" f="v">
      <t c="3" si="4">
        <n x="509"/>
        <n x="240"/>
        <n x="483"/>
      </t>
    </mdx>
    <mdx n="508" f="v">
      <t c="3" si="4">
        <n x="509"/>
        <n x="365"/>
        <n x="484"/>
      </t>
    </mdx>
    <mdx n="508" f="v">
      <t c="3" si="4">
        <n x="509"/>
        <n x="156"/>
        <n x="476"/>
      </t>
    </mdx>
    <mdx n="508" f="v">
      <t c="3" si="4">
        <n x="509"/>
        <n x="7"/>
        <n x="477"/>
      </t>
    </mdx>
    <mdx n="508" f="v">
      <t c="3" si="4">
        <n x="509"/>
        <n x="176"/>
        <n x="476"/>
      </t>
    </mdx>
    <mdx n="508" f="v">
      <t c="3" si="4">
        <n x="509"/>
        <n x="95"/>
        <n x="471"/>
      </t>
    </mdx>
    <mdx n="508" f="v">
      <t c="3" si="4">
        <n x="509"/>
        <n x="204"/>
        <n x="479"/>
      </t>
    </mdx>
    <mdx n="508" f="v">
      <t c="3" si="4">
        <n x="509"/>
        <n x="158"/>
        <n x="479"/>
      </t>
    </mdx>
    <mdx n="508" f="v">
      <t c="3" si="4">
        <n x="509"/>
        <n x="145"/>
        <n x="471"/>
      </t>
    </mdx>
    <mdx n="508" f="v">
      <t c="3" si="4">
        <n x="509"/>
        <n x="93"/>
        <n x="480"/>
      </t>
    </mdx>
    <mdx n="508" f="v">
      <t c="3" si="4">
        <n x="509"/>
        <n x="292"/>
        <n x="481"/>
      </t>
    </mdx>
    <mdx n="508" f="v">
      <t c="3" si="4">
        <n x="509"/>
        <n x="63"/>
        <n x="471"/>
      </t>
    </mdx>
    <mdx n="508" f="v">
      <t c="3" si="4">
        <n x="509"/>
        <n x="282"/>
        <n x="479"/>
      </t>
    </mdx>
    <mdx n="508" f="v">
      <t c="3" si="4">
        <n x="509"/>
        <n x="224"/>
        <n x="480"/>
      </t>
    </mdx>
    <mdx n="508" f="v">
      <t c="3" si="4">
        <n x="509"/>
        <n x="275"/>
        <n x="481"/>
      </t>
    </mdx>
    <mdx n="508" f="v">
      <t c="3" si="4">
        <n x="509"/>
        <n x="22"/>
        <n x="482"/>
      </t>
    </mdx>
    <mdx n="508" f="v">
      <t c="3" si="4">
        <n x="509"/>
        <n x="99"/>
        <n x="483"/>
      </t>
    </mdx>
    <mdx n="508" f="v">
      <t c="3" si="4">
        <n x="509"/>
        <n x="291"/>
        <n x="484"/>
      </t>
    </mdx>
    <mdx n="508" f="v">
      <t c="3" si="4">
        <n x="509"/>
        <n x="180"/>
        <n x="485"/>
      </t>
    </mdx>
    <mdx n="508" f="v">
      <t c="3" si="4">
        <n x="509"/>
        <n x="334"/>
        <n x="486"/>
      </t>
    </mdx>
    <mdx n="508" f="v">
      <t c="3" si="4">
        <n x="509"/>
        <n x="388"/>
        <n x="487"/>
      </t>
    </mdx>
    <mdx n="508" f="v">
      <t c="3" si="4">
        <n x="509"/>
        <n x="368"/>
        <n x="488"/>
      </t>
    </mdx>
    <mdx n="508" f="v">
      <t c="3" si="4">
        <n x="509"/>
        <n x="374"/>
        <n x="481"/>
      </t>
    </mdx>
    <mdx n="508" f="v">
      <t c="3" si="4">
        <n x="509"/>
        <n x="205"/>
        <n x="482"/>
      </t>
    </mdx>
    <mdx n="508" f="v">
      <t c="3" si="4">
        <n x="509"/>
        <n x="131"/>
        <n x="483"/>
      </t>
    </mdx>
    <mdx n="508" f="v">
      <t c="3" si="4">
        <n x="509"/>
        <n x="168"/>
        <n x="485"/>
      </t>
    </mdx>
    <mdx n="508" f="v">
      <t c="3" si="4">
        <n x="509"/>
        <n x="243"/>
        <n x="486"/>
      </t>
    </mdx>
    <mdx n="508" f="v">
      <t c="3" si="4">
        <n x="509"/>
        <n x="71"/>
        <n x="487"/>
      </t>
    </mdx>
    <mdx n="508" f="v">
      <t c="3" si="4">
        <n x="509"/>
        <n x="442"/>
        <n x="488"/>
      </t>
    </mdx>
    <mdx n="508" f="v">
      <t c="3" si="4">
        <n x="509"/>
        <n x="103"/>
        <n x="482"/>
      </t>
    </mdx>
    <mdx n="508" f="v">
      <t c="3" si="4">
        <n x="509"/>
        <n x="21"/>
        <n x="483"/>
      </t>
    </mdx>
    <mdx n="508" f="v">
      <t c="3" si="4">
        <n x="509"/>
        <n x="125"/>
        <n x="484"/>
      </t>
    </mdx>
    <mdx n="508" f="v">
      <t c="3" si="4">
        <n x="509"/>
        <n x="141"/>
        <n x="485"/>
      </t>
    </mdx>
    <mdx n="508" f="v">
      <t c="3" si="4">
        <n x="509"/>
        <n x="194"/>
        <n x="486"/>
      </t>
    </mdx>
    <mdx n="508" f="v">
      <t c="3" si="4">
        <n x="509"/>
        <n x="174"/>
        <n x="487"/>
      </t>
    </mdx>
    <mdx n="508" f="v">
      <t c="3" si="4">
        <n x="509"/>
        <n x="232"/>
        <n x="476"/>
      </t>
    </mdx>
    <mdx n="508" f="v">
      <t c="3" si="4">
        <n x="509"/>
        <n x="314"/>
        <n x="482"/>
      </t>
    </mdx>
    <mdx n="508" f="v">
      <t c="3" si="4">
        <n x="509"/>
        <n x="454"/>
        <n x="483"/>
      </t>
    </mdx>
    <mdx n="508" f="v">
      <t c="3" si="4">
        <n x="509"/>
        <n x="109"/>
        <n x="484"/>
      </t>
    </mdx>
    <mdx n="508" f="v">
      <t c="3" si="4">
        <n x="509"/>
        <n x="405"/>
        <n x="485"/>
      </t>
    </mdx>
    <mdx n="508" f="v">
      <t c="3" si="4">
        <n x="509"/>
        <n x="76"/>
        <n x="486"/>
      </t>
    </mdx>
    <mdx n="508" f="v">
      <t c="3" si="4">
        <n x="509"/>
        <n x="114"/>
        <n x="487"/>
      </t>
    </mdx>
    <mdx n="508" f="v">
      <t c="3" si="4">
        <n x="509"/>
        <n x="253"/>
        <n x="489"/>
      </t>
    </mdx>
    <mdx n="508" f="v">
      <t c="3" si="4">
        <n x="509"/>
        <n x="113"/>
        <n x="477"/>
      </t>
    </mdx>
    <mdx n="508" f="v">
      <t c="3" si="4">
        <n x="509"/>
        <n x="461"/>
        <n x="482"/>
      </t>
    </mdx>
    <mdx n="508" f="v">
      <t c="3" si="4">
        <n x="509"/>
        <n x="211"/>
        <n x="483"/>
      </t>
    </mdx>
    <mdx n="508" f="v">
      <t c="3" si="4">
        <n x="509"/>
        <n x="373"/>
        <n x="484"/>
      </t>
    </mdx>
    <mdx n="508" f="v">
      <t c="3" si="4">
        <n x="509"/>
        <n x="383"/>
        <n x="485"/>
      </t>
    </mdx>
    <mdx n="508" f="v">
      <t c="3" si="4">
        <n x="509"/>
        <n x="293"/>
        <n x="486"/>
      </t>
    </mdx>
    <mdx n="508" f="v">
      <t c="3" si="4">
        <n x="509"/>
        <n x="90"/>
        <n x="487"/>
      </t>
    </mdx>
    <mdx n="508" f="v">
      <t c="3" si="4">
        <n x="509"/>
        <n x="372"/>
        <n x="489"/>
      </t>
    </mdx>
    <mdx n="508" f="v">
      <t c="3" si="4">
        <n x="509"/>
        <n x="448"/>
        <n x="481"/>
      </t>
    </mdx>
    <mdx n="508" f="v">
      <t c="3" si="4">
        <n x="509"/>
        <n x="288"/>
        <n x="482"/>
      </t>
    </mdx>
    <mdx n="508" f="v">
      <t c="3" si="4">
        <n x="509"/>
        <n x="60"/>
        <n x="484"/>
      </t>
    </mdx>
    <mdx n="508" f="v">
      <t c="3" si="4">
        <n x="509"/>
        <n x="318"/>
        <n x="485"/>
      </t>
    </mdx>
    <mdx n="508" f="v">
      <t c="3" si="4">
        <n x="509"/>
        <n x="146"/>
        <n x="486"/>
      </t>
    </mdx>
    <mdx n="508" f="v">
      <t c="3" si="4">
        <n x="509"/>
        <n x="408"/>
        <n x="487"/>
      </t>
    </mdx>
    <mdx n="508" f="v">
      <t c="3" si="4">
        <n x="509"/>
        <n x="396"/>
        <n x="488"/>
      </t>
    </mdx>
    <mdx n="508" f="v">
      <t c="3" si="4">
        <n x="509"/>
        <n x="384"/>
        <n x="477"/>
      </t>
    </mdx>
    <mdx n="508" f="v">
      <t c="3" si="4">
        <n x="509"/>
        <n x="272"/>
        <n x="482"/>
      </t>
    </mdx>
    <mdx n="508" f="v">
      <t c="3" si="4">
        <n x="509"/>
        <n x="462"/>
        <n x="483"/>
      </t>
    </mdx>
    <mdx n="508" f="v">
      <t c="3" si="4">
        <n x="509"/>
        <n x="7"/>
        <n x="484"/>
      </t>
    </mdx>
    <mdx n="508" f="v">
      <t c="3" si="4">
        <n x="509"/>
        <n x="105"/>
        <n x="485"/>
      </t>
    </mdx>
    <mdx n="508" f="v">
      <t c="3" si="4">
        <n x="509"/>
        <n x="63"/>
        <n x="486"/>
      </t>
    </mdx>
    <mdx n="508" f="v">
      <t c="3" si="4">
        <n x="509"/>
        <n x="98"/>
        <n x="477"/>
      </t>
    </mdx>
    <mdx n="508" f="v">
      <t c="3" si="4">
        <n x="509"/>
        <n x="363"/>
        <n x="478"/>
      </t>
    </mdx>
    <mdx n="508" f="v">
      <t c="3" si="4">
        <n x="509"/>
        <n x="104"/>
        <n x="477"/>
      </t>
    </mdx>
    <mdx n="508" f="v">
      <t c="3" si="4">
        <n x="509"/>
        <n x="263"/>
        <n x="480"/>
      </t>
    </mdx>
    <mdx n="508" f="v">
      <t c="3" si="4">
        <n x="509"/>
        <n x="137"/>
        <n x="480"/>
      </t>
    </mdx>
    <mdx n="508" f="v">
      <t c="3" si="4">
        <n x="509"/>
        <n x="146"/>
        <n x="479"/>
      </t>
    </mdx>
    <mdx n="508" f="v">
      <t c="3" si="4">
        <n x="509"/>
        <n x="224"/>
        <n x="471"/>
      </t>
    </mdx>
    <mdx n="508" f="v">
      <t c="3" si="4">
        <n x="509"/>
        <n x="198"/>
        <n x="480"/>
      </t>
    </mdx>
    <mdx n="508" f="v">
      <t c="3" si="4">
        <n x="509"/>
        <n x="346"/>
        <n x="481"/>
      </t>
    </mdx>
    <mdx n="508" f="v">
      <t c="3" si="4">
        <n x="509"/>
        <n x="43"/>
        <n x="471"/>
      </t>
    </mdx>
    <mdx n="508" f="v">
      <t c="3" si="4">
        <n x="509"/>
        <n x="198"/>
        <n x="479"/>
      </t>
    </mdx>
    <mdx n="508" f="v">
      <t c="3" si="4">
        <n x="509"/>
        <n x="43"/>
        <n x="480"/>
      </t>
    </mdx>
    <mdx n="508" f="v">
      <t c="3" si="4">
        <n x="509"/>
        <n x="26"/>
        <n x="481"/>
      </t>
    </mdx>
    <mdx n="508" f="v">
      <t c="3" si="4">
        <n x="509"/>
        <n x="361"/>
        <n x="482"/>
      </t>
    </mdx>
    <mdx n="508" f="v">
      <t c="3" si="4">
        <n x="509"/>
        <n x="224"/>
        <n x="483"/>
      </t>
    </mdx>
    <mdx n="508" f="v">
      <t c="3" si="4">
        <n x="509"/>
        <n x="262"/>
        <n x="484"/>
      </t>
    </mdx>
    <mdx n="508" f="v">
      <t c="3" si="4">
        <n x="509"/>
        <n x="268"/>
        <n x="485"/>
      </t>
    </mdx>
    <mdx n="508" f="v">
      <t c="3" si="4">
        <n x="509"/>
        <n x="452"/>
        <n x="486"/>
      </t>
    </mdx>
    <mdx n="508" f="v">
      <t c="3" si="4">
        <n x="509"/>
        <n x="152"/>
        <n x="487"/>
      </t>
    </mdx>
    <mdx n="508" f="v">
      <t c="3" si="4">
        <n x="509"/>
        <n x="395"/>
        <n x="489"/>
      </t>
    </mdx>
    <mdx n="508" f="v">
      <t c="3" si="4">
        <n x="509"/>
        <n x="112"/>
        <n x="481"/>
      </t>
    </mdx>
    <mdx n="508" f="v">
      <t c="3" si="4">
        <n x="509"/>
        <n x="416"/>
        <n x="466"/>
      </t>
    </mdx>
    <mdx n="508" f="v">
      <t c="3" si="4">
        <n x="509"/>
        <n x="220"/>
        <n x="468"/>
      </t>
    </mdx>
    <mdx n="508" f="v">
      <t c="3" si="4">
        <n x="509"/>
        <n x="437"/>
        <n x="466"/>
      </t>
    </mdx>
    <mdx n="508" f="v">
      <t c="3" si="4">
        <n x="509"/>
        <n x="299"/>
        <n x="480"/>
      </t>
    </mdx>
    <mdx n="508" f="v">
      <t c="3" si="4">
        <n x="509"/>
        <n x="65"/>
        <n x="480"/>
      </t>
    </mdx>
    <mdx n="508" f="v">
      <t c="3" si="4">
        <n x="509"/>
        <n x="130"/>
        <n x="471"/>
      </t>
    </mdx>
    <mdx n="508" f="v">
      <t c="3" si="4">
        <n x="509"/>
        <n x="421"/>
        <n x="480"/>
      </t>
    </mdx>
    <mdx n="508" f="v">
      <t c="3" si="4">
        <n x="509"/>
        <n x="439"/>
        <n x="482"/>
      </t>
    </mdx>
    <mdx n="508" f="v">
      <t c="3" si="4">
        <n x="509"/>
        <n x="21"/>
        <n x="484"/>
      </t>
    </mdx>
    <mdx n="508" f="v">
      <t c="3" si="4">
        <n x="509"/>
        <n x="316"/>
        <n x="485"/>
      </t>
    </mdx>
    <mdx n="508" f="v">
      <t c="3" si="4">
        <n x="509"/>
        <n x="250"/>
        <n x="487"/>
      </t>
    </mdx>
    <mdx n="508" f="v">
      <t c="3" si="4">
        <n x="509"/>
        <n x="183"/>
        <n x="488"/>
      </t>
    </mdx>
    <mdx n="508" f="v">
      <t c="3" si="4">
        <n x="509"/>
        <n x="131"/>
        <n x="481"/>
      </t>
    </mdx>
    <mdx n="508" f="v">
      <t c="3" si="4">
        <n x="509"/>
        <n x="59"/>
        <n x="483"/>
      </t>
    </mdx>
    <mdx n="508" f="v">
      <t c="3" si="4">
        <n x="509"/>
        <n x="112"/>
        <n x="484"/>
      </t>
    </mdx>
    <mdx n="508" f="v">
      <t c="3" si="4">
        <n x="509"/>
        <n x="132"/>
        <n x="486"/>
      </t>
    </mdx>
    <mdx n="508" f="v">
      <t c="3" si="4">
        <n x="509"/>
        <n x="215"/>
        <n x="487"/>
      </t>
    </mdx>
    <mdx n="508" f="v">
      <t c="3" si="4">
        <n x="509"/>
        <n x="287"/>
        <n x="481"/>
      </t>
    </mdx>
    <mdx n="508" f="v">
      <t c="3" si="4">
        <n x="509"/>
        <n x="29"/>
        <n x="483"/>
      </t>
    </mdx>
    <mdx n="508" f="v">
      <t c="3" si="4">
        <n x="509"/>
        <n x="254"/>
        <n x="484"/>
      </t>
    </mdx>
    <mdx n="508" f="v">
      <t c="3" si="4">
        <n x="509"/>
        <n x="55"/>
        <n x="486"/>
      </t>
    </mdx>
    <mdx n="508" f="v">
      <t c="3" si="4">
        <n x="509"/>
        <n x="188"/>
        <n x="487"/>
      </t>
    </mdx>
    <mdx n="508" f="v">
      <t c="3" si="4">
        <n x="509"/>
        <n x="109"/>
        <n x="481"/>
      </t>
    </mdx>
    <mdx n="508" f="v">
      <t c="3" si="4">
        <n x="509"/>
        <n x="306"/>
        <n x="483"/>
      </t>
    </mdx>
    <mdx n="508" f="v">
      <t c="3" si="4">
        <n x="509"/>
        <n x="124"/>
        <n x="484"/>
      </t>
    </mdx>
    <mdx n="508" f="v">
      <t c="3" si="4">
        <n x="509"/>
        <n x="407"/>
        <n x="486"/>
      </t>
    </mdx>
    <mdx n="508" f="v">
      <t c="3" si="4">
        <n x="509"/>
        <n x="104"/>
        <n x="487"/>
      </t>
    </mdx>
    <mdx n="508" f="v">
      <t c="3" si="4">
        <n x="509"/>
        <n x="267"/>
        <n x="489"/>
      </t>
    </mdx>
    <mdx n="508" f="v">
      <t c="3" si="4">
        <n x="509"/>
        <n x="127"/>
        <n x="479"/>
      </t>
    </mdx>
    <mdx n="508" f="v">
      <t c="3" si="4">
        <n x="509"/>
        <n x="98"/>
        <n x="482"/>
      </t>
    </mdx>
    <mdx n="508" f="v">
      <t c="3" si="4">
        <n x="509"/>
        <n x="461"/>
        <n x="483"/>
      </t>
    </mdx>
    <mdx n="508" f="v">
      <t c="3" si="4">
        <n x="509"/>
        <n x="319"/>
        <n x="484"/>
      </t>
    </mdx>
    <mdx n="508" f="v">
      <t c="3" si="4">
        <n x="509"/>
        <n x="90"/>
        <n x="485"/>
      </t>
    </mdx>
    <mdx n="508" f="v">
      <t c="3" si="4">
        <n x="509"/>
        <n x="359"/>
        <n x="487"/>
      </t>
    </mdx>
    <mdx n="508" f="v">
      <t c="3" si="4">
        <n x="509"/>
        <n x="348"/>
        <n x="488"/>
      </t>
    </mdx>
    <mdx n="508" f="v">
      <t c="3" si="4">
        <n x="509"/>
        <n x="150"/>
        <n x="489"/>
      </t>
    </mdx>
    <mdx n="508" f="v">
      <t c="3" si="4">
        <n x="509"/>
        <n x="445"/>
        <n x="482"/>
      </t>
    </mdx>
    <mdx n="508" f="v">
      <t c="3" si="4">
        <n x="509"/>
        <n x="243"/>
        <n x="483"/>
      </t>
    </mdx>
    <mdx n="508" f="v">
      <t c="3" si="4">
        <n x="509"/>
        <n x="24"/>
        <n x="484"/>
      </t>
    </mdx>
    <mdx n="508" f="v">
      <t c="3" si="4">
        <n x="509"/>
        <n x="303"/>
        <n x="485"/>
      </t>
    </mdx>
    <mdx n="508" f="v">
      <t c="3" si="4">
        <n x="509"/>
        <n x="128"/>
        <n x="486"/>
      </t>
    </mdx>
    <mdx n="508" f="v">
      <t c="3" si="4">
        <n x="509"/>
        <n x="405"/>
        <n x="487"/>
      </t>
    </mdx>
    <mdx n="508" f="v">
      <t c="3" si="4">
        <n x="509"/>
        <n x="304"/>
        <n x="473"/>
      </t>
    </mdx>
    <mdx n="508" f="v">
      <t c="3" si="4">
        <n x="509"/>
        <n x="226"/>
        <n x="476"/>
      </t>
    </mdx>
    <mdx n="508" f="v">
      <t c="3" si="4">
        <n x="509"/>
        <n x="359"/>
        <n x="477"/>
      </t>
    </mdx>
    <mdx n="508" f="v">
      <t c="3" si="4">
        <n x="509"/>
        <n x="361"/>
        <n x="476"/>
      </t>
    </mdx>
    <mdx n="508" f="v">
      <t c="3" si="4">
        <n x="509"/>
        <n x="404"/>
        <n x="471"/>
      </t>
    </mdx>
    <mdx n="508" f="v">
      <t c="3" si="4">
        <n x="509"/>
        <n x="226"/>
        <n x="471"/>
      </t>
    </mdx>
    <mdx n="508" f="v">
      <t c="3" si="4">
        <n x="509"/>
        <n x="306"/>
        <n x="471"/>
      </t>
    </mdx>
    <mdx n="508" f="v">
      <t c="3" si="4">
        <n x="509"/>
        <n x="162"/>
        <n x="471"/>
      </t>
    </mdx>
    <mdx n="508" f="v">
      <t c="3" si="4">
        <n x="509"/>
        <n x="129"/>
        <n x="480"/>
      </t>
    </mdx>
    <mdx n="508" f="v">
      <t c="3" si="4">
        <n x="509"/>
        <n x="300"/>
        <n x="481"/>
      </t>
    </mdx>
    <mdx n="508" f="v">
      <t c="3" si="4">
        <n x="509"/>
        <n x="289"/>
        <n x="471"/>
      </t>
    </mdx>
    <mdx n="508" f="v">
      <t c="3" si="4">
        <n x="509"/>
        <n x="407"/>
        <n x="479"/>
      </t>
    </mdx>
    <mdx n="508" f="v">
      <t c="3" si="4">
        <n x="509"/>
        <n x="358"/>
        <n x="480"/>
      </t>
    </mdx>
    <mdx n="508" f="v">
      <t c="3" si="4">
        <n x="509"/>
        <n x="454"/>
        <n x="481"/>
      </t>
    </mdx>
    <mdx n="508" f="v">
      <t c="3" si="4">
        <n x="509"/>
        <n x="416"/>
        <n x="482"/>
      </t>
    </mdx>
    <mdx n="508" f="v">
      <t c="3" si="4">
        <n x="509"/>
        <n x="410"/>
        <n x="483"/>
      </t>
    </mdx>
    <mdx n="508" f="v">
      <t c="3" si="4">
        <n x="509"/>
        <n x="446"/>
        <n x="484"/>
      </t>
    </mdx>
    <mdx n="508" f="v">
      <t c="3" si="4">
        <n x="509"/>
        <n x="442"/>
        <n x="485"/>
      </t>
    </mdx>
    <mdx n="508" f="v">
      <t c="3" si="4">
        <n x="509"/>
        <n x="175"/>
        <n x="486"/>
      </t>
    </mdx>
    <mdx n="508" f="v">
      <t c="3" si="4">
        <n x="509"/>
        <n x="260"/>
        <n x="487"/>
      </t>
    </mdx>
    <mdx n="508" f="v">
      <t c="3" si="4">
        <n x="509"/>
        <n x="228"/>
        <n x="488"/>
      </t>
    </mdx>
    <mdx n="508" f="v">
      <t c="3" si="4">
        <n x="509"/>
        <n x="108"/>
        <n x="480"/>
      </t>
    </mdx>
    <mdx n="508" f="v">
      <t c="3" si="4">
        <n x="509"/>
        <n x="316"/>
        <n x="482"/>
      </t>
    </mdx>
    <mdx n="508" f="v">
      <t c="3" si="4">
        <n x="509"/>
        <n x="435"/>
        <n x="483"/>
      </t>
    </mdx>
    <mdx n="508" f="v">
      <t c="3" si="4">
        <n x="509"/>
        <n x="459"/>
        <n x="485"/>
      </t>
    </mdx>
    <mdx n="508" f="v">
      <t c="3" si="4">
        <n x="509"/>
        <n x="45"/>
        <n x="486"/>
      </t>
    </mdx>
    <mdx n="508" f="v">
      <t c="3" si="4">
        <n x="509"/>
        <n x="119"/>
        <n x="487"/>
      </t>
    </mdx>
    <mdx n="508" f="v">
      <t c="3" si="4">
        <n x="509"/>
        <n x="314"/>
        <n x="488"/>
      </t>
    </mdx>
    <mdx n="508" f="v">
      <t c="3" si="4">
        <n x="509"/>
        <n x="51"/>
        <n x="482"/>
      </t>
    </mdx>
    <mdx n="508" f="v">
      <t c="3" si="4">
        <n x="509"/>
        <n x="151"/>
        <n x="483"/>
      </t>
    </mdx>
    <mdx n="508" f="v">
      <t c="3" si="4">
        <n x="509"/>
        <n x="184"/>
        <n x="484"/>
      </t>
    </mdx>
    <mdx n="508" f="v">
      <t c="3" si="4">
        <n x="509"/>
        <n x="441"/>
        <n x="485"/>
      </t>
    </mdx>
    <mdx n="508" f="v">
      <t c="3" si="4">
        <n x="509"/>
        <n x="361"/>
        <n x="486"/>
      </t>
    </mdx>
    <mdx n="508" f="v">
      <t c="3" si="4">
        <n x="509"/>
        <n x="23"/>
        <n x="487"/>
      </t>
    </mdx>
    <mdx n="508" f="v">
      <t c="3" si="4">
        <n x="509"/>
        <n x="236"/>
        <n x="488"/>
      </t>
    </mdx>
    <mdx n="508" f="v">
      <t c="3" si="4">
        <n x="509"/>
        <n x="269"/>
        <n x="482"/>
      </t>
    </mdx>
    <mdx n="508" f="v">
      <t c="3" si="4">
        <n x="509"/>
        <n x="14"/>
        <n x="483"/>
      </t>
    </mdx>
    <mdx n="508" f="v">
      <t c="3" si="4">
        <n x="509"/>
        <n x="341"/>
        <n x="484"/>
      </t>
    </mdx>
    <mdx n="508" f="v">
      <t c="3" si="4">
        <n x="509"/>
        <n x="266"/>
        <n x="485"/>
      </t>
    </mdx>
    <mdx n="508" f="v">
      <t c="3" si="4">
        <n x="509"/>
        <n x="352"/>
        <n x="486"/>
      </t>
    </mdx>
    <mdx n="508" f="v">
      <t c="3" si="4">
        <n x="509"/>
        <n x="35"/>
        <n x="487"/>
      </t>
    </mdx>
    <mdx n="508" f="v">
      <t c="3" si="4">
        <n x="509"/>
        <n x="73"/>
        <n x="489"/>
      </t>
    </mdx>
    <mdx n="508" f="v">
      <t c="3" si="4">
        <n x="509"/>
        <n x="374"/>
        <n x="468"/>
      </t>
    </mdx>
    <mdx n="508" f="v">
      <t c="3" si="4">
        <n x="509"/>
        <n x="25"/>
        <n x="482"/>
      </t>
    </mdx>
    <mdx n="508" f="v">
      <t c="3" si="4">
        <n x="509"/>
        <n x="295"/>
        <n x="483"/>
      </t>
    </mdx>
    <mdx n="508" f="v">
      <t c="3" si="4">
        <n x="509"/>
        <n x="237"/>
        <n x="484"/>
      </t>
    </mdx>
    <mdx n="508" f="v">
      <t c="3" si="4">
        <n x="509"/>
        <n x="34"/>
        <n x="485"/>
      </t>
    </mdx>
    <mdx n="508" f="v">
      <t c="3" si="4">
        <n x="509"/>
        <n x="223"/>
        <n x="486"/>
      </t>
    </mdx>
    <mdx n="508" f="v">
      <t c="3" si="4">
        <n x="509"/>
        <n x="398"/>
        <n x="487"/>
      </t>
    </mdx>
    <mdx n="508" f="v">
      <t c="3" si="4">
        <n x="509"/>
        <n x="177"/>
        <n x="489"/>
      </t>
    </mdx>
    <mdx n="508" f="v">
      <t c="3" si="4">
        <n x="509"/>
        <n x="365"/>
        <n x="481"/>
      </t>
    </mdx>
    <mdx n="508" f="v">
      <t c="3" si="4">
        <n x="509"/>
        <n x="124"/>
        <n x="482"/>
      </t>
    </mdx>
    <mdx n="508" f="v">
      <t c="3" si="4">
        <n x="509"/>
        <n x="107"/>
        <n x="483"/>
      </t>
    </mdx>
    <mdx n="508" f="v">
      <t c="3" si="4">
        <n x="509"/>
        <n x="138"/>
        <n x="485"/>
      </t>
    </mdx>
    <mdx n="508" f="v">
      <t c="3" si="4">
        <n x="509"/>
        <n x="315"/>
        <n x="486"/>
      </t>
    </mdx>
    <mdx n="508" f="v">
      <t c="3" si="4">
        <n x="509"/>
        <n x="438"/>
        <n x="487"/>
      </t>
    </mdx>
    <mdx n="508" f="v">
      <t c="3" si="4">
        <n x="509"/>
        <n x="181"/>
        <n x="488"/>
      </t>
    </mdx>
    <mdx n="508" f="v">
      <t c="3" si="4">
        <n x="509"/>
        <n x="406"/>
        <n x="468"/>
      </t>
    </mdx>
    <mdx n="508" f="v">
      <t c="3" si="4">
        <n x="509"/>
        <n x="233"/>
        <n x="482"/>
      </t>
    </mdx>
    <mdx n="508" f="v">
      <t c="3" si="4">
        <n x="509"/>
        <n x="193"/>
        <n x="483"/>
      </t>
    </mdx>
    <mdx n="508" f="v">
      <t c="3" si="4">
        <n x="509"/>
        <n x="230"/>
        <n x="484"/>
      </t>
    </mdx>
    <mdx n="508" f="v">
      <t c="3" si="4">
        <n x="509"/>
        <n x="32"/>
        <n x="485"/>
      </t>
    </mdx>
    <mdx n="508" f="v">
      <t c="3" si="4">
        <n x="509"/>
        <n x="13"/>
        <n x="486"/>
      </t>
    </mdx>
    <mdx n="508" f="v">
      <t c="3" si="4">
        <n x="509"/>
        <n x="402"/>
        <n x="468"/>
      </t>
    </mdx>
    <mdx n="508" f="v">
      <t c="3" si="4">
        <n x="509"/>
        <n x="101"/>
        <n x="468"/>
      </t>
    </mdx>
    <mdx n="508" f="v">
      <t c="3" si="4">
        <n x="509"/>
        <n x="429"/>
        <n x="468"/>
      </t>
    </mdx>
    <mdx n="508" f="v">
      <t c="3" si="4">
        <n x="509"/>
        <n x="15"/>
        <n x="468"/>
      </t>
    </mdx>
    <mdx n="508" f="v">
      <t c="3" si="4">
        <n x="509"/>
        <n x="406"/>
        <n x="477"/>
      </t>
    </mdx>
    <mdx n="508" f="v">
      <t c="3" si="4">
        <n x="509"/>
        <n x="156"/>
        <n x="478"/>
      </t>
    </mdx>
    <mdx n="508" f="v">
      <t c="3" si="4">
        <n x="509"/>
        <n x="170"/>
        <n x="480"/>
      </t>
    </mdx>
    <mdx n="508" f="v">
      <t c="3" si="4">
        <n x="509"/>
        <n x="132"/>
        <n x="479"/>
      </t>
    </mdx>
    <mdx n="508" f="v">
      <t c="3" si="4">
        <n x="509"/>
        <n x="247"/>
        <n x="480"/>
      </t>
    </mdx>
    <mdx n="508" f="v">
      <t c="3" si="4">
        <n x="509"/>
        <n x="413"/>
        <n x="468"/>
      </t>
    </mdx>
    <mdx n="508" f="v">
      <t c="3" si="4">
        <n x="509"/>
        <n x="127"/>
        <n x="471"/>
      </t>
    </mdx>
    <mdx n="508" f="v">
      <t c="3" si="4">
        <n x="509"/>
        <n x="329"/>
        <n x="479"/>
      </t>
    </mdx>
    <mdx n="508" f="v">
      <t c="3" si="4">
        <n x="509"/>
        <n x="118"/>
        <n x="480"/>
      </t>
    </mdx>
    <mdx n="508" f="v">
      <t c="3" si="4">
        <n x="509"/>
        <n x="38"/>
        <n x="479"/>
      </t>
    </mdx>
    <mdx n="508" f="v">
      <t c="3" si="4">
        <n x="509"/>
        <n x="29"/>
        <n x="482"/>
      </t>
    </mdx>
    <mdx n="508" f="v">
      <t c="3" si="4">
        <n x="509"/>
        <n x="126"/>
        <n x="483"/>
      </t>
    </mdx>
    <mdx n="508" f="v">
      <t c="3" si="4">
        <n x="509"/>
        <n x="260"/>
        <n x="484"/>
      </t>
    </mdx>
    <mdx n="508" f="v">
      <t c="3" si="4">
        <n x="509"/>
        <n x="249"/>
        <n x="485"/>
      </t>
    </mdx>
    <mdx n="508" f="v">
      <t c="3" si="4">
        <n x="509"/>
        <n x="8"/>
        <n x="487"/>
      </t>
    </mdx>
    <mdx n="508" f="v">
      <t c="3" si="4">
        <n x="509"/>
        <n x="219"/>
        <n x="488"/>
      </t>
    </mdx>
    <mdx n="508" f="v">
      <t c="3" si="4">
        <n x="509"/>
        <n x="312"/>
        <n x="489"/>
      </t>
    </mdx>
    <mdx n="508" f="v">
      <t c="3" si="4">
        <n x="509"/>
        <n x="372"/>
        <n x="482"/>
      </t>
    </mdx>
    <mdx n="508" f="v">
      <t c="3" si="4">
        <n x="509"/>
        <n x="217"/>
        <n x="483"/>
      </t>
    </mdx>
    <mdx n="508" f="v">
      <t c="3" si="4">
        <n x="509"/>
        <n x="323"/>
        <n x="484"/>
      </t>
    </mdx>
    <mdx n="508" f="v">
      <t c="3" si="4">
        <n x="509"/>
        <n x="128"/>
        <n x="485"/>
      </t>
    </mdx>
    <mdx n="508" f="v">
      <t c="3" si="4">
        <n x="509"/>
        <n x="156"/>
        <n x="486"/>
      </t>
    </mdx>
    <mdx n="508" f="v">
      <t c="3" si="4">
        <n x="509"/>
        <n x="197"/>
        <n x="487"/>
      </t>
    </mdx>
    <mdx n="508" f="v">
      <t c="3" si="4">
        <n x="509"/>
        <n x="41"/>
        <n x="471"/>
      </t>
    </mdx>
    <mdx n="508" f="v">
      <t c="3" si="4">
        <n x="509"/>
        <n x="38"/>
        <n x="482"/>
      </t>
    </mdx>
    <mdx n="508" f="v">
      <t c="3" si="4">
        <n x="509"/>
        <n x="127"/>
        <n x="483"/>
      </t>
    </mdx>
    <mdx n="508" f="v">
      <t c="3" si="4">
        <n x="509"/>
        <n x="248"/>
        <n x="484"/>
      </t>
    </mdx>
    <mdx n="508" f="v">
      <t c="3" si="4">
        <n x="509"/>
        <n x="100"/>
        <n x="485"/>
      </t>
    </mdx>
    <mdx n="508" f="v">
      <t c="3" si="4">
        <n x="509"/>
        <n x="397"/>
        <n x="486"/>
      </t>
    </mdx>
    <mdx n="508" f="v">
      <t c="3" si="4">
        <n x="509"/>
        <n x="296"/>
        <n x="488"/>
      </t>
    </mdx>
    <mdx n="508" f="v">
      <t c="3" si="4">
        <n x="509"/>
        <n x="205"/>
        <n x="480"/>
      </t>
    </mdx>
    <mdx n="508" f="v">
      <t c="3" si="4">
        <n x="509"/>
        <n x="9"/>
        <n x="482"/>
      </t>
    </mdx>
    <mdx n="508" f="v">
      <t c="3" si="4">
        <n x="509"/>
        <n x="169"/>
        <n x="483"/>
      </t>
    </mdx>
    <mdx n="508" f="v">
      <t c="3" si="4">
        <n x="509"/>
        <n x="286"/>
        <n x="485"/>
      </t>
    </mdx>
    <mdx n="508" f="v">
      <t c="3" si="4">
        <n x="509"/>
        <n x="423"/>
        <n x="486"/>
      </t>
    </mdx>
    <mdx n="508" f="v">
      <t c="3" si="4">
        <n x="509"/>
        <n x="184"/>
        <n x="487"/>
      </t>
    </mdx>
    <mdx n="508" f="v">
      <t c="3" si="4">
        <n x="509"/>
        <n x="99"/>
        <n x="488"/>
      </t>
    </mdx>
    <mdx n="508" f="v">
      <t c="3" si="4">
        <n x="509"/>
        <n x="313"/>
        <n x="489"/>
      </t>
    </mdx>
    <mdx n="508" f="v">
      <t c="3" si="4">
        <n x="509"/>
        <n x="117"/>
        <n x="480"/>
      </t>
    </mdx>
    <mdx n="508" f="v">
      <t c="3" si="4">
        <n x="509"/>
        <n x="154"/>
        <n x="482"/>
      </t>
    </mdx>
    <mdx n="508" f="v">
      <t c="3" si="4">
        <n x="509"/>
        <n x="259"/>
        <n x="483"/>
      </t>
    </mdx>
    <mdx n="508" f="v">
      <t c="3" si="4">
        <n x="509"/>
        <n x="440"/>
        <n x="485"/>
      </t>
    </mdx>
    <mdx n="508" f="v">
      <t c="3" si="4">
        <n x="509"/>
        <n x="138"/>
        <n x="486"/>
      </t>
    </mdx>
    <mdx n="508" f="v">
      <t c="3" si="4">
        <n x="509"/>
        <n x="291"/>
        <n x="487"/>
      </t>
    </mdx>
    <mdx n="508" f="v">
      <t c="3" si="4">
        <n x="509"/>
        <n x="355"/>
        <n x="488"/>
      </t>
    </mdx>
    <mdx n="508" f="v">
      <t c="3" si="4">
        <n x="509"/>
        <n x="193"/>
        <n x="489"/>
      </t>
    </mdx>
    <mdx n="508" f="v">
      <t c="3" si="4">
        <n x="509"/>
        <n x="33"/>
        <n x="482"/>
      </t>
    </mdx>
    <mdx n="508" f="v">
      <t c="3" si="4">
        <n x="509"/>
        <n x="233"/>
        <n x="483"/>
      </t>
    </mdx>
    <mdx n="508" f="v">
      <t c="3" si="4">
        <n x="509"/>
        <n x="166"/>
        <n x="484"/>
      </t>
    </mdx>
    <mdx n="508" f="v">
      <t c="3" si="4">
        <n x="509"/>
        <n x="462"/>
        <n x="485"/>
      </t>
    </mdx>
    <mdx n="508" f="v">
      <t c="3" si="4">
        <n x="509"/>
        <n x="427"/>
        <n x="486"/>
      </t>
    </mdx>
    <mdx n="508" f="v">
      <t c="3" si="4">
        <n x="509"/>
        <n x="135"/>
        <n x="487"/>
      </t>
    </mdx>
    <mdx n="508" f="v">
      <t c="3" si="4">
        <n x="509"/>
        <n x="104"/>
        <n x="488"/>
      </t>
    </mdx>
    <mdx n="508" f="v">
      <t c="3" si="4">
        <n x="509"/>
        <n x="58"/>
        <n x="481"/>
      </t>
    </mdx>
    <mdx n="508" f="v">
      <t c="3" si="4">
        <n x="509"/>
        <n x="183"/>
        <n x="482"/>
      </t>
    </mdx>
    <mdx n="508" f="v">
      <t c="3" si="4">
        <n x="509"/>
        <n x="31"/>
        <n x="483"/>
      </t>
    </mdx>
    <mdx n="508" f="v">
      <t c="3" si="4">
        <n x="509"/>
        <n x="437"/>
        <n x="485"/>
      </t>
    </mdx>
    <mdx n="508" f="v">
      <t c="3" si="4">
        <n x="509"/>
        <n x="266"/>
        <n x="477"/>
      </t>
    </mdx>
    <mdx n="508" f="v">
      <t c="3" si="4">
        <n x="509"/>
        <n x="71"/>
        <n x="478"/>
      </t>
    </mdx>
    <mdx n="508" f="v">
      <t c="3" si="4">
        <n x="509"/>
        <n x="194"/>
        <n x="477"/>
      </t>
    </mdx>
    <mdx n="508" f="v">
      <t c="3" si="4">
        <n x="509"/>
        <n x="172"/>
        <n x="480"/>
      </t>
    </mdx>
    <mdx n="508" f="v">
      <t c="3" si="4">
        <n x="509"/>
        <n x="443"/>
        <n x="480"/>
      </t>
    </mdx>
    <mdx n="508" f="v">
      <t c="3" si="4">
        <n x="509"/>
        <n x="63"/>
        <n x="479"/>
      </t>
    </mdx>
    <mdx n="508" f="v">
      <t c="3" si="4">
        <n x="509"/>
        <n x="384"/>
        <n x="471"/>
      </t>
    </mdx>
    <mdx n="508" f="v">
      <t c="3" si="4">
        <n x="509"/>
        <n x="213"/>
        <n x="480"/>
      </t>
    </mdx>
    <mdx n="508" f="v">
      <t c="3" si="4">
        <n x="509"/>
        <n x="48"/>
        <n x="481"/>
      </t>
    </mdx>
    <mdx n="508" f="v">
      <t c="3" si="4">
        <n x="509"/>
        <n x="167"/>
        <n x="471"/>
      </t>
    </mdx>
    <mdx n="508" f="v">
      <t c="3" si="4">
        <n x="509"/>
        <n x="361"/>
        <n x="479"/>
      </t>
    </mdx>
    <mdx n="508" f="v">
      <t c="3" si="4">
        <n x="509"/>
        <n x="180"/>
        <n x="480"/>
      </t>
    </mdx>
    <mdx n="508" f="v">
      <t c="3" si="4">
        <n x="509"/>
        <n x="261"/>
        <n x="481"/>
      </t>
    </mdx>
    <mdx n="508" f="v">
      <t c="3" si="4">
        <n x="509"/>
        <n x="11"/>
        <n x="482"/>
      </t>
    </mdx>
    <mdx n="508" f="v">
      <t c="3" si="4">
        <n x="509"/>
        <n x="128"/>
        <n x="483"/>
      </t>
    </mdx>
    <mdx n="508" f="v">
      <t c="3" si="4">
        <n x="509"/>
        <n x="433"/>
        <n x="484"/>
      </t>
    </mdx>
    <mdx n="508" f="v">
      <t c="3" si="4">
        <n x="509"/>
        <n x="363"/>
        <n x="485"/>
      </t>
    </mdx>
    <mdx n="508" f="v">
      <t c="3" si="4">
        <n x="509"/>
        <n x="461"/>
        <n x="486"/>
      </t>
    </mdx>
    <mdx n="508" f="v">
      <t c="3" si="4">
        <n x="509"/>
        <n x="177"/>
        <n x="487"/>
      </t>
    </mdx>
    <mdx n="508" f="v">
      <t c="3" si="4">
        <n x="509"/>
        <n x="53"/>
        <n x="489"/>
      </t>
    </mdx>
    <mdx n="508" f="v">
      <t c="3" si="4">
        <n x="509"/>
        <n x="338"/>
        <n x="481"/>
      </t>
    </mdx>
    <mdx n="508" f="v">
      <t c="3" si="4">
        <n x="509"/>
        <n x="403"/>
        <n x="482"/>
      </t>
    </mdx>
    <mdx n="508" f="v">
      <t c="3" si="4">
        <n x="509"/>
        <n x="168"/>
        <n x="484"/>
      </t>
    </mdx>
    <mdx n="508" f="v">
      <t c="3" si="4">
        <n x="509"/>
        <n x="350"/>
        <n x="485"/>
      </t>
    </mdx>
    <mdx n="508" f="v">
      <t c="3" si="4">
        <n x="509"/>
        <n x="454"/>
        <n x="486"/>
      </t>
    </mdx>
    <mdx n="508" f="v">
      <t c="3" si="4">
        <n x="509"/>
        <n x="219"/>
        <n x="487"/>
      </t>
    </mdx>
    <mdx n="508" f="v">
      <t c="3" si="4">
        <n x="509"/>
        <n x="178"/>
        <n x="488"/>
      </t>
    </mdx>
    <mdx n="508" f="v">
      <t c="3" si="4">
        <n x="509"/>
        <n x="43"/>
        <n x="482"/>
      </t>
    </mdx>
    <mdx n="508" f="v">
      <t c="3" si="4">
        <n x="509"/>
        <n x="431"/>
        <n x="483"/>
      </t>
    </mdx>
    <mdx n="508" f="v">
      <t c="3" si="4">
        <n x="509"/>
        <n x="422"/>
        <n x="484"/>
      </t>
    </mdx>
    <mdx n="508" f="v">
      <t c="3" si="4">
        <n x="509"/>
        <n x="251"/>
        <n x="485"/>
      </t>
    </mdx>
    <mdx n="508" f="v">
      <t c="3" si="4">
        <n x="509"/>
        <n x="97"/>
        <n x="486"/>
      </t>
    </mdx>
    <mdx n="508" f="v">
      <t c="3" si="4">
        <n x="509"/>
        <n x="416"/>
        <n x="487"/>
      </t>
    </mdx>
    <mdx n="508" f="v">
      <t c="3" si="4">
        <n x="509"/>
        <n x="392"/>
        <n x="471"/>
      </t>
    </mdx>
    <mdx n="508" f="v">
      <t c="3" si="4">
        <n x="509"/>
        <n x="70"/>
        <n x="482"/>
      </t>
    </mdx>
    <mdx n="508" f="v">
      <t c="3" si="4">
        <n x="509"/>
        <n x="373"/>
        <n x="483"/>
      </t>
    </mdx>
    <mdx n="508" f="v">
      <t c="3" si="4">
        <n x="509"/>
        <n x="9"/>
        <n x="484"/>
      </t>
    </mdx>
    <mdx n="508" f="v">
      <t c="3" si="4">
        <n x="509"/>
        <n x="68"/>
        <n x="485"/>
      </t>
    </mdx>
    <mdx n="508" f="v">
      <t c="3" si="4">
        <n x="509"/>
        <n x="302"/>
        <n x="486"/>
      </t>
    </mdx>
    <mdx n="508" f="v">
      <t c="3" si="4">
        <n x="509"/>
        <n x="434"/>
        <n x="488"/>
      </t>
    </mdx>
    <mdx n="508" f="v">
      <t c="3" si="4">
        <n x="509"/>
        <n x="369"/>
        <n x="489"/>
      </t>
    </mdx>
    <mdx n="508" f="v">
      <t c="3" si="4">
        <n x="509"/>
        <n x="96"/>
        <n x="471"/>
      </t>
    </mdx>
    <mdx n="508" f="v">
      <t c="3" si="4">
        <n x="509"/>
        <n x="186"/>
        <n x="482"/>
      </t>
    </mdx>
    <mdx n="508" f="v">
      <t c="3" si="4">
        <n x="509"/>
        <n x="48"/>
        <n x="483"/>
      </t>
    </mdx>
    <mdx n="508" f="v">
      <t c="3" si="4">
        <n x="509"/>
        <n x="293"/>
        <n x="484"/>
      </t>
    </mdx>
    <mdx n="508" f="v">
      <t c="3" si="4">
        <n x="509"/>
        <n x="357"/>
        <n x="485"/>
      </t>
    </mdx>
    <mdx n="508" f="v">
      <t c="3" si="4">
        <n x="509"/>
        <n x="235"/>
        <n x="487"/>
      </t>
    </mdx>
    <mdx n="508" f="v">
      <t c="3" si="4">
        <n x="509"/>
        <n x="37"/>
        <n x="488"/>
      </t>
    </mdx>
    <mdx n="508" f="v">
      <t c="3" si="4">
        <n x="509"/>
        <n x="252"/>
        <n x="489"/>
      </t>
    </mdx>
    <mdx n="508" f="v">
      <t c="3" si="4">
        <n x="509"/>
        <n x="177"/>
        <n x="481"/>
      </t>
    </mdx>
    <mdx n="508" f="v">
      <t c="3" si="4">
        <n x="509"/>
        <n x="124"/>
        <n x="483"/>
      </t>
    </mdx>
    <mdx n="508" f="v">
      <t c="3" si="4">
        <n x="509"/>
        <n x="318"/>
        <n x="484"/>
      </t>
    </mdx>
    <mdx n="508" f="v">
      <t c="3" si="4">
        <n x="509"/>
        <n x="382"/>
        <n x="485"/>
      </t>
    </mdx>
    <mdx n="508" f="v">
      <t c="3" si="4">
        <n x="509"/>
        <n x="257"/>
        <n x="486"/>
      </t>
    </mdx>
    <mdx n="508" f="v">
      <t c="3" si="4">
        <n x="509"/>
        <n x="462"/>
        <n x="487"/>
      </t>
    </mdx>
    <mdx n="508" f="v">
      <t c="3" si="4">
        <n x="509"/>
        <n x="307"/>
        <n x="468"/>
      </t>
    </mdx>
    <mdx n="508" f="v">
      <t c="3" si="4">
        <n x="509"/>
        <n x="331"/>
        <n x="471"/>
      </t>
    </mdx>
    <mdx n="508" f="v">
      <t c="3" si="4">
        <n x="509"/>
        <n x="232"/>
        <n x="481"/>
      </t>
    </mdx>
    <mdx n="508" f="v">
      <t c="3" si="4">
        <n x="509"/>
        <n x="424"/>
        <n x="480"/>
      </t>
    </mdx>
    <mdx n="508" f="v">
      <t c="3" si="4">
        <n x="509"/>
        <n x="115"/>
        <n x="471"/>
      </t>
    </mdx>
    <mdx n="508" f="v">
      <t c="3" si="4">
        <n x="509"/>
        <n x="229"/>
        <n x="480"/>
      </t>
    </mdx>
    <mdx n="508" f="v">
      <t c="3" si="4">
        <n x="509"/>
        <n x="393"/>
        <n x="482"/>
      </t>
    </mdx>
    <mdx n="508" f="v">
      <t c="3" si="4">
        <n x="509"/>
        <n x="224"/>
        <n x="484"/>
      </t>
    </mdx>
    <mdx n="508" f="v">
      <t c="3" si="4">
        <n x="509"/>
        <n x="177"/>
        <n x="485"/>
      </t>
    </mdx>
    <mdx n="508" f="v">
      <t c="3" si="4">
        <n x="509"/>
        <n x="144"/>
        <n x="487"/>
      </t>
    </mdx>
    <mdx n="508" f="v">
      <t c="3" si="4">
        <n x="509"/>
        <n x="111"/>
        <n x="488"/>
      </t>
    </mdx>
    <mdx n="508" f="v">
      <t c="3" si="4">
        <n x="509"/>
        <n x="259"/>
        <n x="482"/>
      </t>
    </mdx>
    <mdx n="508" f="v">
      <t c="3" si="4">
        <n x="509"/>
        <n x="399"/>
        <n x="483"/>
      </t>
    </mdx>
    <mdx n="508" f="v">
      <t c="3" si="4">
        <n x="509"/>
        <n x="57"/>
        <n x="485"/>
      </t>
    </mdx>
    <mdx n="508" f="v">
      <t c="3" si="4">
        <n x="509"/>
        <n x="339"/>
        <n x="486"/>
      </t>
    </mdx>
    <mdx n="508" f="v">
      <t c="3" si="4">
        <n x="509"/>
        <n x="208"/>
        <n x="488"/>
      </t>
    </mdx>
    <mdx n="508" f="v">
      <t c="3" si="4">
        <n x="509"/>
        <n x="330"/>
        <n x="482"/>
      </t>
    </mdx>
    <mdx n="508" f="v">
      <t c="3" si="4">
        <n x="509"/>
        <n x="43"/>
        <n x="483"/>
      </t>
    </mdx>
    <mdx n="508" f="v">
      <t c="3" si="4">
        <n x="509"/>
        <n x="110"/>
        <n x="485"/>
      </t>
    </mdx>
    <mdx n="508" f="v">
      <t c="3" si="4">
        <n x="509"/>
        <n x="342"/>
        <n x="486"/>
      </t>
    </mdx>
    <mdx n="508" f="v">
      <t c="3" si="4">
        <n x="509"/>
        <n x="451"/>
        <n x="488"/>
      </t>
    </mdx>
    <mdx n="508" f="v">
      <t c="3" si="4">
        <n x="509"/>
        <n x="435"/>
        <n x="482"/>
      </t>
    </mdx>
    <mdx n="508" f="v">
      <t c="3" si="4">
        <n x="509"/>
        <n x="140"/>
        <n x="483"/>
      </t>
    </mdx>
    <mdx n="508" f="v">
      <t c="3" si="4">
        <n x="509"/>
        <n x="302"/>
        <n x="484"/>
      </t>
    </mdx>
    <mdx n="508" f="v">
      <t c="3" si="4">
        <n x="509"/>
        <n x="442"/>
        <n x="486"/>
      </t>
    </mdx>
    <mdx n="508" f="v">
      <t c="3" si="4">
        <n x="509"/>
        <n x="152"/>
        <n x="488"/>
      </t>
    </mdx>
    <mdx n="508" f="v">
      <t c="3" si="4">
        <n x="509"/>
        <n x="412"/>
        <n x="489"/>
      </t>
    </mdx>
    <mdx n="508" f="v">
      <t c="3" si="4">
        <n x="509"/>
        <n x="373"/>
        <n x="480"/>
      </t>
    </mdx>
    <mdx n="508" f="v">
      <t c="3" si="4">
        <n x="509"/>
        <n x="389"/>
        <n x="482"/>
      </t>
    </mdx>
    <mdx n="508" f="v">
      <t c="3" si="4">
        <n x="509"/>
        <n x="357"/>
        <n x="483"/>
      </t>
    </mdx>
    <mdx n="508" f="v">
      <t c="3" si="4">
        <n x="509"/>
        <n x="73"/>
        <n x="485"/>
      </t>
    </mdx>
    <mdx n="508" f="v">
      <t c="3" si="4">
        <n x="509"/>
        <n x="270"/>
        <n x="486"/>
      </t>
    </mdx>
    <mdx n="508" f="v">
      <t c="3" si="4">
        <n x="509"/>
        <n x="189"/>
        <n x="487"/>
      </t>
    </mdx>
    <mdx n="508" f="v">
      <t c="3" si="4">
        <n x="509"/>
        <n x="385"/>
        <n x="488"/>
      </t>
    </mdx>
    <mdx n="508" f="v">
      <t c="3" si="4">
        <n x="509"/>
        <n x="17"/>
        <n x="489"/>
      </t>
    </mdx>
    <mdx n="508" f="v">
      <t c="3" si="4">
        <n x="509"/>
        <n x="273"/>
        <n x="482"/>
      </t>
    </mdx>
    <mdx n="508" f="v">
      <t c="3" si="4">
        <n x="509"/>
        <n x="355"/>
        <n x="483"/>
      </t>
    </mdx>
    <mdx n="508" f="v">
      <t c="3" si="4">
        <n x="509"/>
        <n x="66"/>
        <n x="484"/>
      </t>
    </mdx>
    <mdx n="508" f="v">
      <t c="3" si="4">
        <n x="509"/>
        <n x="313"/>
        <n x="485"/>
      </t>
    </mdx>
    <mdx n="508" f="v">
      <t c="3" si="4">
        <n x="509"/>
        <n x="66"/>
        <n x="486"/>
      </t>
    </mdx>
    <mdx n="508" f="v">
      <t c="3" si="4">
        <n x="509"/>
        <n x="50"/>
        <n x="487"/>
      </t>
    </mdx>
    <mdx n="508" f="v">
      <t c="3" si="4">
        <n x="509"/>
        <n x="445"/>
        <n x="1"/>
      </t>
    </mdx>
    <mdx n="508" f="v">
      <t c="3" si="4">
        <n x="509"/>
        <n x="25"/>
        <n x="477"/>
      </t>
    </mdx>
    <mdx n="508" f="v">
      <t c="3" si="4">
        <n x="509"/>
        <n x="11"/>
        <n x="478"/>
      </t>
    </mdx>
    <mdx n="508" f="v">
      <t c="3" si="4">
        <n x="509"/>
        <n x="333"/>
        <n x="477"/>
      </t>
    </mdx>
    <mdx n="508" f="v">
      <t c="3" si="4">
        <n x="509"/>
        <n x="426"/>
        <n x="479"/>
      </t>
    </mdx>
    <mdx n="508" f="v">
      <t c="3" si="4">
        <n x="509"/>
        <n x="118"/>
        <n x="479"/>
      </t>
    </mdx>
    <mdx n="508" f="v">
      <t c="3" si="4">
        <n x="509"/>
        <n x="299"/>
        <n x="479"/>
      </t>
    </mdx>
    <mdx n="508" f="v">
      <t c="3" si="4">
        <n x="509"/>
        <n x="396"/>
        <n x="471"/>
      </t>
    </mdx>
    <mdx n="508" f="v">
      <t c="3" si="4">
        <n x="509"/>
        <n x="181"/>
        <n x="480"/>
      </t>
    </mdx>
    <mdx n="508" f="v">
      <t c="3" si="4">
        <n x="509"/>
        <n x="97"/>
        <n x="481"/>
      </t>
    </mdx>
    <mdx n="508" f="v">
      <t c="3" si="4">
        <n x="509"/>
        <n x="175"/>
        <n x="471"/>
      </t>
    </mdx>
    <mdx n="508" f="v">
      <t c="3" si="4">
        <n x="509"/>
        <n x="79"/>
        <n x="479"/>
      </t>
    </mdx>
    <mdx n="508" f="v">
      <t c="3" si="4">
        <n x="509"/>
        <n x="79"/>
        <n x="480"/>
      </t>
    </mdx>
    <mdx n="508" f="v">
      <t c="3" si="4">
        <n x="509"/>
        <n x="61"/>
        <n x="481"/>
      </t>
    </mdx>
    <mdx n="508" f="v">
      <t c="3" si="4">
        <n x="509"/>
        <n x="32"/>
        <n x="482"/>
      </t>
    </mdx>
    <mdx n="508" f="v">
      <t c="3" si="4">
        <n x="509"/>
        <n x="162"/>
        <n x="483"/>
      </t>
    </mdx>
    <mdx n="508" f="v">
      <t c="3" si="4">
        <n x="509"/>
        <n x="86"/>
        <n x="484"/>
      </t>
    </mdx>
    <mdx n="508" f="v">
      <t c="3" si="4">
        <n x="509"/>
        <n x="269"/>
        <n x="485"/>
      </t>
    </mdx>
    <mdx n="508" f="v">
      <t c="3" si="4">
        <n x="509"/>
        <n x="392"/>
        <n x="486"/>
      </t>
    </mdx>
    <mdx n="508" f="v">
      <t c="3" si="4">
        <n x="509"/>
        <n x="297"/>
        <n x="487"/>
      </t>
    </mdx>
    <mdx n="508" f="v">
      <t c="3" si="4">
        <n x="509"/>
        <n x="90"/>
        <n x="488"/>
      </t>
    </mdx>
    <mdx n="508" f="v">
      <t c="3" si="4">
        <n x="509"/>
        <n x="383"/>
        <n x="481"/>
      </t>
    </mdx>
    <mdx n="508" f="v">
      <t c="3" si="4">
        <n x="509"/>
        <n x="201"/>
        <n x="482"/>
      </t>
    </mdx>
    <mdx n="508" f="v">
      <t c="3" si="4">
        <n x="509"/>
        <n x="459"/>
        <n x="484"/>
      </t>
    </mdx>
    <mdx n="508" f="v">
      <t c="3" si="4">
        <n x="509"/>
        <n x="295"/>
        <n x="485"/>
      </t>
    </mdx>
    <mdx n="508" f="v">
      <t c="3" si="4">
        <n x="509"/>
        <n x="11"/>
        <n x="486"/>
      </t>
    </mdx>
    <mdx n="508" f="v">
      <t c="3" si="4">
        <n x="509"/>
        <n x="91"/>
        <n x="487"/>
      </t>
    </mdx>
    <mdx n="508" f="v">
      <t c="3" si="4">
        <n x="509"/>
        <n x="55"/>
        <n x="488"/>
      </t>
    </mdx>
    <mdx n="508" f="v">
      <t c="3" si="4">
        <n x="509"/>
        <n x="116"/>
        <n x="482"/>
      </t>
    </mdx>
    <mdx n="508" f="v">
      <t c="3" si="4">
        <n x="509"/>
        <n x="87"/>
        <n x="483"/>
      </t>
    </mdx>
    <mdx n="508" f="v">
      <t c="3" si="4">
        <n x="509"/>
        <n x="282"/>
        <n x="484"/>
      </t>
    </mdx>
    <mdx n="508" f="v">
      <t c="3" si="4">
        <n x="509"/>
        <n x="52"/>
        <n x="485"/>
      </t>
    </mdx>
    <mdx n="508" f="v">
      <t c="3" si="4">
        <n x="509"/>
        <n x="130"/>
        <n x="486"/>
      </t>
    </mdx>
    <mdx n="508" f="v">
      <t c="3" si="4">
        <n x="509"/>
        <n x="223"/>
        <n x="487"/>
      </t>
    </mdx>
    <mdx n="508" f="v">
      <t c="3" si="4">
        <n x="509"/>
        <n x="346"/>
        <n x="471"/>
      </t>
    </mdx>
    <mdx n="508" f="v">
      <t c="3" si="4">
        <n x="509"/>
        <n x="143"/>
        <n x="482"/>
      </t>
    </mdx>
    <mdx n="508" f="v">
      <t c="3" si="4">
        <n x="509"/>
        <n x="237"/>
        <n x="483"/>
      </t>
    </mdx>
    <mdx n="508" f="v">
      <t c="3" si="4">
        <n x="509"/>
        <n x="26"/>
        <n x="484"/>
      </t>
    </mdx>
    <mdx n="508" f="v">
      <t c="3" si="4">
        <n x="509"/>
        <n x="95"/>
        <n x="485"/>
      </t>
    </mdx>
    <mdx n="508" f="v">
      <t c="3" si="4">
        <n x="509"/>
        <n x="121"/>
        <n x="486"/>
      </t>
    </mdx>
    <mdx n="508" f="v">
      <t c="3" si="4">
        <n x="509"/>
        <n x="372"/>
        <n x="488"/>
      </t>
    </mdx>
    <mdx n="508" f="v">
      <t c="3" si="4">
        <n x="509"/>
        <n x="22"/>
        <n x="489"/>
      </t>
    </mdx>
    <mdx n="508" f="v">
      <t c="3" si="4">
        <n x="509"/>
        <n x="405"/>
        <n x="471"/>
      </t>
    </mdx>
    <mdx n="508" f="v">
      <t c="3" si="4">
        <n x="509"/>
        <n x="220"/>
        <n x="482"/>
      </t>
    </mdx>
    <mdx n="508" f="v">
      <t c="3" si="4">
        <n x="509"/>
        <n x="218"/>
        <n x="483"/>
      </t>
    </mdx>
    <mdx n="508" f="v">
      <t c="3" si="4">
        <n x="509"/>
        <n x="389"/>
        <n x="484"/>
      </t>
    </mdx>
    <mdx n="508" f="v">
      <t c="3" si="4">
        <n x="509"/>
        <n x="53"/>
        <n x="485"/>
      </t>
    </mdx>
    <mdx n="508" f="v">
      <t c="3" si="4">
        <n x="509"/>
        <n x="12"/>
        <n x="486"/>
      </t>
    </mdx>
    <mdx n="508" f="v">
      <t c="3" si="4">
        <n x="509"/>
        <n x="187"/>
        <n x="488"/>
      </t>
    </mdx>
    <mdx n="508" f="v">
      <t c="3" si="4">
        <n x="509"/>
        <n x="377"/>
        <n x="489"/>
      </t>
    </mdx>
    <mdx n="508" f="v">
      <t c="3" si="4">
        <n x="509"/>
        <n x="379"/>
        <n x="481"/>
      </t>
    </mdx>
    <mdx n="508" f="v">
      <t c="3" si="4">
        <n x="509"/>
        <n x="210"/>
        <n x="483"/>
      </t>
    </mdx>
    <mdx n="508" f="v">
      <t c="3" si="4">
        <n x="509"/>
        <n x="138"/>
        <n x="484"/>
      </t>
    </mdx>
    <mdx n="508" f="v">
      <t c="3" si="4">
        <n x="509"/>
        <n x="257"/>
        <n x="485"/>
      </t>
    </mdx>
    <mdx n="508" f="v">
      <t c="3" si="4">
        <n x="509"/>
        <n x="20"/>
        <n x="486"/>
      </t>
    </mdx>
    <mdx n="508" f="v">
      <t c="3" si="4">
        <n x="509"/>
        <n x="361"/>
        <n x="487"/>
      </t>
    </mdx>
    <mdx n="508" f="v">
      <t c="3" si="4">
        <n x="509"/>
        <n x="202"/>
        <n x="488"/>
      </t>
    </mdx>
    <mdx n="508" f="v">
      <t c="3" si="4">
        <n x="509"/>
        <n x="126"/>
        <n x="471"/>
      </t>
    </mdx>
    <mdx n="508" f="v">
      <t c="3" si="4">
        <n x="509"/>
        <n x="311"/>
        <n x="482"/>
      </t>
    </mdx>
    <mdx n="508" f="v">
      <t c="3" si="4">
        <n x="509"/>
        <n x="380"/>
        <n x="483"/>
      </t>
    </mdx>
    <mdx n="508" f="v">
      <t c="3" si="4">
        <n x="509"/>
        <n x="108"/>
        <n x="484"/>
      </t>
    </mdx>
    <mdx n="508" f="v">
      <t c="3" si="4">
        <n x="509"/>
        <n x="39"/>
        <n x="485"/>
      </t>
    </mdx>
    <mdx n="508" f="v">
      <t c="3" si="4">
        <n x="509"/>
        <n x="310"/>
        <n x="486"/>
      </t>
    </mdx>
    <mdx n="508" f="v">
      <t c="3" si="4">
        <n x="509"/>
        <n x="431"/>
        <n x="476"/>
      </t>
    </mdx>
    <mdx n="508" f="v">
      <t c="3" si="4">
        <n x="509"/>
        <n x="460"/>
        <n x="476"/>
      </t>
    </mdx>
    <mdx n="508" f="v">
      <t c="3" si="4">
        <n x="509"/>
        <n x="346"/>
        <n x="476"/>
      </t>
    </mdx>
    <mdx n="508" f="v">
      <t c="3" si="4">
        <n x="509"/>
        <n x="349"/>
        <n x="476"/>
      </t>
    </mdx>
    <mdx n="508" f="v">
      <t c="3" si="4">
        <n x="509"/>
        <n x="310"/>
        <n x="471"/>
      </t>
    </mdx>
    <mdx n="508" f="v">
      <t c="3" si="4">
        <n x="509"/>
        <n x="58"/>
        <n x="479"/>
      </t>
    </mdx>
    <mdx n="508" f="v">
      <t c="3" si="4">
        <n x="509"/>
        <n x="47"/>
        <n x="481"/>
      </t>
    </mdx>
    <mdx n="508" f="v">
      <t c="3" si="4">
        <n x="509"/>
        <n x="276"/>
        <n x="479"/>
      </t>
    </mdx>
    <mdx n="508" f="v">
      <t c="3" si="4">
        <n x="509"/>
        <n x="204"/>
        <n x="481"/>
      </t>
    </mdx>
    <mdx n="508" f="v">
      <t c="3" si="4">
        <n x="509"/>
        <n x="155"/>
        <n x="476"/>
      </t>
    </mdx>
    <mdx n="508" f="v">
      <t c="3" si="4">
        <n x="509"/>
        <n x="109"/>
        <n x="471"/>
      </t>
    </mdx>
    <mdx n="508" f="v">
      <t c="3" si="4">
        <n x="509"/>
        <n x="188"/>
        <n x="479"/>
      </t>
    </mdx>
    <mdx n="508" f="v">
      <t c="3" si="4">
        <n x="509"/>
        <n x="187"/>
        <n x="481"/>
      </t>
    </mdx>
    <mdx n="508" f="v">
      <t c="3" si="4">
        <n x="509"/>
        <n x="125"/>
        <n x="480"/>
      </t>
    </mdx>
    <mdx n="508" f="v">
      <t c="3" si="4">
        <n x="509"/>
        <n x="447"/>
        <n x="482"/>
      </t>
    </mdx>
    <mdx n="508" f="v">
      <t c="3" si="4">
        <n x="509"/>
        <n x="277"/>
        <n x="483"/>
      </t>
    </mdx>
    <mdx n="508" f="v">
      <t c="3" si="4">
        <n x="509"/>
        <n x="111"/>
        <n x="484"/>
      </t>
    </mdx>
    <mdx n="508" f="v">
      <t c="3" si="4">
        <n x="509"/>
        <n x="259"/>
        <n x="486"/>
      </t>
    </mdx>
    <mdx n="508" f="v">
      <t c="3" si="4">
        <n x="509"/>
        <n x="14"/>
        <n x="487"/>
      </t>
    </mdx>
    <mdx n="508" f="v">
      <t c="3" si="4">
        <n x="509"/>
        <n x="166"/>
        <n x="488"/>
      </t>
    </mdx>
    <mdx n="508" f="v">
      <t c="3" si="4">
        <n x="509"/>
        <n x="282"/>
        <n x="489"/>
      </t>
    </mdx>
    <mdx n="508" f="v">
      <t c="3" si="4">
        <n x="509"/>
        <n x="284"/>
        <n x="482"/>
      </t>
    </mdx>
    <mdx n="508" f="v">
      <t c="3" si="4">
        <n x="509"/>
        <n x="129"/>
        <n x="483"/>
      </t>
    </mdx>
    <mdx n="508" f="v">
      <t c="3" si="4">
        <n x="509"/>
        <n x="141"/>
        <n x="484"/>
      </t>
    </mdx>
    <mdx n="508" f="v">
      <t c="3" si="4">
        <n x="509"/>
        <n x="237"/>
        <n x="485"/>
      </t>
    </mdx>
    <mdx n="508" f="v">
      <t c="3" si="4">
        <n x="509"/>
        <n x="199"/>
        <n x="486"/>
      </t>
    </mdx>
    <mdx n="508" f="v">
      <t c="3" si="4">
        <n x="509"/>
        <n x="59"/>
        <n x="487"/>
      </t>
    </mdx>
    <mdx n="508" f="v">
      <t c="3" si="4">
        <n x="509"/>
        <n x="43"/>
        <n x="479"/>
      </t>
    </mdx>
    <mdx n="508" f="v">
      <t c="3" si="4">
        <n x="509"/>
        <n x="313"/>
        <n x="482"/>
      </t>
    </mdx>
    <mdx n="508" f="v">
      <t c="3" si="4">
        <n x="509"/>
        <n x="77"/>
        <n x="483"/>
      </t>
    </mdx>
    <mdx n="508" f="v">
      <t c="3" si="4">
        <n x="509"/>
        <n x="223"/>
        <n x="484"/>
      </t>
    </mdx>
    <mdx n="508" f="v">
      <t c="3" si="4">
        <n x="509"/>
        <n x="310"/>
        <n x="485"/>
      </t>
    </mdx>
    <mdx n="508" f="v">
      <t c="3" si="4">
        <n x="509"/>
        <n x="295"/>
        <n x="487"/>
      </t>
    </mdx>
    <mdx n="508" f="v">
      <t c="3" si="4">
        <n x="509"/>
        <n x="265"/>
        <n x="488"/>
      </t>
    </mdx>
    <mdx n="508" f="v">
      <t c="3" si="4">
        <n x="509"/>
        <n x="9"/>
        <n x="481"/>
      </t>
    </mdx>
    <mdx n="508" f="v">
      <t c="3" si="4">
        <n x="509"/>
        <n x="451"/>
        <n x="482"/>
      </t>
    </mdx>
    <mdx n="508" f="v">
      <t c="3" si="4">
        <n x="509"/>
        <n x="286"/>
        <n x="484"/>
      </t>
    </mdx>
    <mdx n="508" f="v">
      <t c="3" si="4">
        <n x="509"/>
        <n x="369"/>
        <n x="485"/>
      </t>
    </mdx>
    <mdx n="508" f="v">
      <t c="3" si="4">
        <n x="509"/>
        <n x="8"/>
        <n x="486"/>
      </t>
    </mdx>
    <mdx n="508" f="v">
      <t c="3" si="4">
        <n x="509"/>
        <n x="373"/>
        <n x="487"/>
      </t>
    </mdx>
    <mdx n="508" f="v">
      <t c="3" si="4">
        <n x="509"/>
        <n x="367"/>
        <n x="488"/>
      </t>
    </mdx>
    <mdx n="508" f="v">
      <t c="3" si="4">
        <n x="509"/>
        <n x="52"/>
        <n x="489"/>
      </t>
    </mdx>
    <mdx n="508" f="v">
      <t c="3" si="4">
        <n x="509"/>
        <n x="425"/>
        <n x="481"/>
      </t>
    </mdx>
    <mdx n="508" f="v">
      <t c="3" si="4">
        <n x="509"/>
        <n x="152"/>
        <n x="482"/>
      </t>
    </mdx>
    <mdx n="508" f="v">
      <t c="3" si="4">
        <n x="509"/>
        <n x="440"/>
        <n x="484"/>
      </t>
    </mdx>
    <mdx n="508" f="v">
      <t c="3" si="4">
        <n x="509"/>
        <n x="59"/>
        <n x="485"/>
      </t>
    </mdx>
    <mdx n="508" f="v">
      <t c="3" si="4">
        <n x="509"/>
        <n x="350"/>
        <n x="486"/>
      </t>
    </mdx>
    <mdx n="508" f="v">
      <t c="3" si="4">
        <n x="509"/>
        <n x="37"/>
        <n x="487"/>
      </t>
    </mdx>
    <mdx n="508" f="v">
      <t c="3" si="4">
        <n x="509"/>
        <n x="291"/>
        <n x="488"/>
      </t>
    </mdx>
    <mdx n="508" f="v">
      <t c="3" si="4">
        <n x="509"/>
        <n x="40"/>
        <n x="489"/>
      </t>
    </mdx>
    <mdx n="508" f="v">
      <t c="3" si="4">
        <n x="509"/>
        <n x="355"/>
        <n x="482"/>
      </t>
    </mdx>
    <mdx n="508" f="v">
      <t c="3" si="4">
        <n x="509"/>
        <n x="345"/>
        <n x="483"/>
      </t>
    </mdx>
    <mdx n="508" f="v">
      <t c="3" si="4">
        <n x="509"/>
        <n x="290"/>
        <n x="484"/>
      </t>
    </mdx>
    <mdx n="508" f="v">
      <t c="3" si="4">
        <n x="509"/>
        <n x="71"/>
        <n x="485"/>
      </t>
    </mdx>
    <mdx n="508" f="v">
      <t c="3" si="4">
        <n x="509"/>
        <n x="320"/>
        <n x="486"/>
      </t>
    </mdx>
    <mdx n="508" f="v">
      <t c="3" si="4">
        <n x="509"/>
        <n x="287"/>
        <n x="487"/>
      </t>
    </mdx>
    <mdx n="508" f="v">
      <t c="3" si="4">
        <n x="509"/>
        <n x="210"/>
        <n x="489"/>
      </t>
    </mdx>
    <mdx n="508" f="v">
      <t c="3" si="4">
        <n x="509"/>
        <n x="148"/>
        <n x="481"/>
      </t>
    </mdx>
    <mdx n="508" f="v">
      <t c="3" si="4">
        <n x="509"/>
        <n x="253"/>
        <n x="482"/>
      </t>
    </mdx>
    <mdx n="508" f="v">
      <t c="3" si="4">
        <n x="509"/>
        <n x="437"/>
        <n x="484"/>
      </t>
    </mdx>
    <mdx n="508" f="v">
      <t c="3" si="4">
        <n x="509"/>
        <n x="55"/>
        <n x="485"/>
      </t>
    </mdx>
    <mdx n="508" f="v">
      <t c="3" si="4">
        <n x="509"/>
        <n x="413"/>
        <n x="466"/>
      </t>
    </mdx>
    <mdx n="508" f="v">
      <t c="3" si="4">
        <n x="509"/>
        <n x="9"/>
        <n x="478"/>
      </t>
    </mdx>
    <mdx n="508" f="v">
      <t c="3" si="4">
        <n x="509"/>
        <n x="419"/>
        <n x="481"/>
      </t>
    </mdx>
    <mdx n="508" f="v">
      <t c="3" si="4">
        <n x="509"/>
        <n x="23"/>
        <n x="481"/>
      </t>
    </mdx>
    <mdx n="508" f="v">
      <t c="3" si="4">
        <n x="509"/>
        <n x="222"/>
        <n x="480"/>
      </t>
    </mdx>
    <mdx n="508" f="v">
      <t c="3" si="4">
        <n x="509"/>
        <n x="450"/>
        <n x="479"/>
      </t>
    </mdx>
    <mdx n="508" f="v">
      <t c="3" si="4">
        <n x="509"/>
        <n x="266"/>
        <n x="480"/>
      </t>
    </mdx>
    <mdx n="508" f="v">
      <t c="3" si="4">
        <n x="509"/>
        <n x="328"/>
        <n x="481"/>
      </t>
    </mdx>
    <mdx n="508" f="v">
      <t c="3" si="4">
        <n x="509"/>
        <n x="140"/>
        <n x="471"/>
      </t>
    </mdx>
    <mdx n="508" f="v">
      <t c="3" si="4">
        <n x="509"/>
        <n x="207"/>
        <n x="479"/>
      </t>
    </mdx>
    <mdx n="508" f="v">
      <t c="3" si="4">
        <n x="509"/>
        <n x="34"/>
        <n x="480"/>
      </t>
    </mdx>
    <mdx n="508" f="v">
      <t c="3" si="4">
        <n x="509"/>
        <n x="61"/>
        <n x="471"/>
      </t>
    </mdx>
    <mdx n="508" f="v">
      <t c="3" si="4">
        <n x="509"/>
        <n x="283"/>
        <n x="482"/>
      </t>
    </mdx>
    <mdx n="508" f="v">
      <t c="3" si="4">
        <n x="509"/>
        <n x="342"/>
        <n x="483"/>
      </t>
    </mdx>
    <mdx n="508" f="v">
      <t c="3" si="4">
        <n x="509"/>
        <n x="153"/>
        <n x="484"/>
      </t>
    </mdx>
    <mdx n="508" f="v">
      <t c="3" si="4">
        <n x="509"/>
        <n x="395"/>
        <n x="485"/>
      </t>
    </mdx>
    <mdx n="508" f="v">
      <t c="3" si="4">
        <n x="509"/>
        <n x="159"/>
        <n x="486"/>
      </t>
    </mdx>
    <mdx n="508" f="v">
      <t c="3" si="4">
        <n x="509"/>
        <n x="432"/>
        <n x="488"/>
      </t>
    </mdx>
    <mdx n="508" f="v">
      <t c="3" si="4">
        <n x="509"/>
        <n x="33"/>
        <n x="489"/>
      </t>
    </mdx>
    <mdx n="508" f="v">
      <t c="3" si="4">
        <n x="509"/>
        <n x="71"/>
        <n x="482"/>
      </t>
    </mdx>
    <mdx n="508" f="v">
      <t c="3" si="4">
        <n x="509"/>
        <n x="134"/>
        <n x="483"/>
      </t>
    </mdx>
    <mdx n="508" f="v">
      <t c="3" si="4">
        <n x="509"/>
        <n x="245"/>
        <n x="484"/>
      </t>
    </mdx>
    <mdx n="508" f="v">
      <t c="3" si="4">
        <n x="509"/>
        <n x="99"/>
        <n x="485"/>
      </t>
    </mdx>
    <mdx n="508" f="v">
      <t c="3" si="4">
        <n x="509"/>
        <n x="335"/>
        <n x="486"/>
      </t>
    </mdx>
    <mdx n="508" f="v">
      <t c="3" si="4">
        <n x="509"/>
        <n x="28"/>
        <n x="487"/>
      </t>
    </mdx>
    <mdx n="508" f="v">
      <t c="3" si="4">
        <n x="509"/>
        <n x="116"/>
        <n x="466"/>
      </t>
    </mdx>
    <mdx n="508" f="v">
      <t c="3" si="4">
        <n x="509"/>
        <n x="339"/>
        <n x="482"/>
      </t>
    </mdx>
    <mdx n="508" f="v">
      <t c="3" si="4">
        <n x="509"/>
        <n x="79"/>
        <n x="483"/>
      </t>
    </mdx>
    <mdx n="508" f="v">
      <t c="3" si="4">
        <n x="509"/>
        <n x="399"/>
        <n x="484"/>
      </t>
    </mdx>
    <mdx n="508" f="v">
      <t c="3" si="4">
        <n x="509"/>
        <n x="261"/>
        <n x="485"/>
      </t>
    </mdx>
    <mdx n="508" f="v">
      <t c="3" si="4">
        <n x="509"/>
        <n x="122"/>
        <n x="486"/>
      </t>
    </mdx>
    <mdx n="508" f="v">
      <t c="3" si="4">
        <n x="509"/>
        <n x="331"/>
        <n x="487"/>
      </t>
    </mdx>
    <mdx n="508" f="v">
      <t c="3" si="4">
        <n x="509"/>
        <n x="319"/>
        <n x="479"/>
      </t>
    </mdx>
    <mdx n="508" f="v">
      <t c="3" si="4">
        <n x="509"/>
        <n x="341"/>
        <n x="482"/>
      </t>
    </mdx>
    <mdx n="508" f="v">
      <t c="3" si="4">
        <n x="509"/>
        <n x="247"/>
        <n x="483"/>
      </t>
    </mdx>
    <mdx n="508" f="v">
      <t c="3" si="4">
        <n x="509"/>
        <n x="204"/>
        <n x="484"/>
      </t>
    </mdx>
    <mdx n="508" f="v">
      <t c="3" si="4">
        <n x="509"/>
        <n x="195"/>
        <n x="486"/>
      </t>
    </mdx>
    <mdx n="508" f="v">
      <t c="3" si="4">
        <n x="509"/>
        <n x="385"/>
        <n x="487"/>
      </t>
    </mdx>
    <mdx n="508" f="v">
      <t c="3" si="4">
        <n x="509"/>
        <n x="24"/>
        <n x="488"/>
      </t>
    </mdx>
    <mdx n="508" f="v">
      <t c="3" si="4">
        <n x="509"/>
        <n x="456"/>
        <n x="489"/>
      </t>
    </mdx>
    <mdx n="508" f="v">
      <t c="3" si="4">
        <n x="509"/>
        <n x="352"/>
        <n x="480"/>
      </t>
    </mdx>
    <mdx n="508" f="v">
      <t c="3" si="4">
        <n x="509"/>
        <n x="237"/>
        <n x="482"/>
      </t>
    </mdx>
    <mdx n="508" f="v">
      <t c="3" si="4">
        <n x="509"/>
        <n x="112"/>
        <n x="483"/>
      </t>
    </mdx>
    <mdx n="508" f="v">
      <t c="3" si="4">
        <n x="509"/>
        <n x="169"/>
        <n x="484"/>
      </t>
    </mdx>
    <mdx n="508" f="v">
      <t c="3" si="4">
        <n x="509"/>
        <n x="404"/>
        <n x="486"/>
      </t>
    </mdx>
    <mdx n="508" f="v">
      <t c="3" si="4">
        <n x="509"/>
        <n x="345"/>
        <n x="487"/>
      </t>
    </mdx>
    <mdx n="508" f="v">
      <t c="3" si="4">
        <n x="509"/>
        <n x="321"/>
        <n x="488"/>
      </t>
    </mdx>
    <mdx n="508" f="v">
      <t c="3" si="4">
        <n x="509"/>
        <n x="448"/>
        <n x="489"/>
      </t>
    </mdx>
    <mdx n="508" f="v">
      <t c="3" si="4">
        <n x="509"/>
        <n x="287"/>
        <n x="482"/>
      </t>
    </mdx>
    <mdx n="508" f="v">
      <t c="3" si="4">
        <n x="509"/>
        <n x="350"/>
        <n x="483"/>
      </t>
    </mdx>
    <mdx n="508" f="v">
      <t c="3" si="4">
        <n x="509"/>
        <n x="206"/>
        <n x="484"/>
      </t>
    </mdx>
    <mdx n="508" f="v">
      <t c="3" si="4">
        <n x="509"/>
        <n x="192"/>
        <n x="485"/>
      </t>
    </mdx>
    <mdx n="508" f="v">
      <t c="3" si="4">
        <n x="509"/>
        <n x="265"/>
        <n x="486"/>
      </t>
    </mdx>
    <mdx n="508" f="v">
      <t c="3" si="4">
        <n x="509"/>
        <n x="284"/>
        <n x="487"/>
      </t>
    </mdx>
    <mdx n="508" f="v">
      <t c="3" si="4">
        <n x="509"/>
        <n x="248"/>
        <n x="488"/>
      </t>
    </mdx>
    <mdx n="508" f="v">
      <t c="3" si="4">
        <n x="509"/>
        <n x="159"/>
        <n x="480"/>
      </t>
    </mdx>
    <mdx n="508" f="v">
      <t c="3" si="4">
        <n x="509"/>
        <n x="230"/>
        <n x="482"/>
      </t>
    </mdx>
    <mdx n="508" f="v">
      <t c="3" si="4">
        <n x="509"/>
        <n x="104"/>
        <n x="483"/>
      </t>
    </mdx>
    <mdx n="508" f="v">
      <t c="3" si="4">
        <n x="509"/>
        <n x="420"/>
        <n x="484"/>
      </t>
    </mdx>
    <mdx n="508" f="v">
      <t c="3" si="4">
        <n x="509"/>
        <n x="395"/>
        <n x="486"/>
      </t>
    </mdx>
    <mdx n="508" f="v">
      <t c="3" si="4">
        <n x="509"/>
        <n x="412"/>
        <n x="487"/>
      </t>
    </mdx>
    <mdx n="508" f="v">
      <t c="3" si="4">
        <n x="509"/>
        <n x="367"/>
        <n x="1"/>
      </t>
    </mdx>
    <mdx n="508" f="v">
      <t c="3" si="4">
        <n x="509"/>
        <n x="412"/>
        <n x="468"/>
      </t>
    </mdx>
    <mdx n="508" f="v">
      <t c="3" si="4">
        <n x="509"/>
        <n x="420"/>
        <n x="468"/>
      </t>
    </mdx>
    <mdx n="508" f="v">
      <t c="3" si="4">
        <n x="509"/>
        <n x="50"/>
        <n x="468"/>
      </t>
    </mdx>
    <mdx n="508" f="v">
      <t c="3" si="4">
        <n x="509"/>
        <n x="427"/>
        <n x="468"/>
      </t>
    </mdx>
    <mdx n="508" f="v">
      <t c="3" si="4">
        <n x="509"/>
        <n x="60"/>
        <n x="478"/>
      </t>
    </mdx>
    <mdx n="508" f="v">
      <t c="3" si="4">
        <n x="509"/>
        <n x="65"/>
        <n x="471"/>
      </t>
    </mdx>
    <mdx n="508" f="v">
      <t c="3" si="4">
        <n x="509"/>
        <n x="26"/>
        <n x="480"/>
      </t>
    </mdx>
    <mdx n="508" f="v">
      <t c="3" si="4">
        <n x="509"/>
        <n x="166"/>
        <n x="479"/>
      </t>
    </mdx>
    <mdx n="508" f="v">
      <t c="3" si="4">
        <n x="509"/>
        <n x="379"/>
        <n x="480"/>
      </t>
    </mdx>
    <mdx n="508" f="v">
      <t c="3" si="4">
        <n x="509"/>
        <n x="10"/>
        <n x="468"/>
      </t>
    </mdx>
    <mdx n="508" f="v">
      <t c="3" si="4">
        <n x="509"/>
        <n x="326"/>
        <n x="471"/>
      </t>
    </mdx>
    <mdx n="508" f="v">
      <t c="3" si="4">
        <n x="509"/>
        <n x="216"/>
        <n x="479"/>
      </t>
    </mdx>
    <mdx n="508" f="v">
      <t c="3" si="4">
        <n x="509"/>
        <n x="199"/>
        <n x="480"/>
      </t>
    </mdx>
    <mdx n="508" f="v">
      <t c="3" si="4">
        <n x="509"/>
        <n x="290"/>
        <n x="479"/>
      </t>
    </mdx>
    <mdx n="508" f="v">
      <t c="3" si="4">
        <n x="509"/>
        <n x="102"/>
        <n x="482"/>
      </t>
    </mdx>
    <mdx n="508" f="v">
      <t c="3" si="4">
        <n x="509"/>
        <n x="308"/>
        <n x="483"/>
      </t>
    </mdx>
    <mdx n="508" f="v">
      <t c="3" si="4">
        <n x="509"/>
        <n x="388"/>
        <n x="484"/>
      </t>
    </mdx>
    <mdx n="508" f="v">
      <t c="3" si="4">
        <n x="509"/>
        <n x="12"/>
        <n x="485"/>
      </t>
    </mdx>
    <mdx n="508" f="v">
      <t c="3" si="4">
        <n x="509"/>
        <n x="222"/>
        <n x="487"/>
      </t>
    </mdx>
    <mdx n="508" f="v">
      <t c="3" si="4">
        <n x="509"/>
        <n x="267"/>
        <n x="488"/>
      </t>
    </mdx>
    <mdx n="508" f="v">
      <t c="3" si="4">
        <n x="509"/>
        <n x="184"/>
        <n x="489"/>
      </t>
    </mdx>
    <mdx n="508" f="v">
      <t c="3" si="4">
        <n x="509"/>
        <n x="434"/>
        <n x="482"/>
      </t>
    </mdx>
    <mdx n="508" f="v">
      <t c="3" si="4">
        <n x="509"/>
        <n x="281"/>
        <n x="483"/>
      </t>
    </mdx>
    <mdx n="508" f="v">
      <t c="3" si="4">
        <n x="509"/>
        <n x="359"/>
        <n x="484"/>
      </t>
    </mdx>
    <mdx n="508" f="v">
      <t c="3" si="4">
        <n x="509"/>
        <n x="86"/>
        <n x="485"/>
      </t>
    </mdx>
    <mdx n="508" f="v">
      <t c="3" si="4">
        <n x="509"/>
        <n x="62"/>
        <n x="486"/>
      </t>
    </mdx>
    <mdx n="508" f="v">
      <t c="3" si="4">
        <n x="509"/>
        <n x="163"/>
        <n x="487"/>
      </t>
    </mdx>
    <mdx n="508" f="v">
      <t c="3" si="4">
        <n x="509"/>
        <n x="324"/>
        <n x="471"/>
      </t>
    </mdx>
    <mdx n="508" f="v">
      <t c="3" si="4">
        <n x="509"/>
        <n x="463"/>
        <n x="482"/>
      </t>
    </mdx>
    <mdx n="508" f="v">
      <t c="3" si="4">
        <n x="509"/>
        <n x="85"/>
        <n x="483"/>
      </t>
    </mdx>
    <mdx n="508" f="v">
      <t c="3" si="4">
        <n x="509"/>
        <n x="10"/>
        <n x="484"/>
      </t>
    </mdx>
    <mdx n="508" f="v">
      <t c="3" si="4">
        <n x="509"/>
        <n x="201"/>
        <n x="485"/>
      </t>
    </mdx>
    <mdx n="508" f="v">
      <t c="3" si="4">
        <n x="509"/>
        <n x="80"/>
        <n x="486"/>
      </t>
    </mdx>
    <mdx n="508" f="v">
      <t c="3" si="4">
        <n x="509"/>
        <n x="437"/>
        <n x="488"/>
      </t>
    </mdx>
    <mdx n="508" f="v">
      <t c="3" si="4">
        <n x="509"/>
        <n x="286"/>
        <n x="481"/>
      </t>
    </mdx>
    <mdx n="508" f="v">
      <t c="3" si="4">
        <n x="509"/>
        <n x="195"/>
        <n x="482"/>
      </t>
    </mdx>
    <mdx n="508" f="v">
      <t c="3" si="4">
        <n x="509"/>
        <n x="403"/>
        <n x="483"/>
      </t>
    </mdx>
    <mdx n="508" f="v">
      <t c="3" si="4">
        <n x="509"/>
        <n x="158"/>
        <n x="485"/>
      </t>
    </mdx>
    <mdx n="508" f="v">
      <t c="3" si="4">
        <n x="509"/>
        <n x="235"/>
        <n x="486"/>
      </t>
    </mdx>
    <mdx n="508" f="v">
      <t c="3" si="4">
        <n x="509"/>
        <n x="198"/>
        <n x="487"/>
      </t>
    </mdx>
    <mdx n="508" f="v">
      <t c="3" si="4">
        <n x="509"/>
        <n x="431"/>
        <n x="488"/>
      </t>
    </mdx>
    <mdx n="508" f="v">
      <t c="3" si="4">
        <n x="509"/>
        <n x="283"/>
        <n x="489"/>
      </t>
    </mdx>
    <mdx n="508" f="v">
      <t c="3" si="4">
        <n x="509"/>
        <n x="88"/>
        <n x="481"/>
      </t>
    </mdx>
    <mdx n="508" f="v">
      <t c="3" si="4">
        <n x="509"/>
        <n x="404"/>
        <n x="482"/>
      </t>
    </mdx>
    <mdx n="508" f="v">
      <t c="3" si="4">
        <n x="509"/>
        <n x="111"/>
        <n x="483"/>
      </t>
    </mdx>
    <mdx n="508" f="v">
      <t c="3" si="4">
        <n x="509"/>
        <n x="30"/>
        <n x="485"/>
      </t>
    </mdx>
    <mdx n="508" f="v">
      <t c="3" si="4">
        <n x="509"/>
        <n x="318"/>
        <n x="486"/>
      </t>
    </mdx>
    <mdx n="508" f="v">
      <t c="3" si="4">
        <n x="509"/>
        <n x="52"/>
        <n x="487"/>
      </t>
    </mdx>
    <mdx n="508" f="v">
      <t c="3" si="4">
        <n x="509"/>
        <n x="358"/>
        <n x="488"/>
      </t>
    </mdx>
    <mdx n="508" f="v">
      <t c="3" si="4">
        <n x="509"/>
        <n x="25"/>
        <n x="489"/>
      </t>
    </mdx>
    <mdx n="508" f="v">
      <t c="3" si="4">
        <n x="509"/>
        <n x="222"/>
        <n x="482"/>
      </t>
    </mdx>
    <mdx n="508" f="v">
      <t c="3" si="4">
        <n x="509"/>
        <n x="75"/>
        <n x="483"/>
      </t>
    </mdx>
    <mdx n="508" f="v">
      <t c="3" si="4">
        <n x="509"/>
        <n x="360"/>
        <n x="484"/>
      </t>
    </mdx>
    <mdx n="508" f="v">
      <t c="3" si="4">
        <n x="509"/>
        <n x="433"/>
        <n x="485"/>
      </t>
    </mdx>
    <mdx n="508" f="v">
      <t c="3" si="4">
        <n x="509"/>
        <n x="237"/>
        <n x="486"/>
      </t>
    </mdx>
    <mdx n="508" f="v">
      <t c="3" si="4">
        <n x="509"/>
        <n x="13"/>
        <n x="487"/>
      </t>
    </mdx>
    <mdx n="508" f="v">
      <t c="3" si="4">
        <n x="509"/>
        <n x="460"/>
        <n x="488"/>
      </t>
    </mdx>
    <mdx n="508" f="v">
      <t c="3" si="4">
        <n x="509"/>
        <n x="46"/>
        <n x="481"/>
      </t>
    </mdx>
    <mdx n="508" f="v">
      <t c="3" si="4">
        <n x="509"/>
        <n x="228"/>
        <n x="482"/>
      </t>
    </mdx>
    <mdx n="508" f="v">
      <t c="3" si="4">
        <n x="509"/>
        <n x="433"/>
        <n x="488"/>
      </t>
    </mdx>
    <mdx n="508" f="v">
      <t c="3" si="4">
        <n x="509"/>
        <n x="195"/>
        <n x="484"/>
      </t>
    </mdx>
    <mdx n="508" f="v">
      <t c="3" si="4">
        <n x="509"/>
        <n x="63"/>
        <n x="468"/>
      </t>
    </mdx>
    <mdx n="508" f="v">
      <t c="3" si="4">
        <n x="509"/>
        <n x="83"/>
        <n x="481"/>
      </t>
    </mdx>
    <mdx n="508" f="v">
      <t c="3" si="4">
        <n x="509"/>
        <n x="36"/>
        <n x="480"/>
      </t>
    </mdx>
    <mdx n="508" f="v">
      <t c="3" si="4">
        <n x="509"/>
        <n x="251"/>
        <n x="471"/>
      </t>
    </mdx>
    <mdx n="508" f="v">
      <t c="3" si="4">
        <n x="509"/>
        <n x="329"/>
        <n x="480"/>
      </t>
    </mdx>
    <mdx n="508" f="v">
      <t c="3" si="4">
        <n x="509"/>
        <n x="155"/>
        <n x="482"/>
      </t>
    </mdx>
    <mdx n="508" f="v">
      <t c="3" si="4">
        <n x="509"/>
        <n x="28"/>
        <n x="484"/>
      </t>
    </mdx>
    <mdx n="508" f="v">
      <t c="3" si="4">
        <n x="509"/>
        <n x="398"/>
        <n x="486"/>
      </t>
    </mdx>
    <mdx n="508" f="v">
      <t c="3" si="4">
        <n x="509"/>
        <n x="327"/>
        <n x="489"/>
      </t>
    </mdx>
    <mdx n="508" f="v">
      <t c="3" si="4">
        <n x="509"/>
        <n x="375"/>
        <n x="482"/>
      </t>
    </mdx>
    <mdx n="508" f="v">
      <t c="3" si="4">
        <n x="509"/>
        <n x="322"/>
        <n x="484"/>
      </t>
    </mdx>
    <mdx n="508" f="v">
      <t c="3" si="4">
        <n x="509"/>
        <n x="435"/>
        <n x="485"/>
      </t>
    </mdx>
    <mdx n="508" f="v">
      <t c="3" si="4">
        <n x="509"/>
        <n x="245"/>
        <n x="487"/>
      </t>
    </mdx>
    <mdx n="508" f="v">
      <t c="3" si="4">
        <n x="509"/>
        <n x="122"/>
        <n x="479"/>
      </t>
    </mdx>
    <mdx n="508" f="v">
      <t c="3" si="4">
        <n x="509"/>
        <n x="428"/>
        <n x="482"/>
      </t>
    </mdx>
    <mdx n="508" f="v">
      <t c="3" si="4">
        <n x="509"/>
        <n x="29"/>
        <n x="484"/>
      </t>
    </mdx>
    <mdx n="508" f="v">
      <t c="3" si="4">
        <n x="509"/>
        <n x="197"/>
        <n x="486"/>
      </t>
    </mdx>
    <mdx n="508" f="v">
      <t c="3" si="4">
        <n x="509"/>
        <n x="434"/>
        <n x="487"/>
      </t>
    </mdx>
    <mdx n="508" f="v">
      <t c="3" si="4">
        <n x="509"/>
        <n x="9"/>
        <n x="471"/>
      </t>
    </mdx>
    <mdx n="508" f="v">
      <t c="3" si="4">
        <n x="509"/>
        <n x="121"/>
        <n x="482"/>
      </t>
    </mdx>
    <mdx n="508" f="v">
      <t c="3" si="4">
        <n x="509"/>
        <n x="303"/>
        <n x="484"/>
      </t>
    </mdx>
    <mdx n="508" f="v">
      <t c="3" si="4">
        <n x="509"/>
        <n x="444"/>
        <n x="485"/>
      </t>
    </mdx>
    <mdx n="508" f="v">
      <t c="3" si="4">
        <n x="509"/>
        <n x="203"/>
        <n x="487"/>
      </t>
    </mdx>
    <mdx n="508" f="v">
      <t c="3" si="4">
        <n x="509"/>
        <n x="142"/>
        <n x="488"/>
      </t>
    </mdx>
    <mdx n="508" f="v">
      <t c="3" si="4">
        <n x="509"/>
        <n x="296"/>
        <n x="479"/>
      </t>
    </mdx>
    <mdx n="508" f="v">
      <t c="3" si="4">
        <n x="509"/>
        <n x="3"/>
        <n x="482"/>
      </t>
    </mdx>
    <mdx n="508" f="v">
      <t c="3" si="4">
        <n x="509"/>
        <n x="69"/>
        <n x="484"/>
      </t>
    </mdx>
    <mdx n="508" f="v">
      <t c="3" si="4">
        <n x="509"/>
        <n x="428"/>
        <n x="485"/>
      </t>
    </mdx>
    <mdx n="508" f="v">
      <t c="3" si="4">
        <n x="509"/>
        <n x="283"/>
        <n x="487"/>
      </t>
    </mdx>
    <mdx n="508" f="v">
      <t c="3" si="4">
        <n x="509"/>
        <n x="240"/>
        <n x="488"/>
      </t>
    </mdx>
    <mdx n="508" f="v">
      <t c="3" si="4">
        <n x="509"/>
        <n x="253"/>
        <n x="481"/>
      </t>
    </mdx>
    <mdx n="508" f="v">
      <t c="3" si="4">
        <n x="509"/>
        <n x="17"/>
        <n x="483"/>
      </t>
    </mdx>
    <mdx n="508" f="v">
      <t c="3" si="4">
        <n x="509"/>
        <n x="395"/>
        <n x="484"/>
      </t>
    </mdx>
    <mdx n="508" f="v">
      <t c="3" si="4">
        <n x="509"/>
        <n x="44"/>
        <n x="486"/>
      </t>
    </mdx>
    <mdx n="508" f="v">
      <t c="3" si="4">
        <n x="509"/>
        <n x="159"/>
        <n x="487"/>
      </t>
    </mdx>
    <mdx n="508" f="v">
      <t c="3" si="4">
        <n x="509"/>
        <n x="294"/>
        <n x="489"/>
      </t>
    </mdx>
    <mdx n="508" f="v">
      <t c="3" si="4">
        <n x="509"/>
        <n x="162"/>
        <n x="482"/>
      </t>
    </mdx>
    <mdx n="508" f="v">
      <t c="3" si="4">
        <n x="509"/>
        <n x="103"/>
        <n x="483"/>
      </t>
    </mdx>
    <mdx n="508" f="v">
      <t c="3" si="4">
        <n x="509"/>
        <n x="134"/>
        <n x="485"/>
      </t>
    </mdx>
    <mdx n="508" f="v">
      <t c="3" si="4">
        <n x="509"/>
        <n x="380"/>
        <n x="466"/>
      </t>
    </mdx>
    <mdx n="508" f="v">
      <t c="3" si="4">
        <n x="509"/>
        <n x="454"/>
        <n x="477"/>
      </t>
    </mdx>
    <mdx n="508" f="v">
      <t c="3" si="4">
        <n x="509"/>
        <n x="160"/>
        <n x="478"/>
      </t>
    </mdx>
    <mdx n="508" f="v">
      <t c="3" si="4">
        <n x="509"/>
        <n x="344"/>
        <n x="477"/>
      </t>
    </mdx>
    <mdx n="508" f="v">
      <t c="3" si="4">
        <n x="509"/>
        <n x="221"/>
        <n x="480"/>
      </t>
    </mdx>
    <mdx n="508" f="v">
      <t c="3" si="4">
        <n x="509"/>
        <n x="368"/>
        <n x="480"/>
      </t>
    </mdx>
    <mdx n="508" f="v">
      <t c="3" si="4">
        <n x="509"/>
        <n x="392"/>
        <n x="479"/>
      </t>
    </mdx>
    <mdx n="508" f="v">
      <t c="3" si="4">
        <n x="509"/>
        <n x="102"/>
        <n x="471"/>
      </t>
    </mdx>
    <mdx n="508" f="v">
      <t c="3" si="4">
        <n x="509"/>
        <n x="429"/>
        <n x="480"/>
      </t>
    </mdx>
    <mdx n="508" f="v">
      <t c="3" si="4">
        <n x="509"/>
        <n x="248"/>
        <n x="481"/>
      </t>
    </mdx>
    <mdx n="508" f="v">
      <t c="3" si="4">
        <n x="509"/>
        <n x="425"/>
        <n x="471"/>
      </t>
    </mdx>
    <mdx n="508" f="v">
      <t c="3" si="4">
        <n x="509"/>
        <n x="275"/>
        <n x="479"/>
      </t>
    </mdx>
    <mdx n="508" f="v">
      <t c="3" si="4">
        <n x="509"/>
        <n x="341"/>
        <n x="480"/>
      </t>
    </mdx>
    <mdx n="508" f="v">
      <t c="3" si="4">
        <n x="509"/>
        <n x="343"/>
        <n x="482"/>
      </t>
    </mdx>
    <mdx n="508" f="v">
      <t c="3" si="4">
        <n x="509"/>
        <n x="86"/>
        <n x="483"/>
      </t>
    </mdx>
    <mdx n="508" f="v">
      <t c="3" si="4">
        <n x="509"/>
        <n x="333"/>
        <n x="484"/>
      </t>
    </mdx>
    <mdx n="508" f="v">
      <t c="3" si="4">
        <n x="509"/>
        <n x="347"/>
        <n x="485"/>
      </t>
    </mdx>
    <mdx n="508" f="v">
      <t c="3" si="4">
        <n x="509"/>
        <n x="409"/>
        <n x="486"/>
      </t>
    </mdx>
    <mdx n="508" f="v">
      <t c="3" si="4">
        <n x="509"/>
        <n x="249"/>
        <n x="487"/>
      </t>
    </mdx>
    <mdx n="508" f="v">
      <t c="3" si="4">
        <n x="509"/>
        <n x="191"/>
        <n x="489"/>
      </t>
    </mdx>
    <mdx n="508" f="v">
      <t c="3" si="4">
        <n x="509"/>
        <n x="214"/>
        <n x="481"/>
      </t>
    </mdx>
    <mdx n="508" f="v">
      <t c="3" si="4">
        <n x="509"/>
        <n x="209"/>
        <n x="483"/>
      </t>
    </mdx>
    <mdx n="508" f="v">
      <t c="3" si="4">
        <n x="509"/>
        <n x="402"/>
        <n x="484"/>
      </t>
    </mdx>
    <mdx n="508" f="v">
      <t c="3" si="4">
        <n x="509"/>
        <n x="133"/>
        <n x="485"/>
      </t>
    </mdx>
    <mdx n="508" f="v">
      <t c="3" si="4">
        <n x="509"/>
        <n x="314"/>
        <n x="486"/>
      </t>
    </mdx>
    <mdx n="508" f="v">
      <t c="3" si="4">
        <n x="509"/>
        <n x="256"/>
        <n x="487"/>
      </t>
    </mdx>
    <mdx n="508" f="v">
      <t c="3" si="4">
        <n x="509"/>
        <n x="66"/>
        <n x="488"/>
      </t>
    </mdx>
    <mdx n="508" f="v">
      <t c="3" si="4">
        <n x="509"/>
        <n x="133"/>
        <n x="482"/>
      </t>
    </mdx>
    <mdx n="508" f="v">
      <t c="3" si="4">
        <n x="509"/>
        <n x="282"/>
        <n x="483"/>
      </t>
    </mdx>
    <mdx n="508" f="v">
      <t c="3" si="4">
        <n x="509"/>
        <n x="396"/>
        <n x="484"/>
      </t>
    </mdx>
    <mdx n="508" f="v">
      <t c="3" si="4">
        <n x="509"/>
        <n x="218"/>
        <n x="485"/>
      </t>
    </mdx>
    <mdx n="508" f="v">
      <t c="3" si="4">
        <n x="509"/>
        <n x="34"/>
        <n x="486"/>
      </t>
    </mdx>
    <mdx n="508" f="v">
      <t c="3" si="4">
        <n x="509"/>
        <n x="157"/>
        <n x="487"/>
      </t>
    </mdx>
    <mdx n="508" f="v">
      <t c="3" si="4">
        <n x="509"/>
        <n x="357"/>
        <n x="479"/>
      </t>
    </mdx>
    <mdx n="508" f="v">
      <t c="3" si="4">
        <n x="509"/>
        <n x="174"/>
        <n x="482"/>
      </t>
    </mdx>
    <mdx n="508" f="v">
      <t c="3" si="4">
        <n x="509"/>
        <n x="347"/>
        <n x="483"/>
      </t>
    </mdx>
    <mdx n="508" f="v">
      <t c="3" si="4">
        <n x="509"/>
        <n x="53"/>
        <n x="484"/>
      </t>
    </mdx>
    <mdx n="508" f="v">
      <t c="3" si="4">
        <n x="509"/>
        <n x="169"/>
        <n x="485"/>
      </t>
    </mdx>
    <mdx n="508" f="v">
      <t c="3" si="4">
        <n x="509"/>
        <n x="265"/>
        <n x="487"/>
      </t>
    </mdx>
    <mdx n="508" f="v">
      <t c="3" si="4">
        <n x="509"/>
        <n x="246"/>
        <n x="488"/>
      </t>
    </mdx>
    <mdx n="508" f="v">
      <t c="3" si="4">
        <n x="509"/>
        <n x="242"/>
        <n x="489"/>
      </t>
    </mdx>
    <mdx n="508" f="v">
      <t c="3" si="4">
        <n x="509"/>
        <n x="24"/>
        <n x="479"/>
      </t>
    </mdx>
    <mdx n="508" f="v">
      <t c="3" si="4">
        <n x="509"/>
        <n x="413"/>
        <n x="482"/>
      </t>
    </mdx>
    <mdx n="508" f="v">
      <t c="3" si="4">
        <n x="509"/>
        <n x="248"/>
        <n x="483"/>
      </t>
    </mdx>
    <mdx n="508" f="v">
      <t c="3" si="4">
        <n x="509"/>
        <n x="421"/>
        <n x="484"/>
      </t>
    </mdx>
    <mdx n="508" f="v">
      <t c="3" si="4">
        <n x="509"/>
        <n x="259"/>
        <n x="485"/>
      </t>
    </mdx>
    <mdx n="508" f="v">
      <t c="3" si="4">
        <n x="509"/>
        <n x="321"/>
        <n x="487"/>
      </t>
    </mdx>
    <mdx n="508" f="v">
      <t c="3" si="4">
        <n x="509"/>
        <n x="116"/>
        <n x="488"/>
      </t>
    </mdx>
    <mdx n="508" f="v">
      <t c="3" si="4">
        <n x="509"/>
        <n x="221"/>
        <n x="489"/>
      </t>
    </mdx>
    <mdx n="508" f="v">
      <t c="3" si="4">
        <n x="509"/>
        <n x="239"/>
        <n x="481"/>
      </t>
    </mdx>
    <mdx n="508" f="v">
      <t c="3" si="4">
        <n x="509"/>
        <n x="58"/>
        <n x="483"/>
      </t>
    </mdx>
    <mdx n="508" f="v">
      <t c="3" si="4">
        <n x="509"/>
        <n x="55"/>
        <n x="484"/>
      </t>
    </mdx>
    <mdx n="508" f="v">
      <t c="3" si="4">
        <n x="509"/>
        <n x="54"/>
        <n x="485"/>
      </t>
    </mdx>
    <mdx n="508" f="v">
      <t c="3" si="4">
        <n x="509"/>
        <n x="385"/>
        <n x="486"/>
      </t>
    </mdx>
    <mdx n="508" f="v">
      <t c="3" si="4">
        <n x="509"/>
        <n x="445"/>
        <n x="487"/>
      </t>
    </mdx>
    <mdx n="508" f="v">
      <t c="3" si="4">
        <n x="509"/>
        <n x="333"/>
        <n x="488"/>
      </t>
    </mdx>
    <mdx n="508" f="v">
      <t c="3" si="4">
        <n x="509"/>
        <n x="163"/>
        <n x="479"/>
      </t>
    </mdx>
    <mdx n="508" f="v">
      <t c="3" si="4">
        <n x="509"/>
        <n x="255"/>
        <n x="482"/>
      </t>
    </mdx>
    <mdx n="508" f="v">
      <t c="3" si="4">
        <n x="509"/>
        <n x="405"/>
        <n x="483"/>
      </t>
    </mdx>
    <mdx n="508" f="v">
      <t c="3" si="4">
        <n x="509"/>
        <n x="148"/>
        <n x="484"/>
      </t>
    </mdx>
    <mdx n="508" f="v">
      <t c="3" si="4">
        <n x="509"/>
        <n x="31"/>
        <n x="485"/>
      </t>
    </mdx>
    <mdx n="508" f="v">
      <t c="3" si="4">
        <n x="509"/>
        <n x="11"/>
        <n x="487"/>
      </t>
    </mdx>
    <mdx n="508" f="v">
      <t c="3" si="4">
        <n x="509"/>
        <n x="318"/>
        <n x="479"/>
      </t>
    </mdx>
    <mdx n="508" f="v">
      <t c="3" si="4">
        <n x="509"/>
        <n x="426"/>
        <n x="487"/>
      </t>
    </mdx>
    <mdx n="508" f="v">
      <t c="3" si="4">
        <n x="509"/>
        <n x="318"/>
        <n x="488"/>
      </t>
    </mdx>
    <mdx n="508" f="v">
      <t c="3" si="4">
        <n x="509"/>
        <n x="145"/>
        <n x="482"/>
      </t>
    </mdx>
    <mdx n="508" f="v">
      <t c="3" si="4">
        <n x="509"/>
        <n x="243"/>
        <n x="482"/>
      </t>
    </mdx>
    <mdx n="508" f="v">
      <t c="3" si="4">
        <n x="509"/>
        <n x="438"/>
        <n x="482"/>
      </t>
    </mdx>
    <mdx n="508" f="v">
      <t c="3" si="4">
        <n x="509"/>
        <n x="161"/>
        <n x="480"/>
      </t>
    </mdx>
    <mdx n="508" f="v">
      <t c="3" si="4">
        <n x="509"/>
        <n x="424"/>
        <n x="485"/>
      </t>
    </mdx>
    <mdx n="508" f="v">
      <t c="3" si="4">
        <n x="509"/>
        <n x="228"/>
        <n x="487"/>
      </t>
    </mdx>
    <mdx n="508" f="v">
      <t c="3" si="4">
        <n x="509"/>
        <n x="76"/>
        <n x="488"/>
      </t>
    </mdx>
    <mdx n="508" f="v">
      <t c="3" si="4">
        <n x="509"/>
        <n x="80"/>
        <n x="489"/>
      </t>
    </mdx>
    <mdx n="508" f="v">
      <t c="3" si="4">
        <n x="509"/>
        <n x="340"/>
        <n x="488"/>
      </t>
    </mdx>
    <mdx n="508" f="v">
      <t c="3" si="4">
        <n x="509"/>
        <n x="333"/>
        <n x="490"/>
      </t>
    </mdx>
    <mdx n="508" f="v">
      <t c="3" si="4">
        <n x="509"/>
        <n x="405"/>
        <n x="476"/>
      </t>
    </mdx>
    <mdx n="508" f="v">
      <t c="3" si="4">
        <n x="509"/>
        <n x="89"/>
        <n x="489"/>
      </t>
    </mdx>
    <mdx n="508" f="v">
      <t c="3" si="4">
        <n x="509"/>
        <n x="324"/>
        <n x="490"/>
      </t>
    </mdx>
    <mdx n="508" f="v">
      <t c="3" si="4">
        <n x="509"/>
        <n x="425"/>
        <n x="491"/>
      </t>
    </mdx>
    <mdx n="508" f="v">
      <t c="3" si="4">
        <n x="509"/>
        <n x="23"/>
        <n x="484"/>
      </t>
    </mdx>
    <mdx n="508" f="v">
      <t c="3" si="4">
        <n x="509"/>
        <n x="195"/>
        <n x="489"/>
      </t>
    </mdx>
    <mdx n="508" f="v">
      <t c="3" si="4">
        <n x="509"/>
        <n x="296"/>
        <n x="491"/>
      </t>
    </mdx>
    <mdx n="508" f="v">
      <t c="3" si="4">
        <n x="509"/>
        <n x="186"/>
        <n x="489"/>
      </t>
    </mdx>
    <mdx n="508" f="v">
      <t c="3" si="4">
        <n x="509"/>
        <n x="438"/>
        <n x="486"/>
      </t>
    </mdx>
    <mdx n="508" f="v">
      <t c="3" si="4">
        <n x="509"/>
        <n x="137"/>
        <n x="490"/>
      </t>
    </mdx>
    <mdx n="508" f="v">
      <t c="3" si="4">
        <n x="509"/>
        <n x="87"/>
        <n x="491"/>
      </t>
    </mdx>
    <mdx n="508" f="v">
      <t c="3" si="4">
        <n x="509"/>
        <n x="47"/>
        <n x="491"/>
      </t>
    </mdx>
    <mdx n="508" f="v">
      <t c="3" si="4">
        <n x="509"/>
        <n x="275"/>
        <n x="488"/>
      </t>
    </mdx>
    <mdx n="508" f="v">
      <t c="3" si="4">
        <n x="509"/>
        <n x="43"/>
        <n x="490"/>
      </t>
    </mdx>
    <mdx n="508" f="v">
      <t c="3" si="4">
        <n x="509"/>
        <n x="149"/>
        <n x="491"/>
      </t>
    </mdx>
    <mdx n="508" f="v">
      <t c="3" si="4">
        <n x="509"/>
        <n x="91"/>
        <n x="491"/>
      </t>
    </mdx>
    <mdx n="508" f="v">
      <t c="3" si="4">
        <n x="509"/>
        <n x="13"/>
        <n x="488"/>
      </t>
    </mdx>
    <mdx n="508" f="v">
      <t c="3" si="4">
        <n x="509"/>
        <n x="78"/>
        <n x="490"/>
      </t>
    </mdx>
    <mdx n="508" f="v">
      <t c="3" si="4">
        <n x="509"/>
        <n x="464"/>
        <n x="491"/>
      </t>
    </mdx>
    <mdx n="508" f="v">
      <t c="3" si="4">
        <n x="509"/>
        <n x="236"/>
        <n x="482"/>
      </t>
    </mdx>
    <mdx n="508" f="v">
      <t c="3" si="4">
        <n x="509"/>
        <n x="43"/>
        <n x="489"/>
      </t>
    </mdx>
    <mdx n="508" f="v">
      <t c="3" si="4">
        <n x="509"/>
        <n x="76"/>
        <n x="490"/>
      </t>
    </mdx>
    <mdx n="508" f="v">
      <t c="3" si="4">
        <n x="509"/>
        <n x="413"/>
        <n x="485"/>
      </t>
    </mdx>
    <mdx n="508" f="v">
      <t c="3" si="4">
        <n x="509"/>
        <n x="224"/>
        <n x="1"/>
      </t>
    </mdx>
    <mdx n="508" f="v">
      <t c="3" si="4">
        <n x="509"/>
        <n x="457"/>
        <n x="492"/>
      </t>
    </mdx>
    <mdx n="508" f="v">
      <t c="3" si="4">
        <n x="509"/>
        <n x="234"/>
        <n x="492"/>
      </t>
    </mdx>
    <mdx n="508" f="v">
      <t c="3" si="4">
        <n x="509"/>
        <n x="155"/>
        <n x="492"/>
      </t>
    </mdx>
    <mdx n="508" f="v">
      <t c="3" si="4">
        <n x="509"/>
        <n x="224"/>
        <n x="492"/>
      </t>
    </mdx>
    <mdx n="508" f="v">
      <t c="3" si="4">
        <n x="509"/>
        <n x="433"/>
        <n x="492"/>
      </t>
    </mdx>
    <mdx n="508" f="v">
      <t c="3" si="4">
        <n x="509"/>
        <n x="238"/>
        <n x="492"/>
      </t>
    </mdx>
    <mdx n="508" f="v">
      <t c="3" si="4">
        <n x="509"/>
        <n x="460"/>
        <n x="492"/>
      </t>
    </mdx>
    <mdx n="508" f="v">
      <t c="3" si="4">
        <n x="509"/>
        <n x="289"/>
        <n x="493"/>
      </t>
    </mdx>
    <mdx n="508" f="v">
      <t c="3" si="4">
        <n x="509"/>
        <n x="309"/>
        <n x="493"/>
      </t>
    </mdx>
    <mdx n="508" f="v">
      <t c="3" si="4">
        <n x="509"/>
        <n x="119"/>
        <n x="493"/>
      </t>
    </mdx>
    <mdx n="508" f="v">
      <t c="3" si="4">
        <n x="509"/>
        <n x="99"/>
        <n x="493"/>
      </t>
    </mdx>
    <mdx n="508" f="v">
      <t c="3" si="4">
        <n x="509"/>
        <n x="447"/>
        <n x="493"/>
      </t>
    </mdx>
    <mdx n="508" f="v">
      <t c="3" si="4">
        <n x="509"/>
        <n x="261"/>
        <n x="493"/>
      </t>
    </mdx>
    <mdx n="508" f="v">
      <t c="3" si="4">
        <n x="509"/>
        <n x="388"/>
        <n x="493"/>
      </t>
    </mdx>
    <mdx n="508" f="v">
      <t c="3" si="4">
        <n x="509"/>
        <n x="12"/>
        <n x="493"/>
      </t>
    </mdx>
    <mdx n="508" f="v">
      <t c="3" si="4">
        <n x="509"/>
        <n x="410"/>
        <n x="471"/>
      </t>
    </mdx>
    <mdx n="508" f="v">
      <t c="3" si="4">
        <n x="509"/>
        <n x="296"/>
        <n x="482"/>
      </t>
    </mdx>
    <mdx n="508" f="v">
      <t c="3" si="4">
        <n x="509"/>
        <n x="433"/>
        <n x="482"/>
      </t>
    </mdx>
    <mdx n="508" f="v">
      <t c="3" si="4">
        <n x="509"/>
        <n x="225"/>
        <n x="484"/>
      </t>
    </mdx>
    <mdx n="508" f="v">
      <t c="3" si="4">
        <n x="509"/>
        <n x="38"/>
        <n x="485"/>
      </t>
    </mdx>
    <mdx n="508" f="v">
      <t c="3" si="4">
        <n x="509"/>
        <n x="366"/>
        <n x="485"/>
      </t>
    </mdx>
    <mdx n="508" f="v">
      <t c="3" si="4">
        <n x="509"/>
        <n x="416"/>
        <n x="486"/>
      </t>
    </mdx>
    <mdx n="508" f="v">
      <t c="3" si="4">
        <n x="509"/>
        <n x="406"/>
        <n x="483"/>
      </t>
    </mdx>
    <mdx n="508" f="v">
      <t c="3" si="4">
        <n x="509"/>
        <n x="6"/>
        <n x="486"/>
      </t>
    </mdx>
    <mdx n="508" f="v">
      <t c="3" si="4">
        <n x="509"/>
        <n x="350"/>
        <n x="488"/>
      </t>
    </mdx>
    <mdx n="508" f="v">
      <t c="3" si="4">
        <n x="509"/>
        <n x="455"/>
        <n x="489"/>
      </t>
    </mdx>
    <mdx n="508" f="v">
      <t c="3" si="4">
        <n x="509"/>
        <n x="339"/>
        <n x="483"/>
      </t>
    </mdx>
    <mdx n="508" f="v">
      <t c="3" si="4">
        <n x="509"/>
        <n x="32"/>
        <n x="489"/>
      </t>
    </mdx>
    <mdx n="508" f="v">
      <t c="3" si="4">
        <n x="509"/>
        <n x="121"/>
        <n x="490"/>
      </t>
    </mdx>
    <mdx n="508" f="v">
      <t c="3" si="4">
        <n x="509"/>
        <n x="82"/>
        <n x="484"/>
      </t>
    </mdx>
    <mdx n="508" f="v">
      <t c="3" si="4">
        <n x="509"/>
        <n x="12"/>
        <n x="489"/>
      </t>
    </mdx>
    <mdx n="508" f="v">
      <t c="3" si="4">
        <n x="509"/>
        <n x="138"/>
        <n x="491"/>
      </t>
    </mdx>
    <mdx n="508" f="v">
      <t c="3" si="4">
        <n x="509"/>
        <n x="386"/>
        <n x="490"/>
      </t>
    </mdx>
    <mdx n="508" f="v">
      <t c="3" si="4">
        <n x="509"/>
        <n x="172"/>
        <n x="487"/>
      </t>
    </mdx>
    <mdx n="508" f="v">
      <t c="3" si="4">
        <n x="509"/>
        <n x="422"/>
        <n x="490"/>
      </t>
    </mdx>
    <mdx n="508" f="v">
      <t c="3" si="4">
        <n x="509"/>
        <n x="359"/>
        <n x="491"/>
      </t>
    </mdx>
    <mdx n="508" f="v">
      <t c="3" si="4">
        <n x="509"/>
        <n x="60"/>
        <n x="491"/>
      </t>
    </mdx>
    <mdx n="508" f="v">
      <t c="3" si="4">
        <n x="509"/>
        <n x="243"/>
        <n x="489"/>
      </t>
    </mdx>
    <mdx n="508" f="v">
      <t c="3" si="4">
        <n x="509"/>
        <n x="405"/>
        <n x="490"/>
      </t>
    </mdx>
    <mdx n="508" f="v">
      <t c="3" si="4">
        <n x="509"/>
        <n x="460"/>
        <n x="491"/>
      </t>
    </mdx>
    <mdx n="508" f="v">
      <t c="3" si="4">
        <n x="509"/>
        <n x="305"/>
        <n x="483"/>
      </t>
    </mdx>
    <mdx n="508" f="v">
      <t c="3" si="4">
        <n x="509"/>
        <n x="7"/>
        <n x="489"/>
      </t>
    </mdx>
    <mdx n="508" f="v">
      <t c="3" si="4">
        <n x="509"/>
        <n x="35"/>
        <n x="490"/>
      </t>
    </mdx>
    <mdx n="508" f="v">
      <t c="3" si="4">
        <n x="509"/>
        <n x="56"/>
        <n x="491"/>
      </t>
    </mdx>
    <mdx n="508" f="v">
      <t c="3" si="4">
        <n x="509"/>
        <n x="383"/>
        <n x="483"/>
      </t>
    </mdx>
    <mdx n="508" f="v">
      <t c="3" si="4">
        <n x="509"/>
        <n x="461"/>
        <n x="489"/>
      </t>
    </mdx>
    <mdx n="508" f="v">
      <t c="3" si="4">
        <n x="509"/>
        <n x="278"/>
        <n x="491"/>
      </t>
    </mdx>
    <mdx n="508" f="v">
      <t c="3" si="4">
        <n x="509"/>
        <n x="114"/>
        <n x="488"/>
      </t>
    </mdx>
    <mdx n="508" f="v">
      <t c="3" si="4">
        <n x="509"/>
        <n x="234"/>
        <n x="486"/>
      </t>
    </mdx>
    <mdx n="508" f="v">
      <t c="3" si="4">
        <n x="509"/>
        <n x="359"/>
        <n x="490"/>
      </t>
    </mdx>
    <mdx n="508" f="v">
      <t c="3" si="4">
        <n x="509"/>
        <n x="336"/>
        <n x="491"/>
      </t>
    </mdx>
    <mdx n="508" f="v">
      <t c="3" si="4">
        <n x="509"/>
        <n x="113"/>
        <n x="491"/>
      </t>
    </mdx>
    <mdx n="508" f="v">
      <t c="3" si="4">
        <n x="509"/>
        <n x="207"/>
        <n x="492"/>
      </t>
    </mdx>
    <mdx n="508" f="v">
      <t c="3" si="4">
        <n x="509"/>
        <n x="397"/>
        <n x="492"/>
      </t>
    </mdx>
    <mdx n="508" f="v">
      <t c="3" si="4">
        <n x="509"/>
        <n x="15"/>
        <n x="492"/>
      </t>
    </mdx>
    <mdx n="508" f="v">
      <t c="3" si="4">
        <n x="509"/>
        <n x="443"/>
        <n x="492"/>
      </t>
    </mdx>
    <mdx n="508" f="v">
      <t c="3" si="4">
        <n x="509"/>
        <n x="115"/>
        <n x="492"/>
      </t>
    </mdx>
    <mdx n="508" f="v">
      <t c="3" si="4">
        <n x="509"/>
        <n x="426"/>
        <n x="492"/>
      </t>
    </mdx>
    <mdx n="508" f="v">
      <t c="3" si="4">
        <n x="509"/>
        <n x="142"/>
        <n x="492"/>
      </t>
    </mdx>
    <mdx n="508" f="v">
      <t c="3" si="4">
        <n x="509"/>
        <n x="443"/>
        <n x="493"/>
      </t>
    </mdx>
    <mdx n="508" f="v">
      <t c="3" si="4">
        <n x="509"/>
        <n x="369"/>
        <n x="493"/>
      </t>
    </mdx>
    <mdx n="508" f="v">
      <t c="3" si="4">
        <n x="509"/>
        <n x="184"/>
        <n x="493"/>
      </t>
    </mdx>
    <mdx n="508" f="v">
      <t c="3" si="4">
        <n x="509"/>
        <n x="156"/>
        <n x="493"/>
      </t>
    </mdx>
    <mdx n="508" f="v">
      <t c="3" si="4">
        <n x="509"/>
        <n x="333"/>
        <n x="493"/>
      </t>
    </mdx>
    <mdx n="508" f="v">
      <t c="3" si="4">
        <n x="509"/>
        <n x="96"/>
        <n x="493"/>
      </t>
    </mdx>
    <mdx n="508" f="v">
      <t c="3" si="4">
        <n x="509"/>
        <n x="204"/>
        <n x="493"/>
      </t>
    </mdx>
    <mdx n="508" f="v">
      <t c="3" si="4">
        <n x="509"/>
        <n x="209"/>
        <n x="476"/>
      </t>
    </mdx>
    <mdx n="508" f="v">
      <t c="3" si="4">
        <n x="509"/>
        <n x="342"/>
        <n x="481"/>
      </t>
    </mdx>
    <mdx n="508" f="v">
      <t c="3" si="4">
        <n x="509"/>
        <n x="127"/>
        <n x="485"/>
      </t>
    </mdx>
    <mdx n="508" f="v">
      <t c="3" si="4">
        <n x="509"/>
        <n x="267"/>
        <n x="486"/>
      </t>
    </mdx>
    <mdx n="508" f="v">
      <t c="3" si="4">
        <n x="509"/>
        <n x="160"/>
        <n x="487"/>
      </t>
    </mdx>
    <mdx n="508" f="v">
      <t c="3" si="4">
        <n x="509"/>
        <n x="437"/>
        <n x="489"/>
      </t>
    </mdx>
    <mdx n="508" f="v">
      <t c="3" si="4">
        <n x="509"/>
        <n x="263"/>
        <n x="489"/>
      </t>
    </mdx>
    <mdx n="508" f="v">
      <t c="3" si="4">
        <n x="509"/>
        <n x="227"/>
        <n x="488"/>
      </t>
    </mdx>
    <mdx n="508" f="v">
      <t c="3" si="4">
        <n x="509"/>
        <n x="254"/>
        <n x="485"/>
      </t>
    </mdx>
    <mdx n="508" f="v">
      <t c="3" si="4">
        <n x="509"/>
        <n x="183"/>
        <n x="487"/>
      </t>
    </mdx>
    <mdx n="508" f="v">
      <t c="3" si="4">
        <n x="509"/>
        <n x="130"/>
        <n x="488"/>
      </t>
    </mdx>
    <mdx n="508" f="v">
      <t c="3" si="4">
        <n x="509"/>
        <n x="136"/>
        <n x="489"/>
      </t>
    </mdx>
    <mdx n="508" f="v">
      <t c="3" si="4">
        <n x="509"/>
        <n x="379"/>
        <n x="486"/>
      </t>
    </mdx>
    <mdx n="508" f="v">
      <t c="3" si="4">
        <n x="509"/>
        <n x="382"/>
        <n x="490"/>
      </t>
    </mdx>
    <mdx n="508" f="v">
      <t c="3" si="4">
        <n x="509"/>
        <n x="176"/>
        <n x="491"/>
      </t>
    </mdx>
    <mdx n="508" f="v">
      <t c="3" si="4">
        <n x="509"/>
        <n x="119"/>
        <n x="488"/>
      </t>
    </mdx>
    <mdx n="508" f="v">
      <t c="3" si="4">
        <n x="509"/>
        <n x="213"/>
        <n x="490"/>
      </t>
    </mdx>
    <mdx n="508" f="v">
      <t c="3" si="4">
        <n x="509"/>
        <n x="66"/>
        <n x="491"/>
      </t>
    </mdx>
    <mdx n="508" f="v">
      <t c="3" si="4">
        <n x="509"/>
        <n x="312"/>
        <n x="482"/>
      </t>
    </mdx>
    <mdx n="508" f="v">
      <t c="3" si="4">
        <n x="509"/>
        <n x="125"/>
        <n x="489"/>
      </t>
    </mdx>
    <mdx n="508" f="v">
      <t c="3" si="4">
        <n x="509"/>
        <n x="260"/>
        <n x="490"/>
      </t>
    </mdx>
    <mdx n="508" f="v">
      <t c="3" si="4">
        <n x="509"/>
        <n x="420"/>
        <n x="491"/>
      </t>
    </mdx>
    <mdx n="508" f="v">
      <t c="3" si="4">
        <n x="509"/>
        <n x="65"/>
        <n x="484"/>
      </t>
    </mdx>
    <mdx n="508" f="v">
      <t c="3" si="4">
        <n x="509"/>
        <n x="121"/>
        <n x="489"/>
      </t>
    </mdx>
    <mdx n="508" f="v">
      <t c="3" si="4">
        <n x="509"/>
        <n x="263"/>
        <n x="491"/>
      </t>
    </mdx>
    <mdx n="508" f="v">
      <t c="3" si="4">
        <n x="509"/>
        <n x="400"/>
        <n x="489"/>
      </t>
    </mdx>
    <mdx n="508" f="v">
      <t c="3" si="4">
        <n x="509"/>
        <n x="40"/>
        <n x="486"/>
      </t>
    </mdx>
    <mdx n="508" f="v">
      <t c="3" si="4">
        <n x="509"/>
        <n x="133"/>
        <n x="490"/>
      </t>
    </mdx>
    <mdx n="508" f="v">
      <t c="3" si="4">
        <n x="509"/>
        <n x="306"/>
        <n x="491"/>
      </t>
    </mdx>
    <mdx n="508" f="v">
      <t c="3" si="4">
        <n x="509"/>
        <n x="401"/>
        <n x="490"/>
      </t>
    </mdx>
    <mdx n="508" f="v">
      <t c="3" si="4">
        <n x="509"/>
        <n x="79"/>
        <n x="487"/>
      </t>
    </mdx>
    <mdx n="508" f="v">
      <t c="3" si="4">
        <n x="509"/>
        <n x="323"/>
        <n x="490"/>
      </t>
    </mdx>
    <mdx n="508" f="v">
      <t c="3" si="4">
        <n x="509"/>
        <n x="141"/>
        <n x="491"/>
      </t>
    </mdx>
    <mdx n="508" f="v">
      <t c="3" si="4">
        <n x="509"/>
        <n x="310"/>
        <n x="491"/>
      </t>
    </mdx>
    <mdx n="508" f="v">
      <t c="3" si="4">
        <n x="509"/>
        <n x="365"/>
        <n x="489"/>
      </t>
    </mdx>
    <mdx n="508" f="v">
      <t c="3" si="4">
        <n x="509"/>
        <n x="272"/>
        <n x="490"/>
      </t>
    </mdx>
    <mdx n="508" f="v">
      <t c="3" si="4">
        <n x="509"/>
        <n x="325"/>
        <n x="491"/>
      </t>
    </mdx>
    <mdx n="508" f="v">
      <t c="3" si="4">
        <n x="509"/>
        <n x="103"/>
        <n x="492"/>
      </t>
    </mdx>
    <mdx n="508" f="v">
      <t c="3" si="4">
        <n x="509"/>
        <n x="151"/>
        <n x="492"/>
      </t>
    </mdx>
    <mdx n="508" f="v">
      <t c="3" si="4">
        <n x="509"/>
        <n x="37"/>
        <n x="489"/>
      </t>
    </mdx>
    <mdx n="508" f="v">
      <t c="3" si="4">
        <n x="509"/>
        <n x="75"/>
        <n x="485"/>
      </t>
    </mdx>
    <mdx n="508" f="v">
      <t c="3" si="4">
        <n x="509"/>
        <n x="308"/>
        <n x="478"/>
      </t>
    </mdx>
    <mdx n="508" f="v">
      <t c="3" si="4">
        <n x="509"/>
        <n x="38"/>
        <n x="481"/>
      </t>
    </mdx>
    <mdx n="508" f="v">
      <t c="3" si="4">
        <n x="509"/>
        <n x="416"/>
        <n x="481"/>
      </t>
    </mdx>
    <mdx n="508" f="v">
      <t c="3" si="4">
        <n x="509"/>
        <n x="218"/>
        <n x="471"/>
      </t>
    </mdx>
    <mdx n="508" f="v">
      <t c="3" si="4">
        <n x="509"/>
        <n x="226"/>
        <n x="481"/>
      </t>
    </mdx>
    <mdx n="508" f="v">
      <t c="3" si="4">
        <n x="509"/>
        <n x="123"/>
        <n x="482"/>
      </t>
    </mdx>
    <mdx n="508" f="v">
      <t c="3" si="4">
        <n x="509"/>
        <n x="50"/>
        <n x="485"/>
      </t>
    </mdx>
    <mdx n="508" f="v">
      <t c="3" si="4">
        <n x="509"/>
        <n x="387"/>
        <n x="487"/>
      </t>
    </mdx>
    <mdx n="508" f="v">
      <t c="3" si="4">
        <n x="509"/>
        <n x="128"/>
        <n x="489"/>
      </t>
    </mdx>
    <mdx n="508" f="v">
      <t c="3" si="4">
        <n x="509"/>
        <n x="22"/>
        <n x="483"/>
      </t>
    </mdx>
    <mdx n="508" f="v">
      <t c="3" si="4">
        <n x="509"/>
        <n x="464"/>
        <n x="484"/>
      </t>
    </mdx>
    <mdx n="508" f="v">
      <t c="3" si="4">
        <n x="509"/>
        <n x="110"/>
        <n x="486"/>
      </t>
    </mdx>
    <mdx n="508" f="v">
      <t c="3" si="4">
        <n x="509"/>
        <n x="123"/>
        <n x="487"/>
      </t>
    </mdx>
    <mdx n="508" f="v">
      <t c="3" si="4">
        <n x="509"/>
        <n x="188"/>
        <n x="480"/>
      </t>
    </mdx>
    <mdx n="508" f="v">
      <t c="3" si="4">
        <n x="509"/>
        <n x="11"/>
        <n x="483"/>
      </t>
    </mdx>
    <mdx n="508" f="v">
      <t c="3" si="4">
        <n x="509"/>
        <n x="113"/>
        <n x="484"/>
      </t>
    </mdx>
    <mdx n="508" f="v">
      <t c="3" si="4">
        <n x="509"/>
        <n x="33"/>
        <n x="486"/>
      </t>
    </mdx>
    <mdx n="508" f="v">
      <t c="3" si="4">
        <n x="509"/>
        <n x="288"/>
        <n x="487"/>
      </t>
    </mdx>
    <mdx n="508" f="v">
      <t c="3" si="4">
        <n x="509"/>
        <n x="461"/>
        <n x="480"/>
      </t>
    </mdx>
    <mdx n="508" f="v">
      <t c="3" si="4">
        <n x="509"/>
        <n x="330"/>
        <n x="483"/>
      </t>
    </mdx>
    <mdx n="508" f="v">
      <t c="3" si="4">
        <n x="509"/>
        <n x="85"/>
        <n x="484"/>
      </t>
    </mdx>
    <mdx n="508" f="v">
      <t c="3" si="4">
        <n x="509"/>
        <n x="135"/>
        <n x="486"/>
      </t>
    </mdx>
    <mdx n="508" f="v">
      <t c="3" si="4">
        <n x="509"/>
        <n x="248"/>
        <n x="487"/>
      </t>
    </mdx>
    <mdx n="508" f="v">
      <t c="3" si="4">
        <n x="509"/>
        <n x="296"/>
        <n x="489"/>
      </t>
    </mdx>
    <mdx n="508" f="v">
      <t c="3" si="4">
        <n x="509"/>
        <n x="416"/>
        <n x="480"/>
      </t>
    </mdx>
    <mdx n="508" f="v">
      <t c="3" si="4">
        <n x="509"/>
        <n x="387"/>
        <n x="483"/>
      </t>
    </mdx>
    <mdx n="508" f="v">
      <t c="3" si="4">
        <n x="509"/>
        <n x="199"/>
        <n x="484"/>
      </t>
    </mdx>
    <mdx n="508" f="v">
      <t c="3" si="4">
        <n x="509"/>
        <n x="287"/>
        <n x="486"/>
      </t>
    </mdx>
    <mdx n="508" f="v">
      <t c="3" si="4">
        <n x="509"/>
        <n x="392"/>
        <n x="487"/>
      </t>
    </mdx>
    <mdx n="508" f="v">
      <t c="3" si="4">
        <n x="509"/>
        <n x="190"/>
        <n x="489"/>
      </t>
    </mdx>
    <mdx n="508" f="v">
      <t c="3" si="4">
        <n x="509"/>
        <n x="159"/>
        <n x="482"/>
      </t>
    </mdx>
    <mdx n="508" f="v">
      <t c="3" si="4">
        <n x="509"/>
        <n x="408"/>
        <n x="483"/>
      </t>
    </mdx>
    <mdx n="508" f="v">
      <t c="3" si="4">
        <n x="509"/>
        <n x="301"/>
        <n x="485"/>
      </t>
    </mdx>
    <mdx n="508" f="v">
      <t c="3" si="4">
        <n x="509"/>
        <n x="166"/>
        <n x="486"/>
      </t>
    </mdx>
    <mdx n="508" f="v">
      <t c="3" si="4">
        <n x="509"/>
        <n x="259"/>
        <n x="488"/>
      </t>
    </mdx>
    <mdx n="508" f="v">
      <t c="3" si="4">
        <n x="509"/>
        <n x="66"/>
        <n x="478"/>
      </t>
    </mdx>
    <mdx n="508" f="v">
      <t c="3" si="4">
        <n x="509"/>
        <n x="317"/>
        <n x="482"/>
      </t>
    </mdx>
    <mdx n="508" f="v">
      <t c="3" si="4">
        <n x="509"/>
        <n x="134"/>
        <n x="484"/>
      </t>
    </mdx>
    <mdx n="508" f="v">
      <t c="3" si="4">
        <n x="509"/>
        <n x="252"/>
        <n x="485"/>
      </t>
    </mdx>
    <mdx n="508" f="v">
      <t c="3" si="4">
        <n x="509"/>
        <n x="203"/>
        <n x="468"/>
      </t>
    </mdx>
    <mdx n="508" f="v">
      <t c="3" si="4">
        <n x="509"/>
        <n x="320"/>
        <n x="466"/>
      </t>
    </mdx>
    <mdx n="508" f="v">
      <t c="3" si="4">
        <n x="509"/>
        <n x="308"/>
        <n x="466"/>
      </t>
    </mdx>
    <mdx n="508" f="v">
      <t c="3" si="4">
        <n x="509"/>
        <n x="125"/>
        <n x="481"/>
      </t>
    </mdx>
    <mdx n="508" f="v">
      <t c="3" si="4">
        <n x="509"/>
        <n x="224"/>
        <n x="481"/>
      </t>
    </mdx>
    <mdx n="508" f="v">
      <t c="3" si="4">
        <n x="509"/>
        <n x="157"/>
        <n x="480"/>
      </t>
    </mdx>
    <mdx n="508" f="v">
      <t c="3" si="4">
        <n x="509"/>
        <n x="30"/>
        <n x="479"/>
      </t>
    </mdx>
    <mdx n="508" f="v">
      <t c="3" si="4">
        <n x="509"/>
        <n x="405"/>
        <n x="480"/>
      </t>
    </mdx>
    <mdx n="508" f="v">
      <t c="3" si="4">
        <n x="509"/>
        <n x="293"/>
        <n x="5"/>
      </t>
    </mdx>
    <mdx n="508" f="v">
      <t c="3" si="4">
        <n x="509"/>
        <n x="408"/>
        <n x="471"/>
      </t>
    </mdx>
    <mdx n="508" f="v">
      <t c="3" si="4">
        <n x="509"/>
        <n x="157"/>
        <n x="479"/>
      </t>
    </mdx>
    <mdx n="508" f="v">
      <t c="3" si="4">
        <n x="509"/>
        <n x="383"/>
        <n x="480"/>
      </t>
    </mdx>
    <mdx n="508" f="v">
      <t c="3" si="4">
        <n x="509"/>
        <n x="28"/>
        <n x="471"/>
      </t>
    </mdx>
    <mdx n="508" f="v">
      <t c="3" si="4">
        <n x="509"/>
        <n x="125"/>
        <n x="482"/>
      </t>
    </mdx>
    <mdx n="508" f="v">
      <t c="3" si="4">
        <n x="509"/>
        <n x="115"/>
        <n x="483"/>
      </t>
    </mdx>
    <mdx n="508" f="v">
      <t c="3" si="4">
        <n x="509"/>
        <n x="123"/>
        <n x="484"/>
      </t>
    </mdx>
    <mdx n="508" f="v">
      <t c="3" si="4">
        <n x="509"/>
        <n x="74"/>
        <n x="485"/>
      </t>
    </mdx>
    <mdx n="508" f="v">
      <t c="3" si="4">
        <n x="509"/>
        <n x="111"/>
        <n x="486"/>
      </t>
    </mdx>
    <mdx n="508" f="v">
      <t c="3" si="4">
        <n x="509"/>
        <n x="450"/>
        <n x="488"/>
      </t>
    </mdx>
    <mdx n="508" f="v">
      <t c="3" si="4">
        <n x="509"/>
        <n x="222"/>
        <n x="489"/>
      </t>
    </mdx>
    <mdx n="508" f="v">
      <t c="3" si="4">
        <n x="509"/>
        <n x="260"/>
        <n x="482"/>
      </t>
    </mdx>
    <mdx n="508" f="v">
      <t c="3" si="4">
        <n x="509"/>
        <n x="315"/>
        <n x="483"/>
      </t>
    </mdx>
    <mdx n="508" f="v">
      <t c="3" si="4">
        <n x="509"/>
        <n x="312"/>
        <n x="484"/>
      </t>
    </mdx>
    <mdx n="508" f="v">
      <t c="3" si="4">
        <n x="509"/>
        <n x="336"/>
        <n x="485"/>
      </t>
    </mdx>
    <mdx n="508" f="v">
      <t c="3" si="4">
        <n x="509"/>
        <n x="313"/>
        <n x="486"/>
      </t>
    </mdx>
    <mdx n="508" f="v">
      <t c="3" si="4">
        <n x="509"/>
        <n x="320"/>
        <n x="487"/>
      </t>
    </mdx>
    <mdx n="508" f="v">
      <t c="3" si="4">
        <n x="509"/>
        <n x="301"/>
        <n x="477"/>
      </t>
    </mdx>
    <mdx n="508" f="v">
      <t c="3" si="4">
        <n x="509"/>
        <n x="52"/>
        <n x="482"/>
      </t>
    </mdx>
    <mdx n="508" f="v">
      <t c="3" si="4">
        <n x="509"/>
        <n x="38"/>
        <n x="483"/>
      </t>
    </mdx>
    <mdx n="508" f="v">
      <t c="3" si="4">
        <n x="509"/>
        <n x="91"/>
        <n x="484"/>
      </t>
    </mdx>
    <mdx n="508" f="v">
      <t c="3" si="4">
        <n x="509"/>
        <n x="392"/>
        <n x="485"/>
      </t>
    </mdx>
    <mdx n="508" f="v">
      <t c="3" si="4">
        <n x="509"/>
        <n x="346"/>
        <n x="486"/>
      </t>
    </mdx>
    <mdx n="508" f="v">
      <t c="3" si="4">
        <n x="509"/>
        <n x="310"/>
        <n x="487"/>
      </t>
    </mdx>
    <mdx n="508" f="v">
      <t c="3" si="4">
        <n x="509"/>
        <n x="437"/>
        <n x="480"/>
      </t>
    </mdx>
    <mdx n="508" f="v">
      <t c="3" si="4">
        <n x="509"/>
        <n x="109"/>
        <n x="482"/>
      </t>
    </mdx>
    <mdx n="508" f="v">
      <t c="3" si="4">
        <n x="509"/>
        <n x="95"/>
        <n x="483"/>
      </t>
    </mdx>
    <mdx n="508" f="v">
      <t c="3" si="4">
        <n x="509"/>
        <n x="337"/>
        <n x="484"/>
      </t>
    </mdx>
    <mdx n="508" f="v">
      <t c="3" si="4">
        <n x="509"/>
        <n x="68"/>
        <n x="486"/>
      </t>
    </mdx>
    <mdx n="508" f="v">
      <t c="3" si="4">
        <n x="509"/>
        <n x="406"/>
        <n x="487"/>
      </t>
    </mdx>
    <mdx n="508" f="v">
      <t c="3" si="4">
        <n x="509"/>
        <n x="83"/>
        <n x="488"/>
      </t>
    </mdx>
    <mdx n="508" f="v">
      <t c="3" si="4">
        <n x="509"/>
        <n x="343"/>
        <n x="489"/>
      </t>
    </mdx>
    <mdx n="508" f="v">
      <t c="3" si="4">
        <n x="509"/>
        <n x="382"/>
        <n x="480"/>
      </t>
    </mdx>
    <mdx n="508" f="v">
      <t c="3" si="4">
        <n x="509"/>
        <n x="373"/>
        <n x="482"/>
      </t>
    </mdx>
    <mdx n="508" f="v">
      <t c="3" si="4">
        <n x="509"/>
        <n x="353"/>
        <n x="483"/>
      </t>
    </mdx>
    <mdx n="508" f="v">
      <t c="3" si="4">
        <n x="509"/>
        <n x="229"/>
        <n x="484"/>
      </t>
    </mdx>
    <mdx n="508" f="v">
      <t c="3" si="4">
        <n x="509"/>
        <n x="428"/>
        <n x="486"/>
      </t>
    </mdx>
    <mdx n="508" f="v">
      <t c="3" si="4">
        <n x="509"/>
        <n x="384"/>
        <n x="487"/>
      </t>
    </mdx>
    <mdx n="508" f="v">
      <t c="3" si="4">
        <n x="509"/>
        <n x="281"/>
        <n x="488"/>
      </t>
    </mdx>
    <mdx n="508" f="v">
      <t c="3" si="4">
        <n x="509"/>
        <n x="72"/>
        <n x="489"/>
      </t>
    </mdx>
    <mdx n="508" f="v">
      <t c="3" si="4">
        <n x="509"/>
        <n x="398"/>
        <n x="482"/>
      </t>
    </mdx>
    <mdx n="508" f="v">
      <t c="3" si="4">
        <n x="509"/>
        <n x="401"/>
        <n x="483"/>
      </t>
    </mdx>
    <mdx n="508" f="v">
      <t c="3" si="4">
        <n x="509"/>
        <n x="132"/>
        <n x="484"/>
      </t>
    </mdx>
    <mdx n="508" f="v">
      <t c="3" si="4">
        <n x="509"/>
        <n x="264"/>
        <n x="485"/>
      </t>
    </mdx>
    <mdx n="508" f="v">
      <t c="3" si="4">
        <n x="509"/>
        <n x="99"/>
        <n x="486"/>
      </t>
    </mdx>
    <mdx n="508" f="v">
      <t c="3" si="4">
        <n x="509"/>
        <n x="99"/>
        <n x="487"/>
      </t>
    </mdx>
    <mdx n="508" f="v">
      <t c="3" si="4">
        <n x="509"/>
        <n x="10"/>
        <n x="488"/>
      </t>
    </mdx>
    <mdx n="508" f="v">
      <t c="3" si="4">
        <n x="509"/>
        <n x="283"/>
        <n x="480"/>
      </t>
    </mdx>
    <mdx n="508" f="v">
      <t c="3" si="4">
        <n x="509"/>
        <n x="7"/>
        <n x="482"/>
      </t>
    </mdx>
    <mdx n="508" f="v">
      <t c="3" si="4">
        <n x="509"/>
        <n x="460"/>
        <n x="483"/>
      </t>
    </mdx>
    <mdx n="508" f="v">
      <t c="3" si="4">
        <n x="509"/>
        <n x="117"/>
        <n x="484"/>
      </t>
    </mdx>
    <mdx n="508" f="v">
      <t c="3" si="4">
        <n x="509"/>
        <n x="152"/>
        <n x="486"/>
      </t>
    </mdx>
    <mdx n="508" f="v">
      <t c="3" si="4">
        <n x="509"/>
        <n x="322"/>
        <n x="487"/>
      </t>
    </mdx>
    <mdx n="508" f="v">
      <t c="3" si="4">
        <n x="509"/>
        <n x="446"/>
        <n x="471"/>
      </t>
    </mdx>
    <mdx n="508" f="v">
      <t c="3" si="4">
        <n x="509"/>
        <n x="144"/>
        <n x="480"/>
      </t>
    </mdx>
    <mdx n="508" f="v">
      <t c="3" si="4">
        <n x="509"/>
        <n x="109"/>
        <n x="488"/>
      </t>
    </mdx>
    <mdx n="508" f="v">
      <t c="3" si="4">
        <n x="509"/>
        <n x="223"/>
        <n x="481"/>
      </t>
    </mdx>
    <mdx n="508" f="v">
      <t c="3" si="4">
        <n x="509"/>
        <n x="241"/>
        <n x="483"/>
      </t>
    </mdx>
    <mdx n="508" f="v">
      <t c="3" si="4">
        <n x="509"/>
        <n x="381"/>
        <n x="483"/>
      </t>
    </mdx>
    <mdx n="508" f="v">
      <t c="3" si="4">
        <n x="509"/>
        <n x="436"/>
        <n x="483"/>
      </t>
    </mdx>
    <mdx n="508" f="v">
      <t c="3" si="4">
        <n x="509"/>
        <n x="305"/>
        <n x="482"/>
      </t>
    </mdx>
    <mdx n="508" f="v">
      <t c="3" si="4">
        <n x="509"/>
        <n x="377"/>
        <n x="486"/>
      </t>
    </mdx>
    <mdx n="508" f="v">
      <t c="3" si="4">
        <n x="509"/>
        <n x="271"/>
        <n x="487"/>
      </t>
    </mdx>
    <mdx n="508" f="v">
      <t c="3" si="4">
        <n x="509"/>
        <n x="277"/>
        <n x="489"/>
      </t>
    </mdx>
    <mdx n="508" f="v">
      <t c="3" si="4">
        <n x="509"/>
        <n x="315"/>
        <n x="490"/>
      </t>
    </mdx>
    <mdx n="508" f="v">
      <t c="3" si="4">
        <n x="509"/>
        <n x="450"/>
        <n x="489"/>
      </t>
    </mdx>
    <mdx n="508" f="v">
      <t c="3" si="4">
        <n x="509"/>
        <n x="347"/>
        <n x="490"/>
      </t>
    </mdx>
    <mdx n="508" f="v">
      <t c="3" si="4">
        <n x="509"/>
        <n x="75"/>
        <n x="482"/>
      </t>
    </mdx>
    <mdx n="508" f="v">
      <t c="3" si="4">
        <n x="509"/>
        <n x="49"/>
        <n x="489"/>
      </t>
    </mdx>
    <mdx n="508" f="v">
      <t c="3" si="4">
        <n x="509"/>
        <n x="332"/>
        <n x="490"/>
      </t>
    </mdx>
    <mdx n="508" f="v">
      <t c="3" si="4">
        <n x="509"/>
        <n x="403"/>
        <n x="491"/>
      </t>
    </mdx>
    <mdx n="508" f="v">
      <t c="3" si="4">
        <n x="509"/>
        <n x="299"/>
        <n x="485"/>
      </t>
    </mdx>
    <mdx n="508" f="v">
      <t c="3" si="4">
        <n x="509"/>
        <n x="423"/>
        <n x="490"/>
      </t>
    </mdx>
    <mdx n="508" f="v">
      <t c="3" si="4">
        <n x="509"/>
        <n x="265"/>
        <n x="491"/>
      </t>
    </mdx>
    <mdx n="508" f="v">
      <t c="3" si="4">
        <n x="509"/>
        <n x="276"/>
        <n x="490"/>
      </t>
    </mdx>
    <mdx n="508" f="v">
      <t c="3" si="4">
        <n x="509"/>
        <n x="414"/>
        <n x="487"/>
      </t>
    </mdx>
    <mdx n="508" f="v">
      <t c="3" si="4">
        <n x="509"/>
        <n x="41"/>
        <n x="490"/>
      </t>
    </mdx>
    <mdx n="508" f="v">
      <t c="3" si="4">
        <n x="509"/>
        <n x="351"/>
        <n x="491"/>
      </t>
    </mdx>
    <mdx n="508" f="v">
      <t c="3" si="4">
        <n x="509"/>
        <n x="109"/>
        <n x="491"/>
      </t>
    </mdx>
    <mdx n="508" f="v">
      <t c="3" si="4">
        <n x="509"/>
        <n x="388"/>
        <n x="489"/>
      </t>
    </mdx>
    <mdx n="508" f="v">
      <t c="3" si="4">
        <n x="509"/>
        <n x="183"/>
        <n x="490"/>
      </t>
    </mdx>
    <mdx n="508" f="v">
      <t c="3" si="4">
        <n x="509"/>
        <n x="236"/>
        <n x="491"/>
      </t>
    </mdx>
    <mdx n="508" f="v">
      <t c="3" si="4">
        <n x="509"/>
        <n x="193"/>
        <n x="471"/>
      </t>
    </mdx>
    <mdx n="508" f="v">
      <t c="3" si="4">
        <n x="509"/>
        <n x="418"/>
        <n x="489"/>
      </t>
    </mdx>
    <mdx n="508" f="v">
      <t c="3" si="4">
        <n x="509"/>
        <n x="108"/>
        <n x="490"/>
      </t>
    </mdx>
    <mdx n="508" f="v">
      <t c="3" si="4">
        <n x="509"/>
        <n x="254"/>
        <n x="491"/>
      </t>
    </mdx>
    <mdx n="508" f="v">
      <t c="3" si="4">
        <n x="509"/>
        <n x="365"/>
        <n x="483"/>
      </t>
    </mdx>
    <mdx n="508" f="v">
      <t c="3" si="4">
        <n x="509"/>
        <n x="172"/>
        <n x="489"/>
      </t>
    </mdx>
    <mdx n="508" f="v">
      <t c="3" si="4">
        <n x="509"/>
        <n x="260"/>
        <n x="491"/>
      </t>
    </mdx>
    <mdx n="508" f="v">
      <t c="3" si="4">
        <n x="509"/>
        <n x="123"/>
        <n x="489"/>
      </t>
    </mdx>
    <mdx n="508" f="v">
      <t c="3" si="4">
        <n x="509"/>
        <n x="330"/>
        <n x="492"/>
      </t>
    </mdx>
    <mdx n="508" f="v">
      <t c="3" si="4">
        <n x="509"/>
        <n x="321"/>
        <n x="492"/>
      </t>
    </mdx>
    <mdx n="508" f="v">
      <t c="3" si="4">
        <n x="509"/>
        <n x="339"/>
        <n x="492"/>
      </t>
    </mdx>
    <mdx n="508" f="v">
      <t c="3" si="4">
        <n x="509"/>
        <n x="213"/>
        <n x="492"/>
      </t>
    </mdx>
    <mdx n="508" f="v">
      <t c="3" si="4">
        <n x="509"/>
        <n x="262"/>
        <n x="492"/>
      </t>
    </mdx>
    <mdx n="508" f="v">
      <t c="3" si="4">
        <n x="509"/>
        <n x="289"/>
        <n x="492"/>
      </t>
    </mdx>
    <mdx n="508" f="v">
      <t c="3" si="4">
        <n x="509"/>
        <n x="185"/>
        <n x="492"/>
      </t>
    </mdx>
    <mdx n="508" f="v">
      <t c="3" si="4">
        <n x="509"/>
        <n x="297"/>
        <n x="493"/>
      </t>
    </mdx>
    <mdx n="508" f="v">
      <t c="3" si="4">
        <n x="509"/>
        <n x="210"/>
        <n x="493"/>
      </t>
    </mdx>
    <mdx n="508" f="v">
      <t c="3" si="4">
        <n x="509"/>
        <n x="312"/>
        <n x="493"/>
      </t>
    </mdx>
    <mdx n="508" f="v">
      <t c="3" si="4">
        <n x="509"/>
        <n x="291"/>
        <n x="493"/>
      </t>
    </mdx>
    <mdx n="508" f="v">
      <t c="3" si="4">
        <n x="509"/>
        <n x="175"/>
        <n x="493"/>
      </t>
    </mdx>
    <mdx n="508" f="v">
      <t c="3" si="4">
        <n x="509"/>
        <n x="26"/>
        <n x="493"/>
      </t>
    </mdx>
    <mdx n="508" f="v">
      <t c="3" si="4">
        <n x="509"/>
        <n x="95"/>
        <n x="493"/>
      </t>
    </mdx>
    <mdx n="508" f="v">
      <t c="3" si="4">
        <n x="509"/>
        <n x="185"/>
        <n x="471"/>
      </t>
    </mdx>
    <mdx n="508" f="v">
      <t c="3" si="4">
        <n x="509"/>
        <n x="321"/>
        <n x="483"/>
      </t>
    </mdx>
    <mdx n="508" f="v">
      <t c="3" si="4">
        <n x="509"/>
        <n x="274"/>
        <n x="483"/>
      </t>
    </mdx>
    <mdx n="508" f="v">
      <t c="3" si="4">
        <n x="509"/>
        <n x="446"/>
        <n x="485"/>
      </t>
    </mdx>
    <mdx n="508" f="v">
      <t c="3" si="4">
        <n x="509"/>
        <n x="108"/>
        <n x="486"/>
      </t>
    </mdx>
    <mdx n="508" f="v">
      <t c="3" si="4">
        <n x="509"/>
        <n x="82"/>
        <n x="486"/>
      </t>
    </mdx>
    <mdx n="508" f="v">
      <t c="3" si="4">
        <n x="509"/>
        <n x="150"/>
        <n x="487"/>
      </t>
    </mdx>
    <mdx n="508" f="v">
      <t c="3" si="4">
        <n x="509"/>
        <n x="297"/>
        <n x="484"/>
      </t>
    </mdx>
    <mdx n="508" f="v">
      <t c="3" si="4">
        <n x="509"/>
        <n x="296"/>
        <n x="487"/>
      </t>
    </mdx>
    <mdx n="508" f="v">
      <t c="3" si="4">
        <n x="509"/>
        <n x="125"/>
        <n x="488"/>
      </t>
    </mdx>
    <mdx n="508" f="v">
      <t c="3" si="4">
        <n x="509"/>
        <n x="335"/>
        <n x="489"/>
      </t>
    </mdx>
    <mdx n="508" f="v">
      <t c="3" si="4">
        <n x="509"/>
        <n x="412"/>
        <n x="484"/>
      </t>
    </mdx>
    <mdx n="508" f="v">
      <t c="3" si="4">
        <n x="509"/>
        <n x="451"/>
        <n x="489"/>
      </t>
    </mdx>
    <mdx n="508" f="v">
      <t c="3" si="4">
        <n x="509"/>
        <n x="440"/>
        <n x="491"/>
      </t>
    </mdx>
    <mdx n="508" f="v">
      <t c="3" si="4">
        <n x="509"/>
        <n x="365"/>
        <n x="485"/>
      </t>
    </mdx>
    <mdx n="508" f="v">
      <t c="3" si="4">
        <n x="509"/>
        <n x="220"/>
        <n x="490"/>
      </t>
    </mdx>
    <mdx n="508" f="v">
      <t c="3" si="4">
        <n x="509"/>
        <n x="94"/>
        <n x="491"/>
      </t>
    </mdx>
    <mdx n="508" f="v">
      <t c="3" si="4">
        <n x="509"/>
        <n x="147"/>
        <n x="491"/>
      </t>
    </mdx>
    <mdx n="508" f="v">
      <t c="3" si="4">
        <n x="509"/>
        <n x="126"/>
        <n x="488"/>
      </t>
    </mdx>
    <mdx n="508" f="v">
      <t c="3" si="4">
        <n x="509"/>
        <n x="399"/>
        <n x="490"/>
      </t>
    </mdx>
    <mdx n="508" f="v">
      <t c="3" si="4">
        <n x="509"/>
        <n x="326"/>
        <n x="491"/>
      </t>
    </mdx>
    <mdx n="508" f="v">
      <t c="3" si="4">
        <n x="509"/>
        <n x="268"/>
        <n x="482"/>
      </t>
    </mdx>
    <mdx n="508" f="v">
      <t c="3" si="4">
        <n x="509"/>
        <n x="323"/>
        <n x="489"/>
      </t>
    </mdx>
    <mdx n="508" f="v">
      <t c="3" si="4">
        <n x="509"/>
        <n x="142"/>
        <n x="490"/>
      </t>
    </mdx>
    <mdx n="508" f="v">
      <t c="3" si="4">
        <n x="509"/>
        <n x="415"/>
        <n x="491"/>
      </t>
    </mdx>
    <mdx n="508" f="v">
      <t c="3" si="4">
        <n x="509"/>
        <n x="212"/>
        <n x="484"/>
      </t>
    </mdx>
    <mdx n="508" f="v">
      <t c="3" si="4">
        <n x="509"/>
        <n x="57"/>
        <n x="489"/>
      </t>
    </mdx>
    <mdx n="508" f="v">
      <t c="3" si="4">
        <n x="509"/>
        <n x="370"/>
        <n x="491"/>
      </t>
    </mdx>
    <mdx n="508" f="v">
      <t c="3" si="4">
        <n x="509"/>
        <n x="361"/>
        <n x="483"/>
      </t>
    </mdx>
    <mdx n="508" f="v">
      <t c="3" si="4">
        <n x="509"/>
        <n x="332"/>
        <n x="484"/>
      </t>
    </mdx>
    <mdx n="508" f="v">
      <t c="3" si="4">
        <n x="509"/>
        <n x="307"/>
        <n x="489"/>
      </t>
    </mdx>
    <mdx n="508" f="v">
      <t c="3" si="4">
        <n x="509"/>
        <n x="402"/>
        <n x="491"/>
      </t>
    </mdx>
    <mdx n="508" f="v">
      <t c="3" si="4">
        <n x="509"/>
        <n x="144"/>
        <n x="490"/>
      </t>
    </mdx>
    <mdx n="508" f="v">
      <t c="3" si="4">
        <n x="509"/>
        <n x="393"/>
        <n x="487"/>
      </t>
    </mdx>
    <mdx n="508" f="v">
      <t c="3" si="4">
        <n x="509"/>
        <n x="200"/>
        <n x="490"/>
      </t>
    </mdx>
    <mdx n="508" f="v">
      <t c="3" si="4">
        <n x="509"/>
        <n x="396"/>
        <n x="491"/>
      </t>
    </mdx>
    <mdx n="508" f="v">
      <t c="3" si="4">
        <n x="509"/>
        <n x="449"/>
        <n x="492"/>
      </t>
    </mdx>
    <mdx n="508" f="v">
      <t c="3" si="4">
        <n x="509"/>
        <n x="37"/>
        <n x="492"/>
      </t>
    </mdx>
    <mdx n="508" f="v">
      <t c="3" si="4">
        <n x="509"/>
        <n x="75"/>
        <n x="492"/>
      </t>
    </mdx>
    <mdx n="508" f="v">
      <t c="3" si="4">
        <n x="509"/>
        <n x="358"/>
        <n x="492"/>
      </t>
    </mdx>
    <mdx n="508" f="v">
      <t c="3" si="4">
        <n x="509"/>
        <n x="97"/>
        <n x="492"/>
      </t>
    </mdx>
    <mdx n="508" f="v">
      <t c="3" si="4">
        <n x="509"/>
        <n x="32"/>
        <n x="492"/>
      </t>
    </mdx>
    <mdx n="508" f="v">
      <t c="3" si="4">
        <n x="509"/>
        <n x="328"/>
        <n x="492"/>
      </t>
    </mdx>
    <mdx n="508" f="v">
      <t c="3" si="4">
        <n x="509"/>
        <n x="168"/>
        <n x="493"/>
      </t>
    </mdx>
    <mdx n="508" f="v">
      <t c="3" si="4">
        <n x="509"/>
        <n x="359"/>
        <n x="493"/>
      </t>
    </mdx>
    <mdx n="508" f="v">
      <t c="3" si="4">
        <n x="509"/>
        <n x="166"/>
        <n x="493"/>
      </t>
    </mdx>
    <mdx n="508" f="v">
      <t c="3" si="4">
        <n x="509"/>
        <n x="141"/>
        <n x="493"/>
      </t>
    </mdx>
    <mdx n="508" f="v">
      <t c="3" si="4">
        <n x="509"/>
        <n x="393"/>
        <n x="493"/>
      </t>
    </mdx>
    <mdx n="508" f="v">
      <t c="3" si="4">
        <n x="509"/>
        <n x="371"/>
        <n x="493"/>
      </t>
    </mdx>
    <mdx n="508" f="v">
      <t c="3" si="4">
        <n x="509"/>
        <n x="435"/>
        <n x="493"/>
      </t>
    </mdx>
    <mdx n="508" f="v">
      <t c="3" si="4">
        <n x="509"/>
        <n x="394"/>
        <n x="477"/>
      </t>
    </mdx>
    <mdx n="508" f="v">
      <t c="3" si="4">
        <n x="509"/>
        <n x="180"/>
        <n x="471"/>
      </t>
    </mdx>
    <mdx n="508" f="v">
      <t c="3" si="4">
        <n x="509"/>
        <n x="464"/>
        <n x="486"/>
      </t>
    </mdx>
    <mdx n="508" f="v">
      <t c="3" si="4">
        <n x="509"/>
        <n x="411"/>
        <n x="487"/>
      </t>
    </mdx>
    <mdx n="508" f="v">
      <t c="3" si="4">
        <n x="509"/>
        <n x="77"/>
        <n x="478"/>
      </t>
    </mdx>
    <mdx n="508" f="v">
      <t c="3" si="4">
        <n x="509"/>
        <n x="458"/>
        <n x="471"/>
      </t>
    </mdx>
    <mdx n="508" f="v">
      <t c="3" si="4">
        <n x="509"/>
        <n x="216"/>
        <n x="481"/>
      </t>
    </mdx>
    <mdx n="508" f="v">
      <t c="3" si="4">
        <n x="509"/>
        <n x="54"/>
        <n x="489"/>
      </t>
    </mdx>
    <mdx n="508" f="v">
      <t c="3" si="4">
        <n x="509"/>
        <n x="426"/>
        <n x="485"/>
      </t>
    </mdx>
    <mdx n="508" f="v">
      <t c="3" si="4">
        <n x="509"/>
        <n x="87"/>
        <n x="487"/>
      </t>
    </mdx>
    <mdx n="508" f="v">
      <t c="3" si="4">
        <n x="509"/>
        <n x="9"/>
        <n x="488"/>
      </t>
    </mdx>
    <mdx n="508" f="v">
      <t c="3" si="4">
        <n x="509"/>
        <n x="197"/>
        <n x="489"/>
      </t>
    </mdx>
    <mdx n="508" f="v">
      <t c="3" si="4">
        <n x="509"/>
        <n x="121"/>
        <n x="487"/>
      </t>
    </mdx>
    <mdx n="508" f="v">
      <t c="3" si="4">
        <n x="509"/>
        <n x="128"/>
        <n x="490"/>
      </t>
    </mdx>
    <mdx n="508" f="v">
      <t c="3" si="4">
        <n x="509"/>
        <n x="282"/>
        <n x="491"/>
      </t>
    </mdx>
    <mdx n="508" f="v">
      <t c="3" si="4">
        <n x="509"/>
        <n x="169"/>
        <n x="488"/>
      </t>
    </mdx>
    <mdx n="508" f="v">
      <t c="3" si="4">
        <n x="509"/>
        <n x="64"/>
        <n x="490"/>
      </t>
    </mdx>
    <mdx n="508" f="v">
      <t c="3" si="4">
        <n x="509"/>
        <n x="266"/>
        <n x="491"/>
      </t>
    </mdx>
    <mdx n="508" f="v">
      <t c="3" si="4">
        <n x="509"/>
        <n x="358"/>
        <n x="483"/>
      </t>
    </mdx>
    <mdx n="508" f="v">
      <t c="3" si="4">
        <n x="509"/>
        <n x="248"/>
        <n x="489"/>
      </t>
    </mdx>
    <mdx n="508" f="v">
      <t c="3" si="4">
        <n x="509"/>
        <n x="227"/>
        <n x="490"/>
      </t>
    </mdx>
    <mdx n="508" f="v">
      <t c="3" si="4">
        <n x="509"/>
        <n x="411"/>
        <n x="485"/>
      </t>
    </mdx>
    <mdx n="508" f="v">
      <t c="3" si="4">
        <n x="509"/>
        <n x="77"/>
        <n x="485"/>
      </t>
    </mdx>
    <mdx n="508" f="v">
      <t c="3" si="4">
        <n x="509"/>
        <n x="301"/>
        <n x="490"/>
      </t>
    </mdx>
    <mdx n="508" f="v">
      <t c="3" si="4">
        <n x="509"/>
        <n x="221"/>
        <n x="491"/>
      </t>
    </mdx>
    <mdx n="508" f="v">
      <t c="3" si="4">
        <n x="509"/>
        <n x="210"/>
        <n x="490"/>
      </t>
    </mdx>
    <mdx n="508" f="v">
      <t c="3" si="4">
        <n x="509"/>
        <n x="332"/>
        <n x="487"/>
      </t>
    </mdx>
    <mdx n="508" f="v">
      <t c="3" si="4">
        <n x="509"/>
        <n x="264"/>
        <n x="490"/>
      </t>
    </mdx>
    <mdx n="508" f="v">
      <t c="3" si="4">
        <n x="509"/>
        <n x="294"/>
        <n x="491"/>
      </t>
    </mdx>
    <mdx n="508" f="v">
      <t c="3" si="4">
        <n x="509"/>
        <n x="249"/>
        <n x="491"/>
      </t>
    </mdx>
    <mdx n="508" f="v">
      <t c="3" si="4">
        <n x="509"/>
        <n x="339"/>
        <n x="488"/>
      </t>
    </mdx>
    <mdx n="508" f="v">
      <t c="3" si="4">
        <n x="509"/>
        <n x="283"/>
        <n x="490"/>
      </t>
    </mdx>
    <mdx n="508" f="v">
      <t c="3" si="4">
        <n x="509"/>
        <n x="62"/>
        <n x="491"/>
      </t>
    </mdx>
    <mdx n="508" f="v">
      <t c="3" si="4">
        <n x="509"/>
        <n x="337"/>
        <n x="481"/>
      </t>
    </mdx>
    <mdx n="508" f="v">
      <t c="3" si="4">
        <n x="509"/>
        <n x="192"/>
        <n x="489"/>
      </t>
    </mdx>
    <mdx n="508" f="v">
      <t c="3" si="4">
        <n x="509"/>
        <n x="195"/>
        <n x="490"/>
      </t>
    </mdx>
    <mdx n="508" f="v">
      <t c="3" si="4">
        <n x="509"/>
        <n x="121"/>
        <n x="481"/>
      </t>
    </mdx>
    <mdx n="508" f="v">
      <t c="3" si="4">
        <n x="509"/>
        <n x="461"/>
        <n x="5"/>
      </t>
    </mdx>
    <mdx n="508" f="v">
      <t c="3" si="4">
        <n x="509"/>
        <n x="35"/>
        <n x="492"/>
      </t>
    </mdx>
    <mdx n="508" f="v">
      <t c="3" si="4">
        <n x="509"/>
        <n x="133"/>
        <n x="492"/>
      </t>
    </mdx>
    <mdx n="508" f="v">
      <t c="3" si="4">
        <n x="509"/>
        <n x="176"/>
        <n x="492"/>
      </t>
    </mdx>
    <mdx n="508" f="v">
      <t c="3" si="4">
        <n x="509"/>
        <n x="308"/>
        <n x="471"/>
      </t>
    </mdx>
    <mdx n="508" f="v">
      <t c="3" si="4">
        <n x="509"/>
        <n x="271"/>
        <n x="485"/>
      </t>
    </mdx>
    <mdx n="508" f="v">
      <t c="3" si="4">
        <n x="509"/>
        <n x="383"/>
        <n x="2"/>
      </t>
    </mdx>
    <mdx n="508" f="v">
      <t c="3" si="4">
        <n x="509"/>
        <n x="184"/>
        <n x="481"/>
      </t>
    </mdx>
    <mdx n="508" f="v">
      <t c="3" si="4">
        <n x="509"/>
        <n x="336"/>
        <n x="481"/>
      </t>
    </mdx>
    <mdx n="508" f="v">
      <t c="3" si="4">
        <n x="509"/>
        <n x="138"/>
        <n x="479"/>
      </t>
    </mdx>
    <mdx n="508" f="v">
      <t c="3" si="4">
        <n x="509"/>
        <n x="314"/>
        <n x="481"/>
      </t>
    </mdx>
    <mdx n="508" f="v">
      <t c="3" si="4">
        <n x="509"/>
        <n x="364"/>
        <n x="483"/>
      </t>
    </mdx>
    <mdx n="508" f="v">
      <t c="3" si="4">
        <n x="509"/>
        <n x="212"/>
        <n x="485"/>
      </t>
    </mdx>
    <mdx n="508" f="v">
      <t c="3" si="4">
        <n x="509"/>
        <n x="65"/>
        <n x="487"/>
      </t>
    </mdx>
    <mdx n="508" f="v">
      <t c="3" si="4">
        <n x="509"/>
        <n x="6"/>
        <n x="471"/>
      </t>
    </mdx>
    <mdx n="508" f="v">
      <t c="3" si="4">
        <n x="509"/>
        <n x="441"/>
        <n x="483"/>
      </t>
    </mdx>
    <mdx n="508" f="v">
      <t c="3" si="4">
        <n x="509"/>
        <n x="274"/>
        <n x="484"/>
      </t>
    </mdx>
    <mdx n="508" f="v">
      <t c="3" si="4">
        <n x="509"/>
        <n x="336"/>
        <n x="486"/>
      </t>
    </mdx>
    <mdx n="508" f="v">
      <t c="3" si="4">
        <n x="509"/>
        <n x="75"/>
        <n x="487"/>
      </t>
    </mdx>
    <mdx n="508" f="v">
      <t c="3" si="4">
        <n x="509"/>
        <n x="436"/>
        <n x="481"/>
      </t>
    </mdx>
    <mdx n="508" f="v">
      <t c="3" si="4">
        <n x="509"/>
        <n x="20"/>
        <n x="483"/>
      </t>
    </mdx>
    <mdx n="508" f="v">
      <t c="3" si="4">
        <n x="509"/>
        <n x="73"/>
        <n x="484"/>
      </t>
    </mdx>
    <mdx n="508" f="v">
      <t c="3" si="4">
        <n x="509"/>
        <n x="193"/>
        <n x="486"/>
      </t>
    </mdx>
    <mdx n="508" f="v">
      <t c="3" si="4">
        <n x="509"/>
        <n x="267"/>
        <n x="487"/>
      </t>
    </mdx>
    <mdx n="508" f="v">
      <t c="3" si="4">
        <n x="509"/>
        <n x="240"/>
        <n x="481"/>
      </t>
    </mdx>
    <mdx n="508" f="v">
      <t c="3" si="4">
        <n x="509"/>
        <n x="284"/>
        <n x="483"/>
      </t>
    </mdx>
    <mdx n="508" f="v">
      <t c="3" si="4">
        <n x="509"/>
        <n x="209"/>
        <n x="484"/>
      </t>
    </mdx>
    <mdx n="508" f="v">
      <t c="3" si="4">
        <n x="509"/>
        <n x="184"/>
        <n x="486"/>
      </t>
    </mdx>
    <mdx n="508" f="v">
      <t c="3" si="4">
        <n x="509"/>
        <n x="53"/>
        <n x="487"/>
      </t>
    </mdx>
    <mdx n="508" f="v">
      <t c="3" si="4">
        <n x="509"/>
        <n x="257"/>
        <n x="489"/>
      </t>
    </mdx>
    <mdx n="508" f="v">
      <t c="3" si="4">
        <n x="509"/>
        <n x="319"/>
        <n x="481"/>
      </t>
    </mdx>
    <mdx n="508" f="v">
      <t c="3" si="4">
        <n x="509"/>
        <n x="46"/>
        <n x="483"/>
      </t>
    </mdx>
    <mdx n="508" f="v">
      <t c="3" si="4">
        <n x="509"/>
        <n x="352"/>
        <n x="484"/>
      </t>
    </mdx>
    <mdx n="508" f="v">
      <t c="3" si="4">
        <n x="509"/>
        <n x="233"/>
        <n x="486"/>
      </t>
    </mdx>
    <mdx n="508" f="v">
      <t c="3" si="4">
        <n x="509"/>
        <n x="421"/>
        <n x="487"/>
      </t>
    </mdx>
    <mdx n="508" f="v">
      <t c="3" si="4">
        <n x="509"/>
        <n x="24"/>
        <n x="489"/>
      </t>
    </mdx>
    <mdx n="508" f="v">
      <t c="3" si="4">
        <n x="509"/>
        <n x="69"/>
        <n x="482"/>
      </t>
    </mdx>
    <mdx n="508" f="v">
      <t c="3" si="4">
        <n x="509"/>
        <n x="9"/>
        <n x="483"/>
      </t>
    </mdx>
    <mdx n="508" f="v">
      <t c="3" si="4">
        <n x="509"/>
        <n x="88"/>
        <n x="485"/>
      </t>
    </mdx>
    <mdx n="508" f="v">
      <t c="3" si="4">
        <n x="509"/>
        <n x="153"/>
        <n x="486"/>
      </t>
    </mdx>
    <mdx n="508" f="v">
      <t c="3" si="4">
        <n x="509"/>
        <n x="351"/>
        <n x="488"/>
      </t>
    </mdx>
    <mdx n="508" f="v">
      <t c="3" si="4">
        <n x="509"/>
        <n x="437"/>
        <n x="479"/>
      </t>
    </mdx>
    <mdx n="508" f="v">
      <t c="3" si="4">
        <n x="509"/>
        <n x="199"/>
        <n x="483"/>
      </t>
    </mdx>
    <mdx n="508" f="v">
      <t c="3" si="4">
        <n x="509"/>
        <n x="321"/>
        <n x="484"/>
      </t>
    </mdx>
    <mdx n="508" f="v">
      <t c="3" si="4">
        <n x="509"/>
        <n x="150"/>
        <n x="485"/>
      </t>
    </mdx>
    <mdx n="508" f="v">
      <t c="3" si="4">
        <n x="509"/>
        <n x="193"/>
        <n x="466"/>
      </t>
    </mdx>
    <mdx n="508" f="v">
      <t c="3" si="4">
        <n x="509"/>
        <n x="438"/>
        <n x="468"/>
      </t>
    </mdx>
    <mdx n="508" f="v">
      <t c="3" si="4">
        <n x="509"/>
        <n x="370"/>
        <n x="476"/>
      </t>
    </mdx>
    <mdx n="508" f="v">
      <t c="3" si="4">
        <n x="509"/>
        <n x="464"/>
        <n x="476"/>
      </t>
    </mdx>
    <mdx n="508" f="v">
      <t c="3" si="4">
        <n x="509"/>
        <n x="6"/>
        <n x="468"/>
      </t>
    </mdx>
    <mdx n="508" f="v">
      <t c="3" si="4">
        <n x="509"/>
        <n x="369"/>
        <n x="471"/>
      </t>
    </mdx>
    <mdx n="508" f="v">
      <t c="3" si="4">
        <n x="509"/>
        <n x="174"/>
        <n x="471"/>
      </t>
    </mdx>
    <mdx n="508" f="v">
      <t c="3" si="4">
        <n x="509"/>
        <n x="13"/>
        <n x="480"/>
      </t>
    </mdx>
    <mdx n="508" f="v">
      <t c="3" si="4">
        <n x="509"/>
        <n x="441"/>
        <n x="479"/>
      </t>
    </mdx>
    <mdx n="508" f="v">
      <t c="3" si="4">
        <n x="509"/>
        <n x="210"/>
        <n x="480"/>
      </t>
    </mdx>
    <mdx n="508" f="v">
      <t c="3" si="4">
        <n x="509"/>
        <n x="298"/>
        <n x="468"/>
      </t>
    </mdx>
    <mdx n="508" f="v">
      <t c="3" si="4">
        <n x="509"/>
        <n x="230"/>
        <n x="471"/>
      </t>
    </mdx>
    <mdx n="508" f="v">
      <t c="3" si="4">
        <n x="509"/>
        <n x="425"/>
        <n x="479"/>
      </t>
    </mdx>
    <mdx n="508" f="v">
      <t c="3" si="4">
        <n x="509"/>
        <n x="50"/>
        <n x="480"/>
      </t>
    </mdx>
    <mdx n="508" f="v">
      <t c="3" si="4">
        <n x="509"/>
        <n x="386"/>
        <n x="479"/>
      </t>
    </mdx>
    <mdx n="508" f="v">
      <t c="3" si="4">
        <n x="509"/>
        <n x="79"/>
        <n x="482"/>
      </t>
    </mdx>
    <mdx n="508" f="v">
      <t c="3" si="4">
        <n x="509"/>
        <n x="298"/>
        <n x="483"/>
      </t>
    </mdx>
    <mdx n="508" f="v">
      <t c="3" si="4">
        <n x="509"/>
        <n x="95"/>
        <n x="484"/>
      </t>
    </mdx>
    <mdx n="508" f="v">
      <t c="3" si="4">
        <n x="509"/>
        <n x="3"/>
        <n x="485"/>
      </t>
    </mdx>
    <mdx n="508" f="v">
      <t c="3" si="4">
        <n x="509"/>
        <n x="24"/>
        <n x="487"/>
      </t>
    </mdx>
    <mdx n="508" f="v">
      <t c="3" si="4">
        <n x="509"/>
        <n x="146"/>
        <n x="488"/>
      </t>
    </mdx>
    <mdx n="508" f="v">
      <t c="3" si="4">
        <n x="509"/>
        <n x="233"/>
        <n x="489"/>
      </t>
    </mdx>
    <mdx n="508" f="v">
      <t c="3" si="4">
        <n x="509"/>
        <n x="263"/>
        <n x="482"/>
      </t>
    </mdx>
    <mdx n="508" f="v">
      <t c="3" si="4">
        <n x="509"/>
        <n x="132"/>
        <n x="483"/>
      </t>
    </mdx>
    <mdx n="508" f="v">
      <t c="3" si="4">
        <n x="509"/>
        <n x="442"/>
        <n x="484"/>
      </t>
    </mdx>
    <mdx n="508" f="v">
      <t c="3" si="4">
        <n x="509"/>
        <n x="176"/>
        <n x="485"/>
      </t>
    </mdx>
    <mdx n="508" f="v">
      <t c="3" si="4">
        <n x="509"/>
        <n x="433"/>
        <n x="486"/>
      </t>
    </mdx>
    <mdx n="508" f="v">
      <t c="3" si="4">
        <n x="509"/>
        <n x="142"/>
        <n x="487"/>
      </t>
    </mdx>
    <mdx n="508" f="v">
      <t c="3" si="4">
        <n x="509"/>
        <n x="10"/>
        <n x="471"/>
      </t>
    </mdx>
    <mdx n="508" f="v">
      <t c="3" si="4">
        <n x="509"/>
        <n x="192"/>
        <n x="482"/>
      </t>
    </mdx>
    <mdx n="508" f="v">
      <t c="3" si="4">
        <n x="509"/>
        <n x="183"/>
        <n x="483"/>
      </t>
    </mdx>
    <mdx n="508" f="v">
      <t c="3" si="4">
        <n x="509"/>
        <n x="462"/>
        <n x="484"/>
      </t>
    </mdx>
    <mdx n="508" f="v">
      <t c="3" si="4">
        <n x="509"/>
        <n x="188"/>
        <n x="485"/>
      </t>
    </mdx>
    <mdx n="508" f="v">
      <t c="3" si="4">
        <n x="509"/>
        <n x="263"/>
        <n x="487"/>
      </t>
    </mdx>
    <mdx n="508" f="v">
      <t c="3" si="4">
        <n x="509"/>
        <n x="416"/>
        <n x="488"/>
      </t>
    </mdx>
    <mdx n="508" f="v">
      <t c="3" si="4">
        <n x="509"/>
        <n x="382"/>
        <n x="481"/>
      </t>
    </mdx>
    <mdx n="508" f="v">
      <t c="3" si="4">
        <n x="509"/>
        <n x="135"/>
        <n x="482"/>
      </t>
    </mdx>
    <mdx n="508" f="v">
      <t c="3" si="4">
        <n x="509"/>
        <n x="114"/>
        <n x="483"/>
      </t>
    </mdx>
    <mdx n="508" f="v">
      <t c="3" si="4">
        <n x="509"/>
        <n x="33"/>
        <n x="485"/>
      </t>
    </mdx>
    <mdx n="508" f="v">
      <t c="3" si="4">
        <n x="509"/>
        <n x="219"/>
        <n x="486"/>
      </t>
    </mdx>
    <mdx n="508" f="v">
      <t c="3" si="4">
        <n x="509"/>
        <n x="356"/>
        <n x="487"/>
      </t>
    </mdx>
    <mdx n="508" f="v">
      <t c="3" si="4">
        <n x="509"/>
        <n x="360"/>
        <n x="488"/>
      </t>
    </mdx>
    <mdx n="508" f="v">
      <t c="3" si="4">
        <n x="509"/>
        <n x="339"/>
        <n x="489"/>
      </t>
    </mdx>
    <mdx n="508" f="v">
      <t c="3" si="4">
        <n x="509"/>
        <n x="129"/>
        <n x="481"/>
      </t>
    </mdx>
    <mdx n="508" f="v">
      <t c="3" si="4">
        <n x="509"/>
        <n x="280"/>
        <n x="482"/>
      </t>
    </mdx>
    <mdx n="508" f="v">
      <t c="3" si="4">
        <n x="509"/>
        <n x="90"/>
        <n x="483"/>
      </t>
    </mdx>
    <mdx n="508" f="v">
      <t c="3" si="4">
        <n x="509"/>
        <n x="235"/>
        <n x="485"/>
      </t>
    </mdx>
    <mdx n="508" f="v">
      <t c="3" si="4">
        <n x="509"/>
        <n x="301"/>
        <n x="486"/>
      </t>
    </mdx>
    <mdx n="508" f="v">
      <t c="3" si="4">
        <n x="509"/>
        <n x="154"/>
        <n x="487"/>
      </t>
    </mdx>
    <mdx n="508" f="v">
      <t c="3" si="4">
        <n x="509"/>
        <n x="345"/>
        <n x="488"/>
      </t>
    </mdx>
    <mdx n="508" f="v">
      <t c="3" si="4">
        <n x="509"/>
        <n x="194"/>
        <n x="489"/>
      </t>
    </mdx>
    <mdx n="508" f="v">
      <t c="3" si="4">
        <n x="509"/>
        <n x="84"/>
        <n x="482"/>
      </t>
    </mdx>
    <mdx n="508" f="v">
      <t c="3" si="4">
        <n x="509"/>
        <n x="367"/>
        <n x="483"/>
      </t>
    </mdx>
    <mdx n="508" f="v">
      <t c="3" si="4">
        <n x="509"/>
        <n x="174"/>
        <n x="484"/>
      </t>
    </mdx>
    <mdx n="508" f="v">
      <t c="3" si="4">
        <n x="509"/>
        <n x="262"/>
        <n x="485"/>
      </t>
    </mdx>
    <mdx n="508" f="v">
      <t c="3" si="4">
        <n x="509"/>
        <n x="106"/>
        <n x="486"/>
      </t>
    </mdx>
    <mdx n="508" f="v">
      <t c="3" si="4">
        <n x="509"/>
        <n x="74"/>
        <n x="487"/>
      </t>
    </mdx>
    <mdx n="508" f="v">
      <t c="3" si="4">
        <n x="509"/>
        <n x="73"/>
        <n x="488"/>
      </t>
    </mdx>
    <mdx n="508" f="v">
      <t c="3" si="4">
        <n x="509"/>
        <n x="360"/>
        <n x="481"/>
      </t>
    </mdx>
    <mdx n="508" f="v">
      <t c="3" si="4">
        <n x="509"/>
        <n x="210"/>
        <n x="482"/>
      </t>
    </mdx>
    <mdx n="508" f="v">
      <t c="3" si="4">
        <n x="509"/>
        <n x="80"/>
        <n x="483"/>
      </t>
    </mdx>
    <mdx n="508" f="v">
      <t c="3" si="4">
        <n x="509"/>
        <n x="22"/>
        <n x="485"/>
      </t>
    </mdx>
    <mdx n="508" f="v">
      <t c="3" si="4">
        <n x="509"/>
        <n x="284"/>
        <n x="486"/>
      </t>
    </mdx>
    <mdx n="508" f="v">
      <t c="3" si="4">
        <n x="509"/>
        <n x="149"/>
        <n x="487"/>
      </t>
    </mdx>
    <mdx n="508" f="v">
      <t c="3" si="4">
        <n x="509"/>
        <n x="218"/>
        <n x="481"/>
      </t>
    </mdx>
    <mdx n="508" f="v">
      <t c="3" si="4">
        <n x="509"/>
        <n x="69"/>
        <n x="481"/>
      </t>
    </mdx>
    <mdx n="508" f="v">
      <t c="3" si="4">
        <n x="509"/>
        <n x="25"/>
        <n x="479"/>
      </t>
    </mdx>
    <mdx n="508" f="v">
      <t c="3" si="4">
        <n x="509"/>
        <n x="307"/>
        <n x="482"/>
      </t>
    </mdx>
    <mdx n="508" f="v">
      <t c="3" si="4">
        <n x="509"/>
        <n x="269"/>
        <n x="484"/>
      </t>
    </mdx>
    <mdx n="508" f="v">
      <t c="3" si="4">
        <n x="509"/>
        <n x="463"/>
        <n x="484"/>
      </t>
    </mdx>
    <mdx n="508" f="v">
      <t c="3" si="4">
        <n x="509"/>
        <n x="74"/>
        <n x="484"/>
      </t>
    </mdx>
    <mdx n="508" f="v">
      <t c="3" si="4">
        <n x="509"/>
        <n x="108"/>
        <n x="482"/>
      </t>
    </mdx>
    <mdx n="508" f="v">
      <t c="3" si="4">
        <n x="509"/>
        <n x="322"/>
        <n x="486"/>
      </t>
    </mdx>
    <mdx n="508" f="v">
      <t c="3" si="4">
        <n x="509"/>
        <n x="271"/>
        <n x="488"/>
      </t>
    </mdx>
    <mdx n="508" f="v">
      <t c="3" si="4">
        <n x="509"/>
        <n x="145"/>
        <n x="489"/>
      </t>
    </mdx>
    <mdx n="508" f="v">
      <t c="3" si="4">
        <n x="509"/>
        <n x="208"/>
        <n x="482"/>
      </t>
    </mdx>
    <mdx n="508" f="v">
      <t c="3" si="4">
        <n x="509"/>
        <n x="14"/>
        <n x="489"/>
      </t>
    </mdx>
    <mdx n="508" f="v">
      <t c="3" si="4">
        <n x="509"/>
        <n x="436"/>
        <n x="490"/>
      </t>
    </mdx>
    <mdx n="508" f="v">
      <t c="3" si="4">
        <n x="509"/>
        <n x="176"/>
        <n x="483"/>
      </t>
    </mdx>
    <mdx n="508" f="v">
      <t c="3" si="4">
        <n x="509"/>
        <n x="392"/>
        <n x="489"/>
      </t>
    </mdx>
    <mdx n="508" f="v">
      <t c="3" si="4">
        <n x="509"/>
        <n x="12"/>
        <n x="490"/>
      </t>
    </mdx>
    <mdx n="508" f="v">
      <t c="3" si="4">
        <n x="509"/>
        <n x="114"/>
        <n x="486"/>
      </t>
    </mdx>
    <mdx n="508" f="v">
      <t c="3" si="4">
        <n x="509"/>
        <n x="396"/>
        <n x="486"/>
      </t>
    </mdx>
    <mdx n="508" f="v">
      <t c="3" si="4">
        <n x="509"/>
        <n x="348"/>
        <n x="490"/>
      </t>
    </mdx>
    <mdx n="508" f="v">
      <t c="3" si="4">
        <n x="509"/>
        <n x="385"/>
        <n x="491"/>
      </t>
    </mdx>
    <mdx n="508" f="v">
      <t c="3" si="4">
        <n x="509"/>
        <n x="132"/>
        <n x="491"/>
      </t>
    </mdx>
    <mdx n="508" f="v">
      <t c="3" si="4">
        <n x="509"/>
        <n x="389"/>
        <n x="488"/>
      </t>
    </mdx>
    <mdx n="508" f="v">
      <t c="3" si="4">
        <n x="509"/>
        <n x="127"/>
        <n x="490"/>
      </t>
    </mdx>
    <mdx n="508" f="v">
      <t c="3" si="4">
        <n x="509"/>
        <n x="230"/>
        <n x="491"/>
      </t>
    </mdx>
    <mdx n="508" f="v">
      <t c="3" si="4">
        <n x="509"/>
        <n x="288"/>
        <n x="481"/>
      </t>
    </mdx>
    <mdx n="508" f="v">
      <t c="3" si="4">
        <n x="509"/>
        <n x="385"/>
        <n x="489"/>
      </t>
    </mdx>
    <mdx n="508" f="v">
      <t c="3" si="4">
        <n x="509"/>
        <n x="288"/>
        <n x="490"/>
      </t>
    </mdx>
    <mdx n="508" f="v">
      <t c="3" si="4">
        <n x="509"/>
        <n x="209"/>
        <n x="491"/>
      </t>
    </mdx>
    <mdx n="508" f="v">
      <t c="3" si="4">
        <n x="509"/>
        <n x="455"/>
        <n x="482"/>
      </t>
    </mdx>
    <mdx n="508" f="v">
      <t c="3" si="4">
        <n x="509"/>
        <n x="250"/>
        <n x="489"/>
      </t>
    </mdx>
    <mdx n="508" f="v">
      <t c="3" si="4">
        <n x="509"/>
        <n x="124"/>
        <n x="490"/>
      </t>
    </mdx>
    <mdx n="508" f="v">
      <t c="3" si="4">
        <n x="509"/>
        <n x="32"/>
        <n x="471"/>
      </t>
    </mdx>
    <mdx n="508" f="v">
      <t c="3" si="4">
        <n x="509"/>
        <n x="274"/>
        <n x="485"/>
      </t>
    </mdx>
    <mdx n="508" f="v">
      <t c="3" si="4">
        <n x="509"/>
        <n x="67"/>
        <n x="490"/>
      </t>
    </mdx>
    <mdx n="508" f="v">
      <t c="3" si="4">
        <n x="509"/>
        <n x="110"/>
        <n x="491"/>
      </t>
    </mdx>
    <mdx n="508" f="v">
      <t c="3" si="4">
        <n x="509"/>
        <n x="77"/>
        <n x="490"/>
      </t>
    </mdx>
    <mdx n="508" f="v">
      <t c="3" si="4">
        <n x="509"/>
        <n x="116"/>
        <n x="492"/>
      </t>
    </mdx>
    <mdx n="508" f="v">
      <t c="3" si="4">
        <n x="509"/>
        <n x="304"/>
        <n x="492"/>
      </t>
    </mdx>
    <mdx n="508" f="v">
      <t c="3" si="4">
        <n x="509"/>
        <n x="233"/>
        <n x="492"/>
      </t>
    </mdx>
    <mdx n="508" f="v">
      <t c="3" si="4">
        <n x="509"/>
        <n x="420"/>
        <n x="492"/>
      </t>
    </mdx>
    <mdx n="508" f="v">
      <t c="3" si="4">
        <n x="509"/>
        <n x="333"/>
        <n x="492"/>
      </t>
    </mdx>
    <mdx n="508" f="v">
      <t c="3" si="4">
        <n x="509"/>
        <n x="179"/>
        <n x="492"/>
      </t>
    </mdx>
    <mdx n="508" f="v">
      <t c="3" si="4">
        <n x="509"/>
        <n x="430"/>
        <n x="492"/>
      </t>
    </mdx>
    <mdx n="508" f="v">
      <t c="3" si="4">
        <n x="509"/>
        <n x="370"/>
        <n x="493"/>
      </t>
    </mdx>
    <mdx n="508" f="v">
      <t c="3" si="4">
        <n x="509"/>
        <n x="172"/>
        <n x="493"/>
      </t>
    </mdx>
    <mdx n="508" f="v">
      <t c="3" si="4">
        <n x="509"/>
        <n x="69"/>
        <n x="493"/>
      </t>
    </mdx>
    <mdx n="508" f="v">
      <t c="3" si="4">
        <n x="509"/>
        <n x="181"/>
        <n x="493"/>
      </t>
    </mdx>
    <mdx n="508" f="v">
      <t c="3" si="4">
        <n x="509"/>
        <n x="149"/>
        <n x="493"/>
      </t>
    </mdx>
    <mdx n="508" f="v">
      <t c="3" si="4">
        <n x="509"/>
        <n x="392"/>
        <n x="493"/>
      </t>
    </mdx>
    <mdx n="508" f="v">
      <t c="3" si="4">
        <n x="509"/>
        <n x="66"/>
        <n x="493"/>
      </t>
    </mdx>
    <mdx n="508" f="v">
      <t c="3" si="4">
        <n x="509"/>
        <n x="407"/>
        <n x="480"/>
      </t>
    </mdx>
    <mdx n="508" f="v">
      <t c="3" si="4">
        <n x="509"/>
        <n x="385"/>
        <n x="484"/>
      </t>
    </mdx>
    <mdx n="508" f="v">
      <t c="3" si="4">
        <n x="509"/>
        <n x="107"/>
        <n x="484"/>
      </t>
    </mdx>
    <mdx n="508" f="v">
      <t c="3" si="4">
        <n x="509"/>
        <n x="17"/>
        <n x="486"/>
      </t>
    </mdx>
    <mdx n="508" f="v">
      <t c="3" si="4">
        <n x="509"/>
        <n x="68"/>
        <n x="487"/>
      </t>
    </mdx>
    <mdx n="508" f="v">
      <t c="3" si="4">
        <n x="509"/>
        <n x="357"/>
        <n x="487"/>
      </t>
    </mdx>
    <mdx n="508" f="v">
      <t c="3" si="4">
        <n x="509"/>
        <n x="87"/>
        <n x="488"/>
      </t>
    </mdx>
    <mdx n="508" f="v">
      <t c="3" si="4">
        <n x="509"/>
        <n x="438"/>
        <n x="484"/>
      </t>
    </mdx>
    <mdx n="508" f="v">
      <t c="3" si="4">
        <n x="509"/>
        <n x="175"/>
        <n x="487"/>
      </t>
    </mdx>
    <mdx n="508" f="v">
      <t c="3" si="4">
        <n x="509"/>
        <n x="14"/>
        <n x="488"/>
      </t>
    </mdx>
    <mdx n="508" f="v">
      <t c="3" si="4">
        <n x="509"/>
        <n x="202"/>
        <n x="489"/>
      </t>
    </mdx>
    <mdx n="508" f="v">
      <t c="3" si="4">
        <n x="509"/>
        <n x="399"/>
        <n x="485"/>
      </t>
    </mdx>
    <mdx n="508" f="v">
      <t c="3" si="4">
        <n x="509"/>
        <n x="226"/>
        <n x="490"/>
      </t>
    </mdx>
    <mdx n="508" f="v">
      <t c="3" si="4">
        <n x="509"/>
        <n x="407"/>
        <n x="491"/>
      </t>
    </mdx>
    <mdx n="508" f="v">
      <t c="3" si="4">
        <n x="509"/>
        <n x="443"/>
        <n x="487"/>
      </t>
    </mdx>
    <mdx n="508" f="v">
      <t c="3" si="4">
        <n x="509"/>
        <n x="83"/>
        <n x="490"/>
      </t>
    </mdx>
    <mdx n="508" f="v">
      <t c="3" si="4">
        <n x="509"/>
        <n x="360"/>
        <n x="491"/>
      </t>
    </mdx>
    <mdx n="508" f="v">
      <t c="3" si="4">
        <n x="509"/>
        <n x="163"/>
        <n x="491"/>
      </t>
    </mdx>
    <mdx n="508" f="v">
      <t c="3" si="4">
        <n x="509"/>
        <n x="58"/>
        <n x="489"/>
      </t>
    </mdx>
    <mdx n="508" f="v">
      <t c="3" si="4">
        <n x="509"/>
        <n x="261"/>
        <n x="490"/>
      </t>
    </mdx>
    <mdx n="508" f="v">
      <t c="3" si="4">
        <n x="509"/>
        <n x="216"/>
        <n x="491"/>
      </t>
    </mdx>
    <mdx n="508" f="v">
      <t c="3" si="4">
        <n x="509"/>
        <n x="165"/>
        <n x="483"/>
      </t>
    </mdx>
    <mdx n="508" f="v">
      <t c="3" si="4">
        <n x="509"/>
        <n x="26"/>
        <n x="489"/>
      </t>
    </mdx>
    <mdx n="508" f="v">
      <t c="3" si="4">
        <n x="509"/>
        <n x="117"/>
        <n x="490"/>
      </t>
    </mdx>
    <mdx n="508" f="v">
      <t c="3" si="4">
        <n x="509"/>
        <n x="351"/>
        <n x="484"/>
      </t>
    </mdx>
    <mdx n="508" f="v">
      <t c="3" si="4">
        <n x="509"/>
        <n x="200"/>
        <n x="485"/>
      </t>
    </mdx>
    <mdx n="508" f="v">
      <t c="3" si="4">
        <n x="509"/>
        <n x="263"/>
        <n x="490"/>
      </t>
    </mdx>
    <mdx n="508" f="v">
      <t c="3" si="4">
        <n x="509"/>
        <n x="348"/>
        <n x="491"/>
      </t>
    </mdx>
    <mdx n="508" f="v">
      <t c="3" si="4">
        <n x="509"/>
        <n x="365"/>
        <n x="488"/>
      </t>
    </mdx>
    <mdx n="508" f="v">
      <t c="3" si="4">
        <n x="509"/>
        <n x="121"/>
        <n x="485"/>
      </t>
    </mdx>
    <mdx n="508" f="v">
      <t c="3" si="4">
        <n x="509"/>
        <n x="362"/>
        <n x="490"/>
      </t>
    </mdx>
    <mdx n="508" f="v">
      <t c="3" si="4">
        <n x="509"/>
        <n x="212"/>
        <n x="491"/>
      </t>
    </mdx>
    <mdx n="508" f="v">
      <t c="3" si="4">
        <n x="509"/>
        <n x="286"/>
        <n x="491"/>
      </t>
    </mdx>
    <mdx n="508" f="v">
      <t c="3" si="4">
        <n x="509"/>
        <n x="313"/>
        <n x="488"/>
      </t>
    </mdx>
    <mdx n="508" f="v">
      <t c="3" si="4">
        <n x="509"/>
        <n x="280"/>
        <n x="490"/>
      </t>
    </mdx>
    <mdx n="508" f="v">
      <t c="3" si="4">
        <n x="509"/>
        <n x="170"/>
        <n x="491"/>
      </t>
    </mdx>
    <mdx n="508" f="v">
      <t c="3" si="4">
        <n x="509"/>
        <n x="351"/>
        <n x="492"/>
      </t>
    </mdx>
    <mdx n="508" f="v">
      <t c="3" si="4">
        <n x="509"/>
        <n x="299"/>
        <n x="492"/>
      </t>
    </mdx>
    <mdx n="508" f="v">
      <t c="3" si="4">
        <n x="509"/>
        <n x="117"/>
        <n x="492"/>
      </t>
    </mdx>
    <mdx n="508" f="v">
      <t c="3" si="4">
        <n x="509"/>
        <n x="128"/>
        <n x="492"/>
      </t>
    </mdx>
    <mdx n="508" f="v">
      <t c="3" si="4">
        <n x="509"/>
        <n x="51"/>
        <n x="492"/>
      </t>
    </mdx>
    <mdx n="508" f="v">
      <t c="3" si="4">
        <n x="509"/>
        <n x="236"/>
        <n x="492"/>
      </t>
    </mdx>
    <mdx n="508" f="v">
      <t c="3" si="4">
        <n x="509"/>
        <n x="112"/>
        <n x="492"/>
      </t>
    </mdx>
    <mdx n="508" f="v">
      <t c="3" si="4">
        <n x="509"/>
        <n x="145"/>
        <n x="493"/>
      </t>
    </mdx>
    <mdx n="508" f="v">
      <t c="3" si="4">
        <n x="509"/>
        <n x="267"/>
        <n x="493"/>
      </t>
    </mdx>
    <mdx n="508" f="v">
      <t c="3" si="4">
        <n x="509"/>
        <n x="143"/>
        <n x="493"/>
      </t>
    </mdx>
    <mdx n="508" f="v">
      <t c="3" si="4">
        <n x="509"/>
        <n x="238"/>
        <n x="493"/>
      </t>
    </mdx>
    <mdx n="508" f="v">
      <t c="3" si="4">
        <n x="509"/>
        <n x="101"/>
        <n x="493"/>
      </t>
    </mdx>
    <mdx n="508" f="v">
      <t c="3" si="4">
        <n x="509"/>
        <n x="436"/>
        <n x="493"/>
      </t>
    </mdx>
    <mdx n="508" f="v">
      <t c="3" si="4">
        <n x="509"/>
        <n x="415"/>
        <n x="493"/>
      </t>
    </mdx>
    <mdx n="508" f="v">
      <t c="3" si="4">
        <n x="509"/>
        <n x="397"/>
        <n x="476"/>
      </t>
    </mdx>
    <mdx n="508" f="v">
      <t c="3" si="4">
        <n x="509"/>
        <n x="29"/>
        <n x="479"/>
      </t>
    </mdx>
    <mdx n="508" f="v">
      <t c="3" si="4">
        <n x="509"/>
        <n x="285"/>
        <n x="487"/>
      </t>
    </mdx>
    <mdx n="508" f="v">
      <t c="3" si="4">
        <n x="509"/>
        <n x="406"/>
        <n x="488"/>
      </t>
    </mdx>
    <mdx n="508" f="v">
      <t c="3" si="4">
        <n x="509"/>
        <n x="144"/>
        <n x="482"/>
      </t>
    </mdx>
    <mdx n="508" f="v">
      <t c="3" si="4">
        <n x="509"/>
        <n x="299"/>
        <n x="482"/>
      </t>
    </mdx>
    <mdx n="508" f="v">
      <t c="3" si="4">
        <n x="509"/>
        <n x="188"/>
        <n x="482"/>
      </t>
    </mdx>
    <mdx n="508" f="v">
      <t c="3" si="4">
        <n x="509"/>
        <n x="236"/>
        <n x="481"/>
      </t>
    </mdx>
    <mdx n="508" f="v">
      <t c="3" si="4">
        <n x="509"/>
        <n x="80"/>
        <n x="485"/>
      </t>
    </mdx>
    <mdx n="508" f="v">
      <t c="3" si="4">
        <n x="509"/>
        <n x="208"/>
        <n x="487"/>
      </t>
    </mdx>
    <mdx n="508" f="v">
      <t c="3" si="4">
        <n x="509"/>
        <n x="204"/>
        <n x="488"/>
      </t>
    </mdx>
    <mdx n="508" f="v">
      <t c="3" si="4">
        <n x="509"/>
        <n x="208"/>
        <n x="490"/>
      </t>
    </mdx>
    <mdx n="508" f="v">
      <t c="3" si="4">
        <n x="509"/>
        <n x="332"/>
        <n x="488"/>
      </t>
    </mdx>
    <mdx n="508" f="v">
      <t c="3" si="4">
        <n x="509"/>
        <n x="101"/>
        <n x="490"/>
      </t>
    </mdx>
    <mdx n="508" f="v">
      <t c="3" si="4">
        <n x="509"/>
        <n x="415"/>
        <n x="479"/>
      </t>
    </mdx>
    <mdx n="508" f="v">
      <t c="3" si="4">
        <n x="509"/>
        <n x="359"/>
        <n x="489"/>
      </t>
    </mdx>
    <mdx n="508" f="v">
      <t c="3" si="4">
        <n x="509"/>
        <n x="294"/>
        <n x="490"/>
      </t>
    </mdx>
    <mdx n="508" f="v">
      <t c="3" si="4">
        <n x="509"/>
        <n x="228"/>
        <n x="491"/>
      </t>
    </mdx>
    <mdx n="508" f="v">
      <t c="3" si="4">
        <n x="509"/>
        <n x="384"/>
        <n x="484"/>
      </t>
    </mdx>
    <mdx n="508" f="v">
      <t c="3" si="4">
        <n x="509"/>
        <n x="56"/>
        <n x="489"/>
      </t>
    </mdx>
    <mdx n="508" f="v">
      <t c="3" si="4">
        <n x="509"/>
        <n x="437"/>
        <n x="491"/>
      </t>
    </mdx>
    <mdx n="508" f="v">
      <t c="3" si="4">
        <n x="509"/>
        <n x="9"/>
        <n x="489"/>
      </t>
    </mdx>
    <mdx n="508" f="v">
      <t c="3" si="4">
        <n x="509"/>
        <n x="247"/>
        <n x="486"/>
      </t>
    </mdx>
    <mdx n="508" f="v">
      <t c="3" si="4">
        <n x="509"/>
        <n x="217"/>
        <n x="490"/>
      </t>
    </mdx>
    <mdx n="508" f="v">
      <t c="3" si="4">
        <n x="509"/>
        <n x="38"/>
        <n x="491"/>
      </t>
    </mdx>
    <mdx n="508" f="v">
      <t c="3" si="4">
        <n x="509"/>
        <n x="162"/>
        <n x="491"/>
      </t>
    </mdx>
    <mdx n="508" f="v">
      <t c="3" si="4">
        <n x="509"/>
        <n x="108"/>
        <n x="488"/>
      </t>
    </mdx>
    <mdx n="508" f="v">
      <t c="3" si="4">
        <n x="509"/>
        <n x="237"/>
        <n x="490"/>
      </t>
    </mdx>
    <mdx n="508" f="v">
      <t c="3" si="4">
        <n x="509"/>
        <n x="18"/>
        <n x="491"/>
      </t>
    </mdx>
    <mdx n="508" f="v">
      <t c="3" si="4">
        <n x="509"/>
        <n x="319"/>
        <n x="491"/>
      </t>
    </mdx>
    <mdx n="508" f="v">
      <t c="3" si="4">
        <n x="509"/>
        <n x="239"/>
        <n x="488"/>
      </t>
    </mdx>
    <mdx n="508" f="v">
      <t c="3" si="4">
        <n x="509"/>
        <n x="175"/>
        <n x="490"/>
      </t>
    </mdx>
    <mdx n="508" f="v">
      <t c="3" si="4">
        <n x="509"/>
        <n x="153"/>
        <n x="491"/>
      </t>
    </mdx>
    <mdx n="508" f="v">
      <t c="3" si="4">
        <n x="509"/>
        <n x="450"/>
        <n x="483"/>
      </t>
    </mdx>
    <mdx n="508" f="v">
      <t c="3" si="4">
        <n x="509"/>
        <n x="106"/>
        <n x="489"/>
      </t>
    </mdx>
    <mdx n="508" f="v">
      <t c="3" si="4">
        <n x="509"/>
        <n x="159"/>
        <n x="490"/>
      </t>
    </mdx>
    <mdx n="508" f="v">
      <t c="3" si="4">
        <n x="509"/>
        <n x="257"/>
        <n x="487"/>
      </t>
    </mdx>
    <mdx n="508" f="v">
      <t c="3" si="4">
        <n x="509"/>
        <n x="48"/>
        <n x="482"/>
      </t>
    </mdx>
    <mdx n="508" f="v">
      <t c="3" si="4">
        <n x="509"/>
        <n x="238"/>
        <n x="486"/>
      </t>
    </mdx>
    <mdx n="508" f="v">
      <t c="3" si="4">
        <n x="509"/>
        <n x="47"/>
        <n x="468"/>
      </t>
    </mdx>
    <mdx n="508" f="v">
      <t c="3" si="4">
        <n x="509"/>
        <n x="462"/>
        <n x="481"/>
      </t>
    </mdx>
    <mdx n="508" f="v">
      <t c="3" si="4">
        <n x="509"/>
        <n x="276"/>
        <n x="481"/>
      </t>
    </mdx>
    <mdx n="508" f="v">
      <t c="3" si="4">
        <n x="509"/>
        <n x="439"/>
        <n x="479"/>
      </t>
    </mdx>
    <mdx n="508" f="v">
      <t c="3" si="4">
        <n x="509"/>
        <n x="429"/>
        <n x="481"/>
      </t>
    </mdx>
    <mdx n="508" f="v">
      <t c="3" si="4">
        <n x="509"/>
        <n x="449"/>
        <n x="483"/>
      </t>
    </mdx>
    <mdx n="508" f="v">
      <t c="3" si="4">
        <n x="509"/>
        <n x="43"/>
        <n x="485"/>
      </t>
    </mdx>
    <mdx n="508" f="v">
      <t c="3" si="4">
        <n x="509"/>
        <n x="95"/>
        <n x="487"/>
      </t>
    </mdx>
    <mdx n="508" f="v">
      <t c="3" si="4">
        <n x="509"/>
        <n x="257"/>
        <n x="481"/>
      </t>
    </mdx>
    <mdx n="508" f="v">
      <t c="3" si="4">
        <n x="509"/>
        <n x="198"/>
        <n x="483"/>
      </t>
    </mdx>
    <mdx n="508" f="v">
      <t c="3" si="4">
        <n x="509"/>
        <n x="145"/>
        <n x="485"/>
      </t>
    </mdx>
    <mdx n="508" f="v">
      <t c="3" si="4">
        <n x="509"/>
        <n x="19"/>
        <n x="486"/>
      </t>
    </mdx>
    <mdx n="508" f="v">
      <t c="3" si="4">
        <n x="509"/>
        <n x="295"/>
        <n x="488"/>
      </t>
    </mdx>
    <mdx n="508" f="v">
      <t c="3" si="4">
        <n x="509"/>
        <n x="370"/>
        <n x="482"/>
      </t>
    </mdx>
    <mdx n="508" f="v">
      <t c="3" si="4">
        <n x="509"/>
        <n x="69"/>
        <n x="483"/>
      </t>
    </mdx>
    <mdx n="508" f="v">
      <t c="3" si="4">
        <n x="509"/>
        <n x="58"/>
        <n x="485"/>
      </t>
    </mdx>
    <mdx n="508" f="v">
      <t c="3" si="4">
        <n x="509"/>
        <n x="41"/>
        <n x="486"/>
      </t>
    </mdx>
    <mdx n="508" f="v">
      <t c="3" si="4">
        <n x="509"/>
        <n x="117"/>
        <n x="487"/>
      </t>
    </mdx>
    <mdx n="508" f="v">
      <t c="3" si="4">
        <n x="509"/>
        <n x="429"/>
        <n x="482"/>
      </t>
    </mdx>
    <mdx n="508" f="v">
      <t c="3" si="4">
        <n x="509"/>
        <n x="336"/>
        <n x="483"/>
      </t>
    </mdx>
    <mdx n="508" f="v">
      <t c="3" si="4">
        <n x="509"/>
        <n x="435"/>
        <n x="484"/>
      </t>
    </mdx>
    <mdx n="508" f="v">
      <t c="3" si="4">
        <n x="509"/>
        <n x="406"/>
        <n x="486"/>
      </t>
    </mdx>
    <mdx n="508" f="v">
      <t c="3" si="4">
        <n x="509"/>
        <n x="375"/>
        <n x="487"/>
      </t>
    </mdx>
    <mdx n="508" f="v">
      <t c="3" si="4">
        <n x="509"/>
        <n x="454"/>
        <n x="489"/>
      </t>
    </mdx>
    <mdx n="508" f="v">
      <t c="3" si="4">
        <n x="509"/>
        <n x="274"/>
        <n x="482"/>
      </t>
    </mdx>
    <mdx n="508" f="v">
      <t c="3" si="4">
        <n x="509"/>
        <n x="64"/>
        <n x="483"/>
      </t>
    </mdx>
    <mdx n="508" f="v">
      <t c="3" si="4">
        <n x="509"/>
        <n x="249"/>
        <n x="484"/>
      </t>
    </mdx>
    <mdx n="508" f="v">
      <t c="3" si="4">
        <n x="509"/>
        <n x="384"/>
        <n x="486"/>
      </t>
    </mdx>
    <mdx n="508" f="v">
      <t c="3" si="4">
        <n x="509"/>
        <n x="196"/>
        <n x="488"/>
      </t>
    </mdx>
    <mdx n="508" f="v">
      <t c="3" si="4">
        <n x="509"/>
        <n x="410"/>
        <n x="489"/>
      </t>
    </mdx>
    <mdx n="508" f="v">
      <t c="3" si="4">
        <n x="509"/>
        <n x="176"/>
        <n x="482"/>
      </t>
    </mdx>
    <mdx n="508" f="v">
      <t c="3" si="4">
        <n x="509"/>
        <n x="271"/>
        <n x="484"/>
      </t>
    </mdx>
    <mdx n="508" f="v">
      <t c="3" si="4">
        <n x="509"/>
        <n x="49"/>
        <n x="485"/>
      </t>
    </mdx>
    <mdx n="508" f="v">
      <t c="3" si="4">
        <n x="509"/>
        <n x="337"/>
        <n x="486"/>
      </t>
    </mdx>
    <mdx n="508" f="v">
      <t c="3" si="4">
        <n x="509"/>
        <n x="102"/>
        <n x="488"/>
      </t>
    </mdx>
    <mdx n="508" f="v">
      <t c="3" si="4">
        <n x="509"/>
        <n x="22"/>
        <n x="480"/>
      </t>
    </mdx>
    <mdx n="508" f="v">
      <t c="3" si="4">
        <n x="509"/>
        <n x="222"/>
        <n x="483"/>
      </t>
    </mdx>
    <mdx n="508" f="v">
      <t c="3" si="4">
        <n x="509"/>
        <n x="283"/>
        <n x="484"/>
      </t>
    </mdx>
    <mdx n="508" f="v">
      <t c="3" si="4">
        <n x="509"/>
        <n x="455"/>
        <n x="485"/>
      </t>
    </mdx>
    <mdx n="508" f="v">
      <t c="3" si="4">
        <n x="509"/>
        <n x="61"/>
        <n x="476"/>
      </t>
    </mdx>
    <mdx n="508" f="v">
      <t c="3" si="4">
        <n x="509"/>
        <n x="147"/>
        <n x="477"/>
      </t>
    </mdx>
    <mdx n="508" f="v">
      <t c="3" si="4">
        <n x="509"/>
        <n x="89"/>
        <n x="477"/>
      </t>
    </mdx>
    <mdx n="508" f="v">
      <t c="3" si="4">
        <n x="509"/>
        <n x="34"/>
        <n x="476"/>
      </t>
    </mdx>
    <mdx n="508" f="v">
      <t c="3" si="4">
        <n x="509"/>
        <n x="87"/>
        <n x="479"/>
      </t>
    </mdx>
    <mdx n="508" f="v">
      <t c="3" si="4">
        <n x="509"/>
        <n x="295"/>
        <n x="479"/>
      </t>
    </mdx>
    <mdx n="508" f="v">
      <t c="3" si="4">
        <n x="509"/>
        <n x="439"/>
        <n x="481"/>
      </t>
    </mdx>
    <mdx n="508" f="v">
      <t c="3" si="4">
        <n x="509"/>
        <n x="137"/>
        <n x="479"/>
      </t>
    </mdx>
    <mdx n="508" f="v">
      <t c="3" si="4">
        <n x="509"/>
        <n x="22"/>
        <n x="481"/>
      </t>
    </mdx>
    <mdx n="508" f="v">
      <t c="3" si="4">
        <n x="509"/>
        <n x="229"/>
        <n x="476"/>
      </t>
    </mdx>
    <mdx n="508" f="v">
      <t c="3" si="4">
        <n x="509"/>
        <n x="317"/>
        <n x="471"/>
      </t>
    </mdx>
    <mdx n="508" f="v">
      <t c="3" si="4">
        <n x="509"/>
        <n x="227"/>
        <n x="479"/>
      </t>
    </mdx>
    <mdx n="508" f="v">
      <t c="3" si="4">
        <n x="509"/>
        <n x="309"/>
        <n x="481"/>
      </t>
    </mdx>
    <mdx n="508" f="v">
      <t c="3" si="4">
        <n x="509"/>
        <n x="126"/>
        <n x="480"/>
      </t>
    </mdx>
    <mdx n="508" f="v">
      <t c="3" si="4">
        <n x="509"/>
        <n x="320"/>
        <n x="482"/>
      </t>
    </mdx>
    <mdx n="508" f="v">
      <t c="3" si="4">
        <n x="509"/>
        <n x="177"/>
        <n x="483"/>
      </t>
    </mdx>
    <mdx n="508" f="v">
      <t c="3" si="4">
        <n x="509"/>
        <n x="370"/>
        <n x="485"/>
      </t>
    </mdx>
    <mdx n="508" f="v">
      <t c="3" si="4">
        <n x="509"/>
        <n x="168"/>
        <n x="486"/>
      </t>
    </mdx>
    <mdx n="508" f="v">
      <t c="3" si="4">
        <n x="509"/>
        <n x="407"/>
        <n x="487"/>
      </t>
    </mdx>
    <mdx n="508" f="v">
      <t c="3" si="4">
        <n x="509"/>
        <n x="15"/>
        <n x="488"/>
      </t>
    </mdx>
    <mdx n="508" f="v">
      <t c="3" si="4">
        <n x="509"/>
        <n x="322"/>
        <n x="489"/>
      </t>
    </mdx>
    <mdx n="508" f="v">
      <t c="3" si="4">
        <n x="509"/>
        <n x="369"/>
        <n x="482"/>
      </t>
    </mdx>
    <mdx n="508" f="v">
      <t c="3" si="4">
        <n x="509"/>
        <n x="156"/>
        <n x="483"/>
      </t>
    </mdx>
    <mdx n="508" f="v">
      <t c="3" si="4">
        <n x="509"/>
        <n x="213"/>
        <n x="484"/>
      </t>
    </mdx>
    <mdx n="508" f="v">
      <t c="3" si="4">
        <n x="509"/>
        <n x="46"/>
        <n x="485"/>
      </t>
    </mdx>
    <mdx n="508" f="v">
      <t c="3" si="4">
        <n x="509"/>
        <n x="389"/>
        <n x="486"/>
      </t>
    </mdx>
    <mdx n="508" f="v">
      <t c="3" si="4">
        <n x="509"/>
        <n x="204"/>
        <n x="487"/>
      </t>
    </mdx>
    <mdx n="508" f="v">
      <t c="3" si="4">
        <n x="509"/>
        <n x="310"/>
        <n x="479"/>
      </t>
    </mdx>
    <mdx n="508" f="v">
      <t c="3" si="4">
        <n x="509"/>
        <n x="399"/>
        <n x="482"/>
      </t>
    </mdx>
    <mdx n="508" f="v">
      <t c="3" si="4">
        <n x="509"/>
        <n x="118"/>
        <n x="483"/>
      </t>
    </mdx>
    <mdx n="508" f="v">
      <t c="3" si="4">
        <n x="509"/>
        <n x="51"/>
        <n x="484"/>
      </t>
    </mdx>
    <mdx n="508" f="v">
      <t c="3" si="4">
        <n x="509"/>
        <n x="254"/>
        <n x="486"/>
      </t>
    </mdx>
    <mdx n="508" f="v">
      <t c="3" si="4">
        <n x="509"/>
        <n x="165"/>
        <n x="487"/>
      </t>
    </mdx>
    <mdx n="508" f="v">
      <t c="3" si="4">
        <n x="509"/>
        <n x="382"/>
        <n x="488"/>
      </t>
    </mdx>
    <mdx n="508" f="v">
      <t c="3" si="4">
        <n x="509"/>
        <n x="104"/>
        <n x="481"/>
      </t>
    </mdx>
    <mdx n="508" f="v">
      <t c="3" si="4">
        <n x="509"/>
        <n x="302"/>
        <n x="482"/>
      </t>
    </mdx>
    <mdx n="508" f="v">
      <t c="3" si="4">
        <n x="509"/>
        <n x="33"/>
        <n x="484"/>
      </t>
    </mdx>
    <mdx n="508" f="v">
      <t c="3" si="4">
        <n x="509"/>
        <n x="146"/>
        <n x="485"/>
      </t>
    </mdx>
    <mdx n="508" f="v">
      <t c="3" si="4">
        <n x="509"/>
        <n x="241"/>
        <n x="486"/>
      </t>
    </mdx>
    <mdx n="508" f="v">
      <t c="3" si="4">
        <n x="509"/>
        <n x="69"/>
        <n x="487"/>
      </t>
    </mdx>
    <mdx n="508" f="v">
      <t c="3" si="4">
        <n x="509"/>
        <n x="71"/>
        <n x="488"/>
      </t>
    </mdx>
    <mdx n="508" f="v">
      <t c="3" si="4">
        <n x="509"/>
        <n x="326"/>
        <n x="489"/>
      </t>
    </mdx>
    <mdx n="508" f="v">
      <t c="3" si="4">
        <n x="509"/>
        <n x="74"/>
        <n x="481"/>
      </t>
    </mdx>
    <mdx n="508" f="v">
      <t c="3" si="4">
        <n x="509"/>
        <n x="195"/>
        <n x="483"/>
      </t>
    </mdx>
    <mdx n="508" f="v">
      <t c="3" si="4">
        <n x="509"/>
        <n x="235"/>
        <n x="484"/>
      </t>
    </mdx>
    <mdx n="508" f="v">
      <t c="3" si="4">
        <n x="509"/>
        <n x="401"/>
        <n x="485"/>
      </t>
    </mdx>
    <mdx n="508" f="v">
      <t c="3" si="4">
        <n x="509"/>
        <n x="306"/>
        <n x="486"/>
      </t>
    </mdx>
    <mdx n="508" f="v">
      <t c="3" si="4">
        <n x="509"/>
        <n x="220"/>
        <n x="487"/>
      </t>
    </mdx>
    <mdx n="508" f="v">
      <t c="3" si="4">
        <n x="509"/>
        <n x="447"/>
        <n x="488"/>
      </t>
    </mdx>
    <mdx n="508" f="v">
      <t c="3" si="4">
        <n x="509"/>
        <n x="317"/>
        <n x="489"/>
      </t>
    </mdx>
    <mdx n="508" f="v">
      <t c="3" si="4">
        <n x="509"/>
        <n x="166"/>
        <n x="482"/>
      </t>
    </mdx>
    <mdx n="508" f="v">
      <t c="3" si="4">
        <n x="509"/>
        <n x="376"/>
        <n x="483"/>
      </t>
    </mdx>
    <mdx n="508" f="v">
      <t c="3" si="4">
        <n x="509"/>
        <n x="251"/>
        <n x="484"/>
      </t>
    </mdx>
    <mdx n="508" f="v">
      <t c="3" si="4">
        <n x="509"/>
        <n x="161"/>
        <n x="485"/>
      </t>
    </mdx>
    <mdx n="508" f="v">
      <t c="3" si="4">
        <n x="509"/>
        <n x="160"/>
        <n x="486"/>
      </t>
    </mdx>
    <mdx n="508" f="v">
      <t c="3" si="4">
        <n x="509"/>
        <n x="253"/>
        <n x="487"/>
      </t>
    </mdx>
    <mdx n="508" f="v">
      <t c="3" si="4">
        <n x="509"/>
        <n x="68"/>
        <n x="489"/>
      </t>
    </mdx>
    <mdx n="508" f="v">
      <t c="3" si="4">
        <n x="509"/>
        <n x="298"/>
        <n x="481"/>
      </t>
    </mdx>
    <mdx n="508" f="v">
      <t c="3" si="4">
        <n x="509"/>
        <n x="57"/>
        <n x="483"/>
      </t>
    </mdx>
    <mdx n="508" f="v">
      <t c="3" si="4">
        <n x="509"/>
        <n x="22"/>
        <n x="484"/>
      </t>
    </mdx>
    <mdx n="508" f="v">
      <t c="3" si="4">
        <n x="509"/>
        <n x="24"/>
        <n x="485"/>
      </t>
    </mdx>
    <mdx n="508" f="v">
      <t c="3" si="4">
        <n x="509"/>
        <n x="75"/>
        <n x="486"/>
      </t>
    </mdx>
    <mdx n="508" f="v">
      <t c="3" si="4">
        <n x="509"/>
        <n x="458"/>
        <n x="487"/>
      </t>
    </mdx>
    <mdx n="508" f="v">
      <t c="3" si="4">
        <n x="509"/>
        <n x="332"/>
        <n x="481"/>
      </t>
    </mdx>
    <mdx n="508" f="v">
      <t c="3" si="4">
        <n x="509"/>
        <n x="12"/>
        <n x="481"/>
      </t>
    </mdx>
    <mdx n="508" f="v">
      <t c="3" si="4">
        <n x="509"/>
        <n x="250"/>
        <n x="482"/>
      </t>
    </mdx>
    <mdx n="508" f="v">
      <t c="3" si="4">
        <n x="509"/>
        <n x="258"/>
        <n x="484"/>
      </t>
    </mdx>
    <mdx n="508" f="v">
      <t c="3" si="4">
        <n x="509"/>
        <n x="25"/>
        <n x="485"/>
      </t>
    </mdx>
    <mdx n="508" f="v">
      <t c="3" si="4">
        <n x="509"/>
        <n x="447"/>
        <n x="485"/>
      </t>
    </mdx>
    <mdx n="508" f="v">
      <t c="3" si="4">
        <n x="509"/>
        <n x="272"/>
        <n x="486"/>
      </t>
    </mdx>
    <mdx n="508" f="v">
      <t c="3" si="4">
        <n x="509"/>
        <n x="283"/>
        <n x="483"/>
      </t>
    </mdx>
    <mdx n="508" f="v">
      <t c="3" si="4">
        <n x="509"/>
        <n x="325"/>
        <n x="486"/>
      </t>
    </mdx>
    <mdx n="508" f="v">
      <t c="3" si="4">
        <n x="509"/>
        <n x="89"/>
        <n x="488"/>
      </t>
    </mdx>
    <mdx n="508" f="v">
      <t c="3" si="4">
        <n x="509"/>
        <n x="212"/>
        <n x="489"/>
      </t>
    </mdx>
    <mdx n="508" f="v">
      <t c="3" si="4">
        <n x="509"/>
        <n x="221"/>
        <n x="483"/>
      </t>
    </mdx>
    <mdx n="508" f="v">
      <t c="3" si="4">
        <n x="509"/>
        <n x="278"/>
        <n x="489"/>
      </t>
    </mdx>
    <mdx n="508" f="v">
      <t c="3" si="4">
        <n x="509"/>
        <n x="337"/>
        <n x="490"/>
      </t>
    </mdx>
    <mdx n="508" f="v">
      <t c="3" si="4">
        <n x="509"/>
        <n x="380"/>
        <n x="484"/>
      </t>
    </mdx>
    <mdx n="508" f="v">
      <t c="3" si="4">
        <n x="509"/>
        <n x="131"/>
        <n x="489"/>
      </t>
    </mdx>
    <mdx n="508" f="v">
      <t c="3" si="4">
        <n x="509"/>
        <n x="419"/>
        <n x="491"/>
      </t>
    </mdx>
    <mdx n="508" f="v">
      <t c="3" si="4">
        <n x="509"/>
        <n x="38"/>
        <n x="490"/>
      </t>
    </mdx>
    <mdx n="508" f="v">
      <t c="3" si="4">
        <n x="509"/>
        <n x="126"/>
        <n x="487"/>
      </t>
    </mdx>
    <mdx n="508" f="v">
      <t c="3" si="4">
        <n x="509"/>
        <n x="439"/>
        <n x="490"/>
      </t>
    </mdx>
    <mdx n="508" f="v">
      <t c="3" si="4">
        <n x="509"/>
        <n x="98"/>
        <n x="491"/>
      </t>
    </mdx>
    <mdx n="508" f="v">
      <t c="3" si="4">
        <n x="509"/>
        <n x="9"/>
        <n x="491"/>
      </t>
    </mdx>
    <mdx n="508" f="v">
      <t c="3" si="4">
        <n x="509"/>
        <n x="440"/>
        <n x="489"/>
      </t>
    </mdx>
    <mdx n="508" f="v">
      <t c="3" si="4">
        <n x="509"/>
        <n x="36"/>
        <n x="490"/>
      </t>
    </mdx>
    <mdx n="508" f="v">
      <t c="3" si="4">
        <n x="509"/>
        <n x="308"/>
        <n x="491"/>
      </t>
    </mdx>
    <mdx n="508" f="v">
      <t c="3" si="4">
        <n x="509"/>
        <n x="50"/>
        <n x="483"/>
      </t>
    </mdx>
    <mdx n="508" f="v">
      <t c="3" si="4">
        <n x="509"/>
        <n x="113"/>
        <n x="489"/>
      </t>
    </mdx>
    <mdx n="508" f="v">
      <t c="3" si="4">
        <n x="509"/>
        <n x="435"/>
        <n x="490"/>
      </t>
    </mdx>
    <mdx n="508" f="v">
      <t c="3" si="4">
        <n x="509"/>
        <n x="293"/>
        <n x="491"/>
      </t>
    </mdx>
    <mdx n="508" f="v">
      <t c="3" si="4">
        <n x="509"/>
        <n x="262"/>
        <n x="483"/>
      </t>
    </mdx>
    <mdx n="508" f="v">
      <t c="3" si="4">
        <n x="509"/>
        <n x="320"/>
        <n x="489"/>
      </t>
    </mdx>
    <mdx n="508" f="v">
      <t c="3" si="4">
        <n x="509"/>
        <n x="90"/>
        <n x="490"/>
      </t>
    </mdx>
    <mdx n="508" f="v">
      <t c="3" si="4">
        <n x="509"/>
        <n x="456"/>
        <n x="488"/>
      </t>
    </mdx>
    <mdx n="508" f="v">
      <t c="3" si="4">
        <n x="509"/>
        <n x="187"/>
        <n x="486"/>
      </t>
    </mdx>
    <mdx n="508" f="v">
      <t c="3" si="4">
        <n x="509"/>
        <n x="369"/>
        <n x="490"/>
      </t>
    </mdx>
    <mdx n="508" f="v">
      <t c="3" si="4">
        <n x="509"/>
        <n x="269"/>
        <n x="491"/>
      </t>
    </mdx>
    <mdx n="508" f="v">
      <t c="3" si="4">
        <n x="509"/>
        <n x="156"/>
        <n x="491"/>
      </t>
    </mdx>
    <mdx n="508" f="v">
      <t c="3" si="4">
        <n x="509"/>
        <n x="301"/>
        <n x="492"/>
      </t>
    </mdx>
    <mdx n="508" f="v">
      <t c="3" si="4">
        <n x="509"/>
        <n x="131"/>
        <n x="492"/>
      </t>
    </mdx>
    <mdx n="508" f="v">
      <t c="3" si="4">
        <n x="509"/>
        <n x="381"/>
        <n x="492"/>
      </t>
    </mdx>
    <mdx n="508" f="v">
      <t c="3" si="4">
        <n x="509"/>
        <n x="364"/>
        <n x="492"/>
      </t>
    </mdx>
    <mdx n="508" f="v">
      <t c="3" si="4">
        <n x="509"/>
        <n x="393"/>
        <n x="492"/>
      </t>
    </mdx>
    <mdx n="508" f="v">
      <t c="3" si="4">
        <n x="509"/>
        <n x="161"/>
        <n x="492"/>
      </t>
    </mdx>
    <mdx n="508" f="v">
      <t c="3" si="4">
        <n x="509"/>
        <n x="260"/>
        <n x="492"/>
      </t>
    </mdx>
    <mdx n="508" f="v">
      <t c="3" si="4">
        <n x="509"/>
        <n x="187"/>
        <n x="493"/>
      </t>
    </mdx>
    <mdx n="508" f="v">
      <t c="3" si="4">
        <n x="509"/>
        <n x="203"/>
        <n x="493"/>
      </t>
    </mdx>
    <mdx n="508" f="v">
      <t c="3" si="4">
        <n x="509"/>
        <n x="446"/>
        <n x="493"/>
      </t>
    </mdx>
    <mdx n="508" f="v">
      <t c="3" si="4">
        <n x="509"/>
        <n x="162"/>
        <n x="493"/>
      </t>
    </mdx>
    <mdx n="508" f="v">
      <t c="3" si="4">
        <n x="509"/>
        <n x="334"/>
        <n x="493"/>
      </t>
    </mdx>
    <mdx n="508" f="v">
      <t c="3" si="4">
        <n x="509"/>
        <n x="9"/>
        <n x="493"/>
      </t>
    </mdx>
    <mdx n="508" f="v">
      <t c="3" si="4">
        <n x="509"/>
        <n x="163"/>
        <n x="493"/>
      </t>
    </mdx>
    <mdx n="508" f="v">
      <t c="3" si="4">
        <n x="509"/>
        <n x="363"/>
        <n x="468"/>
      </t>
    </mdx>
    <mdx n="508" f="v">
      <t c="3" si="4">
        <n x="509"/>
        <n x="250"/>
        <n x="481"/>
      </t>
    </mdx>
    <mdx n="508" f="v">
      <t c="3" si="4">
        <n x="509"/>
        <n x="400"/>
        <n x="485"/>
      </t>
    </mdx>
    <mdx n="508" f="v">
      <t c="3" si="4">
        <n x="509"/>
        <n x="31"/>
        <n x="486"/>
      </t>
    </mdx>
    <mdx n="508" f="v">
      <t c="3" si="4">
        <n x="509"/>
        <n x="325"/>
        <n x="487"/>
      </t>
    </mdx>
    <mdx n="508" f="v">
      <t c="3" si="4">
        <n x="509"/>
        <n x="302"/>
        <n x="488"/>
      </t>
    </mdx>
    <mdx n="508" f="v">
      <t c="3" si="4">
        <n x="509"/>
        <n x="460"/>
        <n x="489"/>
      </t>
    </mdx>
    <mdx n="508" f="v">
      <t c="3" si="4">
        <n x="509"/>
        <n x="51"/>
        <n x="488"/>
      </t>
    </mdx>
    <mdx n="508" f="v">
      <t c="3" si="4">
        <n x="509"/>
        <n x="315"/>
        <n x="485"/>
      </t>
    </mdx>
    <mdx n="508" f="v">
      <t c="3" si="4">
        <n x="509"/>
        <n x="366"/>
        <n x="487"/>
      </t>
    </mdx>
    <mdx n="508" f="v">
      <t c="3" si="4">
        <n x="509"/>
        <n x="342"/>
        <n x="488"/>
      </t>
    </mdx>
    <mdx n="508" f="v">
      <t c="3" si="4">
        <n x="509"/>
        <n x="426"/>
        <n x="489"/>
      </t>
    </mdx>
    <mdx n="508" f="v">
      <t c="3" si="4">
        <n x="509"/>
        <n x="7"/>
        <n x="486"/>
      </t>
    </mdx>
    <mdx n="508" f="v">
      <t c="3" si="4">
        <n x="509"/>
        <n x="242"/>
        <n x="490"/>
      </t>
    </mdx>
    <mdx n="508" f="v">
      <t c="3" si="4">
        <n x="509"/>
        <n x="193"/>
        <n x="491"/>
      </t>
    </mdx>
    <mdx n="508" f="v">
      <t c="3" si="4">
        <n x="509"/>
        <n x="158"/>
        <n x="488"/>
      </t>
    </mdx>
    <mdx n="508" f="v">
      <t c="3" si="4">
        <n x="509"/>
        <n x="322"/>
        <n x="490"/>
      </t>
    </mdx>
    <mdx n="508" f="v">
      <t c="3" si="4">
        <n x="509"/>
        <n x="413"/>
        <n x="491"/>
      </t>
    </mdx>
    <mdx n="508" f="v">
      <t c="3" si="4">
        <n x="509"/>
        <n x="270"/>
        <n x="482"/>
      </t>
    </mdx>
    <mdx n="508" f="v">
      <t c="3" si="4">
        <n x="509"/>
        <n x="79"/>
        <n x="489"/>
      </t>
    </mdx>
    <mdx n="508" f="v">
      <t c="3" si="4">
        <n x="509"/>
        <n x="430"/>
        <n x="490"/>
      </t>
    </mdx>
    <mdx n="508" f="v">
      <t c="3" si="4">
        <n x="509"/>
        <n x="365"/>
        <n x="491"/>
      </t>
    </mdx>
    <mdx n="508" f="v">
      <t c="3" si="4">
        <n x="509"/>
        <n x="92"/>
        <n x="484"/>
      </t>
    </mdx>
    <mdx n="508" f="v">
      <t c="3" si="4">
        <n x="509"/>
        <n x="51"/>
        <n x="489"/>
      </t>
    </mdx>
    <mdx n="508" f="v">
      <t c="3" si="4">
        <n x="509"/>
        <n x="434"/>
        <n x="491"/>
      </t>
    </mdx>
    <mdx n="508" f="v">
      <t c="3" si="4">
        <n x="509"/>
        <n x="94"/>
        <n x="489"/>
      </t>
    </mdx>
    <mdx n="508" f="v">
      <t c="3" si="4">
        <n x="509"/>
        <n x="79"/>
        <n x="486"/>
      </t>
    </mdx>
    <mdx n="508" f="v">
      <t c="3" si="4">
        <n x="509"/>
        <n x="151"/>
        <n x="490"/>
      </t>
    </mdx>
    <mdx n="508" f="v">
      <t c="3" si="4">
        <n x="509"/>
        <n x="220"/>
        <n x="491"/>
      </t>
    </mdx>
    <mdx n="508" f="v">
      <t c="3" si="4">
        <n x="509"/>
        <n x="271"/>
        <n x="490"/>
      </t>
    </mdx>
    <mdx n="508" f="v">
      <t c="3" si="4">
        <n x="509"/>
        <n x="457"/>
        <n x="487"/>
      </t>
    </mdx>
    <mdx n="508" f="v">
      <t c="3" si="4">
        <n x="509"/>
        <n x="184"/>
        <n x="490"/>
      </t>
    </mdx>
    <mdx n="508" f="v">
      <t c="3" si="4">
        <n x="509"/>
        <n x="49"/>
        <n x="491"/>
      </t>
    </mdx>
    <mdx n="508" f="v">
      <t c="3" si="4">
        <n x="509"/>
        <n x="76"/>
        <n x="491"/>
      </t>
    </mdx>
    <mdx n="508" f="v">
      <t c="3" si="4">
        <n x="509"/>
        <n x="173"/>
        <n x="489"/>
      </t>
    </mdx>
    <mdx n="508" f="v">
      <t c="3" si="4">
        <n x="509"/>
        <n x="65"/>
        <n x="490"/>
      </t>
    </mdx>
    <mdx n="508" f="v">
      <t c="3" si="4">
        <n x="509"/>
        <n x="136"/>
        <n x="491"/>
      </t>
    </mdx>
    <mdx n="508" f="v">
      <t c="3" si="4">
        <n x="509"/>
        <n x="73"/>
        <n x="492"/>
      </t>
    </mdx>
    <mdx n="508" f="v">
      <t c="3" si="4">
        <n x="509"/>
        <n x="418"/>
        <n x="492"/>
      </t>
    </mdx>
    <mdx n="508" f="v">
      <t c="3" si="4">
        <n x="509"/>
        <n x="281"/>
        <n x="492"/>
      </t>
    </mdx>
    <mdx n="508" f="v">
      <t c="3" si="4">
        <n x="509"/>
        <n x="291"/>
        <n x="492"/>
      </t>
    </mdx>
    <mdx n="508" f="v">
      <t c="3" si="4">
        <n x="509"/>
        <n x="292"/>
        <n x="492"/>
      </t>
    </mdx>
    <mdx n="508" f="v">
      <t c="3" si="4">
        <n x="509"/>
        <n x="58"/>
        <n x="492"/>
      </t>
    </mdx>
    <mdx n="508" f="v">
      <t c="3" si="4">
        <n x="509"/>
        <n x="105"/>
        <n x="492"/>
      </t>
    </mdx>
    <mdx n="508" f="v">
      <t c="3" si="4">
        <n x="509"/>
        <n x="215"/>
        <n x="492"/>
      </t>
    </mdx>
    <mdx n="508" f="v">
      <t c="3" si="4">
        <n x="509"/>
        <n x="402"/>
        <n x="493"/>
      </t>
    </mdx>
    <mdx n="508" f="v">
      <t c="3" si="4">
        <n x="509"/>
        <n x="146"/>
        <n x="493"/>
      </t>
    </mdx>
    <mdx n="508" f="v">
      <t c="3" si="4">
        <n x="509"/>
        <n x="129"/>
        <n x="493"/>
      </t>
    </mdx>
    <mdx n="508" f="v">
      <t c="3" si="4">
        <n x="509"/>
        <n x="322"/>
        <n x="493"/>
      </t>
    </mdx>
    <mdx n="508" f="v">
      <t c="3" si="4">
        <n x="509"/>
        <n x="198"/>
        <n x="493"/>
      </t>
    </mdx>
    <mdx n="508" f="v">
      <t c="3" si="4">
        <n x="509"/>
        <n x="142"/>
        <n x="493"/>
      </t>
    </mdx>
    <mdx n="508" f="v">
      <t c="3" si="4">
        <n x="509"/>
        <n x="131"/>
        <n x="493"/>
      </t>
    </mdx>
    <mdx n="508" f="v">
      <t c="3" si="4">
        <n x="509"/>
        <n x="284"/>
        <n x="479"/>
      </t>
    </mdx>
    <mdx n="508" f="v">
      <t c="3" si="4">
        <n x="509"/>
        <n x="439"/>
        <n x="480"/>
      </t>
    </mdx>
    <mdx n="508" f="v">
      <t c="3" si="4">
        <n x="509"/>
        <n x="159"/>
        <n x="488"/>
      </t>
    </mdx>
    <mdx n="508" f="v">
      <t c="3" si="4">
        <n x="509"/>
        <n x="171"/>
        <n x="482"/>
      </t>
    </mdx>
    <mdx n="508" f="v">
      <t c="3" si="4">
        <n x="509"/>
        <n x="356"/>
        <n x="483"/>
      </t>
    </mdx>
    <mdx n="508" f="v">
      <t c="3" si="4">
        <n x="509"/>
        <n x="154"/>
        <n x="483"/>
      </t>
    </mdx>
    <mdx n="508" f="v">
      <t c="3" si="4">
        <n x="509"/>
        <n x="364"/>
        <n x="484"/>
      </t>
    </mdx>
    <mdx n="508" f="v">
      <t c="3" si="4">
        <n x="509"/>
        <n x="157"/>
        <n x="482"/>
      </t>
    </mdx>
    <mdx n="508" f="v">
      <t c="3" si="4">
        <n x="509"/>
        <n x="221"/>
        <n x="486"/>
      </t>
    </mdx>
    <mdx n="508" f="v">
      <t c="3" si="4">
        <n x="509"/>
        <n x="31"/>
        <n x="487"/>
      </t>
    </mdx>
    <mdx n="508" f="v">
      <t c="3" si="4">
        <n x="509"/>
        <n x="287"/>
        <n x="489"/>
      </t>
    </mdx>
    <mdx n="508" f="v">
      <t c="3" si="4">
        <n x="509"/>
        <n x="154"/>
        <n x="468"/>
      </t>
    </mdx>
    <mdx n="508" f="v">
      <t c="3" si="4">
        <n x="509"/>
        <n x="318"/>
        <n x="489"/>
      </t>
    </mdx>
    <mdx n="508" f="v">
      <t c="3" si="4">
        <n x="509"/>
        <n x="325"/>
        <n x="490"/>
      </t>
    </mdx>
    <mdx n="508" f="v">
      <t c="3" si="4">
        <n x="509"/>
        <n x="334"/>
        <n x="482"/>
      </t>
    </mdx>
    <mdx n="508" f="v">
      <t c="3" si="4">
        <n x="509"/>
        <n x="180"/>
        <n x="489"/>
      </t>
    </mdx>
    <mdx n="508" f="v">
      <t c="3" si="4">
        <n x="509"/>
        <n x="100"/>
        <n x="490"/>
      </t>
    </mdx>
    <mdx n="508" f="v">
      <t c="3" si="4">
        <n x="509"/>
        <n x="90"/>
        <n x="491"/>
      </t>
    </mdx>
    <mdx n="508" f="v">
      <t c="3" si="4">
        <n x="509"/>
        <n x="91"/>
        <n x="485"/>
      </t>
    </mdx>
    <mdx n="508" f="v">
      <t c="3" si="4">
        <n x="509"/>
        <n x="387"/>
        <n x="490"/>
      </t>
    </mdx>
    <mdx n="508" f="v">
      <t c="3" si="4">
        <n x="509"/>
        <n x="242"/>
        <n x="491"/>
      </t>
    </mdx>
    <mdx n="508" f="v">
      <t c="3" si="4">
        <n x="509"/>
        <n x="123"/>
        <n x="490"/>
      </t>
    </mdx>
    <mdx n="508" f="v">
      <t c="3" si="4">
        <n x="509"/>
        <n x="197"/>
        <n x="488"/>
      </t>
    </mdx>
    <mdx n="508" f="v">
      <t c="3" si="4">
        <n x="509"/>
        <n x="120"/>
        <n x="490"/>
      </t>
    </mdx>
    <mdx n="508" f="v">
      <t c="3" si="4">
        <n x="509"/>
        <n x="181"/>
        <n x="491"/>
      </t>
    </mdx>
    <mdx n="508" f="v">
      <t c="3" si="4">
        <n x="509"/>
        <n x="13"/>
        <n x="491"/>
      </t>
    </mdx>
    <mdx n="508" f="v">
      <t c="3" si="4">
        <n x="509"/>
        <n x="270"/>
        <n x="489"/>
      </t>
    </mdx>
    <mdx n="508" f="v">
      <t c="3" si="4">
        <n x="509"/>
        <n x="34"/>
        <n x="490"/>
      </t>
    </mdx>
    <mdx n="508" f="v">
      <t c="3" si="4">
        <n x="509"/>
        <n x="82"/>
        <n x="491"/>
      </t>
    </mdx>
    <mdx n="508" f="v">
      <t c="3" si="4">
        <n x="509"/>
        <n x="86"/>
        <n x="480"/>
      </t>
    </mdx>
    <mdx n="508" f="v">
      <t c="3" si="4">
        <n x="509"/>
        <n x="46"/>
        <n x="489"/>
      </t>
    </mdx>
    <mdx n="508" f="v">
      <t c="3" si="4">
        <n x="509"/>
        <n x="336"/>
        <n x="490"/>
      </t>
    </mdx>
    <mdx n="508" f="v">
      <t c="3" si="4">
        <n x="509"/>
        <n x="214"/>
        <n x="491"/>
      </t>
    </mdx>
    <mdx n="508" f="v">
      <t c="3" si="4">
        <n x="509"/>
        <n x="207"/>
        <n x="484"/>
      </t>
    </mdx>
    <mdx n="508" f="v">
      <t c="3" si="4">
        <n x="509"/>
        <n x="196"/>
        <n x="489"/>
      </t>
    </mdx>
    <mdx n="508" f="v">
      <t c="3" si="4">
        <n x="509"/>
        <n x="31"/>
        <n x="491"/>
      </t>
    </mdx>
    <mdx n="508" f="v">
      <t c="3" si="4">
        <n x="509"/>
        <n x="232"/>
        <n x="490"/>
      </t>
    </mdx>
    <mdx n="508" f="v">
      <t c="3" si="4">
        <n x="509"/>
        <n x="243"/>
        <n x="492"/>
      </t>
    </mdx>
    <mdx n="508" f="v">
      <t c="3" si="4">
        <n x="509"/>
        <n x="11"/>
        <n x="492"/>
      </t>
    </mdx>
    <mdx n="508" f="v">
      <t c="3" si="4">
        <n x="509"/>
        <n x="427"/>
        <n x="466"/>
      </t>
    </mdx>
    <mdx n="508" f="v">
      <t c="3" si="4">
        <n x="509"/>
        <n x="411"/>
        <n x="480"/>
      </t>
    </mdx>
    <mdx n="508" f="v">
      <t c="3" si="4">
        <n x="509"/>
        <n x="393"/>
        <n x="484"/>
      </t>
    </mdx>
    <mdx n="508" f="v">
      <t c="3" si="4">
        <n x="509"/>
        <n x="21"/>
        <n x="485"/>
      </t>
    </mdx>
    <mdx n="508" f="v">
      <t c="3" si="4">
        <n x="509"/>
        <n x="329"/>
        <n x="486"/>
      </t>
    </mdx>
    <mdx n="508" f="v">
      <t c="3" si="4">
        <n x="509"/>
        <n x="226"/>
        <n x="488"/>
      </t>
    </mdx>
    <mdx n="508" f="v">
      <t c="3" si="4">
        <n x="509"/>
        <n x="309"/>
        <n x="488"/>
      </t>
    </mdx>
    <mdx n="508" f="v">
      <t c="3" si="4">
        <n x="509"/>
        <n x="184"/>
        <n x="488"/>
      </t>
    </mdx>
    <mdx n="508" f="v">
      <t c="3" si="4">
        <n x="509"/>
        <n x="161"/>
        <n x="484"/>
      </t>
    </mdx>
    <mdx n="508" f="v">
      <t c="3" si="4">
        <n x="509"/>
        <n x="18"/>
        <n x="487"/>
      </t>
    </mdx>
    <mdx n="508" f="v">
      <t c="3" si="4">
        <n x="509"/>
        <n x="354"/>
        <n x="488"/>
      </t>
    </mdx>
    <mdx n="508" f="v">
      <t c="3" si="4">
        <n x="509"/>
        <n x="433"/>
        <n x="489"/>
      </t>
    </mdx>
    <mdx n="508" f="v">
      <t c="3" si="4">
        <n x="509"/>
        <n x="332"/>
        <n x="485"/>
      </t>
    </mdx>
    <mdx n="508" f="v">
      <t c="3" si="4">
        <n x="509"/>
        <n x="27"/>
        <n x="490"/>
      </t>
    </mdx>
    <mdx n="508" f="v">
      <t c="3" si="4">
        <n x="509"/>
        <n x="8"/>
        <n x="491"/>
      </t>
    </mdx>
    <mdx n="508" f="v">
      <t c="3" si="4">
        <n x="509"/>
        <n x="162"/>
        <n x="487"/>
      </t>
    </mdx>
    <mdx n="508" f="v">
      <t c="3" si="4">
        <n x="509"/>
        <n x="303"/>
        <n x="490"/>
      </t>
    </mdx>
    <mdx n="508" f="v">
      <t c="3" si="4">
        <n x="509"/>
        <n x="244"/>
        <n x="491"/>
      </t>
    </mdx>
    <mdx n="508" f="v">
      <t c="3" si="4">
        <n x="509"/>
        <n x="74"/>
        <n x="477"/>
      </t>
    </mdx>
    <mdx n="508" f="v">
      <t c="3" si="4">
        <n x="509"/>
        <n x="305"/>
        <n x="489"/>
      </t>
    </mdx>
    <mdx n="508" f="v">
      <t c="3" si="4">
        <n x="509"/>
        <n x="392"/>
        <n x="490"/>
      </t>
    </mdx>
    <mdx n="508" f="v">
      <t c="3" si="4">
        <n x="509"/>
        <n x="39"/>
        <n x="491"/>
      </t>
    </mdx>
    <mdx n="508" f="v">
      <t c="3" si="4">
        <n x="509"/>
        <n x="34"/>
        <n x="483"/>
      </t>
    </mdx>
    <mdx n="508" f="v">
      <t c="3" si="4">
        <n x="509"/>
        <n x="77"/>
        <n x="489"/>
      </t>
    </mdx>
    <mdx n="508" f="v">
      <t c="3" si="4">
        <n x="509"/>
        <n x="461"/>
        <n x="491"/>
      </t>
    </mdx>
    <mdx n="508" f="v">
      <t c="3" si="4">
        <n x="509"/>
        <n x="76"/>
        <n x="485"/>
      </t>
    </mdx>
    <mdx n="508" f="v">
      <t c="3" si="4">
        <n x="509"/>
        <n x="210"/>
        <n x="485"/>
      </t>
    </mdx>
    <mdx n="508" f="v">
      <t c="3" si="4">
        <n x="509"/>
        <n x="219"/>
        <n x="490"/>
      </t>
    </mdx>
    <mdx n="508" f="v">
      <t c="3" si="4">
        <n x="509"/>
        <n x="234"/>
        <n x="491"/>
      </t>
    </mdx>
    <mdx n="508" f="v">
      <t c="3" si="4">
        <n x="509"/>
        <n x="269"/>
        <n x="489"/>
      </t>
    </mdx>
    <mdx n="508" f="v">
      <t c="3" si="4">
        <n x="509"/>
        <n x="139"/>
        <n x="486"/>
      </t>
    </mdx>
    <mdx n="508" f="v">
      <t c="3" si="4">
        <n x="509"/>
        <n x="189"/>
        <n x="490"/>
      </t>
    </mdx>
    <mdx n="508" f="v">
      <t c="3" si="4">
        <n x="509"/>
        <n x="339"/>
        <n x="491"/>
      </t>
    </mdx>
    <mdx n="508" f="v">
      <t c="3" si="4">
        <n x="509"/>
        <n x="284"/>
        <n x="491"/>
      </t>
    </mdx>
    <mdx n="508" f="v">
      <t c="3" si="4">
        <n x="509"/>
        <n x="161"/>
        <n x="488"/>
      </t>
    </mdx>
    <mdx n="508" f="v">
      <t c="3" si="4">
        <n x="509"/>
        <n x="408"/>
        <n x="490"/>
      </t>
    </mdx>
    <mdx n="508" f="v">
      <t c="3" si="4">
        <n x="509"/>
        <n x="130"/>
        <n x="491"/>
      </t>
    </mdx>
    <mdx n="508" f="v">
      <t c="3" si="4">
        <n x="509"/>
        <n x="47"/>
        <n x="492"/>
      </t>
    </mdx>
    <mdx n="508" f="v">
      <t c="3" si="4">
        <n x="509"/>
        <n x="294"/>
        <n x="492"/>
      </t>
    </mdx>
    <mdx n="508" f="v">
      <t c="3" si="4">
        <n x="509"/>
        <n x="370"/>
        <n x="492"/>
      </t>
    </mdx>
    <mdx n="508" f="v">
      <t c="3" si="4">
        <n x="509"/>
        <n x="17"/>
        <n x="492"/>
      </t>
    </mdx>
    <mdx n="508" f="v">
      <t c="3" si="4">
        <n x="509"/>
        <n x="344"/>
        <n x="492"/>
      </t>
    </mdx>
    <mdx n="508" f="v">
      <t c="3" si="4">
        <n x="509"/>
        <n x="325"/>
        <n x="492"/>
      </t>
    </mdx>
    <mdx n="508" f="v">
      <t c="3" si="4">
        <n x="509"/>
        <n x="104"/>
        <n x="492"/>
      </t>
    </mdx>
    <mdx n="508" f="v">
      <t c="3" si="4">
        <n x="509"/>
        <n x="33"/>
        <n x="493"/>
      </t>
    </mdx>
    <mdx n="508" f="v">
      <t c="3" si="4">
        <n x="509"/>
        <n x="265"/>
        <n x="493"/>
      </t>
    </mdx>
    <mdx n="508" f="v">
      <t c="3" si="4">
        <n x="509"/>
        <n x="410"/>
        <n x="493"/>
      </t>
    </mdx>
    <mdx n="508" f="v">
      <t c="3" si="4">
        <n x="509"/>
        <n x="120"/>
        <n x="493"/>
      </t>
    </mdx>
    <mdx n="508" f="v">
      <t c="3" si="4">
        <n x="509"/>
        <n x="91"/>
        <n x="493"/>
      </t>
    </mdx>
    <mdx n="508" f="v">
      <t c="3" si="4">
        <n x="509"/>
        <n x="425"/>
        <n x="493"/>
      </t>
    </mdx>
    <mdx n="508" f="v">
      <t c="3" si="4">
        <n x="509"/>
        <n x="35"/>
        <n x="493"/>
      </t>
    </mdx>
    <mdx n="508" f="v">
      <t c="3" si="4">
        <n x="509"/>
        <n x="263"/>
        <n x="494"/>
      </t>
    </mdx>
    <mdx n="508" f="v">
      <t c="3" si="4">
        <n x="509"/>
        <n x="151"/>
        <n x="494"/>
      </t>
    </mdx>
    <mdx n="508" f="v">
      <t c="3" si="4">
        <n x="509"/>
        <n x="303"/>
        <n x="494"/>
      </t>
    </mdx>
    <mdx n="508" f="v">
      <t c="3" si="4">
        <n x="509"/>
        <n x="17"/>
        <n x="494"/>
      </t>
    </mdx>
    <mdx n="508" f="v">
      <t c="3" si="4">
        <n x="509"/>
        <n x="113"/>
        <n x="494"/>
      </t>
    </mdx>
    <mdx n="508" f="v">
      <t c="3" si="4">
        <n x="509"/>
        <n x="383"/>
        <n x="494"/>
      </t>
    </mdx>
    <mdx n="508" f="v">
      <t c="3" si="4">
        <n x="509"/>
        <n x="51"/>
        <n x="494"/>
      </t>
    </mdx>
    <mdx n="508" f="v">
      <t c="3" si="4">
        <n x="509"/>
        <n x="56"/>
        <n x="495"/>
      </t>
    </mdx>
    <mdx n="508" f="v">
      <t c="3" si="4">
        <n x="509"/>
        <n x="389"/>
        <n x="480"/>
      </t>
    </mdx>
    <mdx n="508" f="v">
      <t c="3" si="4">
        <n x="509"/>
        <n x="320"/>
        <n x="484"/>
      </t>
    </mdx>
    <mdx n="508" f="v">
      <t c="3" si="4">
        <n x="509"/>
        <n x="291"/>
        <n x="485"/>
      </t>
    </mdx>
    <mdx n="508" f="v">
      <t c="3" si="4">
        <n x="509"/>
        <n x="430"/>
        <n x="486"/>
      </t>
    </mdx>
    <mdx n="508" f="v">
      <t c="3" si="4">
        <n x="509"/>
        <n x="454"/>
        <n x="488"/>
      </t>
    </mdx>
    <mdx n="508" f="v">
      <t c="3" si="4">
        <n x="509"/>
        <n x="143"/>
        <n x="488"/>
      </t>
    </mdx>
    <mdx n="508" f="v">
      <t c="3" si="4">
        <n x="509"/>
        <n x="41"/>
        <n x="488"/>
      </t>
    </mdx>
    <mdx n="508" f="v">
      <t c="3" si="4">
        <n x="509"/>
        <n x="126"/>
        <n x="484"/>
      </t>
    </mdx>
    <mdx n="508" f="v">
      <t c="3" si="4">
        <n x="509"/>
        <n x="380"/>
        <n x="487"/>
      </t>
    </mdx>
    <mdx n="508" f="v">
      <t c="3" si="4">
        <n x="509"/>
        <n x="192"/>
        <n x="488"/>
      </t>
    </mdx>
    <mdx n="508" f="v">
      <t c="3" si="4">
        <n x="509"/>
        <n x="262"/>
        <n x="489"/>
      </t>
    </mdx>
    <mdx n="508" f="v">
      <t c="3" si="4">
        <n x="509"/>
        <n x="164"/>
        <n x="486"/>
      </t>
    </mdx>
    <mdx n="508" f="v">
      <t c="3" si="4">
        <n x="509"/>
        <n x="177"/>
        <n x="490"/>
      </t>
    </mdx>
    <mdx n="508" f="v">
      <t c="3" si="4">
        <n x="509"/>
        <n x="55"/>
        <n x="491"/>
      </t>
    </mdx>
    <mdx n="508" f="v">
      <t c="3" si="4">
        <n x="509"/>
        <n x="232"/>
        <n x="487"/>
      </t>
    </mdx>
    <mdx n="508" f="v">
      <t c="3" si="4">
        <n x="509"/>
        <n x="181"/>
        <n x="482"/>
      </t>
    </mdx>
    <mdx n="508" f="v">
      <t c="3" si="4">
        <n x="509"/>
        <n x="377"/>
        <n x="487"/>
      </t>
    </mdx>
    <mdx n="508" f="v">
      <t c="3" si="4">
        <n x="509"/>
        <n x="84"/>
        <n x="480"/>
      </t>
    </mdx>
    <mdx n="508" f="v">
      <t c="3" si="4">
        <n x="509"/>
        <n x="294"/>
        <n x="1"/>
      </t>
    </mdx>
    <mdx n="508" f="v">
      <t c="3" si="4">
        <n x="509"/>
        <n x="401"/>
        <n x="479"/>
      </t>
    </mdx>
    <mdx n="508" f="v">
      <t c="3" si="4">
        <n x="509"/>
        <n x="161"/>
        <n x="471"/>
      </t>
    </mdx>
    <mdx n="508" f="v">
      <t c="3" si="4">
        <n x="509"/>
        <n x="130"/>
        <n x="483"/>
      </t>
    </mdx>
    <mdx n="508" f="v">
      <t c="3" si="4">
        <n x="509"/>
        <n x="13"/>
        <n x="485"/>
      </t>
    </mdx>
    <mdx n="508" f="v">
      <t c="3" si="4">
        <n x="509"/>
        <n x="403"/>
        <n x="488"/>
      </t>
    </mdx>
    <mdx n="508" f="v">
      <t c="3" si="4">
        <n x="509"/>
        <n x="460"/>
        <n x="482"/>
      </t>
    </mdx>
    <mdx n="508" f="v">
      <t c="3" si="4">
        <n x="509"/>
        <n x="426"/>
        <n x="483"/>
      </t>
    </mdx>
    <mdx n="508" f="v">
      <t c="3" si="4">
        <n x="509"/>
        <n x="151"/>
        <n x="485"/>
      </t>
    </mdx>
    <mdx n="508" f="v">
      <t c="3" si="4">
        <n x="509"/>
        <n x="405"/>
        <n x="486"/>
      </t>
    </mdx>
    <mdx n="508" f="v">
      <t c="3" si="4">
        <n x="509"/>
        <n x="138"/>
        <n x="488"/>
      </t>
    </mdx>
    <mdx n="508" f="v">
      <t c="3" si="4">
        <n x="509"/>
        <n x="189"/>
        <n x="482"/>
      </t>
    </mdx>
    <mdx n="508" f="v">
      <t c="3" si="4">
        <n x="509"/>
        <n x="135"/>
        <n x="483"/>
      </t>
    </mdx>
    <mdx n="508" f="v">
      <t c="3" si="4">
        <n x="509"/>
        <n x="189"/>
        <n x="485"/>
      </t>
    </mdx>
    <mdx n="508" f="v">
      <t c="3" si="4">
        <n x="509"/>
        <n x="363"/>
        <n x="486"/>
      </t>
    </mdx>
    <mdx n="508" f="v">
      <t c="3" si="4">
        <n x="509"/>
        <n x="242"/>
        <n x="488"/>
      </t>
    </mdx>
    <mdx n="508" f="v">
      <t c="3" si="4">
        <n x="509"/>
        <n x="443"/>
        <n x="482"/>
      </t>
    </mdx>
    <mdx n="508" f="v">
      <t c="3" si="4">
        <n x="509"/>
        <n x="268"/>
        <n x="483"/>
      </t>
    </mdx>
    <mdx n="508" f="v">
      <t c="3" si="4">
        <n x="509"/>
        <n x="267"/>
        <n x="485"/>
      </t>
    </mdx>
    <mdx n="508" f="v">
      <t c="3" si="4">
        <n x="509"/>
        <n x="198"/>
        <n x="486"/>
      </t>
    </mdx>
    <mdx n="508" f="v">
      <t c="3" si="4">
        <n x="509"/>
        <n x="263"/>
        <n x="488"/>
      </t>
    </mdx>
    <mdx n="508" f="v">
      <t c="3" si="4">
        <n x="509"/>
        <n x="251"/>
        <n x="489"/>
      </t>
    </mdx>
    <mdx n="508" f="v">
      <t c="3" si="4">
        <n x="509"/>
        <n x="45"/>
        <n x="482"/>
      </t>
    </mdx>
    <mdx n="508" f="v">
      <t c="3" si="4">
        <n x="509"/>
        <n x="346"/>
        <n x="483"/>
      </t>
    </mdx>
    <mdx n="508" f="v">
      <t c="3" si="4">
        <n x="509"/>
        <n x="144"/>
        <n x="485"/>
      </t>
    </mdx>
    <mdx n="508" f="v">
      <t c="3" si="4">
        <n x="509"/>
        <n x="180"/>
        <n x="486"/>
      </t>
    </mdx>
    <mdx n="508" f="v">
      <t c="3" si="4">
        <n x="509"/>
        <n x="330"/>
        <n x="488"/>
      </t>
    </mdx>
    <mdx n="508" f="v">
      <t c="3" si="4">
        <n x="509"/>
        <n x="230"/>
        <n x="489"/>
      </t>
    </mdx>
    <mdx n="508" f="v">
      <t c="3" si="4">
        <n x="509"/>
        <n x="384"/>
        <n x="482"/>
      </t>
    </mdx>
    <mdx n="508" f="v">
      <t c="3" si="4">
        <n x="509"/>
        <n x="301"/>
        <n x="484"/>
      </t>
    </mdx>
    <mdx n="508" f="v">
      <t c="3" si="4">
        <n x="509"/>
        <n x="179"/>
        <n x="485"/>
      </t>
    </mdx>
    <mdx n="508" f="v">
      <t c="3" si="4">
        <n x="509"/>
        <n x="134"/>
        <n x="487"/>
      </t>
    </mdx>
    <mdx n="508" f="v">
      <t c="3" si="4">
        <n x="509"/>
        <n x="262"/>
        <n x="488"/>
      </t>
    </mdx>
    <mdx n="508" f="v">
      <t c="3" si="4">
        <n x="509"/>
        <n x="100"/>
        <n x="481"/>
      </t>
    </mdx>
    <mdx n="508" f="v">
      <t c="3" si="4">
        <n x="509"/>
        <n x="150"/>
        <n x="483"/>
      </t>
    </mdx>
    <mdx n="508" f="v">
      <t c="3" si="4">
        <n x="509"/>
        <n x="98"/>
        <n x="484"/>
      </t>
    </mdx>
    <mdx n="508" f="v">
      <t c="3" si="4">
        <n x="509"/>
        <n x="281"/>
        <n x="485"/>
      </t>
    </mdx>
    <mdx n="508" f="v">
      <t c="3" si="4">
        <n x="509"/>
        <n x="379"/>
        <n x="477"/>
      </t>
    </mdx>
    <mdx n="508" f="v">
      <t c="3" si="4">
        <n x="509"/>
        <n x="442"/>
        <n x="478"/>
      </t>
    </mdx>
    <mdx n="508" f="v">
      <t c="3" si="4">
        <n x="509"/>
        <n x="245"/>
        <n x="478"/>
      </t>
    </mdx>
    <mdx n="508" f="v">
      <t c="3" si="4">
        <n x="509"/>
        <n x="403"/>
        <n x="477"/>
      </t>
    </mdx>
    <mdx n="508" f="v">
      <t c="3" si="4">
        <n x="509"/>
        <n x="448"/>
        <n x="480"/>
      </t>
    </mdx>
    <mdx n="508" f="v">
      <t c="3" si="4">
        <n x="509"/>
        <n x="202"/>
        <n x="480"/>
      </t>
    </mdx>
    <mdx n="508" f="v">
      <t c="3" si="4">
        <n x="509"/>
        <n x="324"/>
        <n x="468"/>
      </t>
    </mdx>
    <mdx n="508" f="v">
      <t c="3" si="4">
        <n x="509"/>
        <n x="39"/>
        <n x="479"/>
      </t>
    </mdx>
    <mdx n="508" f="v">
      <t c="3" si="4">
        <n x="509"/>
        <n x="267"/>
        <n x="481"/>
      </t>
    </mdx>
    <mdx n="508" f="v">
      <t c="3" si="4">
        <n x="509"/>
        <n x="270"/>
        <n x="478"/>
      </t>
    </mdx>
    <mdx n="508" f="v">
      <t c="3" si="4">
        <n x="509"/>
        <n x="7"/>
        <n x="471"/>
      </t>
    </mdx>
    <mdx n="508" f="v">
      <t c="3" si="4">
        <n x="509"/>
        <n x="208"/>
        <n x="480"/>
      </t>
    </mdx>
    <mdx n="508" f="v">
      <t c="3" si="4">
        <n x="509"/>
        <n x="144"/>
        <n x="481"/>
      </t>
    </mdx>
    <mdx n="508" f="v">
      <t c="3" si="4">
        <n x="509"/>
        <n x="389"/>
        <n x="481"/>
      </t>
    </mdx>
    <mdx n="508" f="v">
      <t c="3" si="4">
        <n x="509"/>
        <n x="297"/>
        <n x="482"/>
      </t>
    </mdx>
    <mdx n="508" f="v">
      <t c="3" si="4">
        <n x="509"/>
        <n x="370"/>
        <n x="484"/>
      </t>
    </mdx>
    <mdx n="508" f="v">
      <t c="3" si="4">
        <n x="509"/>
        <n x="207"/>
        <n x="485"/>
      </t>
    </mdx>
    <mdx n="508" f="v">
      <t c="3" si="4">
        <n x="509"/>
        <n x="217"/>
        <n x="486"/>
      </t>
    </mdx>
    <mdx n="508" f="v">
      <t c="3" si="4">
        <n x="509"/>
        <n x="97"/>
        <n x="487"/>
      </t>
    </mdx>
    <mdx n="508" f="v">
      <t c="3" si="4">
        <n x="509"/>
        <n x="193"/>
        <n x="488"/>
      </t>
    </mdx>
    <mdx n="508" f="v">
      <t c="3" si="4">
        <n x="509"/>
        <n x="272"/>
        <n x="478"/>
      </t>
    </mdx>
    <mdx n="508" f="v">
      <t c="3" si="4">
        <n x="509"/>
        <n x="348"/>
        <n x="482"/>
      </t>
    </mdx>
    <mdx n="508" f="v">
      <t c="3" si="4">
        <n x="509"/>
        <n x="275"/>
        <n x="483"/>
      </t>
    </mdx>
    <mdx n="508" f="v">
      <t c="3" si="4">
        <n x="509"/>
        <n x="363"/>
        <n x="484"/>
      </t>
    </mdx>
    <mdx n="508" f="v">
      <t c="3" si="4">
        <n x="509"/>
        <n x="293"/>
        <n x="485"/>
      </t>
    </mdx>
    <mdx n="508" f="v">
      <t c="3" si="4">
        <n x="509"/>
        <n x="124"/>
        <n x="486"/>
      </t>
    </mdx>
    <mdx n="508" f="v">
      <t c="3" si="4">
        <n x="509"/>
        <n x="60"/>
        <n x="488"/>
      </t>
    </mdx>
    <mdx n="508" f="v">
      <t c="3" si="4">
        <n x="509"/>
        <n x="67"/>
        <n x="481"/>
      </t>
    </mdx>
    <mdx n="508" f="v">
      <t c="3" si="4">
        <n x="509"/>
        <n x="197"/>
        <n x="482"/>
      </t>
    </mdx>
    <mdx n="508" f="v">
      <t c="3" si="4">
        <n x="509"/>
        <n x="331"/>
        <n x="483"/>
      </t>
    </mdx>
    <mdx n="508" f="v">
      <t c="3" si="4">
        <n x="509"/>
        <n x="45"/>
        <n x="485"/>
      </t>
    </mdx>
    <mdx n="508" f="v">
      <t c="3" si="4">
        <n x="509"/>
        <n x="327"/>
        <n x="486"/>
      </t>
    </mdx>
    <mdx n="508" f="v">
      <t c="3" si="4">
        <n x="509"/>
        <n x="202"/>
        <n x="487"/>
      </t>
    </mdx>
    <mdx n="508" f="v">
      <t c="3" si="4">
        <n x="509"/>
        <n x="269"/>
        <n x="488"/>
      </t>
    </mdx>
    <mdx n="508" f="v">
      <t c="3" si="4">
        <n x="509"/>
        <n x="277"/>
        <n x="482"/>
      </t>
    </mdx>
    <mdx n="508" f="v">
      <t c="3" si="4">
        <n x="509"/>
        <n x="116"/>
        <n x="483"/>
      </t>
    </mdx>
    <mdx n="508" f="v">
      <t c="3" si="4">
        <n x="509"/>
        <n x="386"/>
        <n x="484"/>
      </t>
    </mdx>
    <mdx n="508" f="v">
      <t c="3" si="4">
        <n x="509"/>
        <n x="354"/>
        <n x="485"/>
      </t>
    </mdx>
    <mdx n="508" f="v">
      <t c="3" si="4">
        <n x="509"/>
        <n x="390"/>
        <n x="486"/>
      </t>
    </mdx>
    <mdx n="508" f="v">
      <t c="3" si="4">
        <n x="509"/>
        <n x="324"/>
        <n x="487"/>
      </t>
    </mdx>
    <mdx n="508" f="v">
      <t c="3" si="4">
        <n x="509"/>
        <n x="353"/>
        <n x="488"/>
      </t>
    </mdx>
    <mdx n="508" f="v">
      <t c="3" si="4">
        <n x="509"/>
        <n x="272"/>
        <n x="489"/>
      </t>
    </mdx>
    <mdx n="508" f="v">
      <t c="3" si="4">
        <n x="509"/>
        <n x="328"/>
        <n x="482"/>
      </t>
    </mdx>
    <mdx n="508" f="v">
      <t c="3" si="4">
        <n x="509"/>
        <n x="374"/>
        <n x="483"/>
      </t>
    </mdx>
    <mdx n="508" f="v">
      <t c="3" si="4">
        <n x="509"/>
        <n x="88"/>
        <n x="484"/>
      </t>
    </mdx>
    <mdx n="508" f="v">
      <t c="3" si="4">
        <n x="509"/>
        <n x="72"/>
        <n x="485"/>
      </t>
    </mdx>
    <mdx n="508" f="v">
      <t c="3" si="4">
        <n x="509"/>
        <n x="92"/>
        <n x="486"/>
      </t>
    </mdx>
    <mdx n="508" f="v">
      <t c="3" si="4">
        <n x="509"/>
        <n x="9"/>
        <n x="487"/>
      </t>
    </mdx>
    <mdx n="508" f="v">
      <t c="3" si="4">
        <n x="509"/>
        <n x="347"/>
        <n x="488"/>
      </t>
    </mdx>
    <mdx n="508" f="v">
      <t c="3" si="4">
        <n x="509"/>
        <n x="412"/>
        <n x="471"/>
      </t>
    </mdx>
    <mdx n="508" f="v">
      <t c="3" si="4">
        <n x="509"/>
        <n x="336"/>
        <n x="482"/>
      </t>
    </mdx>
    <mdx n="508" f="v">
      <t c="3" si="4">
        <n x="509"/>
        <n x="230"/>
        <n x="483"/>
      </t>
    </mdx>
    <mdx n="508" f="v">
      <t c="3" si="4">
        <n x="509"/>
        <n x="329"/>
        <n x="484"/>
      </t>
    </mdx>
    <mdx n="508" f="v">
      <t c="3" si="4">
        <n x="509"/>
        <n x="214"/>
        <n x="485"/>
      </t>
    </mdx>
    <mdx n="508" f="v">
      <t c="3" si="4">
        <n x="509"/>
        <n x="227"/>
        <n x="486"/>
      </t>
    </mdx>
    <mdx n="508" f="v">
      <t c="3" si="4">
        <n x="509"/>
        <n x="459"/>
        <n x="488"/>
      </t>
    </mdx>
    <mdx n="508" f="v">
      <t c="3" si="4">
        <n x="509"/>
        <n x="116"/>
        <n x="489"/>
      </t>
    </mdx>
    <mdx n="508" f="v">
      <t c="3" si="4">
        <n x="509"/>
        <n x="118"/>
        <n x="482"/>
      </t>
    </mdx>
    <mdx n="508" f="v">
      <t c="3" si="4">
        <n x="509"/>
        <n x="84"/>
        <n x="483"/>
      </t>
    </mdx>
    <mdx n="508" f="v">
      <t c="3" si="4">
        <n x="509"/>
        <n x="304"/>
        <n x="484"/>
      </t>
    </mdx>
    <mdx n="508" f="v">
      <t c="3" si="4">
        <n x="509"/>
        <n x="70"/>
        <n x="485"/>
      </t>
    </mdx>
    <mdx n="508" f="v">
      <t c="3" si="4">
        <n x="509"/>
        <n x="213"/>
        <n x="486"/>
      </t>
    </mdx>
    <mdx n="508" f="v">
      <t c="3" si="4">
        <n x="509"/>
        <n x="196"/>
        <n x="478"/>
      </t>
    </mdx>
    <mdx n="508" f="v">
      <t c="3" si="4">
        <n x="509"/>
        <n x="419"/>
        <n x="483"/>
      </t>
    </mdx>
    <mdx n="508" f="v">
      <t c="3" si="4">
        <n x="509"/>
        <n x="236"/>
        <n x="483"/>
      </t>
    </mdx>
    <mdx n="508" f="v">
      <t c="3" si="4">
        <n x="509"/>
        <n x="147"/>
        <n x="485"/>
      </t>
    </mdx>
    <mdx n="508" f="v">
      <t c="3" si="4">
        <n x="509"/>
        <n x="429"/>
        <n x="486"/>
      </t>
    </mdx>
    <mdx n="508" f="v">
      <t c="3" si="4">
        <n x="509"/>
        <n x="341"/>
        <n x="486"/>
      </t>
    </mdx>
    <mdx n="508" f="v">
      <t c="3" si="4">
        <n x="509"/>
        <n x="176"/>
        <n x="487"/>
      </t>
    </mdx>
    <mdx n="508" f="v">
      <t c="3" si="4">
        <n x="509"/>
        <n x="271"/>
        <n x="483"/>
      </t>
    </mdx>
    <mdx n="508" f="v">
      <t c="3" si="4">
        <n x="509"/>
        <n x="401"/>
        <n x="487"/>
      </t>
    </mdx>
    <mdx n="508" f="v">
      <t c="3" si="4">
        <n x="509"/>
        <n x="410"/>
        <n x="488"/>
      </t>
    </mdx>
    <mdx n="508" f="v">
      <t c="3" si="4">
        <n x="509"/>
        <n x="174"/>
        <n x="489"/>
      </t>
    </mdx>
    <mdx n="508" f="v">
      <t c="3" si="4">
        <n x="509"/>
        <n x="391"/>
        <n x="484"/>
      </t>
    </mdx>
    <mdx n="508" f="v">
      <t c="3" si="4">
        <n x="509"/>
        <n x="338"/>
        <n x="489"/>
      </t>
    </mdx>
    <mdx n="508" f="v">
      <t c="3" si="4">
        <n x="509"/>
        <n x="450"/>
        <n x="491"/>
      </t>
    </mdx>
    <mdx n="508" f="v">
      <t c="3" si="4">
        <n x="509"/>
        <n x="123"/>
        <n x="485"/>
      </t>
    </mdx>
    <mdx n="508" f="v">
      <t c="3" si="4">
        <n x="509"/>
        <n x="89"/>
        <n x="490"/>
      </t>
    </mdx>
    <mdx n="508" f="v">
      <t c="3" si="4">
        <n x="509"/>
        <n x="386"/>
        <n x="491"/>
      </t>
    </mdx>
    <mdx n="508" f="v">
      <t c="3" si="4">
        <n x="509"/>
        <n x="273"/>
        <n x="491"/>
      </t>
    </mdx>
    <mdx n="508" f="v">
      <t c="3" si="4">
        <n x="509"/>
        <n x="373"/>
        <n x="488"/>
      </t>
    </mdx>
    <mdx n="508" f="v">
      <t c="3" si="4">
        <n x="509"/>
        <n x="411"/>
        <n x="490"/>
      </t>
    </mdx>
    <mdx n="508" f="v">
      <t c="3" si="4">
        <n x="509"/>
        <n x="251"/>
        <n x="491"/>
      </t>
    </mdx>
    <mdx n="508" f="v">
      <t c="3" si="4">
        <n x="509"/>
        <n x="419"/>
        <n x="482"/>
      </t>
    </mdx>
    <mdx n="508" f="v">
      <t c="3" si="4">
        <n x="509"/>
        <n x="300"/>
        <n x="489"/>
      </t>
    </mdx>
    <mdx n="508" f="v">
      <t c="3" si="4">
        <n x="509"/>
        <n x="163"/>
        <n x="490"/>
      </t>
    </mdx>
    <mdx n="508" f="v">
      <t c="3" si="4">
        <n x="509"/>
        <n x="191"/>
        <n x="491"/>
      </t>
    </mdx>
    <mdx n="508" f="v">
      <t c="3" si="4">
        <n x="509"/>
        <n x="226"/>
        <n x="484"/>
      </t>
    </mdx>
    <mdx n="508" f="v">
      <t c="3" si="4">
        <n x="509"/>
        <n x="368"/>
        <n x="489"/>
      </t>
    </mdx>
    <mdx n="508" f="v">
      <t c="3" si="4">
        <n x="509"/>
        <n x="344"/>
        <n x="491"/>
      </t>
    </mdx>
    <mdx n="508" f="v">
      <t c="3" si="4">
        <n x="509"/>
        <n x="129"/>
        <n x="482"/>
      </t>
    </mdx>
    <mdx n="508" f="v">
      <t c="3" si="4">
        <n x="509"/>
        <n x="426"/>
        <n x="484"/>
      </t>
    </mdx>
    <mdx n="508" f="v">
      <t c="3" si="4">
        <n x="509"/>
        <n x="117"/>
        <n x="489"/>
      </t>
    </mdx>
    <mdx n="508" f="v">
      <t c="3" si="4">
        <n x="509"/>
        <n x="145"/>
        <n x="491"/>
      </t>
    </mdx>
    <mdx n="508" f="v">
      <t c="3" si="4">
        <n x="509"/>
        <n x="309"/>
        <n x="490"/>
      </t>
    </mdx>
    <mdx n="508" f="v">
      <t c="3" si="4">
        <n x="509"/>
        <n x="327"/>
        <n x="487"/>
      </t>
    </mdx>
    <mdx n="508" f="v">
      <t c="3" si="4">
        <n x="509"/>
        <n x="99"/>
        <n x="490"/>
      </t>
    </mdx>
    <mdx n="508" f="v">
      <t c="3" si="4">
        <n x="509"/>
        <n x="29"/>
        <n x="491"/>
      </t>
    </mdx>
    <mdx n="508" f="v">
      <t c="3" si="4">
        <n x="509"/>
        <n x="284"/>
        <n x="492"/>
      </t>
    </mdx>
    <mdx n="508" f="v">
      <t c="3" si="4">
        <n x="509"/>
        <n x="416"/>
        <n x="492"/>
      </t>
    </mdx>
    <mdx n="508" f="v">
      <t c="3" si="4">
        <n x="509"/>
        <n x="303"/>
        <n x="492"/>
      </t>
    </mdx>
    <mdx n="508" f="v">
      <t c="3" si="4">
        <n x="509"/>
        <n x="192"/>
        <n x="492"/>
      </t>
    </mdx>
    <mdx n="508" f="v">
      <t c="3" si="4">
        <n x="509"/>
        <n x="101"/>
        <n x="492"/>
      </t>
    </mdx>
    <mdx n="508" f="v">
      <t c="3" si="4">
        <n x="509"/>
        <n x="340"/>
        <n x="492"/>
      </t>
    </mdx>
    <mdx n="508" f="v">
      <t c="3" si="4">
        <n x="509"/>
        <n x="404"/>
        <n x="492"/>
      </t>
    </mdx>
    <mdx n="508" f="v">
      <t c="3" si="4">
        <n x="509"/>
        <n x="171"/>
        <n x="493"/>
      </t>
    </mdx>
    <mdx n="508" f="v">
      <t c="3" si="4">
        <n x="509"/>
        <n x="189"/>
        <n x="493"/>
      </t>
    </mdx>
    <mdx n="508" f="v">
      <t c="3" si="4">
        <n x="509"/>
        <n x="431"/>
        <n x="493"/>
      </t>
    </mdx>
    <mdx n="508" f="v">
      <t c="3" si="4">
        <n x="509"/>
        <n x="255"/>
        <n x="493"/>
      </t>
    </mdx>
    <mdx n="508" f="v">
      <t c="3" si="4">
        <n x="509"/>
        <n x="18"/>
        <n x="493"/>
      </t>
    </mdx>
    <mdx n="508" f="v">
      <t c="3" si="4">
        <n x="509"/>
        <n x="202"/>
        <n x="493"/>
      </t>
    </mdx>
    <mdx n="508" f="v">
      <t c="3" si="4">
        <n x="509"/>
        <n x="177"/>
        <n x="493"/>
      </t>
    </mdx>
    <mdx n="508" f="v">
      <t c="3" si="4">
        <n x="509"/>
        <n x="308"/>
        <n x="476"/>
      </t>
    </mdx>
    <mdx n="508" f="v">
      <t c="3" si="4">
        <n x="509"/>
        <n x="298"/>
        <n x="471"/>
      </t>
    </mdx>
    <mdx n="508" f="v">
      <t c="3" si="4">
        <n x="509"/>
        <n x="165"/>
        <n x="486"/>
      </t>
    </mdx>
    <mdx n="508" f="v">
      <t c="3" si="4">
        <n x="509"/>
        <n x="313"/>
        <n x="487"/>
      </t>
    </mdx>
    <mdx n="508" f="v">
      <t c="3" si="4">
        <n x="509"/>
        <n x="272"/>
        <n x="488"/>
      </t>
    </mdx>
    <mdx n="508" f="v">
      <t c="3" si="4">
        <n x="509"/>
        <n x="327"/>
        <n x="490"/>
      </t>
    </mdx>
    <mdx n="508" f="v">
      <t c="3" si="4">
        <n x="509"/>
        <n x="404"/>
        <n x="480"/>
      </t>
    </mdx>
    <mdx n="508" f="v">
      <t c="3" si="4">
        <n x="509"/>
        <n x="98"/>
        <n x="489"/>
      </t>
    </mdx>
    <mdx n="508" f="v">
      <t c="3" si="4">
        <n x="509"/>
        <n x="65"/>
        <n x="485"/>
      </t>
    </mdx>
    <mdx n="508" f="v">
      <t c="3" si="4">
        <n x="509"/>
        <n x="46"/>
        <n x="487"/>
      </t>
    </mdx>
    <mdx n="508" f="v">
      <t c="3" si="4">
        <n x="509"/>
        <n x="392"/>
        <n x="488"/>
      </t>
    </mdx>
    <mdx n="508" f="v">
      <t c="3" si="4">
        <n x="509"/>
        <n x="74"/>
        <n x="489"/>
      </t>
    </mdx>
    <mdx n="508" f="v">
      <t c="3" si="4">
        <n x="509"/>
        <n x="301"/>
        <n x="487"/>
      </t>
    </mdx>
    <mdx n="508" f="v">
      <t c="3" si="4">
        <n x="509"/>
        <n x="255"/>
        <n x="490"/>
      </t>
    </mdx>
    <mdx n="508" f="v">
      <t c="3" si="4">
        <n x="509"/>
        <n x="54"/>
        <n x="491"/>
      </t>
    </mdx>
    <mdx n="508" f="v">
      <t c="3" si="4">
        <n x="509"/>
        <n x="461"/>
        <n x="488"/>
      </t>
    </mdx>
    <mdx n="508" f="v">
      <t c="3" si="4">
        <n x="509"/>
        <n x="269"/>
        <n x="490"/>
      </t>
    </mdx>
    <mdx n="508" f="v">
      <t c="3" si="4">
        <n x="509"/>
        <n x="445"/>
        <n x="491"/>
      </t>
    </mdx>
    <mdx n="508" f="v">
      <t c="3" si="4">
        <n x="509"/>
        <n x="206"/>
        <n x="483"/>
      </t>
    </mdx>
    <mdx n="508" f="v">
      <t c="3" si="4">
        <n x="509"/>
        <n x="266"/>
        <n x="489"/>
      </t>
    </mdx>
    <mdx n="508" f="v">
      <t c="3" si="4">
        <n x="509"/>
        <n x="131"/>
        <n x="490"/>
      </t>
    </mdx>
    <mdx n="508" f="v">
      <t c="3" si="4">
        <n x="509"/>
        <n x="236"/>
        <n x="484"/>
      </t>
    </mdx>
    <mdx n="508" f="v">
      <t c="3" si="4">
        <n x="509"/>
        <n x="184"/>
        <n x="485"/>
      </t>
    </mdx>
    <mdx n="508" f="v">
      <t c="3" si="4">
        <n x="509"/>
        <n x="110"/>
        <n x="490"/>
      </t>
    </mdx>
    <mdx n="508" f="v">
      <t c="3" si="4">
        <n x="509"/>
        <n x="24"/>
        <n x="491"/>
      </t>
    </mdx>
    <mdx n="508" f="v">
      <t c="3" si="4">
        <n x="509"/>
        <n x="149"/>
        <n x="490"/>
      </t>
    </mdx>
    <mdx n="508" f="v">
      <t c="3" si="4">
        <n x="509"/>
        <n x="308"/>
        <n x="487"/>
      </t>
    </mdx>
    <mdx n="508" f="v">
      <t c="3" si="4">
        <n x="509"/>
        <n x="49"/>
        <n x="490"/>
      </t>
    </mdx>
    <mdx n="508" f="v">
      <t c="3" si="4">
        <n x="509"/>
        <n x="86"/>
        <n x="491"/>
      </t>
    </mdx>
    <mdx n="508" f="v">
      <t c="3" si="4">
        <n x="509"/>
        <n x="103"/>
        <n x="490"/>
      </t>
    </mdx>
    <mdx n="508" f="v">
      <t c="3" si="4">
        <n x="509"/>
        <n x="84"/>
        <n x="488"/>
      </t>
    </mdx>
    <mdx n="508" f="v">
      <t c="3" si="4">
        <n x="509"/>
        <n x="376"/>
        <n x="490"/>
      </t>
    </mdx>
    <mdx n="508" f="v">
      <t c="3" si="4">
        <n x="509"/>
        <n x="202"/>
        <n x="491"/>
      </t>
    </mdx>
    <mdx n="508" f="v">
      <t c="3" si="4">
        <n x="509"/>
        <n x="272"/>
        <n x="481"/>
      </t>
    </mdx>
    <mdx n="508" f="v">
      <t c="3" si="4">
        <n x="509"/>
        <n x="69"/>
        <n x="489"/>
      </t>
    </mdx>
    <mdx n="508" f="v">
      <t c="3" si="4">
        <n x="509"/>
        <n x="209"/>
        <n x="490"/>
      </t>
    </mdx>
    <mdx n="508" f="v">
      <t c="3" si="4">
        <n x="509"/>
        <n x="378"/>
        <n x="491"/>
      </t>
    </mdx>
    <mdx n="508" f="v">
      <t c="3" si="4">
        <n x="509"/>
        <n x="389"/>
        <n x="5"/>
      </t>
    </mdx>
    <mdx n="508" f="v">
      <t c="3" si="4">
        <n x="509"/>
        <n x="159"/>
        <n x="492"/>
      </t>
    </mdx>
    <mdx n="508" f="v">
      <t c="3" si="4">
        <n x="509"/>
        <n x="137"/>
        <n x="492"/>
      </t>
    </mdx>
    <mdx n="508" f="v">
      <t c="3" si="4">
        <n x="509"/>
        <n x="269"/>
        <n x="492"/>
      </t>
    </mdx>
    <mdx n="508" f="v">
      <t c="3" si="4">
        <n x="509"/>
        <n x="255"/>
        <n x="492"/>
      </t>
    </mdx>
    <mdx n="508" f="v">
      <t c="3" si="4">
        <n x="509"/>
        <n x="276"/>
        <n x="492"/>
      </t>
    </mdx>
    <mdx n="508" f="v">
      <t c="3" si="4">
        <n x="509"/>
        <n x="439"/>
        <n x="492"/>
      </t>
    </mdx>
    <mdx n="508" f="v">
      <t c="3" si="4">
        <n x="509"/>
        <n x="82"/>
        <n x="492"/>
      </t>
    </mdx>
    <mdx n="508" f="v">
      <t c="3" si="4">
        <n x="509"/>
        <n x="307"/>
        <n x="492"/>
      </t>
    </mdx>
    <mdx n="508" f="v">
      <t c="3" si="4">
        <n x="509"/>
        <n x="387"/>
        <n x="493"/>
      </t>
    </mdx>
    <mdx n="508" f="v">
      <t c="3" si="4">
        <n x="509"/>
        <n x="407"/>
        <n x="493"/>
      </t>
    </mdx>
    <mdx n="508" f="v">
      <t c="3" si="4">
        <n x="509"/>
        <n x="385"/>
        <n x="493"/>
      </t>
    </mdx>
    <mdx n="508" f="v">
      <t c="3" si="4">
        <n x="509"/>
        <n x="213"/>
        <n x="493"/>
      </t>
    </mdx>
    <mdx n="508" f="v">
      <t c="3" si="4">
        <n x="509"/>
        <n x="266"/>
        <n x="493"/>
      </t>
    </mdx>
    <mdx n="508" f="v">
      <t c="3" si="4">
        <n x="509"/>
        <n x="328"/>
        <n x="493"/>
      </t>
    </mdx>
    <mdx n="508" f="v">
      <t c="3" si="4">
        <n x="509"/>
        <n x="227"/>
        <n x="493"/>
      </t>
    </mdx>
    <mdx n="508" f="v">
      <t c="3" si="4">
        <n x="509"/>
        <n x="406"/>
        <n x="479"/>
      </t>
    </mdx>
    <mdx n="508" f="v">
      <t c="3" si="4">
        <n x="509"/>
        <n x="399"/>
        <n x="481"/>
      </t>
    </mdx>
    <mdx n="508" f="v">
      <t c="3" si="4">
        <n x="509"/>
        <n x="244"/>
        <n x="481"/>
      </t>
    </mdx>
    <mdx n="508" f="v">
      <t c="3" si="4">
        <n x="509"/>
        <n x="184"/>
        <n x="483"/>
      </t>
    </mdx>
    <mdx n="508" f="v">
      <t c="3" si="4">
        <n x="509"/>
        <n x="61"/>
        <n x="484"/>
      </t>
    </mdx>
    <mdx n="508" f="v">
      <t c="3" si="4">
        <n x="509"/>
        <n x="266"/>
        <n x="484"/>
      </t>
    </mdx>
    <mdx n="508" f="v">
      <t c="3" si="4">
        <n x="509"/>
        <n x="456"/>
        <n x="485"/>
      </t>
    </mdx>
    <mdx n="508" f="v">
      <t c="3" si="4">
        <n x="509"/>
        <n x="214"/>
        <n x="482"/>
      </t>
    </mdx>
    <mdx n="508" f="v">
      <t c="3" si="4">
        <n x="509"/>
        <n x="72"/>
        <n x="486"/>
      </t>
    </mdx>
    <mdx n="508" f="v">
      <t c="3" si="4">
        <n x="509"/>
        <n x="457"/>
        <n x="488"/>
      </t>
    </mdx>
    <mdx n="508" f="v">
      <t c="3" si="4">
        <n x="509"/>
        <n x="387"/>
        <n x="489"/>
      </t>
    </mdx>
    <mdx n="508" f="v">
      <t c="3" si="4">
        <n x="509"/>
        <n x="20"/>
        <n x="482"/>
      </t>
    </mdx>
    <mdx n="508" f="v">
      <t c="3" si="4">
        <n x="509"/>
        <n x="441"/>
        <n x="489"/>
      </t>
    </mdx>
    <mdx n="508" f="v">
      <t c="3" si="4">
        <n x="509"/>
        <n x="247"/>
        <n x="490"/>
      </t>
    </mdx>
    <mdx n="508" f="v">
      <t c="3" si="4">
        <n x="509"/>
        <n x="122"/>
        <n x="483"/>
      </t>
    </mdx>
    <mdx n="508" f="v">
      <t c="3" si="4">
        <n x="509"/>
        <n x="161"/>
        <n x="489"/>
      </t>
    </mdx>
    <mdx n="508" f="v">
      <t c="3" si="4">
        <n x="509"/>
        <n x="185"/>
        <n x="491"/>
      </t>
    </mdx>
    <mdx n="508" f="v">
      <t c="3" si="4">
        <n x="509"/>
        <n x="308"/>
        <n x="488"/>
      </t>
    </mdx>
    <mdx n="508" f="v">
      <t c="3" si="4">
        <n x="509"/>
        <n x="248"/>
        <n x="486"/>
      </t>
    </mdx>
    <mdx n="508" f="v">
      <t c="3" si="4">
        <n x="509"/>
        <n x="234"/>
        <n x="490"/>
      </t>
    </mdx>
    <mdx n="508" f="v">
      <t c="3" si="4">
        <n x="509"/>
        <n x="206"/>
        <n x="491"/>
      </t>
    </mdx>
    <mdx n="508" f="v">
      <t c="3" si="4">
        <n x="509"/>
        <n x="446"/>
        <n x="491"/>
      </t>
    </mdx>
    <mdx n="508" f="v">
      <t c="3" si="4">
        <n x="509"/>
        <n x="118"/>
        <n x="488"/>
      </t>
    </mdx>
    <mdx n="508" f="v">
      <t c="3" si="4">
        <n x="509"/>
        <n x="85"/>
        <n x="490"/>
      </t>
    </mdx>
    <mdx n="508" f="v">
      <t c="3" si="4">
        <n x="509"/>
        <n x="7"/>
        <n x="491"/>
      </t>
    </mdx>
    <mdx n="508" f="v">
      <t c="3" si="4">
        <n x="509"/>
        <n x="138"/>
        <n x="482"/>
      </t>
    </mdx>
    <mdx n="508" f="v">
      <t c="3" si="4">
        <n x="509"/>
        <n x="167"/>
        <n x="489"/>
      </t>
    </mdx>
    <mdx n="508" f="v">
      <t c="3" si="4">
        <n x="509"/>
        <n x="160"/>
        <n x="490"/>
      </t>
    </mdx>
    <mdx n="508" f="v">
      <t c="3" si="4">
        <n x="509"/>
        <n x="444"/>
        <n x="491"/>
      </t>
    </mdx>
    <mdx n="508" f="v">
      <t c="3" si="4">
        <n x="509"/>
        <n x="36"/>
        <n x="482"/>
      </t>
    </mdx>
    <mdx n="508" f="v">
      <t c="3" si="4">
        <n x="509"/>
        <n x="429"/>
        <n x="489"/>
      </t>
    </mdx>
    <mdx n="508" f="v">
      <t c="3" si="4">
        <n x="509"/>
        <n x="81"/>
        <n x="490"/>
      </t>
    </mdx>
    <mdx n="508" f="v">
      <t c="3" si="4">
        <n x="509"/>
        <n x="393"/>
        <n x="483"/>
      </t>
    </mdx>
    <mdx n="508" f="v">
      <t c="3" si="4">
        <n x="509"/>
        <n x="304"/>
        <n x="485"/>
      </t>
    </mdx>
    <mdx n="508" f="v">
      <t c="3" si="4">
        <n x="509"/>
        <n x="434"/>
        <n x="490"/>
      </t>
    </mdx>
    <mdx n="508" f="v">
      <t c="3" si="4">
        <n x="509"/>
        <n x="350"/>
        <n x="491"/>
      </t>
    </mdx>
    <mdx n="508" f="v">
      <t c="3" si="4">
        <n x="509"/>
        <n x="31"/>
        <n x="490"/>
      </t>
    </mdx>
    <mdx n="508" f="v">
      <t c="3" si="4">
        <n x="509"/>
        <n x="222"/>
        <n x="492"/>
      </t>
    </mdx>
    <mdx n="508" f="v">
      <t c="3" si="4">
        <n x="509"/>
        <n x="201"/>
        <n x="492"/>
      </t>
    </mdx>
    <mdx n="508" f="v">
      <t c="3" si="4">
        <n x="509"/>
        <n x="327"/>
        <n x="483"/>
      </t>
    </mdx>
    <mdx n="508" f="v">
      <t c="3" si="4">
        <n x="509"/>
        <n x="321"/>
        <n x="1"/>
      </t>
    </mdx>
    <mdx n="508" f="v">
      <t c="3" si="4">
        <n x="509"/>
        <n x="187"/>
        <n x="471"/>
      </t>
    </mdx>
    <mdx n="508" f="v">
      <t c="3" si="4">
        <n x="509"/>
        <n x="300"/>
        <n x="478"/>
      </t>
    </mdx>
    <mdx n="508" f="v">
      <t c="3" si="4">
        <n x="509"/>
        <n x="461"/>
        <n x="476"/>
      </t>
    </mdx>
    <mdx n="508" f="v">
      <t c="3" si="4">
        <n x="509"/>
        <n x="131"/>
        <n x="479"/>
      </t>
    </mdx>
    <mdx n="508" f="v">
      <t c="3" si="4">
        <n x="509"/>
        <n x="427"/>
        <n x="480"/>
      </t>
    </mdx>
    <mdx n="508" f="v">
      <t c="3" si="4">
        <n x="509"/>
        <n x="362"/>
        <n x="483"/>
      </t>
    </mdx>
    <mdx n="508" f="v">
      <t c="3" si="4">
        <n x="509"/>
        <n x="443"/>
        <n x="486"/>
      </t>
    </mdx>
    <mdx n="508" f="v">
      <t c="3" si="4">
        <n x="509"/>
        <n x="231"/>
        <n x="488"/>
      </t>
    </mdx>
    <mdx n="508" f="v">
      <t c="3" si="4">
        <n x="509"/>
        <n x="212"/>
        <n x="482"/>
      </t>
    </mdx>
    <mdx n="508" f="v">
      <t c="3" si="4">
        <n x="509"/>
        <n x="227"/>
        <n x="483"/>
      </t>
    </mdx>
    <mdx n="508" f="v">
      <t c="3" si="4">
        <n x="509"/>
        <n x="283"/>
        <n x="485"/>
      </t>
    </mdx>
    <mdx n="508" f="v">
      <t c="3" si="4">
        <n x="509"/>
        <n x="50"/>
        <n x="486"/>
      </t>
    </mdx>
    <mdx n="508" f="v">
      <t c="3" si="4">
        <n x="509"/>
        <n x="453"/>
        <n x="488"/>
      </t>
    </mdx>
    <mdx n="508" f="v">
      <t c="3" si="4">
        <n x="509"/>
        <n x="381"/>
        <n x="482"/>
      </t>
    </mdx>
    <mdx n="508" f="v">
      <t c="3" si="4">
        <n x="509"/>
        <n x="344"/>
        <n x="483"/>
      </t>
    </mdx>
    <mdx n="508" f="v">
      <t c="3" si="4">
        <n x="509"/>
        <n x="238"/>
        <n x="485"/>
      </t>
    </mdx>
    <mdx n="508" f="v">
      <t c="3" si="4">
        <n x="509"/>
        <n x="81"/>
        <n x="486"/>
      </t>
    </mdx>
    <mdx n="508" f="v">
      <t c="3" si="4">
        <n x="509"/>
        <n x="284"/>
        <n x="488"/>
      </t>
    </mdx>
    <mdx n="508" f="v">
      <t c="3" si="4">
        <n x="509"/>
        <n x="40"/>
        <n x="482"/>
      </t>
    </mdx>
    <mdx n="508" f="v">
      <t c="3" si="4">
        <n x="509"/>
        <n x="388"/>
        <n x="483"/>
      </t>
    </mdx>
    <mdx n="508" f="v">
      <t c="3" si="4">
        <n x="509"/>
        <n x="87"/>
        <n x="485"/>
      </t>
    </mdx>
    <mdx n="508" f="v">
      <t c="3" si="4">
        <n x="509"/>
        <n x="298"/>
        <n x="486"/>
      </t>
    </mdx>
    <mdx n="508" f="v">
      <t c="3" si="4">
        <n x="509"/>
        <n x="221"/>
        <n x="488"/>
      </t>
    </mdx>
    <mdx n="508" f="v">
      <t c="3" si="4">
        <n x="509"/>
        <n x="308"/>
        <n x="489"/>
      </t>
    </mdx>
    <mdx n="508" f="v">
      <t c="3" si="4">
        <n x="509"/>
        <n x="449"/>
        <n x="482"/>
      </t>
    </mdx>
    <mdx n="508" f="v">
      <t c="3" si="4">
        <n x="509"/>
        <n x="215"/>
        <n x="483"/>
      </t>
    </mdx>
    <mdx n="508" f="v">
      <t c="3" si="4">
        <n x="509"/>
        <n x="431"/>
        <n x="485"/>
      </t>
    </mdx>
    <mdx n="508" f="v">
      <t c="3" si="4">
        <n x="509"/>
        <n x="148"/>
        <n x="486"/>
      </t>
    </mdx>
    <mdx n="508" f="v">
      <t c="3" si="4">
        <n x="509"/>
        <n x="304"/>
        <n x="488"/>
      </t>
    </mdx>
    <mdx n="508" f="v">
      <t c="3" si="4">
        <n x="509"/>
        <n x="48"/>
        <n x="471"/>
      </t>
    </mdx>
    <mdx n="508" f="v">
      <t c="3" si="4">
        <n x="509"/>
        <n x="142"/>
        <n x="482"/>
      </t>
    </mdx>
    <mdx n="508" f="v">
      <t c="3" si="4">
        <n x="509"/>
        <n x="431"/>
        <n x="484"/>
      </t>
    </mdx>
    <mdx n="508" f="v">
      <t c="3" si="4">
        <n x="509"/>
        <n x="223"/>
        <n x="485"/>
      </t>
    </mdx>
    <mdx n="508" f="v">
      <t c="3" si="4">
        <n x="509"/>
        <n x="230"/>
        <n x="487"/>
      </t>
    </mdx>
    <mdx n="508" f="v">
      <t c="3" si="4">
        <n x="509"/>
        <n x="324"/>
        <n x="488"/>
      </t>
    </mdx>
    <mdx n="508" f="v">
      <t c="3" si="4">
        <n x="509"/>
        <n x="172"/>
        <n x="482"/>
      </t>
    </mdx>
    <mdx n="508" f="v">
      <t c="3" si="4">
        <n x="509"/>
        <n x="447"/>
        <n x="483"/>
      </t>
    </mdx>
    <mdx n="508" f="v">
      <t c="3" si="4">
        <n x="509"/>
        <n x="289"/>
        <n x="484"/>
      </t>
    </mdx>
    <mdx n="508" f="v">
      <t c="3" si="4">
        <n x="509"/>
        <n x="102"/>
        <n x="468"/>
      </t>
    </mdx>
    <mdx n="508" f="v">
      <t c="3" si="4">
        <n x="509"/>
        <n x="69"/>
        <n x="471"/>
      </t>
    </mdx>
    <mdx n="508" f="v">
      <t c="3" si="4">
        <n x="509"/>
        <n x="92"/>
        <n x="481"/>
      </t>
    </mdx>
    <mdx n="508" f="v">
      <t c="3" si="4">
        <n x="509"/>
        <n x="353"/>
        <n x="481"/>
      </t>
    </mdx>
    <mdx n="508" f="v">
      <t c="3" si="4">
        <n x="509"/>
        <n x="113"/>
        <n x="478"/>
      </t>
    </mdx>
    <mdx n="508" f="v">
      <t c="3" si="4">
        <n x="509"/>
        <n x="16"/>
        <n x="480"/>
      </t>
    </mdx>
    <mdx n="508" f="v">
      <t c="3" si="4">
        <n x="509"/>
        <n x="15"/>
        <n x="481"/>
      </t>
    </mdx>
    <mdx n="508" f="v">
      <t c="3" si="4">
        <n x="509"/>
        <n x="183"/>
        <n x="478"/>
      </t>
    </mdx>
    <mdx n="508" f="v">
      <t c="3" si="4">
        <n x="509"/>
        <n x="232"/>
        <n x="479"/>
      </t>
    </mdx>
    <mdx n="508" f="v">
      <t c="3" si="4">
        <n x="509"/>
        <n x="167"/>
        <n x="480"/>
      </t>
    </mdx>
    <mdx n="508" f="v">
      <t c="3" si="4">
        <n x="509"/>
        <n x="210"/>
        <n x="481"/>
      </t>
    </mdx>
    <mdx n="508" f="v">
      <t c="3" si="4">
        <n x="509"/>
        <n x="229"/>
        <n x="481"/>
      </t>
    </mdx>
    <mdx n="508" f="v">
      <t c="3" si="4">
        <n x="509"/>
        <n x="270"/>
        <n x="483"/>
      </t>
    </mdx>
    <mdx n="508" f="v">
      <t c="3" si="4">
        <n x="509"/>
        <n x="350"/>
        <n x="484"/>
      </t>
    </mdx>
    <mdx n="508" f="v">
      <t c="3" si="4">
        <n x="509"/>
        <n x="343"/>
        <n x="485"/>
      </t>
    </mdx>
    <mdx n="508" f="v">
      <t c="3" si="4">
        <n x="509"/>
        <n x="463"/>
        <n x="486"/>
      </t>
    </mdx>
    <mdx n="508" f="v">
      <t c="3" si="4">
        <n x="509"/>
        <n x="272"/>
        <n x="487"/>
      </t>
    </mdx>
    <mdx n="508" f="v">
      <t c="3" si="4">
        <n x="509"/>
        <n x="127"/>
        <n x="488"/>
      </t>
    </mdx>
    <mdx n="508" f="v">
      <t c="3" si="4">
        <n x="509"/>
        <n x="22"/>
        <n x="479"/>
      </t>
    </mdx>
    <mdx n="508" f="v">
      <t c="3" si="4">
        <n x="509"/>
        <n x="41"/>
        <n x="482"/>
      </t>
    </mdx>
    <mdx n="508" f="v">
      <t c="3" si="4">
        <n x="509"/>
        <n x="32"/>
        <n x="483"/>
      </t>
    </mdx>
    <mdx n="508" f="v">
      <t c="3" si="4">
        <n x="509"/>
        <n x="163"/>
        <n x="484"/>
      </t>
    </mdx>
    <mdx n="508" f="v">
      <t c="3" si="4">
        <n x="509"/>
        <n x="415"/>
        <n x="485"/>
      </t>
    </mdx>
    <mdx n="508" f="v">
      <t c="3" si="4">
        <n x="509"/>
        <n x="386"/>
        <n x="487"/>
      </t>
    </mdx>
    <mdx n="508" f="v">
      <t c="3" si="4">
        <n x="509"/>
        <n x="232"/>
        <n x="488"/>
      </t>
    </mdx>
    <mdx n="508" f="v">
      <t c="3" si="4">
        <n x="509"/>
        <n x="247"/>
        <n x="481"/>
      </t>
    </mdx>
    <mdx n="508" f="v">
      <t c="3" si="4">
        <n x="509"/>
        <n x="239"/>
        <n x="482"/>
      </t>
    </mdx>
    <mdx n="508" f="v">
      <t c="3" si="4">
        <n x="509"/>
        <n x="45"/>
        <n x="484"/>
      </t>
    </mdx>
    <mdx n="508" f="v">
      <t c="3" si="4">
        <n x="509"/>
        <n x="47"/>
        <n x="485"/>
      </t>
    </mdx>
    <mdx n="508" f="v">
      <t c="3" si="4">
        <n x="509"/>
        <n x="448"/>
        <n x="486"/>
      </t>
    </mdx>
    <mdx n="508" f="v">
      <t c="3" si="4">
        <n x="509"/>
        <n x="305"/>
        <n x="487"/>
      </t>
    </mdx>
    <mdx n="508" f="v">
      <t c="3" si="4">
        <n x="509"/>
        <n x="174"/>
        <n x="488"/>
      </t>
    </mdx>
    <mdx n="508" f="v">
      <t c="3" si="4">
        <n x="509"/>
        <n x="168"/>
        <n x="482"/>
      </t>
    </mdx>
    <mdx n="508" f="v">
      <t c="3" si="4">
        <n x="509"/>
        <n x="354"/>
        <n x="483"/>
      </t>
    </mdx>
    <mdx n="508" f="v">
      <t c="3" si="4">
        <n x="509"/>
        <n x="294"/>
        <n x="484"/>
      </t>
    </mdx>
    <mdx n="508" f="v">
      <t c="3" si="4">
        <n x="509"/>
        <n x="79"/>
        <n x="485"/>
      </t>
    </mdx>
    <mdx n="508" f="v">
      <t c="3" si="4">
        <n x="509"/>
        <n x="275"/>
        <n x="486"/>
      </t>
    </mdx>
    <mdx n="508" f="v">
      <t c="3" si="4">
        <n x="509"/>
        <n x="425"/>
        <n x="487"/>
      </t>
    </mdx>
    <mdx n="508" f="v">
      <t c="3" si="4">
        <n x="509"/>
        <n x="328"/>
        <n x="488"/>
      </t>
    </mdx>
    <mdx n="508" f="v">
      <t c="3" si="4">
        <n x="509"/>
        <n x="259"/>
        <n x="489"/>
      </t>
    </mdx>
    <mdx n="508" f="v">
      <t c="3" si="4">
        <n x="509"/>
        <n x="258"/>
        <n x="482"/>
      </t>
    </mdx>
    <mdx n="508" f="v">
      <t c="3" si="4">
        <n x="509"/>
        <n x="125"/>
        <n x="483"/>
      </t>
    </mdx>
    <mdx n="508" f="v">
      <t c="3" si="4">
        <n x="509"/>
        <n x="46"/>
        <n x="484"/>
      </t>
    </mdx>
    <mdx n="508" f="v">
      <t c="3" si="4">
        <n x="509"/>
        <n x="211"/>
        <n x="485"/>
      </t>
    </mdx>
    <mdx n="508" f="v">
      <t c="3" si="4">
        <n x="509"/>
        <n x="43"/>
        <n x="486"/>
      </t>
    </mdx>
    <mdx n="508" f="v">
      <t c="3" si="4">
        <n x="509"/>
        <n x="338"/>
        <n x="487"/>
      </t>
    </mdx>
    <mdx n="508" f="v">
      <t c="3" si="4">
        <n x="509"/>
        <n x="223"/>
        <n x="488"/>
      </t>
    </mdx>
    <mdx n="508" f="v">
      <t c="3" si="4">
        <n x="509"/>
        <n x="109"/>
        <n x="479"/>
      </t>
    </mdx>
    <mdx n="508" f="v">
      <t c="3" si="4">
        <n x="509"/>
        <n x="92"/>
        <n x="482"/>
      </t>
    </mdx>
    <mdx n="508" f="v">
      <t c="3" si="4">
        <n x="509"/>
        <n x="65"/>
        <n x="483"/>
      </t>
    </mdx>
    <mdx n="508" f="v">
      <t c="3" si="4">
        <n x="509"/>
        <n x="13"/>
        <n x="484"/>
      </t>
    </mdx>
    <mdx n="508" f="v">
      <t c="3" si="4">
        <n x="509"/>
        <n x="307"/>
        <n x="485"/>
      </t>
    </mdx>
    <mdx n="508" f="v">
      <t c="3" si="4">
        <n x="509"/>
        <n x="350"/>
        <n x="487"/>
      </t>
    </mdx>
    <mdx n="508" f="v">
      <t c="3" si="4">
        <n x="509"/>
        <n x="418"/>
        <n x="488"/>
      </t>
    </mdx>
    <mdx n="508" f="v">
      <t c="3" si="4">
        <n x="509"/>
        <n x="256"/>
        <n x="489"/>
      </t>
    </mdx>
    <mdx n="508" f="v">
      <t c="3" si="4">
        <n x="509"/>
        <n x="30"/>
        <n x="482"/>
      </t>
    </mdx>
    <mdx n="508" f="v">
      <t c="3" si="4">
        <n x="509"/>
        <n x="231"/>
        <n x="483"/>
      </t>
    </mdx>
    <mdx n="508" f="v">
      <t c="3" si="4">
        <n x="509"/>
        <n x="157"/>
        <n x="484"/>
      </t>
    </mdx>
    <mdx n="508" f="v">
      <t c="3" si="4">
        <n x="509"/>
        <n x="292"/>
        <n x="485"/>
      </t>
    </mdx>
    <mdx n="508" f="v">
      <t c="3" si="4">
        <n x="509"/>
        <n x="154"/>
        <n x="486"/>
      </t>
    </mdx>
    <mdx n="508" f="v">
      <t c="3" si="4">
        <n x="509"/>
        <n x="3"/>
        <n x="480"/>
      </t>
    </mdx>
    <mdx n="508" f="v">
      <t c="3" si="4">
        <n x="509"/>
        <n x="151"/>
        <n x="484"/>
      </t>
    </mdx>
    <mdx n="508" f="v">
      <t c="3" si="4">
        <n x="509"/>
        <n x="142"/>
        <n x="484"/>
      </t>
    </mdx>
    <mdx n="508" f="v">
      <t c="3" si="4">
        <n x="509"/>
        <n x="25"/>
        <n x="486"/>
      </t>
    </mdx>
    <mdx n="508" f="v">
      <t c="3" si="4">
        <n x="509"/>
        <n x="409"/>
        <n x="487"/>
      </t>
    </mdx>
    <mdx n="508" f="v">
      <t c="3" si="4">
        <n x="509"/>
        <n x="122"/>
        <n x="487"/>
      </t>
    </mdx>
    <mdx n="508" f="v">
      <t c="3" si="4">
        <n x="509"/>
        <n x="137"/>
        <n x="488"/>
      </t>
    </mdx>
    <mdx n="508" f="v">
      <t c="3" si="4">
        <n x="509"/>
        <n x="349"/>
        <n x="484"/>
      </t>
    </mdx>
    <mdx n="508" f="v">
      <t c="3" si="4">
        <n x="509"/>
        <n x="178"/>
        <n x="487"/>
      </t>
    </mdx>
    <mdx n="508" f="v">
      <t c="3" si="4">
        <n x="509"/>
        <n x="120"/>
        <n x="488"/>
      </t>
    </mdx>
    <mdx n="508" f="v">
      <t c="3" si="4">
        <n x="509"/>
        <n x="141"/>
        <n x="489"/>
      </t>
    </mdx>
    <mdx n="508" f="v">
      <t c="3" si="4">
        <n x="509"/>
        <n x="406"/>
        <n x="485"/>
      </t>
    </mdx>
    <mdx n="508" f="v">
      <t c="3" si="4">
        <n x="509"/>
        <n x="30"/>
        <n x="490"/>
      </t>
    </mdx>
    <mdx n="508" f="v">
      <t c="3" si="4">
        <n x="509"/>
        <n x="146"/>
        <n x="491"/>
      </t>
    </mdx>
    <mdx n="508" f="v">
      <t c="3" si="4">
        <n x="509"/>
        <n x="278"/>
        <n x="486"/>
      </t>
    </mdx>
    <mdx n="508" f="v">
      <t c="3" si="4">
        <n x="509"/>
        <n x="221"/>
        <n x="490"/>
      </t>
    </mdx>
    <mdx n="508" f="v">
      <t c="3" si="4">
        <n x="509"/>
        <n x="431"/>
        <n x="491"/>
      </t>
    </mdx>
    <mdx n="508" f="v">
      <t c="3" si="4">
        <n x="509"/>
        <n x="85"/>
        <n x="491"/>
      </t>
    </mdx>
    <mdx n="508" f="v">
      <t c="3" si="4">
        <n x="509"/>
        <n x="415"/>
        <n x="489"/>
      </t>
    </mdx>
    <mdx n="508" f="v">
      <t c="3" si="4">
        <n x="509"/>
        <n x="173"/>
        <n x="490"/>
      </t>
    </mdx>
    <mdx n="508" f="v">
      <t c="3" si="4">
        <n x="509"/>
        <n x="383"/>
        <n x="491"/>
      </t>
    </mdx>
    <mdx n="508" f="v">
      <t c="3" si="4">
        <n x="509"/>
        <n x="143"/>
        <n x="483"/>
      </t>
    </mdx>
    <mdx n="508" f="v">
      <t c="3" si="4">
        <n x="509"/>
        <n x="164"/>
        <n x="489"/>
      </t>
    </mdx>
    <mdx n="508" f="v">
      <t c="3" si="4">
        <n x="509"/>
        <n x="331"/>
        <n x="490"/>
      </t>
    </mdx>
    <mdx n="508" f="v">
      <t c="3" si="4">
        <n x="509"/>
        <n x="92"/>
        <n x="483"/>
      </t>
    </mdx>
    <mdx n="508" f="v">
      <t c="3" si="4">
        <n x="509"/>
        <n x="234"/>
        <n x="485"/>
      </t>
    </mdx>
    <mdx n="508" f="v">
      <t c="3" si="4">
        <n x="509"/>
        <n x="440"/>
        <n x="490"/>
      </t>
    </mdx>
    <mdx n="508" f="v">
      <t c="3" si="4">
        <n x="509"/>
        <n x="59"/>
        <n x="491"/>
      </t>
    </mdx>
    <mdx n="508" f="v">
      <t c="3" si="4">
        <n x="509"/>
        <n x="399"/>
        <n x="488"/>
      </t>
    </mdx>
    <mdx n="508" f="v">
      <t c="3" si="4">
        <n x="509"/>
        <n x="122"/>
        <n x="485"/>
      </t>
    </mdx>
    <mdx n="508" f="v">
      <t c="3" si="4">
        <n x="509"/>
        <n x="54"/>
        <n x="490"/>
      </t>
    </mdx>
    <mdx n="508" f="v">
      <t c="3" si="4">
        <n x="509"/>
        <n x="217"/>
        <n x="491"/>
      </t>
    </mdx>
    <mdx n="508" f="v">
      <t c="3" si="4">
        <n x="509"/>
        <n x="397"/>
        <n x="490"/>
      </t>
    </mdx>
    <mdx n="508" f="v">
      <t c="3" si="4">
        <n x="509"/>
        <n x="233"/>
        <n x="488"/>
      </t>
    </mdx>
    <mdx n="508" f="v">
      <t c="3" si="4">
        <n x="509"/>
        <n x="354"/>
        <n x="490"/>
      </t>
    </mdx>
    <mdx n="508" f="v">
      <t c="3" si="4">
        <n x="509"/>
        <n x="276"/>
        <n x="491"/>
      </t>
    </mdx>
    <mdx n="508" f="v">
      <t c="3" si="4">
        <n x="509"/>
        <n x="355"/>
        <n x="492"/>
      </t>
    </mdx>
    <mdx n="508" f="v">
      <t c="3" si="4">
        <n x="509"/>
        <n x="305"/>
        <n x="492"/>
      </t>
    </mdx>
    <mdx n="508" f="v">
      <t c="3" si="4">
        <n x="509"/>
        <n x="398"/>
        <n x="492"/>
      </t>
    </mdx>
    <mdx n="508" f="v">
      <t c="3" si="4">
        <n x="509"/>
        <n x="406"/>
        <n x="492"/>
      </t>
    </mdx>
    <mdx n="508" f="v">
      <t c="3" si="4">
        <n x="509"/>
        <n x="188"/>
        <n x="492"/>
      </t>
    </mdx>
    <mdx n="508" f="v">
      <t c="3" si="4">
        <n x="509"/>
        <n x="126"/>
        <n x="492"/>
      </t>
    </mdx>
    <mdx n="508" f="v">
      <t c="3" si="4">
        <n x="509"/>
        <n x="388"/>
        <n x="492"/>
      </t>
    </mdx>
    <mdx n="508" f="v">
      <t c="3" si="4">
        <n x="509"/>
        <n x="37"/>
        <n x="493"/>
      </t>
    </mdx>
    <mdx n="508" f="v">
      <t c="3" si="4">
        <n x="509"/>
        <n x="47"/>
        <n x="493"/>
      </t>
    </mdx>
    <mdx n="508" f="v">
      <t c="3" si="4">
        <n x="509"/>
        <n x="343"/>
        <n x="493"/>
      </t>
    </mdx>
    <mdx n="508" f="v">
      <t c="3" si="4">
        <n x="509"/>
        <n x="128"/>
        <n x="493"/>
      </t>
    </mdx>
    <mdx n="508" f="v">
      <t c="3" si="4">
        <n x="509"/>
        <n x="380"/>
        <n x="493"/>
      </t>
    </mdx>
    <mdx n="508" f="v">
      <t c="3" si="4">
        <n x="509"/>
        <n x="50"/>
        <n x="493"/>
      </t>
    </mdx>
    <mdx n="508" f="v">
      <t c="3" si="4">
        <n x="509"/>
        <n x="152"/>
        <n x="493"/>
      </t>
    </mdx>
    <mdx n="508" f="v">
      <t c="3" si="4">
        <n x="509"/>
        <n x="340"/>
        <n x="468"/>
      </t>
    </mdx>
    <mdx n="508" f="v">
      <t c="3" si="4">
        <n x="509"/>
        <n x="394"/>
        <n x="479"/>
      </t>
    </mdx>
    <mdx n="508" f="v">
      <t c="3" si="4">
        <n x="509"/>
        <n x="460"/>
        <n x="487"/>
      </t>
    </mdx>
    <mdx n="508" f="v">
      <t c="3" si="4">
        <n x="509"/>
        <n x="155"/>
        <n x="488"/>
      </t>
    </mdx>
    <mdx n="508" f="v">
      <t c="3" si="4">
        <n x="509"/>
        <n x="193"/>
        <n x="482"/>
      </t>
    </mdx>
    <mdx n="508" f="v">
      <t c="3" si="4">
        <n x="509"/>
        <n x="24"/>
        <n x="482"/>
      </t>
    </mdx>
    <mdx n="508" f="v">
      <t c="3" si="4">
        <n x="509"/>
        <n x="216"/>
        <n x="482"/>
      </t>
    </mdx>
    <mdx n="508" f="v">
      <t c="3" si="4">
        <n x="509"/>
        <n x="290"/>
        <n x="481"/>
      </t>
    </mdx>
    <mdx n="508" f="v">
      <t c="3" si="4">
        <n x="509"/>
        <n x="397"/>
        <n x="485"/>
      </t>
    </mdx>
    <mdx n="508" f="v">
      <t c="3" si="4">
        <n x="509"/>
        <n x="379"/>
        <n x="487"/>
      </t>
    </mdx>
    <mdx n="508" f="v">
      <t c="3" si="4">
        <n x="509"/>
        <n x="452"/>
        <n x="488"/>
      </t>
    </mdx>
    <mdx n="508" f="v">
      <t c="3" si="4">
        <n x="509"/>
        <n x="231"/>
        <n x="490"/>
      </t>
    </mdx>
    <mdx n="508" f="v">
      <t c="3" si="4">
        <n x="509"/>
        <n x="82"/>
        <n x="488"/>
      </t>
    </mdx>
    <mdx n="508" f="v">
      <t c="3" si="4">
        <n x="509"/>
        <n x="393"/>
        <n x="490"/>
      </t>
    </mdx>
    <mdx n="508" f="v">
      <t c="3" si="4">
        <n x="509"/>
        <n x="105"/>
        <n x="471"/>
      </t>
    </mdx>
    <mdx n="508" f="v">
      <t c="3" si="4">
        <n x="509"/>
        <n x="401"/>
        <n x="489"/>
      </t>
    </mdx>
    <mdx n="508" f="v">
      <t c="3" si="4">
        <n x="509"/>
        <n x="10"/>
        <n x="490"/>
      </t>
    </mdx>
    <mdx n="508" f="v">
      <t c="3" si="4">
        <n x="509"/>
        <n x="247"/>
        <n x="491"/>
      </t>
    </mdx>
    <mdx n="508" f="v">
      <t c="3" si="4">
        <n x="509"/>
        <n x="368"/>
        <n x="484"/>
      </t>
    </mdx>
    <mdx n="508" f="v">
      <t c="3" si="4">
        <n x="509"/>
        <n x="404"/>
        <n x="489"/>
      </t>
    </mdx>
    <mdx n="508" f="v">
      <t c="3" si="4">
        <n x="509"/>
        <n x="279"/>
        <n x="491"/>
      </t>
    </mdx>
    <mdx n="508" f="v">
      <t c="3" si="4">
        <n x="509"/>
        <n x="427"/>
        <n x="489"/>
      </t>
    </mdx>
    <mdx n="508" f="v">
      <t c="3" si="4">
        <n x="509"/>
        <n x="324"/>
        <n x="486"/>
      </t>
    </mdx>
    <mdx n="508" f="v">
      <t c="3" si="4">
        <n x="509"/>
        <n x="23"/>
        <n x="490"/>
      </t>
    </mdx>
    <mdx n="508" f="v">
      <t c="3" si="4">
        <n x="509"/>
        <n x="69"/>
        <n x="491"/>
      </t>
    </mdx>
    <mdx n="508" f="v">
      <t c="3" si="4">
        <n x="509"/>
        <n x="166"/>
        <n x="491"/>
      </t>
    </mdx>
    <mdx n="508" f="v">
      <t c="3" si="4">
        <n x="509"/>
        <n x="179"/>
        <n x="488"/>
      </t>
    </mdx>
    <mdx n="508" f="v">
      <t c="3" si="4">
        <n x="509"/>
        <n x="140"/>
        <n x="490"/>
      </t>
    </mdx>
    <mdx n="508" f="v">
      <t c="3" si="4">
        <n x="509"/>
        <n x="334"/>
        <n x="491"/>
      </t>
    </mdx>
    <mdx n="508" f="v">
      <t c="3" si="4">
        <n x="509"/>
        <n x="324"/>
        <n x="491"/>
      </t>
    </mdx>
    <mdx n="508" f="v">
      <t c="3" si="4">
        <n x="509"/>
        <n x="436"/>
        <n x="488"/>
      </t>
    </mdx>
    <mdx n="508" f="v">
      <t c="3" si="4">
        <n x="509"/>
        <n x="20"/>
        <n x="490"/>
      </t>
    </mdx>
    <mdx n="508" f="v">
      <t c="3" si="4">
        <n x="509"/>
        <n x="353"/>
        <n x="491"/>
      </t>
    </mdx>
    <mdx n="508" f="v">
      <t c="3" si="4">
        <n x="509"/>
        <n x="332"/>
        <n x="482"/>
      </t>
    </mdx>
    <mdx n="508" f="v">
      <t c="3" si="4">
        <n x="509"/>
        <n x="130"/>
        <n x="489"/>
      </t>
    </mdx>
    <mdx n="508" f="v">
      <t c="3" si="4">
        <n x="509"/>
        <n x="204"/>
        <n x="490"/>
      </t>
    </mdx>
    <mdx n="508" f="v">
      <t c="3" si="4">
        <n x="509"/>
        <n x="321"/>
        <n x="486"/>
      </t>
    </mdx>
    <mdx n="508" f="v">
      <t c="3" si="4">
        <n x="509"/>
        <n x="161"/>
        <n x="5"/>
      </t>
    </mdx>
    <mdx n="508" f="v">
      <t c="3" si="4">
        <n x="509"/>
        <n x="279"/>
        <n x="492"/>
      </t>
    </mdx>
    <mdx n="508" f="v">
      <t c="3" si="4">
        <n x="509"/>
        <n x="23"/>
        <n x="492"/>
      </t>
    </mdx>
    <mdx n="508" f="v">
      <t c="3" si="4">
        <n x="509"/>
        <n x="417"/>
        <n x="492"/>
      </t>
    </mdx>
    <mdx n="508" f="v">
      <t c="3" si="4">
        <n x="509"/>
        <n x="322"/>
        <n x="492"/>
      </t>
    </mdx>
    <mdx n="508" f="v">
      <t c="3" si="4">
        <n x="509"/>
        <n x="170"/>
        <n x="492"/>
      </t>
    </mdx>
    <mdx n="508" f="v">
      <t c="3" si="4">
        <n x="509"/>
        <n x="384"/>
        <n x="492"/>
      </t>
    </mdx>
    <mdx n="508" f="v">
      <t c="3" si="4">
        <n x="509"/>
        <n x="197"/>
        <n x="492"/>
      </t>
    </mdx>
    <mdx n="508" f="v">
      <t c="3" si="4">
        <n x="509"/>
        <n x="278"/>
        <n x="493"/>
      </t>
    </mdx>
    <mdx n="508" f="v">
      <t c="3" si="4">
        <n x="509"/>
        <n x="374"/>
        <n x="493"/>
      </t>
    </mdx>
    <mdx n="508" f="v">
      <t c="3" si="4">
        <n x="509"/>
        <n x="225"/>
        <n x="493"/>
      </t>
    </mdx>
    <mdx n="508" f="v">
      <t c="3" si="4">
        <n x="509"/>
        <n x="93"/>
        <n x="493"/>
      </t>
    </mdx>
    <mdx n="508" f="v">
      <t c="3" si="4">
        <n x="509"/>
        <n x="62"/>
        <n x="493"/>
      </t>
    </mdx>
    <mdx n="508" f="v">
      <t c="3" si="4">
        <n x="509"/>
        <n x="36"/>
        <n x="493"/>
      </t>
    </mdx>
    <mdx n="508" f="v">
      <t c="3" si="4">
        <n x="509"/>
        <n x="112"/>
        <n x="493"/>
      </t>
    </mdx>
    <mdx n="508" f="v">
      <t c="3" si="4">
        <n x="509"/>
        <n x="378"/>
        <n x="493"/>
      </t>
    </mdx>
    <mdx n="508" f="v">
      <t c="3" si="4">
        <n x="509"/>
        <n x="176"/>
        <n x="479"/>
      </t>
    </mdx>
    <mdx n="508" f="v">
      <t c="3" si="4">
        <n x="509"/>
        <n x="368"/>
        <n x="482"/>
      </t>
    </mdx>
    <mdx n="508" f="v">
      <t c="3" si="4">
        <n x="509"/>
        <n x="164"/>
        <n x="482"/>
      </t>
    </mdx>
    <mdx n="508" f="v">
      <t c="3" si="4">
        <n x="509"/>
        <n x="299"/>
        <n x="484"/>
      </t>
    </mdx>
    <mdx n="508" f="v">
      <t c="3" si="4">
        <n x="509"/>
        <n x="185"/>
        <n x="485"/>
      </t>
    </mdx>
    <mdx n="508" f="v">
      <t c="3" si="4">
        <n x="509"/>
        <n x="328"/>
        <n x="485"/>
      </t>
    </mdx>
    <mdx n="508" f="v">
      <t c="3" si="4">
        <n x="509"/>
        <n x="88"/>
        <n x="486"/>
      </t>
    </mdx>
    <mdx n="508" f="v">
      <t c="3" si="4">
        <n x="509"/>
        <n x="98"/>
        <n x="483"/>
      </t>
    </mdx>
    <mdx n="508" f="v">
      <t c="3" si="4">
        <n x="509"/>
        <n x="39"/>
        <n x="486"/>
      </t>
    </mdx>
    <mdx n="508" f="v">
      <t c="3" si="4">
        <n x="509"/>
        <n x="151"/>
        <n x="488"/>
      </t>
    </mdx>
    <mdx n="508" f="v">
      <t c="3" si="4">
        <n x="509"/>
        <n x="132"/>
        <n x="489"/>
      </t>
    </mdx>
    <mdx n="508" f="v">
      <t c="3" si="4">
        <n x="509"/>
        <n x="182"/>
        <n x="483"/>
      </t>
    </mdx>
    <mdx n="508" f="v">
      <t c="3" si="4">
        <n x="509"/>
        <n x="324"/>
        <n x="489"/>
      </t>
    </mdx>
    <mdx n="508" f="v">
      <t c="3" si="4">
        <n x="509"/>
        <n x="16"/>
        <n x="490"/>
      </t>
    </mdx>
    <mdx n="508" f="v">
      <t c="3" si="4">
        <n x="509"/>
        <n x="191"/>
        <n x="484"/>
      </t>
    </mdx>
    <mdx n="508" f="v">
      <t c="3" si="4">
        <n x="509"/>
        <n x="446"/>
        <n x="490"/>
      </t>
    </mdx>
    <mdx n="508" f="v">
      <t c="3" si="4">
        <n x="509"/>
        <n x="232"/>
        <n x="491"/>
      </t>
    </mdx>
    <mdx n="508" f="v">
      <t c="3" si="4">
        <n x="509"/>
        <n x="412"/>
        <n x="490"/>
      </t>
    </mdx>
    <mdx n="508" f="v">
      <t c="3" si="4">
        <n x="509"/>
        <n x="323"/>
        <n x="487"/>
      </t>
    </mdx>
    <mdx n="508" f="v">
      <t c="3" si="4">
        <n x="509"/>
        <n x="29"/>
        <n x="490"/>
      </t>
    </mdx>
    <mdx n="508" f="v">
      <t c="3" si="4">
        <n x="509"/>
        <n x="44"/>
        <n x="491"/>
      </t>
    </mdx>
    <mdx n="508" f="v">
      <t c="3" si="4">
        <n x="509"/>
        <n x="411"/>
        <n x="478"/>
      </t>
    </mdx>
    <mdx n="508" f="v">
      <t c="3" si="4">
        <n x="509"/>
        <n x="301"/>
        <n x="489"/>
      </t>
    </mdx>
    <mdx n="508" f="v">
      <t c="3" si="4">
        <n x="509"/>
        <n x="389"/>
        <n x="490"/>
      </t>
    </mdx>
    <mdx n="508" f="v">
      <t c="3" si="4">
        <n x="509"/>
        <n x="414"/>
        <n x="491"/>
      </t>
    </mdx>
    <mdx n="508" f="v">
      <t c="3" si="4">
        <n x="509"/>
        <n x="394"/>
        <n x="483"/>
      </t>
    </mdx>
    <mdx n="508" f="v">
      <t c="3" si="4">
        <n x="509"/>
        <n x="346"/>
        <n x="489"/>
      </t>
    </mdx>
    <mdx n="508" f="v">
      <t c="3" si="4">
        <n x="509"/>
        <n x="403"/>
        <n x="490"/>
      </t>
    </mdx>
    <mdx n="508" f="v">
      <t c="3" si="4">
        <n x="509"/>
        <n x="229"/>
        <n x="491"/>
      </t>
    </mdx>
    <mdx n="508" f="v">
      <t c="3" si="4">
        <n x="509"/>
        <n x="338"/>
        <n x="483"/>
      </t>
    </mdx>
    <mdx n="508" f="v">
      <t c="3" si="4">
        <n x="509"/>
        <n x="185"/>
        <n x="489"/>
      </t>
    </mdx>
    <mdx n="508" f="v">
      <t c="3" si="4">
        <n x="509"/>
        <n x="421"/>
        <n x="491"/>
      </t>
    </mdx>
    <mdx n="508" f="v">
      <t c="3" si="4">
        <n x="509"/>
        <n x="133"/>
        <n x="489"/>
      </t>
    </mdx>
    <mdx n="508" f="v">
      <t c="3" si="4">
        <n x="509"/>
        <n x="343"/>
        <n x="486"/>
      </t>
    </mdx>
    <mdx n="508" f="v">
      <t c="3" si="4">
        <n x="509"/>
        <n x="267"/>
        <n x="490"/>
      </t>
    </mdx>
    <mdx n="508" f="v">
      <t c="3" si="4">
        <n x="509"/>
        <n x="231"/>
        <n x="491"/>
      </t>
    </mdx>
    <mdx n="508" f="v">
      <t c="3" si="4">
        <n x="509"/>
        <n x="10"/>
        <n x="491"/>
      </t>
    </mdx>
    <mdx n="508" f="v">
      <t c="3" si="4">
        <n x="509"/>
        <n x="295"/>
        <n x="492"/>
      </t>
    </mdx>
    <mdx n="508" f="v">
      <t c="3" si="4">
        <n x="509"/>
        <n x="12"/>
        <n x="492"/>
      </t>
    </mdx>
    <mdx n="508" f="v">
      <t c="3" si="4">
        <n x="509"/>
        <n x="398"/>
        <n x="478"/>
      </t>
    </mdx>
    <mdx n="508" f="v">
      <t c="3" si="4">
        <n x="509"/>
        <n x="266"/>
        <n x="483"/>
      </t>
    </mdx>
    <mdx n="508" f="v">
      <t c="3" si="4">
        <n x="509"/>
        <n x="156"/>
        <n x="472"/>
      </t>
    </mdx>
    <mdx n="508" f="v">
      <t c="3" si="4">
        <n x="509"/>
        <n x="201"/>
        <n x="478"/>
      </t>
    </mdx>
    <mdx n="508" f="v">
      <t c="3" si="4">
        <n x="509"/>
        <n x="440"/>
        <n x="479"/>
      </t>
    </mdx>
    <mdx n="508" f="v">
      <t c="3" si="4">
        <n x="509"/>
        <n x="106"/>
        <n x="478"/>
      </t>
    </mdx>
    <mdx n="508" f="v">
      <t c="3" si="4">
        <n x="509"/>
        <n x="301"/>
        <n x="480"/>
      </t>
    </mdx>
    <mdx n="508" f="v">
      <t c="3" si="4">
        <n x="509"/>
        <n x="249"/>
        <n x="481"/>
      </t>
    </mdx>
    <mdx n="508" f="v">
      <t c="3" si="4">
        <n x="509"/>
        <n x="369"/>
        <n x="484"/>
      </t>
    </mdx>
    <mdx n="508" f="v">
      <t c="3" si="4">
        <n x="509"/>
        <n x="410"/>
        <n x="486"/>
      </t>
    </mdx>
    <mdx n="508" f="v">
      <t c="3" si="4">
        <n x="509"/>
        <n x="341"/>
        <n x="488"/>
      </t>
    </mdx>
    <mdx n="508" f="v">
      <t c="3" si="4">
        <n x="509"/>
        <n x="178"/>
        <n x="482"/>
      </t>
    </mdx>
    <mdx n="508" f="v">
      <t c="3" si="4">
        <n x="509"/>
        <n x="145"/>
        <n x="484"/>
      </t>
    </mdx>
    <mdx n="508" f="v">
      <t c="3" si="4">
        <n x="509"/>
        <n x="373"/>
        <n x="485"/>
      </t>
    </mdx>
    <mdx n="508" f="v">
      <t c="3" si="4">
        <n x="509"/>
        <n x="193"/>
        <n x="487"/>
      </t>
    </mdx>
    <mdx n="508" f="v">
      <t c="3" si="4">
        <n x="509"/>
        <n x="244"/>
        <n x="488"/>
      </t>
    </mdx>
    <mdx n="508" f="v">
      <t c="3" si="4">
        <n x="509"/>
        <n x="411"/>
        <n x="482"/>
      </t>
    </mdx>
    <mdx n="508" f="v">
      <t c="3" si="4">
        <n x="509"/>
        <n x="58"/>
        <n x="484"/>
      </t>
    </mdx>
    <mdx n="508" f="v">
      <t c="3" si="4">
        <n x="509"/>
        <n x="326"/>
        <n x="485"/>
      </t>
    </mdx>
    <mdx n="508" f="v">
      <t c="3" si="4">
        <n x="509"/>
        <n x="233"/>
        <n x="487"/>
      </t>
    </mdx>
    <mdx n="508" f="v">
      <t c="3" si="4">
        <n x="509"/>
        <n x="463"/>
        <n x="488"/>
      </t>
    </mdx>
    <mdx n="508" f="v">
      <t c="3" si="4">
        <n x="509"/>
        <n x="360"/>
        <n x="482"/>
      </t>
    </mdx>
    <mdx n="508" f="v">
      <t c="3" si="4">
        <n x="509"/>
        <n x="158"/>
        <n x="484"/>
      </t>
    </mdx>
    <mdx n="508" f="v">
      <t c="3" si="4">
        <n x="509"/>
        <n x="102"/>
        <n x="485"/>
      </t>
    </mdx>
    <mdx n="508" f="v">
      <t c="3" si="4">
        <n x="509"/>
        <n x="30"/>
        <n x="487"/>
      </t>
    </mdx>
    <mdx n="508" f="v">
      <t c="3" si="4">
        <n x="509"/>
        <n x="165"/>
        <n x="488"/>
      </t>
    </mdx>
    <mdx n="508" f="v">
      <t c="3" si="4">
        <n x="509"/>
        <n x="188"/>
        <n x="489"/>
      </t>
    </mdx>
    <mdx n="508" f="v">
      <t c="3" si="4">
        <n x="509"/>
        <n x="349"/>
        <n x="482"/>
      </t>
    </mdx>
    <mdx n="508" f="v">
      <t c="3" si="4">
        <n x="509"/>
        <n x="30"/>
        <n x="484"/>
      </t>
    </mdx>
    <mdx n="508" f="v">
      <t c="3" si="4">
        <n x="509"/>
        <n x="300"/>
        <n x="485"/>
      </t>
    </mdx>
    <mdx n="508" f="v">
      <t c="3" si="4">
        <n x="509"/>
        <n x="146"/>
        <n x="487"/>
      </t>
    </mdx>
    <mdx n="508" f="v">
      <t c="3" si="4">
        <n x="509"/>
        <n x="462"/>
        <n x="488"/>
      </t>
    </mdx>
    <mdx n="508" f="v">
      <t c="3" si="4">
        <n x="509"/>
        <n x="300"/>
        <n x="479"/>
      </t>
    </mdx>
    <mdx n="508" f="v">
      <t c="3" si="4">
        <n x="509"/>
        <n x="457"/>
        <n x="483"/>
      </t>
    </mdx>
    <mdx n="508" f="v">
      <t c="3" si="4">
        <n x="509"/>
        <n x="154"/>
        <n x="484"/>
      </t>
    </mdx>
    <mdx n="508" f="v">
      <t c="3" si="4">
        <n x="509"/>
        <n x="107"/>
        <n x="485"/>
      </t>
    </mdx>
    <mdx n="508" f="v">
      <t c="3" si="4">
        <n x="509"/>
        <n x="199"/>
        <n x="487"/>
      </t>
    </mdx>
    <mdx n="508" f="v">
      <t c="3" si="4">
        <n x="509"/>
        <n x="254"/>
        <n x="489"/>
      </t>
    </mdx>
    <mdx n="508" f="v">
      <t c="3" si="4">
        <n x="509"/>
        <n x="423"/>
        <n x="482"/>
      </t>
    </mdx>
    <mdx n="508" f="v">
      <t c="3" si="4">
        <n x="509"/>
        <n x="36"/>
        <n x="483"/>
      </t>
    </mdx>
    <mdx n="508" f="v">
      <t c="3" si="4">
        <n x="509"/>
        <n x="436"/>
        <n x="484"/>
      </t>
    </mdx>
    <mdx n="508" f="v">
      <t c="3" si="475">
        <n x="509"/>
        <n x="63"/>
        <n x="474"/>
      </t>
    </mdx>
    <mdx n="508" f="v">
      <t c="3" si="4">
        <n x="509"/>
        <n x="149"/>
        <n x="468"/>
      </t>
    </mdx>
    <mdx n="508" f="v">
      <t c="3" si="4">
        <n x="509"/>
        <n x="52"/>
        <n x="476"/>
      </t>
    </mdx>
    <mdx n="508" f="v">
      <t c="3" si="4">
        <n x="509"/>
        <n x="320"/>
        <n x="468"/>
      </t>
    </mdx>
    <mdx n="508" f="v">
      <t c="3" si="4">
        <n x="509"/>
        <n x="142"/>
        <n x="478"/>
      </t>
    </mdx>
    <mdx n="508" f="v">
      <t c="3" si="4">
        <n x="509"/>
        <n x="461"/>
        <n x="471"/>
      </t>
    </mdx>
    <mdx n="508" f="v">
      <t c="3" si="4">
        <n x="509"/>
        <n x="430"/>
        <n x="471"/>
      </t>
    </mdx>
    <mdx n="508" f="v">
      <t c="3" si="4">
        <n x="509"/>
        <n x="360"/>
        <n x="471"/>
      </t>
    </mdx>
    <mdx n="508" f="v">
      <t c="3" si="4">
        <n x="509"/>
        <n x="146"/>
        <n x="480"/>
      </t>
    </mdx>
    <mdx n="508" f="v">
      <t c="3" si="4">
        <n x="509"/>
        <n x="41"/>
        <n x="481"/>
      </t>
    </mdx>
    <mdx n="508" f="v">
      <t c="3" si="4">
        <n x="509"/>
        <n x="3"/>
        <n x="478"/>
      </t>
    </mdx>
    <mdx n="508" f="v">
      <t c="3" si="4">
        <n x="509"/>
        <n x="27"/>
        <n x="479"/>
      </t>
    </mdx>
    <mdx n="508" f="v">
      <t c="3" si="4">
        <n x="509"/>
        <n x="323"/>
        <n x="480"/>
      </t>
    </mdx>
    <mdx n="508" f="v">
      <t c="3" si="4">
        <n x="509"/>
        <n x="335"/>
        <n x="481"/>
      </t>
    </mdx>
    <mdx n="508" f="v">
      <t c="3" si="4">
        <n x="509"/>
        <n x="117"/>
        <n x="482"/>
      </t>
    </mdx>
    <mdx n="508" f="v">
      <t c="3" si="4">
        <n x="509"/>
        <n x="234"/>
        <n x="483"/>
      </t>
    </mdx>
    <mdx n="508" f="v">
      <t c="3" si="4">
        <n x="509"/>
        <n x="129"/>
        <n x="484"/>
      </t>
    </mdx>
    <mdx n="508" f="v">
      <t c="3" si="4">
        <n x="509"/>
        <n x="412"/>
        <n x="485"/>
      </t>
    </mdx>
    <mdx n="508" f="v">
      <t c="3" si="4">
        <n x="509"/>
        <n x="458"/>
        <n x="486"/>
      </t>
    </mdx>
    <mdx n="508" f="v">
      <t c="3" si="4">
        <n x="509"/>
        <n x="453"/>
        <n x="487"/>
      </t>
    </mdx>
    <mdx n="508" f="v">
      <t c="3" si="4">
        <n x="509"/>
        <n x="216"/>
        <n x="488"/>
      </t>
    </mdx>
    <mdx n="508" f="v">
      <t c="3" si="4">
        <n x="509"/>
        <n x="265"/>
        <n x="480"/>
      </t>
    </mdx>
    <mdx n="508" f="v">
      <t c="3" si="4">
        <n x="509"/>
        <n x="97"/>
        <n x="482"/>
      </t>
    </mdx>
    <mdx n="508" f="v">
      <t c="3" si="4">
        <n x="509"/>
        <n x="464"/>
        <n x="483"/>
      </t>
    </mdx>
    <mdx n="508" f="v">
      <t c="3" si="4">
        <n x="509"/>
        <n x="239"/>
        <n x="484"/>
      </t>
    </mdx>
    <mdx n="508" f="v">
      <t c="3" si="4">
        <n x="509"/>
        <n x="51"/>
        <n x="486"/>
      </t>
    </mdx>
    <mdx n="508" f="v">
      <t c="3" si="4">
        <n x="509"/>
        <n x="19"/>
        <n x="487"/>
      </t>
    </mdx>
    <mdx n="508" f="v">
      <t c="3" si="4">
        <n x="509"/>
        <n x="299"/>
        <n x="488"/>
      </t>
    </mdx>
    <mdx n="508" f="v">
      <t c="3" si="4">
        <n x="509"/>
        <n x="62"/>
        <n x="482"/>
      </t>
    </mdx>
    <mdx n="508" f="v">
      <t c="3" si="4">
        <n x="509"/>
        <n x="246"/>
        <n x="483"/>
      </t>
    </mdx>
    <mdx n="508" f="v">
      <t c="3" si="4">
        <n x="509"/>
        <n x="407"/>
        <n x="484"/>
      </t>
    </mdx>
    <mdx n="508" f="v">
      <t c="3" si="4">
        <n x="509"/>
        <n x="93"/>
        <n x="485"/>
      </t>
    </mdx>
    <mdx n="508" f="v">
      <t c="3" si="4">
        <n x="509"/>
        <n x="244"/>
        <n x="486"/>
      </t>
    </mdx>
    <mdx n="508" f="v">
      <t c="3" si="4">
        <n x="509"/>
        <n x="136"/>
        <n x="487"/>
      </t>
    </mdx>
    <mdx n="508" f="v">
      <t c="3" si="4">
        <n x="509"/>
        <n x="78"/>
        <n x="488"/>
      </t>
    </mdx>
    <mdx n="508" f="v">
      <t c="3" si="4">
        <n x="509"/>
        <n x="180"/>
        <n x="482"/>
      </t>
    </mdx>
    <mdx n="508" f="v">
      <t c="3" si="4">
        <n x="509"/>
        <n x="178"/>
        <n x="483"/>
      </t>
    </mdx>
    <mdx n="508" f="v">
      <t c="3" si="4">
        <n x="509"/>
        <n x="14"/>
        <n x="484"/>
      </t>
    </mdx>
    <mdx n="508" f="v">
      <t c="3" si="4">
        <n x="509"/>
        <n x="7"/>
        <n x="485"/>
      </t>
    </mdx>
    <mdx n="508" f="v">
      <t c="3" si="4">
        <n x="509"/>
        <n x="126"/>
        <n x="486"/>
      </t>
    </mdx>
    <mdx n="508" f="v">
      <t c="3" si="4">
        <n x="509"/>
        <n x="194"/>
        <n x="487"/>
      </t>
    </mdx>
    <mdx n="508" f="v">
      <t c="3" si="4">
        <n x="509"/>
        <n x="16"/>
        <n x="488"/>
      </t>
    </mdx>
    <mdx n="508" f="v">
      <t c="3" si="4">
        <n x="509"/>
        <n x="33"/>
        <n x="490"/>
      </t>
    </mdx>
    <mdx n="508" f="v">
      <t c="3" si="4">
        <n x="509"/>
        <n x="59"/>
        <n x="482"/>
      </t>
    </mdx>
    <mdx n="508" f="v">
      <t c="3" si="4">
        <n x="509"/>
        <n x="264"/>
        <n x="483"/>
      </t>
    </mdx>
    <mdx n="508" f="v">
      <t c="3" si="4">
        <n x="509"/>
        <n x="211"/>
        <n x="484"/>
      </t>
    </mdx>
    <mdx n="508" f="v">
      <t c="3" si="4">
        <n x="509"/>
        <n x="241"/>
        <n x="485"/>
      </t>
    </mdx>
    <mdx n="508" f="v">
      <t c="3" si="4">
        <n x="509"/>
        <n x="105"/>
        <n x="486"/>
      </t>
    </mdx>
    <mdx n="508" f="v">
      <t c="3" si="4">
        <n x="509"/>
        <n x="67"/>
        <n x="487"/>
      </t>
    </mdx>
    <mdx n="508" f="v">
      <t c="3" si="4">
        <n x="509"/>
        <n x="3"/>
        <n x="488"/>
      </t>
    </mdx>
    <mdx n="508" f="v">
      <t c="3" si="4">
        <n x="509"/>
        <n x="179"/>
        <n x="480"/>
      </t>
    </mdx>
    <mdx n="508" f="v">
      <t c="3" si="4">
        <n x="509"/>
        <n x="383"/>
        <n x="482"/>
      </t>
    </mdx>
    <mdx n="508" f="v">
      <t c="3" si="4">
        <n x="509"/>
        <n x="56"/>
        <n x="483"/>
      </t>
    </mdx>
    <mdx n="508" f="v">
      <t c="3" si="4">
        <n x="509"/>
        <n x="208"/>
        <n x="485"/>
      </t>
    </mdx>
    <mdx n="508" f="v">
      <t c="3" si="4">
        <n x="509"/>
        <n x="437"/>
        <n x="486"/>
      </t>
    </mdx>
    <mdx n="508" f="v">
      <t c="3" si="4">
        <n x="509"/>
        <n x="351"/>
        <n x="487"/>
      </t>
    </mdx>
    <mdx n="508" f="v">
      <t c="3" si="4">
        <n x="509"/>
        <n x="323"/>
        <n x="488"/>
      </t>
    </mdx>
    <mdx n="508" f="v">
      <t c="3" si="4">
        <n x="509"/>
        <n x="390"/>
        <n x="489"/>
      </t>
    </mdx>
    <mdx n="508" f="v">
      <t c="3" si="4">
        <n x="509"/>
        <n x="47"/>
        <n x="482"/>
      </t>
    </mdx>
    <mdx n="508" f="v">
      <t c="3" si="4">
        <n x="509"/>
        <n x="413"/>
        <n x="483"/>
      </t>
    </mdx>
    <mdx n="508" f="v">
      <t c="3" si="4">
        <n x="509"/>
        <n x="280"/>
        <n x="484"/>
      </t>
    </mdx>
    <mdx n="508" f="v">
      <t c="3" si="4">
        <n x="509"/>
        <n x="202"/>
        <n x="485"/>
      </t>
    </mdx>
    <mdx n="508" f="v">
      <t c="3" si="4">
        <n x="509"/>
        <n x="316"/>
        <n x="486"/>
      </t>
    </mdx>
    <mdx n="508" f="v">
      <t c="3" si="4">
        <n x="509"/>
        <n x="75"/>
        <n x="481"/>
      </t>
    </mdx>
    <mdx n="508" f="v">
      <t c="3" si="4">
        <n x="509"/>
        <n x="20"/>
        <n x="485"/>
      </t>
    </mdx>
    <mdx n="508" f="v">
      <t c="3" si="4">
        <n x="509"/>
        <n x="131"/>
        <n x="485"/>
      </t>
    </mdx>
    <mdx n="508" f="v">
      <t c="3" si="4">
        <n x="509"/>
        <n x="225"/>
        <n x="487"/>
      </t>
    </mdx>
    <mdx n="508" f="v">
      <t c="3" si="4">
        <n x="509"/>
        <n x="112"/>
        <n x="488"/>
      </t>
    </mdx>
    <mdx n="508" f="v">
      <t c="3" si="4">
        <n x="509"/>
        <n x="214"/>
        <n x="488"/>
      </t>
    </mdx>
    <mdx n="508" f="v">
      <t c="3" si="4">
        <n x="509"/>
        <n x="409"/>
        <n x="488"/>
      </t>
    </mdx>
    <mdx n="508" f="v">
      <t c="3" si="4">
        <n x="509"/>
        <n x="296"/>
        <n x="485"/>
      </t>
    </mdx>
    <mdx n="508" f="v">
      <t c="3" si="4">
        <n x="509"/>
        <n x="292"/>
        <n x="487"/>
      </t>
    </mdx>
    <mdx n="508" f="v">
      <t c="3" si="4">
        <n x="509"/>
        <n x="170"/>
        <n x="488"/>
      </t>
    </mdx>
    <mdx n="508" f="v">
      <t c="3" si="4">
        <n x="509"/>
        <n x="464"/>
        <n x="489"/>
      </t>
    </mdx>
    <mdx n="508" f="v">
      <t c="3" si="4">
        <n x="509"/>
        <n x="174"/>
        <n x="486"/>
      </t>
    </mdx>
    <mdx n="508" f="v">
      <t c="3" si="4">
        <n x="509"/>
        <n x="257"/>
        <n x="490"/>
      </t>
    </mdx>
    <mdx n="508" f="v">
      <t c="3" si="4">
        <n x="509"/>
        <n x="311"/>
        <n x="491"/>
      </t>
    </mdx>
    <mdx n="508" f="v">
      <t c="3" si="4">
        <n x="509"/>
        <n x="16"/>
        <n x="487"/>
      </t>
    </mdx>
    <mdx n="508" f="v">
      <t c="3" si="4">
        <n x="509"/>
        <n x="238"/>
        <n x="490"/>
      </t>
    </mdx>
    <mdx n="508" f="v">
      <t c="3" si="4">
        <n x="509"/>
        <n x="192"/>
        <n x="491"/>
      </t>
    </mdx>
    <mdx n="508" f="v">
      <t c="3" si="4">
        <n x="509"/>
        <n x="261"/>
        <n x="482"/>
      </t>
    </mdx>
    <mdx n="508" f="v">
      <t c="3" si="4">
        <n x="509"/>
        <n x="345"/>
        <n x="489"/>
      </t>
    </mdx>
    <mdx n="508" f="v">
      <t c="3" si="4">
        <n x="509"/>
        <n x="185"/>
        <n x="490"/>
      </t>
    </mdx>
    <mdx n="508" f="v">
      <t c="3" si="4">
        <n x="509"/>
        <n x="352"/>
        <n x="491"/>
      </t>
    </mdx>
    <mdx n="508" f="v">
      <t c="3" si="4">
        <n x="509"/>
        <n x="448"/>
        <n x="484"/>
      </t>
    </mdx>
    <mdx n="508" f="v">
      <t c="3" si="4">
        <n x="509"/>
        <n x="124"/>
        <n x="489"/>
      </t>
    </mdx>
    <mdx n="508" f="v">
      <t c="3" si="4">
        <n x="509"/>
        <n x="190"/>
        <n x="491"/>
      </t>
    </mdx>
    <mdx n="508" f="v">
      <t c="3" si="4">
        <n x="509"/>
        <n x="444"/>
        <n x="489"/>
      </t>
    </mdx>
    <mdx n="508" f="v">
      <t c="3" si="4">
        <n x="509"/>
        <n x="369"/>
        <n x="486"/>
      </t>
    </mdx>
    <mdx n="508" f="v">
      <t c="3" si="4">
        <n x="509"/>
        <n x="350"/>
        <n x="490"/>
      </t>
    </mdx>
    <mdx n="508" f="v">
      <t c="3" si="4">
        <n x="509"/>
        <n x="125"/>
        <n x="491"/>
      </t>
    </mdx>
    <mdx n="508" f="v">
      <t c="3" si="4">
        <n x="509"/>
        <n x="171"/>
        <n x="490"/>
      </t>
    </mdx>
    <mdx n="508" f="v">
      <t c="3" si="4">
        <n x="509"/>
        <n x="169"/>
        <n x="486"/>
      </t>
    </mdx>
    <mdx n="508" f="v">
      <t c="3" si="4">
        <n x="509"/>
        <n x="312"/>
        <n x="490"/>
      </t>
    </mdx>
    <mdx n="508" f="v">
      <t c="3" si="4">
        <n x="509"/>
        <n x="70"/>
        <n x="491"/>
      </t>
    </mdx>
    <mdx n="508" f="v">
      <t c="3" si="4">
        <n x="509"/>
        <n x="285"/>
        <n x="491"/>
      </t>
    </mdx>
    <mdx n="508" f="v">
      <t c="3" si="4">
        <n x="509"/>
        <n x="397"/>
        <n x="488"/>
      </t>
    </mdx>
    <mdx n="508" f="v">
      <t c="3" si="4">
        <n x="509"/>
        <n x="154"/>
        <n x="490"/>
      </t>
    </mdx>
    <mdx n="508" f="v">
      <t c="3" si="4">
        <n x="509"/>
        <n x="347"/>
        <n x="491"/>
      </t>
    </mdx>
    <mdx n="508" f="v">
      <t c="3" si="4">
        <n x="509"/>
        <n x="348"/>
        <n x="492"/>
      </t>
    </mdx>
    <mdx n="508" f="v">
      <t c="3" si="4">
        <n x="509"/>
        <n x="283"/>
        <n x="492"/>
      </t>
    </mdx>
    <mdx n="508" f="v">
      <t c="3" si="4">
        <n x="509"/>
        <n x="72"/>
        <n x="492"/>
      </t>
    </mdx>
    <mdx n="508" f="v">
      <t c="3" si="4">
        <n x="509"/>
        <n x="202"/>
        <n x="492"/>
      </t>
    </mdx>
    <mdx n="508" f="v">
      <t c="3" si="4">
        <n x="509"/>
        <n x="286"/>
        <n x="492"/>
      </t>
    </mdx>
    <mdx n="508" f="v">
      <t c="3" si="4">
        <n x="509"/>
        <n x="108"/>
        <n x="492"/>
      </t>
    </mdx>
    <mdx n="508" f="v">
      <t c="3" si="4">
        <n x="509"/>
        <n x="95"/>
        <n x="492"/>
      </t>
    </mdx>
    <mdx n="508" f="v">
      <t c="3" si="4">
        <n x="509"/>
        <n x="330"/>
        <n x="493"/>
      </t>
    </mdx>
    <mdx n="508" f="v">
      <t c="3" si="4">
        <n x="509"/>
        <n x="147"/>
        <n x="493"/>
      </t>
    </mdx>
    <mdx n="508" f="v">
      <t c="3" si="4">
        <n x="509"/>
        <n x="25"/>
        <n x="493"/>
      </t>
    </mdx>
    <mdx n="508" f="v">
      <t c="3" si="4">
        <n x="509"/>
        <n x="224"/>
        <n x="493"/>
      </t>
    </mdx>
    <mdx n="508" f="v">
      <t c="3" si="4">
        <n x="509"/>
        <n x="70"/>
        <n x="493"/>
      </t>
    </mdx>
    <mdx n="508" f="v">
      <t c="3" si="4">
        <n x="509"/>
        <n x="260"/>
        <n x="493"/>
      </t>
    </mdx>
    <mdx n="508" f="v">
      <t c="3" si="4">
        <n x="509"/>
        <n x="249"/>
        <n x="493"/>
      </t>
    </mdx>
    <mdx n="508" f="v">
      <t c="3" si="4">
        <n x="509"/>
        <n x="198"/>
        <n x="471"/>
      </t>
    </mdx>
    <mdx n="508" f="v">
      <t c="3" si="4">
        <n x="509"/>
        <n x="87"/>
        <n x="480"/>
      </t>
    </mdx>
    <mdx n="508" f="v">
      <t c="3" si="4">
        <n x="509"/>
        <n x="209"/>
        <n x="488"/>
      </t>
    </mdx>
    <mdx n="508" f="v">
      <t c="3" si="4">
        <n x="509"/>
        <n x="452"/>
        <n x="482"/>
      </t>
    </mdx>
    <mdx n="508" f="v">
      <t c="3" si="4">
        <n x="509"/>
        <n x="41"/>
        <n x="483"/>
      </t>
    </mdx>
    <mdx n="508" f="v">
      <t c="3" si="4">
        <n x="509"/>
        <n x="335"/>
        <n x="483"/>
      </t>
    </mdx>
    <mdx n="508" f="v">
      <t c="3" si="4">
        <n x="509"/>
        <n x="159"/>
        <n x="483"/>
      </t>
    </mdx>
    <mdx n="508" f="v">
      <t c="3" si="4">
        <n x="509"/>
        <n x="225"/>
        <n x="482"/>
      </t>
    </mdx>
    <mdx n="508" f="v">
      <t c="3" si="4">
        <n x="509"/>
        <n x="252"/>
        <n x="486"/>
      </t>
    </mdx>
    <mdx n="508" f="v">
      <t c="3" si="4">
        <n x="509"/>
        <n x="424"/>
        <n x="487"/>
      </t>
    </mdx>
    <mdx n="508" f="v">
      <t c="3" si="4">
        <n x="509"/>
        <n x="247"/>
        <n x="489"/>
      </t>
    </mdx>
    <mdx n="508" f="v">
      <t c="3" si="4">
        <n x="509"/>
        <n x="206"/>
        <n x="490"/>
      </t>
    </mdx>
    <mdx n="508" f="v">
      <t c="3" si="4">
        <n x="509"/>
        <n x="258"/>
        <n x="489"/>
      </t>
    </mdx>
    <mdx n="508" f="v">
      <t c="3" si="4">
        <n x="509"/>
        <n x="136"/>
        <n x="490"/>
      </t>
    </mdx>
    <mdx n="508" f="v">
      <t c="3" si="4">
        <n x="509"/>
        <n x="453"/>
        <n x="482"/>
      </t>
    </mdx>
    <mdx n="508" f="v">
      <t c="3" si="4">
        <n x="509"/>
        <n x="462"/>
        <n x="489"/>
      </t>
    </mdx>
    <mdx n="508" f="v">
      <t c="3" si="4">
        <n x="509"/>
        <n x="118"/>
        <n x="490"/>
      </t>
    </mdx>
    <mdx n="508" f="v">
      <t c="3" si="4">
        <n x="509"/>
        <n x="111"/>
        <n x="491"/>
      </t>
    </mdx>
    <mdx n="508" f="v">
      <t c="3" si="4">
        <n x="509"/>
        <n x="98"/>
        <n x="485"/>
      </t>
    </mdx>
    <mdx n="508" f="v">
      <t c="3" si="4">
        <n x="509"/>
        <n x="246"/>
        <n x="490"/>
      </t>
    </mdx>
    <mdx n="508" f="v">
      <t c="3" si="4">
        <n x="509"/>
        <n x="257"/>
        <n x="491"/>
      </t>
    </mdx>
    <mdx n="508" f="v">
      <t c="3" si="4">
        <n x="509"/>
        <n x="462"/>
        <n x="490"/>
      </t>
    </mdx>
    <mdx n="508" f="v">
      <t c="3" si="4">
        <n x="509"/>
        <n x="73"/>
        <n x="487"/>
      </t>
    </mdx>
    <mdx n="508" f="v">
      <t c="3" si="4">
        <n x="509"/>
        <n x="250"/>
        <n x="490"/>
      </t>
    </mdx>
    <mdx n="508" f="v">
      <t c="3" si="4">
        <n x="509"/>
        <n x="417"/>
        <n x="491"/>
      </t>
    </mdx>
    <mdx n="508" f="v">
      <t c="3" si="4">
        <n x="509"/>
        <n x="26"/>
        <n x="491"/>
      </t>
    </mdx>
    <mdx n="508" f="v">
      <t c="3" si="4">
        <n x="509"/>
        <n x="398"/>
        <n x="489"/>
      </t>
    </mdx>
    <mdx n="508" f="v">
      <t c="3" si="4">
        <n x="509"/>
        <n x="164"/>
        <n x="490"/>
      </t>
    </mdx>
    <mdx n="508" f="v">
      <t c="3" si="4">
        <n x="509"/>
        <n x="105"/>
        <n x="491"/>
      </t>
    </mdx>
    <mdx n="508" f="v">
      <t c="3" si="4">
        <n x="509"/>
        <n x="194"/>
        <n x="479"/>
      </t>
    </mdx>
    <mdx n="508" f="v">
      <t c="3" si="4">
        <n x="509"/>
        <n x="11"/>
        <n x="489"/>
      </t>
    </mdx>
    <mdx n="508" f="v">
      <t c="3" si="4">
        <n x="509"/>
        <n x="308"/>
        <n x="490"/>
      </t>
    </mdx>
    <mdx n="508" f="v">
      <t c="3" si="4">
        <n x="509"/>
        <n x="240"/>
        <n x="491"/>
      </t>
    </mdx>
    <mdx n="508" f="v">
      <t c="3" si="4">
        <n x="509"/>
        <n x="432"/>
        <n x="484"/>
      </t>
    </mdx>
    <mdx n="508" f="v">
      <t c="3" si="4">
        <n x="509"/>
        <n x="319"/>
        <n x="489"/>
      </t>
    </mdx>
    <mdx n="508" f="v">
      <t c="3" si="4">
        <n x="509"/>
        <n x="271"/>
        <n x="491"/>
      </t>
    </mdx>
    <mdx n="508" f="v">
      <t c="3" si="4">
        <n x="509"/>
        <n x="67"/>
        <n x="489"/>
      </t>
    </mdx>
    <mdx n="508" f="v">
      <t c="3" si="4">
        <n x="509"/>
        <n x="402"/>
        <n x="492"/>
      </t>
    </mdx>
    <mdx n="508" f="v">
      <t c="3" si="4">
        <n x="509"/>
        <n x="217"/>
        <n x="492"/>
      </t>
    </mdx>
    <mdx n="508" f="v">
      <t c="3" si="4">
        <n x="509"/>
        <n x="336"/>
        <n x="492"/>
      </t>
    </mdx>
    <mdx n="508" f="v">
      <t c="3" si="4">
        <n x="509"/>
        <n x="79"/>
        <n x="492"/>
      </t>
    </mdx>
    <mdx n="508" f="v">
      <t c="3" si="4">
        <n x="509"/>
        <n x="342"/>
        <n x="492"/>
      </t>
    </mdx>
    <mdx n="508" f="v">
      <t c="3" si="4">
        <n x="509"/>
        <n x="65"/>
        <n x="492"/>
      </t>
    </mdx>
    <mdx n="508" f="v">
      <t c="3" si="4">
        <n x="509"/>
        <n x="274"/>
        <n x="492"/>
      </t>
    </mdx>
    <mdx n="508" f="v">
      <t c="3" si="4">
        <n x="509"/>
        <n x="68"/>
        <n x="493"/>
      </t>
    </mdx>
    <mdx n="508" f="v">
      <t c="3" si="4">
        <n x="509"/>
        <n x="366"/>
        <n x="493"/>
      </t>
    </mdx>
    <mdx n="508" f="v">
      <t c="3" si="4">
        <n x="509"/>
        <n x="8"/>
        <n x="493"/>
      </t>
    </mdx>
    <mdx n="508" f="v">
      <t c="3" si="4">
        <n x="509"/>
        <n x="453"/>
        <n x="493"/>
      </t>
    </mdx>
    <mdx n="508" f="v">
      <t c="3" si="4">
        <n x="509"/>
        <n x="433"/>
        <n x="493"/>
      </t>
    </mdx>
    <mdx n="508" f="v">
      <t c="3" si="4">
        <n x="509"/>
        <n x="405"/>
        <n x="493"/>
      </t>
    </mdx>
    <mdx n="508" f="v">
      <t c="3" si="4">
        <n x="509"/>
        <n x="215"/>
        <n x="493"/>
      </t>
    </mdx>
    <mdx n="508" f="v">
      <t c="3" si="4">
        <n x="509"/>
        <n x="212"/>
        <n x="469"/>
      </t>
    </mdx>
    <mdx n="508" f="v">
      <t c="3" si="4">
        <n x="509"/>
        <n x="250"/>
        <n x="471"/>
      </t>
    </mdx>
    <mdx n="508" f="v">
      <t c="3" si="4">
        <n x="509"/>
        <n x="27"/>
        <n x="483"/>
      </t>
    </mdx>
    <mdx n="508" f="v">
      <t c="3" si="4">
        <n x="509"/>
        <n x="292"/>
        <n x="484"/>
      </t>
    </mdx>
    <mdx n="508" f="v">
      <t c="3" si="4">
        <n x="509"/>
        <n x="213"/>
        <n x="485"/>
      </t>
    </mdx>
    <mdx n="508" f="v">
      <t c="3" si="4">
        <n x="509"/>
        <n x="112"/>
        <n x="486"/>
      </t>
    </mdx>
    <mdx n="508" f="v">
      <t c="3" si="4">
        <n x="509"/>
        <n x="357"/>
        <n x="486"/>
      </t>
    </mdx>
    <mdx n="508" f="v">
      <t c="3" si="4">
        <n x="509"/>
        <n x="7"/>
        <n x="487"/>
      </t>
    </mdx>
    <mdx n="508" f="v">
      <t c="3" si="4">
        <n x="509"/>
        <n x="296"/>
        <n x="484"/>
      </t>
    </mdx>
    <mdx n="508" f="v">
      <t c="3" si="4">
        <n x="509"/>
        <n x="418"/>
        <n x="487"/>
      </t>
    </mdx>
    <mdx n="508" f="v">
      <t c="3" si="4">
        <n x="509"/>
        <n x="220"/>
        <n x="488"/>
      </t>
    </mdx>
    <mdx n="508" f="v">
      <t c="3" si="4">
        <n x="509"/>
        <n x="384"/>
        <n x="489"/>
      </t>
    </mdx>
    <mdx n="508" f="v">
      <t c="3" si="4">
        <n x="509"/>
        <n x="18"/>
        <n x="484"/>
      </t>
    </mdx>
    <mdx n="508" f="v">
      <t c="3" si="4">
        <n x="509"/>
        <n x="31"/>
        <n x="489"/>
      </t>
    </mdx>
    <mdx n="508" f="v">
      <t c="3" si="4">
        <n x="509"/>
        <n x="423"/>
        <n x="491"/>
      </t>
    </mdx>
    <mdx n="508" f="v">
      <t c="3" si="4">
        <n x="509"/>
        <n x="163"/>
        <n x="486"/>
      </t>
    </mdx>
    <mdx n="508" f="v">
      <t c="3" si="4">
        <n x="509"/>
        <n x="428"/>
        <n x="490"/>
      </t>
    </mdx>
    <mdx n="508" f="v">
      <t c="3" si="4">
        <n x="509"/>
        <n x="299"/>
        <n x="491"/>
      </t>
    </mdx>
    <mdx n="508" f="v">
      <t c="3" si="4">
        <n x="509"/>
        <n x="314"/>
        <n x="491"/>
      </t>
    </mdx>
    <mdx n="508" f="v">
      <t c="3" si="4">
        <n x="509"/>
        <n x="293"/>
        <n x="488"/>
      </t>
    </mdx>
    <mdx n="508" f="v">
      <t c="3" si="4">
        <n x="509"/>
        <n x="113"/>
        <n x="490"/>
      </t>
    </mdx>
    <mdx n="508" f="v">
      <t c="3" si="4">
        <n x="509"/>
        <n x="218"/>
        <n x="491"/>
      </t>
    </mdx>
    <mdx n="508" f="v">
      <t c="3" si="4">
        <n x="509"/>
        <n x="350"/>
        <n x="482"/>
      </t>
    </mdx>
    <mdx n="508" f="v">
      <t c="3" si="4">
        <n x="509"/>
        <n x="162"/>
        <n x="489"/>
      </t>
    </mdx>
    <mdx n="508" f="v">
      <t c="3" si="4">
        <n x="509"/>
        <n x="328"/>
        <n x="490"/>
      </t>
    </mdx>
    <mdx n="508" f="v">
      <t c="3" si="4">
        <n x="509"/>
        <n x="397"/>
        <n x="491"/>
      </t>
    </mdx>
    <mdx n="508" f="v">
      <t c="3" si="4">
        <n x="509"/>
        <n x="417"/>
        <n x="484"/>
      </t>
    </mdx>
    <mdx n="508" f="v">
      <t c="3" si="4">
        <n x="509"/>
        <n x="223"/>
        <n x="489"/>
      </t>
    </mdx>
    <mdx n="508" f="v">
      <t c="3" si="4">
        <n x="509"/>
        <n x="187"/>
        <n x="491"/>
      </t>
    </mdx>
    <mdx n="508" f="v">
      <t c="3" si="4">
        <n x="509"/>
        <n x="372"/>
        <n x="484"/>
      </t>
    </mdx>
    <mdx n="508" f="v">
      <t c="3" si="4">
        <n x="509"/>
        <n x="375"/>
        <n x="484"/>
      </t>
    </mdx>
    <mdx n="508" f="v">
      <t c="3" si="4">
        <n x="509"/>
        <n x="297"/>
        <n x="490"/>
      </t>
    </mdx>
    <mdx n="508" f="v">
      <t c="3" si="4">
        <n x="509"/>
        <n x="387"/>
        <n x="491"/>
      </t>
    </mdx>
    <mdx n="508" f="v">
      <t c="3" si="4">
        <n x="509"/>
        <n x="458"/>
        <n x="490"/>
      </t>
    </mdx>
    <mdx n="508" f="v">
      <t c="3" si="4">
        <n x="509"/>
        <n x="289"/>
        <n x="487"/>
      </t>
    </mdx>
    <mdx n="508" f="v">
      <t c="3" si="4">
        <n x="509"/>
        <n x="186"/>
        <n x="490"/>
      </t>
    </mdx>
    <mdx n="508" f="v">
      <t c="3" si="4">
        <n x="509"/>
        <n x="102"/>
        <n x="491"/>
      </t>
    </mdx>
    <mdx n="508" f="v">
      <t c="3" si="4">
        <n x="509"/>
        <n x="234"/>
        <n x="484"/>
      </t>
    </mdx>
    <mdx n="508" f="v">
      <t c="3" si="4">
        <n x="509"/>
        <n x="336"/>
        <n x="5"/>
      </t>
    </mdx>
    <mdx n="508" f="v">
      <t c="3" si="4">
        <n x="509"/>
        <n x="428"/>
        <n x="478"/>
      </t>
    </mdx>
    <mdx n="508" f="v">
      <t c="3" si="4">
        <n x="509"/>
        <n x="435"/>
        <n x="480"/>
      </t>
    </mdx>
    <mdx n="508" f="v">
      <t c="3" si="4">
        <n x="509"/>
        <n x="62"/>
        <n x="471"/>
      </t>
    </mdx>
    <mdx n="508" f="v">
      <t c="3" si="4">
        <n x="509"/>
        <n x="455"/>
        <n x="480"/>
      </t>
    </mdx>
    <mdx n="508" f="v">
      <t c="3" si="4">
        <n x="509"/>
        <n x="315"/>
        <n x="482"/>
      </t>
    </mdx>
    <mdx n="508" f="v">
      <t c="3" si="4">
        <n x="509"/>
        <n x="181"/>
        <n x="484"/>
      </t>
    </mdx>
    <mdx n="508" f="v">
      <t c="3" si="4">
        <n x="509"/>
        <n x="18"/>
        <n x="486"/>
      </t>
    </mdx>
    <mdx n="508" f="v">
      <t c="3" si="4">
        <n x="509"/>
        <n x="185"/>
        <n x="488"/>
      </t>
    </mdx>
    <mdx n="508" f="v">
      <t c="3" si="4">
        <n x="509"/>
        <n x="414"/>
        <n x="482"/>
      </t>
    </mdx>
    <mdx n="508" f="v">
      <t c="3" si="4">
        <n x="509"/>
        <n x="119"/>
        <n x="484"/>
      </t>
    </mdx>
    <mdx n="508" f="v">
      <t c="3" si="4">
        <n x="509"/>
        <n x="10"/>
        <n x="485"/>
      </t>
    </mdx>
    <mdx n="508" f="v">
      <t c="3" si="4">
        <n x="509"/>
        <n x="275"/>
        <n x="487"/>
      </t>
    </mdx>
    <mdx n="508" f="v">
      <t c="3" si="4">
        <n x="509"/>
        <n x="272"/>
        <n x="476"/>
      </t>
    </mdx>
    <mdx n="508" f="v">
      <t c="3" si="4">
        <n x="509"/>
        <n x="292"/>
        <n x="482"/>
      </t>
    </mdx>
    <mdx n="508" f="v">
      <t c="3" si="4">
        <n x="509"/>
        <n x="220"/>
        <n x="484"/>
      </t>
    </mdx>
    <mdx n="508" f="v">
      <t c="3" si="4">
        <n x="509"/>
        <n x="26"/>
        <n x="485"/>
      </t>
    </mdx>
    <mdx n="508" f="v">
      <t c="3" si="4">
        <n x="509"/>
        <n x="306"/>
        <n x="487"/>
      </t>
    </mdx>
    <mdx n="508" f="v">
      <t c="3" si="4">
        <n x="509"/>
        <n x="38"/>
        <n x="477"/>
      </t>
    </mdx>
    <mdx n="508" f="v">
      <t c="3" si="4">
        <n x="509"/>
        <n x="127"/>
        <n x="482"/>
      </t>
    </mdx>
    <mdx n="508" f="v">
      <t c="3" si="4">
        <n x="509"/>
        <n x="401"/>
        <n x="484"/>
      </t>
    </mdx>
    <mdx n="508" f="v">
      <t c="3" si="4">
        <n x="509"/>
        <n x="389"/>
        <n x="485"/>
      </t>
    </mdx>
    <mdx n="508" f="v">
      <t c="3" si="4">
        <n x="509"/>
        <n x="422"/>
        <n x="487"/>
      </t>
    </mdx>
    <mdx n="508" f="v">
      <t c="3" si="4">
        <n x="509"/>
        <n x="7"/>
        <n x="488"/>
      </t>
    </mdx>
    <mdx n="508" f="v">
      <t c="3" si="4">
        <n x="509"/>
        <n x="120"/>
        <n x="478"/>
      </t>
    </mdx>
    <mdx n="508" f="v">
      <t c="3" si="4">
        <n x="509"/>
        <n x="106"/>
        <n x="482"/>
      </t>
    </mdx>
    <mdx n="508" f="v">
      <t c="3" si="4">
        <n x="509"/>
        <n x="382"/>
        <n x="484"/>
      </t>
    </mdx>
    <mdx n="508" f="v">
      <t c="3" si="4">
        <n x="509"/>
        <n x="216"/>
        <n x="485"/>
      </t>
    </mdx>
    <mdx n="508" f="v">
      <t c="3" si="4">
        <n x="509"/>
        <n x="400"/>
        <n x="487"/>
      </t>
    </mdx>
    <mdx n="508" f="v">
      <t c="3" si="4">
        <n x="509"/>
        <n x="268"/>
        <n x="488"/>
      </t>
    </mdx>
    <mdx n="508" f="v">
      <t c="3" si="4">
        <n x="509"/>
        <n x="7"/>
        <n x="481"/>
      </t>
    </mdx>
    <mdx n="508" f="v">
      <t c="3" si="4">
        <n x="509"/>
        <n x="144"/>
        <n x="483"/>
      </t>
    </mdx>
    <mdx n="508" f="v">
      <t c="3" si="4">
        <n x="509"/>
        <n x="34"/>
        <n x="484"/>
      </t>
    </mdx>
    <mdx n="508" f="v">
      <t c="3" si="4">
        <n x="509"/>
        <n x="242"/>
        <n x="486"/>
      </t>
    </mdx>
    <mdx n="508" f="v">
      <t c="3" si="4">
        <n x="509"/>
        <n x="54"/>
        <n x="487"/>
      </t>
    </mdx>
    <mdx n="508" f="v">
      <t c="3" si="4">
        <n x="509"/>
        <n x="330"/>
        <n x="489"/>
      </t>
    </mdx>
    <mdx n="508" f="v">
      <t c="3" si="4">
        <n x="509"/>
        <n x="55"/>
        <n x="482"/>
      </t>
    </mdx>
    <mdx n="508" f="v">
      <t c="3" si="4">
        <n x="509"/>
        <n x="81"/>
        <n x="483"/>
      </t>
    </mdx>
    <mdx n="508" f="v">
      <t c="3" si="4">
        <n x="509"/>
        <n x="331"/>
        <n x="484"/>
      </t>
    </mdx>
    <mdx n="508" f="v">
      <t c="3" si="4">
        <n x="509"/>
        <n x="325"/>
        <n x="476"/>
      </t>
    </mdx>
    <mdx n="508" f="v">
      <t c="3" si="4">
        <n x="509"/>
        <n x="197"/>
        <n x="477"/>
      </t>
    </mdx>
    <mdx n="508" f="v">
      <t c="3" si="4">
        <n x="509"/>
        <n x="76"/>
        <n x="476"/>
      </t>
    </mdx>
    <mdx n="508" f="v">
      <t c="3" si="4">
        <n x="509"/>
        <n x="23"/>
        <n x="479"/>
      </t>
    </mdx>
    <mdx n="508" f="v">
      <t c="3" si="4">
        <n x="509"/>
        <n x="220"/>
        <n x="479"/>
      </t>
    </mdx>
    <mdx n="508" f="v">
      <t c="3" si="4">
        <n x="509"/>
        <n x="151"/>
        <n x="479"/>
      </t>
    </mdx>
    <mdx n="508" f="v">
      <t c="3" si="4">
        <n x="509"/>
        <n x="29"/>
        <n x="471"/>
      </t>
    </mdx>
    <mdx n="508" f="v">
      <t c="3" si="4">
        <n x="509"/>
        <n x="360"/>
        <n x="480"/>
      </t>
    </mdx>
    <mdx n="508" f="v">
      <t c="3" si="4">
        <n x="509"/>
        <n x="170"/>
        <n x="481"/>
      </t>
    </mdx>
    <mdx n="508" f="v">
      <t c="3" si="4">
        <n x="509"/>
        <n x="59"/>
        <n x="471"/>
      </t>
    </mdx>
    <mdx n="508" f="v">
      <t c="3" si="4">
        <n x="509"/>
        <n x="422"/>
        <n x="479"/>
      </t>
    </mdx>
    <mdx n="508" f="v">
      <t c="3" si="4">
        <n x="509"/>
        <n x="256"/>
        <n x="480"/>
      </t>
    </mdx>
    <mdx n="508" f="v">
      <t c="3" si="4">
        <n x="509"/>
        <n x="411"/>
        <n x="481"/>
      </t>
    </mdx>
    <mdx n="508" f="v">
      <t c="3" si="4">
        <n x="509"/>
        <n x="198"/>
        <n x="482"/>
      </t>
    </mdx>
    <mdx n="508" f="v">
      <t c="3" si="4">
        <n x="509"/>
        <n x="442"/>
        <n x="483"/>
      </t>
    </mdx>
    <mdx n="508" f="v">
      <t c="3" si="4">
        <n x="509"/>
        <n x="162"/>
        <n x="484"/>
      </t>
    </mdx>
    <mdx n="508" f="v">
      <t c="3" si="4">
        <n x="509"/>
        <n x="341"/>
        <n x="485"/>
      </t>
    </mdx>
    <mdx n="508" f="v">
      <t c="3" si="4">
        <n x="509"/>
        <n x="380"/>
        <n x="486"/>
      </t>
    </mdx>
    <mdx n="508" f="v">
      <t c="3" si="4">
        <n x="509"/>
        <n x="58"/>
        <n x="487"/>
      </t>
    </mdx>
    <mdx n="508" f="v">
      <t c="3" si="4">
        <n x="509"/>
        <n x="287"/>
        <n x="488"/>
      </t>
    </mdx>
    <mdx n="508" f="v">
      <t c="3" si="4">
        <n x="509"/>
        <n x="65"/>
        <n x="481"/>
      </t>
    </mdx>
    <mdx n="508" f="v">
      <t c="3" si="4">
        <n x="509"/>
        <n x="100"/>
        <n x="482"/>
      </t>
    </mdx>
    <mdx n="508" f="v">
      <t c="3" si="4">
        <n x="509"/>
        <n x="378"/>
        <n x="483"/>
      </t>
    </mdx>
    <mdx n="508" f="v">
      <t c="3" si="4">
        <n x="509"/>
        <n x="402"/>
        <n x="485"/>
      </t>
    </mdx>
    <mdx n="508" f="v">
      <t c="3" si="4">
        <n x="509"/>
        <n x="89"/>
        <n x="486"/>
      </t>
    </mdx>
    <mdx n="508" f="v">
      <t c="3" si="4">
        <n x="509"/>
        <n x="429"/>
        <n x="487"/>
      </t>
    </mdx>
    <mdx n="508" f="v">
      <t c="3" si="4">
        <n x="509"/>
        <n x="162"/>
        <n x="488"/>
      </t>
    </mdx>
    <mdx n="508" f="v">
      <t c="3" si="4">
        <n x="509"/>
        <n x="187"/>
        <n x="482"/>
      </t>
    </mdx>
    <mdx n="508" f="v">
      <t c="3" si="4">
        <n x="509"/>
        <n x="369"/>
        <n x="483"/>
      </t>
    </mdx>
    <mdx n="508" f="v">
      <t c="3" si="4">
        <n x="509"/>
        <n x="306"/>
        <n x="484"/>
      </t>
    </mdx>
    <mdx n="508" f="v">
      <t c="3" si="4">
        <n x="509"/>
        <n x="322"/>
        <n x="485"/>
      </t>
    </mdx>
    <mdx n="508" f="v">
      <t c="3" si="4">
        <n x="509"/>
        <n x="292"/>
        <n x="486"/>
      </t>
    </mdx>
    <mdx n="508" f="v">
      <t c="3" si="4">
        <n x="509"/>
        <n x="57"/>
        <n x="487"/>
      </t>
    </mdx>
    <mdx n="508" f="v">
      <t c="3" si="4">
        <n x="509"/>
        <n x="311"/>
        <n x="478"/>
      </t>
    </mdx>
    <mdx n="508" f="v">
      <t c="3" si="4">
        <n x="509"/>
        <n x="456"/>
        <n x="482"/>
      </t>
    </mdx>
    <mdx n="508" f="v">
      <t c="3" si="4">
        <n x="509"/>
        <n x="66"/>
        <n x="483"/>
      </t>
    </mdx>
    <mdx n="508" f="v">
      <t c="3" si="4">
        <n x="509"/>
        <n x="371"/>
        <n x="484"/>
      </t>
    </mdx>
    <mdx n="508" f="v">
      <t c="3" si="4">
        <n x="509"/>
        <n x="96"/>
        <n x="485"/>
      </t>
    </mdx>
    <mdx n="508" f="v">
      <t c="3" si="4">
        <n x="509"/>
        <n x="425"/>
        <n x="486"/>
      </t>
    </mdx>
    <mdx n="508" f="v">
      <t c="3" si="4">
        <n x="509"/>
        <n x="366"/>
        <n x="488"/>
      </t>
    </mdx>
    <mdx n="508" f="v">
      <t c="3" si="4">
        <n x="509"/>
        <n x="279"/>
        <n x="489"/>
      </t>
    </mdx>
    <mdx n="508" f="v">
      <t c="3" si="4">
        <n x="509"/>
        <n x="260"/>
        <n x="478"/>
      </t>
    </mdx>
    <mdx n="508" f="v">
      <t c="3" si="4">
        <n x="509"/>
        <n x="139"/>
        <n x="482"/>
      </t>
    </mdx>
    <mdx n="508" f="v">
      <t c="3" si="4">
        <n x="509"/>
        <n x="52"/>
        <n x="483"/>
      </t>
    </mdx>
    <mdx n="508" f="v">
      <t c="3" si="4">
        <n x="509"/>
        <n x="445"/>
        <n x="484"/>
      </t>
    </mdx>
    <mdx n="508" f="v">
      <t c="3" si="4">
        <n x="509"/>
        <n x="352"/>
        <n x="485"/>
      </t>
    </mdx>
    <mdx n="508" f="v">
      <t c="3" si="4">
        <n x="509"/>
        <n x="100"/>
        <n x="486"/>
      </t>
    </mdx>
    <mdx n="508" f="v">
      <t c="3" si="4">
        <n x="509"/>
        <n x="430"/>
        <n x="488"/>
      </t>
    </mdx>
    <mdx n="508" f="v">
      <t c="3" si="4">
        <n x="509"/>
        <n x="434"/>
        <n x="489"/>
      </t>
    </mdx>
    <mdx n="508" f="v">
      <t c="3" si="4">
        <n x="509"/>
        <n x="329"/>
        <n x="481"/>
      </t>
    </mdx>
    <mdx n="508" f="v">
      <t c="3" si="4">
        <n x="509"/>
        <n x="95"/>
        <n x="482"/>
      </t>
    </mdx>
    <mdx n="508" f="v">
      <t c="3" si="4">
        <n x="509"/>
        <n x="208"/>
        <n x="484"/>
      </t>
    </mdx>
    <mdx n="508" f="v">
      <t c="3" si="4">
        <n x="509"/>
        <n x="260"/>
        <n x="485"/>
      </t>
    </mdx>
    <mdx n="508" f="v">
      <t c="3" si="4">
        <n x="509"/>
        <n x="382"/>
        <n x="486"/>
      </t>
    </mdx>
    <mdx n="508" f="v">
      <t c="3" si="4">
        <n x="509"/>
        <n x="317"/>
        <n x="487"/>
      </t>
    </mdx>
    <mdx n="508" f="v">
      <t c="3" si="4">
        <n x="509"/>
        <n x="79"/>
        <n x="488"/>
      </t>
    </mdx>
    <mdx n="508" f="v">
      <t c="3" si="4">
        <n x="509"/>
        <n x="188"/>
        <n x="478"/>
      </t>
    </mdx>
    <mdx n="508" f="v">
      <t c="3" si="4">
        <n x="509"/>
        <n x="401"/>
        <n x="482"/>
      </t>
    </mdx>
    <mdx n="508" f="v">
      <t c="3" si="4">
        <n x="509"/>
        <n x="175"/>
        <n x="483"/>
      </t>
    </mdx>
    <mdx n="508" f="v">
      <t c="3" si="4">
        <n x="509"/>
        <n x="179"/>
        <n x="484"/>
      </t>
    </mdx>
    <mdx n="508" f="v">
      <t c="3" si="4">
        <n x="509"/>
        <n x="425"/>
        <n x="485"/>
      </t>
    </mdx>
    <mdx n="508" f="v">
      <t c="3" si="4">
        <n x="509"/>
        <n x="297"/>
        <n x="486"/>
      </t>
    </mdx>
    <mdx n="508" f="v">
      <t c="3" si="4">
        <n x="509"/>
        <n x="130"/>
        <n x="468"/>
      </t>
    </mdx>
    <mdx n="508" f="v">
      <t c="3" si="4">
        <n x="509"/>
        <n x="28"/>
        <n x="478"/>
      </t>
    </mdx>
    <mdx n="508" f="v">
      <t c="3" si="4">
        <n x="509"/>
        <n x="49"/>
        <n x="486"/>
      </t>
    </mdx>
    <mdx n="508" f="v">
      <t c="3" si="4">
        <n x="509"/>
        <n x="94"/>
        <n x="487"/>
      </t>
    </mdx>
    <mdx n="508" f="v">
      <t c="3" si="4">
        <n x="509"/>
        <n x="211"/>
        <n x="488"/>
      </t>
    </mdx>
    <mdx n="508" f="v">
      <t c="3" si="4">
        <n x="509"/>
        <n x="114"/>
        <n x="489"/>
      </t>
    </mdx>
    <mdx n="508" f="v">
      <t c="3" si="4">
        <n x="509"/>
        <n x="340"/>
        <n x="479"/>
      </t>
    </mdx>
    <mdx n="508" f="v">
      <t c="3" si="4">
        <n x="509"/>
        <n x="446"/>
        <n x="489"/>
      </t>
    </mdx>
    <mdx n="508" f="v">
      <t c="3" si="4">
        <n x="509"/>
        <n x="342"/>
        <n x="485"/>
      </t>
    </mdx>
    <mdx n="508" f="v">
      <t c="3" si="4">
        <n x="509"/>
        <n x="182"/>
        <n x="487"/>
      </t>
    </mdx>
    <mdx n="508" f="v">
      <t c="3" si="4">
        <n x="509"/>
        <n x="26"/>
        <n x="488"/>
      </t>
    </mdx>
    <mdx n="508" f="v">
      <t c="3" si="4">
        <n x="509"/>
        <n x="104"/>
        <n x="489"/>
      </t>
    </mdx>
    <mdx n="508" f="v">
      <t c="3" si="4">
        <n x="509"/>
        <n x="293"/>
        <n x="487"/>
      </t>
    </mdx>
    <mdx n="508" f="v">
      <t c="3" si="4">
        <n x="509"/>
        <n x="162"/>
        <n x="490"/>
      </t>
    </mdx>
    <mdx n="508" f="v">
      <t c="3" si="4">
        <n x="509"/>
        <n x="207"/>
        <n x="491"/>
      </t>
    </mdx>
    <mdx n="508" f="v">
      <t c="3" si="4">
        <n x="509"/>
        <n x="404"/>
        <n x="488"/>
      </t>
    </mdx>
    <mdx n="508" f="v">
      <t c="3" si="4">
        <n x="509"/>
        <n x="97"/>
        <n x="490"/>
      </t>
    </mdx>
    <mdx n="508" f="v">
      <t c="3" si="4">
        <n x="509"/>
        <n x="373"/>
        <n x="491"/>
      </t>
    </mdx>
    <mdx n="508" f="v">
      <t c="3" si="4">
        <n x="509"/>
        <n x="235"/>
        <n x="483"/>
      </t>
    </mdx>
    <mdx n="508" f="v">
      <t c="3" si="4">
        <n x="509"/>
        <n x="85"/>
        <n x="489"/>
      </t>
    </mdx>
    <mdx n="508" f="v">
      <t c="3" si="4">
        <n x="509"/>
        <n x="415"/>
        <n x="490"/>
      </t>
    </mdx>
    <mdx n="508" f="v">
      <t c="3" si="4">
        <n x="509"/>
        <n x="51"/>
        <n x="483"/>
      </t>
    </mdx>
    <mdx n="508" f="v">
      <t c="3" si="4">
        <n x="509"/>
        <n x="448"/>
        <n x="485"/>
      </t>
    </mdx>
    <mdx n="508" f="v">
      <t c="3" si="4">
        <n x="509"/>
        <n x="330"/>
        <n x="490"/>
      </t>
    </mdx>
    <mdx n="508" f="v">
      <t c="3" si="4">
        <n x="509"/>
        <n x="252"/>
        <n x="491"/>
      </t>
    </mdx>
    <mdx n="508" f="v">
      <t c="3" si="4">
        <n x="509"/>
        <n x="400"/>
        <n x="490"/>
      </t>
    </mdx>
    <mdx n="508" f="v">
      <t c="3" si="4">
        <n x="509"/>
        <n x="192"/>
        <n x="487"/>
      </t>
    </mdx>
    <mdx n="508" f="v">
      <t c="3" si="4">
        <n x="509"/>
        <n x="192"/>
        <n x="490"/>
      </t>
    </mdx>
    <mdx n="508" f="v">
      <t c="3" si="4">
        <n x="509"/>
        <n x="224"/>
        <n x="491"/>
      </t>
    </mdx>
    <mdx n="508" f="v">
      <t c="3" si="4">
        <n x="509"/>
        <n x="74"/>
        <n x="490"/>
      </t>
    </mdx>
    <mdx n="508" f="v">
      <t c="3" si="4">
        <n x="509"/>
        <n x="177"/>
        <n x="488"/>
      </t>
    </mdx>
    <mdx n="508" f="v">
      <t c="3" si="4">
        <n x="509"/>
        <n x="17"/>
        <n x="490"/>
      </t>
    </mdx>
    <mdx n="508" f="v">
      <t c="3" si="4">
        <n x="509"/>
        <n x="174"/>
        <n x="491"/>
      </t>
    </mdx>
    <mdx n="508" f="v">
      <t c="3" si="4">
        <n x="509"/>
        <n x="356"/>
        <n x="480"/>
      </t>
    </mdx>
    <mdx n="508" f="v">
      <t c="3" si="4">
        <n x="509"/>
        <n x="129"/>
        <n x="489"/>
      </t>
    </mdx>
    <mdx n="508" f="v">
      <t c="3" si="4">
        <n x="509"/>
        <n x="233"/>
        <n x="490"/>
      </t>
    </mdx>
    <mdx n="508" f="v">
      <t c="3" si="4">
        <n x="509"/>
        <n x="288"/>
        <n x="491"/>
      </t>
    </mdx>
    <mdx n="508" f="v">
      <t c="3" si="4">
        <n x="509"/>
        <n x="177"/>
        <n x="492"/>
      </t>
    </mdx>
    <mdx n="508" f="v">
      <t c="3" si="4">
        <n x="509"/>
        <n x="139"/>
        <n x="492"/>
      </t>
    </mdx>
    <mdx n="508" f="v">
      <t c="3" si="4">
        <n x="509"/>
        <n x="354"/>
        <n x="492"/>
      </t>
    </mdx>
    <mdx n="508" f="v">
      <t c="3" si="4">
        <n x="509"/>
        <n x="345"/>
        <n x="492"/>
      </t>
    </mdx>
    <mdx n="508" f="v">
      <t c="3" si="4">
        <n x="509"/>
        <n x="62"/>
        <n x="492"/>
      </t>
    </mdx>
    <mdx n="508" f="v">
      <t c="3" si="4">
        <n x="509"/>
        <n x="181"/>
        <n x="492"/>
      </t>
    </mdx>
    <mdx n="508" f="v">
      <t c="3" si="4">
        <n x="509"/>
        <n x="308"/>
        <n x="492"/>
      </t>
    </mdx>
    <mdx n="508" f="v">
      <t c="3" si="4">
        <n x="509"/>
        <n x="90"/>
        <n x="492"/>
      </t>
    </mdx>
    <mdx n="508" f="v">
      <t c="3" si="4">
        <n x="509"/>
        <n x="116"/>
        <n x="493"/>
      </t>
    </mdx>
    <mdx n="508" f="v">
      <t c="3" si="4">
        <n x="509"/>
        <n x="245"/>
        <n x="493"/>
      </t>
    </mdx>
    <mdx n="508" f="v">
      <t c="3" si="4">
        <n x="509"/>
        <n x="391"/>
        <n x="493"/>
      </t>
    </mdx>
    <mdx n="508" f="v">
      <t c="3" si="4">
        <n x="509"/>
        <n x="86"/>
        <n x="493"/>
      </t>
    </mdx>
    <mdx n="508" f="v">
      <t c="3" si="4">
        <n x="509"/>
        <n x="173"/>
        <n x="493"/>
      </t>
    </mdx>
    <mdx n="508" f="v">
      <t c="3" si="4">
        <n x="509"/>
        <n x="404"/>
        <n x="493"/>
      </t>
    </mdx>
    <mdx n="508" f="v">
      <t c="3" si="4">
        <n x="509"/>
        <n x="229"/>
        <n x="493"/>
      </t>
    </mdx>
    <mdx n="508" f="v">
      <t c="3" si="4">
        <n x="509"/>
        <n x="55"/>
        <n x="471"/>
      </t>
    </mdx>
    <mdx n="508" f="v">
      <t c="3" si="4">
        <n x="509"/>
        <n x="19"/>
        <n x="481"/>
      </t>
    </mdx>
    <mdx n="508" f="v">
      <t c="3" si="4">
        <n x="509"/>
        <n x="220"/>
        <n x="480"/>
      </t>
    </mdx>
    <mdx n="508" f="v">
      <t c="3" si="4">
        <n x="509"/>
        <n x="226"/>
        <n x="483"/>
      </t>
    </mdx>
    <mdx n="508" f="v">
      <t c="3" si="4">
        <n x="509"/>
        <n x="300"/>
        <n x="484"/>
      </t>
    </mdx>
    <mdx n="508" f="v">
      <t c="3" si="4">
        <n x="509"/>
        <n x="356"/>
        <n x="484"/>
      </t>
    </mdx>
    <mdx n="508" f="v">
      <t c="3" si="4">
        <n x="509"/>
        <n x="364"/>
        <n x="485"/>
      </t>
    </mdx>
    <mdx n="508" f="v">
      <t c="3" si="4">
        <n x="509"/>
        <n x="63"/>
        <n x="482"/>
      </t>
    </mdx>
    <mdx n="508" f="v">
      <t c="3" si="4">
        <n x="509"/>
        <n x="144"/>
        <n x="486"/>
      </t>
    </mdx>
    <mdx n="508" f="v">
      <t c="3" si="4">
        <n x="509"/>
        <n x="31"/>
        <n x="488"/>
      </t>
    </mdx>
    <mdx n="508" f="v">
      <t c="3" si="4">
        <n x="509"/>
        <n x="402"/>
        <n x="489"/>
      </t>
    </mdx>
    <mdx n="508" f="v">
      <t c="3" si="4">
        <n x="509"/>
        <n x="295"/>
        <n x="482"/>
      </t>
    </mdx>
    <mdx n="508" f="v">
      <t c="3" si="4">
        <n x="509"/>
        <n x="38"/>
        <n x="489"/>
      </t>
    </mdx>
    <mdx n="508" f="v">
      <t c="3" si="4">
        <n x="509"/>
        <n x="148"/>
        <n x="490"/>
      </t>
    </mdx>
    <mdx n="508" f="v">
      <t c="3" si="4">
        <n x="509"/>
        <n x="289"/>
        <n x="483"/>
      </t>
    </mdx>
    <mdx n="508" f="v">
      <t c="3" si="4">
        <n x="509"/>
        <n x="216"/>
        <n x="489"/>
      </t>
    </mdx>
    <mdx n="508" f="v">
      <t c="3" si="4">
        <n x="509"/>
        <n x="3"/>
        <n x="490"/>
      </t>
    </mdx>
    <mdx n="508" f="v">
      <t c="3" si="4">
        <n x="509"/>
        <n x="337"/>
        <n x="487"/>
      </t>
    </mdx>
    <mdx n="508" f="v">
      <t c="3" si="4">
        <n x="509"/>
        <n x="280"/>
        <n x="486"/>
      </t>
    </mdx>
    <mdx n="508" f="v">
      <t c="3" si="4">
        <n x="509"/>
        <n x="139"/>
        <n x="490"/>
      </t>
    </mdx>
    <mdx n="508" f="v">
      <t c="3" si="4">
        <n x="509"/>
        <n x="93"/>
        <n x="491"/>
      </t>
    </mdx>
    <mdx n="508" f="v">
      <t c="3" si="4">
        <n x="509"/>
        <n x="453"/>
        <n x="491"/>
      </t>
    </mdx>
    <mdx n="508" f="v">
      <t c="3" si="4">
        <n x="509"/>
        <n x="288"/>
        <n x="488"/>
      </t>
    </mdx>
    <mdx n="508" f="v">
      <t c="3" si="4">
        <n x="509"/>
        <n x="109"/>
        <n x="490"/>
      </t>
    </mdx>
    <mdx n="508" f="v">
      <t c="3" si="4">
        <n x="509"/>
        <n x="317"/>
        <n x="491"/>
      </t>
    </mdx>
    <mdx n="508" f="v">
      <t c="3" si="4">
        <n x="509"/>
        <n x="223"/>
        <n x="482"/>
      </t>
    </mdx>
    <mdx n="508" f="v">
      <t c="3" si="4">
        <n x="509"/>
        <n x="238"/>
        <n x="489"/>
      </t>
    </mdx>
    <mdx n="508" f="v">
      <t c="3" si="4">
        <n x="509"/>
        <n x="57"/>
        <n x="490"/>
      </t>
    </mdx>
    <mdx n="508" f="v">
      <t c="3" si="4">
        <n x="509"/>
        <n x="160"/>
        <n x="491"/>
      </t>
    </mdx>
    <mdx n="508" f="v">
      <t c="3" si="4">
        <n x="509"/>
        <n x="238"/>
        <n x="482"/>
      </t>
    </mdx>
    <mdx n="508" f="v">
      <t c="3" si="4">
        <n x="509"/>
        <n x="66"/>
        <n x="489"/>
      </t>
    </mdx>
    <mdx n="508" f="v">
      <t c="3" si="4">
        <n x="509"/>
        <n x="104"/>
        <n x="490"/>
      </t>
    </mdx>
    <mdx n="508" f="v">
      <t c="3" si="4">
        <n x="509"/>
        <n x="213"/>
        <n x="482"/>
      </t>
    </mdx>
    <mdx n="508" f="v">
      <t c="3" si="4">
        <n x="509"/>
        <n x="288"/>
        <n x="485"/>
      </t>
    </mdx>
    <mdx n="508" f="v">
      <t c="3" si="4">
        <n x="509"/>
        <n x="450"/>
        <n x="490"/>
      </t>
    </mdx>
    <mdx n="508" f="v">
      <t c="3" si="4">
        <n x="509"/>
        <n x="89"/>
        <n x="491"/>
      </t>
    </mdx>
    <mdx n="508" f="v">
      <t c="3" si="4">
        <n x="509"/>
        <n x="135"/>
        <n x="490"/>
      </t>
    </mdx>
    <mdx n="508" f="v">
      <t c="3" si="4">
        <n x="509"/>
        <n x="387"/>
        <n x="492"/>
      </t>
    </mdx>
    <mdx n="508" f="v">
      <t c="3" si="4">
        <n x="509"/>
        <n x="212"/>
        <n x="492"/>
      </t>
    </mdx>
    <mdx n="508" f="v">
      <t c="3" si="4">
        <n x="509"/>
        <n x="231"/>
        <n x="492"/>
      </t>
    </mdx>
    <mdx n="508" f="v">
      <t c="3" si="4">
        <n x="509"/>
        <n x="253"/>
        <n x="492"/>
      </t>
    </mdx>
    <mdx n="508" f="v">
      <t c="3" si="4">
        <n x="509"/>
        <n x="130"/>
        <n x="492"/>
      </t>
    </mdx>
    <mdx n="508" f="v">
      <t c="3" si="4">
        <n x="509"/>
        <n x="272"/>
        <n x="492"/>
      </t>
    </mdx>
    <mdx n="508" f="v">
      <t c="3" si="4">
        <n x="509"/>
        <n x="163"/>
        <n x="492"/>
      </t>
    </mdx>
    <mdx n="508" f="v">
      <t c="3" si="4">
        <n x="509"/>
        <n x="459"/>
        <n x="493"/>
      </t>
    </mdx>
    <mdx n="508" f="v">
      <t c="3" si="4">
        <n x="509"/>
        <n x="73"/>
        <n x="493"/>
      </t>
    </mdx>
    <mdx n="508" f="v">
      <t c="3" si="4">
        <n x="509"/>
        <n x="367"/>
        <n x="493"/>
      </t>
    </mdx>
    <mdx n="508" f="v">
      <t c="3" si="4">
        <n x="509"/>
        <n x="441"/>
        <n x="493"/>
      </t>
    </mdx>
    <mdx n="508" f="v">
      <t c="3" si="4">
        <n x="509"/>
        <n x="262"/>
        <n x="493"/>
      </t>
    </mdx>
    <mdx n="508" f="v">
      <t c="3" si="4">
        <n x="509"/>
        <n x="389"/>
        <n x="493"/>
      </t>
    </mdx>
    <mdx n="508" f="v">
      <t c="3" si="4">
        <n x="509"/>
        <n x="199"/>
        <n x="493"/>
      </t>
    </mdx>
    <mdx n="508" f="v">
      <t c="3" si="4">
        <n x="509"/>
        <n x="264"/>
        <n x="480"/>
      </t>
    </mdx>
    <mdx n="508" f="v">
      <t c="3" si="4">
        <n x="509"/>
        <n x="255"/>
        <n x="484"/>
      </t>
    </mdx>
    <mdx n="508" f="v">
      <t c="3" si="4">
        <n x="509"/>
        <n x="387"/>
        <n x="485"/>
      </t>
    </mdx>
    <mdx n="508" f="v">
      <t c="3" si="4">
        <n x="509"/>
        <n x="276"/>
        <n x="486"/>
      </t>
    </mdx>
    <mdx n="508" f="v">
      <t c="3" si="4">
        <n x="509"/>
        <n x="50"/>
        <n x="488"/>
      </t>
    </mdx>
    <mdx n="508" f="v">
      <t c="3" si="4">
        <n x="509"/>
        <n x="191"/>
        <n x="488"/>
      </t>
    </mdx>
    <mdx n="508" f="v">
      <t c="3" si="4">
        <n x="509"/>
        <n x="150"/>
        <n x="488"/>
      </t>
    </mdx>
    <mdx n="508" f="v">
      <t c="3" si="4">
        <n x="509"/>
        <n x="408"/>
        <n x="484"/>
      </t>
    </mdx>
    <mdx n="508" f="v">
      <t c="3" si="4">
        <n x="509"/>
        <n x="334"/>
        <n x="487"/>
      </t>
    </mdx>
    <mdx n="508" f="v">
      <t c="3" si="4">
        <n x="509"/>
        <n x="300"/>
        <n x="488"/>
      </t>
    </mdx>
    <mdx n="508" f="v">
      <t c="3" si="4">
        <n x="509"/>
        <n x="62"/>
        <n x="489"/>
      </t>
    </mdx>
    <mdx n="508" f="v">
      <t c="3" si="4">
        <n x="509"/>
        <n x="28"/>
        <n x="485"/>
      </t>
    </mdx>
    <mdx n="508" f="v">
      <t c="3" si="4">
        <n x="509"/>
        <n x="374"/>
        <n x="490"/>
      </t>
    </mdx>
    <mdx n="508" f="v">
      <t c="3" si="4">
        <n x="509"/>
        <n x="225"/>
        <n x="491"/>
      </t>
    </mdx>
    <mdx n="508" f="v">
      <t c="3" si="4">
        <n x="509"/>
        <n x="282"/>
        <n x="487"/>
      </t>
    </mdx>
    <mdx n="508" f="v">
      <t c="3" si="4">
        <n x="509"/>
        <n x="125"/>
        <n x="490"/>
      </t>
    </mdx>
    <mdx n="508" f="v">
      <t c="3" si="4">
        <n x="509"/>
        <n x="264"/>
        <n x="491"/>
      </t>
    </mdx>
    <mdx n="508" f="v">
      <t c="3" si="4">
        <n x="509"/>
        <n x="169"/>
        <n x="491"/>
      </t>
    </mdx>
    <mdx n="508" f="v">
      <t c="3" si="4">
        <n x="509"/>
        <n x="138"/>
        <n x="489"/>
      </t>
    </mdx>
    <mdx n="508" f="v">
      <t c="3" si="4">
        <n x="509"/>
        <n x="26"/>
        <n x="490"/>
      </t>
    </mdx>
    <mdx n="508" f="v">
      <t c="3" si="4">
        <n x="509"/>
        <n x="298"/>
        <n x="491"/>
      </t>
    </mdx>
    <mdx n="508" f="v">
      <t c="3" si="4">
        <n x="509"/>
        <n x="62"/>
        <n x="483"/>
      </t>
    </mdx>
    <mdx n="508" f="v">
      <t c="3" si="4">
        <n x="509"/>
        <n x="383"/>
        <n x="489"/>
      </t>
    </mdx>
    <mdx n="508" f="v">
      <t c="3" si="4">
        <n x="509"/>
        <n x="310"/>
        <n x="490"/>
      </t>
    </mdx>
    <mdx n="508" f="v">
      <t c="3" si="4">
        <n x="509"/>
        <n x="372"/>
        <n x="485"/>
      </t>
    </mdx>
    <mdx n="508" f="v">
      <t c="3" si="4">
        <n x="509"/>
        <n x="198"/>
        <n x="485"/>
      </t>
    </mdx>
    <mdx n="508" f="v">
      <t c="3" si="4">
        <n x="509"/>
        <n x="402"/>
        <n x="490"/>
      </t>
    </mdx>
    <mdx n="508" f="v">
      <t c="3" si="4">
        <n x="509"/>
        <n x="139"/>
        <n x="491"/>
      </t>
    </mdx>
    <mdx n="508" f="v">
      <t c="3" si="4">
        <n x="509"/>
        <n x="419"/>
        <n x="489"/>
      </t>
    </mdx>
    <mdx n="508" f="v">
      <t c="3" si="4">
        <n x="509"/>
        <n x="370"/>
        <n x="486"/>
      </t>
    </mdx>
    <mdx n="508" f="v">
      <t c="3" si="4">
        <n x="509"/>
        <n x="203"/>
        <n x="490"/>
      </t>
    </mdx>
    <mdx n="508" f="v">
      <t c="3" si="4">
        <n x="509"/>
        <n x="442"/>
        <n x="491"/>
      </t>
    </mdx>
    <mdx n="508" f="v">
      <t c="3" si="4">
        <n x="509"/>
        <n x="84"/>
        <n x="491"/>
      </t>
    </mdx>
    <mdx n="508" f="v">
      <t c="3" si="4">
        <n x="509"/>
        <n x="411"/>
        <n x="488"/>
      </t>
    </mdx>
    <mdx n="508" f="v">
      <t c="3" si="4">
        <n x="509"/>
        <n x="40"/>
        <n x="490"/>
      </t>
    </mdx>
    <mdx n="508" f="v">
      <t c="3" si="4">
        <n x="509"/>
        <n x="342"/>
        <n x="491"/>
      </t>
    </mdx>
    <mdx n="508" f="v">
      <t c="3" si="4">
        <n x="509"/>
        <n x="350"/>
        <n x="492"/>
      </t>
    </mdx>
    <mdx n="508" f="v">
      <t c="3" si="4">
        <n x="509"/>
        <n x="206"/>
        <n x="492"/>
      </t>
    </mdx>
    <mdx n="508" f="v">
      <t c="3" si="4">
        <n x="509"/>
        <n x="72"/>
        <n x="480"/>
      </t>
    </mdx>
    <mdx n="508" f="v">
      <t c="3" si="4">
        <n x="509"/>
        <n x="127"/>
        <n x="480"/>
      </t>
    </mdx>
    <mdx n="508" f="v">
      <t c="3" si="4">
        <n x="509"/>
        <n x="420"/>
        <n x="489"/>
      </t>
    </mdx>
    <mdx n="508" f="v">
      <t c="3" si="4">
        <n x="509"/>
        <n x="290"/>
        <n x="482"/>
      </t>
    </mdx>
    <mdx n="508" f="v">
      <t c="3" si="4">
        <n x="509"/>
        <n x="136"/>
        <n x="483"/>
      </t>
    </mdx>
    <mdx n="508" f="v">
      <t c="3" si="4">
        <n x="509"/>
        <n x="324"/>
        <n x="483"/>
      </t>
    </mdx>
    <mdx n="508" f="v">
      <t c="3" si="4">
        <n x="509"/>
        <n x="42"/>
        <n x="484"/>
      </t>
    </mdx>
    <mdx n="508" f="v">
      <t c="3" si="4">
        <n x="509"/>
        <n x="367"/>
        <n x="482"/>
      </t>
    </mdx>
    <mdx n="508" f="v">
      <t c="3" si="4">
        <n x="509"/>
        <n x="147"/>
        <n x="486"/>
      </t>
    </mdx>
    <mdx n="508" f="v">
      <t c="3" si="4">
        <n x="509"/>
        <n x="397"/>
        <n x="487"/>
      </t>
    </mdx>
    <mdx n="508" f="v">
      <t c="3" si="4">
        <n x="509"/>
        <n x="169"/>
        <n x="489"/>
      </t>
    </mdx>
    <mdx n="508" f="v">
      <t c="3" si="4">
        <n x="509"/>
        <n x="236"/>
        <n x="471"/>
      </t>
    </mdx>
    <mdx n="508" f="v">
      <t c="3" si="4">
        <n x="509"/>
        <n x="407"/>
        <n x="489"/>
      </t>
    </mdx>
    <mdx n="508" f="v">
      <t c="3" si="4">
        <n x="509"/>
        <n x="316"/>
        <n x="490"/>
      </t>
    </mdx>
    <mdx n="508" f="v">
      <t c="3" si="4">
        <n x="509"/>
        <n x="266"/>
        <n x="482"/>
      </t>
    </mdx>
    <mdx n="508" f="v">
      <t c="3" si="4">
        <n x="509"/>
        <n x="342"/>
        <n x="489"/>
      </t>
    </mdx>
    <mdx n="508" f="v">
      <t c="3" si="4">
        <n x="509"/>
        <n x="442"/>
        <n x="490"/>
      </t>
    </mdx>
    <mdx n="508" f="v">
      <t c="3" si="4">
        <n x="509"/>
        <n x="229"/>
        <n x="482"/>
      </t>
    </mdx>
    <mdx n="508" f="v">
      <t c="3" si="4">
        <n x="509"/>
        <n x="320"/>
        <n x="485"/>
      </t>
    </mdx>
    <mdx n="508" f="v">
      <t c="3" si="4">
        <n x="509"/>
        <n x="305"/>
        <n x="490"/>
      </t>
    </mdx>
    <mdx n="508" f="v">
      <t c="3" si="4">
        <n x="509"/>
        <n x="382"/>
        <n x="491"/>
      </t>
    </mdx>
    <mdx n="508" f="v">
      <t c="3" si="4">
        <n x="509"/>
        <n x="39"/>
        <n x="490"/>
      </t>
    </mdx>
    <mdx n="508" f="v">
      <t c="3" si="4">
        <n x="509"/>
        <n x="327"/>
        <n x="488"/>
      </t>
    </mdx>
    <mdx n="508" f="v">
      <t c="3" si="4">
        <n x="509"/>
        <n x="14"/>
        <n x="490"/>
      </t>
    </mdx>
    <mdx n="508" f="v">
      <t c="3" si="4">
        <n x="509"/>
        <n x="71"/>
        <n x="491"/>
      </t>
    </mdx>
    <mdx n="508" f="v">
      <t c="3" si="4">
        <n x="509"/>
        <n x="375"/>
        <n x="491"/>
      </t>
    </mdx>
    <mdx n="508" f="v">
      <t c="3" si="4">
        <n x="509"/>
        <n x="235"/>
        <n x="489"/>
      </t>
    </mdx>
    <mdx n="508" f="v">
      <t c="3" si="4">
        <n x="509"/>
        <n x="329"/>
        <n x="490"/>
      </t>
    </mdx>
    <mdx n="508" f="v">
      <t c="3" si="4">
        <n x="509"/>
        <n x="452"/>
        <n x="491"/>
      </t>
    </mdx>
    <mdx n="508" f="v">
      <t c="3" si="4">
        <n x="509"/>
        <n x="180"/>
        <n x="481"/>
      </t>
    </mdx>
    <mdx n="508" f="v">
      <t c="3" si="4">
        <n x="509"/>
        <n x="299"/>
        <n x="489"/>
      </t>
    </mdx>
    <mdx n="508" f="v">
      <t c="3" si="4">
        <n x="509"/>
        <n x="170"/>
        <n x="490"/>
      </t>
    </mdx>
    <mdx n="508" f="v">
      <t c="3" si="4">
        <n x="509"/>
        <n x="148"/>
        <n x="491"/>
      </t>
    </mdx>
    <mdx n="508" f="v">
      <t c="3" si="4">
        <n x="509"/>
        <n x="155"/>
        <n x="484"/>
      </t>
    </mdx>
    <mdx n="508" f="v">
      <t c="3" si="4">
        <n x="509"/>
        <n x="425"/>
        <n x="489"/>
      </t>
    </mdx>
    <mdx n="508" f="v">
      <t c="3" si="4">
        <n x="509"/>
        <n x="457"/>
        <n x="491"/>
      </t>
    </mdx>
    <mdx n="508" f="v">
      <t c="3" si="4">
        <n x="509"/>
        <n x="167"/>
        <n x="490"/>
      </t>
    </mdx>
    <mdx n="508" f="v">
      <t c="3" si="4">
        <n x="509"/>
        <n x="327"/>
        <n x="492"/>
      </t>
    </mdx>
    <mdx n="508" f="v">
      <t c="3" si="4">
        <n x="509"/>
        <n x="312"/>
        <n x="492"/>
      </t>
    </mdx>
    <mdx n="508" f="v">
      <t c="3" si="4">
        <n x="509"/>
        <n x="27"/>
        <n x="492"/>
      </t>
    </mdx>
    <mdx n="508" f="v">
      <t c="3" si="4">
        <n x="509"/>
        <n x="297"/>
        <n x="492"/>
      </t>
    </mdx>
    <mdx n="508" f="v">
      <t c="3" si="4">
        <n x="509"/>
        <n x="341"/>
        <n x="492"/>
      </t>
    </mdx>
    <mdx n="508" f="v">
      <t c="3" si="4">
        <n x="509"/>
        <n x="363"/>
        <n x="492"/>
      </t>
    </mdx>
    <mdx n="508" f="v">
      <t c="3" si="4">
        <n x="509"/>
        <n x="53"/>
        <n x="492"/>
      </t>
    </mdx>
    <mdx n="508" f="v">
      <t c="3" si="4">
        <n x="509"/>
        <n x="362"/>
        <n x="493"/>
      </t>
    </mdx>
    <mdx n="508" f="v">
      <t c="3" si="4">
        <n x="509"/>
        <n x="209"/>
        <n x="493"/>
      </t>
    </mdx>
    <mdx n="508" f="v">
      <t c="3" si="4">
        <n x="509"/>
        <n x="88"/>
        <n x="493"/>
      </t>
    </mdx>
    <mdx n="508" f="v">
      <t c="3" si="4">
        <n x="509"/>
        <n x="194"/>
        <n x="493"/>
      </t>
    </mdx>
    <mdx n="508" f="v">
      <t c="3" si="4">
        <n x="509"/>
        <n x="429"/>
        <n x="493"/>
      </t>
    </mdx>
    <mdx n="508" f="v">
      <t c="3" si="4">
        <n x="509"/>
        <n x="126"/>
        <n x="493"/>
      </t>
    </mdx>
    <mdx n="508" f="v">
      <t c="3" si="4">
        <n x="509"/>
        <n x="81"/>
        <n x="493"/>
      </t>
    </mdx>
    <mdx n="508" f="v">
      <t c="3" si="4">
        <n x="509"/>
        <n x="352"/>
        <n x="494"/>
      </t>
    </mdx>
    <mdx n="508" f="v">
      <t c="3" si="4">
        <n x="509"/>
        <n x="63"/>
        <n x="494"/>
      </t>
    </mdx>
    <mdx n="508" f="v">
      <t c="3" si="4">
        <n x="509"/>
        <n x="205"/>
        <n x="494"/>
      </t>
    </mdx>
    <mdx n="508" f="v">
      <t c="3" si="4">
        <n x="509"/>
        <n x="360"/>
        <n x="494"/>
      </t>
    </mdx>
    <mdx n="508" f="v">
      <t c="3" si="4">
        <n x="509"/>
        <n x="275"/>
        <n x="494"/>
      </t>
    </mdx>
    <mdx n="508" f="v">
      <t c="3" si="4">
        <n x="509"/>
        <n x="183"/>
        <n x="494"/>
      </t>
    </mdx>
    <mdx n="508" f="v">
      <t c="3" si="4">
        <n x="509"/>
        <n x="228"/>
        <n x="494"/>
      </t>
    </mdx>
    <mdx n="508" f="v">
      <t c="3" si="4">
        <n x="509"/>
        <n x="16"/>
        <n x="494"/>
      </t>
    </mdx>
    <mdx n="508" f="v">
      <t c="3" si="4">
        <n x="509"/>
        <n x="171"/>
        <n x="495"/>
      </t>
    </mdx>
    <mdx n="508" f="v">
      <t c="3" si="4">
        <n x="509"/>
        <n x="195"/>
        <n x="481"/>
      </t>
    </mdx>
    <mdx n="508" f="v">
      <t c="3" si="4">
        <n x="509"/>
        <n x="216"/>
        <n x="480"/>
      </t>
    </mdx>
    <mdx n="508" f="v">
      <t c="3" si="4">
        <n x="509"/>
        <n x="84"/>
        <n x="489"/>
      </t>
    </mdx>
    <mdx n="508" f="v">
      <t c="3" si="4">
        <n x="509"/>
        <n x="203"/>
        <n x="482"/>
      </t>
    </mdx>
    <mdx n="508" f="v">
      <t c="3" si="4">
        <n x="509"/>
        <n x="278"/>
        <n x="483"/>
      </t>
    </mdx>
    <mdx n="508" f="v">
      <t c="3" si="4">
        <n x="509"/>
        <n x="160"/>
        <n x="483"/>
      </t>
    </mdx>
    <mdx n="508" f="v">
      <t c="3" si="4">
        <n x="509"/>
        <n x="20"/>
        <n x="484"/>
      </t>
    </mdx>
    <mdx n="508" f="v">
      <t c="3" si="4">
        <n x="509"/>
        <n x="27"/>
        <n x="482"/>
      </t>
    </mdx>
    <mdx n="508" f="v">
      <t c="3" si="4">
        <n x="509"/>
        <n x="391"/>
        <n x="486"/>
      </t>
    </mdx>
    <mdx n="508" f="v">
      <t c="3" si="4">
        <n x="509"/>
        <n x="103"/>
        <n x="487"/>
      </t>
    </mdx>
    <mdx n="508" f="v">
      <t c="3" si="4">
        <n x="509"/>
        <n x="331"/>
        <n x="489"/>
      </t>
    </mdx>
    <mdx n="508" f="v">
      <t c="3" si="4">
        <n x="509"/>
        <n x="108"/>
        <n x="479"/>
      </t>
    </mdx>
    <mdx n="508" f="v">
      <t c="3" si="4">
        <n x="509"/>
        <n x="295"/>
        <n x="489"/>
      </t>
    </mdx>
    <mdx n="508" f="v">
      <t c="3" si="4">
        <n x="509"/>
        <n x="6"/>
        <n x="490"/>
      </t>
    </mdx>
    <mdx n="508" f="v">
      <t c="3" si="4">
        <n x="509"/>
        <n x="337"/>
        <n x="482"/>
      </t>
    </mdx>
    <mdx n="508" f="v">
      <t c="3" si="4">
        <n x="509"/>
        <n x="237"/>
        <n x="489"/>
      </t>
    </mdx>
    <mdx n="508" f="v">
      <t c="3" si="4">
        <n x="509"/>
        <n x="21"/>
        <n x="492"/>
      </t>
    </mdx>
    <mdx n="508" f="v">
      <t c="3" si="4">
        <n x="509"/>
        <n x="14"/>
        <n x="471"/>
      </t>
    </mdx>
    <mdx n="508" f="v">
      <t c="3" si="4">
        <n x="509"/>
        <n x="95"/>
        <n x="486"/>
      </t>
    </mdx>
    <mdx n="508" f="v">
      <t c="3" si="4">
        <n x="509"/>
        <n x="439"/>
        <n x="483"/>
      </t>
    </mdx>
    <mdx n="508" f="v">
      <t c="3" si="4">
        <n x="509"/>
        <n x="221"/>
        <n x="487"/>
      </t>
    </mdx>
    <mdx n="508" f="v">
      <t c="3" si="4">
        <n x="509"/>
        <n x="107"/>
        <n x="481"/>
      </t>
    </mdx>
    <mdx n="508" f="v">
      <t c="3" si="4">
        <n x="509"/>
        <n x="297"/>
        <n x="483"/>
      </t>
    </mdx>
    <mdx n="508" f="v">
      <t c="3" si="4">
        <n x="509"/>
        <n x="70"/>
        <n x="487"/>
      </t>
    </mdx>
    <mdx n="508" f="v">
      <t c="3" si="4">
        <n x="509"/>
        <n x="199"/>
        <n x="488"/>
      </t>
    </mdx>
    <mdx n="508" f="v">
      <t c="3" si="4">
        <n x="509"/>
        <n x="93"/>
        <n x="482"/>
      </t>
    </mdx>
    <mdx n="508" f="v">
      <t c="3" si="4">
        <n x="509"/>
        <n x="16"/>
        <n x="489"/>
      </t>
    </mdx>
    <mdx n="508" f="v">
      <t c="3" si="4">
        <n x="509"/>
        <n x="41"/>
        <n x="491"/>
      </t>
    </mdx>
    <mdx n="508" f="v">
      <t c="3" si="4">
        <n x="509"/>
        <n x="409"/>
        <n x="489"/>
      </t>
    </mdx>
    <mdx n="508" f="v">
      <t c="3" si="4">
        <n x="509"/>
        <n x="150"/>
        <n x="491"/>
      </t>
    </mdx>
    <mdx n="508" f="v">
      <t c="3" si="4">
        <n x="509"/>
        <n x="202"/>
        <n x="483"/>
      </t>
    </mdx>
    <mdx n="508" f="v">
      <t c="3" si="4">
        <n x="509"/>
        <n x="321"/>
        <n x="490"/>
      </t>
    </mdx>
    <mdx n="508" f="v">
      <t c="3" si="4">
        <n x="509"/>
        <n x="78"/>
        <n x="491"/>
      </t>
    </mdx>
    <mdx n="508" f="v">
      <t c="3" si="4">
        <n x="509"/>
        <n x="420"/>
        <n x="485"/>
      </t>
    </mdx>
    <mdx n="508" f="v">
      <t c="3" si="4">
        <n x="509"/>
        <n x="410"/>
        <n x="490"/>
      </t>
    </mdx>
    <mdx n="508" f="v">
      <t c="3" si="4">
        <n x="509"/>
        <n x="103"/>
        <n x="491"/>
      </t>
    </mdx>
    <mdx n="508" f="v">
      <t c="3" si="4">
        <n x="509"/>
        <n x="365"/>
        <n x="487"/>
      </t>
    </mdx>
    <mdx n="508" f="v">
      <t c="3" si="4">
        <n x="509"/>
        <n x="254"/>
        <n x="490"/>
      </t>
    </mdx>
    <mdx n="508" f="v">
      <t c="3" si="4">
        <n x="509"/>
        <n x="100"/>
        <n x="484"/>
      </t>
    </mdx>
    <mdx n="508" f="v">
      <t c="3" si="4">
        <n x="509"/>
        <n x="19"/>
        <n x="488"/>
      </t>
    </mdx>
    <mdx n="508" f="v">
      <t c="3" si="4">
        <n x="509"/>
        <n x="15"/>
        <n x="490"/>
      </t>
    </mdx>
    <mdx n="508" f="v">
      <t c="3" si="4">
        <n x="509"/>
        <n x="92"/>
        <n x="490"/>
      </t>
    </mdx>
    <mdx n="508" f="v">
      <t c="3" si="4">
        <n x="509"/>
        <n x="224"/>
        <n x="489"/>
      </t>
    </mdx>
    <mdx n="508" f="v">
      <t c="3" si="4">
        <n x="509"/>
        <n x="151"/>
        <n x="491"/>
      </t>
    </mdx>
    <mdx n="508" f="v">
      <t c="3" si="4">
        <n x="509"/>
        <n x="245"/>
        <n x="492"/>
      </t>
    </mdx>
    <mdx n="508" f="v">
      <t c="3" si="4">
        <n x="509"/>
        <n x="394"/>
        <n x="492"/>
      </t>
    </mdx>
    <mdx n="508" f="v">
      <t c="3" si="4">
        <n x="509"/>
        <n x="349"/>
        <n x="492"/>
      </t>
    </mdx>
    <mdx n="508" f="v">
      <t c="3" si="4">
        <n x="509"/>
        <n x="162"/>
        <n x="492"/>
      </t>
    </mdx>
    <mdx n="508" f="v">
      <t c="3" si="4">
        <n x="509"/>
        <n x="425"/>
        <n x="492"/>
      </t>
    </mdx>
    <mdx n="508" f="v">
      <t c="3" si="4">
        <n x="509"/>
        <n x="158"/>
        <n x="493"/>
      </t>
    </mdx>
    <mdx n="508" f="v">
      <t c="3" si="4">
        <n x="509"/>
        <n x="242"/>
        <n x="493"/>
      </t>
    </mdx>
    <mdx n="508" f="v">
      <t c="3" si="4">
        <n x="509"/>
        <n x="178"/>
        <n x="493"/>
      </t>
    </mdx>
    <mdx n="508" f="v">
      <t c="3" si="4">
        <n x="509"/>
        <n x="113"/>
        <n x="493"/>
      </t>
    </mdx>
    <mdx n="508" f="v">
      <t c="3" si="4">
        <n x="509"/>
        <n x="124"/>
        <n x="493"/>
      </t>
    </mdx>
    <mdx n="508" f="v">
      <t c="3" si="4">
        <n x="509"/>
        <n x="372"/>
        <n x="494"/>
      </t>
    </mdx>
    <mdx n="508" f="v">
      <t c="3" si="4">
        <n x="509"/>
        <n x="350"/>
        <n x="494"/>
      </t>
    </mdx>
    <mdx n="508" f="v">
      <t c="3" si="4">
        <n x="509"/>
        <n x="143"/>
        <n x="494"/>
      </t>
    </mdx>
    <mdx n="508" f="v">
      <t c="3" si="4">
        <n x="509"/>
        <n x="429"/>
        <n x="494"/>
      </t>
    </mdx>
    <mdx n="508" f="v">
      <t c="3" si="4">
        <n x="509"/>
        <n x="329"/>
        <n x="494"/>
      </t>
    </mdx>
    <mdx n="508" f="v">
      <t c="3" si="4">
        <n x="509"/>
        <n x="337"/>
        <n x="494"/>
      </t>
    </mdx>
    <mdx n="508" f="v">
      <t c="3" si="4">
        <n x="509"/>
        <n x="37"/>
        <n x="495"/>
      </t>
    </mdx>
    <mdx n="508" f="v">
      <t c="3" si="4">
        <n x="509"/>
        <n x="235"/>
        <n x="479"/>
      </t>
    </mdx>
    <mdx n="508" f="v">
      <t c="3" si="4">
        <n x="509"/>
        <n x="90"/>
        <n x="486"/>
      </t>
    </mdx>
    <mdx n="508" f="v">
      <t c="3" si="4">
        <n x="509"/>
        <n x="290"/>
        <n x="483"/>
      </t>
    </mdx>
    <mdx n="508" f="v">
      <t c="3" si="4">
        <n x="509"/>
        <n x="390"/>
        <n x="487"/>
      </t>
    </mdx>
    <mdx n="508" f="v">
      <t c="3" si="4">
        <n x="509"/>
        <n x="90"/>
        <n x="482"/>
      </t>
    </mdx>
    <mdx n="508" f="v">
      <t c="3" si="4">
        <n x="509"/>
        <n x="273"/>
        <n x="483"/>
      </t>
    </mdx>
    <mdx n="508" f="v">
      <t c="3" si="4">
        <n x="509"/>
        <n x="238"/>
        <n x="487"/>
      </t>
    </mdx>
    <mdx n="508" f="v">
      <t c="3" si="4">
        <n x="509"/>
        <n x="172"/>
        <n x="488"/>
      </t>
    </mdx>
    <mdx n="508" f="v">
      <t c="3" si="4">
        <n x="509"/>
        <n x="149"/>
        <n x="482"/>
      </t>
    </mdx>
    <mdx n="508" f="v">
      <t c="3" si="4">
        <n x="509"/>
        <n x="69"/>
        <n x="490"/>
      </t>
    </mdx>
    <mdx n="508" f="v">
      <t c="3" si="4">
        <n x="509"/>
        <n x="290"/>
        <n x="491"/>
      </t>
    </mdx>
    <mdx n="508" f="v">
      <t c="3" si="4">
        <n x="509"/>
        <n x="215"/>
        <n x="489"/>
      </t>
    </mdx>
    <mdx n="508" f="v">
      <t c="3" si="4">
        <n x="509"/>
        <n x="428"/>
        <n x="491"/>
      </t>
    </mdx>
    <mdx n="508" f="v">
      <t c="3" si="4">
        <n x="509"/>
        <n x="166"/>
        <n x="489"/>
      </t>
    </mdx>
    <mdx n="508" f="v">
      <t c="3" si="4">
        <n x="509"/>
        <n x="89"/>
        <n x="487"/>
      </t>
    </mdx>
    <mdx n="508" f="v">
      <t c="3" si="4">
        <n x="509"/>
        <n x="304"/>
        <n x="490"/>
      </t>
    </mdx>
    <mdx n="508" f="v">
      <t c="3" si="4">
        <n x="509"/>
        <n x="358"/>
        <n x="491"/>
      </t>
    </mdx>
    <mdx n="508" f="v">
      <t c="3" si="4">
        <n x="509"/>
        <n x="346"/>
        <n x="491"/>
      </t>
    </mdx>
    <mdx n="508" f="v">
      <t c="3" si="4">
        <n x="509"/>
        <n x="415"/>
        <n x="488"/>
      </t>
    </mdx>
    <mdx n="508" f="v">
      <t c="3" si="4">
        <n x="509"/>
        <n x="180"/>
        <n x="490"/>
      </t>
    </mdx>
    <mdx n="508" f="v">
      <t c="3" si="4">
        <n x="509"/>
        <n x="161"/>
        <n x="491"/>
      </t>
    </mdx>
    <mdx n="508" f="v">
      <t c="3" si="4">
        <n x="509"/>
        <n x="234"/>
        <n x="482"/>
      </t>
    </mdx>
    <mdx n="508" f="v">
      <t c="3" si="4">
        <n x="509"/>
        <n x="413"/>
        <n x="489"/>
      </t>
    </mdx>
    <mdx n="508" f="v">
      <t c="3" si="4">
        <n x="509"/>
        <n x="240"/>
        <n x="490"/>
      </t>
    </mdx>
    <mdx n="508" f="v">
      <t c="3" si="4">
        <n x="509"/>
        <n x="121"/>
        <n x="491"/>
      </t>
    </mdx>
    <mdx n="508" f="v">
      <t c="3" si="4">
        <n x="509"/>
        <n x="201"/>
        <n x="483"/>
      </t>
    </mdx>
    <mdx n="508" f="v">
      <t c="3" si="4">
        <n x="509"/>
        <n x="109"/>
        <n x="489"/>
      </t>
    </mdx>
    <mdx n="508" f="v">
      <t c="3" si="4">
        <n x="509"/>
        <n x="432"/>
        <n x="490"/>
      </t>
    </mdx>
    <mdx n="508" f="v">
      <t c="3" si="4">
        <n x="509"/>
        <n x="404"/>
        <n x="485"/>
      </t>
    </mdx>
    <mdx n="508" f="v">
      <t c="3" si="4">
        <n x="509"/>
        <n x="429"/>
        <n x="485"/>
      </t>
    </mdx>
    <mdx n="508" f="v">
      <t c="3" si="4">
        <n x="509"/>
        <n x="235"/>
        <n x="490"/>
      </t>
    </mdx>
    <mdx n="508" f="v">
      <t c="3" si="4">
        <n x="509"/>
        <n x="133"/>
        <n x="491"/>
      </t>
    </mdx>
    <mdx n="508" f="v">
      <t c="3" si="4">
        <n x="509"/>
        <n x="327"/>
        <n x="491"/>
      </t>
    </mdx>
    <mdx n="508" f="v">
      <t c="3" si="4">
        <n x="509"/>
        <n x="377"/>
        <n x="492"/>
      </t>
    </mdx>
    <mdx n="508" f="v">
      <t c="3" si="4">
        <n x="509"/>
        <n x="357"/>
        <n x="492"/>
      </t>
    </mdx>
    <mdx n="508" f="v">
      <t c="3" si="4">
        <n x="509"/>
        <n x="391"/>
        <n x="492"/>
      </t>
    </mdx>
    <mdx n="508" f="v">
      <t c="3" si="4">
        <n x="509"/>
        <n x="227"/>
        <n x="492"/>
      </t>
    </mdx>
    <mdx n="508" f="v">
      <t c="3" si="4">
        <n x="509"/>
        <n x="237"/>
        <n x="492"/>
      </t>
    </mdx>
    <mdx n="508" f="v">
      <t c="3" si="4">
        <n x="509"/>
        <n x="48"/>
        <n x="492"/>
      </t>
    </mdx>
    <mdx n="508" f="v">
      <t c="3" si="4">
        <n x="509"/>
        <n x="421"/>
        <n x="492"/>
      </t>
    </mdx>
    <mdx n="508" f="v">
      <t c="3" si="4">
        <n x="509"/>
        <n x="450"/>
        <n x="493"/>
      </t>
    </mdx>
    <mdx n="508" f="v">
      <t c="3" si="4">
        <n x="509"/>
        <n x="191"/>
        <n x="493"/>
      </t>
    </mdx>
    <mdx n="508" f="v">
      <t c="3" si="4">
        <n x="509"/>
        <n x="283"/>
        <n x="493"/>
      </t>
    </mdx>
    <mdx n="508" f="v">
      <t c="3" si="4">
        <n x="509"/>
        <n x="49"/>
        <n x="493"/>
      </t>
    </mdx>
    <mdx n="508" f="v">
      <t c="3" si="4">
        <n x="509"/>
        <n x="341"/>
        <n x="493"/>
      </t>
    </mdx>
    <mdx n="508" f="v">
      <t c="3" si="4">
        <n x="509"/>
        <n x="105"/>
        <n x="493"/>
      </t>
    </mdx>
    <mdx n="508" f="v">
      <t c="3" si="4">
        <n x="509"/>
        <n x="205"/>
        <n x="493"/>
      </t>
    </mdx>
    <mdx n="508" f="v">
      <t c="3" si="4">
        <n x="509"/>
        <n x="370"/>
        <n x="494"/>
      </t>
    </mdx>
    <mdx n="508" f="v">
      <t c="3" si="4">
        <n x="509"/>
        <n x="203"/>
        <n x="494"/>
      </t>
    </mdx>
    <mdx n="508" f="v">
      <t c="3" si="4">
        <n x="509"/>
        <n x="155"/>
        <n x="494"/>
      </t>
    </mdx>
    <mdx n="508" f="v">
      <t c="3" si="4">
        <n x="509"/>
        <n x="258"/>
        <n x="471"/>
      </t>
    </mdx>
    <mdx n="508" f="v">
      <t c="3" si="4">
        <n x="509"/>
        <n x="308"/>
        <n x="479"/>
      </t>
    </mdx>
    <mdx n="508" f="v">
      <t c="3" si="4">
        <n x="509"/>
        <n x="246"/>
        <n x="482"/>
      </t>
    </mdx>
    <mdx n="508" f="v">
      <t c="3" si="4">
        <n x="509"/>
        <n x="153"/>
        <n x="483"/>
      </t>
    </mdx>
    <mdx n="508" f="v">
      <t c="3" si="4">
        <n x="509"/>
        <n x="327"/>
        <n x="485"/>
      </t>
    </mdx>
    <mdx n="508" f="v">
      <t c="3" si="4">
        <n x="509"/>
        <n x="219"/>
        <n x="485"/>
      </t>
    </mdx>
    <mdx n="508" f="v">
      <t c="3" si="4">
        <n x="509"/>
        <n x="333"/>
        <n x="485"/>
      </t>
    </mdx>
    <mdx n="508" f="v">
      <t c="3" si="4">
        <n x="509"/>
        <n x="47"/>
        <n x="483"/>
      </t>
    </mdx>
    <mdx n="508" f="v">
      <t c="3" si="4">
        <n x="509"/>
        <n x="251"/>
        <n x="486"/>
      </t>
    </mdx>
    <mdx n="508" f="v">
      <t c="3" si="4">
        <n x="509"/>
        <n x="258"/>
        <n x="488"/>
      </t>
    </mdx>
    <mdx n="508" f="v">
      <t c="3" si="4">
        <n x="509"/>
        <n x="137"/>
        <n x="489"/>
      </t>
    </mdx>
    <mdx n="508" f="v">
      <t c="3" si="4">
        <n x="509"/>
        <n x="82"/>
        <n x="482"/>
      </t>
    </mdx>
    <mdx n="508" f="v">
      <t c="3" si="4">
        <n x="509"/>
        <n x="149"/>
        <n x="489"/>
      </t>
    </mdx>
    <mdx n="508" f="v">
      <t c="3" si="4">
        <n x="509"/>
        <n x="454"/>
        <n x="490"/>
      </t>
    </mdx>
    <mdx n="508" f="v">
      <t c="3" si="4">
        <n x="509"/>
        <n x="137"/>
        <n x="484"/>
      </t>
    </mdx>
    <mdx n="508" f="v">
      <t c="3" si="4">
        <n x="509"/>
        <n x="205"/>
        <n x="489"/>
      </t>
    </mdx>
    <mdx n="508" f="v">
      <t c="3" si="4">
        <n x="509"/>
        <n x="208"/>
        <n x="491"/>
      </t>
    </mdx>
    <mdx n="508" f="v">
      <t c="3" si="4">
        <n x="509"/>
        <n x="65"/>
        <n x="489"/>
      </t>
    </mdx>
    <mdx n="508" f="v">
      <t c="3" si="4">
        <n x="509"/>
        <n x="29"/>
        <n x="487"/>
      </t>
    </mdx>
    <mdx n="508" f="v">
      <t c="3" si="4">
        <n x="509"/>
        <n x="394"/>
        <n x="490"/>
      </t>
    </mdx>
    <mdx n="508" f="v">
      <t c="3" si="4">
        <n x="509"/>
        <n x="345"/>
        <n x="491"/>
      </t>
    </mdx>
    <mdx n="508" f="v">
      <t c="3" si="4">
        <n x="509"/>
        <n x="338"/>
        <n x="491"/>
      </t>
    </mdx>
    <mdx n="508" f="v">
      <t c="3" si="4">
        <n x="509"/>
        <n x="307"/>
        <n x="488"/>
      </t>
    </mdx>
    <mdx n="508" f="v">
      <t c="3" si="4">
        <n x="509"/>
        <n x="199"/>
        <n x="490"/>
      </t>
    </mdx>
    <mdx n="508" f="v">
      <t c="3" si="4">
        <n x="509"/>
        <n x="340"/>
        <n x="491"/>
      </t>
    </mdx>
    <mdx n="508" f="v">
      <t c="3" si="4">
        <n x="509"/>
        <n x="141"/>
        <n x="482"/>
      </t>
    </mdx>
    <mdx n="508" f="v">
      <t c="3" si="4">
        <n x="509"/>
        <n x="290"/>
        <n x="489"/>
      </t>
    </mdx>
    <mdx n="508" f="v">
      <t c="3" si="4">
        <n x="509"/>
        <n x="223"/>
        <n x="490"/>
      </t>
    </mdx>
    <mdx n="508" f="v">
      <t c="3" si="4">
        <n x="509"/>
        <n x="16"/>
        <n x="491"/>
      </t>
    </mdx>
    <mdx n="508" f="v">
      <t c="3" si="4">
        <n x="509"/>
        <n x="167"/>
        <n x="483"/>
      </t>
    </mdx>
    <mdx n="508" f="v">
      <t c="3" si="4">
        <n x="509"/>
        <n x="207"/>
        <n x="489"/>
      </t>
    </mdx>
    <mdx n="508" f="v">
      <t c="3" si="4">
        <n x="509"/>
        <n x="259"/>
        <n x="490"/>
      </t>
    </mdx>
    <mdx n="508" f="v">
      <t c="3" si="4">
        <n x="509"/>
        <n x="302"/>
        <n x="485"/>
      </t>
    </mdx>
    <mdx n="508" f="v">
      <t c="3" si="4">
        <n x="509"/>
        <n x="353"/>
        <n x="485"/>
      </t>
    </mdx>
    <mdx n="508" f="v">
      <t c="3" si="4">
        <n x="509"/>
        <n x="377"/>
        <n x="490"/>
      </t>
    </mdx>
    <mdx n="508" f="v">
      <t c="3" si="4">
        <n x="509"/>
        <n x="21"/>
        <n x="491"/>
      </t>
    </mdx>
    <mdx n="508" f="v">
      <t c="3" si="4">
        <n x="509"/>
        <n x="119"/>
        <n x="491"/>
      </t>
    </mdx>
    <mdx n="508" f="v">
      <t c="3" si="4">
        <n x="509"/>
        <n x="374"/>
        <n x="492"/>
      </t>
    </mdx>
    <mdx n="508" f="v">
      <t c="3" si="4">
        <n x="509"/>
        <n x="435"/>
        <n x="492"/>
      </t>
    </mdx>
    <mdx n="508" f="v">
      <t c="3" si="4">
        <n x="509"/>
        <n x="385"/>
        <n x="492"/>
      </t>
    </mdx>
    <mdx n="508" f="v">
      <t c="3" si="4">
        <n x="509"/>
        <n x="111"/>
        <n x="492"/>
      </t>
    </mdx>
    <mdx n="508" f="v">
      <t c="3" si="4">
        <n x="509"/>
        <n x="326"/>
        <n x="492"/>
      </t>
    </mdx>
    <mdx n="508" f="v">
      <t c="3" si="4">
        <n x="509"/>
        <n x="173"/>
        <n x="492"/>
      </t>
    </mdx>
    <mdx n="508" f="v">
      <t c="3" si="4">
        <n x="509"/>
        <n x="39"/>
        <n x="492"/>
      </t>
    </mdx>
    <mdx n="508" f="v">
      <t c="3" si="4">
        <n x="509"/>
        <n x="364"/>
        <n x="493"/>
      </t>
    </mdx>
    <mdx n="508" f="v">
      <t c="3" si="4">
        <n x="509"/>
        <n x="444"/>
        <n x="493"/>
      </t>
    </mdx>
    <mdx n="508" f="v">
      <t c="3" si="4">
        <n x="509"/>
        <n x="281"/>
        <n x="493"/>
      </t>
    </mdx>
    <mdx n="508" f="v">
      <t c="3" si="4">
        <n x="509"/>
        <n x="174"/>
        <n x="493"/>
      </t>
    </mdx>
    <mdx n="508" f="v">
      <t c="3" si="4">
        <n x="509"/>
        <n x="140"/>
        <n x="493"/>
      </t>
    </mdx>
    <mdx n="508" f="v">
      <t c="3" si="4">
        <n x="509"/>
        <n x="320"/>
        <n x="493"/>
      </t>
    </mdx>
    <mdx n="508" f="v">
      <t c="3" si="4">
        <n x="509"/>
        <n x="195"/>
        <n x="493"/>
      </t>
    </mdx>
    <mdx n="508" f="v">
      <t c="3" si="4">
        <n x="509"/>
        <n x="459"/>
        <n x="494"/>
      </t>
    </mdx>
    <mdx n="508" f="v">
      <t c="3" si="4">
        <n x="509"/>
        <n x="369"/>
        <n x="494"/>
      </t>
    </mdx>
    <mdx n="508" f="v">
      <t c="3" si="4">
        <n x="509"/>
        <n x="38"/>
        <n x="494"/>
      </t>
    </mdx>
    <mdx n="508" f="v">
      <t c="3" si="4">
        <n x="509"/>
        <n x="380"/>
        <n x="479"/>
      </t>
    </mdx>
    <mdx n="508" f="v">
      <t c="3" si="4">
        <n x="509"/>
        <n x="363"/>
        <n x="480"/>
      </t>
    </mdx>
    <mdx n="508" f="v">
      <t c="3" si="4">
        <n x="509"/>
        <n x="257"/>
        <n x="482"/>
      </t>
    </mdx>
    <mdx n="508" f="v">
      <t c="3" si="4">
        <n x="509"/>
        <n x="100"/>
        <n x="483"/>
      </t>
    </mdx>
    <mdx n="508" f="v">
      <t c="3" si="4">
        <n x="509"/>
        <n x="407"/>
        <n x="485"/>
      </t>
    </mdx>
    <mdx n="508" f="v">
      <t c="3" si="4">
        <n x="509"/>
        <n x="386"/>
        <n x="485"/>
      </t>
    </mdx>
    <mdx n="508" f="v">
      <t c="3" si="4">
        <n x="509"/>
        <n x="340"/>
        <n x="485"/>
      </t>
    </mdx>
    <mdx n="508" f="v">
      <t c="3" si="4">
        <n x="509"/>
        <n x="242"/>
        <n x="483"/>
      </t>
    </mdx>
    <mdx n="508" f="v">
      <t c="3" si="4">
        <n x="509"/>
        <n x="218"/>
        <n x="486"/>
      </t>
    </mdx>
    <mdx n="508" f="v">
      <t c="3" si="4">
        <n x="509"/>
        <n x="243"/>
        <n x="488"/>
      </t>
    </mdx>
    <mdx n="508" f="v">
      <t c="3" si="4">
        <n x="509"/>
        <n x="23"/>
        <n x="489"/>
      </t>
    </mdx>
    <mdx n="508" f="v">
      <t c="3" si="4">
        <n x="509"/>
        <n x="271"/>
        <n x="482"/>
      </t>
    </mdx>
    <mdx n="508" f="v">
      <t c="3" si="4">
        <n x="509"/>
        <n x="127"/>
        <n x="489"/>
      </t>
    </mdx>
    <mdx n="508" f="v">
      <t c="3" si="4">
        <n x="509"/>
        <n x="451"/>
        <n x="490"/>
      </t>
    </mdx>
    <mdx n="508" f="v">
      <t c="3" si="4">
        <n x="509"/>
        <n x="99"/>
        <n x="484"/>
      </t>
    </mdx>
    <mdx n="508" f="v">
      <t c="3" si="4">
        <n x="509"/>
        <n x="135"/>
        <n x="489"/>
      </t>
    </mdx>
    <mdx n="508" f="v">
      <t c="3" si="4">
        <n x="509"/>
        <n x="364"/>
        <n x="491"/>
      </t>
    </mdx>
    <mdx n="508" f="v">
      <t c="3" si="4">
        <n x="509"/>
        <n x="13"/>
        <n x="489"/>
      </t>
    </mdx>
    <mdx n="508" f="v">
      <t c="3" si="4">
        <n x="509"/>
        <n x="62"/>
        <n x="487"/>
      </t>
    </mdx>
    <mdx n="508" f="v">
      <t c="3" si="4">
        <n x="509"/>
        <n x="75"/>
        <n x="490"/>
      </t>
    </mdx>
    <mdx n="508" f="v">
      <t c="3" si="4">
        <n x="509"/>
        <n x="406"/>
        <n x="491"/>
      </t>
    </mdx>
    <mdx n="508" f="v">
      <t c="3" si="4">
        <n x="509"/>
        <n x="435"/>
        <n x="491"/>
      </t>
    </mdx>
    <mdx n="508" f="v">
      <t c="3" si="4">
        <n x="509"/>
        <n x="240"/>
        <n x="489"/>
      </t>
    </mdx>
    <mdx n="508" f="v">
      <t c="3" si="4">
        <n x="509"/>
        <n x="445"/>
        <n x="490"/>
      </t>
    </mdx>
    <mdx n="508" f="v">
      <t c="3" si="4">
        <n x="509"/>
        <n x="126"/>
        <n x="491"/>
      </t>
    </mdx>
    <mdx n="508" f="v">
      <t c="3" si="4">
        <n x="509"/>
        <n x="202"/>
        <n x="482"/>
      </t>
    </mdx>
    <mdx n="508" f="v">
      <t c="3" si="4">
        <n x="509"/>
        <n x="170"/>
        <n x="489"/>
      </t>
    </mdx>
    <mdx n="508" f="v">
      <t c="3" si="4">
        <n x="509"/>
        <n x="214"/>
        <n x="490"/>
      </t>
    </mdx>
    <mdx n="508" f="v">
      <t c="3" si="4">
        <n x="509"/>
        <n x="302"/>
        <n x="491"/>
      </t>
    </mdx>
    <mdx n="508" f="v">
      <t c="3" si="4">
        <n x="509"/>
        <n x="311"/>
        <n x="483"/>
      </t>
    </mdx>
    <mdx n="508" f="v">
      <t c="3" si="4">
        <n x="509"/>
        <n x="261"/>
        <n x="489"/>
      </t>
    </mdx>
    <mdx n="508" f="v">
      <t c="3" si="4">
        <n x="509"/>
        <n x="398"/>
        <n x="490"/>
      </t>
    </mdx>
    <mdx n="508" f="v">
      <t c="3" si="4">
        <n x="509"/>
        <n x="260"/>
        <n x="486"/>
      </t>
    </mdx>
    <mdx n="508" f="v">
      <t c="3" si="4">
        <n x="509"/>
        <n x="319"/>
        <n x="485"/>
      </t>
    </mdx>
    <mdx n="508" f="v">
      <t c="3" si="4">
        <n x="509"/>
        <n x="166"/>
        <n x="490"/>
      </t>
    </mdx>
    <mdx n="508" f="v">
      <t c="3" si="4">
        <n x="509"/>
        <n x="11"/>
        <n x="491"/>
      </t>
    </mdx>
    <mdx n="508" f="v">
      <t c="3" si="4">
        <n x="509"/>
        <n x="20"/>
        <n x="491"/>
      </t>
    </mdx>
    <mdx n="508" f="v">
      <t c="3" si="4">
        <n x="509"/>
        <n x="89"/>
        <n x="492"/>
      </t>
    </mdx>
    <mdx n="508" f="v">
      <t c="3" si="4">
        <n x="509"/>
        <n x="424"/>
        <n x="492"/>
      </t>
    </mdx>
    <mdx n="508" f="v">
      <t c="3" si="4">
        <n x="509"/>
        <n x="323"/>
        <n x="492"/>
      </t>
    </mdx>
    <mdx n="508" f="v">
      <t c="3" si="4">
        <n x="509"/>
        <n x="378"/>
        <n x="492"/>
      </t>
    </mdx>
    <mdx n="508" f="v">
      <t c="3" si="4">
        <n x="509"/>
        <n x="230"/>
        <n x="492"/>
      </t>
    </mdx>
    <mdx n="508" f="v">
      <t c="3" si="4">
        <n x="509"/>
        <n x="266"/>
        <n x="492"/>
      </t>
    </mdx>
    <mdx n="508" f="v">
      <t c="3" si="4">
        <n x="509"/>
        <n x="148"/>
        <n x="492"/>
      </t>
    </mdx>
    <mdx n="508" f="v">
      <t c="3" si="4">
        <n x="509"/>
        <n x="279"/>
        <n x="493"/>
      </t>
    </mdx>
    <mdx n="508" f="v">
      <t c="3" si="4">
        <n x="509"/>
        <n x="207"/>
        <n x="493"/>
      </t>
    </mdx>
    <mdx n="508" f="v">
      <t c="3" si="4">
        <n x="509"/>
        <n x="448"/>
        <n x="493"/>
      </t>
    </mdx>
    <mdx n="508" f="v">
      <t c="3" si="4">
        <n x="509"/>
        <n x="349"/>
        <n x="493"/>
      </t>
    </mdx>
    <mdx n="508" f="v">
      <t c="3" si="4">
        <n x="509"/>
        <n x="251"/>
        <n x="493"/>
      </t>
    </mdx>
    <mdx n="508" f="v">
      <t c="3" si="4">
        <n x="509"/>
        <n x="316"/>
        <n x="493"/>
      </t>
    </mdx>
    <mdx n="508" f="v">
      <t c="3" si="4">
        <n x="509"/>
        <n x="185"/>
        <n x="493"/>
      </t>
    </mdx>
    <mdx n="508" f="v">
      <t c="3" si="4">
        <n x="509"/>
        <n x="457"/>
        <n x="494"/>
      </t>
    </mdx>
    <mdx n="508" f="v">
      <t c="3" si="4">
        <n x="509"/>
        <n x="368"/>
        <n x="494"/>
      </t>
    </mdx>
    <mdx n="508" f="v">
      <t c="3" si="4">
        <n x="509"/>
        <n x="256"/>
        <n x="494"/>
      </t>
    </mdx>
    <mdx n="508" f="v">
      <t c="3" si="4">
        <n x="509"/>
        <n x="162"/>
        <n x="494"/>
      </t>
    </mdx>
    <mdx n="508" f="v">
      <t c="3" si="4">
        <n x="509"/>
        <n x="154"/>
        <n x="494"/>
      </t>
    </mdx>
    <mdx n="508" f="v">
      <t c="3" si="4">
        <n x="509"/>
        <n x="153"/>
        <n x="494"/>
      </t>
    </mdx>
    <mdx n="508" f="v">
      <t c="3" si="4">
        <n x="509"/>
        <n x="215"/>
        <n x="494"/>
      </t>
    </mdx>
    <mdx n="508" f="v">
      <t c="3" si="4">
        <n x="509"/>
        <n x="65"/>
        <n x="495"/>
      </t>
    </mdx>
    <mdx n="508" f="v">
      <t c="3" si="4">
        <n x="509"/>
        <n x="33"/>
        <n x="495"/>
      </t>
    </mdx>
    <mdx n="508" f="v">
      <t c="3" si="4">
        <n x="509"/>
        <n x="443"/>
        <n x="488"/>
      </t>
    </mdx>
    <mdx n="508" f="v">
      <t c="3" si="4">
        <n x="509"/>
        <n x="426"/>
        <n x="486"/>
      </t>
    </mdx>
    <mdx n="508" f="v">
      <t c="3" si="4">
        <n x="509"/>
        <n x="373"/>
        <n x="489"/>
      </t>
    </mdx>
    <mdx n="508" f="v">
      <t c="3" si="4">
        <n x="509"/>
        <n x="318"/>
        <n x="490"/>
      </t>
    </mdx>
    <mdx n="508" f="v">
      <t c="3" si="4">
        <n x="509"/>
        <n x="198"/>
        <n x="492"/>
      </t>
    </mdx>
    <mdx n="508" f="v">
      <t c="3" si="4">
        <n x="509"/>
        <n x="243"/>
        <n x="493"/>
      </t>
    </mdx>
    <mdx n="508" f="v">
      <t c="3" si="4">
        <n x="509"/>
        <n x="461"/>
        <n x="493"/>
      </t>
    </mdx>
    <mdx n="508" f="v">
      <t c="3" si="4">
        <n x="509"/>
        <n x="22"/>
        <n x="494"/>
      </t>
    </mdx>
    <mdx n="508" f="v">
      <t c="3" si="4">
        <n x="509"/>
        <n x="184"/>
        <n x="494"/>
      </t>
    </mdx>
    <mdx n="508" f="v">
      <t c="3" si="4">
        <n x="509"/>
        <n x="447"/>
        <n x="494"/>
      </t>
    </mdx>
    <mdx n="508" f="v">
      <t c="3" si="4">
        <n x="509"/>
        <n x="32"/>
        <n x="494"/>
      </t>
    </mdx>
    <mdx n="508" f="v">
      <t c="3" si="4">
        <n x="509"/>
        <n x="424"/>
        <n x="494"/>
      </t>
    </mdx>
    <mdx n="508" f="v">
      <t c="3" si="4">
        <n x="509"/>
        <n x="270"/>
        <n x="495"/>
      </t>
    </mdx>
    <mdx n="508" f="v">
      <t c="3" si="4">
        <n x="509"/>
        <n x="234"/>
        <n x="495"/>
      </t>
    </mdx>
    <mdx n="508" f="v">
      <t c="3" si="4">
        <n x="509"/>
        <n x="193"/>
        <n x="495"/>
      </t>
    </mdx>
    <mdx n="508" f="v">
      <t c="3" si="4">
        <n x="509"/>
        <n x="72"/>
        <n x="495"/>
      </t>
    </mdx>
    <mdx n="508" f="v">
      <t c="3" si="4">
        <n x="509"/>
        <n x="317"/>
        <n x="495"/>
      </t>
    </mdx>
    <mdx n="508" f="v">
      <t c="3" si="4">
        <n x="509"/>
        <n x="430"/>
        <n x="495"/>
      </t>
    </mdx>
    <mdx n="508" f="v">
      <t c="3" si="4">
        <n x="509"/>
        <n x="398"/>
        <n x="495"/>
      </t>
    </mdx>
    <mdx n="508" f="v">
      <t c="3" si="4">
        <n x="509"/>
        <n x="122"/>
        <n x="495"/>
      </t>
    </mdx>
    <mdx n="508" f="v">
      <t c="3" si="4">
        <n x="509"/>
        <n x="153"/>
        <n x="488"/>
      </t>
    </mdx>
    <mdx n="508" f="v">
      <t c="3" si="4">
        <n x="509"/>
        <n x="265"/>
        <n x="490"/>
      </t>
    </mdx>
    <mdx n="508" f="v">
      <t c="3" si="4">
        <n x="509"/>
        <n x="199"/>
        <n x="491"/>
      </t>
    </mdx>
    <mdx n="508" f="v">
      <t c="3" si="4">
        <n x="509"/>
        <n x="107"/>
        <n x="489"/>
      </t>
    </mdx>
    <mdx n="508" f="v">
      <t c="3" si="4">
        <n x="509"/>
        <n x="422"/>
        <n x="492"/>
      </t>
    </mdx>
    <mdx n="508" f="v">
      <t c="3" si="4">
        <n x="509"/>
        <n x="375"/>
        <n x="492"/>
      </t>
    </mdx>
    <mdx n="508" f="v">
      <t c="3" si="4">
        <n x="509"/>
        <n x="92"/>
        <n x="493"/>
      </t>
    </mdx>
    <mdx n="508" f="v">
      <t c="3" si="4">
        <n x="509"/>
        <n x="273"/>
        <n x="494"/>
      </t>
    </mdx>
    <mdx n="508" f="v">
      <t c="3" si="4">
        <n x="509"/>
        <n x="391"/>
        <n x="494"/>
      </t>
    </mdx>
    <mdx n="508" f="v">
      <t c="3" si="4">
        <n x="509"/>
        <n x="98"/>
        <n x="494"/>
      </t>
    </mdx>
    <mdx n="508" f="v">
      <t c="3" si="4">
        <n x="509"/>
        <n x="61"/>
        <n x="494"/>
      </t>
    </mdx>
    <mdx n="508" f="v">
      <t c="3" si="4">
        <n x="509"/>
        <n x="254"/>
        <n x="494"/>
      </t>
    </mdx>
    <mdx n="508" f="v">
      <t c="3" si="4">
        <n x="509"/>
        <n x="31"/>
        <n x="495"/>
      </t>
    </mdx>
    <mdx n="508" f="v">
      <t c="3" si="4">
        <n x="509"/>
        <n x="418"/>
        <n x="495"/>
      </t>
    </mdx>
    <mdx n="508" f="v">
      <t c="3" si="4">
        <n x="509"/>
        <n x="385"/>
        <n x="495"/>
      </t>
    </mdx>
    <mdx n="508" f="v">
      <t c="3" si="4">
        <n x="509"/>
        <n x="92"/>
        <n x="495"/>
      </t>
    </mdx>
    <mdx n="508" f="v">
      <t c="3" si="4">
        <n x="509"/>
        <n x="334"/>
        <n x="495"/>
      </t>
    </mdx>
    <mdx n="508" f="v">
      <t c="3" si="4">
        <n x="509"/>
        <n x="308"/>
        <n x="495"/>
      </t>
    </mdx>
    <mdx n="508" f="v">
      <t c="3" si="4">
        <n x="509"/>
        <n x="451"/>
        <n x="495"/>
      </t>
    </mdx>
    <mdx n="508" f="v">
      <t c="3" si="4">
        <n x="509"/>
        <n x="154"/>
        <n x="495"/>
      </t>
    </mdx>
    <mdx n="508" f="v">
      <t c="3" si="4">
        <n x="509"/>
        <n x="451"/>
        <n x="486"/>
      </t>
    </mdx>
    <mdx n="508" f="v">
      <t c="3" si="4">
        <n x="509"/>
        <n x="39"/>
        <n x="489"/>
      </t>
    </mdx>
    <mdx n="508" f="v">
      <t c="3" si="4">
        <n x="509"/>
        <n x="18"/>
        <n x="489"/>
      </t>
    </mdx>
    <mdx n="508" f="v">
      <t c="3" si="4">
        <n x="509"/>
        <n x="463"/>
        <n x="490"/>
      </t>
    </mdx>
    <mdx n="508" f="v">
      <t c="3" si="4">
        <n x="509"/>
        <n x="82"/>
        <n x="490"/>
      </t>
    </mdx>
    <mdx n="508" f="v">
      <t c="3" si="4">
        <n x="509"/>
        <n x="54"/>
        <n x="492"/>
      </t>
    </mdx>
    <mdx n="508" f="v">
      <t c="3" si="4">
        <n x="509"/>
        <n x="77"/>
        <n x="492"/>
      </t>
    </mdx>
    <mdx n="508" f="v">
      <t c="3" si="4">
        <n x="509"/>
        <n x="323"/>
        <n x="493"/>
      </t>
    </mdx>
    <mdx n="508" f="v">
      <t c="3" si="4">
        <n x="509"/>
        <n x="117"/>
        <n x="493"/>
      </t>
    </mdx>
    <mdx n="508" f="v">
      <t c="3" si="4">
        <n x="509"/>
        <n x="221"/>
        <n x="494"/>
      </t>
    </mdx>
    <mdx n="508" f="v">
      <t c="3" si="4">
        <n x="509"/>
        <n x="29"/>
        <n x="494"/>
      </t>
    </mdx>
    <mdx n="508" f="v">
      <t c="3" si="4">
        <n x="509"/>
        <n x="373"/>
        <n x="494"/>
      </t>
    </mdx>
    <mdx n="508" f="v">
      <t c="3" si="4">
        <n x="509"/>
        <n x="395"/>
        <n x="494"/>
      </t>
    </mdx>
    <mdx n="508" f="v">
      <t c="3" si="4">
        <n x="509"/>
        <n x="172"/>
        <n x="495"/>
      </t>
    </mdx>
    <mdx n="508" f="v">
      <t c="3" si="4">
        <n x="509"/>
        <n x="305"/>
        <n x="495"/>
      </t>
    </mdx>
    <mdx n="508" f="v">
      <t c="3" si="4">
        <n x="509"/>
        <n x="256"/>
        <n x="495"/>
      </t>
    </mdx>
    <mdx n="508" f="v">
      <t c="3" si="4">
        <n x="509"/>
        <n x="128"/>
        <n x="495"/>
      </t>
    </mdx>
    <mdx n="508" f="v">
      <t c="3" si="4">
        <n x="509"/>
        <n x="433"/>
        <n x="495"/>
      </t>
    </mdx>
    <mdx n="508" f="v">
      <t c="3" si="4">
        <n x="509"/>
        <n x="236"/>
        <n x="495"/>
      </t>
    </mdx>
    <mdx n="508" f="v">
      <t c="3" si="4">
        <n x="509"/>
        <n x="289"/>
        <n x="495"/>
      </t>
    </mdx>
    <mdx n="508" f="v">
      <t c="3" si="4">
        <n x="509"/>
        <n x="67"/>
        <n x="488"/>
      </t>
    </mdx>
    <mdx n="508" f="v">
      <t c="3" si="4">
        <n x="509"/>
        <n x="103"/>
        <n x="489"/>
      </t>
    </mdx>
    <mdx n="508" f="v">
      <t c="3" si="4">
        <n x="509"/>
        <n x="81"/>
        <n x="489"/>
      </t>
    </mdx>
    <mdx n="508" f="v">
      <t c="3" si="4">
        <n x="509"/>
        <n x="202"/>
        <n x="490"/>
      </t>
    </mdx>
    <mdx n="508" f="v">
      <t c="3" si="4">
        <n x="509"/>
        <n x="319"/>
        <n x="490"/>
      </t>
    </mdx>
    <mdx n="508" f="v">
      <t c="3" si="4">
        <n x="509"/>
        <n x="157"/>
        <n x="492"/>
      </t>
    </mdx>
    <mdx n="508" f="v">
      <t c="3" si="4">
        <n x="509"/>
        <n x="293"/>
        <n x="492"/>
      </t>
    </mdx>
    <mdx n="508" f="v">
      <t c="3" si="4">
        <n x="509"/>
        <n x="138"/>
        <n x="492"/>
      </t>
    </mdx>
    <mdx n="508" f="v">
      <t c="3" si="4">
        <n x="509"/>
        <n x="324"/>
        <n x="481"/>
      </t>
    </mdx>
    <mdx n="508" f="v">
      <t c="3" si="4">
        <n x="509"/>
        <n x="229"/>
        <n x="487"/>
      </t>
    </mdx>
    <mdx n="508" f="v">
      <t c="3" si="4">
        <n x="509"/>
        <n x="102"/>
        <n x="484"/>
      </t>
    </mdx>
    <mdx n="508" f="v">
      <t c="3" si="4">
        <n x="509"/>
        <n x="382"/>
        <n x="489"/>
      </t>
    </mdx>
    <mdx n="508" f="v">
      <t c="3" si="4">
        <n x="509"/>
        <n x="45"/>
        <n x="483"/>
      </t>
    </mdx>
    <mdx n="508" f="v">
      <t c="3" si="4">
        <n x="509"/>
        <n x="149"/>
        <n x="483"/>
      </t>
    </mdx>
    <mdx n="508" f="v">
      <t c="3" si="4">
        <n x="509"/>
        <n x="164"/>
        <n x="487"/>
      </t>
    </mdx>
    <mdx n="508" f="v">
      <t c="3" si="4">
        <n x="509"/>
        <n x="435"/>
        <n x="488"/>
      </t>
    </mdx>
    <mdx n="508" f="v">
      <t c="3" si="4">
        <n x="509"/>
        <n x="101"/>
        <n x="483"/>
      </t>
    </mdx>
    <mdx n="508" f="v">
      <t c="3" si="4">
        <n x="509"/>
        <n x="88"/>
        <n x="490"/>
      </t>
    </mdx>
    <mdx n="508" f="v">
      <t c="3" si="4">
        <n x="509"/>
        <n x="33"/>
        <n x="481"/>
      </t>
    </mdx>
    <mdx n="508" f="v">
      <t c="3" si="4">
        <n x="509"/>
        <n x="169"/>
        <n x="490"/>
      </t>
    </mdx>
    <mdx n="508" f="v">
      <t c="3" si="4">
        <n x="509"/>
        <n x="356"/>
        <n x="491"/>
      </t>
    </mdx>
    <mdx n="508" f="v">
      <t c="3" si="4">
        <n x="509"/>
        <n x="202"/>
        <n x="484"/>
      </t>
    </mdx>
    <mdx n="508" f="v">
      <t c="3" si="4">
        <n x="509"/>
        <n x="396"/>
        <n x="490"/>
      </t>
    </mdx>
    <mdx n="508" f="v">
      <t c="3" si="4">
        <n x="509"/>
        <n x="239"/>
        <n x="491"/>
      </t>
    </mdx>
    <mdx n="508" f="v">
      <t c="3" si="4">
        <n x="509"/>
        <n x="242"/>
        <n x="487"/>
      </t>
    </mdx>
    <mdx n="508" f="v">
      <t c="3" si="4">
        <n x="509"/>
        <n x="96"/>
        <n x="490"/>
      </t>
    </mdx>
    <mdx n="508" f="v">
      <t c="3" si="4">
        <n x="509"/>
        <n x="34"/>
        <n x="489"/>
      </t>
    </mdx>
    <mdx n="508" f="v">
      <t c="3" si="4">
        <n x="509"/>
        <n x="163"/>
        <n x="488"/>
      </t>
    </mdx>
    <mdx n="508" f="v">
      <t c="3" si="4">
        <n x="509"/>
        <n x="114"/>
        <n x="490"/>
      </t>
    </mdx>
    <mdx n="508" f="v">
      <t c="3" si="4">
        <n x="509"/>
        <n x="358"/>
        <n x="490"/>
      </t>
    </mdx>
    <mdx n="508" f="v">
      <t c="3" si="4">
        <n x="509"/>
        <n x="363"/>
        <n x="489"/>
      </t>
    </mdx>
    <mdx n="508" f="v">
      <t c="3" si="4">
        <n x="509"/>
        <n x="357"/>
        <n x="491"/>
      </t>
    </mdx>
    <mdx n="508" f="v">
      <t c="3" si="4">
        <n x="509"/>
        <n x="341"/>
        <n x="491"/>
      </t>
    </mdx>
    <mdx n="508" f="v">
      <t c="3" si="4">
        <n x="509"/>
        <n x="199"/>
        <n x="489"/>
      </t>
    </mdx>
    <mdx n="508" f="v">
      <t c="3" si="4">
        <n x="509"/>
        <n x="15"/>
        <n x="491"/>
      </t>
    </mdx>
    <mdx n="508" f="v">
      <t c="3" si="4">
        <n x="509"/>
        <n x="296"/>
        <n x="492"/>
      </t>
    </mdx>
    <mdx n="508" f="v">
      <t c="3" si="4">
        <n x="509"/>
        <n x="119"/>
        <n x="492"/>
      </t>
    </mdx>
    <mdx n="508" f="v">
      <t c="3" si="4">
        <n x="509"/>
        <n x="311"/>
        <n x="492"/>
      </t>
    </mdx>
    <mdx n="508" f="v">
      <t c="3" si="4">
        <n x="509"/>
        <n x="290"/>
        <n x="492"/>
      </t>
    </mdx>
    <mdx n="508" f="v">
      <t c="3" si="4">
        <n x="509"/>
        <n x="464"/>
        <n x="492"/>
      </t>
    </mdx>
    <mdx n="508" f="v">
      <t c="3" si="4">
        <n x="509"/>
        <n x="409"/>
        <n x="492"/>
      </t>
    </mdx>
    <mdx n="508" f="v">
      <t c="3" si="4">
        <n x="509"/>
        <n x="327"/>
        <n x="493"/>
      </t>
    </mdx>
    <mdx n="508" f="v">
      <t c="3" si="4">
        <n x="509"/>
        <n x="382"/>
        <n x="493"/>
      </t>
    </mdx>
    <mdx n="508" f="v">
      <t c="3" si="4">
        <n x="509"/>
        <n x="41"/>
        <n x="493"/>
      </t>
    </mdx>
    <mdx n="508" f="v">
      <t c="3" si="4">
        <n x="509"/>
        <n x="65"/>
        <n x="493"/>
      </t>
    </mdx>
    <mdx n="508" f="v">
      <t c="3" si="4">
        <n x="509"/>
        <n x="104"/>
        <n x="493"/>
      </t>
    </mdx>
    <mdx n="508" f="v">
      <t c="3" si="4">
        <n x="509"/>
        <n x="190"/>
        <n x="494"/>
      </t>
    </mdx>
    <mdx n="508" f="v">
      <t c="3" si="4">
        <n x="509"/>
        <n x="133"/>
        <n x="494"/>
      </t>
    </mdx>
    <mdx n="508" f="v">
      <t c="3" si="4">
        <n x="509"/>
        <n x="70"/>
        <n x="494"/>
      </t>
    </mdx>
    <mdx n="508" f="v">
      <t c="3" si="4">
        <n x="509"/>
        <n x="411"/>
        <n x="494"/>
      </t>
    </mdx>
    <mdx n="508" f="v">
      <t c="3" si="4">
        <n x="509"/>
        <n x="216"/>
        <n x="494"/>
      </t>
    </mdx>
    <mdx n="508" f="v">
      <t c="3" si="4">
        <n x="509"/>
        <n x="121"/>
        <n x="494"/>
      </t>
    </mdx>
    <mdx n="508" f="v">
      <t c="3" si="4">
        <n x="509"/>
        <n x="330"/>
        <n x="495"/>
      </t>
    </mdx>
    <mdx n="508" f="v">
      <t c="3" si="4">
        <n x="509"/>
        <n x="440"/>
        <n x="488"/>
      </t>
    </mdx>
    <mdx n="508" f="v">
      <t c="3" si="4">
        <n x="509"/>
        <n x="461"/>
        <n x="484"/>
      </t>
    </mdx>
    <mdx n="508" f="v">
      <t c="3" si="4">
        <n x="509"/>
        <n x="314"/>
        <n x="489"/>
      </t>
    </mdx>
    <mdx n="508" f="v">
      <t c="3" si="4">
        <n x="509"/>
        <n x="386"/>
        <n x="483"/>
      </t>
    </mdx>
    <mdx n="508" f="v">
      <t c="3" si="4">
        <n x="509"/>
        <n x="18"/>
        <n x="483"/>
      </t>
    </mdx>
    <mdx n="508" f="v">
      <t c="3" si="4">
        <n x="509"/>
        <n x="34"/>
        <n x="487"/>
      </t>
    </mdx>
    <mdx n="508" f="v">
      <t c="3" si="4">
        <n x="509"/>
        <n x="131"/>
        <n x="488"/>
      </t>
    </mdx>
    <mdx n="508" f="v">
      <t c="3" si="4">
        <n x="509"/>
        <n x="421"/>
        <n x="483"/>
      </t>
    </mdx>
    <mdx n="508" f="v">
      <t c="3" si="4">
        <n x="509"/>
        <n x="132"/>
        <n x="490"/>
      </t>
    </mdx>
    <mdx n="508" f="v">
      <t c="3" si="4">
        <n x="509"/>
        <n x="254"/>
        <n x="481"/>
      </t>
    </mdx>
    <mdx n="508" f="v">
      <t c="3" si="4">
        <n x="509"/>
        <n x="187"/>
        <n x="490"/>
      </t>
    </mdx>
    <mdx n="508" f="v">
      <t c="3" si="4">
        <n x="509"/>
        <n x="301"/>
        <n x="491"/>
      </t>
    </mdx>
    <mdx n="508" f="v">
      <t c="3" si="4">
        <n x="509"/>
        <n x="353"/>
        <n x="490"/>
      </t>
    </mdx>
    <mdx n="508" f="v">
      <t c="3" si="4">
        <n x="509"/>
        <n x="33"/>
        <n x="488"/>
      </t>
    </mdx>
    <mdx n="508" f="v">
      <t c="3" si="4">
        <n x="509"/>
        <n x="102"/>
        <n x="490"/>
      </t>
    </mdx>
    <mdx n="508" f="v">
      <t c="3" si="4">
        <n x="509"/>
        <n x="211"/>
        <n x="491"/>
      </t>
    </mdx>
    <mdx n="508" f="v">
      <t c="3" si="4">
        <n x="509"/>
        <n x="315"/>
        <n x="480"/>
      </t>
    </mdx>
    <mdx n="508" f="v">
      <t c="3" si="4">
        <n x="509"/>
        <n x="281"/>
        <n x="489"/>
      </t>
    </mdx>
    <mdx n="508" f="v">
      <t c="3" si="4">
        <n x="509"/>
        <n x="176"/>
        <n x="490"/>
      </t>
    </mdx>
    <mdx n="508" f="v">
      <t c="3" si="4">
        <n x="509"/>
        <n x="388"/>
        <n x="491"/>
      </t>
    </mdx>
    <mdx n="508" f="v">
      <t c="3" si="4">
        <n x="509"/>
        <n x="433"/>
        <n x="483"/>
      </t>
    </mdx>
    <mdx n="508" f="v">
      <t c="3" si="4">
        <n x="509"/>
        <n x="105"/>
        <n x="489"/>
      </t>
    </mdx>
    <mdx n="508" f="v">
      <t c="3" si="4">
        <n x="509"/>
        <n x="375"/>
        <n x="490"/>
      </t>
    </mdx>
    <mdx n="508" f="v">
      <t c="3" si="4">
        <n x="509"/>
        <n x="104"/>
        <n x="491"/>
      </t>
    </mdx>
    <mdx n="508" f="v">
      <t c="3" si="4">
        <n x="509"/>
        <n x="377"/>
        <n x="484"/>
      </t>
    </mdx>
    <mdx n="508" f="v">
      <t c="3" si="4">
        <n x="509"/>
        <n x="371"/>
        <n x="489"/>
      </t>
    </mdx>
    <mdx n="508" f="v">
      <t c="3" si="4">
        <n x="509"/>
        <n x="259"/>
        <n x="491"/>
      </t>
    </mdx>
    <mdx n="508" f="v">
      <t c="3" si="4">
        <n x="509"/>
        <n x="399"/>
        <n x="489"/>
      </t>
    </mdx>
    <mdx n="508" f="v">
      <t c="3" si="4">
        <n x="509"/>
        <n x="230"/>
        <n x="486"/>
      </t>
    </mdx>
    <mdx n="508" f="v">
      <t c="3" si="4">
        <n x="509"/>
        <n x="407"/>
        <n x="490"/>
      </t>
    </mdx>
    <mdx n="508" f="v">
      <t c="3" si="4">
        <n x="509"/>
        <n x="75"/>
        <n x="491"/>
      </t>
    </mdx>
    <mdx n="508" f="v">
      <t c="3" si="4">
        <n x="509"/>
        <n x="180"/>
        <n x="491"/>
      </t>
    </mdx>
    <mdx n="508" f="v">
      <t c="3" si="4">
        <n x="509"/>
        <n x="369"/>
        <n x="492"/>
      </t>
    </mdx>
    <mdx n="508" f="v">
      <t c="3" si="4">
        <n x="509"/>
        <n x="450"/>
        <n x="492"/>
      </t>
    </mdx>
    <mdx n="508" f="v">
      <t c="3" si="4">
        <n x="509"/>
        <n x="99"/>
        <n x="492"/>
      </t>
    </mdx>
    <mdx n="508" f="v">
      <t c="3" si="4">
        <n x="509"/>
        <n x="258"/>
        <n x="492"/>
      </t>
    </mdx>
    <mdx n="508" f="v">
      <t c="3" si="4">
        <n x="509"/>
        <n x="106"/>
        <n x="492"/>
      </t>
    </mdx>
    <mdx n="508" f="v">
      <t c="3" si="4">
        <n x="509"/>
        <n x="346"/>
        <n x="492"/>
      </t>
    </mdx>
    <mdx n="508" f="v">
      <t c="3" si="4">
        <n x="509"/>
        <n x="338"/>
        <n x="492"/>
      </t>
    </mdx>
    <mdx n="508" f="v">
      <t c="3" si="4">
        <n x="509"/>
        <n x="440"/>
        <n x="493"/>
      </t>
    </mdx>
    <mdx n="508" f="v">
      <t c="3" si="4">
        <n x="509"/>
        <n x="285"/>
        <n x="493"/>
      </t>
    </mdx>
    <mdx n="508" f="v">
      <t c="3" si="4">
        <n x="509"/>
        <n x="354"/>
        <n x="493"/>
      </t>
    </mdx>
    <mdx n="508" f="v">
      <t c="3" si="4">
        <n x="509"/>
        <n x="264"/>
        <n x="493"/>
      </t>
    </mdx>
    <mdx n="508" f="v">
      <t c="3" si="4">
        <n x="509"/>
        <n x="127"/>
        <n x="493"/>
      </t>
    </mdx>
    <mdx n="508" f="v">
      <t c="3" si="4">
        <n x="509"/>
        <n x="82"/>
        <n x="493"/>
      </t>
    </mdx>
    <mdx n="508" f="v">
      <t c="3" si="4">
        <n x="509"/>
        <n x="188"/>
        <n x="493"/>
      </t>
    </mdx>
    <mdx n="508" f="v">
      <t c="3" si="4">
        <n x="509"/>
        <n x="187"/>
        <n x="494"/>
      </t>
    </mdx>
    <mdx n="508" f="v">
      <t c="3" si="4">
        <n x="509"/>
        <n x="189"/>
        <n x="494"/>
      </t>
    </mdx>
    <mdx n="508" f="v">
      <t c="3" si="4">
        <n x="509"/>
        <n x="231"/>
        <n x="494"/>
      </t>
    </mdx>
    <mdx n="508" f="v">
      <t c="3" si="4">
        <n x="509"/>
        <n x="74"/>
        <n x="480"/>
      </t>
    </mdx>
    <mdx n="508" f="v">
      <t c="3" si="4">
        <n x="509"/>
        <n x="262"/>
        <n x="482"/>
      </t>
    </mdx>
    <mdx n="508" f="v">
      <t c="3" si="4">
        <n x="509"/>
        <n x="385"/>
        <n x="483"/>
      </t>
    </mdx>
    <mdx n="508" f="v">
      <t c="3" si="4">
        <n x="509"/>
        <n x="57"/>
        <n x="484"/>
      </t>
    </mdx>
    <mdx n="508" f="v">
      <t c="3" si="4">
        <n x="509"/>
        <n x="305"/>
        <n x="486"/>
      </t>
    </mdx>
    <mdx n="508" f="v">
      <t c="3" si="4">
        <n x="509"/>
        <n x="151"/>
        <n x="486"/>
      </t>
    </mdx>
    <mdx n="508" f="v">
      <t c="3" si="4">
        <n x="509"/>
        <n x="373"/>
        <n x="486"/>
      </t>
    </mdx>
    <mdx n="508" f="v">
      <t c="3" si="4">
        <n x="509"/>
        <n x="389"/>
        <n x="483"/>
      </t>
    </mdx>
    <mdx n="508" f="v">
      <t c="3" si="4">
        <n x="509"/>
        <n x="435"/>
        <n x="486"/>
      </t>
    </mdx>
    <mdx n="508" f="v">
      <t c="3" si="4">
        <n x="509"/>
        <n x="11"/>
        <n x="488"/>
      </t>
    </mdx>
    <mdx n="508" f="v">
      <t c="3" si="4">
        <n x="509"/>
        <n x="442"/>
        <n x="489"/>
      </t>
    </mdx>
    <mdx n="508" f="v">
      <t c="3" si="4">
        <n x="509"/>
        <n x="420"/>
        <n x="483"/>
      </t>
    </mdx>
    <mdx n="508" f="v">
      <t c="3" si="4">
        <n x="509"/>
        <n x="260"/>
        <n x="489"/>
      </t>
    </mdx>
    <mdx n="508" f="v">
      <t c="3" si="4">
        <n x="509"/>
        <n x="201"/>
        <n x="491"/>
      </t>
    </mdx>
    <mdx n="508" f="v">
      <t c="3" si="4">
        <n x="509"/>
        <n x="314"/>
        <n x="485"/>
      </t>
    </mdx>
    <mdx n="508" f="v">
      <t c="3" si="4">
        <n x="509"/>
        <n x="45"/>
        <n x="490"/>
      </t>
    </mdx>
    <mdx n="508" f="v">
      <t c="3" si="4">
        <n x="509"/>
        <n x="167"/>
        <n x="491"/>
      </t>
    </mdx>
    <mdx n="508" f="v">
      <t c="3" si="4">
        <n x="509"/>
        <n x="298"/>
        <n x="490"/>
      </t>
    </mdx>
    <mdx n="508" f="v">
      <t c="3" si="4">
        <n x="509"/>
        <n x="312"/>
        <n x="488"/>
      </t>
    </mdx>
    <mdx n="508" f="v">
      <t c="3" si="4">
        <n x="509"/>
        <n x="79"/>
        <n x="490"/>
      </t>
    </mdx>
    <mdx n="508" f="v">
      <t c="3" si="4">
        <n x="509"/>
        <n x="64"/>
        <n x="491"/>
      </t>
    </mdx>
    <mdx n="508" f="v">
      <t c="3" si="4">
        <n x="509"/>
        <n x="241"/>
        <n x="481"/>
      </t>
    </mdx>
    <mdx n="508" f="v">
      <t c="3" si="4">
        <n x="509"/>
        <n x="75"/>
        <n x="489"/>
      </t>
    </mdx>
    <mdx n="508" f="v">
      <t c="3" si="4">
        <n x="509"/>
        <n x="447"/>
        <n x="490"/>
      </t>
    </mdx>
    <mdx n="508" f="v">
      <t c="3" si="4">
        <n x="509"/>
        <n x="95"/>
        <n x="491"/>
      </t>
    </mdx>
    <mdx n="508" f="v">
      <t c="3" si="4">
        <n x="509"/>
        <n x="329"/>
        <n x="483"/>
      </t>
    </mdx>
    <mdx n="508" f="v">
      <t c="3" si="4">
        <n x="509"/>
        <n x="203"/>
        <n x="489"/>
      </t>
    </mdx>
    <mdx n="508" f="v">
      <t c="3" si="4">
        <n x="509"/>
        <n x="289"/>
        <n x="491"/>
      </t>
    </mdx>
    <mdx n="508" f="v">
      <t c="3" si="4">
        <n x="509"/>
        <n x="73"/>
        <n x="491"/>
      </t>
    </mdx>
    <mdx n="508" f="v">
      <t c="3" si="4">
        <n x="509"/>
        <n x="454"/>
        <n x="484"/>
      </t>
    </mdx>
    <mdx n="508" f="v">
      <t c="3" si="4">
        <n x="509"/>
        <n x="50"/>
        <n x="489"/>
      </t>
    </mdx>
    <mdx n="508" f="v">
      <t c="3" si="4">
        <n x="509"/>
        <n x="459"/>
        <n x="491"/>
      </t>
    </mdx>
    <mdx n="508" f="v">
      <t c="3" si="4">
        <n x="509"/>
        <n x="61"/>
        <n x="489"/>
      </t>
    </mdx>
    <mdx n="508" f="v">
      <t c="3" si="4">
        <n x="509"/>
        <n x="460"/>
        <n x="486"/>
      </t>
    </mdx>
    <mdx n="508" f="v">
      <t c="3" si="4">
        <n x="509"/>
        <n x="225"/>
        <n x="490"/>
      </t>
    </mdx>
    <mdx n="508" f="v">
      <t c="3" si="4">
        <n x="509"/>
        <n x="184"/>
        <n x="491"/>
      </t>
    </mdx>
    <mdx n="508" f="v">
      <t c="3" si="4">
        <n x="509"/>
        <n x="173"/>
        <n x="491"/>
      </t>
    </mdx>
    <mdx n="508" f="v">
      <t c="3" si="4">
        <n x="509"/>
        <n x="368"/>
        <n x="492"/>
      </t>
    </mdx>
    <mdx n="508" f="v">
      <t c="3" si="4">
        <n x="509"/>
        <n x="187"/>
        <n x="492"/>
      </t>
    </mdx>
    <mdx n="508" f="v">
      <t c="3" si="4">
        <n x="509"/>
        <n x="93"/>
        <n x="492"/>
      </t>
    </mdx>
    <mdx n="508" f="v">
      <t c="3" si="4">
        <n x="509"/>
        <n x="463"/>
        <n x="492"/>
      </t>
    </mdx>
    <mdx n="508" f="v">
      <t c="3" si="4">
        <n x="509"/>
        <n x="218"/>
        <n x="492"/>
      </t>
    </mdx>
    <mdx n="508" f="v">
      <t c="3" si="4">
        <n x="509"/>
        <n x="261"/>
        <n x="492"/>
      </t>
    </mdx>
    <mdx n="508" f="v">
      <t c="3" si="4">
        <n x="509"/>
        <n x="135"/>
        <n x="492"/>
      </t>
    </mdx>
    <mdx n="508" f="v">
      <t c="3" si="4">
        <n x="509"/>
        <n x="270"/>
        <n x="493"/>
      </t>
    </mdx>
    <mdx n="508" f="v">
      <t c="3" si="4">
        <n x="509"/>
        <n x="284"/>
        <n x="493"/>
      </t>
    </mdx>
    <mdx n="508" f="v">
      <t c="3" si="4">
        <n x="509"/>
        <n x="269"/>
        <n x="493"/>
      </t>
    </mdx>
    <mdx n="508" f="v">
      <t c="3" si="4">
        <n x="509"/>
        <n x="345"/>
        <n x="493"/>
      </t>
    </mdx>
    <mdx n="508" f="v">
      <t c="3" si="4">
        <n x="509"/>
        <n x="237"/>
        <n x="493"/>
      </t>
    </mdx>
    <mdx n="508" f="v">
      <t c="3" si="4">
        <n x="509"/>
        <n x="77"/>
        <n x="493"/>
      </t>
    </mdx>
    <mdx n="508" f="v">
      <t c="3" si="4">
        <n x="509"/>
        <n x="357"/>
        <n x="493"/>
      </t>
    </mdx>
    <mdx n="508" f="v">
      <t c="3" si="4">
        <n x="509"/>
        <n x="443"/>
        <n x="494"/>
      </t>
    </mdx>
    <mdx n="508" f="v">
      <t c="3" si="4">
        <n x="509"/>
        <n x="359"/>
        <n x="494"/>
      </t>
    </mdx>
    <mdx n="508" f="v">
      <t c="3" si="4">
        <n x="509"/>
        <n x="20"/>
        <n x="494"/>
      </t>
    </mdx>
    <mdx n="508" f="v">
      <t c="3" si="4">
        <n x="509"/>
        <n x="422"/>
        <n x="481"/>
      </t>
    </mdx>
    <mdx n="508" f="v">
      <t c="3" si="4">
        <n x="509"/>
        <n x="77"/>
        <n x="482"/>
      </t>
    </mdx>
    <mdx n="508" f="v">
      <t c="3" si="4">
        <n x="509"/>
        <n x="141"/>
        <n x="483"/>
      </t>
    </mdx>
    <mdx n="508" f="v">
      <t c="3" si="4">
        <n x="509"/>
        <n x="31"/>
        <n x="484"/>
      </t>
    </mdx>
    <mdx n="508" f="v">
      <t c="3" si="4">
        <n x="509"/>
        <n x="93"/>
        <n x="486"/>
      </t>
    </mdx>
    <mdx n="508" f="v">
      <t c="3" si="4">
        <n x="509"/>
        <n x="42"/>
        <n x="486"/>
      </t>
    </mdx>
    <mdx n="508" f="v">
      <t c="3" si="4">
        <n x="509"/>
        <n x="319"/>
        <n x="486"/>
      </t>
    </mdx>
    <mdx n="508" f="v">
      <t c="3" si="4">
        <n x="509"/>
        <n x="61"/>
        <n x="483"/>
      </t>
    </mdx>
    <mdx n="508" f="v">
      <t c="3" si="4">
        <n x="509"/>
        <n x="117"/>
        <n x="486"/>
      </t>
    </mdx>
    <mdx n="508" f="v">
      <t c="3" si="4">
        <n x="509"/>
        <n x="203"/>
        <n x="488"/>
      </t>
    </mdx>
    <mdx n="508" f="v">
      <t c="3" si="4">
        <n x="509"/>
        <n x="27"/>
        <n x="489"/>
      </t>
    </mdx>
    <mdx n="508" f="v">
      <t c="3" si="4">
        <n x="509"/>
        <n x="190"/>
        <n x="484"/>
      </t>
    </mdx>
    <mdx n="508" f="v">
      <t c="3" si="4">
        <n x="509"/>
        <n x="379"/>
        <n x="489"/>
      </t>
    </mdx>
    <mdx n="508" f="v">
      <t c="3" si="4">
        <n x="509"/>
        <n x="432"/>
        <n x="491"/>
      </t>
    </mdx>
    <mdx n="508" f="v">
      <t c="3" si="4">
        <n x="509"/>
        <n x="390"/>
        <n x="485"/>
      </t>
    </mdx>
    <mdx n="508" f="v">
      <t c="3" si="4">
        <n x="509"/>
        <n x="138"/>
        <n x="490"/>
      </t>
    </mdx>
    <mdx n="508" f="v">
      <t c="3" si="4">
        <n x="509"/>
        <n x="144"/>
        <n x="491"/>
      </t>
    </mdx>
    <mdx n="508" f="v">
      <t c="3" si="4">
        <n x="509"/>
        <n x="13"/>
        <n x="490"/>
      </t>
    </mdx>
    <mdx n="508" f="v">
      <t c="3" si="4">
        <n x="509"/>
        <n x="70"/>
        <n x="488"/>
      </t>
    </mdx>
    <mdx n="508" f="v">
      <t c="3" si="4">
        <n x="509"/>
        <n x="381"/>
        <n x="490"/>
      </t>
    </mdx>
    <mdx n="508" f="v">
      <t c="3" si="4">
        <n x="509"/>
        <n x="52"/>
        <n x="491"/>
      </t>
    </mdx>
    <mdx n="508" f="v">
      <t c="3" si="4">
        <n x="509"/>
        <n x="95"/>
        <n x="481"/>
      </t>
    </mdx>
    <mdx n="508" f="v">
      <t c="3" si="4">
        <n x="509"/>
        <n x="394"/>
        <n x="489"/>
      </t>
    </mdx>
    <mdx n="508" f="v">
      <t c="3" si="4">
        <n x="509"/>
        <n x="197"/>
        <n x="490"/>
      </t>
    </mdx>
    <mdx n="508" f="v">
      <t c="3" si="4">
        <n x="509"/>
        <n x="363"/>
        <n x="491"/>
      </t>
    </mdx>
    <mdx n="508" f="v">
      <t c="3" si="4">
        <n x="509"/>
        <n x="452"/>
        <n x="483"/>
      </t>
    </mdx>
    <mdx n="508" f="v">
      <t c="3" si="4">
        <n x="509"/>
        <n x="63"/>
        <n x="489"/>
      </t>
    </mdx>
    <mdx n="508" f="v">
      <t c="3" si="4">
        <n x="509"/>
        <n x="430"/>
        <n x="491"/>
      </t>
    </mdx>
    <mdx n="508" f="v">
      <t c="3" si="4">
        <n x="509"/>
        <n x="227"/>
        <n x="491"/>
      </t>
    </mdx>
    <mdx n="508" f="v">
      <t c="3" si="4">
        <n x="509"/>
        <n x="458"/>
        <n x="484"/>
      </t>
    </mdx>
    <mdx n="508" f="v">
      <t c="3" si="4">
        <n x="509"/>
        <n x="95"/>
        <n x="489"/>
      </t>
    </mdx>
    <mdx n="508" f="v">
      <t c="3" si="4">
        <n x="509"/>
        <n x="443"/>
        <n x="491"/>
      </t>
    </mdx>
    <mdx n="508" f="v">
      <t c="3" si="4">
        <n x="509"/>
        <n x="344"/>
        <n x="489"/>
      </t>
    </mdx>
    <mdx n="508" f="v">
      <t c="3" si="4">
        <n x="509"/>
        <n x="331"/>
        <n x="486"/>
      </t>
    </mdx>
    <mdx n="508" f="v">
      <t c="3" si="4">
        <n x="509"/>
        <n x="8"/>
        <n x="490"/>
      </t>
    </mdx>
    <mdx n="508" f="v">
      <t c="3" si="4">
        <n x="509"/>
        <n x="458"/>
        <n x="491"/>
      </t>
    </mdx>
    <mdx n="508" f="v">
      <t c="3" si="4">
        <n x="509"/>
        <n x="135"/>
        <n x="491"/>
      </t>
    </mdx>
    <mdx n="508" f="v">
      <t c="3" si="4">
        <n x="509"/>
        <n x="456"/>
        <n x="492"/>
      </t>
    </mdx>
    <mdx n="508" f="v">
      <t c="3" si="4">
        <n x="509"/>
        <n x="437"/>
        <n x="492"/>
      </t>
    </mdx>
    <mdx n="508" f="v">
      <t c="3" si="4">
        <n x="509"/>
        <n x="87"/>
        <n x="492"/>
      </t>
    </mdx>
    <mdx n="508" f="v">
      <t c="3" si="4">
        <n x="509"/>
        <n x="200"/>
        <n x="492"/>
      </t>
    </mdx>
    <mdx n="508" f="v">
      <t c="3" si="4">
        <n x="509"/>
        <n x="317"/>
        <n x="492"/>
      </t>
    </mdx>
    <mdx n="508" f="v">
      <t c="3" si="4">
        <n x="509"/>
        <n x="36"/>
        <n x="492"/>
      </t>
    </mdx>
    <mdx n="508" f="v">
      <t c="3" si="4">
        <n x="509"/>
        <n x="247"/>
        <n x="492"/>
      </t>
    </mdx>
    <mdx n="508" f="v">
      <t c="3" si="4">
        <n x="509"/>
        <n x="437"/>
        <n x="493"/>
      </t>
    </mdx>
    <mdx n="508" f="v">
      <t c="3" si="4">
        <n x="509"/>
        <n x="449"/>
        <n x="493"/>
      </t>
    </mdx>
    <mdx n="508" f="v">
      <t c="3" si="4">
        <n x="509"/>
        <n x="176"/>
        <n x="493"/>
      </t>
    </mdx>
    <mdx n="508" f="v">
      <t c="3" si="4">
        <n x="509"/>
        <n x="413"/>
        <n x="493"/>
      </t>
    </mdx>
    <mdx n="508" f="v">
      <t c="3" si="4">
        <n x="509"/>
        <n x="326"/>
        <n x="493"/>
      </t>
    </mdx>
    <mdx n="508" f="v">
      <t c="3" si="4">
        <n x="509"/>
        <n x="6"/>
        <n x="493"/>
      </t>
    </mdx>
    <mdx n="508" f="v">
      <t c="3" si="4">
        <n x="509"/>
        <n x="271"/>
        <n x="493"/>
      </t>
    </mdx>
    <mdx n="508" f="v">
      <t c="3" si="4">
        <n x="509"/>
        <n x="58"/>
        <n x="494"/>
      </t>
    </mdx>
    <mdx n="508" f="v">
      <t c="3" si="4">
        <n x="509"/>
        <n x="59"/>
        <n x="494"/>
      </t>
    </mdx>
    <mdx n="508" f="v">
      <t c="3" si="4">
        <n x="509"/>
        <n x="394"/>
        <n x="494"/>
      </t>
    </mdx>
    <mdx n="508" f="v">
      <t c="3" si="4">
        <n x="509"/>
        <n x="255"/>
        <n x="494"/>
      </t>
    </mdx>
    <mdx n="508" f="v">
      <t c="3" si="4">
        <n x="509"/>
        <n x="251"/>
        <n x="494"/>
      </t>
    </mdx>
    <mdx n="508" f="v">
      <t c="3" si="4">
        <n x="509"/>
        <n x="28"/>
        <n x="494"/>
      </t>
    </mdx>
    <mdx n="508" f="v">
      <t c="3" si="4">
        <n x="509"/>
        <n x="160"/>
        <n x="494"/>
      </t>
    </mdx>
    <mdx n="508" f="v">
      <t c="3" si="4">
        <n x="509"/>
        <n x="57"/>
        <n x="495"/>
      </t>
    </mdx>
    <mdx n="508" f="v">
      <t c="3" si="4">
        <n x="509"/>
        <n x="200"/>
        <n x="484"/>
      </t>
    </mdx>
    <mdx n="508" f="v">
      <t c="3" si="4">
        <n x="509"/>
        <n x="24"/>
        <n x="490"/>
      </t>
    </mdx>
    <mdx n="508" f="v">
      <t c="3" si="4">
        <n x="509"/>
        <n x="344"/>
        <n x="490"/>
      </t>
    </mdx>
    <mdx n="508" f="v">
      <t c="3" si="4">
        <n x="509"/>
        <n x="23"/>
        <n x="491"/>
      </t>
    </mdx>
    <mdx n="508" f="v">
      <t c="3" si="4">
        <n x="509"/>
        <n x="399"/>
        <n x="492"/>
      </t>
    </mdx>
    <mdx n="508" f="v">
      <t c="3" si="4">
        <n x="509"/>
        <n x="201"/>
        <n x="493"/>
      </t>
    </mdx>
    <mdx n="508" f="v">
      <t c="3" si="4">
        <n x="509"/>
        <n x="383"/>
        <n x="493"/>
      </t>
    </mdx>
    <mdx n="508" f="v">
      <t c="3" si="4">
        <n x="509"/>
        <n x="298"/>
        <n x="494"/>
      </t>
    </mdx>
    <mdx n="508" f="v">
      <t c="3" si="4">
        <n x="509"/>
        <n x="336"/>
        <n x="494"/>
      </t>
    </mdx>
    <mdx n="508" f="v">
      <t c="3" si="4">
        <n x="509"/>
        <n x="170"/>
        <n x="494"/>
      </t>
    </mdx>
    <mdx n="508" f="v">
      <t c="3" si="4">
        <n x="509"/>
        <n x="324"/>
        <n x="494"/>
      </t>
    </mdx>
    <mdx n="508" f="v">
      <t c="3" si="4">
        <n x="509"/>
        <n x="131"/>
        <n x="494"/>
      </t>
    </mdx>
    <mdx n="508" f="v">
      <t c="3" si="4">
        <n x="509"/>
        <n x="263"/>
        <n x="495"/>
      </t>
    </mdx>
    <mdx n="508" f="v">
      <t c="3" si="4">
        <n x="509"/>
        <n x="321"/>
        <n x="495"/>
      </t>
    </mdx>
    <mdx n="508" f="v">
      <t c="3" si="4">
        <n x="509"/>
        <n x="176"/>
        <n x="495"/>
      </t>
    </mdx>
    <mdx n="508" f="v">
      <t c="3" si="4">
        <n x="509"/>
        <n x="174"/>
        <n x="495"/>
      </t>
    </mdx>
    <mdx n="508" f="v">
      <t c="3" si="4">
        <n x="509"/>
        <n x="7"/>
        <n x="495"/>
      </t>
    </mdx>
    <mdx n="508" f="v">
      <t c="3" si="4">
        <n x="509"/>
        <n x="135"/>
        <n x="495"/>
      </t>
    </mdx>
    <mdx n="508" f="v">
      <t c="3" si="4">
        <n x="509"/>
        <n x="107"/>
        <n x="495"/>
      </t>
    </mdx>
    <mdx n="508" f="v">
      <t c="3" si="4">
        <n x="509"/>
        <n x="197"/>
        <n x="495"/>
      </t>
    </mdx>
    <mdx n="508" f="v">
      <t c="3" si="4">
        <n x="509"/>
        <n x="136"/>
        <n x="488"/>
      </t>
    </mdx>
    <mdx n="508" f="v">
      <t c="3" si="4">
        <n x="509"/>
        <n x="394"/>
        <n x="491"/>
      </t>
    </mdx>
    <mdx n="508" f="v">
      <t c="3" si="4">
        <n x="509"/>
        <n x="217"/>
        <n x="484"/>
      </t>
    </mdx>
    <mdx n="508" f="v">
      <t c="3" si="4">
        <n x="509"/>
        <n x="295"/>
        <n x="486"/>
      </t>
    </mdx>
    <mdx n="508" f="v">
      <t c="3" si="4">
        <n x="509"/>
        <n x="459"/>
        <n x="492"/>
      </t>
    </mdx>
    <mdx n="508" f="v">
      <t c="3" si="4">
        <n x="509"/>
        <n x="190"/>
        <n x="493"/>
      </t>
    </mdx>
    <mdx n="508" f="v">
      <t c="3" si="4">
        <n x="509"/>
        <n x="408"/>
        <n x="493"/>
      </t>
    </mdx>
    <mdx n="508" f="v">
      <t c="3" si="4">
        <n x="509"/>
        <n x="33"/>
        <n x="494"/>
      </t>
    </mdx>
    <mdx n="508" f="v">
      <t c="3" si="4">
        <n x="509"/>
        <n x="87"/>
        <n x="494"/>
      </t>
    </mdx>
    <mdx n="508" f="v">
      <t c="3" si="4">
        <n x="509"/>
        <n x="71"/>
        <n x="494"/>
      </t>
    </mdx>
    <mdx n="508" f="v">
      <t c="3" si="4">
        <n x="509"/>
        <n x="161"/>
        <n x="494"/>
      </t>
    </mdx>
    <mdx n="508" f="v">
      <t c="3" si="4">
        <n x="509"/>
        <n x="56"/>
        <n x="494"/>
      </t>
    </mdx>
    <mdx n="508" f="v">
      <t c="3" si="4">
        <n x="509"/>
        <n x="450"/>
        <n x="495"/>
      </t>
    </mdx>
    <mdx n="508" f="v">
      <t c="3" si="4">
        <n x="509"/>
        <n x="137"/>
        <n x="495"/>
      </t>
    </mdx>
    <mdx n="508" f="v">
      <t c="3" si="4">
        <n x="509"/>
        <n x="93"/>
        <n x="495"/>
      </t>
    </mdx>
    <mdx n="508" f="v">
      <t c="3" si="4">
        <n x="509"/>
        <n x="206"/>
        <n x="495"/>
      </t>
    </mdx>
    <mdx n="508" f="v">
      <t c="3" si="4">
        <n x="509"/>
        <n x="18"/>
        <n x="495"/>
      </t>
    </mdx>
    <mdx n="508" f="v">
      <t c="3" si="4">
        <n x="509"/>
        <n x="48"/>
        <n x="495"/>
      </t>
    </mdx>
    <mdx n="508" f="v">
      <t c="3" si="4">
        <n x="509"/>
        <n x="424"/>
        <n x="495"/>
      </t>
    </mdx>
    <mdx n="508" f="v">
      <t c="3" si="4">
        <n x="509"/>
        <n x="36"/>
        <n x="495"/>
      </t>
    </mdx>
    <mdx n="508" f="v">
      <t c="3" si="4">
        <n x="509"/>
        <n x="194"/>
        <n x="488"/>
      </t>
    </mdx>
    <mdx n="508" f="v">
      <t c="3" si="4">
        <n x="509"/>
        <n x="161"/>
        <n x="487"/>
      </t>
    </mdx>
    <mdx n="508" f="v">
      <t c="3" si="4">
        <n x="509"/>
        <n x="357"/>
        <n x="490"/>
      </t>
    </mdx>
    <mdx n="508" f="v">
      <t c="3" si="4">
        <n x="509"/>
        <n x="128"/>
        <n x="491"/>
      </t>
    </mdx>
    <mdx n="508" f="v">
      <t c="3" si="4">
        <n x="509"/>
        <n x="124"/>
        <n x="491"/>
      </t>
    </mdx>
    <mdx n="508" f="v">
      <t c="3" si="4">
        <n x="509"/>
        <n x="314"/>
        <n x="492"/>
      </t>
    </mdx>
    <mdx n="508" f="v">
      <t c="3" si="4">
        <n x="509"/>
        <n x="254"/>
        <n x="492"/>
      </t>
    </mdx>
    <mdx n="508" f="v">
      <t c="3" si="4">
        <n x="509"/>
        <n x="422"/>
        <n x="493"/>
      </t>
    </mdx>
    <mdx n="508" f="v">
      <t c="3" si="4">
        <n x="509"/>
        <n x="287"/>
        <n x="494"/>
      </t>
    </mdx>
    <mdx n="508" f="v">
      <t c="3" si="4">
        <n x="509"/>
        <n x="446"/>
        <n x="494"/>
      </t>
    </mdx>
    <mdx n="508" f="v">
      <t c="3" si="4">
        <n x="509"/>
        <n x="19"/>
        <n x="494"/>
      </t>
    </mdx>
    <mdx n="508" f="v">
      <t c="3" si="4">
        <n x="509"/>
        <n x="448"/>
        <n x="492"/>
      </t>
    </mdx>
    <mdx n="508" f="v">
      <t c="3" si="4">
        <n x="509"/>
        <n x="418"/>
        <n x="471"/>
      </t>
    </mdx>
    <mdx n="508" f="v">
      <t c="3" si="4">
        <n x="509"/>
        <n x="73"/>
        <n x="481"/>
      </t>
    </mdx>
    <mdx n="508" f="v">
      <t c="3" si="4">
        <n x="509"/>
        <n x="78"/>
        <n x="485"/>
      </t>
    </mdx>
    <mdx n="508" f="v">
      <t c="3" si="4">
        <n x="509"/>
        <n x="203"/>
        <n x="479"/>
      </t>
    </mdx>
    <mdx n="508" f="v">
      <t c="3" si="4">
        <n x="509"/>
        <n x="125"/>
        <n x="485"/>
      </t>
    </mdx>
    <mdx n="508" f="v">
      <t c="3" si="4">
        <n x="509"/>
        <n x="315"/>
        <n x="484"/>
      </t>
    </mdx>
    <mdx n="508" f="v">
      <t c="3" si="4">
        <n x="509"/>
        <n x="205"/>
        <n x="487"/>
      </t>
    </mdx>
    <mdx n="508" f="v">
      <t c="3" si="4">
        <n x="509"/>
        <n x="374"/>
        <n x="489"/>
      </t>
    </mdx>
    <mdx n="508" f="v">
      <t c="3" si="4">
        <n x="509"/>
        <n x="105"/>
        <n x="484"/>
      </t>
    </mdx>
    <mdx n="508" f="v">
      <t c="3" si="4">
        <n x="509"/>
        <n x="224"/>
        <n x="490"/>
      </t>
    </mdx>
    <mdx n="508" f="v">
      <t c="3" si="4">
        <n x="509"/>
        <n x="337"/>
        <n x="483"/>
      </t>
    </mdx>
    <mdx n="508" f="v">
      <t c="3" si="4">
        <n x="509"/>
        <n x="285"/>
        <n x="490"/>
      </t>
    </mdx>
    <mdx n="508" f="v">
      <t c="3" si="4">
        <n x="509"/>
        <n x="36"/>
        <n x="491"/>
      </t>
    </mdx>
    <mdx n="508" f="v">
      <t c="3" si="4">
        <n x="509"/>
        <n x="185"/>
        <n x="486"/>
      </t>
    </mdx>
    <mdx n="508" f="v">
      <t c="3" si="4">
        <n x="509"/>
        <n x="91"/>
        <n x="490"/>
      </t>
    </mdx>
    <mdx n="508" f="v">
      <t c="3" si="4">
        <n x="509"/>
        <n x="87"/>
        <n x="486"/>
      </t>
    </mdx>
    <mdx n="508" f="v">
      <t c="3" si="4">
        <n x="509"/>
        <n x="63"/>
        <n x="488"/>
      </t>
    </mdx>
    <mdx n="508" f="v">
      <t c="3" si="4">
        <n x="509"/>
        <n x="112"/>
        <n x="490"/>
      </t>
    </mdx>
    <mdx n="508" f="v">
      <t c="3" si="4">
        <n x="509"/>
        <n x="320"/>
        <n x="490"/>
      </t>
    </mdx>
    <mdx n="508" f="v">
      <t c="3" si="4">
        <n x="509"/>
        <n x="99"/>
        <n x="489"/>
      </t>
    </mdx>
    <mdx n="508" f="v">
      <t c="3" si="4">
        <n x="509"/>
        <n x="171"/>
        <n x="491"/>
      </t>
    </mdx>
    <mdx n="508" f="v">
      <t c="3" si="4">
        <n x="509"/>
        <n x="222"/>
        <n x="491"/>
      </t>
    </mdx>
    <mdx n="508" f="v">
      <t c="3" si="4">
        <n x="509"/>
        <n x="334"/>
        <n x="489"/>
      </t>
    </mdx>
    <mdx n="508" f="v">
      <t c="3" si="4">
        <n x="509"/>
        <n x="374"/>
        <n x="491"/>
      </t>
    </mdx>
    <mdx n="508" f="v">
      <t c="3" si="4">
        <n x="509"/>
        <n x="415"/>
        <n x="482"/>
      </t>
    </mdx>
    <mdx n="508" f="v">
      <t c="3" si="4">
        <n x="509"/>
        <n x="145"/>
        <n x="490"/>
      </t>
    </mdx>
    <mdx n="508" f="v">
      <t c="3" si="4">
        <n x="509"/>
        <n x="79"/>
        <n x="491"/>
      </t>
    </mdx>
    <mdx n="508" f="v">
      <t c="3" si="4">
        <n x="509"/>
        <n x="337"/>
        <n x="492"/>
      </t>
    </mdx>
    <mdx n="508" f="v">
      <t c="3" si="4">
        <n x="509"/>
        <n x="365"/>
        <n x="492"/>
      </t>
    </mdx>
    <mdx n="508" f="v">
      <t c="3" si="4">
        <n x="509"/>
        <n x="362"/>
        <n x="492"/>
      </t>
    </mdx>
    <mdx n="508" f="v">
      <t c="3" si="4">
        <n x="509"/>
        <n x="180"/>
        <n x="492"/>
      </t>
    </mdx>
    <mdx n="508" f="v">
      <t c="3" si="4">
        <n x="509"/>
        <n x="268"/>
        <n x="492"/>
      </t>
    </mdx>
    <mdx n="508" f="v">
      <t c="3" si="4">
        <n x="509"/>
        <n x="124"/>
        <n x="492"/>
      </t>
    </mdx>
    <mdx n="508" f="v">
      <t c="3" si="4">
        <n x="509"/>
        <n x="222"/>
        <n x="493"/>
      </t>
    </mdx>
    <mdx n="508" f="v">
      <t c="3" si="4">
        <n x="509"/>
        <n x="454"/>
        <n x="493"/>
      </t>
    </mdx>
    <mdx n="508" f="v">
      <t c="3" si="4">
        <n x="509"/>
        <n x="250"/>
        <n x="493"/>
      </t>
    </mdx>
    <mdx n="508" f="v">
      <t c="3" si="4">
        <n x="509"/>
        <n x="161"/>
        <n x="493"/>
      </t>
    </mdx>
    <mdx n="508" f="v">
      <t c="3" si="4">
        <n x="509"/>
        <n x="272"/>
        <n x="493"/>
      </t>
    </mdx>
    <mdx n="508" f="v">
      <t c="3" si="4">
        <n x="509"/>
        <n x="434"/>
        <n x="494"/>
      </t>
    </mdx>
    <mdx n="508" f="v">
      <t c="3" si="4">
        <n x="509"/>
        <n x="21"/>
        <n x="494"/>
      </t>
    </mdx>
    <mdx n="508" f="v">
      <t c="3" si="4">
        <n x="509"/>
        <n x="174"/>
        <n x="494"/>
      </t>
    </mdx>
    <mdx n="508" f="v">
      <t c="3" si="4">
        <n x="509"/>
        <n x="399"/>
        <n x="494"/>
      </t>
    </mdx>
    <mdx n="508" f="v">
      <t c="3" si="4">
        <n x="509"/>
        <n x="172"/>
        <n x="494"/>
      </t>
    </mdx>
    <mdx n="508" f="v">
      <t c="3" si="4">
        <n x="509"/>
        <n x="302"/>
        <n x="494"/>
      </t>
    </mdx>
    <mdx n="508" f="v">
      <t c="3" si="4">
        <n x="509"/>
        <n x="334"/>
        <n x="471"/>
      </t>
    </mdx>
    <mdx n="508" f="v">
      <t c="3" si="4">
        <n x="509"/>
        <n x="81"/>
        <n x="482"/>
      </t>
    </mdx>
    <mdx n="508" f="v">
      <t c="3" si="4">
        <n x="509"/>
        <n x="9"/>
        <n x="485"/>
      </t>
    </mdx>
    <mdx n="508" f="v">
      <t c="3" si="4">
        <n x="509"/>
        <n x="143"/>
        <n x="480"/>
      </t>
    </mdx>
    <mdx n="508" f="v">
      <t c="3" si="4">
        <n x="509"/>
        <n x="335"/>
        <n x="485"/>
      </t>
    </mdx>
    <mdx n="508" f="v">
      <t c="3" si="4">
        <n x="509"/>
        <n x="355"/>
        <n x="484"/>
      </t>
    </mdx>
    <mdx n="508" f="v">
      <t c="3" si="4">
        <n x="509"/>
        <n x="277"/>
        <n x="487"/>
      </t>
    </mdx>
    <mdx n="508" f="v">
      <t c="3" si="4">
        <n x="509"/>
        <n x="350"/>
        <n x="489"/>
      </t>
    </mdx>
    <mdx n="508" f="v">
      <t c="3" si="4">
        <n x="509"/>
        <n x="205"/>
        <n x="484"/>
      </t>
    </mdx>
    <mdx n="508" f="v">
      <t c="3" si="4">
        <n x="509"/>
        <n x="86"/>
        <n x="490"/>
      </t>
    </mdx>
    <mdx n="508" f="v">
      <t c="3" si="4">
        <n x="509"/>
        <n x="434"/>
        <n x="484"/>
      </t>
    </mdx>
    <mdx n="508" f="v">
      <t c="3" si="4">
        <n x="509"/>
        <n x="55"/>
        <n x="490"/>
      </t>
    </mdx>
    <mdx n="508" f="v">
      <t c="3" si="4">
        <n x="509"/>
        <n x="25"/>
        <n x="491"/>
      </t>
    </mdx>
    <mdx n="508" f="v">
      <t c="3" si="4">
        <n x="509"/>
        <n x="275"/>
        <n x="491"/>
      </t>
    </mdx>
    <mdx n="508" f="v">
      <t c="3" si="4">
        <n x="509"/>
        <n x="289"/>
        <n x="488"/>
      </t>
    </mdx>
    <mdx n="508" f="v">
      <t c="3" si="4">
        <n x="509"/>
        <n x="155"/>
        <n x="490"/>
      </t>
    </mdx>
    <mdx n="508" f="v">
      <t c="3" si="4">
        <n x="509"/>
        <n x="183"/>
        <n x="491"/>
      </t>
    </mdx>
    <mdx n="508" f="v">
      <t c="3" si="4">
        <n x="509"/>
        <n x="380"/>
        <n x="482"/>
      </t>
    </mdx>
    <mdx n="508" f="v">
      <t c="3" si="4">
        <n x="509"/>
        <n x="175"/>
        <n x="489"/>
      </t>
    </mdx>
    <mdx n="508" f="v">
      <t c="3" si="4">
        <n x="509"/>
        <n x="215"/>
        <n x="490"/>
      </t>
    </mdx>
    <mdx n="508" f="v">
      <t c="3" si="4">
        <n x="509"/>
        <n x="80"/>
        <n x="491"/>
      </t>
    </mdx>
    <mdx n="508" f="v">
      <t c="3" si="4">
        <n x="509"/>
        <n x="272"/>
        <n x="484"/>
      </t>
    </mdx>
    <mdx n="508" f="v">
      <t c="3" si="4">
        <n x="509"/>
        <n x="229"/>
        <n x="489"/>
      </t>
    </mdx>
    <mdx n="508" f="v">
      <t c="3" si="4">
        <n x="509"/>
        <n x="37"/>
        <n x="491"/>
      </t>
    </mdx>
    <mdx n="508" f="v">
      <t c="3" si="4">
        <n x="509"/>
        <n x="153"/>
        <n x="485"/>
      </t>
    </mdx>
    <mdx n="508" f="v">
      <t c="3" si="4">
        <n x="509"/>
        <n x="321"/>
        <n x="485"/>
      </t>
    </mdx>
    <mdx n="508" f="v">
      <t c="3" si="4">
        <n x="509"/>
        <n x="270"/>
        <n x="490"/>
      </t>
    </mdx>
    <mdx n="508" f="v">
      <t c="3" si="4">
        <n x="509"/>
        <n x="182"/>
        <n x="491"/>
      </t>
    </mdx>
    <mdx n="508" f="v">
      <t c="3" si="4">
        <n x="509"/>
        <n x="380"/>
        <n x="490"/>
      </t>
    </mdx>
    <mdx n="508" f="v">
      <t c="3" si="4">
        <n x="509"/>
        <n x="100"/>
        <n x="487"/>
      </t>
    </mdx>
    <mdx n="508" f="v">
      <t c="3" si="4">
        <n x="509"/>
        <n x="413"/>
        <n x="490"/>
      </t>
    </mdx>
    <mdx n="508" f="v">
      <t c="3" si="4">
        <n x="509"/>
        <n x="281"/>
        <n x="491"/>
      </t>
    </mdx>
    <mdx n="508" f="v">
      <t c="3" si="4">
        <n x="509"/>
        <n x="359"/>
        <n x="492"/>
      </t>
    </mdx>
    <mdx n="508" f="v">
      <t c="3" si="4">
        <n x="509"/>
        <n x="110"/>
        <n x="492"/>
      </t>
    </mdx>
    <mdx n="508" f="v">
      <t c="3" si="4">
        <n x="509"/>
        <n x="56"/>
        <n x="492"/>
      </t>
    </mdx>
    <mdx n="508" f="v">
      <t c="3" si="4">
        <n x="509"/>
        <n x="156"/>
        <n x="492"/>
      </t>
    </mdx>
    <mdx n="508" f="v">
      <t c="3" si="4">
        <n x="509"/>
        <n x="373"/>
        <n x="492"/>
      </t>
    </mdx>
    <mdx n="508" f="v">
      <t c="3" si="4">
        <n x="509"/>
        <n x="248"/>
        <n x="492"/>
      </t>
    </mdx>
    <mdx n="508" f="v">
      <t c="3" si="4">
        <n x="509"/>
        <n x="122"/>
        <n x="492"/>
      </t>
    </mdx>
    <mdx n="508" f="v">
      <t c="3" si="4">
        <n x="509"/>
        <n x="423"/>
        <n x="493"/>
      </t>
    </mdx>
    <mdx n="508" f="v">
      <t c="3" si="4">
        <n x="509"/>
        <n x="55"/>
        <n x="493"/>
      </t>
    </mdx>
    <mdx n="508" f="v">
      <t c="3" si="4">
        <n x="509"/>
        <n x="155"/>
        <n x="493"/>
      </t>
    </mdx>
    <mdx n="508" f="v">
      <t c="3" si="4">
        <n x="509"/>
        <n x="335"/>
        <n x="493"/>
      </t>
    </mdx>
    <mdx n="508" f="v">
      <t c="3" si="4">
        <n x="509"/>
        <n x="109"/>
        <n x="493"/>
      </t>
    </mdx>
    <mdx n="508" f="v">
      <t c="3" si="4">
        <n x="509"/>
        <n x="298"/>
        <n x="493"/>
      </t>
    </mdx>
    <mdx n="508" f="v">
      <t c="3" si="4">
        <n x="509"/>
        <n x="428"/>
        <n x="493"/>
      </t>
    </mdx>
    <mdx n="508" f="v">
      <t c="3" si="4">
        <n x="509"/>
        <n x="171"/>
        <n x="494"/>
      </t>
    </mdx>
    <mdx n="508" f="v">
      <t c="3" si="4">
        <n x="509"/>
        <n x="47"/>
        <n x="494"/>
      </t>
    </mdx>
    <mdx n="508" f="v">
      <t c="3" si="4">
        <n x="509"/>
        <n x="156"/>
        <n x="479"/>
      </t>
    </mdx>
    <mdx n="508" f="v">
      <t c="3" si="4">
        <n x="509"/>
        <n x="414"/>
        <n x="483"/>
      </t>
    </mdx>
    <mdx n="508" f="v">
      <t c="3" si="4">
        <n x="509"/>
        <n x="143"/>
        <n x="484"/>
      </t>
    </mdx>
    <mdx n="508" f="v">
      <t c="3" si="4">
        <n x="509"/>
        <n x="432"/>
        <n x="485"/>
      </t>
    </mdx>
    <mdx n="508" f="v">
      <t c="3" si="4">
        <n x="509"/>
        <n x="427"/>
        <n x="487"/>
      </t>
    </mdx>
    <mdx n="508" f="v">
      <t c="3" si="4">
        <n x="509"/>
        <n x="251"/>
        <n x="487"/>
      </t>
    </mdx>
    <mdx n="508" f="v">
      <t c="3" si="4">
        <n x="509"/>
        <n x="22"/>
        <n x="487"/>
      </t>
    </mdx>
    <mdx n="508" f="v">
      <t c="3" si="4">
        <n x="509"/>
        <n x="367"/>
        <n x="484"/>
      </t>
    </mdx>
    <mdx n="508" f="v">
      <t c="3" si="4">
        <n x="509"/>
        <n x="213"/>
        <n x="487"/>
      </t>
    </mdx>
    <mdx n="508" f="v">
      <t c="3" si="4">
        <n x="509"/>
        <n x="72"/>
        <n x="488"/>
      </t>
    </mdx>
    <mdx n="508" f="v">
      <t c="3" si="4">
        <n x="509"/>
        <n x="176"/>
        <n x="489"/>
      </t>
    </mdx>
    <mdx n="508" f="v">
      <t c="3" si="4">
        <n x="509"/>
        <n x="190"/>
        <n x="485"/>
      </t>
    </mdx>
    <mdx n="508" f="v">
      <t c="3" si="4">
        <n x="509"/>
        <n x="56"/>
        <n x="490"/>
      </t>
    </mdx>
    <mdx n="508" f="v">
      <t c="3" si="4">
        <n x="509"/>
        <n x="219"/>
        <n x="491"/>
      </t>
    </mdx>
    <mdx n="508" f="v">
      <t c="3" si="4">
        <n x="509"/>
        <n x="141"/>
        <n x="486"/>
      </t>
    </mdx>
    <mdx n="508" f="v">
      <t c="3" si="4">
        <n x="509"/>
        <n x="42"/>
        <n x="490"/>
      </t>
    </mdx>
    <mdx n="508" f="v">
      <t c="3" si="4">
        <n x="509"/>
        <n x="391"/>
        <n x="491"/>
      </t>
    </mdx>
    <mdx n="508" f="v">
      <t c="3" si="4">
        <n x="509"/>
        <n x="48"/>
        <n x="491"/>
      </t>
    </mdx>
    <mdx n="508" f="v">
      <t c="3" si="4">
        <n x="509"/>
        <n x="420"/>
        <n x="488"/>
      </t>
    </mdx>
    <mdx n="508" f="v">
      <t c="3" si="4">
        <n x="509"/>
        <n x="62"/>
        <n x="490"/>
      </t>
    </mdx>
    <mdx n="508" f="v">
      <t c="3" si="4">
        <n x="509"/>
        <n x="164"/>
        <n x="491"/>
      </t>
    </mdx>
    <mdx n="508" f="v">
      <t c="3" si="4">
        <n x="509"/>
        <n x="112"/>
        <n x="482"/>
      </t>
    </mdx>
    <mdx n="508" f="v">
      <t c="3" si="4">
        <n x="509"/>
        <n x="341"/>
        <n x="489"/>
      </t>
    </mdx>
    <mdx n="508" f="v">
      <t c="3" si="4">
        <n x="509"/>
        <n x="143"/>
        <n x="490"/>
      </t>
    </mdx>
    <mdx n="508" f="v">
      <t c="3" si="4">
        <n x="509"/>
        <n x="337"/>
        <n x="491"/>
      </t>
    </mdx>
    <mdx n="508" f="v">
      <t c="3" si="4">
        <n x="509"/>
        <n x="414"/>
        <n x="484"/>
      </t>
    </mdx>
    <mdx n="508" f="v">
      <t c="3" si="4">
        <n x="509"/>
        <n x="90"/>
        <n x="489"/>
      </t>
    </mdx>
    <mdx n="508" f="v">
      <t c="3" si="4">
        <n x="509"/>
        <n x="330"/>
        <n x="491"/>
      </t>
    </mdx>
    <mdx n="508" f="v">
      <t c="3" si="4">
        <n x="509"/>
        <n x="70"/>
        <n x="486"/>
      </t>
    </mdx>
    <mdx n="508" f="v">
      <t c="3" si="4">
        <n x="509"/>
        <n x="186"/>
        <n x="485"/>
      </t>
    </mdx>
    <mdx n="508" f="v">
      <t c="3" si="4">
        <n x="509"/>
        <n x="37"/>
        <n x="490"/>
      </t>
    </mdx>
    <mdx n="508" f="v">
      <t c="3" si="4">
        <n x="509"/>
        <n x="418"/>
        <n x="491"/>
      </t>
    </mdx>
    <mdx n="508" f="v">
      <t c="3" si="4">
        <n x="509"/>
        <n x="153"/>
        <n x="490"/>
      </t>
    </mdx>
    <mdx n="508" f="v">
      <t c="3" si="4">
        <n x="509"/>
        <n x="420"/>
        <n x="487"/>
      </t>
    </mdx>
    <mdx n="508" f="v">
      <t c="3" si="4">
        <n x="509"/>
        <n x="406"/>
        <n x="490"/>
      </t>
    </mdx>
    <mdx n="508" f="v">
      <t c="3" si="4">
        <n x="509"/>
        <n x="200"/>
        <n x="491"/>
      </t>
    </mdx>
    <mdx n="508" f="v">
      <t c="3" si="4">
        <n x="509"/>
        <n x="59"/>
        <n x="492"/>
      </t>
    </mdx>
    <mdx n="508" f="v">
      <t c="3" si="4">
        <n x="509"/>
        <n x="219"/>
        <n x="492"/>
      </t>
    </mdx>
    <mdx n="508" f="v">
      <t c="3" si="4">
        <n x="509"/>
        <n x="432"/>
        <n x="492"/>
      </t>
    </mdx>
    <mdx n="508" f="v">
      <t c="3" si="4">
        <n x="509"/>
        <n x="264"/>
        <n x="492"/>
      </t>
    </mdx>
    <mdx n="508" f="v">
      <t c="3" si="4">
        <n x="509"/>
        <n x="78"/>
        <n x="492"/>
      </t>
    </mdx>
    <mdx n="508" f="v">
      <t c="3" si="4">
        <n x="509"/>
        <n x="26"/>
        <n x="492"/>
      </t>
    </mdx>
    <mdx n="508" f="v">
      <t c="3" si="4">
        <n x="509"/>
        <n x="395"/>
        <n x="492"/>
      </t>
    </mdx>
    <mdx n="508" f="v">
      <t c="3" si="4">
        <n x="509"/>
        <n x="419"/>
        <n x="493"/>
      </t>
    </mdx>
    <mdx n="508" f="v">
      <t c="3" si="4">
        <n x="509"/>
        <n x="355"/>
        <n x="493"/>
      </t>
    </mdx>
    <mdx n="508" f="v">
      <t c="3" si="4">
        <n x="509"/>
        <n x="417"/>
        <n x="493"/>
      </t>
    </mdx>
    <mdx n="508" f="v">
      <t c="3" si="4">
        <n x="509"/>
        <n x="244"/>
        <n x="493"/>
      </t>
    </mdx>
    <mdx n="508" f="v">
      <t c="3" si="4">
        <n x="509"/>
        <n x="106"/>
        <n x="493"/>
      </t>
    </mdx>
    <mdx n="508" f="v">
      <t c="3" si="4">
        <n x="509"/>
        <n x="197"/>
        <n x="493"/>
      </t>
    </mdx>
    <mdx n="508" f="v">
      <t c="3" si="4">
        <n x="509"/>
        <n x="159"/>
        <n x="493"/>
      </t>
    </mdx>
    <mdx n="508" f="v">
      <t c="3" si="4">
        <n x="509"/>
        <n x="168"/>
        <n x="494"/>
      </t>
    </mdx>
    <mdx n="508" f="v">
      <t c="3" si="4">
        <n x="509"/>
        <n x="267"/>
        <n x="494"/>
      </t>
    </mdx>
    <mdx n="508" f="v">
      <t c="3" si="4">
        <n x="509"/>
        <n x="46"/>
        <n x="479"/>
      </t>
    </mdx>
    <mdx n="508" f="v">
      <t c="3" si="4">
        <n x="509"/>
        <n x="152"/>
        <n x="483"/>
      </t>
    </mdx>
    <mdx n="508" f="v">
      <t c="3" si="4">
        <n x="509"/>
        <n x="276"/>
        <n x="484"/>
      </t>
    </mdx>
    <mdx n="508" f="v">
      <t c="3" si="4">
        <n x="509"/>
        <n x="204"/>
        <n x="486"/>
      </t>
    </mdx>
    <mdx n="508" f="v">
      <t c="3" si="4">
        <n x="509"/>
        <n x="20"/>
        <n x="487"/>
      </t>
    </mdx>
    <mdx n="508" f="v">
      <t c="3" si="4">
        <n x="509"/>
        <n x="211"/>
        <n x="487"/>
      </t>
    </mdx>
    <mdx n="508" f="v">
      <t c="3" si="4">
        <n x="509"/>
        <n x="239"/>
        <n x="487"/>
      </t>
    </mdx>
    <mdx n="508" f="v">
      <t c="3" si="4">
        <n x="509"/>
        <n x="27"/>
        <n x="484"/>
      </t>
    </mdx>
    <mdx n="508" f="v">
      <t c="3" si="4">
        <n x="509"/>
        <n x="348"/>
        <n x="487"/>
      </t>
    </mdx>
    <mdx n="508" f="v">
      <t c="3" si="4">
        <n x="509"/>
        <n x="439"/>
        <n x="488"/>
      </t>
    </mdx>
    <mdx n="508" f="v">
      <t c="3" si="4">
        <n x="509"/>
        <n x="20"/>
        <n x="489"/>
      </t>
    </mdx>
    <mdx n="508" f="v">
      <t c="3" si="4">
        <n x="509"/>
        <n x="284"/>
        <n x="485"/>
      </t>
    </mdx>
    <mdx n="508" f="v">
      <t c="3" si="4">
        <n x="509"/>
        <n x="190"/>
        <n x="490"/>
      </t>
    </mdx>
    <mdx n="508" f="v">
      <t c="3" si="4">
        <n x="509"/>
        <n x="305"/>
        <n x="491"/>
      </t>
    </mdx>
    <mdx n="508" f="v">
      <t c="3" si="4">
        <n x="509"/>
        <n x="71"/>
        <n x="486"/>
      </t>
    </mdx>
    <mdx n="508" f="v">
      <t c="3" si="4">
        <n x="509"/>
        <n x="252"/>
        <n x="490"/>
      </t>
    </mdx>
    <mdx n="508" f="v">
      <t c="3" si="4">
        <n x="509"/>
        <n x="99"/>
        <n x="491"/>
      </t>
    </mdx>
    <mdx n="508" f="v">
      <t c="3" si="4">
        <n x="509"/>
        <n x="436"/>
        <n x="491"/>
      </t>
    </mdx>
    <mdx n="508" f="v">
      <t c="3" si="4">
        <n x="509"/>
        <n x="375"/>
        <n x="488"/>
      </t>
    </mdx>
    <mdx n="508" f="v">
      <t c="3" si="4">
        <n x="509"/>
        <n x="371"/>
        <n x="490"/>
      </t>
    </mdx>
    <mdx n="508" f="v">
      <t c="3" si="4">
        <n x="509"/>
        <n x="34"/>
        <n x="491"/>
      </t>
    </mdx>
    <mdx n="508" f="v">
      <t c="3" si="4">
        <n x="509"/>
        <n x="196"/>
        <n x="483"/>
      </t>
    </mdx>
    <mdx n="508" f="v">
      <t c="3" si="4">
        <n x="509"/>
        <n x="115"/>
        <n x="489"/>
      </t>
    </mdx>
    <mdx n="508" f="v">
      <t c="3" si="4">
        <n x="509"/>
        <n x="51"/>
        <n x="490"/>
      </t>
    </mdx>
    <mdx n="508" f="v">
      <t c="3" si="4">
        <n x="509"/>
        <n x="368"/>
        <n x="479"/>
      </t>
    </mdx>
    <mdx n="508" f="v">
      <t c="3" si="4">
        <n x="509"/>
        <n x="114"/>
        <n x="484"/>
      </t>
    </mdx>
    <mdx n="508" f="v">
      <t c="3" si="4">
        <n x="509"/>
        <n x="314"/>
        <n x="490"/>
      </t>
    </mdx>
    <mdx n="508" f="v">
      <t c="3" si="4">
        <n x="509"/>
        <n x="116"/>
        <n x="491"/>
      </t>
    </mdx>
    <mdx n="508" f="v">
      <t c="3" si="4">
        <n x="509"/>
        <n x="252"/>
        <n x="487"/>
      </t>
    </mdx>
    <mdx n="508" f="v">
      <t c="3" si="4">
        <n x="509"/>
        <n x="275"/>
        <n x="485"/>
      </t>
    </mdx>
    <mdx n="508" f="v">
      <t c="3" si="4">
        <n x="509"/>
        <n x="243"/>
        <n x="490"/>
      </t>
    </mdx>
    <mdx n="508" f="v">
      <t c="3" si="4">
        <n x="509"/>
        <n x="137"/>
        <n x="491"/>
      </t>
    </mdx>
    <mdx n="508" f="v">
      <t c="3" si="4">
        <n x="509"/>
        <n x="311"/>
        <n x="490"/>
      </t>
    </mdx>
    <mdx n="508" f="v">
      <t c="3" si="4">
        <n x="509"/>
        <n x="249"/>
        <n x="488"/>
      </t>
    </mdx>
    <mdx n="508" f="v">
      <t c="3" si="4">
        <n x="509"/>
        <n x="390"/>
        <n x="490"/>
      </t>
    </mdx>
    <mdx n="508" f="v">
      <t c="3" si="4">
        <n x="509"/>
        <n x="165"/>
        <n x="491"/>
      </t>
    </mdx>
    <mdx n="508" f="v">
      <t c="3" si="4">
        <n x="509"/>
        <n x="182"/>
        <n x="492"/>
      </t>
    </mdx>
    <mdx n="508" f="v">
      <t c="3" si="4">
        <n x="509"/>
        <n x="315"/>
        <n x="492"/>
      </t>
    </mdx>
    <mdx n="508" f="v">
      <t c="3" si="4">
        <n x="509"/>
        <n x="152"/>
        <n x="492"/>
      </t>
    </mdx>
    <mdx n="508" f="v">
      <t c="3" si="4">
        <n x="509"/>
        <n x="412"/>
        <n x="492"/>
      </t>
    </mdx>
    <mdx n="508" f="v">
      <t c="3" si="4">
        <n x="509"/>
        <n x="7"/>
        <n x="492"/>
      </t>
    </mdx>
    <mdx n="508" f="v">
      <t c="3" si="4">
        <n x="509"/>
        <n x="405"/>
        <n x="492"/>
      </t>
    </mdx>
    <mdx n="508" f="v">
      <t c="3" si="4">
        <n x="509"/>
        <n x="228"/>
        <n x="492"/>
      </t>
    </mdx>
    <mdx n="508" f="v">
      <t c="3" si="4">
        <n x="509"/>
        <n x="416"/>
        <n x="493"/>
      </t>
    </mdx>
    <mdx n="508" f="v">
      <t c="3" si="4">
        <n x="509"/>
        <n x="351"/>
        <n x="493"/>
      </t>
    </mdx>
    <mdx n="508" f="v">
      <t c="3" si="4">
        <n x="509"/>
        <n x="150"/>
        <n x="493"/>
      </t>
    </mdx>
    <mdx n="508" f="v">
      <t c="3" si="4">
        <n x="509"/>
        <n x="406"/>
        <n x="493"/>
      </t>
    </mdx>
    <mdx n="508" f="v">
      <t c="3" si="4">
        <n x="509"/>
        <n x="218"/>
        <n x="493"/>
      </t>
    </mdx>
    <mdx n="508" f="v">
      <t c="3" si="4">
        <n x="509"/>
        <n x="60"/>
        <n x="493"/>
      </t>
    </mdx>
    <mdx n="508" f="v">
      <t c="3" si="4">
        <n x="509"/>
        <n x="424"/>
        <n x="493"/>
      </t>
    </mdx>
    <mdx n="508" f="v">
      <t c="3" si="4">
        <n x="509"/>
        <n x="45"/>
        <n x="494"/>
      </t>
    </mdx>
    <mdx n="508" f="v">
      <t c="3" si="4">
        <n x="509"/>
        <n x="167"/>
        <n x="494"/>
      </t>
    </mdx>
    <mdx n="508" f="v">
      <t c="3" si="4">
        <n x="509"/>
        <n x="311"/>
        <n x="494"/>
      </t>
    </mdx>
    <mdx n="508" f="v">
      <t c="3" si="4">
        <n x="509"/>
        <n x="128"/>
        <n x="494"/>
      </t>
    </mdx>
    <mdx n="508" f="v">
      <t c="3" si="4">
        <n x="509"/>
        <n x="326"/>
        <n x="494"/>
      </t>
    </mdx>
    <mdx n="508" f="v">
      <t c="3" si="4">
        <n x="509"/>
        <n x="123"/>
        <n x="494"/>
      </t>
    </mdx>
    <mdx n="508" f="v">
      <t c="3" si="4">
        <n x="509"/>
        <n x="188"/>
        <n x="494"/>
      </t>
    </mdx>
    <mdx n="508" f="v">
      <t c="3" si="4">
        <n x="509"/>
        <n x="68"/>
        <n x="495"/>
      </t>
    </mdx>
    <mdx n="508" f="v">
      <t c="3" si="4">
        <n x="509"/>
        <n x="365"/>
        <n x="479"/>
      </t>
    </mdx>
    <mdx n="508" f="v">
      <t c="3" si="4">
        <n x="509"/>
        <n x="336"/>
        <n x="487"/>
      </t>
    </mdx>
    <mdx n="508" f="v">
      <t c="3" si="4">
        <n x="509"/>
        <n x="355"/>
        <n x="491"/>
      </t>
    </mdx>
    <mdx n="508" f="v">
      <t c="3" si="4">
        <n x="509"/>
        <n x="105"/>
        <n x="482"/>
      </t>
    </mdx>
    <mdx n="508" f="v">
      <t c="3" si="4">
        <n x="509"/>
        <n x="395"/>
        <n x="490"/>
      </t>
    </mdx>
    <mdx n="508" f="v">
      <t c="3" si="4">
        <n x="509"/>
        <n x="45"/>
        <n x="492"/>
      </t>
    </mdx>
    <mdx n="508" f="v">
      <t c="3" si="4">
        <n x="509"/>
        <n x="144"/>
        <n x="493"/>
      </t>
    </mdx>
    <mdx n="508" f="v">
      <t c="3" si="4">
        <n x="509"/>
        <n x="254"/>
        <n x="493"/>
      </t>
    </mdx>
    <mdx n="508" f="v">
      <t c="3" si="4">
        <n x="509"/>
        <n x="449"/>
        <n x="494"/>
      </t>
    </mdx>
    <mdx n="508" f="v">
      <t c="3" si="4">
        <n x="509"/>
        <n x="282"/>
        <n x="494"/>
      </t>
    </mdx>
    <mdx n="508" f="v">
      <t c="3" si="4">
        <n x="509"/>
        <n x="140"/>
        <n x="494"/>
      </t>
    </mdx>
    <mdx n="508" f="v">
      <t c="3" si="4">
        <n x="509"/>
        <n x="96"/>
        <n x="494"/>
      </t>
    </mdx>
    <mdx n="508" f="v">
      <t c="3" si="4">
        <n x="509"/>
        <n x="111"/>
        <n x="494"/>
      </t>
    </mdx>
    <mdx n="508" f="v">
      <t c="3" si="4">
        <n x="509"/>
        <n x="243"/>
        <n x="495"/>
      </t>
    </mdx>
    <mdx n="508" f="v">
      <t c="3" si="4">
        <n x="509"/>
        <n x="304"/>
        <n x="495"/>
      </t>
    </mdx>
    <mdx n="508" f="v">
      <t c="3" si="4">
        <n x="509"/>
        <n x="194"/>
        <n x="495"/>
      </t>
    </mdx>
    <mdx n="508" f="v">
      <t c="3" si="4">
        <n x="509"/>
        <n x="71"/>
        <n x="495"/>
      </t>
    </mdx>
    <mdx n="508" f="v">
      <t c="3" si="4">
        <n x="509"/>
        <n x="164"/>
        <n x="495"/>
      </t>
    </mdx>
    <mdx n="508" f="v">
      <t c="3" si="4">
        <n x="509"/>
        <n x="395"/>
        <n x="495"/>
      </t>
    </mdx>
    <mdx n="508" f="v">
      <t c="3" si="4">
        <n x="509"/>
        <n x="307"/>
        <n x="495"/>
      </t>
    </mdx>
    <mdx n="508" f="v">
      <t c="3" si="4">
        <n x="509"/>
        <n x="90"/>
        <n x="495"/>
      </t>
    </mdx>
    <mdx n="508" f="v">
      <t c="3" si="4">
        <n x="509"/>
        <n x="210"/>
        <n x="488"/>
      </t>
    </mdx>
    <mdx n="508" f="v">
      <t c="3" si="4">
        <n x="509"/>
        <n x="454"/>
        <n x="487"/>
      </t>
    </mdx>
    <mdx n="508" f="v">
      <t c="3" si="4">
        <n x="509"/>
        <n x="60"/>
        <n x="489"/>
      </t>
    </mdx>
    <mdx n="508" f="v">
      <t c="3" si="4">
        <n x="509"/>
        <n x="119"/>
        <n x="490"/>
      </t>
    </mdx>
    <mdx n="508" f="v">
      <t c="3" si="4">
        <n x="509"/>
        <n x="447"/>
        <n x="492"/>
      </t>
    </mdx>
    <mdx n="508" f="v">
      <t c="3" si="4">
        <n x="509"/>
        <n x="226"/>
        <n x="493"/>
      </t>
    </mdx>
    <mdx n="508" f="v">
      <t c="3" si="4">
        <n x="509"/>
        <n x="48"/>
        <n x="493"/>
      </t>
    </mdx>
    <mdx n="508" f="v">
      <t c="3" si="4">
        <n x="509"/>
        <n x="222"/>
        <n x="494"/>
      </t>
    </mdx>
    <mdx n="508" f="v">
      <t c="3" si="4">
        <n x="509"/>
        <n x="176"/>
        <n x="494"/>
      </t>
    </mdx>
    <mdx n="508" f="v">
      <t c="3" si="4">
        <n x="509"/>
        <n x="62"/>
        <n x="494"/>
      </t>
    </mdx>
    <mdx n="508" f="v">
      <t c="3" si="4">
        <n x="509"/>
        <n x="136"/>
        <n x="494"/>
      </t>
    </mdx>
    <mdx n="508" f="v">
      <t c="3" si="4">
        <n x="509"/>
        <n x="152"/>
        <n x="494"/>
      </t>
    </mdx>
    <mdx n="508" f="v">
      <t c="3" si="4">
        <n x="509"/>
        <n x="437"/>
        <n x="495"/>
      </t>
    </mdx>
    <mdx n="508" f="v">
      <t c="3" si="4">
        <n x="509"/>
        <n x="23"/>
        <n x="495"/>
      </t>
    </mdx>
    <mdx n="508" f="v">
      <t c="3" si="4">
        <n x="509"/>
        <n x="355"/>
        <n x="495"/>
      </t>
    </mdx>
    <mdx n="508" f="v">
      <t c="3" si="4">
        <n x="509"/>
        <n x="70"/>
        <n x="495"/>
      </t>
    </mdx>
    <mdx n="508" f="v">
      <t c="3" si="4">
        <n x="509"/>
        <n x="380"/>
        <n x="495"/>
      </t>
    </mdx>
    <mdx n="508" f="v">
      <t c="3" si="4">
        <n x="509"/>
        <n x="425"/>
        <n x="495"/>
      </t>
    </mdx>
    <mdx n="508" f="v">
      <t c="3" si="4">
        <n x="509"/>
        <n x="397"/>
        <n x="495"/>
      </t>
    </mdx>
    <mdx n="508" f="v">
      <t c="3" si="4">
        <n x="509"/>
        <n x="338"/>
        <n x="495"/>
      </t>
    </mdx>
    <mdx n="508" f="v">
      <t c="3" si="4">
        <n x="509"/>
        <n x="352"/>
        <n x="489"/>
      </t>
    </mdx>
    <mdx n="508" f="v">
      <t c="3" si="4">
        <n x="509"/>
        <n x="181"/>
        <n x="490"/>
      </t>
    </mdx>
    <mdx n="508" f="v">
      <t c="3" si="4">
        <n x="509"/>
        <n x="76"/>
        <n x="482"/>
      </t>
    </mdx>
    <mdx n="508" f="v">
      <t c="3" si="4">
        <n x="509"/>
        <n x="63"/>
        <n x="490"/>
      </t>
    </mdx>
    <mdx n="508" f="v">
      <t c="3" si="4">
        <n x="509"/>
        <n x="429"/>
        <n x="479"/>
      </t>
    </mdx>
    <mdx n="508" f="v">
      <t c="3" si="4">
        <n x="509"/>
        <n x="425"/>
        <n x="483"/>
      </t>
    </mdx>
    <mdx n="508" f="v">
      <t c="3" si="4">
        <n x="509"/>
        <n x="200"/>
        <n x="487"/>
      </t>
    </mdx>
    <mdx n="508" f="v">
      <t c="3" si="4">
        <n x="509"/>
        <n x="406"/>
        <n x="482"/>
      </t>
    </mdx>
    <mdx n="508" f="v">
      <t c="3" si="4">
        <n x="509"/>
        <n x="186"/>
        <n x="486"/>
      </t>
    </mdx>
    <mdx n="508" f="v">
      <t c="3" si="4">
        <n x="509"/>
        <n x="221"/>
        <n x="485"/>
      </t>
    </mdx>
    <mdx n="508" f="v">
      <t c="3" si="4">
        <n x="509"/>
        <n x="318"/>
        <n x="487"/>
      </t>
    </mdx>
    <mdx n="508" f="v">
      <t c="3" si="4">
        <n x="509"/>
        <n x="93"/>
        <n x="489"/>
      </t>
    </mdx>
    <mdx n="508" f="v">
      <t c="3" si="4">
        <n x="509"/>
        <n x="375"/>
        <n x="486"/>
      </t>
    </mdx>
    <mdx n="508" f="v">
      <t c="3" si="4">
        <n x="509"/>
        <n x="448"/>
        <n x="490"/>
      </t>
    </mdx>
    <mdx n="508" f="v">
      <t c="3" si="4">
        <n x="509"/>
        <n x="434"/>
        <n x="485"/>
      </t>
    </mdx>
    <mdx n="508" f="v">
      <t c="3" si="4">
        <n x="509"/>
        <n x="241"/>
        <n x="490"/>
      </t>
    </mdx>
    <mdx n="508" f="v">
      <t c="3" si="4">
        <n x="509"/>
        <n x="379"/>
        <n x="491"/>
      </t>
    </mdx>
    <mdx n="508" f="v">
      <t c="3" si="4">
        <n x="509"/>
        <n x="302"/>
        <n x="487"/>
      </t>
    </mdx>
    <mdx n="508" f="v">
      <t c="3" si="4">
        <n x="509"/>
        <n x="404"/>
        <n x="490"/>
      </t>
    </mdx>
    <mdx n="508" f="v">
      <t c="3" si="4">
        <n x="509"/>
        <n x="148"/>
        <n x="489"/>
      </t>
    </mdx>
    <mdx n="508" f="v">
      <t c="3" si="4">
        <n x="509"/>
        <n x="225"/>
        <n x="489"/>
      </t>
    </mdx>
    <mdx n="508" f="v">
      <t c="3" si="4">
        <n x="509"/>
        <n x="246"/>
        <n x="491"/>
      </t>
    </mdx>
    <mdx n="508" f="v">
      <t c="3" si="4">
        <n x="509"/>
        <n x="291"/>
        <n x="491"/>
      </t>
    </mdx>
    <mdx n="508" f="v">
      <t c="3" si="4">
        <n x="509"/>
        <n x="405"/>
        <n x="489"/>
      </t>
    </mdx>
    <mdx n="508" f="v">
      <t c="3" si="4">
        <n x="509"/>
        <n x="454"/>
        <n x="491"/>
      </t>
    </mdx>
    <mdx n="508" f="v">
      <t c="3" si="4">
        <n x="509"/>
        <n x="131"/>
        <n x="491"/>
      </t>
    </mdx>
    <mdx n="508" f="v">
      <t c="3" si="4">
        <n x="509"/>
        <n x="112"/>
        <n x="489"/>
      </t>
    </mdx>
    <mdx n="508" f="v">
      <t c="3" si="4">
        <n x="509"/>
        <n x="238"/>
        <n x="491"/>
      </t>
    </mdx>
    <mdx n="508" f="v">
      <t c="3" si="4">
        <n x="509"/>
        <n x="252"/>
        <n x="483"/>
      </t>
    </mdx>
    <mdx n="508" f="v">
      <t c="3" si="4">
        <n x="509"/>
        <n x="146"/>
        <n x="490"/>
      </t>
    </mdx>
    <mdx n="508" f="v">
      <t c="3" si="4">
        <n x="509"/>
        <n x="316"/>
        <n x="491"/>
      </t>
    </mdx>
    <mdx n="508" f="v">
      <t c="3" si="4">
        <n x="509"/>
        <n x="168"/>
        <n x="492"/>
      </t>
    </mdx>
    <mdx n="508" f="v">
      <t c="3" si="4">
        <n x="509"/>
        <n x="372"/>
        <n x="492"/>
      </t>
    </mdx>
    <mdx n="508" f="v">
      <t c="3" si="4">
        <n x="509"/>
        <n x="186"/>
        <n x="492"/>
      </t>
    </mdx>
    <mdx n="508" f="v">
      <t c="3" si="4">
        <n x="509"/>
        <n x="43"/>
        <n x="492"/>
      </t>
    </mdx>
    <mdx n="508" f="v">
      <t c="3" si="4">
        <n x="509"/>
        <n x="347"/>
        <n x="492"/>
      </t>
    </mdx>
    <mdx n="508" f="v">
      <t c="3" si="4">
        <n x="509"/>
        <n x="81"/>
        <n x="492"/>
      </t>
    </mdx>
    <mdx n="508" f="v">
      <t c="3" si="4">
        <n x="509"/>
        <n x="84"/>
        <n x="493"/>
      </t>
    </mdx>
    <mdx n="508" f="v">
      <t c="3" si="4">
        <n x="509"/>
        <n x="54"/>
        <n x="493"/>
      </t>
    </mdx>
    <mdx n="508" f="v">
      <t c="3" si="4">
        <n x="509"/>
        <n x="14"/>
        <n x="493"/>
      </t>
    </mdx>
    <mdx n="508" f="v">
      <t c="3" si="4">
        <n x="509"/>
        <n x="340"/>
        <n x="493"/>
      </t>
    </mdx>
    <mdx n="508" f="v">
      <t c="3" si="4">
        <n x="509"/>
        <n x="365"/>
        <n x="493"/>
      </t>
    </mdx>
    <mdx n="508" f="v">
      <t c="3" si="4">
        <n x="509"/>
        <n x="246"/>
        <n x="494"/>
      </t>
    </mdx>
    <mdx n="508" f="v">
      <t c="3" si="4">
        <n x="509"/>
        <n x="11"/>
        <n x="494"/>
      </t>
    </mdx>
    <mdx n="508" f="v">
      <t c="3" si="4">
        <n x="509"/>
        <n x="345"/>
        <n x="494"/>
      </t>
    </mdx>
    <mdx n="508" f="v">
      <t c="3" si="4">
        <n x="509"/>
        <n x="91"/>
        <n x="494"/>
      </t>
    </mdx>
    <mdx n="508" f="v">
      <t c="3" si="4">
        <n x="509"/>
        <n x="247"/>
        <n x="494"/>
      </t>
    </mdx>
    <mdx n="508" f="v">
      <t c="3" si="4">
        <n x="509"/>
        <n x="288"/>
        <n x="495"/>
      </t>
    </mdx>
    <mdx n="508" f="v">
      <t c="3" si="4">
        <n x="509"/>
        <n x="197"/>
        <n x="466"/>
      </t>
    </mdx>
    <mdx n="508" f="v">
      <t c="3" si="4">
        <n x="509"/>
        <n x="366"/>
        <n x="479"/>
      </t>
    </mdx>
    <mdx n="508" f="v">
      <t c="3" si="4">
        <n x="509"/>
        <n x="203"/>
        <n x="483"/>
      </t>
    </mdx>
    <mdx n="508" f="v">
      <t c="3" si="4">
        <n x="509"/>
        <n x="464"/>
        <n x="488"/>
      </t>
    </mdx>
    <mdx n="508" f="v">
      <t c="3" si="4">
        <n x="509"/>
        <n x="353"/>
        <n x="482"/>
      </t>
    </mdx>
    <mdx n="508" f="v">
      <t c="3" si="4">
        <n x="509"/>
        <n x="441"/>
        <n x="486"/>
      </t>
    </mdx>
    <mdx n="508" f="v">
      <t c="3" si="4">
        <n x="509"/>
        <n x="166"/>
        <n x="485"/>
      </t>
    </mdx>
    <mdx n="508" f="v">
      <t c="3" si="4">
        <n x="509"/>
        <n x="206"/>
        <n x="487"/>
      </t>
    </mdx>
    <mdx n="508" f="v">
      <t c="3" si="4">
        <n x="509"/>
        <n x="47"/>
        <n x="489"/>
      </t>
    </mdx>
    <mdx n="508" f="v">
      <t c="3" si="4">
        <n x="509"/>
        <n x="38"/>
        <n x="487"/>
      </t>
    </mdx>
    <mdx n="508" f="v">
      <t c="3" si="4">
        <n x="509"/>
        <n x="198"/>
        <n x="490"/>
      </t>
    </mdx>
    <mdx n="508" f="v">
      <t c="3" si="4">
        <n x="509"/>
        <n x="355"/>
        <n x="485"/>
      </t>
    </mdx>
    <mdx n="508" f="v">
      <t c="3" si="4">
        <n x="509"/>
        <n x="453"/>
        <n x="490"/>
      </t>
    </mdx>
    <mdx n="508" f="v">
      <t c="3" si="4">
        <n x="509"/>
        <n x="17"/>
        <n x="491"/>
      </t>
    </mdx>
    <mdx n="508" f="v">
      <t c="3" si="4">
        <n x="509"/>
        <n x="82"/>
        <n x="471"/>
      </t>
    </mdx>
    <mdx n="508" f="v">
      <t c="3" si="4">
        <n x="509"/>
        <n x="21"/>
        <n x="489"/>
      </t>
    </mdx>
    <mdx n="508" f="v">
      <t c="3" si="4">
        <n x="509"/>
        <n x="9"/>
        <n x="490"/>
      </t>
    </mdx>
    <mdx n="508" f="v">
      <t c="3" si="4">
        <n x="509"/>
        <n x="332"/>
        <n x="491"/>
      </t>
    </mdx>
    <mdx n="508" f="v">
      <t c="3" si="4">
        <n x="509"/>
        <n x="76"/>
        <n x="483"/>
      </t>
    </mdx>
    <mdx n="508" f="v">
      <t c="3" si="4">
        <n x="509"/>
        <n x="288"/>
        <n x="489"/>
      </t>
    </mdx>
    <mdx n="508" f="v">
      <t c="3" si="4">
        <n x="509"/>
        <n x="50"/>
        <n x="491"/>
      </t>
    </mdx>
    <mdx n="508" f="v">
      <t c="3" si="4">
        <n x="509"/>
        <n x="317"/>
        <n x="486"/>
      </t>
    </mdx>
    <mdx n="508" f="v">
      <t c="3" si="4">
        <n x="509"/>
        <n x="414"/>
        <n x="485"/>
      </t>
    </mdx>
    <mdx n="508" f="v">
      <t c="3" si="4">
        <n x="509"/>
        <n x="281"/>
        <n x="490"/>
      </t>
    </mdx>
    <mdx n="508" f="v">
      <t c="3" si="4">
        <n x="509"/>
        <n x="321"/>
        <n x="491"/>
      </t>
    </mdx>
    <mdx n="508" f="v">
      <t c="3" si="4">
        <n x="509"/>
        <n x="360"/>
        <n x="489"/>
      </t>
    </mdx>
    <mdx n="508" f="v">
      <t c="3" si="4">
        <n x="509"/>
        <n x="455"/>
        <n x="486"/>
      </t>
    </mdx>
    <mdx n="508" f="v">
      <t c="3" si="4">
        <n x="509"/>
        <n x="47"/>
        <n x="490"/>
      </t>
    </mdx>
    <mdx n="508" f="v">
      <t c="3" si="4">
        <n x="509"/>
        <n x="233"/>
        <n x="491"/>
      </t>
    </mdx>
    <mdx n="508" f="v">
      <t c="3" si="4">
        <n x="509"/>
        <n x="354"/>
        <n x="491"/>
      </t>
    </mdx>
    <mdx n="508" f="v">
      <t c="3" si="4">
        <n x="509"/>
        <n x="96"/>
        <n x="488"/>
      </t>
    </mdx>
    <mdx n="508" f="v">
      <t c="3" si="4">
        <n x="509"/>
        <n x="230"/>
        <n x="490"/>
      </t>
    </mdx>
    <mdx n="508" f="v">
      <t c="3" si="4">
        <n x="509"/>
        <n x="115"/>
        <n x="491"/>
      </t>
    </mdx>
    <mdx n="508" f="v">
      <t c="3" si="4">
        <n x="509"/>
        <n x="267"/>
        <n x="492"/>
      </t>
    </mdx>
    <mdx n="508" f="v">
      <t c="3" si="4">
        <n x="509"/>
        <n x="69"/>
        <n x="492"/>
      </t>
    </mdx>
    <mdx n="508" f="v">
      <t c="3" si="4">
        <n x="509"/>
        <n x="190"/>
        <n x="492"/>
      </t>
    </mdx>
    <mdx n="508" f="v">
      <t c="3" si="4">
        <n x="509"/>
        <n x="313"/>
        <n x="492"/>
      </t>
    </mdx>
    <mdx n="508" f="v">
      <t c="3" si="4">
        <n x="509"/>
        <n x="331"/>
        <n x="492"/>
      </t>
    </mdx>
    <mdx n="508" f="v">
      <t c="3" si="4">
        <n x="509"/>
        <n x="324"/>
        <n x="492"/>
      </t>
    </mdx>
    <mdx n="508" f="v">
      <t c="3" si="4">
        <n x="509"/>
        <n x="319"/>
        <n x="492"/>
      </t>
    </mdx>
    <mdx n="508" f="v">
      <t c="3" si="4">
        <n x="509"/>
        <n x="30"/>
        <n x="493"/>
      </t>
    </mdx>
    <mdx n="508" f="v">
      <t c="3" si="4">
        <n x="509"/>
        <n x="42"/>
        <n x="493"/>
      </t>
    </mdx>
    <mdx n="508" f="v">
      <t c="3" si="4">
        <n x="509"/>
        <n x="339"/>
        <n x="493"/>
      </t>
    </mdx>
    <mdx n="508" f="v">
      <t c="3" si="4">
        <n x="509"/>
        <n x="19"/>
        <n x="493"/>
      </t>
    </mdx>
    <mdx n="508" f="v">
      <t c="3" si="4">
        <n x="509"/>
        <n x="85"/>
        <n x="493"/>
      </t>
    </mdx>
    <mdx n="508" f="v">
      <t c="3" si="4">
        <n x="509"/>
        <n x="421"/>
        <n x="493"/>
      </t>
    </mdx>
    <mdx n="508" f="v">
      <t c="3" si="4">
        <n x="509"/>
        <n x="259"/>
        <n x="493"/>
      </t>
    </mdx>
    <mdx n="508" f="v">
      <t c="3" si="4">
        <n x="509"/>
        <n x="37"/>
        <n x="494"/>
      </t>
    </mdx>
    <mdx n="508" f="v">
      <t c="3" si="4">
        <n x="509"/>
        <n x="147"/>
        <n x="494"/>
      </t>
    </mdx>
    <mdx n="508" f="v">
      <t c="3" si="4">
        <n x="509"/>
        <n x="9"/>
        <n x="468"/>
      </t>
    </mdx>
    <mdx n="508" f="v">
      <t c="3" si="4">
        <n x="509"/>
        <n x="57"/>
        <n x="480"/>
      </t>
    </mdx>
    <mdx n="508" f="v">
      <t c="3" si="4">
        <n x="509"/>
        <n x="288"/>
        <n x="484"/>
      </t>
    </mdx>
    <mdx n="508" f="v">
      <t c="3" si="4">
        <n x="509"/>
        <n x="66"/>
        <n x="485"/>
      </t>
    </mdx>
    <mdx n="508" f="v">
      <t c="3" si="4">
        <n x="509"/>
        <n x="355"/>
        <n x="487"/>
      </t>
    </mdx>
    <mdx n="508" f="v">
      <t c="3" si="4">
        <n x="509"/>
        <n x="264"/>
        <n x="488"/>
      </t>
    </mdx>
    <mdx n="508" f="v">
      <t c="3" si="4">
        <n x="509"/>
        <n x="238"/>
        <n x="488"/>
      </t>
    </mdx>
    <mdx n="508" f="v">
      <t c="3" si="4">
        <n x="509"/>
        <n x="393"/>
        <n x="488"/>
      </t>
    </mdx>
    <mdx n="508" f="v">
      <t c="3" si="4">
        <n x="509"/>
        <n x="247"/>
        <n x="484"/>
      </t>
    </mdx>
    <mdx n="508" f="v">
      <t c="3" si="4">
        <n x="509"/>
        <n x="372"/>
        <n x="487"/>
      </t>
    </mdx>
    <mdx n="508" f="v">
      <t c="3" si="4">
        <n x="509"/>
        <n x="413"/>
        <n x="488"/>
      </t>
    </mdx>
    <mdx n="508" f="v">
      <t c="3" si="4">
        <n x="509"/>
        <n x="333"/>
        <n x="489"/>
      </t>
    </mdx>
    <mdx n="508" f="v">
      <t c="3" si="4">
        <n x="509"/>
        <n x="37"/>
        <n x="486"/>
      </t>
    </mdx>
    <mdx n="508" f="v">
      <t c="3" si="4">
        <n x="509"/>
        <n x="456"/>
        <n x="490"/>
      </t>
    </mdx>
    <mdx n="508" f="v">
      <t c="3" si="4">
        <n x="509"/>
        <n x="155"/>
        <n x="491"/>
      </t>
    </mdx>
    <mdx n="508" f="v">
      <t c="3" si="4">
        <n x="509"/>
        <n x="340"/>
        <n x="487"/>
      </t>
    </mdx>
    <mdx n="508" f="v">
      <t c="3" si="4">
        <n x="509"/>
        <n x="441"/>
        <n x="490"/>
      </t>
    </mdx>
    <mdx n="508" f="v">
      <t c="3" si="4">
        <n x="509"/>
        <n x="376"/>
        <n x="491"/>
      </t>
    </mdx>
    <mdx n="508" f="v">
      <t c="3" si="4">
        <n x="509"/>
        <n x="239"/>
        <n x="480"/>
      </t>
    </mdx>
    <mdx n="508" f="v">
      <t c="3" si="4">
        <n x="509"/>
        <n x="355"/>
        <n x="489"/>
      </t>
    </mdx>
    <mdx n="508" f="v">
      <t c="3" si="4">
        <n x="509"/>
        <n x="361"/>
        <n x="490"/>
      </t>
    </mdx>
    <mdx n="508" f="v">
      <t c="3" si="4">
        <n x="509"/>
        <n x="118"/>
        <n x="491"/>
      </t>
    </mdx>
    <mdx n="508" f="v">
      <t c="3" si="4">
        <n x="509"/>
        <n x="16"/>
        <n x="483"/>
      </t>
    </mdx>
    <mdx n="508" f="v">
      <t c="3" si="4">
        <n x="509"/>
        <n x="328"/>
        <n x="489"/>
      </t>
    </mdx>
    <mdx n="508" f="v">
      <t c="3" si="4">
        <n x="509"/>
        <n x="362"/>
        <n x="491"/>
      </t>
    </mdx>
    <mdx n="508" f="v">
      <t c="3" si="4">
        <n x="509"/>
        <n x="179"/>
        <n x="487"/>
      </t>
    </mdx>
    <mdx n="508" f="v">
      <t c="3" si="4">
        <n x="509"/>
        <n x="337"/>
        <n x="485"/>
      </t>
    </mdx>
    <mdx n="508" f="v">
      <t c="3" si="4">
        <n x="509"/>
        <n x="287"/>
        <n x="490"/>
      </t>
    </mdx>
    <mdx n="508" f="v">
      <t c="3" si="4">
        <n x="509"/>
        <n x="304"/>
        <n x="491"/>
      </t>
    </mdx>
    <mdx n="508" f="v">
      <t c="3" si="4">
        <n x="509"/>
        <n x="380"/>
        <n x="489"/>
      </t>
    </mdx>
    <mdx n="508" f="v">
      <t c="3" si="4">
        <n x="509"/>
        <n x="206"/>
        <n x="486"/>
      </t>
    </mdx>
    <mdx n="508" f="v">
      <t c="3" si="4">
        <n x="509"/>
        <n x="147"/>
        <n x="490"/>
      </t>
    </mdx>
    <mdx n="508" f="v">
      <t c="3" si="4">
        <n x="509"/>
        <n x="381"/>
        <n x="491"/>
      </t>
    </mdx>
    <mdx n="508" f="v">
      <t c="3" si="4">
        <n x="509"/>
        <n x="300"/>
        <n x="491"/>
      </t>
    </mdx>
    <mdx n="508" f="v">
      <t c="3" si="4">
        <n x="509"/>
        <n x="148"/>
        <n x="488"/>
      </t>
    </mdx>
    <mdx n="508" f="v">
      <t c="3" si="4">
        <n x="509"/>
        <n x="317"/>
        <n x="490"/>
      </t>
    </mdx>
    <mdx n="508" f="v">
      <t c="3" si="4">
        <n x="509"/>
        <n x="97"/>
        <n x="491"/>
      </t>
    </mdx>
    <mdx n="508" f="v">
      <t c="3" si="4">
        <n x="509"/>
        <n x="167"/>
        <n x="492"/>
      </t>
    </mdx>
    <mdx n="508" f="v">
      <t c="3" si="4">
        <n x="509"/>
        <n x="367"/>
        <n x="492"/>
      </t>
    </mdx>
    <mdx n="508" f="v">
      <t c="3" si="4">
        <n x="509"/>
        <n x="440"/>
        <n x="492"/>
      </t>
    </mdx>
    <mdx n="508" f="v">
      <t c="3" si="4">
        <n x="509"/>
        <n x="211"/>
        <n x="492"/>
      </t>
    </mdx>
    <mdx n="508" f="v">
      <t c="3" si="4">
        <n x="509"/>
        <n x="121"/>
        <n x="492"/>
      </t>
    </mdx>
    <mdx n="508" f="v">
      <t c="3" si="4">
        <n x="509"/>
        <n x="392"/>
        <n x="492"/>
      </t>
    </mdx>
    <mdx n="508" f="v">
      <t c="3" si="4">
        <n x="509"/>
        <n x="13"/>
        <n x="492"/>
      </t>
    </mdx>
    <mdx n="508" f="v">
      <t c="3" si="4">
        <n x="509"/>
        <n x="138"/>
        <n x="493"/>
      </t>
    </mdx>
    <mdx n="508" f="v">
      <t c="3" si="4">
        <n x="509"/>
        <n x="348"/>
        <n x="493"/>
      </t>
    </mdx>
    <mdx n="508" f="v">
      <t c="3" si="4">
        <n x="509"/>
        <n x="336"/>
        <n x="493"/>
      </t>
    </mdx>
    <mdx n="508" f="v">
      <t c="3" si="4">
        <n x="509"/>
        <n x="17"/>
        <n x="493"/>
      </t>
    </mdx>
    <mdx n="508" f="v">
      <t c="3" si="4">
        <n x="509"/>
        <n x="373"/>
        <n x="493"/>
      </t>
    </mdx>
    <mdx n="508" f="v">
      <t c="3" si="4">
        <n x="509"/>
        <n x="39"/>
        <n x="493"/>
      </t>
    </mdx>
    <mdx n="508" f="v">
      <t c="3" si="4">
        <n x="509"/>
        <n x="253"/>
        <n x="493"/>
      </t>
    </mdx>
    <mdx n="508" f="v">
      <t c="3" si="4">
        <n x="509"/>
        <n x="145"/>
        <n x="494"/>
      </t>
    </mdx>
    <mdx n="508" f="v">
      <t c="3" si="4">
        <n x="509"/>
        <n x="146"/>
        <n x="494"/>
      </t>
    </mdx>
    <mdx n="508" f="v">
      <t c="3" si="4">
        <n x="509"/>
        <n x="366"/>
        <n x="476"/>
      </t>
    </mdx>
    <mdx n="508" f="v">
      <t c="3" si="4">
        <n x="509"/>
        <n x="377"/>
        <n x="481"/>
      </t>
    </mdx>
    <mdx n="508" f="v">
      <t c="3" si="4">
        <n x="509"/>
        <n x="187"/>
        <n x="485"/>
      </t>
    </mdx>
    <mdx n="508" f="v">
      <t c="3" si="4">
        <n x="509"/>
        <n x="461"/>
        <n x="485"/>
      </t>
    </mdx>
    <mdx n="508" f="v">
      <t c="3" si="4">
        <n x="509"/>
        <n x="244"/>
        <n x="487"/>
      </t>
    </mdx>
    <mdx n="508" f="v">
      <t c="3" si="4">
        <n x="509"/>
        <n x="280"/>
        <n x="488"/>
      </t>
    </mdx>
    <mdx n="508" f="v">
      <t c="3" si="4">
        <n x="509"/>
        <n x="175"/>
        <n x="488"/>
      </t>
    </mdx>
    <mdx n="508" f="v">
      <t c="3" si="4">
        <n x="509"/>
        <n x="371"/>
        <n x="488"/>
      </t>
    </mdx>
    <mdx n="508" f="v">
      <t c="3" si="4">
        <n x="509"/>
        <n x="379"/>
        <n x="484"/>
      </t>
    </mdx>
    <mdx n="508" f="v">
      <t c="3" si="4">
        <n x="509"/>
        <n x="402"/>
        <n x="487"/>
      </t>
    </mdx>
    <mdx n="508" f="v">
      <t c="3" si="4">
        <n x="509"/>
        <n x="292"/>
        <n x="488"/>
      </t>
    </mdx>
    <mdx n="508" f="v">
      <t c="3" si="4">
        <n x="509"/>
        <n x="393"/>
        <n x="489"/>
      </t>
    </mdx>
    <mdx n="508" f="v">
      <t c="3" si="4">
        <n x="509"/>
        <n x="304"/>
        <n x="486"/>
      </t>
    </mdx>
    <mdx n="508" f="v">
      <t c="3" si="4">
        <n x="509"/>
        <n x="182"/>
        <n x="490"/>
      </t>
    </mdx>
    <mdx n="508" f="v">
      <t c="3" si="4">
        <n x="509"/>
        <n x="27"/>
        <n x="491"/>
      </t>
    </mdx>
    <mdx n="508" f="v">
      <t c="3" si="4">
        <n x="509"/>
        <n x="60"/>
        <n x="487"/>
      </t>
    </mdx>
    <mdx n="508" f="v">
      <t c="3" si="4">
        <n x="509"/>
        <n x="156"/>
        <n x="490"/>
      </t>
    </mdx>
    <mdx n="508" f="v">
      <t c="3" si="4">
        <n x="509"/>
        <n x="449"/>
        <n x="491"/>
      </t>
    </mdx>
    <mdx n="508" f="v">
      <t c="3" si="4">
        <n x="509"/>
        <n x="182"/>
        <n x="481"/>
      </t>
    </mdx>
    <mdx n="508" f="v">
      <t c="3" si="4">
        <n x="509"/>
        <n x="303"/>
        <n x="489"/>
      </t>
    </mdx>
    <mdx n="508" f="v">
      <t c="3" si="4">
        <n x="509"/>
        <n x="66"/>
        <n x="490"/>
      </t>
    </mdx>
    <mdx n="508" f="v">
      <t c="3" si="4">
        <n x="509"/>
        <n x="100"/>
        <n x="491"/>
      </t>
    </mdx>
    <mdx n="508" f="v">
      <t c="3" si="4">
        <n x="509"/>
        <n x="246"/>
        <n x="484"/>
      </t>
    </mdx>
    <mdx n="508" f="v">
      <t c="3" si="4">
        <n x="509"/>
        <n x="76"/>
        <n x="489"/>
      </t>
    </mdx>
    <mdx n="508" f="v">
      <t c="3" si="4">
        <n x="509"/>
        <n x="152"/>
        <n x="491"/>
      </t>
    </mdx>
    <mdx n="508" f="v">
      <t c="3" si="4">
        <n x="509"/>
        <n x="381"/>
        <n x="488"/>
      </t>
    </mdx>
    <mdx n="508" f="v">
      <t c="3" si="4">
        <n x="509"/>
        <n x="344"/>
        <n x="486"/>
      </t>
    </mdx>
    <mdx n="508" f="v">
      <t c="3" si="4">
        <n x="509"/>
        <n x="295"/>
        <n x="490"/>
      </t>
    </mdx>
    <mdx n="508" f="v">
      <t c="3" si="4">
        <n x="509"/>
        <n x="361"/>
        <n x="491"/>
      </t>
    </mdx>
    <mdx n="508" f="v">
      <t c="3" si="4">
        <n x="509"/>
        <n x="160"/>
        <n x="489"/>
      </t>
    </mdx>
    <mdx n="508" f="v">
      <t c="3" si="4">
        <n x="509"/>
        <n x="408"/>
        <n x="486"/>
      </t>
    </mdx>
    <mdx n="508" f="v">
      <t c="3" si="4">
        <n x="509"/>
        <n x="245"/>
        <n x="490"/>
      </t>
    </mdx>
    <mdx n="508" f="v">
      <t c="3" si="4">
        <n x="509"/>
        <n x="303"/>
        <n x="491"/>
      </t>
    </mdx>
    <mdx n="508" f="v">
      <t c="3" si="4">
        <n x="509"/>
        <n x="429"/>
        <n x="491"/>
      </t>
    </mdx>
    <mdx n="508" f="v">
      <t c="3" si="4">
        <n x="509"/>
        <n x="100"/>
        <n x="488"/>
      </t>
    </mdx>
    <mdx n="508" f="v">
      <t c="3" si="4">
        <n x="509"/>
        <n x="7"/>
        <n x="490"/>
      </t>
    </mdx>
    <mdx n="508" f="v">
      <t c="3" si="4">
        <n x="509"/>
        <n x="366"/>
        <n x="491"/>
      </t>
    </mdx>
    <mdx n="508" f="v">
      <t c="3" si="4">
        <n x="509"/>
        <n x="265"/>
        <n x="492"/>
      </t>
    </mdx>
    <mdx n="508" f="v">
      <t c="3" si="4">
        <n x="509"/>
        <n x="455"/>
        <n x="492"/>
      </t>
    </mdx>
    <mdx n="508" f="v">
      <t c="3" si="4">
        <n x="509"/>
        <n x="171"/>
        <n x="492"/>
      </t>
    </mdx>
    <mdx n="508" f="v">
      <t c="3" si="4">
        <n x="509"/>
        <n x="71"/>
        <n x="492"/>
      </t>
    </mdx>
    <mdx n="508" f="v">
      <t c="3" si="4">
        <n x="509"/>
        <n x="107"/>
        <n x="492"/>
      </t>
    </mdx>
    <mdx n="508" f="v">
      <t c="3" si="4">
        <n x="509"/>
        <n x="389"/>
        <n x="492"/>
      </t>
    </mdx>
    <mdx n="508" f="v">
      <t c="3" si="4">
        <n x="509"/>
        <n x="379"/>
        <n x="492"/>
      </t>
    </mdx>
    <mdx n="508" f="v">
      <t c="3" si="4">
        <n x="509"/>
        <n x="134"/>
        <n x="493"/>
      </t>
    </mdx>
    <mdx n="508" f="v">
      <t c="3" si="4">
        <n x="509"/>
        <n x="418"/>
        <n x="493"/>
      </t>
    </mdx>
    <mdx n="508" f="v">
      <t c="3" si="4">
        <n x="509"/>
        <n x="132"/>
        <n x="493"/>
      </t>
    </mdx>
    <mdx n="508" f="v">
      <t c="3" si="4">
        <n x="509"/>
        <n x="390"/>
        <n x="493"/>
      </t>
    </mdx>
    <mdx n="508" f="v">
      <t c="3" si="4">
        <n x="509"/>
        <n x="78"/>
        <n x="493"/>
      </t>
    </mdx>
    <mdx n="508" f="v">
      <t c="3" si="4">
        <n x="509"/>
        <n x="148"/>
        <n x="493"/>
      </t>
    </mdx>
    <mdx n="508" f="v">
      <t c="3" si="4">
        <n x="509"/>
        <n x="31"/>
        <n x="493"/>
      </t>
    </mdx>
    <mdx n="508" f="v">
      <t c="3" si="4">
        <n x="509"/>
        <n x="258"/>
        <n x="494"/>
      </t>
    </mdx>
    <mdx n="508" f="v">
      <t c="3" si="4">
        <n x="509"/>
        <n x="144"/>
        <n x="494"/>
      </t>
    </mdx>
    <mdx n="508" f="v">
      <t c="3" si="4">
        <n x="509"/>
        <n x="299"/>
        <n x="494"/>
      </t>
    </mdx>
    <mdx n="508" f="v">
      <t c="3" si="4">
        <n x="509"/>
        <n x="224"/>
        <n x="494"/>
      </t>
    </mdx>
    <mdx n="508" f="v">
      <t c="3" si="4">
        <n x="509"/>
        <n x="218"/>
        <n x="494"/>
      </t>
    </mdx>
    <mdx n="508" f="v">
      <t c="3" si="4">
        <n x="509"/>
        <n x="320"/>
        <n x="494"/>
      </t>
    </mdx>
    <mdx n="508" f="v">
      <t c="3" si="4">
        <n x="509"/>
        <n x="432"/>
        <n x="494"/>
      </t>
    </mdx>
    <mdx n="508" f="v">
      <t c="3" si="4">
        <n x="509"/>
        <n x="169"/>
        <n x="495"/>
      </t>
    </mdx>
    <mdx n="508" f="v">
      <t c="3" si="4">
        <n x="509"/>
        <n x="187"/>
        <n x="484"/>
      </t>
    </mdx>
    <mdx n="508" f="v">
      <t c="3" si="4">
        <n x="509"/>
        <n x="141"/>
        <n x="488"/>
      </t>
    </mdx>
    <mdx n="508" f="v">
      <t c="3" si="4">
        <n x="509"/>
        <n x="204"/>
        <n x="491"/>
      </t>
    </mdx>
    <mdx n="508" f="v">
      <t c="3" si="4">
        <n x="509"/>
        <n x="226"/>
        <n x="485"/>
      </t>
    </mdx>
    <mdx n="508" f="v">
      <t c="3" si="4">
        <n x="509"/>
        <n x="47"/>
        <n x="488"/>
      </t>
    </mdx>
    <mdx n="508" f="v">
      <t c="3" si="4">
        <n x="509"/>
        <n x="55"/>
        <n x="492"/>
      </t>
    </mdx>
    <mdx n="508" f="v">
      <t c="3" si="4">
        <n x="509"/>
        <n x="353"/>
        <n x="492"/>
      </t>
    </mdx>
    <mdx n="508" f="v">
      <t c="3" si="4">
        <n x="509"/>
        <n x="455"/>
        <n x="493"/>
      </t>
    </mdx>
    <mdx n="508" f="v">
      <t c="3" si="4">
        <n x="509"/>
        <n x="363"/>
        <n x="493"/>
      </t>
    </mdx>
    <mdx n="508" f="v">
      <t c="3" si="4">
        <n x="509"/>
        <n x="418"/>
        <n x="494"/>
      </t>
    </mdx>
    <mdx n="508" f="v">
      <t c="3" si="4">
        <n x="509"/>
        <n x="49"/>
        <n x="494"/>
      </t>
    </mdx>
    <mdx n="508" f="v">
      <t c="3" si="4">
        <n x="509"/>
        <n x="18"/>
        <n x="494"/>
      </t>
    </mdx>
    <mdx n="508" f="v">
      <t c="3" si="4">
        <n x="509"/>
        <n x="39"/>
        <n x="494"/>
      </t>
    </mdx>
    <mdx n="508" f="v">
      <t c="3" si="4">
        <n x="509"/>
        <n x="80"/>
        <n x="494"/>
      </t>
    </mdx>
    <mdx n="508" f="v">
      <t c="3" si="4">
        <n x="509"/>
        <n x="110"/>
        <n x="495"/>
      </t>
    </mdx>
    <mdx n="508" f="v">
      <t c="3" si="4">
        <n x="509"/>
        <n x="283"/>
        <n x="495"/>
      </t>
    </mdx>
    <mdx n="508" f="v">
      <t c="3" si="4">
        <n x="509"/>
        <n x="156"/>
        <n x="495"/>
      </t>
    </mdx>
    <mdx n="508" f="v">
      <t c="3" si="4">
        <n x="509"/>
        <n x="280"/>
        <n x="495"/>
      </t>
    </mdx>
    <mdx n="508" f="v">
      <t c="3" si="4">
        <n x="509"/>
        <n x="34"/>
        <n x="495"/>
      </t>
    </mdx>
    <mdx n="508" f="v">
      <t c="3" si="4">
        <n x="509"/>
        <n x="13"/>
        <n x="495"/>
      </t>
    </mdx>
    <mdx n="508" f="v">
      <t c="3" si="4">
        <n x="509"/>
        <n x="16"/>
        <n x="495"/>
      </t>
    </mdx>
    <mdx n="508" f="v">
      <t c="3" si="4">
        <n x="509"/>
        <n x="253"/>
        <n x="477"/>
      </t>
    </mdx>
    <mdx n="508" f="v">
      <t c="3" si="4">
        <n x="509"/>
        <n x="310"/>
        <n x="484"/>
      </t>
    </mdx>
    <mdx n="508" f="v">
      <t c="3" si="4">
        <n x="509"/>
        <n x="141"/>
        <n x="490"/>
      </t>
    </mdx>
    <mdx n="508" f="v">
      <t c="3" si="4">
        <n x="509"/>
        <n x="372"/>
        <n x="491"/>
      </t>
    </mdx>
    <mdx n="508" f="v">
      <t c="3" si="4">
        <n x="509"/>
        <n x="448"/>
        <n x="491"/>
      </t>
    </mdx>
    <mdx n="508" f="v">
      <t c="3" si="4">
        <n x="509"/>
        <n x="18"/>
        <n x="492"/>
      </t>
    </mdx>
    <mdx n="508" f="v">
      <t c="3" si="4">
        <n x="509"/>
        <n x="295"/>
        <n x="493"/>
      </t>
    </mdx>
    <mdx n="508" f="v">
      <t c="3" si="4">
        <n x="509"/>
        <n x="10"/>
        <n x="493"/>
      </t>
    </mdx>
    <mdx n="508" f="v">
      <t c="3" si="4">
        <n x="509"/>
        <n x="73"/>
        <n x="494"/>
      </t>
    </mdx>
    <mdx n="508" f="v">
      <t c="3" si="4">
        <n x="509"/>
        <n x="25"/>
        <n x="494"/>
      </t>
    </mdx>
    <mdx n="508" f="v">
      <t c="3" si="4">
        <n x="509"/>
        <n x="43"/>
        <n x="494"/>
      </t>
    </mdx>
    <mdx n="508" f="v">
      <t c="3" si="4">
        <n x="509"/>
        <n x="392"/>
        <n x="494"/>
      </t>
    </mdx>
    <mdx n="508" f="v">
      <t c="3" si="4">
        <n x="509"/>
        <n x="403"/>
        <n x="494"/>
      </t>
    </mdx>
    <mdx n="508" f="v">
      <t c="3" si="4">
        <n x="509"/>
        <n x="145"/>
        <n x="495"/>
      </t>
    </mdx>
    <mdx n="508" f="v">
      <t c="3" si="4">
        <n x="509"/>
        <n x="217"/>
        <n x="495"/>
      </t>
    </mdx>
    <mdx n="508" f="v">
      <t c="3" si="4">
        <n x="509"/>
        <n x="166"/>
        <n x="495"/>
      </t>
    </mdx>
    <mdx n="508" f="v">
      <t c="3" si="4">
        <n x="509"/>
        <n x="165"/>
        <n x="495"/>
      </t>
    </mdx>
    <mdx n="508" f="v">
      <t c="3" si="4">
        <n x="509"/>
        <n x="210"/>
        <n x="495"/>
      </t>
    </mdx>
    <mdx n="508" f="v">
      <t c="3" si="4">
        <n x="509"/>
        <n x="247"/>
        <n x="495"/>
      </t>
    </mdx>
    <mdx n="508" f="v">
      <t c="3" si="4">
        <n x="509"/>
        <n x="103"/>
        <n x="495"/>
      </t>
    </mdx>
    <mdx n="508" f="v">
      <t c="3" si="4">
        <n x="509"/>
        <n x="319"/>
        <n x="495"/>
      </t>
    </mdx>
    <mdx n="508" f="v">
      <t c="3" si="4">
        <n x="509"/>
        <n x="329"/>
        <n x="471"/>
      </t>
    </mdx>
    <mdx n="508" f="v">
      <t c="3" si="4">
        <n x="509"/>
        <n x="313"/>
        <n x="491"/>
      </t>
    </mdx>
    <mdx n="508" f="v">
      <t c="3" si="4">
        <n x="509"/>
        <n x="143"/>
        <n x="485"/>
      </t>
    </mdx>
    <mdx n="508" f="v">
      <t c="3" si="4">
        <n x="509"/>
        <n x="51"/>
        <n x="487"/>
      </t>
    </mdx>
    <mdx n="508" f="v">
      <t c="3" si="4">
        <n x="509"/>
        <n x="434"/>
        <n x="492"/>
      </t>
    </mdx>
    <mdx n="508" f="v">
      <t c="3" si="4">
        <n x="509"/>
        <n x="58"/>
        <n x="493"/>
      </t>
    </mdx>
    <mdx n="508" f="v">
      <t c="3" si="4">
        <n x="509"/>
        <n x="130"/>
        <n x="493"/>
      </t>
    </mdx>
    <mdx n="508" f="v">
      <t c="3" si="4">
        <n x="509"/>
        <n x="30"/>
        <n x="494"/>
      </t>
    </mdx>
    <mdx n="508" f="v">
      <t c="3" si="4">
        <n x="509"/>
        <n x="306"/>
        <n x="494"/>
      </t>
    </mdx>
    <mdx n="508" f="v">
      <t c="3" si="4">
        <n x="509"/>
        <n x="462"/>
        <n x="494"/>
      </t>
    </mdx>
    <mdx n="508" f="v">
      <t c="3" si="4">
        <n x="509"/>
        <n x="426"/>
        <n x="494"/>
      </t>
    </mdx>
    <mdx n="508" f="v">
      <t c="3" si="4">
        <n x="509"/>
        <n x="271"/>
        <n x="494"/>
      </t>
    </mdx>
    <mdx n="508" f="v">
      <t c="3" si="4">
        <n x="509"/>
        <n x="364"/>
        <n x="495"/>
      </t>
    </mdx>
    <mdx n="508" f="v">
      <t c="3" si="4">
        <n x="509"/>
        <n x="133"/>
        <n x="495"/>
      </t>
    </mdx>
    <mdx n="508" f="v">
      <t c="3" si="4">
        <n x="509"/>
        <n x="87"/>
        <n x="495"/>
      </t>
    </mdx>
    <mdx n="508" f="v">
      <t c="3" si="4">
        <n x="509"/>
        <n x="455"/>
        <n x="495"/>
      </t>
    </mdx>
    <mdx n="508" f="v">
      <t c="3" si="4">
        <n x="509"/>
        <n x="393"/>
        <n x="495"/>
      </t>
    </mdx>
    <mdx n="508" f="v">
      <t c="3" si="4">
        <n x="509"/>
        <n x="298"/>
        <n x="495"/>
      </t>
    </mdx>
    <mdx n="508" f="v">
      <t c="3" si="4">
        <n x="509"/>
        <n x="152"/>
        <n x="495"/>
      </t>
    </mdx>
    <mdx n="508" f="v">
      <t c="3" si="4">
        <n x="509"/>
        <n x="15"/>
        <n x="482"/>
      </t>
    </mdx>
    <mdx n="508" f="v">
      <t c="3" si="4">
        <n x="509"/>
        <n x="74"/>
        <n x="491"/>
      </t>
    </mdx>
    <mdx n="508" f="v">
      <t c="3" si="4">
        <n x="509"/>
        <n x="102"/>
        <n x="486"/>
      </t>
    </mdx>
    <mdx n="508" f="v">
      <t c="3" si="4">
        <n x="509"/>
        <n x="39"/>
        <n x="488"/>
      </t>
    </mdx>
    <mdx n="508" f="v">
      <t c="3" si="4">
        <n x="509"/>
        <n x="453"/>
        <n x="492"/>
      </t>
    </mdx>
    <mdx n="508" f="v">
      <t c="3" si="4">
        <n x="509"/>
        <n x="434"/>
        <n x="493"/>
      </t>
    </mdx>
    <mdx n="508" f="v">
      <t c="3" si="4">
        <n x="509"/>
        <n x="230"/>
        <n x="493"/>
      </t>
    </mdx>
    <mdx n="508" f="v">
      <t c="3" si="4">
        <n x="509"/>
        <n x="138"/>
        <n x="494"/>
      </t>
    </mdx>
    <mdx n="508" f="v">
      <t c="3" si="4">
        <n x="509"/>
        <n x="75"/>
        <n x="494"/>
      </t>
    </mdx>
    <mdx n="508" f="v">
      <t c="3" si="4">
        <n x="509"/>
        <n x="202"/>
        <n x="494"/>
      </t>
    </mdx>
    <mdx n="508" f="v">
      <t c="3" si="4">
        <n x="509"/>
        <n x="347"/>
        <n x="494"/>
      </t>
    </mdx>
    <mdx n="508" f="v">
      <t c="3" si="4">
        <n x="509"/>
        <n x="177"/>
        <n x="494"/>
      </t>
    </mdx>
    <mdx n="508" f="v">
      <t c="3" si="4">
        <n x="509"/>
        <n x="279"/>
        <n x="495"/>
      </t>
    </mdx>
    <mdx n="508" f="v">
      <t c="3" si="4">
        <n x="509"/>
        <n x="245"/>
        <n x="495"/>
      </t>
    </mdx>
    <mdx n="508" f="v">
      <t c="3" si="4">
        <n x="509"/>
        <n x="306"/>
        <n x="495"/>
      </t>
    </mdx>
    <mdx n="508" f="v">
      <t c="3" si="4">
        <n x="509"/>
        <n x="281"/>
        <n x="495"/>
      </t>
    </mdx>
    <mdx n="508" f="v">
      <t c="3" si="4">
        <n x="509"/>
        <n x="115"/>
        <n x="495"/>
      </t>
    </mdx>
    <mdx n="508" f="v">
      <t c="3" si="4">
        <n x="509"/>
        <n x="460"/>
        <n x="495"/>
      </t>
    </mdx>
    <mdx n="508" f="v">
      <t c="3" si="4">
        <n x="509"/>
        <n x="35"/>
        <n x="495"/>
      </t>
    </mdx>
    <mdx n="508" f="v">
      <t c="3" si="4">
        <n x="509"/>
        <n x="228"/>
        <n x="489"/>
      </t>
    </mdx>
    <mdx n="508" f="v">
      <t c="3" si="4">
        <n x="509"/>
        <n x="384"/>
        <n x="493"/>
      </t>
    </mdx>
    <mdx n="508" f="v">
      <t c="3" si="4">
        <n x="509"/>
        <n x="101"/>
        <n x="494"/>
      </t>
    </mdx>
    <mdx n="508" f="v">
      <t c="3" si="4">
        <n x="509"/>
        <n x="394"/>
        <n x="495"/>
      </t>
    </mdx>
    <mdx n="508" f="v">
      <t c="3" si="4">
        <n x="509"/>
        <n x="364"/>
        <n x="480"/>
      </t>
    </mdx>
    <mdx n="508" f="v">
      <t c="3" si="4">
        <n x="509"/>
        <n x="451"/>
        <n x="487"/>
      </t>
    </mdx>
    <mdx n="508" f="v">
      <t c="3" si="4">
        <n x="509"/>
        <n x="159"/>
        <n x="491"/>
      </t>
    </mdx>
    <mdx n="508" f="v">
      <t c="3" si="4">
        <n x="509"/>
        <n x="117"/>
        <n x="491"/>
      </t>
    </mdx>
    <mdx n="508" f="v">
      <t c="3" si="4">
        <n x="509"/>
        <n x="216"/>
        <n x="483"/>
      </t>
    </mdx>
    <mdx n="508" f="v">
      <t c="3" si="4">
        <n x="509"/>
        <n x="134"/>
        <n x="492"/>
      </t>
    </mdx>
    <mdx n="508" f="v">
      <t c="3" si="4">
        <n x="509"/>
        <n x="210"/>
        <n x="492"/>
      </t>
    </mdx>
    <mdx n="508" f="v">
      <t c="3" si="4">
        <n x="509"/>
        <n x="386"/>
        <n x="493"/>
      </t>
    </mdx>
    <mdx n="508" f="v">
      <t c="3" si="4">
        <n x="509"/>
        <n x="223"/>
        <n x="493"/>
      </t>
    </mdx>
    <mdx n="508" f="v">
      <t c="3" si="4">
        <n x="509"/>
        <n x="351"/>
        <n x="494"/>
      </t>
    </mdx>
    <mdx n="508" f="v">
      <t c="3" si="4">
        <n x="509"/>
        <n x="358"/>
        <n x="494"/>
      </t>
    </mdx>
    <mdx n="508" f="v">
      <t c="3" si="4">
        <n x="509"/>
        <n x="130"/>
        <n x="494"/>
      </t>
    </mdx>
    <mdx n="508" f="v">
      <t c="3" si="4">
        <n x="509"/>
        <n x="209"/>
        <n x="494"/>
      </t>
    </mdx>
    <mdx n="508" f="v">
      <t c="3" si="4">
        <n x="509"/>
        <n x="378"/>
        <n x="494"/>
      </t>
    </mdx>
    <mdx n="508" f="v">
      <t c="3" si="4">
        <n x="509"/>
        <n x="22"/>
        <n x="495"/>
      </t>
    </mdx>
    <mdx n="508" f="v">
      <t c="3" si="4">
        <n x="509"/>
        <n x="284"/>
        <n x="495"/>
      </t>
    </mdx>
    <mdx n="508" f="v">
      <t c="3" si="4">
        <n x="509"/>
        <n x="439"/>
        <n x="495"/>
      </t>
    </mdx>
    <mdx n="508" f="v">
      <t c="3" si="4">
        <n x="509"/>
        <n x="198"/>
        <n x="495"/>
      </t>
    </mdx>
    <mdx n="508" f="v">
      <t c="3" si="4">
        <n x="509"/>
        <n x="347"/>
        <n x="495"/>
      </t>
    </mdx>
    <mdx n="508" f="v">
      <t c="3" si="4">
        <n x="509"/>
        <n x="112"/>
        <n x="495"/>
      </t>
    </mdx>
    <mdx n="508" f="v">
      <t c="3" si="4">
        <n x="509"/>
        <n x="392"/>
        <n x="495"/>
      </t>
    </mdx>
    <mdx n="508" f="v">
      <t c="3" si="4">
        <n x="509"/>
        <n x="142"/>
        <n x="483"/>
      </t>
    </mdx>
    <mdx n="508" f="v">
      <t c="3" si="4">
        <n x="509"/>
        <n x="337"/>
        <n x="493"/>
      </t>
    </mdx>
    <mdx n="508" f="v">
      <t c="3" si="4">
        <n x="509"/>
        <n x="319"/>
        <n x="494"/>
      </t>
    </mdx>
    <mdx n="508" f="v">
      <t c="3" si="4">
        <n x="509"/>
        <n x="211"/>
        <n x="495"/>
      </t>
    </mdx>
    <mdx n="508" f="v">
      <t c="3" si="4">
        <n x="509"/>
        <n x="94"/>
        <n x="484"/>
      </t>
    </mdx>
    <mdx n="508" f="v">
      <t c="3" si="4">
        <n x="509"/>
        <n x="165"/>
        <n x="489"/>
      </t>
    </mdx>
    <mdx n="508" f="v">
      <t c="3" si="4">
        <n x="509"/>
        <n x="129"/>
        <n x="491"/>
      </t>
    </mdx>
    <mdx n="508" f="v">
      <t c="3" si="4">
        <n x="509"/>
        <n x="215"/>
        <n x="491"/>
      </t>
    </mdx>
    <mdx n="508" f="v">
      <t c="3" si="4">
        <n x="509"/>
        <n x="196"/>
        <n x="490"/>
      </t>
    </mdx>
    <mdx n="508" f="v">
      <t c="3" si="4">
        <n x="509"/>
        <n x="31"/>
        <n x="492"/>
      </t>
    </mdx>
    <mdx n="508" f="v">
      <t c="3" si="4">
        <n x="509"/>
        <n x="118"/>
        <n x="492"/>
      </t>
    </mdx>
    <mdx n="508" f="v">
      <t c="3" si="4">
        <n x="509"/>
        <n x="400"/>
        <n x="493"/>
      </t>
    </mdx>
    <mdx n="508" f="v">
      <t c="3" si="4">
        <n x="509"/>
        <n x="286"/>
        <n x="494"/>
      </t>
    </mdx>
    <mdx n="508" f="v">
      <t c="3" si="4">
        <n x="509"/>
        <n x="339"/>
        <n x="494"/>
      </t>
    </mdx>
    <mdx n="508" f="v">
      <t c="3" si="4">
        <n x="509"/>
        <n x="322"/>
        <n x="494"/>
      </t>
    </mdx>
    <mdx n="508" f="v">
      <t c="3" si="4">
        <n x="509"/>
        <n x="289"/>
        <n x="494"/>
      </t>
    </mdx>
    <mdx n="508" f="v">
      <t c="3" si="4">
        <n x="509"/>
        <n x="76"/>
        <n x="494"/>
      </t>
    </mdx>
    <mdx n="508" f="v">
      <t c="3" si="4">
        <n x="509"/>
        <n x="159"/>
        <n x="495"/>
      </t>
    </mdx>
    <mdx n="508" f="v">
      <t c="3" si="4">
        <n x="509"/>
        <n x="167"/>
        <n x="495"/>
      </t>
    </mdx>
    <mdx n="508" f="v">
      <t c="3" si="4">
        <n x="509"/>
        <n x="231"/>
        <n x="495"/>
      </t>
    </mdx>
    <mdx n="508" f="v">
      <t c="3" si="4">
        <n x="509"/>
        <n x="14"/>
        <n x="495"/>
      </t>
    </mdx>
    <mdx n="508" f="v">
      <t c="3" si="4">
        <n x="509"/>
        <n x="341"/>
        <n x="495"/>
      </t>
    </mdx>
    <mdx n="508" f="v">
      <t c="3" si="4">
        <n x="509"/>
        <n x="10"/>
        <n x="495"/>
      </t>
    </mdx>
    <mdx n="508" f="v">
      <t c="3" si="4">
        <n x="509"/>
        <n x="148"/>
        <n x="495"/>
      </t>
    </mdx>
    <mdx n="508" f="v">
      <t c="3" si="4">
        <n x="509"/>
        <n x="73"/>
        <n x="495"/>
      </t>
    </mdx>
    <mdx n="508" f="v">
      <t c="3" si="4">
        <n x="509"/>
        <n x="274"/>
        <n x="490"/>
      </t>
    </mdx>
    <mdx n="508" f="v">
      <t c="3" si="4">
        <n x="509"/>
        <n x="274"/>
        <n x="493"/>
      </t>
    </mdx>
    <mdx n="508" f="v">
      <t c="3" si="4">
        <n x="509"/>
        <n x="341"/>
        <n x="494"/>
      </t>
    </mdx>
    <mdx n="508" f="v">
      <t c="3" si="4">
        <n x="509"/>
        <n x="417"/>
        <n x="495"/>
      </t>
    </mdx>
    <mdx n="508" f="v">
      <t c="3" si="4">
        <n x="509"/>
        <n x="277"/>
        <n x="481"/>
      </t>
    </mdx>
    <mdx n="508" f="v">
      <t c="3" si="4">
        <n x="509"/>
        <n x="110"/>
        <n x="488"/>
      </t>
    </mdx>
    <mdx n="508" f="v">
      <t c="3" si="4">
        <n x="509"/>
        <n x="3"/>
        <n x="489"/>
      </t>
    </mdx>
    <mdx n="508" f="v">
      <t c="3" si="4">
        <n x="509"/>
        <n x="65"/>
        <n x="482"/>
      </t>
    </mdx>
    <mdx n="508" f="v">
      <t c="3" si="4">
        <n x="509"/>
        <n x="16"/>
        <n x="485"/>
      </t>
    </mdx>
    <mdx n="508" f="v">
      <t c="3" si="4">
        <n x="509"/>
        <n x="84"/>
        <n x="492"/>
      </t>
    </mdx>
    <mdx n="508" f="v">
      <t c="3" si="4">
        <n x="509"/>
        <n x="196"/>
        <n x="492"/>
      </t>
    </mdx>
    <mdx n="508" f="v">
      <t c="3" si="4">
        <n x="509"/>
        <n x="397"/>
        <n x="477"/>
      </t>
    </mdx>
    <mdx n="508" f="v">
      <t c="3" si="4">
        <n x="509"/>
        <n x="461"/>
        <n x="468"/>
      </t>
    </mdx>
    <mdx n="508" f="v">
      <t c="3" si="4">
        <n x="509"/>
        <n x="387"/>
        <n x="484"/>
      </t>
    </mdx>
    <mdx n="508" f="v">
      <t c="3" si="4">
        <n x="509"/>
        <n x="195"/>
        <n x="479"/>
      </t>
    </mdx>
    <mdx n="508" f="v">
      <t c="3" si="4">
        <n x="509"/>
        <n x="338"/>
        <n x="484"/>
      </t>
    </mdx>
    <mdx n="508" f="v">
      <t c="3" si="4">
        <n x="509"/>
        <n x="266"/>
        <n x="487"/>
      </t>
    </mdx>
    <mdx n="508" f="v">
      <t c="3" si="4">
        <n x="509"/>
        <n x="236"/>
        <n x="485"/>
      </t>
    </mdx>
    <mdx n="508" f="v">
      <t c="3" si="4">
        <n x="509"/>
        <n x="58"/>
        <n x="488"/>
      </t>
    </mdx>
    <mdx n="508" f="v">
      <t c="3" si="4">
        <n x="509"/>
        <n x="92"/>
        <n x="489"/>
      </t>
    </mdx>
    <mdx n="508" f="v">
      <t c="3" si="4">
        <n x="509"/>
        <n x="273"/>
        <n x="488"/>
      </t>
    </mdx>
    <mdx n="508" f="v">
      <t c="3" si="4">
        <n x="509"/>
        <n x="228"/>
        <n x="490"/>
      </t>
    </mdx>
    <mdx n="508" f="v">
      <t c="3" si="4">
        <n x="509"/>
        <n x="330"/>
        <n x="486"/>
      </t>
    </mdx>
    <mdx n="508" f="v">
      <t c="3" si="4">
        <n x="509"/>
        <n x="461"/>
        <n x="490"/>
      </t>
    </mdx>
    <mdx n="508" f="v">
      <t c="3" si="4">
        <n x="509"/>
        <n x="219"/>
        <n x="489"/>
      </t>
    </mdx>
    <mdx n="508" f="v">
      <t c="3" si="4">
        <n x="509"/>
        <n x="395"/>
        <n x="488"/>
      </t>
    </mdx>
    <mdx n="508" f="v">
      <t c="3" si="4">
        <n x="509"/>
        <n x="378"/>
        <n x="490"/>
      </t>
    </mdx>
    <mdx n="508" f="v">
      <t c="3" si="4">
        <n x="509"/>
        <n x="411"/>
        <n x="491"/>
      </t>
    </mdx>
    <mdx n="508" f="v">
      <t c="3" si="4">
        <n x="509"/>
        <n x="198"/>
        <n x="489"/>
      </t>
    </mdx>
    <mdx n="508" f="v">
      <t c="3" si="4">
        <n x="509"/>
        <n x="83"/>
        <n x="491"/>
      </t>
    </mdx>
    <mdx n="508" f="v">
      <t c="3" si="4">
        <n x="509"/>
        <n x="42"/>
        <n x="482"/>
      </t>
    </mdx>
    <mdx n="508" f="v">
      <t c="3" si="4">
        <n x="509"/>
        <n x="428"/>
        <n x="489"/>
      </t>
    </mdx>
    <mdx n="508" f="v">
      <t c="3" si="4">
        <n x="509"/>
        <n x="143"/>
        <n x="491"/>
      </t>
    </mdx>
    <mdx n="508" f="v">
      <t c="3" si="4">
        <n x="509"/>
        <n x="185"/>
        <n x="482"/>
      </t>
    </mdx>
    <mdx n="508" f="v">
      <t c="3" si="4">
        <n x="509"/>
        <n x="457"/>
        <n x="490"/>
      </t>
    </mdx>
    <mdx n="508" f="v">
      <t c="3" si="4">
        <n x="509"/>
        <n x="433"/>
        <n x="491"/>
      </t>
    </mdx>
    <mdx n="508" f="v">
      <t c="3" si="4">
        <n x="509"/>
        <n x="349"/>
        <n x="485"/>
      </t>
    </mdx>
    <mdx n="508" f="v">
      <t c="3" si="4">
        <n x="509"/>
        <n x="349"/>
        <n x="490"/>
      </t>
    </mdx>
    <mdx n="508" f="v">
      <t c="3" si="4">
        <n x="509"/>
        <n x="301"/>
        <n x="482"/>
      </t>
    </mdx>
    <mdx n="508" f="v">
      <t c="3" si="4">
        <n x="509"/>
        <n x="318"/>
        <n x="492"/>
      </t>
    </mdx>
    <mdx n="508" f="v">
      <t c="3" si="4">
        <n x="509"/>
        <n x="246"/>
        <n x="492"/>
      </t>
    </mdx>
    <mdx n="508" f="v">
      <t c="3" si="4">
        <n x="509"/>
        <n x="244"/>
        <n x="492"/>
      </t>
    </mdx>
    <mdx n="508" f="v">
      <t c="3" si="4">
        <n x="509"/>
        <n x="127"/>
        <n x="492"/>
      </t>
    </mdx>
    <mdx n="508" f="v">
      <t c="3" si="4">
        <n x="509"/>
        <n x="136"/>
        <n x="492"/>
      </t>
    </mdx>
    <mdx n="508" f="v">
      <t c="3" si="4">
        <n x="509"/>
        <n x="302"/>
        <n x="492"/>
      </t>
    </mdx>
    <mdx n="508" f="v">
      <t c="3" si="4">
        <n x="509"/>
        <n x="287"/>
        <n x="493"/>
      </t>
    </mdx>
    <mdx n="508" f="v">
      <t c="3" si="4">
        <n x="509"/>
        <n x="157"/>
        <n x="493"/>
      </t>
    </mdx>
    <mdx n="508" f="v">
      <t c="3" si="4">
        <n x="509"/>
        <n x="300"/>
        <n x="493"/>
      </t>
    </mdx>
    <mdx n="508" f="v">
      <t c="3" si="4">
        <n x="509"/>
        <n x="108"/>
        <n x="493"/>
      </t>
    </mdx>
    <mdx n="508" f="v">
      <t c="3" si="4">
        <n x="509"/>
        <n x="169"/>
        <n x="493"/>
      </t>
    </mdx>
    <mdx n="508" f="v">
      <t c="3" si="4">
        <n x="509"/>
        <n x="226"/>
        <n x="494"/>
      </t>
    </mdx>
    <mdx n="508" f="v">
      <t c="3" si="4">
        <n x="509"/>
        <n x="44"/>
        <n x="494"/>
      </t>
    </mdx>
    <mdx n="508" f="v">
      <t c="3" si="4">
        <n x="509"/>
        <n x="244"/>
        <n x="494"/>
      </t>
    </mdx>
    <mdx n="508" f="v">
      <t c="3" si="4">
        <n x="509"/>
        <n x="281"/>
        <n x="494"/>
      </t>
    </mdx>
    <mdx n="508" f="v">
      <t c="3" si="4">
        <n x="509"/>
        <n x="379"/>
        <n x="494"/>
      </t>
    </mdx>
    <mdx n="508" f="v">
      <t c="3" si="4">
        <n x="509"/>
        <n x="260"/>
        <n x="495"/>
      </t>
    </mdx>
    <mdx n="508" f="v">
      <t c="3" si="4">
        <n x="509"/>
        <n x="358"/>
        <n x="466"/>
      </t>
    </mdx>
    <mdx n="508" f="v">
      <t c="3" si="4">
        <n x="509"/>
        <n x="123"/>
        <n x="471"/>
      </t>
    </mdx>
    <mdx n="508" f="v">
      <t c="3" si="4">
        <n x="509"/>
        <n x="203"/>
        <n x="484"/>
      </t>
    </mdx>
    <mdx n="508" f="v">
      <t c="3" si="4">
        <n x="509"/>
        <n x="242"/>
        <n x="480"/>
      </t>
    </mdx>
    <mdx n="508" f="v">
      <t c="3" si="4">
        <n x="509"/>
        <n x="12"/>
        <n x="484"/>
      </t>
    </mdx>
    <mdx n="508" f="v">
      <t c="3" si="4">
        <n x="509"/>
        <n x="298"/>
        <n x="487"/>
      </t>
    </mdx>
    <mdx n="508" f="v">
      <t c="3" si="4">
        <n x="509"/>
        <n x="82"/>
        <n x="485"/>
      </t>
    </mdx>
    <mdx n="508" f="v">
      <t c="3" si="4">
        <n x="509"/>
        <n x="45"/>
        <n x="488"/>
      </t>
    </mdx>
    <mdx n="508" f="v">
      <t c="3" si="4">
        <n x="509"/>
        <n x="351"/>
        <n x="489"/>
      </t>
    </mdx>
    <mdx n="508" f="v">
      <t c="3" si="4">
        <n x="509"/>
        <n x="245"/>
        <n x="488"/>
      </t>
    </mdx>
    <mdx n="508" f="v">
      <t c="3" si="4">
        <n x="509"/>
        <n x="379"/>
        <n x="490"/>
      </t>
    </mdx>
    <mdx n="508" f="v">
      <t c="3" si="4">
        <n x="509"/>
        <n x="299"/>
        <n x="486"/>
      </t>
    </mdx>
    <mdx n="508" f="v">
      <t c="3" si="4">
        <n x="509"/>
        <n x="438"/>
        <n x="490"/>
      </t>
    </mdx>
    <mdx n="508" f="v">
      <t c="3" si="4">
        <n x="509"/>
        <n x="427"/>
        <n x="491"/>
      </t>
    </mdx>
    <mdx n="508" f="v">
      <t c="3" si="4">
        <n x="509"/>
        <n x="441"/>
        <n x="482"/>
      </t>
    </mdx>
    <mdx n="508" f="v">
      <t c="3" si="4">
        <n x="509"/>
        <n x="292"/>
        <n x="489"/>
      </t>
    </mdx>
    <mdx n="508" f="v">
      <t c="3" si="4">
        <n x="509"/>
        <n x="388"/>
        <n x="490"/>
      </t>
    </mdx>
    <mdx n="508" f="v">
      <t c="3" si="4">
        <n x="509"/>
        <n x="107"/>
        <n x="491"/>
      </t>
    </mdx>
    <mdx n="508" f="v">
      <t c="3" si="4">
        <n x="509"/>
        <n x="403"/>
        <n x="484"/>
      </t>
    </mdx>
    <mdx n="508" f="v">
      <t c="3" si="4">
        <n x="509"/>
        <n x="339"/>
        <n x="490"/>
      </t>
    </mdx>
    <mdx n="508" f="v">
      <t c="3" si="4">
        <n x="509"/>
        <n x="226"/>
        <n x="491"/>
      </t>
    </mdx>
    <mdx n="508" f="v">
      <t c="3" si="4">
        <n x="509"/>
        <n x="445"/>
        <n x="489"/>
      </t>
    </mdx>
    <mdx n="508" f="v">
      <t c="3" si="4">
        <n x="509"/>
        <n x="201"/>
        <n x="486"/>
      </t>
    </mdx>
    <mdx n="508" f="v">
      <t c="3" si="4">
        <n x="509"/>
        <n x="11"/>
        <n x="490"/>
      </t>
    </mdx>
    <mdx n="508" f="v">
      <t c="3" si="4">
        <n x="509"/>
        <n x="72"/>
        <n x="491"/>
      </t>
    </mdx>
    <mdx n="508" f="v">
      <t c="3" si="4">
        <n x="509"/>
        <n x="157"/>
        <n x="490"/>
      </t>
    </mdx>
    <mdx n="508" f="v">
      <t c="3" si="4">
        <n x="509"/>
        <n x="290"/>
        <n x="487"/>
      </t>
    </mdx>
    <mdx n="508" f="v">
      <t c="3" si="4">
        <n x="509"/>
        <n x="360"/>
        <n x="490"/>
      </t>
    </mdx>
    <mdx n="508" f="v">
      <t c="3" si="4">
        <n x="509"/>
        <n x="322"/>
        <n x="491"/>
      </t>
    </mdx>
    <mdx n="508" f="v">
      <t c="3" si="4">
        <n x="509"/>
        <n x="371"/>
        <n x="491"/>
      </t>
    </mdx>
    <mdx n="508" f="v">
      <t c="3" si="4">
        <n x="509"/>
        <n x="423"/>
        <n x="489"/>
      </t>
    </mdx>
    <mdx n="508" f="v">
      <t c="3" si="4">
        <n x="509"/>
        <n x="32"/>
        <n x="490"/>
      </t>
    </mdx>
    <mdx n="508" f="v">
      <t c="3" si="4">
        <n x="509"/>
        <n x="6"/>
        <n x="491"/>
      </t>
    </mdx>
    <mdx n="508" f="v">
      <t c="3" si="4">
        <n x="509"/>
        <n x="270"/>
        <n x="492"/>
      </t>
    </mdx>
    <mdx n="508" f="v">
      <t c="3" si="4">
        <n x="509"/>
        <n x="146"/>
        <n x="492"/>
      </t>
    </mdx>
    <mdx n="508" f="v">
      <t c="3" si="4">
        <n x="509"/>
        <n x="446"/>
        <n x="492"/>
      </t>
    </mdx>
    <mdx n="508" f="v">
      <t c="3" si="4">
        <n x="509"/>
        <n x="441"/>
        <n x="492"/>
      </t>
    </mdx>
    <mdx n="508" f="v">
      <t c="3" si="4">
        <n x="509"/>
        <n x="66"/>
        <n x="492"/>
      </t>
    </mdx>
    <mdx n="508" f="v">
      <t c="3" si="4">
        <n x="509"/>
        <n x="70"/>
        <n x="492"/>
      </t>
    </mdx>
    <mdx n="508" f="v">
      <t c="3" si="4">
        <n x="509"/>
        <n x="10"/>
        <n x="492"/>
      </t>
    </mdx>
    <mdx n="508" f="v">
      <t c="3" si="4">
        <n x="509"/>
        <n x="76"/>
        <n x="492"/>
      </t>
    </mdx>
    <mdx n="508" f="v">
      <t c="3" si="4">
        <n x="509"/>
        <n x="235"/>
        <n x="493"/>
      </t>
    </mdx>
    <mdx n="508" f="v">
      <t c="3" si="4">
        <n x="509"/>
        <n x="252"/>
        <n x="493"/>
      </t>
    </mdx>
    <mdx n="508" f="v">
      <t c="3" si="4">
        <n x="509"/>
        <n x="233"/>
        <n x="493"/>
      </t>
    </mdx>
    <mdx n="508" f="v">
      <t c="3" si="4">
        <n x="509"/>
        <n x="313"/>
        <n x="493"/>
      </t>
    </mdx>
    <mdx n="508" f="v">
      <t c="3" si="4">
        <n x="509"/>
        <n x="61"/>
        <n x="493"/>
      </t>
    </mdx>
    <mdx n="508" f="v">
      <t c="3" si="4">
        <n x="509"/>
        <n x="338"/>
        <n x="493"/>
      </t>
    </mdx>
    <mdx n="508" f="v">
      <t c="3" si="4">
        <n x="509"/>
        <n x="398"/>
        <n x="493"/>
      </t>
    </mdx>
    <mdx n="508" f="v">
      <t c="3" si="4">
        <n x="509"/>
        <n x="330"/>
        <n x="494"/>
      </t>
    </mdx>
    <mdx n="508" f="v">
      <t c="3" si="4">
        <n x="509"/>
        <n x="245"/>
        <n x="494"/>
      </t>
    </mdx>
    <mdx n="508" f="v">
      <t c="3" si="4">
        <n x="509"/>
        <n x="234"/>
        <n x="476"/>
      </t>
    </mdx>
    <mdx n="508" f="v">
      <t c="3" si="4">
        <n x="509"/>
        <n x="90"/>
        <n x="468"/>
      </t>
    </mdx>
    <mdx n="508" f="v">
      <t c="3" si="4">
        <n x="509"/>
        <n x="261"/>
        <n x="486"/>
      </t>
    </mdx>
    <mdx n="508" f="v">
      <t c="3" si="4">
        <n x="509"/>
        <n x="262"/>
        <n x="486"/>
      </t>
    </mdx>
    <mdx n="508" f="v">
      <t c="3" si="4">
        <n x="509"/>
        <n x="134"/>
        <n x="488"/>
      </t>
    </mdx>
    <mdx n="508" f="v">
      <t c="3" si="4">
        <n x="509"/>
        <n x="453"/>
        <n x="489"/>
      </t>
    </mdx>
    <mdx n="508" f="v">
      <t c="3" si="4">
        <n x="509"/>
        <n x="264"/>
        <n x="489"/>
      </t>
    </mdx>
    <mdx n="508" f="v">
      <t c="3" si="4">
        <n x="509"/>
        <n x="309"/>
        <n x="489"/>
      </t>
    </mdx>
    <mdx n="508" f="v">
      <t c="3" si="4">
        <n x="509"/>
        <n x="360"/>
        <n x="485"/>
      </t>
    </mdx>
    <mdx n="508" f="v">
      <t c="3" si="4">
        <n x="509"/>
        <n x="329"/>
        <n x="487"/>
      </t>
    </mdx>
    <mdx n="508" f="v">
      <t c="3" si="4">
        <n x="509"/>
        <n x="65"/>
        <n x="488"/>
      </t>
    </mdx>
    <mdx n="508" f="v">
      <t c="3" si="4">
        <n x="509"/>
        <n x="6"/>
        <n x="489"/>
      </t>
    </mdx>
    <mdx n="508" f="v">
      <t c="3" si="4">
        <n x="509"/>
        <n x="241"/>
        <n x="487"/>
      </t>
    </mdx>
    <mdx n="508" f="v">
      <t c="3" si="4">
        <n x="509"/>
        <n x="306"/>
        <n x="490"/>
      </t>
    </mdx>
    <mdx n="508" f="v">
      <t c="3" si="4">
        <n x="509"/>
        <n x="335"/>
        <n x="491"/>
      </t>
    </mdx>
    <mdx n="508" f="v">
      <t c="3" si="4">
        <n x="509"/>
        <n x="91"/>
        <n x="488"/>
      </t>
    </mdx>
    <mdx n="508" f="v">
      <t c="3" si="4">
        <n x="509"/>
        <n x="342"/>
        <n x="490"/>
      </t>
    </mdx>
    <mdx n="508" f="v">
      <t c="3" si="4">
        <n x="509"/>
        <n x="140"/>
        <n x="491"/>
      </t>
    </mdx>
    <mdx n="508" f="v">
      <t c="3" si="4">
        <n x="509"/>
        <n x="18"/>
        <n x="482"/>
      </t>
    </mdx>
    <mdx n="508" f="v">
      <t c="3" si="4">
        <n x="509"/>
        <n x="356"/>
        <n x="489"/>
      </t>
    </mdx>
    <mdx n="508" f="v">
      <t c="3" si="4">
        <n x="509"/>
        <n x="95"/>
        <n x="490"/>
      </t>
    </mdx>
    <mdx n="508" f="v">
      <t c="3" si="4">
        <n x="509"/>
        <n x="307"/>
        <n x="491"/>
      </t>
    </mdx>
    <mdx n="508" f="v">
      <t c="3" si="4">
        <n x="509"/>
        <n x="246"/>
        <n x="485"/>
      </t>
    </mdx>
    <mdx n="508" f="v">
      <t c="3" si="4">
        <n x="509"/>
        <n x="370"/>
        <n x="490"/>
      </t>
    </mdx>
    <mdx n="508" f="v">
      <t c="3" si="4">
        <n x="509"/>
        <n x="377"/>
        <n x="491"/>
      </t>
    </mdx>
    <mdx n="508" f="v">
      <t c="3" si="4">
        <n x="509"/>
        <n x="258"/>
        <n x="490"/>
      </t>
    </mdx>
    <mdx n="508" f="v">
      <t c="3" si="4">
        <n x="509"/>
        <n x="312"/>
        <n x="487"/>
      </t>
    </mdx>
    <mdx n="508" f="v">
      <t c="3" si="4">
        <n x="509"/>
        <n x="455"/>
        <n x="490"/>
      </t>
    </mdx>
    <mdx n="508" f="v">
      <t c="3" si="4">
        <n x="509"/>
        <n x="439"/>
        <n x="491"/>
      </t>
    </mdx>
    <mdx n="508" f="v">
      <t c="3" si="4">
        <n x="509"/>
        <n x="367"/>
        <n x="490"/>
      </t>
    </mdx>
    <mdx n="508" f="v">
      <t c="3" si="4">
        <n x="509"/>
        <n x="167"/>
        <n x="487"/>
      </t>
    </mdx>
    <mdx n="508" f="v">
      <t c="3" si="4">
        <n x="509"/>
        <n x="174"/>
        <n x="490"/>
      </t>
    </mdx>
    <mdx n="508" f="v">
      <t c="3" si="4">
        <n x="509"/>
        <n x="213"/>
        <n x="491"/>
      </t>
    </mdx>
    <mdx n="508" f="v">
      <t c="3" si="4">
        <n x="509"/>
        <n x="68"/>
        <n x="491"/>
      </t>
    </mdx>
    <mdx n="508" f="v">
      <t c="3" si="4">
        <n x="509"/>
        <n x="110"/>
        <n x="489"/>
      </t>
    </mdx>
    <mdx n="508" f="v">
      <t c="3" si="4">
        <n x="509"/>
        <n x="236"/>
        <n x="490"/>
      </t>
    </mdx>
    <mdx n="508" f="v">
      <t c="3" si="4">
        <n x="509"/>
        <n x="274"/>
        <n x="491"/>
      </t>
    </mdx>
    <mdx n="508" f="v">
      <t c="3" si="4">
        <n x="509"/>
        <n x="204"/>
        <n x="492"/>
      </t>
    </mdx>
    <mdx n="508" f="v">
      <t c="3" si="4">
        <n x="509"/>
        <n x="144"/>
        <n x="492"/>
      </t>
    </mdx>
    <mdx n="508" f="v">
      <t c="3" si="4">
        <n x="509"/>
        <n x="184"/>
        <n x="492"/>
      </t>
    </mdx>
    <mdx n="508" f="v">
      <t c="3" si="4">
        <n x="509"/>
        <n x="49"/>
        <n x="492"/>
      </t>
    </mdx>
    <mdx n="508" f="v">
      <t c="3" si="4">
        <n x="509"/>
        <n x="64"/>
        <n x="492"/>
      </t>
    </mdx>
    <mdx n="508" f="v">
      <t c="3" si="4">
        <n x="509"/>
        <n x="458"/>
        <n x="492"/>
      </t>
    </mdx>
    <mdx n="508" f="v">
      <t c="3" si="4">
        <n x="509"/>
        <n x="9"/>
        <n x="492"/>
      </t>
    </mdx>
    <mdx n="508" f="v">
      <t c="3" si="4">
        <n x="509"/>
        <n x="74"/>
        <n x="492"/>
      </t>
    </mdx>
    <mdx n="508" f="v">
      <t c="3" si="4">
        <n x="509"/>
        <n x="232"/>
        <n x="493"/>
      </t>
    </mdx>
    <mdx n="508" f="v">
      <t c="3" si="4">
        <n x="509"/>
        <n x="139"/>
        <n x="493"/>
      </t>
    </mdx>
    <mdx n="508" f="v">
      <t c="3" si="4">
        <n x="509"/>
        <n x="231"/>
        <n x="493"/>
      </t>
    </mdx>
    <mdx n="508" f="v">
      <t c="3" si="4">
        <n x="509"/>
        <n x="376"/>
        <n x="493"/>
      </t>
    </mdx>
    <mdx n="508" f="v">
      <t c="3" si="4">
        <n x="509"/>
        <n x="179"/>
        <n x="493"/>
      </t>
    </mdx>
    <mdx n="508" f="v">
      <t c="3" si="4">
        <n x="509"/>
        <n x="135"/>
        <n x="493"/>
      </t>
    </mdx>
    <mdx n="508" f="v">
      <t c="3" si="4">
        <n x="509"/>
        <n x="239"/>
        <n x="493"/>
      </t>
    </mdx>
    <mdx n="508" f="v">
      <t c="3" si="4">
        <n x="509"/>
        <n x="402"/>
        <n x="494"/>
      </t>
    </mdx>
    <mdx n="508" f="v">
      <t c="3" si="4">
        <n x="509"/>
        <n x="407"/>
        <n x="494"/>
      </t>
    </mdx>
    <mdx n="508" f="v">
      <t c="3" si="4">
        <n x="509"/>
        <n x="64"/>
        <n x="477"/>
      </t>
    </mdx>
    <mdx n="508" f="v">
      <t c="3" si="4">
        <n x="509"/>
        <n x="318"/>
        <n x="477"/>
      </t>
    </mdx>
    <mdx n="508" f="v">
      <t c="3" si="4">
        <n x="509"/>
        <n x="145"/>
        <n x="486"/>
      </t>
    </mdx>
    <mdx n="508" f="v">
      <t c="3" si="4">
        <n x="509"/>
        <n x="96"/>
        <n x="486"/>
      </t>
    </mdx>
    <mdx n="508" f="v">
      <t c="3" si="4">
        <n x="509"/>
        <n x="88"/>
        <n x="488"/>
      </t>
    </mdx>
    <mdx n="508" f="v">
      <t c="3" si="4">
        <n x="509"/>
        <n x="218"/>
        <n x="489"/>
      </t>
    </mdx>
    <mdx n="508" f="v">
      <t c="3" si="4">
        <n x="509"/>
        <n x="314"/>
        <n x="468"/>
      </t>
    </mdx>
    <mdx n="508" f="v">
      <t c="3" si="4">
        <n x="509"/>
        <n x="139"/>
        <n x="489"/>
      </t>
    </mdx>
    <mdx n="508" f="v">
      <t c="3" si="4">
        <n x="509"/>
        <n x="345"/>
        <n x="485"/>
      </t>
    </mdx>
    <mdx n="508" f="v">
      <t c="3" si="4">
        <n x="509"/>
        <n x="383"/>
        <n x="487"/>
      </t>
    </mdx>
    <mdx n="508" f="v">
      <t c="3" si="4">
        <n x="509"/>
        <n x="173"/>
        <n x="488"/>
      </t>
    </mdx>
    <mdx n="508" f="v">
      <t c="3" si="4">
        <n x="509"/>
        <n x="209"/>
        <n x="489"/>
      </t>
    </mdx>
    <mdx n="508" f="v">
      <t c="3" si="4">
        <n x="509"/>
        <n x="286"/>
        <n x="487"/>
      </t>
    </mdx>
    <mdx n="508" f="v">
      <t c="3" si="4">
        <n x="509"/>
        <n x="291"/>
        <n x="490"/>
      </t>
    </mdx>
    <mdx n="508" f="v">
      <t c="3" si="4">
        <n x="509"/>
        <n x="19"/>
        <n x="491"/>
      </t>
    </mdx>
    <mdx n="508" f="v">
      <t c="3" si="4">
        <n x="509"/>
        <n x="405"/>
        <n x="488"/>
      </t>
    </mdx>
    <mdx n="508" f="v">
      <t c="3" si="4">
        <n x="509"/>
        <n x="130"/>
        <n x="490"/>
      </t>
    </mdx>
    <mdx n="508" f="v">
      <t c="3" si="4">
        <n x="509"/>
        <n x="237"/>
        <n x="491"/>
      </t>
    </mdx>
    <mdx n="508" f="v">
      <t c="3" si="4">
        <n x="509"/>
        <n x="163"/>
        <n x="482"/>
      </t>
    </mdx>
    <mdx n="508" f="v">
      <t c="3" si="4">
        <n x="509"/>
        <n x="411"/>
        <n x="489"/>
      </t>
    </mdx>
    <mdx n="508" f="v">
      <t c="3" si="4">
        <n x="509"/>
        <n x="44"/>
        <n x="490"/>
      </t>
    </mdx>
    <mdx n="508" f="v">
      <t c="3" si="4">
        <n x="509"/>
        <n x="340"/>
        <n x="480"/>
      </t>
    </mdx>
    <mdx n="508" f="v">
      <t c="3" si="4">
        <n x="509"/>
        <n x="139"/>
        <n x="485"/>
      </t>
    </mdx>
    <mdx n="508" f="v">
      <t c="3" si="4">
        <n x="509"/>
        <n x="58"/>
        <n x="490"/>
      </t>
    </mdx>
    <mdx n="508" f="v">
      <t c="3" si="4">
        <n x="509"/>
        <n x="189"/>
        <n x="491"/>
      </t>
    </mdx>
    <mdx n="508" f="v">
      <t c="3" si="4">
        <n x="509"/>
        <n x="59"/>
        <n x="490"/>
      </t>
    </mdx>
    <mdx n="508" f="v">
      <t c="3" si="4">
        <n x="509"/>
        <n x="102"/>
        <n x="487"/>
      </t>
    </mdx>
    <mdx n="508" f="v">
      <t c="3" si="4">
        <n x="509"/>
        <n x="385"/>
        <n x="490"/>
      </t>
    </mdx>
    <mdx n="508" f="v">
      <t c="3" si="4">
        <n x="509"/>
        <n x="255"/>
        <n x="491"/>
      </t>
    </mdx>
    <mdx n="508" f="v">
      <t c="3" si="4">
        <n x="509"/>
        <n x="28"/>
        <n x="490"/>
      </t>
    </mdx>
    <mdx n="508" f="v">
      <t c="3" si="4">
        <n x="509"/>
        <n x="118"/>
        <n x="487"/>
      </t>
    </mdx>
    <mdx n="508" f="v">
      <t c="3" si="4">
        <n x="509"/>
        <n x="345"/>
        <n x="490"/>
      </t>
    </mdx>
    <mdx n="508" f="v">
      <t c="3" si="4">
        <n x="509"/>
        <n x="455"/>
        <n x="491"/>
      </t>
    </mdx>
    <mdx n="508" f="v">
      <t c="3" si="4">
        <n x="509"/>
        <n x="165"/>
        <n x="471"/>
      </t>
    </mdx>
    <mdx n="508" f="v">
      <t c="3" si="4">
        <n x="509"/>
        <n x="151"/>
        <n x="489"/>
      </t>
    </mdx>
    <mdx n="508" f="v">
      <t c="3" si="4">
        <n x="509"/>
        <n x="105"/>
        <n x="490"/>
      </t>
    </mdx>
    <mdx n="508" f="v">
      <t c="3" si="4">
        <n x="509"/>
        <n x="409"/>
        <n x="491"/>
      </t>
    </mdx>
    <mdx n="508" f="v">
      <t c="3" si="4">
        <n x="509"/>
        <n x="451"/>
        <n x="492"/>
      </t>
    </mdx>
    <mdx n="508" f="v">
      <t c="3" si="4">
        <n x="509"/>
        <n x="257"/>
        <n x="492"/>
      </t>
    </mdx>
    <mdx n="508" f="v">
      <t c="3" si="4">
        <n x="509"/>
        <n x="442"/>
        <n x="492"/>
      </t>
    </mdx>
    <mdx n="508" f="v">
      <t c="3" si="4">
        <n x="509"/>
        <n x="165"/>
        <n x="492"/>
      </t>
    </mdx>
    <mdx n="508" f="v">
      <t c="3" si="4">
        <n x="509"/>
        <n x="280"/>
        <n x="492"/>
      </t>
    </mdx>
    <mdx n="508" f="v">
      <t c="3" si="4">
        <n x="509"/>
        <n x="282"/>
        <n x="492"/>
      </t>
    </mdx>
    <mdx n="508" f="v">
      <t c="3" si="4">
        <n x="509"/>
        <n x="96"/>
        <n x="492"/>
      </t>
    </mdx>
    <mdx n="508" f="v">
      <t c="3" si="4">
        <n x="509"/>
        <n x="415"/>
        <n x="492"/>
      </t>
    </mdx>
    <mdx n="508" f="v">
      <t c="3" si="4">
        <n x="509"/>
        <n x="22"/>
        <n x="493"/>
      </t>
    </mdx>
    <mdx n="508" f="v">
      <t c="3" si="4">
        <n x="509"/>
        <n x="137"/>
        <n x="493"/>
      </t>
    </mdx>
    <mdx n="508" f="v">
      <t c="3" si="4">
        <n x="509"/>
        <n x="20"/>
        <n x="493"/>
      </t>
    </mdx>
    <mdx n="508" f="v">
      <t c="3" si="4">
        <n x="509"/>
        <n x="98"/>
        <n x="493"/>
      </t>
    </mdx>
    <mdx n="508" f="v">
      <t c="3" si="4">
        <n x="509"/>
        <n x="268"/>
        <n x="493"/>
      </t>
    </mdx>
    <mdx n="508" f="v">
      <t c="3" si="4">
        <n x="509"/>
        <n x="247"/>
        <n x="493"/>
      </t>
    </mdx>
    <mdx n="508" f="v">
      <t c="3" si="4">
        <n x="509"/>
        <n x="397"/>
        <n x="493"/>
      </t>
    </mdx>
    <mdx n="508" f="v">
      <t c="3" si="4">
        <n x="509"/>
        <n x="243"/>
        <n x="494"/>
      </t>
    </mdx>
    <mdx n="508" f="v">
      <t c="3" si="4">
        <n x="509"/>
        <n x="401"/>
        <n x="494"/>
      </t>
    </mdx>
    <mdx n="508" f="v">
      <t c="3" si="4">
        <n x="509"/>
        <n x="166"/>
        <n x="494"/>
      </t>
    </mdx>
    <mdx n="508" f="v">
      <t c="3" si="4">
        <n x="509"/>
        <n x="86"/>
        <n x="494"/>
      </t>
    </mdx>
    <mdx n="508" f="v">
      <t c="3" si="4">
        <n x="509"/>
        <n x="78"/>
        <n x="494"/>
      </t>
    </mdx>
    <mdx n="508" f="v">
      <t c="3" si="4">
        <n x="509"/>
        <n x="77"/>
        <n x="494"/>
      </t>
    </mdx>
    <mdx n="508" f="v">
      <t c="3" si="4">
        <n x="509"/>
        <n x="344"/>
        <n x="494"/>
      </t>
    </mdx>
    <mdx n="508" f="v">
      <t c="3" si="4">
        <n x="509"/>
        <n x="331"/>
        <n x="495"/>
      </t>
    </mdx>
    <mdx n="508" f="v">
      <t c="3" si="4">
        <n x="509"/>
        <n x="268"/>
        <n x="484"/>
      </t>
    </mdx>
    <mdx n="508" f="v">
      <t c="3" si="4">
        <n x="509"/>
        <n x="358"/>
        <n x="489"/>
      </t>
    </mdx>
    <mdx n="508" f="v">
      <t c="3" si="4">
        <n x="509"/>
        <n x="163"/>
        <n x="489"/>
      </t>
    </mdx>
    <mdx n="508" f="v">
      <t c="3" si="4">
        <n x="509"/>
        <n x="459"/>
        <n x="490"/>
      </t>
    </mdx>
    <mdx n="508" f="v">
      <t c="3" si="4">
        <n x="509"/>
        <n x="98"/>
        <n x="490"/>
      </t>
    </mdx>
    <mdx n="508" f="v">
      <t c="3" si="4">
        <n x="509"/>
        <n x="309"/>
        <n x="492"/>
      </t>
    </mdx>
    <mdx n="508" f="v">
      <t c="3" si="4">
        <n x="509"/>
        <n x="320"/>
        <n x="492"/>
      </t>
    </mdx>
    <mdx n="508" f="v">
      <t c="3" si="4">
        <n x="509"/>
        <n x="241"/>
        <n x="493"/>
      </t>
    </mdx>
    <mdx n="508" f="v">
      <t c="3" si="4">
        <n x="509"/>
        <n x="331"/>
        <n x="493"/>
      </t>
    </mdx>
    <mdx n="508" f="v">
      <t c="3" si="4">
        <n x="509"/>
        <n x="23"/>
        <n x="494"/>
      </t>
    </mdx>
    <mdx n="508" f="v">
      <t c="3" si="4">
        <n x="509"/>
        <n x="412"/>
        <n x="494"/>
      </t>
    </mdx>
    <mdx n="508" f="v">
      <t c="3" si="4">
        <n x="509"/>
        <n x="97"/>
        <n x="494"/>
      </t>
    </mdx>
    <mdx n="508" f="v">
      <t c="3" si="4">
        <n x="509"/>
        <n x="124"/>
        <n x="494"/>
      </t>
    </mdx>
    <mdx n="508" f="v">
      <t c="3" si="4">
        <n x="509"/>
        <n x="60"/>
        <n x="495"/>
      </t>
    </mdx>
    <mdx n="508" f="v">
      <t c="3" si="4">
        <n x="509"/>
        <n x="89"/>
        <n x="495"/>
      </t>
    </mdx>
    <mdx n="508" f="v">
      <t c="3" si="4">
        <n x="509"/>
        <n x="343"/>
        <n x="495"/>
      </t>
    </mdx>
    <mdx n="508" f="v">
      <t c="3" si="4">
        <n x="509"/>
        <n x="406"/>
        <n x="495"/>
      </t>
    </mdx>
    <mdx n="508" f="v">
      <t c="3" si="4">
        <n x="509"/>
        <n x="438"/>
        <n x="495"/>
      </t>
    </mdx>
    <mdx n="508" f="v">
      <t c="3" si="4">
        <n x="509"/>
        <n x="329"/>
        <n x="495"/>
      </t>
    </mdx>
    <mdx n="508" f="v">
      <t c="3" si="4">
        <n x="509"/>
        <n x="74"/>
        <n x="495"/>
      </t>
    </mdx>
    <mdx n="508" f="v">
      <t c="3" si="4">
        <n x="509"/>
        <n x="83"/>
        <n x="495"/>
      </t>
    </mdx>
    <mdx n="508" f="v">
      <t c="3" si="4">
        <n x="509"/>
        <n x="146"/>
        <n x="481"/>
      </t>
    </mdx>
    <mdx n="508" f="v">
      <t c="3" si="4">
        <n x="509"/>
        <n x="354"/>
        <n x="487"/>
      </t>
    </mdx>
    <mdx n="508" f="v">
      <t c="3" si="4">
        <n x="509"/>
        <n x="46"/>
        <n x="491"/>
      </t>
    </mdx>
    <mdx n="508" f="v">
      <t c="3" si="4">
        <n x="509"/>
        <n x="135"/>
        <n x="488"/>
      </t>
    </mdx>
    <mdx n="508" f="v">
      <t c="3" si="4">
        <n x="509"/>
        <n x="65"/>
        <n x="491"/>
      </t>
    </mdx>
    <mdx n="508" f="v">
      <t c="3" si="4">
        <n x="509"/>
        <n x="360"/>
        <n x="492"/>
      </t>
    </mdx>
    <mdx n="508" f="v">
      <t c="3" si="4">
        <n x="509"/>
        <n x="133"/>
        <n x="493"/>
      </t>
    </mdx>
    <mdx n="508" f="v">
      <t c="3" si="4">
        <n x="509"/>
        <n x="332"/>
        <n x="493"/>
      </t>
    </mdx>
    <mdx n="508" f="v">
      <t c="3" si="4">
        <n x="509"/>
        <n x="182"/>
        <n x="494"/>
      </t>
    </mdx>
    <mdx n="508" f="v">
      <t c="3" si="4">
        <n x="509"/>
        <n x="194"/>
        <n x="494"/>
      </t>
    </mdx>
    <mdx n="508" f="v">
      <t c="3" si="4">
        <n x="509"/>
        <n x="408"/>
        <n x="494"/>
      </t>
    </mdx>
    <mdx n="508" f="v">
      <t c="3" si="4">
        <n x="509"/>
        <n x="308"/>
        <n x="494"/>
      </t>
    </mdx>
    <mdx n="508" f="v">
      <t c="3" si="4">
        <n x="509"/>
        <n x="107"/>
        <n x="494"/>
      </t>
    </mdx>
    <mdx n="508" f="v">
      <t c="3" si="4">
        <n x="509"/>
        <n x="327"/>
        <n x="495"/>
      </t>
    </mdx>
    <mdx n="508" f="v">
      <t c="3" si="4">
        <n x="509"/>
        <n x="212"/>
        <n x="495"/>
      </t>
    </mdx>
    <mdx n="508" f="v">
      <t c="3" si="4">
        <n x="509"/>
        <n x="360"/>
        <n x="495"/>
      </t>
    </mdx>
    <mdx n="508" f="v">
      <t c="3" si="4">
        <n x="509"/>
        <n x="462"/>
        <n x="495"/>
      </t>
    </mdx>
    <mdx n="508" f="v">
      <t c="3" si="4">
        <n x="509"/>
        <n x="161"/>
        <n x="495"/>
      </t>
    </mdx>
    <mdx n="508" f="v">
      <t c="3" si="4">
        <n x="509"/>
        <n x="228"/>
        <n x="495"/>
      </t>
    </mdx>
    <mdx n="508" f="v">
      <t c="3" si="4">
        <n x="509"/>
        <n x="80"/>
        <n x="495"/>
      </t>
    </mdx>
    <mdx n="508" f="v">
      <t c="3" si="4">
        <n x="509"/>
        <n x="111"/>
        <n x="495"/>
      </t>
    </mdx>
    <mdx n="508" f="v">
      <t c="3" si="4">
        <n x="509"/>
        <n x="311"/>
        <n x="489"/>
      </t>
    </mdx>
    <mdx n="508" f="v">
      <t c="3" si="4">
        <n x="509"/>
        <n x="363"/>
        <n x="488"/>
      </t>
    </mdx>
    <mdx n="508" f="v">
      <t c="3" si="4">
        <n x="509"/>
        <n x="419"/>
        <n x="490"/>
      </t>
    </mdx>
    <mdx n="508" f="v">
      <t c="3" si="4">
        <n x="509"/>
        <n x="244"/>
        <n x="490"/>
      </t>
    </mdx>
    <mdx n="508" f="v">
      <t c="3" si="4">
        <n x="509"/>
        <n x="275"/>
        <n x="492"/>
      </t>
    </mdx>
    <mdx n="508" f="v">
      <t c="3" si="4">
        <n x="509"/>
        <n x="110"/>
        <n x="493"/>
      </t>
    </mdx>
    <mdx n="508" f="v">
      <t c="3" si="4">
        <n x="509"/>
        <n x="164"/>
        <n x="493"/>
      </t>
    </mdx>
    <mdx n="508" f="v">
      <t c="3" si="4">
        <n x="509"/>
        <n x="219"/>
        <n x="494"/>
      </t>
    </mdx>
    <mdx n="508" f="v">
      <t c="3" si="4">
        <n x="509"/>
        <n x="431"/>
        <n x="494"/>
      </t>
    </mdx>
    <mdx n="508" f="v">
      <t c="3" si="4">
        <n x="509"/>
        <n x="276"/>
        <n x="494"/>
      </t>
    </mdx>
    <mdx n="508" f="v">
      <t c="3" si="4">
        <n x="509"/>
        <n x="248"/>
        <n x="494"/>
      </t>
    </mdx>
    <mdx n="508" f="v">
      <t c="3" si="4">
        <n x="509"/>
        <n x="415"/>
        <n x="494"/>
      </t>
    </mdx>
    <mdx n="508" f="v">
      <t c="3" si="4">
        <n x="509"/>
        <n x="434"/>
        <n x="495"/>
      </t>
    </mdx>
    <mdx n="508" f="v">
      <t c="3" si="4">
        <n x="509"/>
        <n x="21"/>
        <n x="495"/>
      </t>
    </mdx>
    <mdx n="508" f="v">
      <t c="3" si="4">
        <n x="509"/>
        <n x="294"/>
        <n x="495"/>
      </t>
    </mdx>
    <mdx n="508" f="v">
      <t c="3" si="4">
        <n x="509"/>
        <n x="291"/>
        <n x="495"/>
      </t>
    </mdx>
    <mdx n="508" f="v">
      <t c="3" si="4">
        <n x="509"/>
        <n x="101"/>
        <n x="495"/>
      </t>
    </mdx>
    <mdx n="508" f="v">
      <t c="3" si="4">
        <n x="509"/>
        <n x="39"/>
        <n x="495"/>
      </t>
    </mdx>
    <mdx n="508" f="v">
      <t c="3" si="4">
        <n x="509"/>
        <n x="121"/>
        <n x="495"/>
      </t>
    </mdx>
    <mdx n="508" f="v">
      <t c="3" si="4">
        <n x="509"/>
        <n x="141"/>
        <n x="480"/>
      </t>
    </mdx>
    <mdx n="508" f="v">
      <t c="3" si="4">
        <n x="509"/>
        <n x="30"/>
        <n x="489"/>
      </t>
    </mdx>
    <mdx n="508" f="v">
      <t c="3" si="4">
        <n x="509"/>
        <n x="418"/>
        <n x="490"/>
      </t>
    </mdx>
    <mdx n="508" f="v">
      <t c="3" si="4">
        <n x="509"/>
        <n x="218"/>
        <n x="490"/>
      </t>
    </mdx>
    <mdx n="508" f="v">
      <t c="3" si="4">
        <n x="509"/>
        <n x="462"/>
        <n x="1"/>
      </t>
    </mdx>
    <mdx n="508" f="v">
      <t c="3" si="4">
        <n x="509"/>
        <n x="273"/>
        <n x="478"/>
      </t>
    </mdx>
    <mdx n="508" f="v">
      <t c="3" si="4">
        <n x="509"/>
        <n x="391"/>
        <n x="482"/>
      </t>
    </mdx>
    <mdx n="508" f="v">
      <t c="3" si="4">
        <n x="509"/>
        <n x="189"/>
        <n x="486"/>
      </t>
    </mdx>
    <mdx n="508" f="v">
      <t c="3" si="4">
        <n x="509"/>
        <n x="345"/>
        <n x="482"/>
      </t>
    </mdx>
    <mdx n="508" f="v">
      <t c="3" si="4">
        <n x="509"/>
        <n x="398"/>
        <n x="485"/>
      </t>
    </mdx>
    <mdx n="508" f="v">
      <t c="3" si="4">
        <n x="509"/>
        <n x="432"/>
        <n x="489"/>
      </t>
    </mdx>
    <mdx n="508" f="v">
      <t c="3" si="4">
        <n x="509"/>
        <n x="436"/>
        <n x="486"/>
      </t>
    </mdx>
    <mdx n="508" f="v">
      <t c="3" si="4">
        <n x="509"/>
        <n x="133"/>
        <n x="488"/>
      </t>
    </mdx>
    <mdx n="508" f="v">
      <t c="3" si="4">
        <n x="509"/>
        <n x="325"/>
        <n x="489"/>
      </t>
    </mdx>
    <mdx n="508" f="v">
      <t c="3" si="4">
        <n x="509"/>
        <n x="74"/>
        <n x="488"/>
      </t>
    </mdx>
    <mdx n="508" f="v">
      <t c="3" si="4">
        <n x="509"/>
        <n x="302"/>
        <n x="490"/>
      </t>
    </mdx>
    <mdx n="508" f="v">
      <t c="3" si="4">
        <n x="509"/>
        <n x="283"/>
        <n x="488"/>
      </t>
    </mdx>
    <mdx n="508" f="v">
      <t c="3" si="4">
        <n x="509"/>
        <n x="292"/>
        <n x="490"/>
      </t>
    </mdx>
    <mdx n="508" f="v">
      <t c="3" si="4">
        <n x="509"/>
        <n x="334"/>
        <n x="490"/>
      </t>
    </mdx>
    <mdx n="508" f="v">
      <t c="3" si="4">
        <n x="509"/>
        <n x="349"/>
        <n x="489"/>
      </t>
    </mdx>
    <mdx n="508" f="v">
      <t c="3" si="4">
        <n x="509"/>
        <n x="416"/>
        <n x="491"/>
      </t>
    </mdx>
    <mdx n="508" f="v">
      <t c="3" si="4">
        <n x="509"/>
        <n x="416"/>
        <n x="479"/>
      </t>
    </mdx>
    <mdx n="508" f="v">
      <t c="3" si="4">
        <n x="509"/>
        <n x="310"/>
        <n x="489"/>
      </t>
    </mdx>
    <mdx n="508" f="v">
      <t c="3" si="4">
        <n x="509"/>
        <n x="441"/>
        <n x="491"/>
      </t>
    </mdx>
    <mdx n="508" f="v">
      <t c="3" si="4">
        <n x="509"/>
        <n x="412"/>
        <n x="483"/>
      </t>
    </mdx>
    <mdx n="508" f="v">
      <t c="3" si="4">
        <n x="509"/>
        <n x="21"/>
        <n x="490"/>
      </t>
    </mdx>
    <mdx n="508" f="v">
      <t c="3" si="4">
        <n x="509"/>
        <n x="380"/>
        <n x="491"/>
      </t>
    </mdx>
    <mdx n="508" f="v">
      <t c="3" si="4">
        <n x="509"/>
        <n x="201"/>
        <n x="484"/>
      </t>
    </mdx>
    <mdx n="508" f="v">
      <t c="3" si="4">
        <n x="509"/>
        <n x="70"/>
        <n x="490"/>
      </t>
    </mdx>
    <mdx n="508" f="v">
      <t c="3" si="4">
        <n x="509"/>
        <n x="28"/>
        <n x="491"/>
      </t>
    </mdx>
    <mdx n="508" f="v">
      <t c="3" si="4">
        <n x="509"/>
        <n x="38"/>
        <n x="486"/>
      </t>
    </mdx>
    <mdx n="508" f="v">
      <t c="3" si="4">
        <n x="509"/>
        <n x="426"/>
        <n x="490"/>
      </t>
    </mdx>
    <mdx n="508" f="v">
      <t c="3" si="4">
        <n x="509"/>
        <n x="286"/>
        <n x="488"/>
      </t>
    </mdx>
    <mdx n="508" f="v">
      <t c="3" si="4">
        <n x="509"/>
        <n x="203"/>
        <n x="492"/>
      </t>
    </mdx>
    <mdx n="508" f="v">
      <t c="3" si="4">
        <n x="509"/>
        <n x="361"/>
        <n x="492"/>
      </t>
    </mdx>
    <mdx n="508" f="v">
      <t c="3" si="4">
        <n x="509"/>
        <n x="14"/>
        <n x="492"/>
      </t>
    </mdx>
    <mdx n="508" f="v">
      <t c="3" si="4">
        <n x="509"/>
        <n x="109"/>
        <n x="492"/>
      </t>
    </mdx>
    <mdx n="508" f="v">
      <t c="3" si="4">
        <n x="509"/>
        <n x="316"/>
        <n x="492"/>
      </t>
    </mdx>
    <mdx n="508" f="v">
      <t c="3" si="4">
        <n x="509"/>
        <n x="293"/>
        <n x="493"/>
      </t>
    </mdx>
    <mdx n="508" f="v">
      <t c="3" si="4">
        <n x="509"/>
        <n x="456"/>
        <n x="493"/>
      </t>
    </mdx>
    <mdx n="508" f="v">
      <t c="3" si="4">
        <n x="509"/>
        <n x="125"/>
        <n x="493"/>
      </t>
    </mdx>
    <mdx n="508" f="v">
      <t c="3" si="4">
        <n x="509"/>
        <n x="275"/>
        <n x="493"/>
      </t>
    </mdx>
    <mdx n="508" f="v">
      <t c="3" si="4">
        <n x="509"/>
        <n x="308"/>
        <n x="493"/>
      </t>
    </mdx>
    <mdx n="508" f="v">
      <t c="3" si="4">
        <n x="509"/>
        <n x="403"/>
        <n x="493"/>
      </t>
    </mdx>
    <mdx n="508" f="v">
      <t c="3" si="4">
        <n x="509"/>
        <n x="377"/>
        <n x="494"/>
      </t>
    </mdx>
    <mdx n="508" f="v">
      <t c="3" si="4">
        <n x="509"/>
        <n x="125"/>
        <n x="494"/>
      </t>
    </mdx>
    <mdx n="508" f="v">
      <t c="3" si="4">
        <n x="509"/>
        <n x="376"/>
        <n x="494"/>
      </t>
    </mdx>
    <mdx n="508" f="v">
      <t c="3" si="4">
        <n x="509"/>
        <n x="366"/>
        <n x="494"/>
      </t>
    </mdx>
    <mdx n="508" f="v">
      <t c="3" si="4">
        <n x="509"/>
        <n x="460"/>
        <n x="494"/>
      </t>
    </mdx>
    <mdx n="508" f="v">
      <t c="3" si="4">
        <n x="509"/>
        <n x="259"/>
        <n x="495"/>
      </t>
    </mdx>
    <mdx n="508" f="v">
      <t c="3" si="4">
        <n x="509"/>
        <n x="306"/>
        <n x="482"/>
      </t>
    </mdx>
    <mdx n="508" f="v">
      <t c="3" si="4">
        <n x="509"/>
        <n x="203"/>
        <n x="486"/>
      </t>
    </mdx>
    <mdx n="508" f="v">
      <t c="3" si="4">
        <n x="509"/>
        <n x="85"/>
        <n x="482"/>
      </t>
    </mdx>
    <mdx n="508" f="v">
      <t c="3" si="4">
        <n x="509"/>
        <n x="208"/>
        <n x="486"/>
      </t>
    </mdx>
    <mdx n="508" f="v">
      <t c="3" si="4">
        <n x="509"/>
        <n x="370"/>
        <n x="489"/>
      </t>
    </mdx>
    <mdx n="508" f="v">
      <t c="3" si="4">
        <n x="509"/>
        <n x="191"/>
        <n x="486"/>
      </t>
    </mdx>
    <mdx n="508" f="v">
      <t c="3" si="4">
        <n x="509"/>
        <n x="21"/>
        <n x="488"/>
      </t>
    </mdx>
    <mdx n="508" f="v">
      <t c="3" si="4">
        <n x="509"/>
        <n x="316"/>
        <n x="489"/>
      </t>
    </mdx>
    <mdx n="508" f="v">
      <t c="3" si="4">
        <n x="509"/>
        <n x="188"/>
        <n x="488"/>
      </t>
    </mdx>
    <mdx n="508" f="v">
      <t c="3" si="4">
        <n x="509"/>
        <n x="63"/>
        <n x="491"/>
      </t>
    </mdx>
    <mdx n="508" f="v">
      <t c="3" si="4">
        <n x="509"/>
        <n x="186"/>
        <n x="488"/>
      </t>
    </mdx>
    <mdx n="508" f="v">
      <t c="3" si="4">
        <n x="509"/>
        <n x="278"/>
        <n x="490"/>
      </t>
    </mdx>
    <mdx n="508" f="v">
      <t c="3" si="4">
        <n x="509"/>
        <n x="405"/>
        <n x="491"/>
      </t>
    </mdx>
    <mdx n="508" f="v">
      <t c="3" si="4">
        <n x="509"/>
        <n x="164"/>
        <n x="483"/>
      </t>
    </mdx>
    <mdx n="508" f="v">
      <t c="3" si="4">
        <n x="509"/>
        <n x="82"/>
        <n x="489"/>
      </t>
    </mdx>
    <mdx n="508" f="v">
      <t c="3" si="4">
        <n x="509"/>
        <n x="369"/>
        <n x="491"/>
      </t>
    </mdx>
    <mdx n="508" f="v">
      <t c="3" si="4">
        <n x="509"/>
        <n x="101"/>
        <n x="487"/>
      </t>
    </mdx>
    <mdx n="508" f="v">
      <t c="3" si="4">
        <n x="509"/>
        <n x="444"/>
        <n x="486"/>
      </t>
    </mdx>
    <mdx n="508" f="v">
      <t c="3" si="4">
        <n x="509"/>
        <n x="207"/>
        <n x="490"/>
      </t>
    </mdx>
    <mdx n="508" f="v">
      <t c="3" si="4">
        <n x="509"/>
        <n x="283"/>
        <n x="491"/>
      </t>
    </mdx>
    <mdx n="508" f="v">
      <t c="3" si="4">
        <n x="509"/>
        <n x="50"/>
        <n x="490"/>
      </t>
    </mdx>
    <mdx n="508" f="v">
      <t c="3" si="4">
        <n x="509"/>
        <n x="297"/>
        <n x="488"/>
      </t>
    </mdx>
    <mdx n="508" f="v">
      <t c="3" si="4">
        <n x="509"/>
        <n x="19"/>
        <n x="490"/>
      </t>
    </mdx>
    <mdx n="508" f="v">
      <t c="3" si="4">
        <n x="509"/>
        <n x="178"/>
        <n x="491"/>
      </t>
    </mdx>
    <mdx n="508" f="v">
      <t c="3" si="4">
        <n x="509"/>
        <n x="312"/>
        <n x="491"/>
      </t>
    </mdx>
    <mdx n="508" f="v">
      <t c="3" si="4">
        <n x="509"/>
        <n x="429"/>
        <n x="488"/>
      </t>
    </mdx>
    <mdx n="508" f="v">
      <t c="3" si="4">
        <n x="509"/>
        <n x="427"/>
        <n x="490"/>
      </t>
    </mdx>
    <mdx n="508" f="v">
      <t c="3" si="4">
        <n x="509"/>
        <n x="262"/>
        <n x="491"/>
      </t>
    </mdx>
    <mdx n="508" f="v">
      <t c="3" si="4">
        <n x="509"/>
        <n x="318"/>
        <n x="482"/>
      </t>
    </mdx>
    <mdx n="508" f="v">
      <t c="3" si="4">
        <n x="509"/>
        <n x="367"/>
        <n x="489"/>
      </t>
    </mdx>
    <mdx n="508" f="v">
      <t c="3" si="4">
        <n x="509"/>
        <n x="421"/>
        <n x="490"/>
      </t>
    </mdx>
    <mdx n="508" f="v">
      <t c="3" si="4">
        <n x="509"/>
        <n x="150"/>
        <n x="482"/>
      </t>
    </mdx>
    <mdx n="508" f="v">
      <t c="3" si="4">
        <n x="509"/>
        <n x="180"/>
        <n x="1"/>
      </t>
    </mdx>
    <mdx n="508" f="v">
      <t c="3" si="4">
        <n x="509"/>
        <n x="403"/>
        <n x="492"/>
      </t>
    </mdx>
    <mdx n="508" f="v">
      <t c="3" si="4">
        <n x="509"/>
        <n x="407"/>
        <n x="492"/>
      </t>
    </mdx>
    <mdx n="508" f="v">
      <t c="3" si="4">
        <n x="509"/>
        <n x="431"/>
        <n x="492"/>
      </t>
    </mdx>
    <mdx n="508" f="v">
      <t c="3" si="4">
        <n x="509"/>
        <n x="400"/>
        <n x="492"/>
      </t>
    </mdx>
    <mdx n="508" f="v">
      <t c="3" si="4">
        <n x="509"/>
        <n x="356"/>
        <n x="492"/>
      </t>
    </mdx>
    <mdx n="508" f="v">
      <t c="3" si="4">
        <n x="509"/>
        <n x="41"/>
        <n x="492"/>
      </t>
    </mdx>
    <mdx n="508" f="v">
      <t c="3" si="4">
        <n x="509"/>
        <n x="209"/>
        <n x="492"/>
      </t>
    </mdx>
    <mdx n="508" f="v">
      <t c="3" si="4">
        <n x="509"/>
        <n x="3"/>
        <n x="492"/>
      </t>
    </mdx>
    <mdx n="508" f="v">
      <t c="3" si="4">
        <n x="509"/>
        <n x="219"/>
        <n x="493"/>
      </t>
    </mdx>
    <mdx n="508" f="v">
      <t c="3" si="4">
        <n x="509"/>
        <n x="24"/>
        <n x="493"/>
      </t>
    </mdx>
    <mdx n="508" f="v">
      <t c="3" si="4">
        <n x="509"/>
        <n x="381"/>
        <n x="493"/>
      </t>
    </mdx>
    <mdx n="508" f="v">
      <t c="3" si="4">
        <n x="509"/>
        <n x="463"/>
        <n x="493"/>
      </t>
    </mdx>
    <mdx n="508" f="v">
      <t c="3" si="4">
        <n x="509"/>
        <n x="426"/>
        <n x="493"/>
      </t>
    </mdx>
    <mdx n="508" f="v">
      <t c="3" si="4">
        <n x="509"/>
        <n x="122"/>
        <n x="493"/>
      </t>
    </mdx>
    <mdx n="508" f="v">
      <t c="3" si="4">
        <n x="509"/>
        <n x="111"/>
        <n x="493"/>
      </t>
    </mdx>
    <mdx n="508" f="v">
      <t c="3" si="4">
        <n x="509"/>
        <n x="116"/>
        <n x="494"/>
      </t>
    </mdx>
    <mdx n="508" f="v">
      <t c="3" si="4">
        <n x="509"/>
        <n x="119"/>
        <n x="494"/>
      </t>
    </mdx>
    <mdx n="508" f="v">
      <t c="3" si="4">
        <n x="509"/>
        <n x="243"/>
        <n x="476"/>
      </t>
    </mdx>
    <mdx n="508" f="v">
      <t c="3" si="4">
        <n x="509"/>
        <n x="18"/>
        <n x="471"/>
      </t>
    </mdx>
    <mdx n="508" f="v">
      <t c="3" si="4">
        <n x="509"/>
        <n x="410"/>
        <n x="487"/>
      </t>
    </mdx>
    <mdx n="508" f="v">
      <t c="3" si="4">
        <n x="509"/>
        <n x="328"/>
        <n x="487"/>
      </t>
    </mdx>
    <mdx n="508" f="v">
      <t c="3" si="4">
        <n x="509"/>
        <n x="157"/>
        <n x="481"/>
      </t>
    </mdx>
    <mdx n="508" f="v">
      <t c="3" si="4">
        <n x="509"/>
        <n x="209"/>
        <n x="481"/>
      </t>
    </mdx>
    <mdx n="508" f="v">
      <t c="3" si="4">
        <n x="509"/>
        <n x="173"/>
        <n x="482"/>
      </t>
    </mdx>
    <mdx n="508" f="v">
      <t c="3" si="4">
        <n x="509"/>
        <n x="72"/>
        <n x="479"/>
      </t>
    </mdx>
    <mdx n="508" f="v">
      <t c="3" si="4">
        <n x="509"/>
        <n x="124"/>
        <n x="485"/>
      </t>
    </mdx>
    <mdx n="508" f="v">
      <t c="3" si="4">
        <n x="509"/>
        <n x="436"/>
        <n x="487"/>
      </t>
    </mdx>
    <mdx n="508" f="v">
      <t c="3" si="4">
        <n x="509"/>
        <n x="338"/>
        <n x="488"/>
      </t>
    </mdx>
    <mdx n="508" f="v">
      <t c="3" si="4">
        <n x="509"/>
        <n x="435"/>
        <n x="489"/>
      </t>
    </mdx>
    <mdx n="508" f="v">
      <t c="3" si="4">
        <n x="509"/>
        <n x="303"/>
        <n x="488"/>
      </t>
    </mdx>
    <mdx n="508" f="v">
      <t c="3" si="4">
        <n x="509"/>
        <n x="256"/>
        <n x="490"/>
      </t>
    </mdx>
    <mdx n="508" f="v">
      <t c="3" si="4">
        <n x="509"/>
        <n x="61"/>
        <n x="491"/>
      </t>
    </mdx>
    <mdx n="508" f="v">
      <t c="3" si="4">
        <n x="509"/>
        <n x="159"/>
        <n x="489"/>
      </t>
    </mdx>
    <mdx n="508" f="v">
      <t c="3" si="4">
        <n x="509"/>
        <n x="48"/>
        <n x="490"/>
      </t>
    </mdx>
    <mdx n="508" f="v">
      <t c="3" si="4">
        <n x="509"/>
        <n x="389"/>
        <n x="491"/>
      </t>
    </mdx>
    <mdx n="508" f="v">
      <t c="3" si="4">
        <n x="509"/>
        <n x="319"/>
        <n x="483"/>
      </t>
    </mdx>
    <mdx n="508" f="v">
      <t c="3" si="4">
        <n x="509"/>
        <n x="293"/>
        <n x="489"/>
      </t>
    </mdx>
    <mdx n="508" f="v">
      <t c="3" si="4">
        <n x="509"/>
        <n x="53"/>
        <n x="491"/>
      </t>
    </mdx>
    <mdx n="508" f="v">
      <t c="3" si="4">
        <n x="509"/>
        <n x="147"/>
        <n x="488"/>
      </t>
    </mdx>
    <mdx n="508" f="v">
      <t c="3" si="4">
        <n x="509"/>
        <n x="309"/>
        <n x="486"/>
      </t>
    </mdx>
    <mdx n="508" f="v">
      <t c="3" si="4">
        <n x="509"/>
        <n x="449"/>
        <n x="490"/>
      </t>
    </mdx>
    <mdx n="508" f="v">
      <t c="3" si="4">
        <n x="509"/>
        <n x="256"/>
        <n x="491"/>
      </t>
    </mdx>
    <mdx n="508" f="v">
      <t c="3" si="4">
        <n x="509"/>
        <n x="68"/>
        <n x="490"/>
      </t>
    </mdx>
    <mdx n="508" f="v">
      <t c="3" si="4">
        <n x="509"/>
        <n x="222"/>
        <n x="488"/>
      </t>
    </mdx>
    <mdx n="508" f="v">
      <t c="3" si="4">
        <n x="509"/>
        <n x="313"/>
        <n x="490"/>
      </t>
    </mdx>
    <mdx n="508" f="v">
      <t c="3" si="4">
        <n x="509"/>
        <n x="462"/>
        <n x="491"/>
      </t>
    </mdx>
    <mdx n="508" f="v">
      <t c="3" si="4">
        <n x="509"/>
        <n x="368"/>
        <n x="491"/>
      </t>
    </mdx>
    <mdx n="508" f="v">
      <t c="3" si="4">
        <n x="509"/>
        <n x="266"/>
        <n x="488"/>
      </t>
    </mdx>
    <mdx n="508" f="v">
      <t c="3" si="4">
        <n x="509"/>
        <n x="251"/>
        <n x="490"/>
      </t>
    </mdx>
    <mdx n="508" f="v">
      <t c="3" si="4">
        <n x="509"/>
        <n x="333"/>
        <n x="491"/>
      </t>
    </mdx>
    <mdx n="508" f="v">
      <t c="3" si="4">
        <n x="509"/>
        <n x="281"/>
        <n x="482"/>
      </t>
    </mdx>
    <mdx n="508" f="v">
      <t c="3" si="4">
        <n x="509"/>
        <n x="200"/>
        <n x="489"/>
      </t>
    </mdx>
    <mdx n="508" f="v">
      <t c="3" si="4">
        <n x="509"/>
        <n x="338"/>
        <n x="490"/>
      </t>
    </mdx>
    <mdx n="508" f="v">
      <t c="3" si="4">
        <n x="509"/>
        <n x="440"/>
        <n x="483"/>
      </t>
    </mdx>
    <mdx n="508" f="v">
      <t c="3" si="4">
        <n x="509"/>
        <n x="48"/>
        <n x="1"/>
      </t>
    </mdx>
    <mdx n="508" f="v">
      <t c="3" si="4">
        <n x="509"/>
        <n x="229"/>
        <n x="492"/>
      </t>
    </mdx>
    <mdx n="508" f="v">
      <t c="3" si="4">
        <n x="509"/>
        <n x="401"/>
        <n x="492"/>
      </t>
    </mdx>
    <mdx n="508" f="v">
      <t c="3" si="4">
        <n x="509"/>
        <n x="166"/>
        <n x="492"/>
      </t>
    </mdx>
    <mdx n="508" f="v">
      <t c="3" si="4">
        <n x="509"/>
        <n x="396"/>
        <n x="492"/>
      </t>
    </mdx>
    <mdx n="508" f="v">
      <t c="3" si="4">
        <n x="509"/>
        <n x="52"/>
        <n x="492"/>
      </t>
    </mdx>
    <mdx n="508" f="v">
      <t c="3" si="4">
        <n x="509"/>
        <n x="413"/>
        <n x="492"/>
      </t>
    </mdx>
    <mdx n="508" f="v">
      <t c="3" si="4">
        <n x="509"/>
        <n x="298"/>
        <n x="492"/>
      </t>
    </mdx>
    <mdx n="508" f="v">
      <t c="3" si="4">
        <n x="509"/>
        <n x="211"/>
        <n x="493"/>
      </t>
    </mdx>
    <mdx n="508" f="v">
      <t c="3" si="4">
        <n x="509"/>
        <n x="318"/>
        <n x="493"/>
      </t>
    </mdx>
    <mdx n="508" f="v">
      <t c="3" si="4">
        <n x="509"/>
        <n x="234"/>
        <n x="493"/>
      </t>
    </mdx>
    <mdx n="508" f="v">
      <t c="3" si="4">
        <n x="509"/>
        <n x="15"/>
        <n x="493"/>
      </t>
    </mdx>
    <mdx n="508" f="v">
      <t c="3" si="4">
        <n x="509"/>
        <n x="462"/>
        <n x="493"/>
      </t>
    </mdx>
    <mdx n="508" f="v">
      <t c="3" si="4">
        <n x="509"/>
        <n x="153"/>
        <n x="493"/>
      </t>
    </mdx>
    <mdx n="508" f="v">
      <t c="3" si="4">
        <n x="509"/>
        <n x="395"/>
        <n x="493"/>
      </t>
    </mdx>
    <mdx n="508" f="v">
      <t c="3" si="4">
        <n x="509"/>
        <n x="107"/>
        <n x="493"/>
      </t>
    </mdx>
    <mdx n="508" f="v">
      <t c="3" si="4">
        <n x="509"/>
        <n x="387"/>
        <n x="494"/>
      </t>
    </mdx>
    <mdx n="508" f="v">
      <t c="3" si="4">
        <n x="509"/>
        <n x="225"/>
        <n x="494"/>
      </t>
    </mdx>
    <mdx n="508" f="v">
      <t c="3" si="4">
        <n x="509"/>
        <n x="184"/>
        <n x="477"/>
      </t>
    </mdx>
    <mdx n="508" f="v">
      <t c="3" si="4">
        <n x="509"/>
        <n x="380"/>
        <n x="471"/>
      </t>
    </mdx>
    <mdx n="508" f="v">
      <t c="3" si="4">
        <n x="509"/>
        <n x="394"/>
        <n x="487"/>
      </t>
    </mdx>
    <mdx n="508" f="v">
      <t c="3" si="4">
        <n x="509"/>
        <n x="191"/>
        <n x="487"/>
      </t>
    </mdx>
    <mdx n="508" f="v">
      <t c="3" si="4">
        <n x="509"/>
        <n x="76"/>
        <n x="481"/>
      </t>
    </mdx>
    <mdx n="508" f="v">
      <t c="3" si="4">
        <n x="509"/>
        <n x="271"/>
        <n x="481"/>
      </t>
    </mdx>
    <mdx n="508" f="v">
      <t c="3" si="4">
        <n x="509"/>
        <n x="241"/>
        <n x="482"/>
      </t>
    </mdx>
    <mdx n="508" f="v">
      <t c="3" si="4">
        <n x="509"/>
        <n x="85"/>
        <n x="479"/>
      </t>
    </mdx>
    <mdx n="508" f="v">
      <t c="3" si="4">
        <n x="509"/>
        <n x="81"/>
        <n x="485"/>
      </t>
    </mdx>
    <mdx n="508" f="v">
      <t c="3" si="4">
        <n x="509"/>
        <n x="148"/>
        <n x="487"/>
      </t>
    </mdx>
    <mdx n="508" f="v">
      <t c="3" si="4">
        <n x="509"/>
        <n x="122"/>
        <n x="488"/>
      </t>
    </mdx>
    <mdx n="508" f="v">
      <t c="3" si="4">
        <n x="509"/>
        <n x="403"/>
        <n x="489"/>
      </t>
    </mdx>
    <mdx n="508" f="v">
      <t c="3" si="4">
        <n x="509"/>
        <n x="46"/>
        <n x="488"/>
      </t>
    </mdx>
    <mdx n="508" f="v">
      <t c="3" si="4">
        <n x="509"/>
        <n x="356"/>
        <n x="490"/>
      </t>
    </mdx>
    <mdx n="508" f="v">
      <t c="3" si="4">
        <n x="509"/>
        <n x="392"/>
        <n x="491"/>
      </t>
    </mdx>
    <mdx n="508" f="v">
      <t c="3" si="4">
        <n x="509"/>
        <n x="364"/>
        <n x="489"/>
      </t>
    </mdx>
    <mdx n="508" f="v">
      <t c="3" si="4">
        <n x="509"/>
        <n x="346"/>
        <n x="490"/>
      </t>
    </mdx>
    <mdx n="508" f="v">
      <t c="3" si="4">
        <n x="509"/>
        <n x="96"/>
        <n x="491"/>
      </t>
    </mdx>
    <mdx n="508" f="v">
      <t c="3" si="4">
        <n x="509"/>
        <n x="121"/>
        <n x="483"/>
      </t>
    </mdx>
    <mdx n="508" f="v">
      <t c="3" si="4">
        <n x="509"/>
        <n x="332"/>
        <n x="489"/>
      </t>
    </mdx>
    <mdx n="508" f="v">
      <t c="3" si="4">
        <n x="509"/>
        <n x="451"/>
        <n x="491"/>
      </t>
    </mdx>
    <mdx n="508" f="v">
      <t c="3" si="4">
        <n x="509"/>
        <n x="95"/>
        <n x="488"/>
      </t>
    </mdx>
    <mdx n="508" f="v">
      <t c="3" si="4">
        <n x="509"/>
        <n x="323"/>
        <n x="486"/>
      </t>
    </mdx>
    <mdx n="508" f="v">
      <t c="3" si="4">
        <n x="509"/>
        <n x="351"/>
        <n x="490"/>
      </t>
    </mdx>
    <mdx n="508" f="v">
      <t c="3" si="4">
        <n x="509"/>
        <n x="241"/>
        <n x="491"/>
      </t>
    </mdx>
    <mdx n="508" f="v">
      <t c="3" si="4">
        <n x="509"/>
        <n x="197"/>
        <n x="491"/>
      </t>
    </mdx>
    <mdx n="508" f="v">
      <t c="3" si="4">
        <n x="509"/>
        <n x="176"/>
        <n x="488"/>
      </t>
    </mdx>
    <mdx n="508" f="v">
      <t c="3" si="4">
        <n x="509"/>
        <n x="299"/>
        <n x="490"/>
      </t>
    </mdx>
    <mdx n="508" f="v">
      <t c="3" si="4">
        <n x="509"/>
        <n x="447"/>
        <n x="491"/>
      </t>
    </mdx>
    <mdx n="508" f="v">
      <t c="3" si="4">
        <n x="509"/>
        <n x="120"/>
        <n x="491"/>
      </t>
    </mdx>
    <mdx n="508" f="v">
      <t c="3" si="4">
        <n x="509"/>
        <n x="105"/>
        <n x="488"/>
      </t>
    </mdx>
    <mdx n="508" f="v">
      <t c="3" si="4">
        <n x="509"/>
        <n x="326"/>
        <n x="490"/>
      </t>
    </mdx>
    <mdx n="508" f="v">
      <t c="3" si="4">
        <n x="509"/>
        <n x="393"/>
        <n x="491"/>
      </t>
    </mdx>
    <mdx n="508" f="v">
      <t c="3" si="4">
        <n x="509"/>
        <n x="44"/>
        <n x="482"/>
      </t>
    </mdx>
    <mdx n="508" f="v">
      <t c="3" si="4">
        <n x="509"/>
        <n x="244"/>
        <n x="489"/>
      </t>
    </mdx>
    <mdx n="508" f="v">
      <t c="3" si="4">
        <n x="509"/>
        <n x="122"/>
        <n x="490"/>
      </t>
    </mdx>
    <mdx n="508" f="v">
      <t c="3" si="4">
        <n x="509"/>
        <n x="272"/>
        <n x="483"/>
      </t>
    </mdx>
    <mdx n="508" f="v">
      <t c="3" si="4">
        <n x="509"/>
        <n x="244"/>
        <n x="5"/>
      </t>
    </mdx>
    <mdx n="508" f="v">
      <t c="3" si="4">
        <n x="509"/>
        <n x="114"/>
        <n x="492"/>
      </t>
    </mdx>
    <mdx n="508" f="v">
      <t c="3" si="4">
        <n x="509"/>
        <n x="242"/>
        <n x="492"/>
      </t>
    </mdx>
    <mdx n="508" f="v">
      <t c="3" si="4">
        <n x="509"/>
        <n x="44"/>
        <n x="492"/>
      </t>
    </mdx>
    <mdx n="508" f="v">
      <t c="3" si="4">
        <n x="509"/>
        <n x="19"/>
        <n x="492"/>
      </t>
    </mdx>
    <mdx n="508" f="v">
      <t c="3" si="4">
        <n x="509"/>
        <n x="438"/>
        <n x="492"/>
      </t>
    </mdx>
    <mdx n="508" f="v">
      <t c="3" si="4">
        <n x="509"/>
        <n x="141"/>
        <n x="492"/>
      </t>
    </mdx>
    <mdx n="508" f="v">
      <t c="3" si="4">
        <n x="509"/>
        <n x="205"/>
        <n x="492"/>
      </t>
    </mdx>
    <mdx n="508" f="v">
      <t c="3" si="4">
        <n x="509"/>
        <n x="290"/>
        <n x="493"/>
      </t>
    </mdx>
    <mdx n="508" f="v">
      <t c="3" si="4">
        <n x="509"/>
        <n x="315"/>
        <n x="493"/>
      </t>
    </mdx>
    <mdx n="508" f="v">
      <t c="3" si="4">
        <n x="509"/>
        <n x="23"/>
        <n x="493"/>
      </t>
    </mdx>
    <mdx n="508" f="v">
      <t c="3" si="4">
        <n x="509"/>
        <n x="314"/>
        <n x="493"/>
      </t>
    </mdx>
    <mdx n="508" f="v">
      <t c="3" si="4">
        <n x="509"/>
        <n x="64"/>
        <n x="493"/>
      </t>
    </mdx>
    <mdx n="508" f="v">
      <t c="3" si="4">
        <n x="509"/>
        <n x="347"/>
        <n x="493"/>
      </t>
    </mdx>
    <mdx n="508" f="v">
      <t c="3" si="4">
        <n x="509"/>
        <n x="228"/>
        <n x="493"/>
      </t>
    </mdx>
    <mdx n="508" f="v">
      <t c="3" si="4">
        <n x="509"/>
        <n x="103"/>
        <n x="493"/>
      </t>
    </mdx>
    <mdx n="508" f="v">
      <t c="3" si="4">
        <n x="509"/>
        <n x="110"/>
        <n x="494"/>
      </t>
    </mdx>
    <mdx n="508" f="v">
      <t c="3" si="4">
        <n x="509"/>
        <n x="386"/>
        <n x="494"/>
      </t>
    </mdx>
    <mdx n="508" f="v">
      <t c="3" si="4">
        <n x="509"/>
        <n x="132"/>
        <n x="494"/>
      </t>
    </mdx>
    <mdx n="508" f="v">
      <t c="3" si="4">
        <n x="509"/>
        <n x="54"/>
        <n x="494"/>
      </t>
    </mdx>
    <mdx n="508" f="v">
      <t c="3" si="4">
        <n x="509"/>
        <n x="210"/>
        <n x="494"/>
      </t>
    </mdx>
    <mdx n="508" f="v">
      <t c="3" si="4">
        <n x="509"/>
        <n x="148"/>
        <n x="494"/>
      </t>
    </mdx>
    <mdx n="508" f="v">
      <t c="3" si="4">
        <n x="509"/>
        <n x="331"/>
        <n x="494"/>
      </t>
    </mdx>
    <mdx n="508" f="v">
      <t c="3" si="4">
        <n x="509"/>
        <n x="286"/>
        <n x="495"/>
      </t>
    </mdx>
    <mdx n="508" f="v">
      <t c="3" si="4">
        <n x="509"/>
        <n x="222"/>
        <n x="486"/>
      </t>
    </mdx>
    <mdx n="508" f="v">
      <t c="3" si="4">
        <n x="509"/>
        <n x="231"/>
        <n x="485"/>
      </t>
    </mdx>
    <mdx n="508" f="v">
      <t c="3" si="4">
        <n x="509"/>
        <n x="61"/>
        <n x="490"/>
      </t>
    </mdx>
    <mdx n="508" f="v">
      <t c="3" si="4">
        <n x="509"/>
        <n x="309"/>
        <n x="491"/>
      </t>
    </mdx>
    <mdx n="508" f="v">
      <t c="3" si="4">
        <n x="509"/>
        <n x="292"/>
        <n x="491"/>
      </t>
    </mdx>
    <mdx n="508" f="v">
      <t c="3" si="4">
        <n x="509"/>
        <n x="20"/>
        <n x="492"/>
      </t>
    </mdx>
    <mdx n="508" f="v">
      <t c="3" si="4">
        <n x="509"/>
        <n x="160"/>
        <n x="492"/>
      </t>
    </mdx>
    <mdx n="508" f="v">
      <t c="3" si="4">
        <n x="509"/>
        <n x="439"/>
        <n x="493"/>
      </t>
    </mdx>
    <mdx n="508" f="v">
      <t c="3" si="4">
        <n x="509"/>
        <n x="277"/>
        <n x="494"/>
      </t>
    </mdx>
    <mdx n="508" f="v">
      <t c="3" si="4">
        <n x="509"/>
        <n x="212"/>
        <n x="494"/>
      </t>
    </mdx>
    <mdx n="508" f="v">
      <t c="3" si="4">
        <n x="509"/>
        <n x="396"/>
        <n x="494"/>
      </t>
    </mdx>
    <mdx n="508" f="v">
      <t c="3" si="4">
        <n x="509"/>
        <n x="211"/>
        <n x="494"/>
      </t>
    </mdx>
    <mdx n="508" f="v">
      <t c="3" si="4">
        <n x="509"/>
        <n x="13"/>
        <n x="494"/>
      </t>
    </mdx>
    <mdx n="508" f="v">
      <t c="3" si="4">
        <n x="509"/>
        <n x="365"/>
        <n x="495"/>
      </t>
    </mdx>
    <mdx n="508" f="v">
      <t c="3" si="4">
        <n x="509"/>
        <n x="55"/>
        <n x="495"/>
      </t>
    </mdx>
    <mdx n="508" f="v">
      <t c="3" si="4">
        <n x="509"/>
        <n x="25"/>
        <n x="495"/>
      </t>
    </mdx>
    <mdx n="508" f="v">
      <t c="3" si="4">
        <n x="509"/>
        <n x="390"/>
        <n x="495"/>
      </t>
    </mdx>
    <mdx n="508" f="v">
      <t c="3" si="4">
        <n x="509"/>
        <n x="40"/>
        <n x="495"/>
      </t>
    </mdx>
    <mdx n="508" f="v">
      <t c="3" si="4">
        <n x="509"/>
        <n x="383"/>
        <n x="495"/>
      </t>
    </mdx>
    <mdx n="508" f="v">
      <t c="3" si="4">
        <n x="509"/>
        <n x="63"/>
        <n x="495"/>
      </t>
    </mdx>
    <mdx n="508" f="v">
      <t c="3" si="4">
        <n x="509"/>
        <n x="150"/>
        <n x="495"/>
      </t>
    </mdx>
    <mdx n="508" f="v">
      <t c="3" si="4">
        <n x="509"/>
        <n x="449"/>
        <n x="485"/>
      </t>
    </mdx>
    <mdx n="508" f="v">
      <t c="3" si="4">
        <n x="509"/>
        <n x="276"/>
        <n x="488"/>
      </t>
    </mdx>
    <mdx n="508" f="v">
      <t c="3" si="4">
        <n x="509"/>
        <n x="118"/>
        <n x="481"/>
      </t>
    </mdx>
    <mdx n="508" f="v">
      <t c="3" si="4">
        <n x="509"/>
        <n x="359"/>
        <n x="486"/>
      </t>
    </mdx>
    <mdx n="508" f="v">
      <t c="3" si="4">
        <n x="509"/>
        <n x="68"/>
        <n x="488"/>
      </t>
    </mdx>
    <mdx n="508" f="v">
      <t c="3" si="4">
        <n x="509"/>
        <n x="42"/>
        <n x="492"/>
      </t>
    </mdx>
    <mdx n="508" f="v">
      <t c="3" si="4">
        <n x="509"/>
        <n x="164"/>
        <n x="492"/>
      </t>
    </mdx>
    <mdx n="508" f="v">
      <t c="3" si="4">
        <n x="509"/>
        <n x="361"/>
        <n x="493"/>
      </t>
    </mdx>
    <mdx n="508" f="v">
      <t c="3" si="4">
        <n x="509"/>
        <n x="352"/>
        <n x="493"/>
      </t>
    </mdx>
    <mdx n="508" f="v">
      <t c="3" si="4">
        <n x="509"/>
        <n x="257"/>
        <n x="494"/>
      </t>
    </mdx>
    <mdx n="508" f="v">
      <t c="3" si="4">
        <n x="509"/>
        <n x="349"/>
        <n x="494"/>
      </t>
    </mdx>
    <mdx n="508" f="v">
      <t c="3" si="4">
        <n x="509"/>
        <n x="393"/>
        <n x="494"/>
      </t>
    </mdx>
    <mdx n="508" f="v">
      <t c="3" si="4">
        <n x="509"/>
        <n x="414"/>
        <n x="494"/>
      </t>
    </mdx>
    <mdx n="508" f="v">
      <t c="3" si="4">
        <n x="509"/>
        <n x="3"/>
        <n x="494"/>
      </t>
    </mdx>
    <mdx n="508" f="v">
      <t c="3" si="4">
        <n x="509"/>
        <n x="222"/>
        <n x="495"/>
      </t>
    </mdx>
    <mdx n="508" f="v">
      <t c="3" si="4">
        <n x="509"/>
        <n x="361"/>
        <n x="495"/>
      </t>
    </mdx>
    <mdx n="508" f="v">
      <t c="3" si="4">
        <n x="509"/>
        <n x="41"/>
        <n x="495"/>
      </t>
    </mdx>
    <mdx n="508" f="v">
      <t c="3" si="4">
        <n x="509"/>
        <n x="447"/>
        <n x="495"/>
      </t>
    </mdx>
    <mdx n="508" f="v">
      <t c="3" si="4">
        <n x="509"/>
        <n x="340"/>
        <n x="495"/>
      </t>
    </mdx>
    <mdx n="508" f="v">
      <t c="3" si="4">
        <n x="509"/>
        <n x="379"/>
        <n x="495"/>
      </t>
    </mdx>
    <mdx n="508" f="v">
      <t c="3" si="4">
        <n x="509"/>
        <n x="302"/>
        <n x="495"/>
      </t>
    </mdx>
    <mdx n="508" f="v">
      <t c="3" si="4">
        <n x="509"/>
        <n x="276"/>
        <n x="485"/>
      </t>
    </mdx>
    <mdx n="508" f="v">
      <t c="3" si="4">
        <n x="509"/>
        <n x="115"/>
        <n x="490"/>
      </t>
    </mdx>
    <mdx n="508" f="v">
      <t c="3" si="4">
        <n x="509"/>
        <n x="42"/>
        <n x="491"/>
      </t>
    </mdx>
    <mdx n="508" f="v">
      <t c="3" si="4">
        <n x="509"/>
        <n x="463"/>
        <n x="491"/>
      </t>
    </mdx>
    <mdx n="508" f="v">
      <t c="3" si="4">
        <n x="509"/>
        <n x="113"/>
        <n x="492"/>
      </t>
    </mdx>
    <mdx n="508" f="v">
      <t c="3" si="4">
        <n x="509"/>
        <n x="368"/>
        <n x="493"/>
      </t>
    </mdx>
    <mdx n="508" f="v">
      <t c="3" si="4">
        <n x="509"/>
        <n x="216"/>
        <n x="493"/>
      </t>
    </mdx>
    <mdx n="508" f="v">
      <t c="3" si="4">
        <n x="509"/>
        <n x="201"/>
        <n x="494"/>
      </t>
    </mdx>
    <mdx n="508" f="v">
      <t c="3" si="4">
        <n x="509"/>
        <n x="233"/>
        <n x="494"/>
      </t>
    </mdx>
    <mdx n="508" f="v">
      <t c="3" si="4">
        <n x="509"/>
        <n x="427"/>
        <n x="494"/>
      </t>
    </mdx>
    <mdx n="508" f="v">
      <t c="3" si="4">
        <n x="509"/>
        <n x="273"/>
        <n x="492"/>
      </t>
    </mdx>
    <mdx n="508" f="v">
      <t c="3" si="4">
        <n x="509"/>
        <n x="41"/>
        <n x="480"/>
      </t>
    </mdx>
    <mdx n="508" f="v">
      <t c="3" si="4">
        <n x="509"/>
        <n x="267"/>
        <n x="483"/>
      </t>
    </mdx>
    <mdx n="508" f="v">
      <t c="3" si="4">
        <n x="509"/>
        <n x="349"/>
        <n x="487"/>
      </t>
    </mdx>
    <mdx n="508" f="v">
      <t c="3" si="4">
        <n x="509"/>
        <n x="425"/>
        <n x="484"/>
      </t>
    </mdx>
    <mdx n="508" f="v">
      <t c="3" si="4">
        <n x="509"/>
        <n x="304"/>
        <n x="487"/>
      </t>
    </mdx>
    <mdx n="508" f="v">
      <t c="3" si="4">
        <n x="509"/>
        <n x="64"/>
        <n x="471"/>
      </t>
    </mdx>
    <mdx n="508" f="v">
      <t c="3" si="4">
        <n x="509"/>
        <n x="211"/>
        <n x="486"/>
      </t>
    </mdx>
    <mdx n="508" f="v">
      <t c="3" si="4">
        <n x="509"/>
        <n x="306"/>
        <n x="488"/>
      </t>
    </mdx>
    <mdx n="508" f="v">
      <t c="3" si="4">
        <n x="509"/>
        <n x="142"/>
        <n x="489"/>
      </t>
    </mdx>
    <mdx n="508" f="v">
      <t c="3" si="4">
        <n x="509"/>
        <n x="396"/>
        <n x="489"/>
      </t>
    </mdx>
    <mdx n="508" f="v">
      <t c="3" si="4">
        <n x="509"/>
        <n x="30"/>
        <n x="491"/>
      </t>
    </mdx>
    <mdx n="508" f="v">
      <t c="3" si="4">
        <n x="509"/>
        <n x="103"/>
        <n x="488"/>
      </t>
    </mdx>
    <mdx n="508" f="v">
      <t c="3" si="4">
        <n x="509"/>
        <n x="67"/>
        <n x="491"/>
      </t>
    </mdx>
    <mdx n="508" f="v">
      <t c="3" si="4">
        <n x="509"/>
        <n x="14"/>
        <n x="491"/>
      </t>
    </mdx>
    <mdx n="508" f="v">
      <t c="3" si="4">
        <n x="509"/>
        <n x="389"/>
        <n x="489"/>
      </t>
    </mdx>
    <mdx n="508" f="v">
      <t c="3" si="4">
        <n x="509"/>
        <n x="157"/>
        <n x="491"/>
      </t>
    </mdx>
    <mdx n="508" f="v">
      <t c="3" si="4">
        <n x="509"/>
        <n x="156"/>
        <n x="482"/>
      </t>
    </mdx>
    <mdx n="508" f="v">
      <t c="3" si="4">
        <n x="509"/>
        <n x="201"/>
        <n x="490"/>
      </t>
    </mdx>
    <mdx n="508" f="v">
      <t c="3" si="4">
        <n x="509"/>
        <n x="179"/>
        <n x="491"/>
      </t>
    </mdx>
    <mdx n="508" f="v">
      <t c="3" si="4">
        <n x="509"/>
        <n x="447"/>
        <n x="484"/>
      </t>
    </mdx>
    <mdx n="508" f="v">
      <t c="3" si="4">
        <n x="509"/>
        <n x="335"/>
        <n x="490"/>
      </t>
    </mdx>
    <mdx n="508" f="v">
      <t c="3" si="4">
        <n x="509"/>
        <n x="35"/>
        <n x="491"/>
      </t>
    </mdx>
    <mdx n="508" f="v">
      <t c="3" si="4">
        <n x="509"/>
        <n x="377"/>
        <n x="485"/>
      </t>
    </mdx>
    <mdx n="508" f="v">
      <t c="3" si="4">
        <n x="509"/>
        <n x="290"/>
        <n x="490"/>
      </t>
    </mdx>
    <mdx n="508" f="v">
      <t c="3" si="4">
        <n x="509"/>
        <n x="165"/>
        <n x="484"/>
      </t>
    </mdx>
    <mdx n="508" f="v">
      <t c="3" si="4">
        <n x="509"/>
        <n x="155"/>
        <n x="487"/>
      </t>
    </mdx>
    <mdx n="508" f="v">
      <t c="3" si="4">
        <n x="509"/>
        <n x="352"/>
        <n x="490"/>
      </t>
    </mdx>
    <mdx n="508" f="v">
      <t c="3" si="4">
        <n x="509"/>
        <n x="177"/>
        <n x="491"/>
      </t>
    </mdx>
    <mdx n="508" f="v">
      <t c="3" si="4">
        <n x="509"/>
        <n x="298"/>
        <n x="5"/>
      </t>
    </mdx>
    <mdx n="508" f="v">
      <t c="3" si="4">
        <n x="509"/>
        <n x="189"/>
        <n x="492"/>
      </t>
    </mdx>
    <mdx n="508" f="v">
      <t c="3" si="4">
        <n x="509"/>
        <n x="46"/>
        <n x="492"/>
      </t>
    </mdx>
    <mdx n="508" f="v">
      <t c="3" si="4">
        <n x="509"/>
        <n x="239"/>
        <n x="492"/>
      </t>
    </mdx>
    <mdx n="508" f="v">
      <t c="3" si="4">
        <n x="509"/>
        <n x="85"/>
        <n x="492"/>
      </t>
    </mdx>
    <mdx n="508" f="v">
      <t c="3" si="4">
        <n x="509"/>
        <n x="6"/>
        <n x="492"/>
      </t>
    </mdx>
    <mdx n="508" f="v">
      <t c="3" si="4">
        <n x="509"/>
        <n x="286"/>
        <n x="493"/>
      </t>
    </mdx>
    <mdx n="508" f="v">
      <t c="3" si="4">
        <n x="509"/>
        <n x="182"/>
        <n x="493"/>
      </t>
    </mdx>
    <mdx n="508" f="v">
      <t c="3" si="4">
        <n x="509"/>
        <n x="220"/>
        <n x="493"/>
      </t>
    </mdx>
    <mdx n="508" f="v">
      <t c="3" si="4">
        <n x="509"/>
        <n x="411"/>
        <n x="493"/>
      </t>
    </mdx>
    <mdx n="508" f="v">
      <t c="3" si="4">
        <n x="509"/>
        <n x="183"/>
        <n x="493"/>
      </t>
    </mdx>
    <mdx n="508" f="v">
      <t c="3" si="4">
        <n x="509"/>
        <n x="114"/>
        <n x="493"/>
      </t>
    </mdx>
    <mdx n="508" f="v">
      <t c="3" si="4">
        <n x="509"/>
        <n x="295"/>
        <n x="494"/>
      </t>
    </mdx>
    <mdx n="508" f="v">
      <t c="3" si="4">
        <n x="509"/>
        <n x="381"/>
        <n x="494"/>
      </t>
    </mdx>
    <mdx n="508" f="v">
      <t c="3" si="4">
        <n x="509"/>
        <n x="57"/>
        <n x="494"/>
      </t>
    </mdx>
    <mdx n="508" f="v">
      <t c="3" si="4">
        <n x="509"/>
        <n x="164"/>
        <n x="494"/>
      </t>
    </mdx>
    <mdx n="508" f="v">
      <t c="3" si="4">
        <n x="509"/>
        <n x="365"/>
        <n x="494"/>
      </t>
    </mdx>
    <mdx n="508" f="v">
      <t c="3" si="4">
        <n x="509"/>
        <n x="370"/>
        <n x="495"/>
      </t>
    </mdx>
    <mdx n="508" f="v">
      <t c="3" si="4">
        <n x="509"/>
        <n x="230"/>
        <n x="481"/>
      </t>
    </mdx>
    <mdx n="508" f="v">
      <t c="3" si="4">
        <n x="509"/>
        <n x="97"/>
        <n x="483"/>
      </t>
    </mdx>
    <mdx n="508" f="v">
      <t c="3" si="4">
        <n x="509"/>
        <n x="77"/>
        <n x="487"/>
      </t>
    </mdx>
    <mdx n="508" f="v">
      <t c="3" si="4">
        <n x="509"/>
        <n x="121"/>
        <n x="484"/>
      </t>
    </mdx>
    <mdx n="508" f="v">
      <t c="3" si="4">
        <n x="509"/>
        <n x="92"/>
        <n x="487"/>
      </t>
    </mdx>
    <mdx n="508" f="v">
      <t c="3" si="4">
        <n x="509"/>
        <n x="340"/>
        <n x="471"/>
      </t>
    </mdx>
    <mdx n="508" f="v">
      <t c="3" si="4">
        <n x="509"/>
        <n x="52"/>
        <n x="486"/>
      </t>
    </mdx>
    <mdx n="508" f="v">
      <t c="3" si="4">
        <n x="509"/>
        <n x="455"/>
        <n x="488"/>
      </t>
    </mdx>
    <mdx n="508" f="v">
      <t c="3" si="4">
        <n x="509"/>
        <n x="297"/>
        <n x="489"/>
      </t>
    </mdx>
    <mdx n="508" f="v">
      <t c="3" si="4">
        <n x="509"/>
        <n x="275"/>
        <n x="489"/>
      </t>
    </mdx>
    <mdx n="508" f="v">
      <t c="3" si="4">
        <n x="509"/>
        <n x="235"/>
        <n x="491"/>
      </t>
    </mdx>
    <mdx n="508" f="v">
      <t c="3" si="4">
        <n x="509"/>
        <n x="436"/>
        <n x="489"/>
      </t>
    </mdx>
    <mdx n="508" f="v">
      <t c="3" si="4">
        <n x="509"/>
        <n x="293"/>
        <n x="490"/>
      </t>
    </mdx>
    <mdx n="508" f="v">
      <t c="3" si="4">
        <n x="509"/>
        <n x="210"/>
        <n x="491"/>
      </t>
    </mdx>
    <mdx n="508" f="v">
      <t c="3" si="4">
        <n x="509"/>
        <n x="277"/>
        <n x="484"/>
      </t>
    </mdx>
    <mdx n="508" f="v">
      <t c="3" si="4">
        <n x="509"/>
        <n x="378"/>
        <n x="489"/>
      </t>
    </mdx>
    <mdx n="508" f="v">
      <t c="3" si="4">
        <n x="509"/>
        <n x="134"/>
        <n x="491"/>
      </t>
    </mdx>
    <mdx n="508" f="v">
      <t c="3" si="4">
        <n x="509"/>
        <n x="365"/>
        <n x="490"/>
      </t>
    </mdx>
    <mdx n="508" f="v">
      <t c="3" si="4">
        <n x="509"/>
        <n x="396"/>
        <n x="487"/>
      </t>
    </mdx>
    <mdx n="508" f="v">
      <t c="3" si="4">
        <n x="509"/>
        <n x="391"/>
        <n x="490"/>
      </t>
    </mdx>
    <mdx n="508" f="v">
      <t c="3" si="4">
        <n x="509"/>
        <n x="412"/>
        <n x="491"/>
      </t>
    </mdx>
    <mdx n="508" f="v">
      <t c="3" si="4">
        <n x="509"/>
        <n x="399"/>
        <n x="491"/>
      </t>
    </mdx>
    <mdx n="508" f="v">
      <t c="3" si="4">
        <n x="509"/>
        <n x="388"/>
        <n x="488"/>
      </t>
    </mdx>
    <mdx n="508" f="v">
      <t c="3" si="4">
        <n x="509"/>
        <n x="373"/>
        <n x="490"/>
      </t>
    </mdx>
    <mdx n="508" f="v">
      <t c="3" si="4">
        <n x="509"/>
        <n x="295"/>
        <n x="491"/>
      </t>
    </mdx>
    <mdx n="508" f="v">
      <t c="3" si="4">
        <n x="509"/>
        <n x="43"/>
        <n x="491"/>
      </t>
    </mdx>
    <mdx n="508" f="v">
      <t c="3" si="4">
        <n x="509"/>
        <n x="100"/>
        <n x="489"/>
      </t>
    </mdx>
    <mdx n="508" f="v">
      <t c="3" si="4">
        <n x="509"/>
        <n x="179"/>
        <n x="490"/>
      </t>
    </mdx>
    <mdx n="508" f="v">
      <t c="3" si="4">
        <n x="509"/>
        <n x="123"/>
        <n x="491"/>
      </t>
    </mdx>
    <mdx n="508" f="v">
      <t c="3" si="4">
        <n x="509"/>
        <n x="368"/>
        <n x="483"/>
      </t>
    </mdx>
    <mdx n="508" f="v">
      <t c="3" si="4">
        <n x="509"/>
        <n x="36"/>
        <n x="489"/>
      </t>
    </mdx>
    <mdx n="508" f="v">
      <t c="3" si="4">
        <n x="509"/>
        <n x="239"/>
        <n x="490"/>
      </t>
    </mdx>
    <mdx n="508" f="v">
      <t c="3" si="4">
        <n x="509"/>
        <n x="36"/>
        <n x="488"/>
      </t>
    </mdx>
    <mdx n="508" f="v">
      <t c="3" si="4">
        <n x="509"/>
        <n x="419"/>
        <n x="492"/>
      </t>
    </mdx>
    <mdx n="508" f="v">
      <t c="3" si="4">
        <n x="509"/>
        <n x="225"/>
        <n x="492"/>
      </t>
    </mdx>
    <mdx n="508" f="v">
      <t c="3" si="4">
        <n x="509"/>
        <n x="343"/>
        <n x="492"/>
      </t>
    </mdx>
    <mdx n="508" f="v">
      <t c="3" si="4">
        <n x="509"/>
        <n x="376"/>
        <n x="492"/>
      </t>
    </mdx>
    <mdx n="508" f="v">
      <t c="3" si="4">
        <n x="509"/>
        <n x="427"/>
        <n x="492"/>
      </t>
    </mdx>
    <mdx n="508" f="v">
      <t c="3" si="4">
        <n x="509"/>
        <n x="461"/>
        <n x="492"/>
      </t>
    </mdx>
    <mdx n="508" f="v">
      <t c="3" si="4">
        <n x="509"/>
        <n x="195"/>
        <n x="492"/>
      </t>
    </mdx>
    <mdx n="508" f="v">
      <t c="3" si="4">
        <n x="509"/>
        <n x="288"/>
        <n x="493"/>
      </t>
    </mdx>
    <mdx n="508" f="v">
      <t c="3" si="4">
        <n x="509"/>
        <n x="305"/>
        <n x="493"/>
      </t>
    </mdx>
    <mdx n="508" f="v">
      <t c="3" si="4">
        <n x="509"/>
        <n x="221"/>
        <n x="493"/>
      </t>
    </mdx>
    <mdx n="508" f="v">
      <t c="3" si="4">
        <n x="509"/>
        <n x="303"/>
        <n x="493"/>
      </t>
    </mdx>
    <mdx n="508" f="v">
      <t c="3" si="4">
        <n x="509"/>
        <n x="180"/>
        <n x="493"/>
      </t>
    </mdx>
    <mdx n="508" f="v">
      <t c="3" si="4">
        <n x="509"/>
        <n x="32"/>
        <n x="493"/>
      </t>
    </mdx>
    <mdx n="508" f="v">
      <t c="3" si="4">
        <n x="509"/>
        <n x="319"/>
        <n x="493"/>
      </t>
    </mdx>
    <mdx n="508" f="v">
      <t c="3" si="4">
        <n x="509"/>
        <n x="90"/>
        <n x="493"/>
      </t>
    </mdx>
    <mdx n="508" f="v">
      <t c="3" si="4">
        <n x="509"/>
        <n x="309"/>
        <n x="494"/>
      </t>
    </mdx>
    <mdx n="508" f="v">
      <t c="3" si="4">
        <n x="509"/>
        <n x="312"/>
        <n x="494"/>
      </t>
    </mdx>
    <mdx n="508" f="v">
      <t c="3" si="4">
        <n x="509"/>
        <n x="160"/>
        <n x="468"/>
      </t>
    </mdx>
    <mdx n="508" f="v">
      <t c="3" si="4">
        <n x="509"/>
        <n x="124"/>
        <n x="479"/>
      </t>
    </mdx>
    <mdx n="508" f="v">
      <t c="3" si="4">
        <n x="509"/>
        <n x="407"/>
        <n x="488"/>
      </t>
    </mdx>
    <mdx n="508" f="v">
      <t c="3" si="4">
        <n x="509"/>
        <n x="254"/>
        <n x="479"/>
      </t>
    </mdx>
    <mdx n="508" f="v">
      <t c="3" si="4">
        <n x="509"/>
        <n x="74"/>
        <n x="482"/>
      </t>
    </mdx>
    <mdx n="508" f="v">
      <t c="3" si="4">
        <n x="509"/>
        <n x="293"/>
        <n x="482"/>
      </t>
    </mdx>
    <mdx n="508" f="v">
      <t c="3" si="4">
        <n x="509"/>
        <n x="343"/>
        <n x="483"/>
      </t>
    </mdx>
    <mdx n="508" f="v">
      <t c="3" si="4">
        <n x="509"/>
        <n x="365"/>
        <n x="482"/>
      </t>
    </mdx>
    <mdx n="508" f="v">
      <t c="3" si="4">
        <n x="509"/>
        <n x="372"/>
        <n x="486"/>
      </t>
    </mdx>
    <mdx n="508" f="v">
      <t c="3" si="4">
        <n x="509"/>
        <n x="231"/>
        <n x="487"/>
      </t>
    </mdx>
    <mdx n="508" f="v">
      <t c="3" si="4">
        <n x="509"/>
        <n x="117"/>
        <n x="488"/>
      </t>
    </mdx>
    <mdx n="508" f="v">
      <t c="3" si="4">
        <n x="509"/>
        <n x="416"/>
        <n x="490"/>
      </t>
    </mdx>
    <mdx n="508" f="v">
      <t c="3" si="4">
        <n x="509"/>
        <n x="107"/>
        <n x="488"/>
      </t>
    </mdx>
    <mdx n="508" f="v">
      <t c="3" si="4">
        <n x="509"/>
        <n x="464"/>
        <n x="490"/>
      </t>
    </mdx>
    <mdx n="508" f="v">
      <t c="3" si="4">
        <n x="509"/>
        <n x="302"/>
        <n x="481"/>
      </t>
    </mdx>
    <mdx n="508" f="v">
      <t c="3" si="4">
        <n x="509"/>
        <n x="41"/>
        <n x="489"/>
      </t>
    </mdx>
    <mdx n="508" f="v">
      <t c="3" si="4">
        <n x="509"/>
        <n x="60"/>
        <n x="490"/>
      </t>
    </mdx>
    <mdx n="508" f="v">
      <t c="3" si="4">
        <n x="509"/>
        <n x="57"/>
        <n x="491"/>
      </t>
    </mdx>
    <mdx n="508" f="v">
      <t c="3" si="4">
        <n x="509"/>
        <n x="415"/>
        <n x="484"/>
      </t>
    </mdx>
    <mdx n="508" f="v">
      <t c="3" si="4">
        <n x="509"/>
        <n x="417"/>
        <n x="490"/>
      </t>
    </mdx>
    <mdx n="508" f="v">
      <t c="3" si="4">
        <n x="509"/>
        <n x="22"/>
        <n x="491"/>
      </t>
    </mdx>
    <mdx n="508" f="v">
      <t c="3" si="4">
        <n x="509"/>
        <n x="368"/>
        <n x="490"/>
      </t>
    </mdx>
    <mdx n="508" f="v">
      <t c="3" si="4">
        <n x="509"/>
        <n x="433"/>
        <n x="487"/>
      </t>
    </mdx>
    <mdx n="508" f="v">
      <t c="3" si="4">
        <n x="509"/>
        <n x="72"/>
        <n x="490"/>
      </t>
    </mdx>
    <mdx n="508" f="v">
      <t c="3" si="4">
        <n x="509"/>
        <n x="400"/>
        <n x="491"/>
      </t>
    </mdx>
    <mdx n="508" f="v">
      <t c="3" si="4">
        <n x="509"/>
        <n x="248"/>
        <n x="491"/>
      </t>
    </mdx>
    <mdx n="508" f="v">
      <t c="3" si="4">
        <n x="509"/>
        <n x="53"/>
        <n x="488"/>
      </t>
    </mdx>
    <mdx n="508" f="v">
      <t c="3" si="4">
        <n x="509"/>
        <n x="25"/>
        <n x="490"/>
      </t>
    </mdx>
    <mdx n="508" f="v">
      <t c="3" si="4">
        <n x="509"/>
        <n x="272"/>
        <n x="491"/>
      </t>
    </mdx>
    <mdx n="508" f="v">
      <t c="3" si="4">
        <n x="509"/>
        <n x="261"/>
        <n x="491"/>
      </t>
    </mdx>
    <mdx n="508" f="v">
      <t c="3" si="4">
        <n x="509"/>
        <n x="227"/>
        <n x="489"/>
      </t>
    </mdx>
    <mdx n="508" f="v">
      <t c="3" si="4">
        <n x="509"/>
        <n x="161"/>
        <n x="490"/>
      </t>
    </mdx>
    <mdx n="508" f="v">
      <t c="3" si="4">
        <n x="509"/>
        <n x="320"/>
        <n x="491"/>
      </t>
    </mdx>
    <mdx n="508" f="v">
      <t c="3" si="4">
        <n x="509"/>
        <n x="384"/>
        <n x="483"/>
      </t>
    </mdx>
    <mdx n="508" f="v">
      <t c="3" si="4">
        <n x="509"/>
        <n x="236"/>
        <n x="489"/>
      </t>
    </mdx>
    <mdx n="508" f="v">
      <t c="3" si="4">
        <n x="509"/>
        <n x="107"/>
        <n x="490"/>
      </t>
    </mdx>
    <mdx n="508" f="v">
      <t c="3" si="4">
        <n x="509"/>
        <n x="347"/>
        <n x="489"/>
      </t>
    </mdx>
    <mdx n="508" f="v">
      <t c="3" si="4">
        <n x="509"/>
        <n x="263"/>
        <n x="492"/>
      </t>
    </mdx>
    <mdx n="508" f="v">
      <t c="3" si="4">
        <n x="509"/>
        <n x="386"/>
        <n x="492"/>
      </t>
    </mdx>
    <mdx n="508" f="v">
      <t c="3" si="4">
        <n x="509"/>
        <n x="143"/>
        <n x="492"/>
      </t>
    </mdx>
    <mdx n="508" f="v">
      <t c="3" si="4">
        <n x="509"/>
        <n x="98"/>
        <n x="492"/>
      </t>
    </mdx>
    <mdx n="508" f="v">
      <t c="3" si="4">
        <n x="509"/>
        <n x="154"/>
        <n x="492"/>
      </t>
    </mdx>
    <mdx n="508" f="v">
      <t c="3" si="4">
        <n x="509"/>
        <n x="371"/>
        <n x="492"/>
      </t>
    </mdx>
    <mdx n="508" f="v">
      <t c="3" si="4">
        <n x="509"/>
        <n x="63"/>
        <n x="492"/>
      </t>
    </mdx>
    <mdx n="508" f="v">
      <t c="3" si="4">
        <n x="509"/>
        <n x="277"/>
        <n x="493"/>
      </t>
    </mdx>
    <mdx n="508" f="v">
      <t c="3" si="4">
        <n x="509"/>
        <n x="301"/>
        <n x="493"/>
      </t>
    </mdx>
    <mdx n="508" f="v">
      <t c="3" si="4">
        <n x="509"/>
        <n x="321"/>
        <n x="493"/>
      </t>
    </mdx>
    <mdx n="508" f="v">
      <t c="3" si="4">
        <n x="509"/>
        <n x="75"/>
        <n x="493"/>
      </t>
    </mdx>
    <mdx n="508" f="v">
      <t c="3" si="4">
        <n x="509"/>
        <n x="356"/>
        <n x="493"/>
      </t>
    </mdx>
    <mdx n="508" f="v">
      <t c="3" si="4">
        <n x="509"/>
        <n x="28"/>
        <n x="493"/>
      </t>
    </mdx>
    <mdx n="508" f="v">
      <t c="3" si="4">
        <n x="509"/>
        <n x="13"/>
        <n x="493"/>
      </t>
    </mdx>
    <mdx n="508" f="v">
      <t c="3" si="4">
        <n x="509"/>
        <n x="307"/>
        <n x="493"/>
      </t>
    </mdx>
    <mdx n="508" f="v">
      <t c="3" si="4">
        <n x="509"/>
        <n x="374"/>
        <n x="494"/>
      </t>
    </mdx>
    <mdx n="508" f="v">
      <t c="3" si="4">
        <n x="509"/>
        <n x="8"/>
        <n x="494"/>
      </t>
    </mdx>
    <mdx n="508" f="v">
      <t c="3" si="4">
        <n x="509"/>
        <n x="16"/>
        <n x="476"/>
      </t>
    </mdx>
    <mdx n="508" f="v">
      <t c="3" si="4">
        <n x="509"/>
        <n x="378"/>
        <n x="479"/>
      </t>
    </mdx>
    <mdx n="508" f="v">
      <t c="3" si="4">
        <n x="509"/>
        <n x="75"/>
        <n x="488"/>
      </t>
    </mdx>
    <mdx n="508" f="v">
      <t c="3" si="4">
        <n x="509"/>
        <n x="279"/>
        <n x="480"/>
      </t>
    </mdx>
    <mdx n="508" f="v">
      <t c="3" si="4">
        <n x="509"/>
        <n x="197"/>
        <n x="483"/>
      </t>
    </mdx>
    <mdx n="508" f="v">
      <t c="3" si="4">
        <n x="509"/>
        <n x="409"/>
        <n x="483"/>
      </t>
    </mdx>
    <mdx n="508" f="v">
      <t c="3" si="4">
        <n x="509"/>
        <n x="456"/>
        <n x="483"/>
      </t>
    </mdx>
    <mdx n="508" f="v">
      <t c="3" si="4">
        <n x="509"/>
        <n x="397"/>
        <n x="482"/>
      </t>
    </mdx>
    <mdx n="508" f="v">
      <t c="3" si="4">
        <n x="509"/>
        <n x="434"/>
        <n x="486"/>
      </t>
    </mdx>
    <mdx n="508" f="v">
      <t c="3" si="4">
        <n x="509"/>
        <n x="156"/>
        <n x="487"/>
      </t>
    </mdx>
    <mdx n="508" f="v">
      <t c="3" si="4">
        <n x="509"/>
        <n x="310"/>
        <n x="488"/>
      </t>
    </mdx>
    <mdx n="508" f="v">
      <t c="3" si="4">
        <n x="509"/>
        <n x="134"/>
        <n x="490"/>
      </t>
    </mdx>
    <mdx n="508" f="v">
      <t c="3" si="4">
        <n x="509"/>
        <n x="274"/>
        <n x="489"/>
      </t>
    </mdx>
    <mdx n="508" f="v">
      <t c="3" si="4">
        <n x="509"/>
        <n x="363"/>
        <n x="490"/>
      </t>
    </mdx>
    <mdx n="508" f="v">
      <t c="3" si="4">
        <n x="509"/>
        <n x="364"/>
        <n x="482"/>
      </t>
    </mdx>
    <mdx n="508" f="v">
      <t c="3" si="4">
        <n x="509"/>
        <n x="86"/>
        <n x="489"/>
      </t>
    </mdx>
    <mdx n="508" f="v">
      <t c="3" si="4">
        <n x="509"/>
        <n x="172"/>
        <n x="490"/>
      </t>
    </mdx>
    <mdx n="508" f="v">
      <t c="3" si="4">
        <n x="509"/>
        <n x="287"/>
        <n x="491"/>
      </t>
    </mdx>
    <mdx n="508" f="v">
      <t c="3" si="4">
        <n x="509"/>
        <n x="263"/>
        <n x="485"/>
      </t>
    </mdx>
    <mdx n="508" f="v">
      <t c="3" si="4">
        <n x="509"/>
        <n x="372"/>
        <n x="490"/>
      </t>
    </mdx>
    <mdx n="508" f="v">
      <t c="3" si="4">
        <n x="509"/>
        <n x="315"/>
        <n x="491"/>
      </t>
    </mdx>
    <mdx n="508" f="v">
      <t c="3" si="4">
        <n x="509"/>
        <n x="94"/>
        <n x="490"/>
      </t>
    </mdx>
    <mdx n="508" f="v">
      <t c="3" si="4">
        <n x="509"/>
        <n x="166"/>
        <n x="487"/>
      </t>
    </mdx>
    <mdx n="508" f="v">
      <t c="3" si="4">
        <n x="509"/>
        <n x="194"/>
        <n x="490"/>
      </t>
    </mdx>
    <mdx n="508" f="v">
      <t c="3" si="4">
        <n x="509"/>
        <n x="384"/>
        <n x="491"/>
      </t>
    </mdx>
    <mdx n="508" f="v">
      <t c="3" si="4">
        <n x="509"/>
        <n x="122"/>
        <n x="491"/>
      </t>
    </mdx>
    <mdx n="508" f="v">
      <t c="3" si="4">
        <n x="509"/>
        <n x="331"/>
        <n x="488"/>
      </t>
    </mdx>
    <mdx n="508" f="v">
      <t c="3" si="4">
        <n x="509"/>
        <n x="52"/>
        <n x="490"/>
      </t>
    </mdx>
    <mdx n="508" f="v">
      <t c="3" si="4">
        <n x="509"/>
        <n x="426"/>
        <n x="491"/>
      </t>
    </mdx>
    <mdx n="508" f="v">
      <t c="3" si="4">
        <n x="509"/>
        <n x="395"/>
        <n x="491"/>
      </t>
    </mdx>
    <mdx n="508" f="v">
      <t c="3" si="4">
        <n x="509"/>
        <n x="45"/>
        <n x="489"/>
      </t>
    </mdx>
    <mdx n="508" f="v">
      <t c="3" si="4">
        <n x="509"/>
        <n x="340"/>
        <n x="490"/>
      </t>
    </mdx>
    <mdx n="508" f="v">
      <t c="3" si="4">
        <n x="509"/>
        <n x="77"/>
        <n x="491"/>
      </t>
    </mdx>
    <mdx n="508" f="v">
      <t c="3" si="4">
        <n x="509"/>
        <n x="333"/>
        <n x="483"/>
      </t>
    </mdx>
    <mdx n="508" f="v">
      <t c="3" si="4">
        <n x="509"/>
        <n x="10"/>
        <n x="489"/>
      </t>
    </mdx>
    <mdx n="508" f="v">
      <t c="3" si="4">
        <n x="509"/>
        <n x="307"/>
        <n x="490"/>
      </t>
    </mdx>
    <mdx n="508" f="v">
      <t c="3" si="4">
        <n x="509"/>
        <n x="391"/>
        <n x="489"/>
      </t>
    </mdx>
    <mdx n="508" f="v">
      <t c="3" si="4">
        <n x="509"/>
        <n x="30"/>
        <n x="492"/>
      </t>
    </mdx>
    <mdx n="508" f="v">
      <t c="3" si="4">
        <n x="509"/>
        <n x="382"/>
        <n x="492"/>
      </t>
    </mdx>
    <mdx n="508" f="v">
      <t c="3" si="4">
        <n x="509"/>
        <n x="256"/>
        <n x="492"/>
      </t>
    </mdx>
    <mdx n="508" f="v">
      <t c="3" si="4">
        <n x="509"/>
        <n x="92"/>
        <n x="492"/>
      </t>
    </mdx>
    <mdx n="508" f="v">
      <t c="3" si="4">
        <n x="509"/>
        <n x="40"/>
        <n x="492"/>
      </t>
    </mdx>
    <mdx n="508" f="v">
      <t c="3" si="4">
        <n x="509"/>
        <n x="199"/>
        <n x="492"/>
      </t>
    </mdx>
    <mdx n="508" f="v">
      <t c="3" si="4">
        <n x="509"/>
        <n x="277"/>
        <n x="492"/>
      </t>
    </mdx>
    <mdx n="508" f="v">
      <t c="3" si="4">
        <n x="509"/>
        <n x="57"/>
        <n x="493"/>
      </t>
    </mdx>
    <mdx n="508" f="v">
      <t c="3" si="4">
        <n x="509"/>
        <n x="458"/>
        <n x="493"/>
      </t>
    </mdx>
    <mdx n="508" f="v">
      <t c="3" si="4">
        <n x="509"/>
        <n x="217"/>
        <n x="493"/>
      </t>
    </mdx>
    <mdx n="508" f="v">
      <t c="3" si="4">
        <n x="509"/>
        <n x="299"/>
        <n x="493"/>
      </t>
    </mdx>
    <mdx n="508" f="v">
      <t c="3" si="4">
        <n x="509"/>
        <n x="52"/>
        <n x="493"/>
      </t>
    </mdx>
    <mdx n="508" f="v">
      <t c="3" si="4">
        <n x="509"/>
        <n x="136"/>
        <n x="493"/>
      </t>
    </mdx>
    <mdx n="508" f="v">
      <t c="3" si="4">
        <n x="509"/>
        <n x="379"/>
        <n x="493"/>
      </t>
    </mdx>
    <mdx n="508" f="v">
      <t c="3" si="4">
        <n x="509"/>
        <n x="80"/>
        <n x="493"/>
      </t>
    </mdx>
    <mdx n="508" f="v">
      <t c="3" si="4">
        <n x="509"/>
        <n x="89"/>
        <n x="494"/>
      </t>
    </mdx>
    <mdx n="508" f="v">
      <t c="3" si="4">
        <n x="509"/>
        <n x="94"/>
        <n x="494"/>
      </t>
    </mdx>
    <mdx n="508" f="v">
      <t c="3" si="4">
        <n x="509"/>
        <n x="291"/>
        <n x="494"/>
      </t>
    </mdx>
    <mdx n="508" f="v">
      <t c="3" si="4">
        <n x="509"/>
        <n x="64"/>
        <n x="494"/>
      </t>
    </mdx>
    <mdx n="508" f="v">
      <t c="3" si="4">
        <n x="509"/>
        <n x="196"/>
        <n x="494"/>
      </t>
    </mdx>
    <mdx n="508" f="v">
      <t c="3" si="4">
        <n x="509"/>
        <n x="328"/>
        <n x="494"/>
      </t>
    </mdx>
    <mdx n="508" f="v">
      <t c="3" si="4">
        <n x="509"/>
        <n x="117"/>
        <n x="494"/>
      </t>
    </mdx>
    <mdx n="508" f="v">
      <t c="3" si="4">
        <n x="509"/>
        <n x="273"/>
        <n x="495"/>
      </t>
    </mdx>
    <mdx n="508" f="v">
      <t c="3" si="4">
        <n x="509"/>
        <n x="10"/>
        <n x="487"/>
      </t>
    </mdx>
    <mdx n="508" f="v">
      <t c="3" si="4">
        <n x="509"/>
        <n x="168"/>
        <n x="490"/>
      </t>
    </mdx>
    <mdx n="508" f="v">
      <t c="3" si="4">
        <n x="509"/>
        <n x="329"/>
        <n x="491"/>
      </t>
    </mdx>
    <mdx n="508" f="v">
      <t c="3" si="4">
        <n x="509"/>
        <n x="450"/>
        <n x="487"/>
      </t>
    </mdx>
    <mdx n="508" f="v">
      <t c="3" si="4">
        <n x="509"/>
        <n x="194"/>
        <n x="492"/>
      </t>
    </mdx>
    <mdx n="508" f="v">
      <t c="3" si="4">
        <n x="509"/>
        <n x="214"/>
        <n x="492"/>
      </t>
    </mdx>
    <mdx n="508" f="v">
      <t c="3" si="4">
        <n x="509"/>
        <n x="102"/>
        <n x="493"/>
      </t>
    </mdx>
    <mdx n="508" f="v">
      <t c="3" si="4">
        <n x="509"/>
        <n x="279"/>
        <n x="494"/>
      </t>
    </mdx>
    <mdx n="508" f="v">
      <t c="3" si="4">
        <n x="509"/>
        <n x="241"/>
        <n x="494"/>
      </t>
    </mdx>
    <mdx n="508" f="v">
      <t c="3" si="4">
        <n x="509"/>
        <n x="313"/>
        <n x="494"/>
      </t>
    </mdx>
    <mdx n="508" f="v">
      <t c="3" si="4">
        <n x="509"/>
        <n x="278"/>
        <n x="494"/>
      </t>
    </mdx>
    <mdx n="508" f="v">
      <t c="3" si="4">
        <n x="509"/>
        <n x="436"/>
        <n x="494"/>
      </t>
    </mdx>
    <mdx n="508" f="v">
      <t c="3" si="4">
        <n x="509"/>
        <n x="344"/>
        <n x="495"/>
      </t>
    </mdx>
    <mdx n="508" f="v">
      <t c="3" si="4">
        <n x="509"/>
        <n x="348"/>
        <n x="495"/>
      </t>
    </mdx>
    <mdx n="508" f="v">
      <t c="3" si="4">
        <n x="509"/>
        <n x="391"/>
        <n x="495"/>
      </t>
    </mdx>
    <mdx n="508" f="v">
      <t c="3" si="4">
        <n x="509"/>
        <n x="98"/>
        <n x="495"/>
      </t>
    </mdx>
    <mdx n="508" f="v">
      <t c="3" si="4">
        <n x="509"/>
        <n x="408"/>
        <n x="495"/>
      </t>
    </mdx>
    <mdx n="508" f="v">
      <t c="3" si="4">
        <n x="509"/>
        <n x="216"/>
        <n x="495"/>
      </t>
    </mdx>
    <mdx n="508" f="v">
      <t c="3" si="4">
        <n x="509"/>
        <n x="67"/>
        <n x="495"/>
      </t>
    </mdx>
    <mdx n="508" f="v">
      <t c="3" si="4">
        <n x="509"/>
        <n x="251"/>
        <n x="495"/>
      </t>
    </mdx>
    <mdx n="508" f="v">
      <t c="3" si="4">
        <n x="509"/>
        <n x="409"/>
        <n x="485"/>
      </t>
    </mdx>
    <mdx n="508" f="v">
      <t c="3" si="4">
        <n x="509"/>
        <n x="101"/>
        <n x="489"/>
      </t>
    </mdx>
    <mdx n="508" f="v">
      <t c="3" si="4">
        <n x="509"/>
        <n x="241"/>
        <n x="489"/>
      </t>
    </mdx>
    <mdx n="508" f="v">
      <t c="3" si="4">
        <n x="509"/>
        <n x="193"/>
        <n x="490"/>
      </t>
    </mdx>
    <mdx n="508" f="v">
      <t c="3" si="4">
        <n x="509"/>
        <n x="93"/>
        <n x="490"/>
      </t>
    </mdx>
    <mdx n="508" f="v">
      <t c="3" si="4">
        <n x="509"/>
        <n x="454"/>
        <n x="492"/>
      </t>
    </mdx>
    <mdx n="508" f="v">
      <t c="3" si="4">
        <n x="509"/>
        <n x="216"/>
        <n x="492"/>
      </t>
    </mdx>
    <mdx n="508" f="v">
      <t c="3" si="4">
        <n x="509"/>
        <n x="394"/>
        <n x="493"/>
      </t>
    </mdx>
    <mdx n="508" f="v">
      <t c="3" si="4">
        <n x="509"/>
        <n x="121"/>
        <n x="493"/>
      </t>
    </mdx>
    <mdx n="508" f="v">
      <t c="3" si="4">
        <n x="509"/>
        <n x="193"/>
        <n x="492"/>
      </t>
    </mdx>
    <mdx n="508" f="v">
      <t c="3" si="4">
        <n x="509"/>
        <n x="9"/>
        <n x="479"/>
      </t>
    </mdx>
    <mdx n="508" f="v">
      <t c="3" si="4">
        <n x="509"/>
        <n x="136"/>
        <n x="485"/>
      </t>
    </mdx>
    <mdx n="508" f="v">
      <t c="3" si="4">
        <n x="509"/>
        <n x="356"/>
        <n x="488"/>
      </t>
    </mdx>
    <mdx n="508" f="v">
      <t c="3" si="4">
        <n x="509"/>
        <n x="35"/>
        <n x="485"/>
      </t>
    </mdx>
    <mdx n="508" f="v">
      <t c="3" si="4">
        <n x="509"/>
        <n x="83"/>
        <n x="489"/>
      </t>
    </mdx>
    <mdx n="508" f="v">
      <t c="3" si="4">
        <n x="509"/>
        <n x="428"/>
        <n x="481"/>
      </t>
    </mdx>
    <mdx n="508" f="v">
      <t c="3" si="4">
        <n x="509"/>
        <n x="366"/>
        <n x="486"/>
      </t>
    </mdx>
    <mdx n="508" f="v">
      <t c="3" si="4">
        <n x="509"/>
        <n x="115"/>
        <n x="488"/>
      </t>
    </mdx>
    <mdx n="508" f="v">
      <t c="3" si="4">
        <n x="509"/>
        <n x="279"/>
        <n x="490"/>
      </t>
    </mdx>
    <mdx n="508" f="v">
      <t c="3" si="4">
        <n x="509"/>
        <n x="96"/>
        <n x="489"/>
      </t>
    </mdx>
    <mdx n="508" f="v">
      <t c="3" si="4">
        <n x="509"/>
        <n x="194"/>
        <n x="491"/>
      </t>
    </mdx>
    <mdx n="508" f="v">
      <t c="3" si="4">
        <n x="509"/>
        <n x="87"/>
        <n x="489"/>
      </t>
    </mdx>
    <mdx n="508" f="v">
      <t c="3" si="4">
        <n x="509"/>
        <n x="318"/>
        <n x="491"/>
      </t>
    </mdx>
    <mdx n="508" f="v">
      <t c="3" si="4">
        <n x="509"/>
        <n x="161"/>
        <n x="482"/>
      </t>
    </mdx>
    <mdx n="508" f="v">
      <t c="3" si="4">
        <n x="509"/>
        <n x="239"/>
        <n x="489"/>
      </t>
    </mdx>
    <mdx n="508" f="v">
      <t c="3" si="4">
        <n x="509"/>
        <n x="186"/>
        <n x="491"/>
      </t>
    </mdx>
    <mdx n="508" f="v">
      <t c="3" si="4">
        <n x="509"/>
        <n x="172"/>
        <n x="484"/>
      </t>
    </mdx>
    <mdx n="508" f="v">
      <t c="3" si="4">
        <n x="509"/>
        <n x="212"/>
        <n x="490"/>
      </t>
    </mdx>
    <mdx n="508" f="v">
      <t c="3" si="4">
        <n x="509"/>
        <n x="404"/>
        <n x="491"/>
      </t>
    </mdx>
    <mdx n="508" f="v">
      <t c="3" si="4">
        <n x="509"/>
        <n x="10"/>
        <n x="486"/>
      </t>
    </mdx>
    <mdx n="508" f="v">
      <t c="3" si="4">
        <n x="509"/>
        <n x="106"/>
        <n x="490"/>
      </t>
    </mdx>
    <mdx n="508" f="v">
      <t c="3" si="4">
        <n x="509"/>
        <n x="3"/>
        <n x="491"/>
      </t>
    </mdx>
    <mdx n="508" f="v">
      <t c="3" si="4">
        <n x="509"/>
        <n x="333"/>
        <n x="487"/>
      </t>
    </mdx>
    <mdx n="508" f="v">
      <t c="3" si="4">
        <n x="509"/>
        <n x="289"/>
        <n x="490"/>
      </t>
    </mdx>
    <mdx n="508" f="v">
      <t c="3" si="4">
        <n x="509"/>
        <n x="102"/>
        <n x="489"/>
      </t>
    </mdx>
    <mdx n="508" f="v">
      <t c="3" si="4">
        <n x="509"/>
        <n x="208"/>
        <n x="489"/>
      </t>
    </mdx>
    <mdx n="508" f="v">
      <t c="3" si="4">
        <n x="509"/>
        <n x="253"/>
        <n x="490"/>
      </t>
    </mdx>
    <mdx n="508" f="v">
      <t c="3" si="4">
        <n x="509"/>
        <n x="195"/>
        <n x="491"/>
      </t>
    </mdx>
    <mdx n="508" f="v">
      <t c="3" si="4">
        <n x="509"/>
        <n x="147"/>
        <n x="492"/>
      </t>
    </mdx>
    <mdx n="508" f="v">
      <t c="3" si="4">
        <n x="509"/>
        <n x="38"/>
        <n x="492"/>
      </t>
    </mdx>
    <mdx n="508" f="v">
      <t c="3" si="4">
        <n x="509"/>
        <n x="423"/>
        <n x="492"/>
      </t>
    </mdx>
    <mdx n="508" f="v">
      <t c="3" si="4">
        <n x="509"/>
        <n x="33"/>
        <n x="492"/>
      </t>
    </mdx>
    <mdx n="508" f="v">
      <t c="3" si="4">
        <n x="509"/>
        <n x="452"/>
        <n x="492"/>
      </t>
    </mdx>
    <mdx n="508" f="v">
      <t c="3" si="4">
        <n x="509"/>
        <n x="273"/>
        <n x="493"/>
      </t>
    </mdx>
    <mdx n="508" f="v">
      <t c="3" si="4">
        <n x="509"/>
        <n x="257"/>
        <n x="493"/>
      </t>
    </mdx>
    <mdx n="508" f="v">
      <t c="3" si="4">
        <n x="509"/>
        <n x="306"/>
        <n x="493"/>
      </t>
    </mdx>
    <mdx n="508" f="v">
      <t c="3" si="4">
        <n x="509"/>
        <n x="399"/>
        <n x="493"/>
      </t>
    </mdx>
    <mdx n="508" f="v">
      <t c="3" si="4">
        <n x="509"/>
        <n x="409"/>
        <n x="493"/>
      </t>
    </mdx>
    <mdx n="508" f="v">
      <t c="3" si="4">
        <n x="509"/>
        <n x="375"/>
        <n x="493"/>
      </t>
    </mdx>
    <mdx n="508" f="v">
      <t c="3" si="4">
        <n x="509"/>
        <n x="193"/>
        <n x="494"/>
      </t>
    </mdx>
    <mdx n="508" f="v">
      <t c="3" si="4">
        <n x="509"/>
        <n x="269"/>
        <n x="494"/>
      </t>
    </mdx>
    <mdx n="508" f="v">
      <t c="3" si="4">
        <n x="509"/>
        <n x="198"/>
        <n x="494"/>
      </t>
    </mdx>
    <mdx n="508" f="v">
      <t c="3" si="4">
        <n x="509"/>
        <n x="34"/>
        <n x="494"/>
      </t>
    </mdx>
    <mdx n="508" f="v">
      <t c="3" si="4">
        <n x="509"/>
        <n x="420"/>
        <n x="494"/>
      </t>
    </mdx>
    <mdx n="508" f="v">
      <t c="3" si="4">
        <n x="509"/>
        <n x="187"/>
        <n x="495"/>
      </t>
    </mdx>
    <mdx n="508" f="v">
      <t c="3" si="4">
        <n x="509"/>
        <n x="25"/>
        <n x="480"/>
      </t>
    </mdx>
    <mdx n="508" f="v">
      <t c="3" si="4">
        <n x="509"/>
        <n x="297"/>
        <n x="485"/>
      </t>
    </mdx>
    <mdx n="508" f="v">
      <t c="3" si="4">
        <n x="509"/>
        <n x="242"/>
        <n x="478"/>
      </t>
    </mdx>
    <mdx n="508" f="v">
      <t c="3" si="4">
        <n x="509"/>
        <n x="432"/>
        <n x="486"/>
      </t>
    </mdx>
    <mdx n="508" f="v">
      <t c="3" si="4">
        <n x="509"/>
        <n x="439"/>
        <n x="489"/>
      </t>
    </mdx>
    <mdx n="508" f="v">
      <t c="3" si="4">
        <n x="509"/>
        <n x="397"/>
        <n x="481"/>
      </t>
    </mdx>
    <mdx n="508" f="v">
      <t c="3" si="4">
        <n x="509"/>
        <n x="338"/>
        <n x="486"/>
      </t>
    </mdx>
    <mdx n="508" f="v">
      <t c="3" si="4">
        <n x="509"/>
        <n x="97"/>
        <n x="488"/>
      </t>
    </mdx>
    <mdx n="508" f="v">
      <t c="3" si="4">
        <n x="509"/>
        <n x="437"/>
        <n x="490"/>
      </t>
    </mdx>
    <mdx n="508" f="v">
      <t c="3" si="4">
        <n x="509"/>
        <n x="48"/>
        <n x="489"/>
      </t>
    </mdx>
    <mdx n="508" f="v">
      <t c="3" si="4">
        <n x="509"/>
        <n x="422"/>
        <n x="491"/>
      </t>
    </mdx>
    <mdx n="508" f="v">
      <t c="3" si="4">
        <n x="509"/>
        <n x="417"/>
        <n x="489"/>
      </t>
    </mdx>
    <mdx n="508" f="v">
      <t c="3" si="4">
        <n x="509"/>
        <n x="191"/>
        <n x="490"/>
      </t>
    </mdx>
    <mdx n="508" f="v">
      <t c="3" si="4">
        <n x="509"/>
        <n x="24"/>
        <n x="483"/>
      </t>
    </mdx>
    <mdx n="508" f="v">
      <t c="3" si="4">
        <n x="509"/>
        <n x="51"/>
        <n x="485"/>
      </t>
    </mdx>
    <mdx n="508" f="v">
      <t c="3" si="4">
        <n x="509"/>
        <n x="73"/>
        <n x="490"/>
      </t>
    </mdx>
    <mdx n="508" f="v">
      <t c="3" si="4">
        <n x="509"/>
        <n x="88"/>
        <n x="491"/>
      </t>
    </mdx>
    <mdx n="508" f="v">
      <t c="3" si="4">
        <n x="509"/>
        <n x="424"/>
        <n x="490"/>
      </t>
    </mdx>
    <mdx n="508" f="v">
      <t c="3" si="4">
        <n x="509"/>
        <n x="449"/>
        <n x="488"/>
      </t>
    </mdx>
    <mdx n="508" f="v">
      <t c="3" si="4">
        <n x="509"/>
        <n x="300"/>
        <n x="490"/>
      </t>
    </mdx>
    <mdx n="508" f="v">
      <t c="3" si="4">
        <n x="509"/>
        <n x="280"/>
        <n x="491"/>
      </t>
    </mdx>
    <mdx n="508" f="v">
      <t c="3" si="4">
        <n x="509"/>
        <n x="249"/>
        <n x="478"/>
      </t>
    </mdx>
    <mdx n="508" f="v">
      <t c="3" si="4">
        <n x="509"/>
        <n x="265"/>
        <n x="489"/>
      </t>
    </mdx>
    <mdx n="508" f="v">
      <t c="3" si="4">
        <n x="509"/>
        <n x="383"/>
        <n x="490"/>
      </t>
    </mdx>
    <mdx n="508" f="v">
      <t c="3" si="4">
        <n x="509"/>
        <n x="142"/>
        <n x="491"/>
      </t>
    </mdx>
    <mdx n="508" f="v">
      <t c="3" si="4">
        <n x="509"/>
        <n x="159"/>
        <n x="481"/>
      </t>
    </mdx>
    <mdx n="508" f="v">
      <t c="3" si="4">
        <n x="509"/>
        <n x="291"/>
        <n x="489"/>
      </t>
    </mdx>
    <mdx n="508" f="v">
      <t c="3" si="4">
        <n x="509"/>
        <n x="452"/>
        <n x="490"/>
      </t>
    </mdx>
    <mdx n="508" f="v">
      <t c="3" si="4">
        <n x="509"/>
        <n x="253"/>
        <n x="491"/>
      </t>
    </mdx>
    <mdx n="508" f="v">
      <t c="3" si="4">
        <n x="509"/>
        <n x="358"/>
        <n x="484"/>
      </t>
    </mdx>
    <mdx n="508" f="v">
      <t c="3" si="4">
        <n x="509"/>
        <n x="201"/>
        <n x="489"/>
      </t>
    </mdx>
    <mdx n="508" f="v">
      <t c="3" si="4">
        <n x="509"/>
        <n x="58"/>
        <n x="491"/>
      </t>
    </mdx>
    <mdx n="508" f="v">
      <t c="3" si="4">
        <n x="509"/>
        <n x="87"/>
        <n x="490"/>
      </t>
    </mdx>
    <mdx n="508" f="v">
      <t c="3" si="4">
        <n x="509"/>
        <n x="235"/>
        <n x="492"/>
      </t>
    </mdx>
    <mdx n="508" f="v">
      <t c="3" si="4">
        <n x="509"/>
        <n x="8"/>
        <n x="492"/>
      </t>
    </mdx>
    <mdx n="508" f="v">
      <t c="3" si="4">
        <n x="509"/>
        <n x="25"/>
        <n x="492"/>
      </t>
    </mdx>
    <mdx n="508" f="v">
      <t c="3" si="4">
        <n x="509"/>
        <n x="287"/>
        <n x="492"/>
      </t>
    </mdx>
    <mdx n="508" f="v">
      <t c="3" si="4">
        <n x="509"/>
        <n x="140"/>
        <n x="492"/>
      </t>
    </mdx>
    <mdx n="508" f="v">
      <t c="3" si="4">
        <n x="509"/>
        <n x="278"/>
        <n x="492"/>
      </t>
    </mdx>
    <mdx n="508" f="v">
      <t c="3" si="4">
        <n x="509"/>
        <n x="352"/>
        <n x="492"/>
      </t>
    </mdx>
    <mdx n="508" f="v">
      <t c="3" si="4">
        <n x="509"/>
        <n x="56"/>
        <n x="493"/>
      </t>
    </mdx>
    <mdx n="508" f="v">
      <t c="3" si="4">
        <n x="509"/>
        <n x="460"/>
        <n x="493"/>
      </t>
    </mdx>
    <mdx n="508" f="v">
      <t c="3" si="4">
        <n x="509"/>
        <n x="83"/>
        <n x="493"/>
      </t>
    </mdx>
    <mdx n="508" f="v">
      <t c="3" si="4">
        <n x="509"/>
        <n x="192"/>
        <n x="493"/>
      </t>
    </mdx>
    <mdx n="508" f="v">
      <t c="3" si="4">
        <n x="509"/>
        <n x="43"/>
        <n x="493"/>
      </t>
    </mdx>
    <mdx n="508" f="v">
      <t c="3" si="4">
        <n x="509"/>
        <n x="236"/>
        <n x="493"/>
      </t>
    </mdx>
    <mdx n="508" f="v">
      <t c="3" si="4">
        <n x="509"/>
        <n x="76"/>
        <n x="493"/>
      </t>
    </mdx>
    <mdx n="508" f="v">
      <t c="3" si="4">
        <n x="509"/>
        <n x="430"/>
        <n x="494"/>
      </t>
    </mdx>
    <mdx n="508" f="v">
      <t c="3" si="4">
        <n x="509"/>
        <n x="50"/>
        <n x="494"/>
      </t>
    </mdx>
    <mdx n="508" f="v">
      <t c="3" si="4">
        <n x="509"/>
        <n x="60"/>
        <n x="494"/>
      </t>
    </mdx>
    <mdx n="508" f="v">
      <t c="3" si="4">
        <n x="509"/>
        <n x="439"/>
        <n x="471"/>
      </t>
    </mdx>
    <mdx n="508" f="v">
      <t c="3" si="4">
        <n x="509"/>
        <n x="362"/>
        <n x="480"/>
      </t>
    </mdx>
    <mdx n="508" f="v">
      <t c="3" si="4">
        <n x="509"/>
        <n x="306"/>
        <n x="489"/>
      </t>
    </mdx>
    <mdx n="508" f="v">
      <t c="3" si="4">
        <n x="509"/>
        <n x="49"/>
        <n x="482"/>
      </t>
    </mdx>
    <mdx n="508" f="v">
      <t c="3" si="4">
        <n x="509"/>
        <n x="375"/>
        <n x="483"/>
      </t>
    </mdx>
    <mdx n="508" f="v">
      <t c="3" si="4">
        <n x="509"/>
        <n x="452"/>
        <n x="484"/>
      </t>
    </mdx>
    <mdx n="508" f="v">
      <t c="3" si="4">
        <n x="509"/>
        <n x="345"/>
        <n x="484"/>
      </t>
    </mdx>
    <mdx n="508" f="v">
      <t c="3" si="4">
        <n x="509"/>
        <n x="128"/>
        <n x="482"/>
      </t>
    </mdx>
    <mdx n="508" f="v">
      <t c="3" si="4">
        <n x="509"/>
        <n x="294"/>
        <n x="486"/>
      </t>
    </mdx>
    <mdx n="508" f="v">
      <t c="3" si="4">
        <n x="509"/>
        <n x="80"/>
        <n x="487"/>
      </t>
    </mdx>
    <mdx n="508" f="v">
      <t c="3" si="4">
        <n x="509"/>
        <n x="459"/>
        <n x="489"/>
      </t>
    </mdx>
    <mdx n="508" f="v">
      <t c="3" si="4">
        <n x="509"/>
        <n x="95"/>
        <n x="480"/>
      </t>
    </mdx>
    <mdx n="508" f="v">
      <t c="3" si="4">
        <n x="509"/>
        <n x="220"/>
        <n x="489"/>
      </t>
    </mdx>
    <mdx n="508" f="v">
      <t c="3" si="4">
        <n x="509"/>
        <n x="71"/>
        <n x="490"/>
      </t>
    </mdx>
    <mdx n="508" f="v">
      <t c="3" si="4">
        <n x="509"/>
        <n x="30"/>
        <n x="483"/>
      </t>
    </mdx>
    <mdx n="508" f="v">
      <t c="3" si="4">
        <n x="509"/>
        <n x="91"/>
        <n x="489"/>
      </t>
    </mdx>
    <mdx n="508" f="v">
      <t c="3" si="4">
        <n x="509"/>
        <n x="152"/>
        <n x="490"/>
      </t>
    </mdx>
    <mdx n="508" f="v">
      <t c="3" si="4">
        <n x="509"/>
        <n x="25"/>
        <n x="484"/>
      </t>
    </mdx>
    <mdx n="508" f="v">
      <t c="3" si="4">
        <n x="509"/>
        <n x="388"/>
        <n x="486"/>
      </t>
    </mdx>
    <mdx n="508" f="v">
      <t c="3" si="4">
        <n x="509"/>
        <n x="296"/>
        <n x="490"/>
      </t>
    </mdx>
    <mdx n="508" f="v">
      <t c="3" si="4">
        <n x="509"/>
        <n x="367"/>
        <n x="491"/>
      </t>
    </mdx>
    <mdx n="508" f="v">
      <t c="3" si="4">
        <n x="509"/>
        <n x="297"/>
        <n x="491"/>
      </t>
    </mdx>
    <mdx n="508" f="v">
      <t c="3" si="4">
        <n x="509"/>
        <n x="49"/>
        <n x="488"/>
      </t>
    </mdx>
    <mdx n="508" f="v">
      <t c="3" si="4">
        <n x="509"/>
        <n x="211"/>
        <n x="490"/>
      </t>
    </mdx>
    <mdx n="508" f="v">
      <t c="3" si="4">
        <n x="509"/>
        <n x="438"/>
        <n x="491"/>
      </t>
    </mdx>
    <mdx n="508" f="v">
      <t c="3" si="4">
        <n x="509"/>
        <n x="234"/>
        <n x="479"/>
      </t>
    </mdx>
    <mdx n="508" f="v">
      <t c="3" si="4">
        <n x="509"/>
        <n x="386"/>
        <n x="489"/>
      </t>
    </mdx>
    <mdx n="508" f="v">
      <t c="3" si="4">
        <n x="509"/>
        <n x="216"/>
        <n x="490"/>
      </t>
    </mdx>
    <mdx n="508" f="v">
      <t c="3" si="4">
        <n x="509"/>
        <n x="328"/>
        <n x="491"/>
      </t>
    </mdx>
    <mdx n="508" f="v">
      <t c="3" si="4">
        <n x="509"/>
        <n x="191"/>
        <n x="482"/>
      </t>
    </mdx>
    <mdx n="508" f="v">
      <t c="3" si="4">
        <n x="509"/>
        <n x="120"/>
        <n x="489"/>
      </t>
    </mdx>
    <mdx n="508" f="v">
      <t c="3" si="4">
        <n x="509"/>
        <n x="53"/>
        <n x="490"/>
      </t>
    </mdx>
    <mdx n="508" f="v">
      <t c="3" si="4">
        <n x="509"/>
        <n x="12"/>
        <n x="491"/>
      </t>
    </mdx>
    <mdx n="508" f="v">
      <t c="3" si="4">
        <n x="509"/>
        <n x="149"/>
        <n x="484"/>
      </t>
    </mdx>
    <mdx n="508" f="v">
      <t c="3" si="4">
        <n x="509"/>
        <n x="152"/>
        <n x="489"/>
      </t>
    </mdx>
    <mdx n="508" f="v">
      <t c="3" si="4">
        <n x="509"/>
        <n x="45"/>
        <n x="491"/>
      </t>
    </mdx>
    <mdx n="508" f="v">
      <t c="3" si="4">
        <n x="509"/>
        <n x="384"/>
        <n x="490"/>
      </t>
    </mdx>
    <mdx n="508" f="v">
      <t c="3" si="4">
        <n x="509"/>
        <n x="232"/>
        <n x="492"/>
      </t>
    </mdx>
    <mdx n="508" f="v">
      <t c="3" si="4">
        <n x="509"/>
        <n x="94"/>
        <n x="492"/>
      </t>
    </mdx>
    <mdx n="508" f="v">
      <t c="3" si="4">
        <n x="509"/>
        <n x="129"/>
        <n x="492"/>
      </t>
    </mdx>
    <mdx n="508" f="v">
      <t c="3" si="4">
        <n x="509"/>
        <n x="191"/>
        <n x="492"/>
      </t>
    </mdx>
    <mdx n="508" f="v">
      <t c="3" si="4">
        <n x="509"/>
        <n x="251"/>
        <n x="492"/>
      </t>
    </mdx>
    <mdx n="508" f="v">
      <t c="3" si="4">
        <n x="509"/>
        <n x="61"/>
        <n x="492"/>
      </t>
    </mdx>
    <mdx n="508" f="v">
      <t c="3" si="4">
        <n x="509"/>
        <n x="50"/>
        <n x="492"/>
      </t>
    </mdx>
    <mdx n="508" f="v">
      <t c="3" si="4">
        <n x="509"/>
        <n x="208"/>
        <n x="493"/>
      </t>
    </mdx>
    <mdx n="508" f="v">
      <t c="3" si="4">
        <n x="509"/>
        <n x="452"/>
        <n x="493"/>
      </t>
    </mdx>
    <mdx n="508" f="v">
      <t c="3" si="4">
        <n x="509"/>
        <n x="304"/>
        <n x="493"/>
      </t>
    </mdx>
    <mdx n="508" f="v">
      <t c="3" si="4">
        <n x="509"/>
        <n x="360"/>
        <n x="493"/>
      </t>
    </mdx>
    <mdx n="508" f="v">
      <t c="3" si="4">
        <n x="509"/>
        <n x="427"/>
        <n x="493"/>
      </t>
    </mdx>
    <mdx n="508" f="v">
      <t c="3" si="4">
        <n x="509"/>
        <n x="123"/>
        <n x="493"/>
      </t>
    </mdx>
    <mdx n="508" f="v">
      <t c="3" si="4">
        <n x="509"/>
        <n x="74"/>
        <n x="493"/>
      </t>
    </mdx>
    <mdx n="508" f="v">
      <t c="3" si="4">
        <n x="509"/>
        <n x="421"/>
        <n x="494"/>
      </t>
    </mdx>
    <mdx n="508" f="v">
      <t c="3" si="4">
        <n x="509"/>
        <n x="163"/>
        <n x="494"/>
      </t>
    </mdx>
    <mdx n="508" f="v">
      <t c="3" si="4">
        <n x="509"/>
        <n x="206"/>
        <n x="494"/>
      </t>
    </mdx>
    <mdx n="508" f="v">
      <t c="3" si="4">
        <n x="509"/>
        <n x="17"/>
        <n x="479"/>
      </t>
    </mdx>
    <mdx n="508" f="v">
      <t c="3" si="4">
        <n x="509"/>
        <n x="53"/>
        <n x="481"/>
      </t>
    </mdx>
    <mdx n="508" f="v">
      <t c="3" si="4">
        <n x="509"/>
        <n x="213"/>
        <n x="489"/>
      </t>
    </mdx>
    <mdx n="508" f="v">
      <t c="3" si="4">
        <n x="509"/>
        <n x="113"/>
        <n x="482"/>
      </t>
    </mdx>
    <mdx n="508" f="v">
      <t c="3" si="4">
        <n x="509"/>
        <n x="327"/>
        <n x="484"/>
      </t>
    </mdx>
    <mdx n="508" f="v">
      <t c="3" si="4">
        <n x="509"/>
        <n x="219"/>
        <n x="484"/>
      </t>
    </mdx>
    <mdx n="508" f="v">
      <t c="3" si="4">
        <n x="509"/>
        <n x="326"/>
        <n x="484"/>
      </t>
    </mdx>
    <mdx n="508" f="v">
      <t c="3" si="4">
        <n x="509"/>
        <n x="86"/>
        <n x="482"/>
      </t>
    </mdx>
    <mdx n="508" f="v">
      <t c="3" si="4">
        <n x="509"/>
        <n x="381"/>
        <n x="486"/>
      </t>
    </mdx>
    <mdx n="508" f="v">
      <t c="3" si="4">
        <n x="509"/>
        <n x="205"/>
        <n x="488"/>
      </t>
    </mdx>
    <mdx n="508" f="v">
      <t c="3" si="4">
        <n x="509"/>
        <n x="443"/>
        <n x="489"/>
      </t>
    </mdx>
    <mdx n="508" f="v">
      <t c="3" si="4">
        <n x="509"/>
        <n x="460"/>
        <n x="481"/>
      </t>
    </mdx>
    <mdx n="508" f="v">
      <t c="3" si="4">
        <n x="509"/>
        <n x="157"/>
        <n x="489"/>
      </t>
    </mdx>
    <mdx n="508" f="v">
      <t c="3" si="4">
        <n x="509"/>
        <n x="205"/>
        <n x="490"/>
      </t>
    </mdx>
    <mdx n="508" f="v">
      <t c="3" si="4">
        <n x="509"/>
        <n x="83"/>
        <n x="483"/>
      </t>
    </mdx>
    <mdx n="508" f="v">
      <t c="3" si="4">
        <n x="509"/>
        <n x="183"/>
        <n x="489"/>
      </t>
    </mdx>
    <mdx n="508" f="v">
      <t c="3" si="4">
        <n x="509"/>
        <n x="249"/>
        <n x="490"/>
      </t>
    </mdx>
    <mdx n="508" f="v">
      <t c="3" si="4">
        <n x="509"/>
        <n x="417"/>
        <n x="485"/>
      </t>
    </mdx>
    <mdx n="508" f="v">
      <t c="3" si="4">
        <n x="509"/>
        <n x="116"/>
        <n x="486"/>
      </t>
    </mdx>
    <mdx n="508" f="v">
      <t c="3" si="4">
        <n x="509"/>
        <n x="284"/>
        <n x="490"/>
      </t>
    </mdx>
    <mdx n="508" f="v">
      <t c="3" si="4">
        <n x="509"/>
        <n x="343"/>
        <n x="491"/>
      </t>
    </mdx>
    <mdx n="508" f="v">
      <t c="3" si="4">
        <n x="509"/>
        <n x="33"/>
        <n x="491"/>
      </t>
    </mdx>
    <mdx n="508" f="v">
      <t c="3" si="4">
        <n x="509"/>
        <n x="198"/>
        <n x="488"/>
      </t>
    </mdx>
    <mdx n="508" f="v">
      <t c="3" si="4">
        <n x="509"/>
        <n x="429"/>
        <n x="490"/>
      </t>
    </mdx>
    <mdx n="508" f="v">
      <t c="3" si="4">
        <n x="509"/>
        <n x="40"/>
        <n x="491"/>
      </t>
    </mdx>
    <mdx n="508" f="v">
      <t c="3" si="4">
        <n x="509"/>
        <n x="410"/>
        <n x="480"/>
      </t>
    </mdx>
    <mdx n="508" f="v">
      <t c="3" si="4">
        <n x="509"/>
        <n x="354"/>
        <n x="489"/>
      </t>
    </mdx>
    <mdx n="508" f="v">
      <t c="3" si="4">
        <n x="509"/>
        <n x="150"/>
        <n x="490"/>
      </t>
    </mdx>
    <mdx n="508" f="v">
      <t c="3" si="4">
        <n x="509"/>
        <n x="112"/>
        <n x="491"/>
      </t>
    </mdx>
    <mdx n="508" f="v">
      <t c="3" si="4">
        <n x="509"/>
        <n x="232"/>
        <n x="482"/>
      </t>
    </mdx>
    <mdx n="508" f="v">
      <t c="3" si="4">
        <n x="509"/>
        <n x="206"/>
        <n x="489"/>
      </t>
    </mdx>
    <mdx n="508" f="v">
      <t c="3" si="4">
        <n x="509"/>
        <n x="425"/>
        <n x="490"/>
      </t>
    </mdx>
    <mdx n="508" f="v">
      <t c="3" si="4">
        <n x="509"/>
        <n x="81"/>
        <n x="491"/>
      </t>
    </mdx>
    <mdx n="508" f="v">
      <t c="3" si="4">
        <n x="509"/>
        <n x="32"/>
        <n x="484"/>
      </t>
    </mdx>
    <mdx n="508" f="v">
      <t c="3" si="4">
        <n x="509"/>
        <n x="111"/>
        <n x="489"/>
      </t>
    </mdx>
    <mdx n="508" f="v">
      <t c="3" si="4">
        <n x="509"/>
        <n x="258"/>
        <n x="491"/>
      </t>
    </mdx>
    <mdx n="508" f="v">
      <t c="3" si="4">
        <n x="509"/>
        <n x="18"/>
        <n x="490"/>
      </t>
    </mdx>
    <mdx n="508" f="v">
      <t c="3" si="4">
        <n x="509"/>
        <n x="22"/>
        <n x="492"/>
      </t>
    </mdx>
    <mdx n="508" f="v">
      <t c="3" si="4">
        <n x="509"/>
        <n x="88"/>
        <n x="492"/>
      </t>
    </mdx>
    <mdx n="508" f="v">
      <t c="3" si="4">
        <n x="509"/>
        <n x="241"/>
        <n x="492"/>
      </t>
    </mdx>
    <mdx n="508" f="v">
      <t c="3" si="4">
        <n x="509"/>
        <n x="271"/>
        <n x="492"/>
      </t>
    </mdx>
    <mdx n="508" f="v">
      <t c="3" si="4">
        <n x="509"/>
        <n x="408"/>
        <n x="492"/>
      </t>
    </mdx>
    <mdx n="508" f="v">
      <t c="3" si="4">
        <n x="509"/>
        <n x="445"/>
        <n x="492"/>
      </t>
    </mdx>
    <mdx n="508" f="v">
      <t c="3" si="4">
        <n x="509"/>
        <n x="436"/>
        <n x="492"/>
      </t>
    </mdx>
    <mdx n="508" f="v">
      <t c="3" si="4">
        <n x="509"/>
        <n x="296"/>
        <n x="493"/>
      </t>
    </mdx>
    <mdx n="508" f="v">
      <t c="3" si="4">
        <n x="509"/>
        <n x="63"/>
        <n x="493"/>
      </t>
    </mdx>
    <mdx n="508" f="v">
      <t c="3" si="4">
        <n x="509"/>
        <n x="212"/>
        <n x="493"/>
      </t>
    </mdx>
    <mdx n="508" f="v">
      <t c="3" si="4">
        <n x="509"/>
        <n x="186"/>
        <n x="493"/>
      </t>
    </mdx>
    <mdx n="508" f="v">
      <t c="3" si="4">
        <n x="509"/>
        <n x="154"/>
        <n x="493"/>
      </t>
    </mdx>
    <mdx n="508" f="v">
      <t c="3" si="4">
        <n x="509"/>
        <n x="325"/>
        <n x="493"/>
      </t>
    </mdx>
    <mdx n="508" f="v">
      <t c="3" si="4">
        <n x="509"/>
        <n x="294"/>
        <n x="493"/>
      </t>
    </mdx>
    <mdx n="508" f="v">
      <t c="3" si="4">
        <n x="509"/>
        <n x="409"/>
        <n x="494"/>
      </t>
    </mdx>
    <mdx n="508" f="v">
      <t c="3" si="4">
        <n x="509"/>
        <n x="260"/>
        <n x="494"/>
      </t>
    </mdx>
    <mdx n="508" f="v">
      <t c="3" si="4">
        <n x="509"/>
        <n x="455"/>
        <n x="494"/>
      </t>
    </mdx>
    <mdx n="508" f="v">
      <t c="3" si="4">
        <n x="509"/>
        <n x="181"/>
        <n x="494"/>
      </t>
    </mdx>
    <mdx n="508" f="v">
      <t c="3" si="4">
        <n x="509"/>
        <n x="52"/>
        <n x="494"/>
      </t>
    </mdx>
    <mdx n="508" f="v">
      <t c="3" si="4">
        <n x="509"/>
        <n x="353"/>
        <n x="494"/>
      </t>
    </mdx>
    <mdx n="508" f="v">
      <t c="3" si="4">
        <n x="509"/>
        <n x="112"/>
        <n x="494"/>
      </t>
    </mdx>
    <mdx n="508" f="v">
      <t c="3" si="4">
        <n x="509"/>
        <n x="310"/>
        <n x="494"/>
      </t>
    </mdx>
    <mdx n="508" f="v">
      <t c="3" si="4">
        <n x="509"/>
        <n x="158"/>
        <n x="495"/>
      </t>
    </mdx>
    <mdx n="508" f="v">
      <t c="3" si="4">
        <n x="509"/>
        <n x="207"/>
        <n x="487"/>
      </t>
    </mdx>
    <mdx n="508" f="v">
      <t c="3" si="4">
        <n x="509"/>
        <n x="267"/>
        <n x="491"/>
      </t>
    </mdx>
    <mdx n="508" f="v">
      <t c="3" si="4">
        <n x="509"/>
        <n x="219"/>
        <n x="483"/>
      </t>
    </mdx>
    <mdx n="508" f="v">
      <t c="3" si="4">
        <n x="509"/>
        <n x="196"/>
        <n x="485"/>
      </t>
    </mdx>
    <mdx n="508" f="v">
      <t c="3" si="4">
        <n x="509"/>
        <n x="249"/>
        <n x="492"/>
      </t>
    </mdx>
    <mdx n="508" f="v">
      <t c="3" si="4">
        <n x="509"/>
        <n x="457"/>
        <n x="493"/>
      </t>
    </mdx>
    <mdx n="508" f="v">
      <t c="3" si="4">
        <n x="509"/>
        <n x="342"/>
        <n x="493"/>
      </t>
    </mdx>
    <mdx n="508" f="v">
      <t c="3" si="4">
        <n x="509"/>
        <n x="416"/>
        <n x="494"/>
      </t>
    </mdx>
    <mdx n="508" f="v">
      <t c="3" si="4">
        <n x="509"/>
        <n x="93"/>
        <n x="494"/>
      </t>
    </mdx>
    <mdx n="508" f="v">
      <t c="3" si="4">
        <n x="509"/>
        <n x="283"/>
        <n x="494"/>
      </t>
    </mdx>
    <mdx n="508" f="v">
      <t c="3" si="4">
        <n x="509"/>
        <n x="266"/>
        <n x="494"/>
      </t>
    </mdx>
    <mdx n="508" f="v">
      <t c="3" si="4">
        <n x="509"/>
        <n x="357"/>
        <n x="494"/>
      </t>
    </mdx>
    <mdx n="508" f="v">
      <t c="3" si="4">
        <n x="509"/>
        <n x="457"/>
        <n x="495"/>
      </t>
    </mdx>
    <mdx n="508" f="v">
      <t c="3" si="4">
        <n x="509"/>
        <n x="139"/>
        <n x="495"/>
      </t>
    </mdx>
    <mdx n="508" f="v">
      <t c="3" si="4">
        <n x="509"/>
        <n x="99"/>
        <n x="495"/>
      </t>
    </mdx>
    <mdx n="508" f="v">
      <t c="3" si="4">
        <n x="509"/>
        <n x="59"/>
        <n x="495"/>
      </t>
    </mdx>
    <mdx n="508" f="v">
      <t c="3" si="4">
        <n x="509"/>
        <n x="230"/>
        <n x="495"/>
      </t>
    </mdx>
    <mdx n="508" f="v">
      <t c="3" si="4">
        <n x="509"/>
        <n x="445"/>
        <n x="495"/>
      </t>
    </mdx>
    <mdx n="508" f="v">
      <t c="3" si="4">
        <n x="509"/>
        <n x="428"/>
        <n x="495"/>
      </t>
    </mdx>
    <mdx n="508" f="v">
      <t c="3" si="4">
        <n x="509"/>
        <n x="405"/>
        <n x="495"/>
      </t>
    </mdx>
    <mdx n="508" f="v">
      <t c="3" si="4">
        <n x="509"/>
        <n x="180"/>
        <n x="487"/>
      </t>
    </mdx>
    <mdx n="508" f="v">
      <t c="3" si="4">
        <n x="509"/>
        <n x="439"/>
        <n x="486"/>
      </t>
    </mdx>
    <mdx n="508" f="v">
      <t c="3" si="4">
        <n x="509"/>
        <n x="460"/>
        <n x="490"/>
      </t>
    </mdx>
    <mdx n="508" f="v">
      <t c="3" si="4">
        <n x="509"/>
        <n x="410"/>
        <n x="491"/>
      </t>
    </mdx>
    <mdx n="508" f="v">
      <t c="3" si="4">
        <n x="509"/>
        <n x="268"/>
        <n x="491"/>
      </t>
    </mdx>
    <mdx n="508" f="v">
      <t c="3" si="4">
        <n x="509"/>
        <n x="220"/>
        <n x="492"/>
      </t>
    </mdx>
    <mdx n="508" f="v">
      <t c="3" si="4">
        <n x="509"/>
        <n x="414"/>
        <n x="492"/>
      </t>
    </mdx>
    <mdx n="508" f="v">
      <t c="3" si="4">
        <n x="509"/>
        <n x="165"/>
        <n x="493"/>
      </t>
    </mdx>
    <mdx n="508" f="v">
      <t c="3" si="4">
        <n x="509"/>
        <n x="204"/>
        <n x="494"/>
      </t>
    </mdx>
    <mdx n="508" f="v">
      <t c="3" si="4">
        <n x="509"/>
        <n x="448"/>
        <n x="494"/>
      </t>
    </mdx>
    <mdx n="508" f="v">
      <t c="3" si="4">
        <n x="509"/>
        <n x="120"/>
        <n x="494"/>
      </t>
    </mdx>
    <mdx n="508" f="v">
      <t c="3" si="4">
        <n x="509"/>
        <n x="464"/>
        <n x="494"/>
      </t>
    </mdx>
    <mdx n="508" f="v">
      <t c="3" si="4">
        <n x="509"/>
        <n x="100"/>
        <n x="494"/>
      </t>
    </mdx>
    <mdx n="508" f="v">
      <t c="3" si="4">
        <n x="509"/>
        <n x="191"/>
        <n x="495"/>
      </t>
    </mdx>
    <mdx n="508" f="v">
      <t c="3" si="4">
        <n x="509"/>
        <n x="351"/>
        <n x="495"/>
      </t>
    </mdx>
    <mdx n="508" f="v">
      <t c="3" si="4">
        <n x="509"/>
        <n x="129"/>
        <n x="495"/>
      </t>
    </mdx>
    <mdx n="508" f="v">
      <t c="3" si="4">
        <n x="509"/>
        <n x="384"/>
        <n x="495"/>
      </t>
    </mdx>
    <mdx n="508" f="v">
      <t c="3" si="4">
        <n x="509"/>
        <n x="149"/>
        <n x="495"/>
      </t>
    </mdx>
    <mdx n="508" f="v">
      <t c="3" si="4">
        <n x="509"/>
        <n x="108"/>
        <n x="495"/>
      </t>
    </mdx>
    <mdx n="508" f="v">
      <t c="3" si="4">
        <n x="509"/>
        <n x="185"/>
        <n x="495"/>
      </t>
    </mdx>
    <mdx n="508" f="v">
      <t c="3" si="4">
        <n x="509"/>
        <n x="376"/>
        <n x="495"/>
      </t>
    </mdx>
    <mdx n="508" f="v">
      <t c="3" si="4">
        <n x="509"/>
        <n x="212"/>
        <n x="486"/>
      </t>
    </mdx>
    <mdx n="508" f="v">
      <t c="3" si="4">
        <n x="509"/>
        <n x="261"/>
        <n x="488"/>
      </t>
    </mdx>
    <mdx n="508" f="v">
      <t c="3" si="4">
        <n x="509"/>
        <n x="16"/>
        <n x="482"/>
      </t>
    </mdx>
    <mdx n="508" f="v">
      <t c="3" si="4">
        <n x="509"/>
        <n x="262"/>
        <n x="487"/>
      </t>
    </mdx>
    <mdx n="508" f="v">
      <t c="3" si="4">
        <n x="509"/>
        <n x="8"/>
        <n x="489"/>
      </t>
    </mdx>
    <mdx n="508" f="v">
      <t c="3" si="4">
        <n x="509"/>
        <n x="252"/>
        <n x="492"/>
      </t>
    </mdx>
    <mdx n="508" f="v">
      <t c="3" si="4">
        <n x="509"/>
        <n x="153"/>
        <n x="492"/>
      </t>
    </mdx>
    <mdx n="508" f="v">
      <t c="3" si="4">
        <n x="509"/>
        <n x="442"/>
        <n x="493"/>
      </t>
    </mdx>
    <mdx n="508" f="v">
      <t c="3" si="4">
        <n x="509"/>
        <n x="67"/>
        <n x="493"/>
      </t>
    </mdx>
    <mdx n="508" f="v">
      <t c="3" si="4">
        <n x="509"/>
        <n x="252"/>
        <n x="494"/>
      </t>
    </mdx>
    <mdx n="508" f="v">
      <t c="3" si="4">
        <n x="509"/>
        <n x="165"/>
        <n x="494"/>
      </t>
    </mdx>
    <mdx n="508" f="v">
      <t c="3" si="4">
        <n x="509"/>
        <n x="115"/>
        <n x="494"/>
      </t>
    </mdx>
    <mdx n="508" f="v">
      <t c="3" si="4">
        <n x="509"/>
        <n x="142"/>
        <n x="494"/>
      </t>
    </mdx>
    <mdx n="508" f="v">
      <t c="3" si="4">
        <n x="509"/>
        <n x="371"/>
        <n x="495"/>
      </t>
    </mdx>
    <mdx n="508" f="v">
      <t c="3" si="4">
        <n x="509"/>
        <n x="219"/>
        <n x="495"/>
      </t>
    </mdx>
    <mdx n="508" f="v">
      <t c="3" si="4">
        <n x="509"/>
        <n x="442"/>
        <n x="495"/>
      </t>
    </mdx>
    <mdx n="508" f="v">
      <t c="3" si="4">
        <n x="509"/>
        <n x="345"/>
        <n x="495"/>
      </t>
    </mdx>
    <mdx n="508" f="v">
      <t c="3" si="4">
        <n x="509"/>
        <n x="62"/>
        <n x="495"/>
      </t>
    </mdx>
    <mdx n="508" f="v">
      <t c="3" si="4">
        <n x="509"/>
        <n x="32"/>
        <n x="495"/>
      </t>
    </mdx>
    <mdx n="508" f="v">
      <t c="3" si="4">
        <n x="509"/>
        <n x="100"/>
        <n x="495"/>
      </t>
    </mdx>
    <mdx n="508" f="v">
      <t c="3" si="4">
        <n x="509"/>
        <n x="190"/>
        <n x="487"/>
      </t>
    </mdx>
    <mdx n="508" f="v">
      <t c="3" si="4">
        <n x="509"/>
        <n x="319"/>
        <n x="488"/>
      </t>
    </mdx>
    <mdx n="508" f="v">
      <t c="3" si="4">
        <n x="509"/>
        <n x="263"/>
        <n x="484"/>
      </t>
    </mdx>
    <mdx n="508" f="v">
      <t c="3" si="4">
        <n x="509"/>
        <n x="250"/>
        <n x="488"/>
      </t>
    </mdx>
    <mdx n="508" f="v">
      <t c="3" si="4">
        <n x="509"/>
        <n x="447"/>
        <n x="489"/>
      </t>
    </mdx>
    <mdx n="508" f="v">
      <t c="3" si="4">
        <n x="509"/>
        <n x="24"/>
        <n x="492"/>
      </t>
    </mdx>
    <mdx n="508" f="v">
      <t c="3" si="4">
        <n x="509"/>
        <n x="34"/>
        <n x="492"/>
      </t>
    </mdx>
    <mdx n="508" f="v">
      <t c="3" si="4">
        <n x="509"/>
        <n x="46"/>
        <n x="493"/>
      </t>
    </mdx>
    <mdx n="508" f="v">
      <t c="3" si="4">
        <n x="509"/>
        <n x="51"/>
        <n x="493"/>
      </t>
    </mdx>
    <mdx n="508" f="v">
      <t c="3" si="4">
        <n x="509"/>
        <n x="139"/>
        <n x="494"/>
      </t>
    </mdx>
    <mdx n="508" f="v">
      <t c="3" si="4">
        <n x="509"/>
        <n x="156"/>
        <n x="494"/>
      </t>
    </mdx>
    <mdx n="508" f="v">
      <t c="3" si="4">
        <n x="509"/>
        <n x="109"/>
        <n x="494"/>
      </t>
    </mdx>
    <mdx n="508" f="v">
      <t c="3" si="4">
        <n x="509"/>
        <n x="338"/>
        <n x="494"/>
      </t>
    </mdx>
    <mdx n="508" f="v">
      <t c="3" si="4">
        <n x="509"/>
        <n x="61"/>
        <n x="495"/>
      </t>
    </mdx>
    <mdx n="508" f="v">
      <t c="3" si="4">
        <n x="509"/>
        <n x="318"/>
        <n x="495"/>
      </t>
    </mdx>
    <mdx n="508" f="v">
      <t c="3" si="4">
        <n x="509"/>
        <n x="269"/>
        <n x="495"/>
      </t>
    </mdx>
    <mdx n="508" f="v">
      <t c="3" si="4">
        <n x="509"/>
        <n x="412"/>
        <n x="495"/>
      </t>
    </mdx>
    <mdx n="508" f="v">
      <t c="3" si="4">
        <n x="509"/>
        <n x="276"/>
        <n x="495"/>
      </t>
    </mdx>
    <mdx n="508" f="v">
      <t c="3" si="4">
        <n x="509"/>
        <n x="28"/>
        <n x="495"/>
      </t>
    </mdx>
    <mdx n="508" f="v">
      <t c="3" si="4">
        <n x="509"/>
        <n x="95"/>
        <n x="495"/>
      </t>
    </mdx>
    <mdx n="508" f="v">
      <t c="3" si="4">
        <n x="509"/>
        <n x="258"/>
        <n x="485"/>
      </t>
    </mdx>
    <mdx n="508" f="v">
      <t c="3" si="4">
        <n x="509"/>
        <n x="125"/>
        <n x="492"/>
      </t>
    </mdx>
    <mdx n="508" f="v">
      <t c="3" si="4">
        <n x="509"/>
        <n x="234"/>
        <n x="494"/>
      </t>
    </mdx>
    <mdx n="508" f="v">
      <t c="3" si="4">
        <n x="509"/>
        <n x="195"/>
        <n x="495"/>
      </t>
    </mdx>
    <mdx n="508" f="v">
      <t c="3" si="4">
        <n x="509"/>
        <n x="266"/>
        <n x="495"/>
      </t>
    </mdx>
    <mdx n="508" f="v">
      <t c="3" si="4">
        <n x="509"/>
        <n x="55"/>
        <n x="483"/>
      </t>
    </mdx>
    <mdx n="508" f="v">
      <t c="3" si="4">
        <n x="509"/>
        <n x="268"/>
        <n x="490"/>
      </t>
    </mdx>
    <mdx n="508" f="v">
      <t c="3" si="4">
        <n x="509"/>
        <n x="165"/>
        <n x="490"/>
      </t>
    </mdx>
    <mdx n="508" f="v">
      <t c="3" si="4">
        <n x="509"/>
        <n x="331"/>
        <n x="491"/>
      </t>
    </mdx>
    <mdx n="508" f="v">
      <t c="3" si="4">
        <n x="509"/>
        <n x="102"/>
        <n x="492"/>
      </t>
    </mdx>
    <mdx n="508" f="v">
      <t c="3" si="4">
        <n x="509"/>
        <n x="353"/>
        <n x="493"/>
      </t>
    </mdx>
    <mdx n="508" f="v">
      <t c="3" si="4">
        <n x="509"/>
        <n x="276"/>
        <n x="493"/>
      </t>
    </mdx>
    <mdx n="508" f="v">
      <t c="3" si="4">
        <n x="509"/>
        <n x="437"/>
        <n x="494"/>
      </t>
    </mdx>
    <mdx n="508" f="v">
      <t c="3" si="4">
        <n x="509"/>
        <n x="220"/>
        <n x="494"/>
      </t>
    </mdx>
    <mdx n="508" f="v">
      <t c="3" si="4">
        <n x="509"/>
        <n x="79"/>
        <n x="494"/>
      </t>
    </mdx>
    <mdx n="508" f="v">
      <t c="3" si="4">
        <n x="509"/>
        <n x="272"/>
        <n x="494"/>
      </t>
    </mdx>
    <mdx n="508" f="v">
      <t c="3" si="4">
        <n x="509"/>
        <n x="451"/>
        <n x="494"/>
      </t>
    </mdx>
    <mdx n="508" f="v">
      <t c="3" si="4">
        <n x="509"/>
        <n x="208"/>
        <n x="495"/>
      </t>
    </mdx>
    <mdx n="508" f="v">
      <t c="3" si="4">
        <n x="509"/>
        <n x="146"/>
        <n x="495"/>
      </t>
    </mdx>
    <mdx n="508" f="v">
      <t c="3" si="4">
        <n x="509"/>
        <n x="381"/>
        <n x="495"/>
      </t>
    </mdx>
    <mdx n="508" f="v">
      <t c="3" si="4">
        <n x="509"/>
        <n x="79"/>
        <n x="495"/>
      </t>
    </mdx>
    <mdx n="508" f="v">
      <t c="3" si="4">
        <n x="509"/>
        <n x="399"/>
        <n x="495"/>
      </t>
    </mdx>
    <mdx n="508" f="v">
      <t c="3" si="4">
        <n x="509"/>
        <n x="6"/>
        <n x="495"/>
      </t>
    </mdx>
    <mdx n="508" f="v">
      <t c="3" si="4">
        <n x="509"/>
        <n x="357"/>
        <n x="495"/>
      </t>
    </mdx>
    <mdx n="508" f="v">
      <t c="3" si="4">
        <n x="509"/>
        <n x="131"/>
        <n x="495"/>
      </t>
    </mdx>
    <mdx n="508" f="v">
      <t c="3" si="4">
        <n x="509"/>
        <n x="160"/>
        <n x="482"/>
      </t>
    </mdx>
    <mdx n="508" f="v">
      <t c="3" si="4">
        <n x="509"/>
        <n x="383"/>
        <n x="492"/>
      </t>
    </mdx>
    <mdx n="508" f="v">
      <t c="3" si="4">
        <n x="509"/>
        <n x="238"/>
        <n x="494"/>
      </t>
    </mdx>
    <mdx n="508" f="v">
      <t c="3" si="4">
        <n x="509"/>
        <n x="359"/>
        <n x="495"/>
      </t>
    </mdx>
    <mdx n="508" f="v">
      <t c="3" si="4">
        <n x="509"/>
        <n x="128"/>
        <n x="480"/>
      </t>
    </mdx>
    <mdx n="508" f="v">
      <t c="3" si="4">
        <n x="509"/>
        <n x="255"/>
        <n x="486"/>
      </t>
    </mdx>
    <mdx n="508" f="v">
      <t c="3" si="4">
        <n x="509"/>
        <n x="229"/>
        <n x="490"/>
      </t>
    </mdx>
    <mdx n="508" f="v">
      <t c="3" si="4">
        <n x="509"/>
        <n x="408"/>
        <n x="491"/>
      </t>
    </mdx>
    <mdx n="508" f="v">
      <t c="3" si="4">
        <n x="509"/>
        <n x="51"/>
        <n x="491"/>
      </t>
    </mdx>
    <mdx n="508" f="v">
      <t c="3" si="4">
        <n x="509"/>
        <n x="67"/>
        <n x="492"/>
      </t>
    </mdx>
    <mdx n="508" f="v">
      <t c="3" si="4">
        <n x="509"/>
        <n x="350"/>
        <n x="493"/>
      </t>
    </mdx>
    <mdx n="508" f="v">
      <t c="3" si="4">
        <n x="509"/>
        <n x="53"/>
        <n x="493"/>
      </t>
    </mdx>
    <mdx n="508" f="v">
      <t c="3" si="4">
        <n x="509"/>
        <n x="456"/>
        <n x="494"/>
      </t>
    </mdx>
    <mdx n="508" f="v">
      <t c="3" si="4">
        <n x="509"/>
        <n x="200"/>
        <n x="494"/>
      </t>
    </mdx>
    <mdx n="508" f="v">
      <t c="3" si="4">
        <n x="509"/>
        <n x="262"/>
        <n x="494"/>
      </t>
    </mdx>
    <mdx n="508" f="v">
      <t c="3" si="4">
        <n x="509"/>
        <n x="316"/>
        <n x="494"/>
      </t>
    </mdx>
    <mdx n="508" f="v">
      <t c="3" si="4">
        <n x="509"/>
        <n x="229"/>
        <n x="494"/>
      </t>
    </mdx>
    <mdx n="508" f="v">
      <t c="3" si="4">
        <n x="509"/>
        <n x="134"/>
        <n x="495"/>
      </t>
    </mdx>
    <mdx n="508" f="v">
      <t c="3" si="4">
        <n x="509"/>
        <n x="94"/>
        <n x="495"/>
      </t>
    </mdx>
    <mdx n="508" f="v">
      <t c="3" si="4">
        <n x="509"/>
        <n x="200"/>
        <n x="495"/>
      </t>
    </mdx>
    <mdx n="508" f="v">
      <t c="3" si="4">
        <n x="509"/>
        <n x="141"/>
        <n x="495"/>
      </t>
    </mdx>
    <mdx n="508" f="v">
      <t c="3" si="4">
        <n x="509"/>
        <n x="272"/>
        <n x="495"/>
      </t>
    </mdx>
    <mdx n="508" f="v">
      <t c="3" si="4">
        <n x="509"/>
        <n x="240"/>
        <n x="495"/>
      </t>
    </mdx>
    <mdx n="508" f="v">
      <t c="3" si="4">
        <n x="509"/>
        <n x="310"/>
        <n x="495"/>
      </t>
    </mdx>
    <mdx n="508" f="v">
      <t c="3" si="4">
        <n x="509"/>
        <n x="364"/>
        <n x="487"/>
      </t>
    </mdx>
    <mdx n="508" f="v">
      <t c="3" si="4">
        <n x="509"/>
        <n x="284"/>
        <n x="494"/>
      </t>
    </mdx>
    <mdx n="508" f="v">
      <t c="3" si="4">
        <n x="509"/>
        <n x="307"/>
        <n x="494"/>
      </t>
    </mdx>
    <mdx n="508" f="v">
      <t c="3" si="4">
        <n x="509"/>
        <n x="326"/>
        <n x="495"/>
      </t>
    </mdx>
    <mdx n="508" f="v">
      <t c="3" si="4">
        <n x="509"/>
        <n x="194"/>
        <n x="485"/>
      </t>
    </mdx>
    <mdx n="508" f="v">
      <t c="3" si="4">
        <n x="509"/>
        <n x="420"/>
        <n x="490"/>
      </t>
    </mdx>
    <mdx n="508" f="v">
      <t c="3" si="4">
        <n x="509"/>
        <n x="127"/>
        <n x="491"/>
      </t>
    </mdx>
    <mdx n="508" f="v">
      <t c="3" si="4">
        <n x="509"/>
        <n x="400"/>
        <n x="483"/>
      </t>
    </mdx>
    <mdx n="508" f="v">
      <t c="3" si="4">
        <n x="509"/>
        <n x="300"/>
        <n x="492"/>
      </t>
    </mdx>
    <mdx n="508" f="v">
      <t c="3" si="4">
        <n x="509"/>
        <n x="451"/>
        <n x="493"/>
      </t>
    </mdx>
    <mdx n="508" f="v">
      <t c="3" si="4">
        <n x="509"/>
        <n x="382"/>
        <n x="494"/>
      </t>
    </mdx>
    <mdx n="508" f="v">
      <t c="3" si="4">
        <n x="509"/>
        <n x="175"/>
        <n x="495"/>
      </t>
    </mdx>
    <mdx n="508" f="v">
      <t c="3" si="4">
        <n x="509"/>
        <n x="354"/>
        <n x="479"/>
      </t>
    </mdx>
    <mdx n="508" f="v">
      <t c="3" si="4">
        <n x="509"/>
        <n x="440"/>
        <n x="494"/>
      </t>
    </mdx>
    <mdx n="508" f="v">
      <t c="3" si="4">
        <n x="509"/>
        <n x="389"/>
        <n x="494"/>
      </t>
    </mdx>
    <mdx n="508" f="v">
      <t c="3" si="4">
        <n x="509"/>
        <n x="258"/>
        <n x="495"/>
      </t>
    </mdx>
    <mdx n="508" f="v">
      <t c="3" si="4">
        <n x="509"/>
        <n x="157"/>
        <n x="495"/>
      </t>
    </mdx>
    <mdx n="508" f="v">
      <t c="3" si="4">
        <n x="509"/>
        <n x="366"/>
        <n x="495"/>
      </t>
    </mdx>
    <mdx n="508" f="v">
      <t c="3" si="4">
        <n x="509"/>
        <n x="381"/>
        <n x="478"/>
      </t>
    </mdx>
    <mdx n="508" f="v">
      <t c="3" si="4">
        <n x="509"/>
        <n x="248"/>
        <n x="490"/>
      </t>
    </mdx>
    <mdx n="508" f="v">
      <t c="3" si="4">
        <n x="509"/>
        <n x="101"/>
        <n x="491"/>
      </t>
    </mdx>
    <mdx n="508" f="v">
      <t c="3" si="4">
        <n x="509"/>
        <n x="175"/>
        <n x="492"/>
      </t>
    </mdx>
    <mdx n="508" f="v">
      <t c="3" si="4">
        <n x="509"/>
        <n x="311"/>
        <n x="493"/>
      </t>
    </mdx>
    <mdx n="508" f="v">
      <t c="3" si="4">
        <n x="509"/>
        <n x="270"/>
        <n x="494"/>
      </t>
    </mdx>
    <mdx n="508" f="v">
      <t c="3" si="4">
        <n x="509"/>
        <n x="72"/>
        <n x="494"/>
      </t>
    </mdx>
    <mdx n="508" f="v">
      <t c="3" si="4">
        <n x="509"/>
        <n x="7"/>
        <n x="494"/>
      </t>
    </mdx>
    <mdx n="508" f="v">
      <t c="3" si="4">
        <n x="509"/>
        <n x="68"/>
        <n x="494"/>
      </t>
    </mdx>
    <mdx n="508" f="v">
      <t c="3" si="4">
        <n x="509"/>
        <n x="30"/>
        <n x="495"/>
      </t>
    </mdx>
    <mdx n="508" f="v">
      <t c="3" si="4">
        <n x="509"/>
        <n x="410"/>
        <n x="495"/>
      </t>
    </mdx>
    <mdx n="508" f="v">
      <t c="3" si="4">
        <n x="509"/>
        <n x="213"/>
        <n x="495"/>
      </t>
    </mdx>
    <mdx n="508" f="v">
      <t c="3" si="4">
        <n x="509"/>
        <n x="363"/>
        <n x="495"/>
      </t>
    </mdx>
    <mdx n="508" f="v">
      <t c="3" si="4">
        <n x="509"/>
        <n x="278"/>
        <n x="495"/>
      </t>
    </mdx>
    <mdx n="508" f="v">
      <t c="3" si="4">
        <n x="509"/>
        <n x="406"/>
        <n x="489"/>
      </t>
    </mdx>
    <mdx n="508" f="v">
      <t c="3" si="4">
        <n x="509"/>
        <n x="364"/>
        <n x="494"/>
      </t>
    </mdx>
    <mdx n="508" f="v">
      <t c="3" si="4">
        <n x="509"/>
        <n x="440"/>
        <n x="495"/>
      </t>
    </mdx>
    <mdx n="508" f="v">
      <t c="3" si="4">
        <n x="509"/>
        <n x="423"/>
        <n x="478"/>
      </t>
    </mdx>
    <mdx n="508" f="v">
      <t c="3" si="4">
        <n x="509"/>
        <n x="22"/>
        <n x="490"/>
      </t>
    </mdx>
    <mdx n="508" f="v">
      <t c="3" si="4">
        <n x="509"/>
        <n x="108"/>
        <n x="487"/>
      </t>
    </mdx>
    <mdx n="508" f="v">
      <t c="3" si="4">
        <n x="509"/>
        <n x="277"/>
        <n x="491"/>
      </t>
    </mdx>
    <mdx n="508" f="v">
      <t c="3" si="4">
        <n x="509"/>
        <n x="150"/>
        <n x="492"/>
      </t>
    </mdx>
    <mdx n="508" f="v">
      <t c="3" si="4">
        <n x="509"/>
        <n x="45"/>
        <n x="493"/>
      </t>
    </mdx>
    <mdx n="508" f="v">
      <t c="3" si="4">
        <n x="509"/>
        <n x="196"/>
        <n x="493"/>
      </t>
    </mdx>
    <mdx n="508" f="v">
      <t c="3" si="4">
        <n x="509"/>
        <n x="217"/>
        <n x="494"/>
      </t>
    </mdx>
    <mdx n="508" f="v">
      <t c="3" si="4">
        <n x="509"/>
        <n x="292"/>
        <n x="494"/>
      </t>
    </mdx>
    <mdx n="508" f="v">
      <t c="3" si="4">
        <n x="509"/>
        <n x="105"/>
        <n x="494"/>
      </t>
    </mdx>
    <mdx n="508" f="v">
      <t c="3" si="4">
        <n x="509"/>
        <n x="421"/>
        <n x="495"/>
      </t>
    </mdx>
    <mdx n="508" f="v">
      <t c="3" si="4">
        <n x="509"/>
        <n x="407"/>
        <n x="495"/>
      </t>
    </mdx>
    <mdx n="508" f="v">
      <t c="3" si="4">
        <n x="509"/>
        <n x="463"/>
        <n x="495"/>
      </t>
    </mdx>
    <mdx n="508" f="v">
      <t c="3" si="4">
        <n x="509"/>
        <n x="429"/>
        <n x="495"/>
      </t>
    </mdx>
    <mdx n="508" f="v">
      <t c="3" si="4">
        <n x="509"/>
        <n x="452"/>
        <n x="495"/>
      </t>
    </mdx>
    <mdx n="508" f="v">
      <t c="3" si="4">
        <n x="509"/>
        <n x="378"/>
        <n x="495"/>
      </t>
    </mdx>
    <mdx n="508" f="v">
      <t c="3" si="4">
        <n x="509"/>
        <n x="113"/>
        <n x="485"/>
      </t>
    </mdx>
    <mdx n="508" f="v">
      <t c="3" si="4">
        <n x="509"/>
        <n x="246"/>
        <n x="493"/>
      </t>
    </mdx>
    <mdx n="508" f="v">
      <t c="3" si="4">
        <n x="509"/>
        <n x="325"/>
        <n x="494"/>
      </t>
    </mdx>
    <mdx n="508" f="v">
      <t c="3" si="4">
        <n x="509"/>
        <n x="196"/>
        <n x="495"/>
      </t>
    </mdx>
    <mdx n="508" f="v">
      <t c="3" si="4">
        <n x="509"/>
        <n x="260"/>
        <n x="488"/>
      </t>
    </mdx>
    <mdx n="508" f="v">
      <t c="3" si="4">
        <n x="509"/>
        <n x="355"/>
        <n x="490"/>
      </t>
    </mdx>
    <mdx n="508" f="v">
      <t c="3" si="4">
        <n x="509"/>
        <n x="463"/>
        <n x="489"/>
      </t>
    </mdx>
    <mdx n="508" f="v">
      <t c="3" si="4">
        <n x="509"/>
        <n x="226"/>
        <n x="492"/>
      </t>
    </mdx>
    <mdx n="508" f="v">
      <t c="3" si="4">
        <n x="509"/>
        <n x="60"/>
        <n x="492"/>
      </t>
    </mdx>
    <mdx n="508" f="v">
      <t c="3" si="4">
        <n x="509"/>
        <n x="317"/>
        <n x="493"/>
      </t>
    </mdx>
    <mdx n="508" f="v">
      <t c="3" si="4">
        <n x="509"/>
        <n x="265"/>
        <n x="494"/>
      </t>
    </mdx>
    <mdx n="508" f="v">
      <t c="3" si="4">
        <n x="509"/>
        <n x="406"/>
        <n x="494"/>
      </t>
    </mdx>
    <mdx n="508" f="v">
      <t c="3" si="4">
        <n x="509"/>
        <n x="261"/>
        <n x="494"/>
      </t>
    </mdx>
    <mdx n="508" f="v">
      <t c="3" si="4">
        <n x="509"/>
        <n x="375"/>
        <n x="494"/>
      </t>
    </mdx>
    <mdx n="508" f="v">
      <t c="3" si="4">
        <n x="509"/>
        <n x="285"/>
        <n x="495"/>
      </t>
    </mdx>
    <mdx n="508" f="v">
      <t c="3" si="4">
        <n x="509"/>
        <n x="75"/>
        <n x="495"/>
      </t>
    </mdx>
    <mdx n="508" f="v">
      <t c="3" si="4">
        <n x="509"/>
        <n x="290"/>
        <n x="495"/>
      </t>
    </mdx>
    <mdx n="508" f="v">
      <t c="3" si="4">
        <n x="509"/>
        <n x="324"/>
        <n x="495"/>
      </t>
    </mdx>
    <mdx n="508" f="v">
      <t c="3" si="4">
        <n x="509"/>
        <n x="337"/>
        <n x="495"/>
      </t>
    </mdx>
    <mdx n="508" f="v">
      <t c="3" si="4">
        <n x="509"/>
        <n x="418"/>
        <n x="484"/>
      </t>
    </mdx>
    <mdx n="508" f="v">
      <t c="3" si="4">
        <n x="509"/>
        <n x="172"/>
        <n x="492"/>
      </t>
    </mdx>
    <mdx n="508" f="v">
      <t c="3" si="4">
        <n x="509"/>
        <n x="9"/>
        <n x="494"/>
      </t>
    </mdx>
    <mdx n="508" f="v">
      <t c="3" si="4">
        <n x="509"/>
        <n x="96"/>
        <n x="495"/>
      </t>
    </mdx>
    <mdx n="508" f="v">
      <t c="3" si="4">
        <n x="509"/>
        <n x="161"/>
        <n x="486"/>
      </t>
    </mdx>
    <mdx n="508" f="v">
      <t c="3" si="4">
        <n x="509"/>
        <n x="282"/>
        <n x="490"/>
      </t>
    </mdx>
    <mdx n="508" f="v">
      <t c="3" si="4">
        <n x="509"/>
        <n x="329"/>
        <n x="489"/>
      </t>
    </mdx>
    <mdx n="508" f="v">
      <t c="3" si="4">
        <n x="509"/>
        <n x="57"/>
        <n x="492"/>
      </t>
    </mdx>
    <mdx n="508" f="v">
      <t c="3" si="4">
        <n x="509"/>
        <n x="396"/>
        <n x="493"/>
      </t>
    </mdx>
    <mdx n="508" f="v">
      <t c="3" si="4">
        <n x="509"/>
        <n x="450"/>
        <n x="494"/>
      </t>
    </mdx>
    <mdx n="508" f="v">
      <t c="3" si="4">
        <n x="509"/>
        <n x="27"/>
        <n x="494"/>
      </t>
    </mdx>
    <mdx n="508" f="v">
      <t c="3" si="4">
        <n x="509"/>
        <n x="102"/>
        <n x="494"/>
      </t>
    </mdx>
    <mdx n="508" f="v">
      <t c="3" si="4">
        <n x="509"/>
        <n x="65"/>
        <n x="494"/>
      </t>
    </mdx>
    <mdx n="508" f="v">
      <t c="3" si="4">
        <n x="509"/>
        <n x="74"/>
        <n x="494"/>
      </t>
    </mdx>
    <mdx n="508" f="v">
      <t c="3" si="4">
        <n x="509"/>
        <n x="420"/>
        <n x="495"/>
      </t>
    </mdx>
    <mdx n="508" f="v">
      <t c="3" si="4">
        <n x="509"/>
        <n x="265"/>
        <n x="495"/>
      </t>
    </mdx>
    <mdx n="508" f="v">
      <t c="3" si="4">
        <n x="509"/>
        <n x="20"/>
        <n x="495"/>
      </t>
    </mdx>
    <mdx n="508" f="v">
      <t c="3" si="4">
        <n x="509"/>
        <n x="313"/>
        <n x="495"/>
      </t>
    </mdx>
    <mdx n="508" f="v">
      <t c="3" si="4">
        <n x="509"/>
        <n x="140"/>
        <n x="495"/>
      </t>
    </mdx>
    <mdx n="508" f="v">
      <t c="3" si="4">
        <n x="509"/>
        <n x="81"/>
        <n x="495"/>
      </t>
    </mdx>
    <mdx n="508" f="v">
      <t c="3" si="4">
        <n x="509"/>
        <n x="172"/>
        <n x="491"/>
      </t>
    </mdx>
    <mdx n="508" f="v">
      <t c="3" si="4">
        <n x="509"/>
        <n x="206"/>
        <n x="493"/>
      </t>
    </mdx>
    <mdx n="508" f="v">
      <t c="3" si="4">
        <n x="509"/>
        <n x="230"/>
        <n x="494"/>
      </t>
    </mdx>
    <mdx n="508" f="v">
      <t c="3" si="4">
        <n x="509"/>
        <n x="27"/>
        <n x="495"/>
      </t>
    </mdx>
    <mdx n="508" f="v">
      <t c="3" si="4">
        <n x="509"/>
        <n x="419"/>
        <n x="496"/>
      </t>
    </mdx>
    <mdx n="508" f="v">
      <t c="3" si="4">
        <n x="509"/>
        <n x="75"/>
        <n x="496"/>
      </t>
    </mdx>
    <mdx n="508" f="v">
      <t c="3" si="4">
        <n x="509"/>
        <n x="257"/>
        <n x="496"/>
      </t>
    </mdx>
    <mdx n="508" f="v">
      <t c="3" si="4">
        <n x="509"/>
        <n x="48"/>
        <n x="496"/>
      </t>
    </mdx>
    <mdx n="508" f="v">
      <t c="3" si="4">
        <n x="509"/>
        <n x="114"/>
        <n x="496"/>
      </t>
    </mdx>
    <mdx n="508" f="v">
      <t c="3" si="4">
        <n x="509"/>
        <n x="354"/>
        <n x="497"/>
      </t>
    </mdx>
    <mdx n="508" f="v">
      <t c="3" si="4">
        <n x="509"/>
        <n x="464"/>
        <n x="498"/>
      </t>
    </mdx>
    <mdx n="508" f="v">
      <t c="3" si="4">
        <n x="509"/>
        <n x="68"/>
        <n x="501"/>
      </t>
    </mdx>
    <mdx n="508" f="v">
      <t c="3" si="4">
        <n x="509"/>
        <n x="457"/>
        <n x="496"/>
      </t>
    </mdx>
    <mdx n="508" f="v">
      <t c="3" si="4">
        <n x="509"/>
        <n x="294"/>
        <n x="496"/>
      </t>
    </mdx>
    <mdx n="508" f="v">
      <t c="3" si="4">
        <n x="509"/>
        <n x="396"/>
        <n x="496"/>
      </t>
    </mdx>
    <mdx n="508" f="v">
      <t c="3" si="4">
        <n x="509"/>
        <n x="7"/>
        <n x="496"/>
      </t>
    </mdx>
    <mdx n="508" f="v">
      <t c="3" si="4">
        <n x="509"/>
        <n x="177"/>
        <n x="496"/>
      </t>
    </mdx>
    <mdx n="508" f="v">
      <t c="3" si="4">
        <n x="509"/>
        <n x="407"/>
        <n x="497"/>
      </t>
    </mdx>
    <mdx n="508" f="v">
      <t c="3" si="4">
        <n x="509"/>
        <n x="123"/>
        <n x="497"/>
      </t>
    </mdx>
    <mdx n="508" f="v">
      <t c="3" si="4">
        <n x="509"/>
        <n x="168"/>
        <n x="499"/>
      </t>
    </mdx>
    <mdx n="508" f="v">
      <t c="3" si="4">
        <n x="509"/>
        <n x="437"/>
        <n x="496"/>
      </t>
    </mdx>
    <mdx n="508" f="v">
      <t c="3" si="4">
        <n x="509"/>
        <n x="267"/>
        <n x="496"/>
      </t>
    </mdx>
    <mdx n="508" f="v">
      <t c="3" si="4">
        <n x="509"/>
        <n x="70"/>
        <n x="496"/>
      </t>
    </mdx>
    <mdx n="508" f="v">
      <t c="3" si="4">
        <n x="509"/>
        <n x="225"/>
        <n x="496"/>
      </t>
    </mdx>
    <mdx n="508" f="v">
      <t c="3" si="4">
        <n x="509"/>
        <n x="113"/>
        <n x="496"/>
      </t>
    </mdx>
    <mdx n="508" f="v">
      <t c="3" si="4">
        <n x="509"/>
        <n x="215"/>
        <n x="496"/>
      </t>
    </mdx>
    <mdx n="508" f="v">
      <t c="3" si="4">
        <n x="509"/>
        <n x="31"/>
        <n x="496"/>
      </t>
    </mdx>
    <mdx n="508" f="v">
      <t c="3" si="4">
        <n x="509"/>
        <n x="58"/>
        <n x="497"/>
      </t>
    </mdx>
    <mdx n="508" f="v">
      <t c="3" si="4">
        <n x="509"/>
        <n x="133"/>
        <n x="497"/>
      </t>
    </mdx>
    <mdx n="508" f="v">
      <t c="3" si="4">
        <n x="509"/>
        <n x="391"/>
        <n x="497"/>
      </t>
    </mdx>
    <mdx n="508" f="v">
      <t c="3" si="4">
        <n x="509"/>
        <n x="156"/>
        <n x="497"/>
      </t>
    </mdx>
    <mdx n="508" f="v">
      <t c="3" si="4">
        <n x="509"/>
        <n x="237"/>
        <n x="497"/>
      </t>
    </mdx>
    <mdx n="508" f="v">
      <t c="3" si="4">
        <n x="509"/>
        <n x="6"/>
        <n x="497"/>
      </t>
    </mdx>
    <mdx n="508" f="v">
      <t c="3" si="4">
        <n x="509"/>
        <n x="444"/>
        <n x="497"/>
      </t>
    </mdx>
    <mdx n="508" f="v">
      <t c="3" si="4">
        <n x="509"/>
        <n x="201"/>
        <n x="498"/>
      </t>
    </mdx>
    <mdx n="508" f="v">
      <t c="3" si="4">
        <n x="509"/>
        <n x="222"/>
        <n x="498"/>
      </t>
    </mdx>
    <mdx n="508" f="v">
      <t c="3" si="4">
        <n x="509"/>
        <n x="233"/>
        <n x="498"/>
      </t>
    </mdx>
    <mdx n="508" f="v">
      <t c="3" si="4">
        <n x="509"/>
        <n x="206"/>
        <n x="498"/>
      </t>
    </mdx>
    <mdx n="508" f="v">
      <t c="3" si="4">
        <n x="509"/>
        <n x="78"/>
        <n x="498"/>
      </t>
    </mdx>
    <mdx n="508" f="v">
      <t c="3" si="4">
        <n x="509"/>
        <n x="424"/>
        <n x="498"/>
      </t>
    </mdx>
    <mdx n="508" f="v">
      <t c="3" si="4">
        <n x="509"/>
        <n x="318"/>
        <n x="499"/>
      </t>
    </mdx>
    <mdx n="508" f="v">
      <t c="3" si="4">
        <n x="509"/>
        <n x="433"/>
        <n x="499"/>
      </t>
    </mdx>
    <mdx n="508" f="v">
      <t c="3" si="4">
        <n x="509"/>
        <n x="186"/>
        <n x="496"/>
      </t>
    </mdx>
    <mdx n="508" f="v">
      <t c="3" si="4">
        <n x="509"/>
        <n x="157"/>
        <n x="496"/>
      </t>
    </mdx>
    <mdx n="508" f="v">
      <t c="3" si="4">
        <n x="509"/>
        <n x="85"/>
        <n x="496"/>
      </t>
    </mdx>
    <mdx n="508" f="v">
      <t c="3" si="4">
        <n x="509"/>
        <n x="426"/>
        <n x="496"/>
      </t>
    </mdx>
    <mdx n="508" f="v">
      <t c="3" si="4">
        <n x="509"/>
        <n x="121"/>
        <n x="496"/>
      </t>
    </mdx>
    <mdx n="508" f="v">
      <t c="3" si="4">
        <n x="509"/>
        <n x="158"/>
        <n x="497"/>
      </t>
    </mdx>
    <mdx n="508" f="v">
      <t c="3" si="4">
        <n x="509"/>
        <n x="119"/>
        <n x="497"/>
      </t>
    </mdx>
    <mdx n="508" f="v">
      <t c="3" si="4">
        <n x="509"/>
        <n x="93"/>
        <n x="497"/>
      </t>
    </mdx>
    <mdx n="508" f="v">
      <t c="3" si="4">
        <n x="509"/>
        <n x="29"/>
        <n x="497"/>
      </t>
    </mdx>
    <mdx n="508" f="v">
      <t c="3" si="4">
        <n x="509"/>
        <n x="218"/>
        <n x="497"/>
      </t>
    </mdx>
    <mdx n="508" f="v">
      <t c="3" si="4">
        <n x="509"/>
        <n x="57"/>
        <n x="497"/>
      </t>
    </mdx>
    <mdx n="508" f="v">
      <t c="3" si="4">
        <n x="509"/>
        <n x="35"/>
        <n x="497"/>
      </t>
    </mdx>
    <mdx n="508" f="v">
      <t c="3" si="4">
        <n x="509"/>
        <n x="435"/>
        <n x="498"/>
      </t>
    </mdx>
    <mdx n="508" f="v">
      <t c="3" si="4">
        <n x="509"/>
        <n x="305"/>
        <n x="498"/>
      </t>
    </mdx>
    <mdx n="508" f="v">
      <t c="3" si="4">
        <n x="509"/>
        <n x="93"/>
        <n x="498"/>
      </t>
    </mdx>
    <mdx n="508" f="v">
      <t c="3" si="4">
        <n x="509"/>
        <n x="125"/>
        <n x="498"/>
      </t>
    </mdx>
    <mdx n="508" f="v">
      <t c="3" si="4">
        <n x="509"/>
        <n x="248"/>
        <n x="498"/>
      </t>
    </mdx>
    <mdx n="508" f="v">
      <t c="3" si="4">
        <n x="509"/>
        <n x="117"/>
        <n x="498"/>
      </t>
    </mdx>
    <mdx n="508" f="v">
      <t c="3" si="4">
        <n x="509"/>
        <n x="234"/>
        <n x="499"/>
      </t>
    </mdx>
    <mdx n="508" f="v">
      <t c="3" si="4">
        <n x="509"/>
        <n x="28"/>
        <n x="499"/>
      </t>
    </mdx>
    <mdx n="508" f="v">
      <t c="3" si="4">
        <n x="509"/>
        <n x="41"/>
        <n x="497"/>
      </t>
    </mdx>
    <mdx n="508" f="v">
      <t c="3" si="4">
        <n x="509"/>
        <n x="230"/>
        <n x="497"/>
      </t>
    </mdx>
    <mdx n="508" f="v">
      <t c="3" si="4">
        <n x="509"/>
        <n x="64"/>
        <n x="497"/>
      </t>
    </mdx>
    <mdx n="508" f="v">
      <t c="3" si="4">
        <n x="509"/>
        <n x="51"/>
        <n x="497"/>
      </t>
    </mdx>
    <mdx n="508" f="v">
      <t c="3" si="4">
        <n x="509"/>
        <n x="287"/>
        <n x="498"/>
      </t>
    </mdx>
    <mdx n="508" f="v">
      <t c="3" si="4">
        <n x="509"/>
        <n x="318"/>
        <n x="498"/>
      </t>
    </mdx>
    <mdx n="508" f="v">
      <t c="3" si="4">
        <n x="509"/>
        <n x="394"/>
        <n x="498"/>
      </t>
    </mdx>
    <mdx n="508" f="v">
      <t c="3" si="4">
        <n x="509"/>
        <n x="281"/>
        <n x="498"/>
      </t>
    </mdx>
    <mdx n="508" f="v">
      <t c="3" si="4">
        <n x="509"/>
        <n x="61"/>
        <n x="498"/>
      </t>
    </mdx>
    <mdx n="508" f="v">
      <t c="3" si="4">
        <n x="509"/>
        <n x="344"/>
        <n x="498"/>
      </t>
    </mdx>
    <mdx n="508" f="v">
      <t c="3" si="4">
        <n x="509"/>
        <n x="309"/>
        <n x="499"/>
      </t>
    </mdx>
    <mdx n="508" f="v">
      <t c="3" si="4">
        <n x="509"/>
        <n x="115"/>
        <n x="499"/>
      </t>
    </mdx>
    <mdx n="508" f="v">
      <t c="3" si="4">
        <n x="509"/>
        <n x="436"/>
        <n x="496"/>
      </t>
    </mdx>
    <mdx n="508" f="v">
      <t c="3" si="4">
        <n x="509"/>
        <n x="374"/>
        <n x="496"/>
      </t>
    </mdx>
    <mdx n="508" f="v">
      <t c="3" si="4">
        <n x="509"/>
        <n x="167"/>
        <n x="496"/>
      </t>
    </mdx>
    <mdx n="508" f="v">
      <t c="3" si="4">
        <n x="509"/>
        <n x="128"/>
        <n x="496"/>
      </t>
    </mdx>
    <mdx n="508" f="v">
      <t c="3" si="4">
        <n x="509"/>
        <n x="52"/>
        <n x="496"/>
      </t>
    </mdx>
    <mdx n="508" f="v">
      <t c="3" si="4">
        <n x="509"/>
        <n x="179"/>
        <n x="496"/>
      </t>
    </mdx>
    <mdx n="508" f="v">
      <t c="3" si="4">
        <n x="509"/>
        <n x="204"/>
        <n x="496"/>
      </t>
    </mdx>
    <mdx n="508" f="v">
      <t c="3" si="4">
        <n x="509"/>
        <n x="50"/>
        <n x="497"/>
      </t>
    </mdx>
    <mdx n="508" f="v">
      <t c="3" si="4">
        <n x="509"/>
        <n x="318"/>
        <n x="497"/>
      </t>
    </mdx>
    <mdx n="508" f="v">
      <t c="3" si="4">
        <n x="509"/>
        <n x="299"/>
        <n x="497"/>
      </t>
    </mdx>
    <mdx n="508" f="v">
      <t c="3" si="4">
        <n x="509"/>
        <n x="54"/>
        <n x="497"/>
      </t>
    </mdx>
    <mdx n="508" f="v">
      <t c="3" si="4">
        <n x="509"/>
        <n x="462"/>
        <n x="497"/>
      </t>
    </mdx>
    <mdx n="508" f="v">
      <t c="3" si="4">
        <n x="509"/>
        <n x="36"/>
        <n x="497"/>
      </t>
    </mdx>
    <mdx n="508" f="v">
      <t c="3" si="4">
        <n x="509"/>
        <n x="223"/>
        <n x="497"/>
      </t>
    </mdx>
    <mdx n="508" f="v">
      <t c="3" si="4">
        <n x="509"/>
        <n x="307"/>
        <n x="497"/>
      </t>
    </mdx>
    <mdx n="508" f="v">
      <t c="3" si="4">
        <n x="509"/>
        <n x="437"/>
        <n x="498"/>
      </t>
    </mdx>
    <mdx n="508" f="v">
      <t c="3" si="4">
        <n x="509"/>
        <n x="119"/>
        <n x="498"/>
      </t>
    </mdx>
    <mdx n="508" f="v">
      <t c="3" si="4">
        <n x="509"/>
        <n x="178"/>
        <n x="498"/>
      </t>
    </mdx>
    <mdx n="508" f="v">
      <t c="3" si="4">
        <n x="509"/>
        <n x="438"/>
        <n x="498"/>
      </t>
    </mdx>
    <mdx n="508" f="v">
      <t c="3" si="4">
        <n x="509"/>
        <n x="404"/>
        <n x="498"/>
      </t>
    </mdx>
    <mdx n="508" f="v">
      <t c="3" si="4">
        <n x="509"/>
        <n x="372"/>
        <n x="499"/>
      </t>
    </mdx>
    <mdx n="508" f="v">
      <t c="3" si="4">
        <n x="509"/>
        <n x="381"/>
        <n x="499"/>
      </t>
    </mdx>
    <mdx n="508" f="v">
      <t c="3" si="4">
        <n x="509"/>
        <n x="289"/>
        <n x="500"/>
      </t>
    </mdx>
    <mdx n="508" f="v">
      <t c="3" si="4">
        <n x="509"/>
        <n x="357"/>
        <n x="497"/>
      </t>
    </mdx>
    <mdx n="508" f="v">
      <t c="3" si="4">
        <n x="509"/>
        <n x="211"/>
        <n x="497"/>
      </t>
    </mdx>
    <mdx n="508" f="v">
      <t c="3" si="4">
        <n x="509"/>
        <n x="431"/>
        <n x="497"/>
      </t>
    </mdx>
    <mdx n="508" f="v">
      <t c="3" si="4">
        <n x="509"/>
        <n x="70"/>
        <n x="497"/>
      </t>
    </mdx>
    <mdx n="508" f="v">
      <t c="3" si="4">
        <n x="509"/>
        <n x="433"/>
        <n x="497"/>
      </t>
    </mdx>
    <mdx n="508" f="v">
      <t c="3" si="4">
        <n x="509"/>
        <n x="329"/>
        <n x="497"/>
      </t>
    </mdx>
    <mdx n="508" f="v">
      <t c="3" si="4">
        <n x="509"/>
        <n x="81"/>
        <n x="497"/>
      </t>
    </mdx>
    <mdx n="508" f="v">
      <t c="3" si="4">
        <n x="509"/>
        <n x="173"/>
        <n x="498"/>
      </t>
    </mdx>
    <mdx n="508" f="v">
      <t c="3" si="4">
        <n x="509"/>
        <n x="263"/>
        <n x="498"/>
      </t>
    </mdx>
    <mdx n="508" f="v">
      <t c="3" si="4">
        <n x="509"/>
        <n x="8"/>
        <n x="498"/>
      </t>
    </mdx>
    <mdx n="508" f="v">
      <t c="3" si="4">
        <n x="509"/>
        <n x="406"/>
        <n x="498"/>
      </t>
    </mdx>
    <mdx n="508" f="v">
      <t c="3" si="4">
        <n x="509"/>
        <n x="341"/>
        <n x="498"/>
      </t>
    </mdx>
    <mdx n="508" f="v">
      <t c="3" si="4">
        <n x="509"/>
        <n x="76"/>
        <n x="498"/>
      </t>
    </mdx>
    <mdx n="508" f="v">
      <t c="3" si="4">
        <n x="509"/>
        <n x="270"/>
        <n x="499"/>
      </t>
    </mdx>
    <mdx n="508" f="v">
      <t c="3" si="4">
        <n x="509"/>
        <n x="155"/>
        <n x="499"/>
      </t>
    </mdx>
    <mdx n="508" f="v">
      <t c="3" si="4">
        <n x="509"/>
        <n x="256"/>
        <n x="501"/>
      </t>
    </mdx>
    <mdx n="508" f="v">
      <t c="3" si="4">
        <n x="509"/>
        <n x="377"/>
        <n x="497"/>
      </t>
    </mdx>
    <mdx n="508" f="v">
      <t c="3" si="4">
        <n x="509"/>
        <n x="367"/>
        <n x="497"/>
      </t>
    </mdx>
    <mdx n="508" f="v">
      <t c="3" si="4">
        <n x="509"/>
        <n x="46"/>
        <n x="497"/>
      </t>
    </mdx>
    <mdx n="508" f="v">
      <t c="3" si="4">
        <n x="509"/>
        <n x="276"/>
        <n x="497"/>
      </t>
    </mdx>
    <mdx n="508" f="v">
      <t c="3" si="4">
        <n x="509"/>
        <n x="340"/>
        <n x="497"/>
      </t>
    </mdx>
    <mdx n="508" f="v">
      <t c="3" si="4">
        <n x="509"/>
        <n x="319"/>
        <n x="497"/>
      </t>
    </mdx>
    <mdx n="508" f="v">
      <t c="3" si="4">
        <n x="509"/>
        <n x="302"/>
        <n x="497"/>
      </t>
    </mdx>
    <mdx n="508" f="v">
      <t c="3" si="4">
        <n x="509"/>
        <n x="171"/>
        <n x="498"/>
      </t>
    </mdx>
    <mdx n="508" f="v">
      <t c="3" si="4">
        <n x="509"/>
        <n x="386"/>
        <n x="498"/>
      </t>
    </mdx>
    <mdx n="508" f="v">
      <t c="3" si="4">
        <n x="509"/>
        <n x="349"/>
        <n x="498"/>
      </t>
    </mdx>
    <mdx n="508" f="v">
      <t c="3" si="4">
        <n x="509"/>
        <n x="429"/>
        <n x="498"/>
      </t>
    </mdx>
    <mdx n="508" f="v">
      <t c="3" si="4">
        <n x="509"/>
        <n x="388"/>
        <n x="498"/>
      </t>
    </mdx>
    <mdx n="508" f="v">
      <t c="3" si="4">
        <n x="509"/>
        <n x="459"/>
        <n x="499"/>
      </t>
    </mdx>
    <mdx n="508" f="v">
      <t c="3" si="4">
        <n x="509"/>
        <n x="87"/>
        <n x="499"/>
      </t>
    </mdx>
    <mdx n="508" f="v">
      <t c="3" si="4">
        <n x="509"/>
        <n x="444"/>
        <n x="500"/>
      </t>
    </mdx>
    <mdx n="508" f="v">
      <t c="3" si="4">
        <n x="509"/>
        <n x="272"/>
        <n x="497"/>
      </t>
    </mdx>
    <mdx n="508" f="v">
      <t c="3" si="4">
        <n x="509"/>
        <n x="135"/>
        <n x="497"/>
      </t>
    </mdx>
    <mdx n="508" f="v">
      <t c="3" si="4">
        <n x="509"/>
        <n x="229"/>
        <n x="497"/>
      </t>
    </mdx>
    <mdx n="508" f="v">
      <t c="3" si="4">
        <n x="509"/>
        <n x="459"/>
        <n x="498"/>
      </t>
    </mdx>
    <mdx n="508" f="v">
      <t c="3" si="4">
        <n x="509"/>
        <n x="257"/>
        <n x="498"/>
      </t>
    </mdx>
    <mdx n="508" f="v">
      <t c="3" si="4">
        <n x="509"/>
        <n x="166"/>
        <n x="498"/>
      </t>
    </mdx>
    <mdx n="508" f="v">
      <t c="3" si="4">
        <n x="509"/>
        <n x="211"/>
        <n x="498"/>
      </t>
    </mdx>
    <mdx n="508" f="v">
      <t c="3" si="4">
        <n x="509"/>
        <n x="82"/>
        <n x="498"/>
      </t>
    </mdx>
    <mdx n="508" f="v">
      <t c="3" si="4">
        <n x="509"/>
        <n x="161"/>
        <n x="499"/>
      </t>
    </mdx>
    <mdx n="508" f="v">
      <t c="3" si="4">
        <n x="509"/>
        <n x="69"/>
        <n x="499"/>
      </t>
    </mdx>
    <mdx n="508" f="v">
      <t c="3" si="4">
        <n x="509"/>
        <n x="242"/>
        <n x="500"/>
      </t>
    </mdx>
    <mdx n="508" f="v">
      <t c="3" si="4">
        <n x="509"/>
        <n x="251"/>
        <n x="499"/>
      </t>
    </mdx>
    <mdx n="508" f="v">
      <t c="3" si="4">
        <n x="509"/>
        <n x="329"/>
        <n x="499"/>
      </t>
    </mdx>
    <mdx n="508" f="v">
      <t c="3" si="4">
        <n x="509"/>
        <n x="337"/>
        <n x="500"/>
      </t>
    </mdx>
    <mdx n="508" f="v">
      <t c="3" si="4">
        <n x="509"/>
        <n x="207"/>
        <n x="500"/>
      </t>
    </mdx>
    <mdx n="508" f="v">
      <t c="3" si="4">
        <n x="509"/>
        <n x="373"/>
        <n x="500"/>
      </t>
    </mdx>
    <mdx n="508" f="v">
      <t c="3" si="4">
        <n x="509"/>
        <n x="377"/>
        <n x="501"/>
      </t>
    </mdx>
    <mdx n="508" f="v">
      <t c="3" si="4">
        <n x="509"/>
        <n x="451"/>
        <n x="501"/>
      </t>
    </mdx>
    <mdx n="508" f="v">
      <t c="3" si="4">
        <n x="509"/>
        <n x="323"/>
        <n x="498"/>
      </t>
    </mdx>
    <mdx n="508" f="v">
      <t c="3" si="4">
        <n x="509"/>
        <n x="224"/>
        <n x="498"/>
      </t>
    </mdx>
    <mdx n="508" f="v">
      <t c="3" si="4">
        <n x="509"/>
        <n x="175"/>
        <n x="498"/>
      </t>
    </mdx>
    <mdx n="508" f="v">
      <t c="3" si="4">
        <n x="509"/>
        <n x="383"/>
        <n x="498"/>
      </t>
    </mdx>
    <mdx n="508" f="v">
      <t c="3" si="4">
        <n x="509"/>
        <n x="247"/>
        <n x="498"/>
      </t>
    </mdx>
    <mdx n="508" f="v">
      <t c="3" si="4">
        <n x="509"/>
        <n x="142"/>
        <n x="499"/>
      </t>
    </mdx>
    <mdx n="508" f="v">
      <t c="3" si="4">
        <n x="509"/>
        <n x="267"/>
        <n x="499"/>
      </t>
    </mdx>
    <mdx n="508" f="v">
      <t c="3" si="4">
        <n x="509"/>
        <n x="75"/>
        <n x="499"/>
      </t>
    </mdx>
    <mdx n="508" f="v">
      <t c="3" si="4">
        <n x="509"/>
        <n x="238"/>
        <n x="499"/>
      </t>
    </mdx>
    <mdx n="508" f="v">
      <t c="3" si="4">
        <n x="509"/>
        <n x="106"/>
        <n x="499"/>
      </t>
    </mdx>
    <mdx n="508" f="v">
      <t c="3" si="4">
        <n x="509"/>
        <n x="201"/>
        <n x="499"/>
      </t>
    </mdx>
    <mdx n="508" f="v">
      <t c="3" si="4">
        <n x="509"/>
        <n x="437"/>
        <n x="500"/>
      </t>
    </mdx>
    <mdx n="508" f="v">
      <t c="3" si="4">
        <n x="509"/>
        <n x="339"/>
        <n x="500"/>
      </t>
    </mdx>
    <mdx n="508" f="v">
      <t c="3" si="4">
        <n x="509"/>
        <n x="392"/>
        <n x="500"/>
      </t>
    </mdx>
    <mdx n="508" f="v">
      <t c="3" si="4">
        <n x="509"/>
        <n x="312"/>
        <n x="501"/>
      </t>
    </mdx>
    <mdx n="508" f="v">
      <t c="3" si="4">
        <n x="509"/>
        <n x="159"/>
        <n x="502"/>
      </t>
    </mdx>
    <mdx n="508" f="v">
      <t c="3" si="4">
        <n x="509"/>
        <n x="220"/>
        <n x="498"/>
      </t>
    </mdx>
    <mdx n="508" f="v">
      <t c="3" si="4">
        <n x="509"/>
        <n x="322"/>
        <n x="498"/>
      </t>
    </mdx>
    <mdx n="508" f="v">
      <t c="3" si="4">
        <n x="509"/>
        <n x="433"/>
        <n x="498"/>
      </t>
    </mdx>
    <mdx n="508" f="v">
      <t c="3" si="4">
        <n x="509"/>
        <n x="108"/>
        <n x="498"/>
      </t>
    </mdx>
    <mdx n="508" f="v">
      <t c="3" si="4">
        <n x="509"/>
        <n x="328"/>
        <n x="498"/>
      </t>
    </mdx>
    <mdx n="508" f="v">
      <t c="3" si="4">
        <n x="509"/>
        <n x="247"/>
        <n x="499"/>
      </t>
    </mdx>
    <mdx n="508" f="v">
      <t c="3" si="4">
        <n x="509"/>
        <n x="418"/>
        <n x="499"/>
      </t>
    </mdx>
    <mdx n="508" f="v">
      <t c="3" si="4">
        <n x="509"/>
        <n x="207"/>
        <n x="499"/>
      </t>
    </mdx>
    <mdx n="508" f="v">
      <t c="3" si="4">
        <n x="509"/>
        <n x="120"/>
        <n x="499"/>
      </t>
    </mdx>
    <mdx n="508" f="v">
      <t c="3" si="4">
        <n x="509"/>
        <n x="218"/>
        <n x="499"/>
      </t>
    </mdx>
    <mdx n="508" f="v">
      <t c="3" si="4">
        <n x="509"/>
        <n x="68"/>
        <n x="499"/>
      </t>
    </mdx>
    <mdx n="508" f="v">
      <t c="3" si="4">
        <n x="509"/>
        <n x="168"/>
        <n x="500"/>
      </t>
    </mdx>
    <mdx n="508" f="v">
      <t c="3" si="4">
        <n x="509"/>
        <n x="233"/>
        <n x="500"/>
      </t>
    </mdx>
    <mdx n="508" f="v">
      <t c="3" si="4">
        <n x="509"/>
        <n x="389"/>
        <n x="500"/>
      </t>
    </mdx>
    <mdx n="508" f="v">
      <t c="3" si="4">
        <n x="509"/>
        <n x="94"/>
        <n x="501"/>
      </t>
    </mdx>
    <mdx n="508" f="v">
      <t c="3" si="4">
        <n x="509"/>
        <n x="403"/>
        <n x="502"/>
      </t>
    </mdx>
    <mdx n="508" f="v">
      <t c="3" si="4">
        <n x="509"/>
        <n x="132"/>
        <n x="499"/>
      </t>
    </mdx>
    <mdx n="508" f="v">
      <t c="3" si="4">
        <n x="509"/>
        <n x="225"/>
        <n x="499"/>
      </t>
    </mdx>
    <mdx n="508" f="v">
      <t c="3" si="4">
        <n x="509"/>
        <n x="26"/>
        <n x="499"/>
      </t>
    </mdx>
    <mdx n="508" f="v">
      <t c="3" si="4">
        <n x="509"/>
        <n x="114"/>
        <n x="499"/>
      </t>
    </mdx>
    <mdx n="508" f="v">
      <t c="3" si="4">
        <n x="509"/>
        <n x="257"/>
        <n x="500"/>
      </t>
    </mdx>
    <mdx n="508" f="v">
      <t c="3" si="4">
        <n x="509"/>
        <n x="410"/>
        <n x="500"/>
      </t>
    </mdx>
    <mdx n="508" f="v">
      <t c="3" si="4">
        <n x="509"/>
        <n x="397"/>
        <n x="500"/>
      </t>
    </mdx>
    <mdx n="508" f="v">
      <t c="3" si="4">
        <n x="509"/>
        <n x="369"/>
        <n x="501"/>
      </t>
    </mdx>
    <mdx n="508" f="v">
      <t c="3" si="4">
        <n x="509"/>
        <n x="72"/>
        <n x="503"/>
      </t>
    </mdx>
    <mdx n="508" f="v">
      <t c="3" si="4">
        <n x="509"/>
        <n x="25"/>
        <n x="499"/>
      </t>
    </mdx>
    <mdx n="508" f="v">
      <t c="3" si="4">
        <n x="509"/>
        <n x="178"/>
        <n x="499"/>
      </t>
    </mdx>
    <mdx n="508" f="v">
      <t c="3" si="4">
        <n x="509"/>
        <n x="180"/>
        <n x="499"/>
      </t>
    </mdx>
    <mdx n="508" f="v">
      <t c="3" si="4">
        <n x="509"/>
        <n x="104"/>
        <n x="499"/>
      </t>
    </mdx>
    <mdx n="508" f="v">
      <t c="3" si="4">
        <n x="509"/>
        <n x="260"/>
        <n x="500"/>
      </t>
    </mdx>
    <mdx n="508" f="v">
      <t c="3" si="4">
        <n x="509"/>
        <n x="151"/>
        <n x="500"/>
      </t>
    </mdx>
    <mdx n="508" f="v">
      <t c="3" si="4">
        <n x="509"/>
        <n x="427"/>
        <n x="500"/>
      </t>
    </mdx>
    <mdx n="508" f="v">
      <t c="3" si="4">
        <n x="509"/>
        <n x="372"/>
        <n x="501"/>
      </t>
    </mdx>
    <mdx n="508" f="v">
      <t c="3" si="4">
        <n x="509"/>
        <n x="97"/>
        <n x="501"/>
      </t>
    </mdx>
    <mdx n="508" f="v">
      <t c="3" si="4">
        <n x="509"/>
        <n x="266"/>
        <n x="498"/>
      </t>
    </mdx>
    <mdx n="508" f="v">
      <t c="3" si="4">
        <n x="509"/>
        <n x="81"/>
        <n x="498"/>
      </t>
    </mdx>
    <mdx n="508" f="v">
      <t c="3" si="4">
        <n x="509"/>
        <n x="445"/>
        <n x="499"/>
      </t>
    </mdx>
    <mdx n="508" f="v">
      <t c="3" si="4">
        <n x="509"/>
        <n x="22"/>
        <n x="499"/>
      </t>
    </mdx>
    <mdx n="508" f="v">
      <t c="3" si="4">
        <n x="509"/>
        <n x="129"/>
        <n x="499"/>
      </t>
    </mdx>
    <mdx n="508" f="v">
      <t c="3" si="4">
        <n x="509"/>
        <n x="49"/>
        <n x="499"/>
      </t>
    </mdx>
    <mdx n="508" f="v">
      <t c="3" si="4">
        <n x="509"/>
        <n x="356"/>
        <n x="499"/>
      </t>
    </mdx>
    <mdx n="508" f="v">
      <t c="3" si="4">
        <n x="509"/>
        <n x="13"/>
        <n x="499"/>
      </t>
    </mdx>
    <mdx n="508" f="v">
      <t c="3" si="4">
        <n x="509"/>
        <n x="404"/>
        <n x="500"/>
      </t>
    </mdx>
    <mdx n="508" f="v">
      <t c="3" si="4">
        <n x="509"/>
        <n x="448"/>
        <n x="500"/>
      </t>
    </mdx>
    <mdx n="508" f="v">
      <t c="3" si="4">
        <n x="509"/>
        <n x="154"/>
        <n x="500"/>
      </t>
    </mdx>
    <mdx n="508" f="v">
      <t c="3" si="4">
        <n x="509"/>
        <n x="364"/>
        <n x="501"/>
      </t>
    </mdx>
    <mdx n="508" f="v">
      <t c="3" si="4">
        <n x="509"/>
        <n x="153"/>
        <n x="501"/>
      </t>
    </mdx>
    <mdx n="508" f="v">
      <t c="3" si="4">
        <n x="509"/>
        <n x="355"/>
        <n x="499"/>
      </t>
    </mdx>
    <mdx n="508" f="v">
      <t c="3" si="4">
        <n x="509"/>
        <n x="384"/>
        <n x="499"/>
      </t>
    </mdx>
    <mdx n="508" f="v">
      <t c="3" si="4">
        <n x="509"/>
        <n x="373"/>
        <n x="499"/>
      </t>
    </mdx>
    <mdx n="508" f="v">
      <t c="3" si="4">
        <n x="509"/>
        <n x="188"/>
        <n x="499"/>
      </t>
    </mdx>
    <mdx n="508" f="v">
      <t c="3" si="4">
        <n x="509"/>
        <n x="145"/>
        <n x="500"/>
      </t>
    </mdx>
    <mdx n="508" f="v">
      <t c="3" si="4">
        <n x="509"/>
        <n x="192"/>
        <n x="500"/>
      </t>
    </mdx>
    <mdx n="508" f="v">
      <t c="3" si="4">
        <n x="509"/>
        <n x="216"/>
        <n x="500"/>
      </t>
    </mdx>
    <mdx n="508" f="v">
      <t c="3" si="4">
        <n x="509"/>
        <n x="54"/>
        <n x="501"/>
      </t>
    </mdx>
    <mdx n="508" f="v">
      <t c="3" si="4">
        <n x="509"/>
        <n x="222"/>
        <n x="502"/>
      </t>
    </mdx>
    <mdx n="508" f="v">
      <t c="3" si="4">
        <n x="509"/>
        <n x="163"/>
        <n x="500"/>
      </t>
    </mdx>
    <mdx n="508" f="v">
      <t c="3" si="4">
        <n x="509"/>
        <n x="57"/>
        <n x="501"/>
      </t>
    </mdx>
    <mdx n="508" f="v">
      <t c="3" si="4">
        <n x="509"/>
        <n x="134"/>
        <n x="501"/>
      </t>
    </mdx>
    <mdx n="508" f="v">
      <t c="3" si="4">
        <n x="509"/>
        <n x="285"/>
        <n x="501"/>
      </t>
    </mdx>
    <mdx n="508" f="v">
      <t c="3" si="4">
        <n x="509"/>
        <n x="174"/>
        <n x="501"/>
      </t>
    </mdx>
    <mdx n="508" f="v">
      <t c="3" si="4">
        <n x="509"/>
        <n x="66"/>
        <n x="501"/>
      </t>
    </mdx>
    <mdx n="508" f="v">
      <t c="3" si="4">
        <n x="509"/>
        <n x="395"/>
        <n x="501"/>
      </t>
    </mdx>
    <mdx n="508" f="v">
      <t c="3" si="4">
        <n x="509"/>
        <n x="273"/>
        <n x="502"/>
      </t>
    </mdx>
    <mdx n="508" f="v">
      <t c="3" si="4">
        <n x="509"/>
        <n x="230"/>
        <n x="502"/>
      </t>
    </mdx>
    <mdx n="508" f="v">
      <t c="3" si="4">
        <n x="509"/>
        <n x="184"/>
        <n x="504"/>
      </t>
    </mdx>
    <mdx n="508" f="v">
      <t c="3" si="4">
        <n x="509"/>
        <n x="71"/>
        <n x="499"/>
      </t>
    </mdx>
    <mdx n="508" f="v">
      <t c="3" si="4">
        <n x="509"/>
        <n x="248"/>
        <n x="499"/>
      </t>
    </mdx>
    <mdx n="508" f="v">
      <t c="3" si="4">
        <n x="509"/>
        <n x="61"/>
        <n x="499"/>
      </t>
    </mdx>
    <mdx n="508" f="v">
      <t c="3" si="4">
        <n x="509"/>
        <n x="107"/>
        <n x="499"/>
      </t>
    </mdx>
    <mdx n="508" f="v">
      <t c="3" si="4">
        <n x="509"/>
        <n x="450"/>
        <n x="500"/>
      </t>
    </mdx>
    <mdx n="508" f="v">
      <t c="3" si="4">
        <n x="509"/>
        <n x="139"/>
        <n x="500"/>
      </t>
    </mdx>
    <mdx n="508" f="v">
      <t c="3" si="4">
        <n x="509"/>
        <n x="454"/>
        <n x="500"/>
      </t>
    </mdx>
    <mdx n="508" f="v">
      <t c="3" si="4">
        <n x="509"/>
        <n x="361"/>
        <n x="500"/>
      </t>
    </mdx>
    <mdx n="508" f="v">
      <t c="3" si="4">
        <n x="509"/>
        <n x="334"/>
        <n x="500"/>
      </t>
    </mdx>
    <mdx n="508" f="v">
      <t c="3" si="4">
        <n x="509"/>
        <n x="173"/>
        <n x="500"/>
      </t>
    </mdx>
    <mdx n="508" f="v">
      <t c="3" si="4">
        <n x="509"/>
        <n x="249"/>
        <n x="500"/>
      </t>
    </mdx>
    <mdx n="508" f="v">
      <t c="3" si="4">
        <n x="509"/>
        <n x="152"/>
        <n x="501"/>
      </t>
    </mdx>
    <mdx n="508" f="v">
      <t c="3" si="4">
        <n x="509"/>
        <n x="193"/>
        <n x="501"/>
      </t>
    </mdx>
    <mdx n="508" f="v">
      <t c="3" si="4">
        <n x="509"/>
        <n x="306"/>
        <n x="501"/>
      </t>
    </mdx>
    <mdx n="508" f="v">
      <t c="3" si="4">
        <n x="509"/>
        <n x="98"/>
        <n x="501"/>
      </t>
    </mdx>
    <mdx n="508" f="v">
      <t c="3" si="4">
        <n x="509"/>
        <n x="18"/>
        <n x="501"/>
      </t>
    </mdx>
    <mdx n="508" f="v">
      <t c="3" si="4">
        <n x="509"/>
        <n x="239"/>
        <n x="501"/>
      </t>
    </mdx>
    <mdx n="508" f="v">
      <t c="3" si="4">
        <n x="509"/>
        <n x="418"/>
        <n x="502"/>
      </t>
    </mdx>
    <mdx n="508" f="v">
      <t c="3" si="4">
        <n x="509"/>
        <n x="348"/>
        <n x="503"/>
      </t>
    </mdx>
    <mdx n="508" f="v">
      <t c="3" si="4">
        <n x="509"/>
        <n x="447"/>
        <n x="499"/>
      </t>
    </mdx>
    <mdx n="508" f="v">
      <t c="3" si="4">
        <n x="509"/>
        <n x="96"/>
        <n x="499"/>
      </t>
    </mdx>
    <mdx n="508" f="v">
      <t c="3" si="4">
        <n x="509"/>
        <n x="205"/>
        <n x="499"/>
      </t>
    </mdx>
    <mdx n="508" f="v">
      <t c="3" si="4">
        <n x="509"/>
        <n x="80"/>
        <n x="499"/>
      </t>
    </mdx>
    <mdx n="508" f="v">
      <t c="3" si="4">
        <n x="509"/>
        <n x="270"/>
        <n x="500"/>
      </t>
    </mdx>
    <mdx n="508" f="v">
      <t c="3" si="4">
        <n x="509"/>
        <n x="23"/>
        <n x="500"/>
      </t>
    </mdx>
    <mdx n="508" f="v">
      <t c="3" si="4">
        <n x="509"/>
        <n x="143"/>
        <n x="500"/>
      </t>
    </mdx>
    <mdx n="508" f="v">
      <t c="3" si="4">
        <n x="509"/>
        <n x="231"/>
        <n x="500"/>
      </t>
    </mdx>
    <mdx n="508" f="v">
      <t c="3" si="4">
        <n x="509"/>
        <n x="393"/>
        <n x="500"/>
      </t>
    </mdx>
    <mdx n="508" f="v">
      <t c="3" si="4">
        <n x="509"/>
        <n x="430"/>
        <n x="500"/>
      </t>
    </mdx>
    <mdx n="508" f="v">
      <t c="3" si="4">
        <n x="509"/>
        <n x="117"/>
        <n x="500"/>
      </t>
    </mdx>
    <mdx n="508" f="v">
      <t c="3" si="4">
        <n x="509"/>
        <n x="459"/>
        <n x="501"/>
      </t>
    </mdx>
    <mdx n="508" f="v">
      <t c="3" si="4">
        <n x="509"/>
        <n x="252"/>
        <n x="501"/>
      </t>
    </mdx>
    <mdx n="508" f="v">
      <t c="3" si="4">
        <n x="509"/>
        <n x="418"/>
        <n x="501"/>
      </t>
    </mdx>
    <mdx n="508" f="v">
      <t c="3" si="4">
        <n x="509"/>
        <n x="146"/>
        <n x="501"/>
      </t>
    </mdx>
    <mdx n="508" f="v">
      <t c="3" si="4">
        <n x="509"/>
        <n x="85"/>
        <n x="501"/>
      </t>
    </mdx>
    <mdx n="508" f="v">
      <t c="3" si="4">
        <n x="509"/>
        <n x="80"/>
        <n x="501"/>
      </t>
    </mdx>
    <mdx n="508" f="v">
      <t c="3" si="4">
        <n x="509"/>
        <n x="165"/>
        <n x="502"/>
      </t>
    </mdx>
    <mdx n="508" f="v">
      <t c="3" si="4">
        <n x="509"/>
        <n x="14"/>
        <n x="503"/>
      </t>
    </mdx>
    <mdx n="508" f="v">
      <t c="3" si="4">
        <n x="509"/>
        <n x="189"/>
        <n x="500"/>
      </t>
    </mdx>
    <mdx n="508" f="v">
      <t c="3" si="4">
        <n x="509"/>
        <n x="342"/>
        <n x="500"/>
      </t>
    </mdx>
    <mdx n="508" f="v">
      <t c="3" si="4">
        <n x="509"/>
        <n x="77"/>
        <n x="500"/>
      </t>
    </mdx>
    <mdx n="508" f="v">
      <t c="3" si="4">
        <n x="509"/>
        <n x="159"/>
        <n x="500"/>
      </t>
    </mdx>
    <mdx n="508" f="v">
      <t c="3" si="4">
        <n x="509"/>
        <n x="357"/>
        <n x="501"/>
      </t>
    </mdx>
    <mdx n="508" f="v">
      <t c="3" si="4">
        <n x="509"/>
        <n x="89"/>
        <n x="501"/>
      </t>
    </mdx>
    <mdx n="508" f="v">
      <t c="3" si="4">
        <n x="509"/>
        <n x="220"/>
        <n x="501"/>
      </t>
    </mdx>
    <mdx n="508" f="v">
      <t c="3" si="4">
        <n x="509"/>
        <n x="224"/>
        <n x="501"/>
      </t>
    </mdx>
    <mdx n="508" f="v">
      <t c="3" si="4">
        <n x="509"/>
        <n x="334"/>
        <n x="501"/>
      </t>
    </mdx>
    <mdx n="508" f="v">
      <t c="3" si="4">
        <n x="509"/>
        <n x="56"/>
        <n x="501"/>
      </t>
    </mdx>
    <mdx n="508" f="v">
      <t c="3" si="4">
        <n x="509"/>
        <n x="42"/>
        <n x="502"/>
      </t>
    </mdx>
    <mdx n="508" f="v">
      <t c="3" si="4">
        <n x="509"/>
        <n x="397"/>
        <n x="502"/>
      </t>
    </mdx>
    <mdx n="508" f="v">
      <t c="3" si="4">
        <n x="509"/>
        <n x="12"/>
        <n x="499"/>
      </t>
    </mdx>
    <mdx n="508" f="v">
      <t c="3" si="4">
        <n x="509"/>
        <n x="190"/>
        <n x="500"/>
      </t>
    </mdx>
    <mdx n="508" f="v">
      <t c="3" si="4">
        <n x="509"/>
        <n x="245"/>
        <n x="500"/>
      </t>
    </mdx>
    <mdx n="508" f="v">
      <t c="3" si="4">
        <n x="509"/>
        <n x="54"/>
        <n x="500"/>
      </t>
    </mdx>
    <mdx n="508" f="v">
      <t c="3" si="4">
        <n x="509"/>
        <n x="166"/>
        <n x="500"/>
      </t>
    </mdx>
    <mdx n="508" f="v">
      <t c="3" si="4">
        <n x="509"/>
        <n x="399"/>
        <n x="500"/>
      </t>
    </mdx>
    <mdx n="508" f="v">
      <t c="3" si="4">
        <n x="509"/>
        <n x="298"/>
        <n x="500"/>
      </t>
    </mdx>
    <mdx n="508" f="v">
      <t c="3" si="4">
        <n x="509"/>
        <n x="398"/>
        <n x="500"/>
      </t>
    </mdx>
    <mdx n="508" f="v">
      <t c="3" si="4">
        <n x="509"/>
        <n x="31"/>
        <n x="501"/>
      </t>
    </mdx>
    <mdx n="508" f="v">
      <t c="3" si="4">
        <n x="509"/>
        <n x="167"/>
        <n x="501"/>
      </t>
    </mdx>
    <mdx n="508" f="v">
      <t c="3" si="4">
        <n x="509"/>
        <n x="295"/>
        <n x="501"/>
      </t>
    </mdx>
    <mdx n="508" f="v">
      <t c="3" si="4">
        <n x="509"/>
        <n x="79"/>
        <n x="501"/>
      </t>
    </mdx>
    <mdx n="508" f="v">
      <t c="3" si="4">
        <n x="509"/>
        <n x="109"/>
        <n x="501"/>
      </t>
    </mdx>
    <mdx n="508" f="v">
      <t c="3" si="4">
        <n x="509"/>
        <n x="111"/>
        <n x="501"/>
      </t>
    </mdx>
    <mdx n="508" f="v">
      <t c="3" si="4">
        <n x="509"/>
        <n x="431"/>
        <n x="502"/>
      </t>
    </mdx>
    <mdx n="508" f="v">
      <t c="3" si="4">
        <n x="509"/>
        <n x="284"/>
        <n x="503"/>
      </t>
    </mdx>
    <mdx n="508" f="v">
      <t c="3" si="4">
        <n x="509"/>
        <n x="275"/>
        <n x="499"/>
      </t>
    </mdx>
    <mdx n="508" f="v">
      <t c="3" si="4">
        <n x="509"/>
        <n x="82"/>
        <n x="499"/>
      </t>
    </mdx>
    <mdx n="508" f="v">
      <t c="3" si="4">
        <n x="509"/>
        <n x="60"/>
        <n x="499"/>
      </t>
    </mdx>
    <mdx n="508" f="v">
      <t c="3" si="4">
        <n x="509"/>
        <n x="210"/>
        <n x="500"/>
      </t>
    </mdx>
    <mdx n="508" f="v">
      <t c="3" si="4">
        <n x="509"/>
        <n x="171"/>
        <n x="500"/>
      </t>
    </mdx>
    <mdx n="508" f="v">
      <t c="3" si="4">
        <n x="509"/>
        <n x="225"/>
        <n x="500"/>
      </t>
    </mdx>
    <mdx n="508" f="v">
      <t c="3" si="4">
        <n x="509"/>
        <n x="129"/>
        <n x="500"/>
      </t>
    </mdx>
    <mdx n="508" f="v">
      <t c="3" si="4">
        <n x="509"/>
        <n x="311"/>
        <n x="500"/>
      </t>
    </mdx>
    <mdx n="508" f="v">
      <t c="3" si="4">
        <n x="509"/>
        <n x="109"/>
        <n x="500"/>
      </t>
    </mdx>
    <mdx n="508" f="v">
      <t c="3" si="4">
        <n x="509"/>
        <n x="142"/>
        <n x="500"/>
      </t>
    </mdx>
    <mdx n="508" f="v">
      <t c="3" si="4">
        <n x="509"/>
        <n x="107"/>
        <n x="500"/>
      </t>
    </mdx>
    <mdx n="508" f="v">
      <t c="3" si="4">
        <n x="509"/>
        <n x="450"/>
        <n x="501"/>
      </t>
    </mdx>
    <mdx n="508" f="v">
      <t c="3" si="4">
        <n x="509"/>
        <n x="133"/>
        <n x="501"/>
      </t>
    </mdx>
    <mdx n="508" f="v">
      <t c="3" si="4">
        <n x="509"/>
        <n x="454"/>
        <n x="501"/>
      </t>
    </mdx>
    <mdx n="508" f="v">
      <t c="3" si="4">
        <n x="509"/>
        <n x="184"/>
        <n x="501"/>
      </t>
    </mdx>
    <mdx n="508" f="v">
      <t c="3" si="4">
        <n x="509"/>
        <n x="266"/>
        <n x="501"/>
      </t>
    </mdx>
    <mdx n="508" f="v">
      <t c="3" si="4">
        <n x="509"/>
        <n x="48"/>
        <n x="502"/>
      </t>
    </mdx>
    <mdx n="508" f="v">
      <t c="3" si="4">
        <n x="509"/>
        <n x="224"/>
        <n x="502"/>
      </t>
    </mdx>
    <mdx n="508" f="v">
      <t c="3" si="4">
        <n x="509"/>
        <n x="62"/>
        <n x="503"/>
      </t>
    </mdx>
    <mdx n="508" f="v">
      <t c="3" si="4">
        <n x="509"/>
        <n x="157"/>
        <n x="501"/>
      </t>
    </mdx>
    <mdx n="508" f="v">
      <t c="3" si="4">
        <n x="509"/>
        <n x="326"/>
        <n x="501"/>
      </t>
    </mdx>
    <mdx n="508" f="v">
      <t c="3" si="4">
        <n x="509"/>
        <n x="436"/>
        <n x="501"/>
      </t>
    </mdx>
    <mdx n="508" f="v">
      <t c="3" si="4">
        <n x="509"/>
        <n x="229"/>
        <n x="501"/>
      </t>
    </mdx>
    <mdx n="508" f="v">
      <t c="3" si="4">
        <n x="509"/>
        <n x="420"/>
        <n x="502"/>
      </t>
    </mdx>
    <mdx n="508" f="v">
      <t c="3" si="4">
        <n x="509"/>
        <n x="305"/>
        <n x="502"/>
      </t>
    </mdx>
    <mdx n="508" f="v">
      <t c="3" si="4">
        <n x="509"/>
        <n x="24"/>
        <n x="502"/>
      </t>
    </mdx>
    <mdx n="508" f="v">
      <t c="3" si="4">
        <n x="509"/>
        <n x="146"/>
        <n x="502"/>
      </t>
    </mdx>
    <mdx n="508" f="v">
      <t c="3" si="4">
        <n x="509"/>
        <n x="433"/>
        <n x="502"/>
      </t>
    </mdx>
    <mdx n="508" f="v">
      <t c="3" si="4">
        <n x="509"/>
        <n x="136"/>
        <n x="502"/>
      </t>
    </mdx>
    <mdx n="508" f="v">
      <t c="3" si="4">
        <n x="509"/>
        <n x="252"/>
        <n x="503"/>
      </t>
    </mdx>
    <mdx n="508" f="v">
      <t c="3" si="4">
        <n x="509"/>
        <n x="27"/>
        <n x="503"/>
      </t>
    </mdx>
    <mdx n="508" f="v">
      <t c="3" si="4">
        <n x="509"/>
        <n x="276"/>
        <n x="503"/>
      </t>
    </mdx>
    <mdx n="508" f="v">
      <t c="3" si="4">
        <n x="509"/>
        <n x="286"/>
        <n x="503"/>
      </t>
    </mdx>
    <mdx n="508" f="v">
      <t c="3" si="4">
        <n x="509"/>
        <n x="409"/>
        <n x="504"/>
      </t>
    </mdx>
    <mdx n="508" f="v">
      <t c="3" si="4">
        <n x="509"/>
        <n x="174"/>
        <n x="504"/>
      </t>
    </mdx>
    <mdx n="508" f="v">
      <t c="3" si="4">
        <n x="509"/>
        <n x="437"/>
        <n x="505"/>
      </t>
    </mdx>
    <mdx n="508" f="v">
      <t c="3" si="4">
        <n x="509"/>
        <n x="364"/>
        <n x="507"/>
      </t>
    </mdx>
    <mdx n="508" f="v">
      <t c="3" si="4">
        <n x="509"/>
        <n x="223"/>
        <n x="501"/>
      </t>
    </mdx>
    <mdx n="508" f="v">
      <t c="3" si="4">
        <n x="509"/>
        <n x="378"/>
        <n x="501"/>
      </t>
    </mdx>
    <mdx n="508" f="v">
      <t c="3" si="4">
        <n x="509"/>
        <n x="208"/>
        <n x="502"/>
      </t>
    </mdx>
    <mdx n="508" f="v">
      <t c="3" si="4">
        <n x="509"/>
        <n x="139"/>
        <n x="502"/>
      </t>
    </mdx>
    <mdx n="508" f="v">
      <t c="3" si="4">
        <n x="509"/>
        <n x="150"/>
        <n x="502"/>
      </t>
    </mdx>
    <mdx n="508" f="v">
      <t c="3" si="4">
        <n x="509"/>
        <n x="166"/>
        <n x="502"/>
      </t>
    </mdx>
    <mdx n="508" f="v">
      <t c="3" si="4">
        <n x="509"/>
        <n x="342"/>
        <n x="502"/>
      </t>
    </mdx>
    <mdx n="508" f="v">
      <t c="3" si="4">
        <n x="509"/>
        <n x="338"/>
        <n x="502"/>
      </t>
    </mdx>
    <mdx n="508" f="v">
      <t c="3" si="4">
        <n x="509"/>
        <n x="21"/>
        <n x="503"/>
      </t>
    </mdx>
    <mdx n="508" f="v">
      <t c="3" si="4">
        <n x="509"/>
        <n x="200"/>
        <n x="503"/>
      </t>
    </mdx>
    <mdx n="508" f="v">
      <t c="3" si="4">
        <n x="509"/>
        <n x="341"/>
        <n x="503"/>
      </t>
    </mdx>
    <mdx n="508" f="v">
      <t c="3" si="4">
        <n x="509"/>
        <n x="46"/>
        <n x="503"/>
      </t>
    </mdx>
    <mdx n="508" f="v">
      <t c="3" si="4">
        <n x="509"/>
        <n x="171"/>
        <n x="504"/>
      </t>
    </mdx>
    <mdx n="508" f="v">
      <t c="3" si="4">
        <n x="509"/>
        <n x="376"/>
        <n x="504"/>
      </t>
    </mdx>
    <mdx n="508" f="v">
      <t c="3" si="4">
        <n x="509"/>
        <n x="8"/>
        <n x="505"/>
      </t>
    </mdx>
    <mdx n="508" f="v">
      <t c="3" si="4">
        <n x="509"/>
        <n x="366"/>
        <n x="501"/>
      </t>
    </mdx>
    <mdx n="508" f="v">
      <t c="3" si="4">
        <n x="509"/>
        <n x="74"/>
        <n x="501"/>
      </t>
    </mdx>
    <mdx n="508" f="v">
      <t c="3" si="4">
        <n x="509"/>
        <n x="65"/>
        <n x="502"/>
      </t>
    </mdx>
    <mdx n="508" f="v">
      <t c="3" si="4">
        <n x="509"/>
        <n x="279"/>
        <n x="502"/>
      </t>
    </mdx>
    <mdx n="508" f="v">
      <t c="3" si="4">
        <n x="509"/>
        <n x="225"/>
        <n x="502"/>
      </t>
    </mdx>
    <mdx n="508" f="v">
      <t c="3" si="4">
        <n x="509"/>
        <n x="381"/>
        <n x="502"/>
      </t>
    </mdx>
    <mdx n="508" f="v">
      <t c="3" si="4">
        <n x="509"/>
        <n x="220"/>
        <n x="502"/>
      </t>
    </mdx>
    <mdx n="508" f="v">
      <t c="3" si="4">
        <n x="509"/>
        <n x="399"/>
        <n x="502"/>
      </t>
    </mdx>
    <mdx n="508" f="v">
      <t c="3" si="4">
        <n x="509"/>
        <n x="236"/>
        <n x="502"/>
      </t>
    </mdx>
    <mdx n="508" f="v">
      <t c="3" si="4">
        <n x="509"/>
        <n x="83"/>
        <n x="503"/>
      </t>
    </mdx>
    <mdx n="508" f="v">
      <t c="3" si="4">
        <n x="509"/>
        <n x="439"/>
        <n x="503"/>
      </t>
    </mdx>
    <mdx n="508" f="v">
      <t c="3" si="4">
        <n x="509"/>
        <n x="317"/>
        <n x="503"/>
      </t>
    </mdx>
    <mdx n="508" f="v">
      <t c="3" si="4">
        <n x="509"/>
        <n x="430"/>
        <n x="503"/>
      </t>
    </mdx>
    <mdx n="508" f="v">
      <t c="3" si="4">
        <n x="509"/>
        <n x="116"/>
        <n x="504"/>
      </t>
    </mdx>
    <mdx n="508" f="v">
      <t c="3" si="4">
        <n x="509"/>
        <n x="202"/>
        <n x="504"/>
      </t>
    </mdx>
    <mdx n="508" f="v">
      <t c="3" si="4">
        <n x="509"/>
        <n x="193"/>
        <n x="505"/>
      </t>
    </mdx>
    <mdx n="508" f="v">
      <t c="3" si="4">
        <n x="509"/>
        <n x="455"/>
        <n x="501"/>
      </t>
    </mdx>
    <mdx n="508" f="v">
      <t c="3" si="4">
        <n x="509"/>
        <n x="333"/>
        <n x="501"/>
      </t>
    </mdx>
    <mdx n="508" f="v">
      <t c="3" si="4">
        <n x="509"/>
        <n x="205"/>
        <n x="501"/>
      </t>
    </mdx>
    <mdx n="508" f="v">
      <t c="3" si="4">
        <n x="509"/>
        <n x="403"/>
        <n x="501"/>
      </t>
    </mdx>
    <mdx n="508" f="v">
      <t c="3" si="4">
        <n x="509"/>
        <n x="271"/>
        <n x="502"/>
      </t>
    </mdx>
    <mdx n="508" f="v">
      <t c="3" si="4">
        <n x="509"/>
        <n x="377"/>
        <n x="502"/>
      </t>
    </mdx>
    <mdx n="508" f="v">
      <t c="3" si="4">
        <n x="509"/>
        <n x="59"/>
        <n x="502"/>
      </t>
    </mdx>
    <mdx n="508" f="v">
      <t c="3" si="4">
        <n x="509"/>
        <n x="285"/>
        <n x="502"/>
      </t>
    </mdx>
    <mdx n="508" f="v">
      <t c="3" si="4">
        <n x="509"/>
        <n x="180"/>
        <n x="502"/>
      </t>
    </mdx>
    <mdx n="508" f="v">
      <t c="3" si="4">
        <n x="509"/>
        <n x="366"/>
        <n x="502"/>
      </t>
    </mdx>
    <mdx n="508" f="v">
      <t c="3" si="4">
        <n x="509"/>
        <n x="141"/>
        <n x="494"/>
      </t>
    </mdx>
    <mdx n="508" f="v">
      <t c="3" si="4">
        <n x="509"/>
        <n x="126"/>
        <n x="495"/>
      </t>
    </mdx>
    <mdx n="508" f="v">
      <t c="3" si="4">
        <n x="509"/>
        <n x="444"/>
        <n x="492"/>
      </t>
    </mdx>
    <mdx n="508" f="v">
      <t c="3" si="4">
        <n x="509"/>
        <n x="55"/>
        <n x="494"/>
      </t>
    </mdx>
    <mdx n="508" f="v">
      <t c="3" si="4">
        <n x="509"/>
        <n x="82"/>
        <n x="494"/>
      </t>
    </mdx>
    <mdx n="508" f="v">
      <t c="3" si="4">
        <n x="509"/>
        <n x="235"/>
        <n x="495"/>
      </t>
    </mdx>
    <mdx n="508" f="v">
      <t c="3" si="4">
        <n x="509"/>
        <n x="358"/>
        <n x="495"/>
      </t>
    </mdx>
    <mdx n="508" f="v">
      <t c="3" si="4">
        <n x="509"/>
        <n x="426"/>
        <n x="495"/>
      </t>
    </mdx>
    <mdx n="508" f="v">
      <t c="3" si="4">
        <n x="509"/>
        <n x="414"/>
        <n x="479"/>
      </t>
    </mdx>
    <mdx n="508" f="v">
      <t c="3" si="4">
        <n x="509"/>
        <n x="196"/>
        <n x="491"/>
      </t>
    </mdx>
    <mdx n="508" f="v">
      <t c="3" si="4">
        <n x="509"/>
        <n x="322"/>
        <n x="482"/>
      </t>
    </mdx>
    <mdx n="508" f="v">
      <t c="3" si="4">
        <n x="509"/>
        <n x="380"/>
        <n x="492"/>
      </t>
    </mdx>
    <mdx n="508" f="v">
      <t c="3" si="4">
        <n x="509"/>
        <n x="412"/>
        <n x="493"/>
      </t>
    </mdx>
    <mdx n="508" f="v">
      <t c="3" si="4">
        <n x="509"/>
        <n x="318"/>
        <n x="494"/>
      </t>
    </mdx>
    <mdx n="508" f="v">
      <t c="3" si="4">
        <n x="509"/>
        <n x="186"/>
        <n x="494"/>
      </t>
    </mdx>
    <mdx n="508" f="v">
      <t c="3" si="4">
        <n x="509"/>
        <n x="371"/>
        <n x="494"/>
      </t>
    </mdx>
    <mdx n="508" f="v">
      <t c="3" si="4">
        <n x="509"/>
        <n x="35"/>
        <n x="494"/>
      </t>
    </mdx>
    <mdx n="508" f="v">
      <t c="3" si="4">
        <n x="509"/>
        <n x="232"/>
        <n x="495"/>
      </t>
    </mdx>
    <mdx n="508" f="v">
      <t c="3" si="4">
        <n x="509"/>
        <n x="125"/>
        <n x="495"/>
      </t>
    </mdx>
    <mdx n="508" f="v">
      <t c="3" si="4">
        <n x="509"/>
        <n x="282"/>
        <n x="495"/>
      </t>
    </mdx>
    <mdx n="508" f="v">
      <t c="3" si="4">
        <n x="509"/>
        <n x="153"/>
        <n x="495"/>
      </t>
    </mdx>
    <mdx n="508" f="v">
      <t c="3" si="4">
        <n x="509"/>
        <n x="436"/>
        <n x="495"/>
      </t>
    </mdx>
    <mdx n="508" f="v">
      <t c="3" si="4">
        <n x="509"/>
        <n x="424"/>
        <n x="489"/>
      </t>
    </mdx>
    <mdx n="508" f="v">
      <t c="3" si="4">
        <n x="509"/>
        <n x="232"/>
        <n x="494"/>
      </t>
    </mdx>
    <mdx n="508" f="v">
      <t c="3" si="4">
        <n x="509"/>
        <n x="374"/>
        <n x="495"/>
      </t>
    </mdx>
    <mdx n="508" f="v">
      <t c="3" si="4">
        <n x="509"/>
        <n x="44"/>
        <n x="488"/>
      </t>
    </mdx>
    <mdx n="508" f="v">
      <t c="3" si="4">
        <n x="509"/>
        <n x="357"/>
        <n x="489"/>
      </t>
    </mdx>
    <mdx n="508" f="v">
      <t c="3" si="4">
        <n x="509"/>
        <n x="178"/>
        <n x="490"/>
      </t>
    </mdx>
    <mdx n="508" f="v">
      <t c="3" si="4">
        <n x="509"/>
        <n x="289"/>
        <n x="489"/>
      </t>
    </mdx>
    <mdx n="508" f="v">
      <t c="3" si="4">
        <n x="509"/>
        <n x="68"/>
        <n x="492"/>
      </t>
    </mdx>
    <mdx n="508" f="v">
      <t c="3" si="4">
        <n x="509"/>
        <n x="89"/>
        <n x="493"/>
      </t>
    </mdx>
    <mdx n="508" f="v">
      <t c="3" si="4">
        <n x="509"/>
        <n x="432"/>
        <n x="493"/>
      </t>
    </mdx>
    <mdx n="508" f="v">
      <t c="3" si="4">
        <n x="509"/>
        <n x="46"/>
        <n x="494"/>
      </t>
    </mdx>
    <mdx n="508" f="v">
      <t c="3" si="4">
        <n x="509"/>
        <n x="356"/>
        <n x="494"/>
      </t>
    </mdx>
    <mdx n="508" f="v">
      <t c="3" si="4">
        <n x="509"/>
        <n x="135"/>
        <n x="494"/>
      </t>
    </mdx>
    <mdx n="508" f="v">
      <t c="3" si="4">
        <n x="509"/>
        <n x="435"/>
        <n x="495"/>
      </t>
    </mdx>
    <mdx n="508" f="v">
      <t c="3" si="4">
        <n x="509"/>
        <n x="225"/>
        <n x="495"/>
      </t>
    </mdx>
    <mdx n="508" f="v">
      <t c="3" si="4">
        <n x="509"/>
        <n x="255"/>
        <n x="495"/>
      </t>
    </mdx>
    <mdx n="508" f="v">
      <t c="3" si="4">
        <n x="509"/>
        <n x="411"/>
        <n x="495"/>
      </t>
    </mdx>
    <mdx n="508" f="v">
      <t c="3" si="4">
        <n x="509"/>
        <n x="142"/>
        <n x="495"/>
      </t>
    </mdx>
    <mdx n="508" f="v">
      <t c="3" si="4">
        <n x="509"/>
        <n x="274"/>
        <n x="495"/>
      </t>
    </mdx>
    <mdx n="508" f="v">
      <t c="3" si="4">
        <n x="509"/>
        <n x="80"/>
        <n x="490"/>
      </t>
    </mdx>
    <mdx n="508" f="v">
      <t c="3" si="4">
        <n x="509"/>
        <n x="27"/>
        <n x="493"/>
      </t>
    </mdx>
    <mdx n="508" f="v">
      <t c="3" si="4">
        <n x="509"/>
        <n x="114"/>
        <n x="494"/>
      </t>
    </mdx>
    <mdx n="508" f="v">
      <t c="3" si="4">
        <n x="509"/>
        <n x="403"/>
        <n x="495"/>
      </t>
    </mdx>
    <mdx n="508" f="v">
      <t c="3" si="4">
        <n x="509"/>
        <n x="168"/>
        <n x="489"/>
      </t>
    </mdx>
    <mdx n="508" f="v">
      <t c="3" si="4">
        <n x="509"/>
        <n x="245"/>
        <n x="491"/>
      </t>
    </mdx>
    <mdx n="508" f="v">
      <t c="3" si="4">
        <n x="509"/>
        <n x="409"/>
        <n x="490"/>
      </t>
    </mdx>
    <mdx n="508" f="v">
      <t c="3" si="4">
        <n x="509"/>
        <n x="83"/>
        <n x="492"/>
      </t>
    </mdx>
    <mdx n="508" f="v">
      <t c="3" si="4">
        <n x="509"/>
        <n x="430"/>
        <n x="493"/>
      </t>
    </mdx>
    <mdx n="508" f="v">
      <t c="3" si="4">
        <n x="509"/>
        <n x="248"/>
        <n x="493"/>
      </t>
    </mdx>
    <mdx n="508" f="v">
      <t c="3" si="4">
        <n x="509"/>
        <n x="242"/>
        <n x="494"/>
      </t>
    </mdx>
    <mdx n="508" f="v">
      <t c="3" si="4">
        <n x="509"/>
        <n x="300"/>
        <n x="494"/>
      </t>
    </mdx>
    <mdx n="508" f="v">
      <t c="3" si="4">
        <n x="509"/>
        <n x="126"/>
        <n x="494"/>
      </t>
    </mdx>
    <mdx n="508" f="v">
      <t c="3" si="4">
        <n x="509"/>
        <n x="209"/>
        <n x="495"/>
      </t>
    </mdx>
    <mdx n="508" f="v">
      <t c="3" si="4">
        <n x="509"/>
        <n x="144"/>
        <n x="495"/>
      </t>
    </mdx>
    <mdx n="508" f="v">
      <t c="3" si="4">
        <n x="509"/>
        <n x="448"/>
        <n x="495"/>
      </t>
    </mdx>
    <mdx n="508" f="v">
      <t c="3" si="4">
        <n x="509"/>
        <n x="180"/>
        <n x="495"/>
      </t>
    </mdx>
    <mdx n="508" f="v">
      <t c="3" si="4">
        <n x="509"/>
        <n x="464"/>
        <n x="495"/>
      </t>
    </mdx>
    <mdx n="508" f="v">
      <t c="3" si="4">
        <n x="509"/>
        <n x="117"/>
        <n x="495"/>
      </t>
    </mdx>
    <mdx n="508" f="v">
      <t c="3" si="4">
        <n x="509"/>
        <n x="116"/>
        <n x="490"/>
      </t>
    </mdx>
    <mdx n="508" f="v">
      <t c="3" si="4">
        <n x="509"/>
        <n x="358"/>
        <n x="493"/>
      </t>
    </mdx>
    <mdx n="508" f="v">
      <t c="3" si="4">
        <n x="509"/>
        <n x="185"/>
        <n x="494"/>
      </t>
    </mdx>
    <mdx n="508" f="v">
      <t c="3" si="4">
        <n x="509"/>
        <n x="432"/>
        <n x="495"/>
      </t>
    </mdx>
    <mdx n="508" f="v">
      <t c="3" si="4">
        <n x="509"/>
        <n x="217"/>
        <n x="489"/>
      </t>
    </mdx>
    <mdx n="508" f="v">
      <t c="3" si="4">
        <n x="509"/>
        <n x="390"/>
        <n x="491"/>
      </t>
    </mdx>
    <mdx n="508" f="v">
      <t c="3" si="4">
        <n x="509"/>
        <n x="111"/>
        <n x="490"/>
      </t>
    </mdx>
    <mdx n="508" f="v">
      <t c="3" si="4">
        <n x="509"/>
        <n x="259"/>
        <n x="492"/>
      </t>
    </mdx>
    <mdx n="508" f="v">
      <t c="3" si="4">
        <n x="509"/>
        <n x="223"/>
        <n x="492"/>
      </t>
    </mdx>
    <mdx n="508" f="v">
      <t c="3" si="4">
        <n x="509"/>
        <n x="170"/>
        <n x="493"/>
      </t>
    </mdx>
    <mdx n="508" f="v">
      <t c="3" si="4">
        <n x="509"/>
        <n x="423"/>
        <n x="494"/>
      </t>
    </mdx>
    <mdx n="508" f="v">
      <t c="3" si="4">
        <n x="509"/>
        <n x="314"/>
        <n x="494"/>
      </t>
    </mdx>
    <mdx n="508" f="v">
      <t c="3" si="4">
        <n x="509"/>
        <n x="197"/>
        <n x="494"/>
      </t>
    </mdx>
    <mdx n="508" f="v">
      <t c="3" si="4">
        <n x="509"/>
        <n x="48"/>
        <n x="494"/>
      </t>
    </mdx>
    <mdx n="508" f="v">
      <t c="3" si="4">
        <n x="509"/>
        <n x="191"/>
        <n x="494"/>
      </t>
    </mdx>
    <mdx n="508" f="v">
      <t c="3" si="4">
        <n x="509"/>
        <n x="372"/>
        <n x="495"/>
      </t>
    </mdx>
    <mdx n="508" f="v">
      <t c="3" si="4">
        <n x="509"/>
        <n x="257"/>
        <n x="495"/>
      </t>
    </mdx>
    <mdx n="508" f="v">
      <t c="3" si="4">
        <n x="509"/>
        <n x="314"/>
        <n x="495"/>
      </t>
    </mdx>
    <mdx n="508" f="v">
      <t c="3" si="4">
        <n x="509"/>
        <n x="369"/>
        <n x="495"/>
      </t>
    </mdx>
    <mdx n="508" f="v">
      <t c="3" si="4">
        <n x="509"/>
        <n x="237"/>
        <n x="495"/>
      </t>
    </mdx>
    <mdx n="508" f="v">
      <t c="3" si="4">
        <n x="509"/>
        <n x="177"/>
        <n x="495"/>
      </t>
    </mdx>
    <mdx n="508" f="v">
      <t c="3" si="4">
        <n x="509"/>
        <n x="392"/>
        <n x="481"/>
      </t>
    </mdx>
    <mdx n="508" f="v">
      <t c="3" si="4">
        <n x="509"/>
        <n x="40"/>
        <n x="493"/>
      </t>
    </mdx>
    <mdx n="508" f="v">
      <t c="3" si="4">
        <n x="509"/>
        <n x="173"/>
        <n x="494"/>
      </t>
    </mdx>
    <mdx n="508" f="v">
      <t c="3" si="4">
        <n x="509"/>
        <n x="54"/>
        <n x="495"/>
      </t>
    </mdx>
    <mdx n="508" f="v">
      <t c="3" si="4">
        <n x="509"/>
        <n x="330"/>
        <n x="496"/>
      </t>
    </mdx>
    <mdx n="508" f="v">
      <t c="3" si="4">
        <n x="509"/>
        <n x="401"/>
        <n x="496"/>
      </t>
    </mdx>
    <mdx n="508" f="v">
      <t c="3" si="4">
        <n x="509"/>
        <n x="150"/>
        <n x="496"/>
      </t>
    </mdx>
    <mdx n="508" f="v">
      <t c="3" si="4">
        <n x="509"/>
        <n x="277"/>
        <n x="496"/>
      </t>
    </mdx>
    <mdx n="508" f="v">
      <t c="3" si="4">
        <n x="509"/>
        <n x="65"/>
        <n x="497"/>
      </t>
    </mdx>
    <mdx n="508" f="v">
      <t c="3" si="4">
        <n x="509"/>
        <n x="394"/>
        <n x="497"/>
      </t>
    </mdx>
    <mdx n="508" f="v">
      <t c="3" si="4">
        <n x="509"/>
        <n x="45"/>
        <n x="498"/>
      </t>
    </mdx>
    <mdx n="508" f="v">
      <t c="3" si="4">
        <n x="509"/>
        <n x="447"/>
        <n x="1"/>
      </t>
    </mdx>
    <mdx n="508" f="v">
      <t c="3" si="4">
        <n x="509"/>
        <n x="440"/>
        <n x="496"/>
      </t>
    </mdx>
    <mdx n="508" f="v">
      <t c="3" si="4">
        <n x="509"/>
        <n x="129"/>
        <n x="496"/>
      </t>
    </mdx>
    <mdx n="508" f="v">
      <t c="3" si="4">
        <n x="509"/>
        <n x="92"/>
        <n x="496"/>
      </t>
    </mdx>
    <mdx n="508" f="v">
      <t c="3" si="4">
        <n x="509"/>
        <n x="389"/>
        <n x="496"/>
      </t>
    </mdx>
    <mdx n="508" f="v">
      <t c="3" si="4">
        <n x="509"/>
        <n x="259"/>
        <n x="496"/>
      </t>
    </mdx>
    <mdx n="508" f="v">
      <t c="3" si="4">
        <n x="509"/>
        <n x="212"/>
        <n x="497"/>
      </t>
    </mdx>
    <mdx n="508" f="v">
      <t c="3" si="4">
        <n x="509"/>
        <n x="198"/>
        <n x="497"/>
      </t>
    </mdx>
    <mdx n="508" f="v">
      <t c="3" si="4">
        <n x="509"/>
        <n x="458"/>
        <n x="499"/>
      </t>
    </mdx>
    <mdx n="508" f="v">
      <t c="3" si="4">
        <n x="509"/>
        <n x="416"/>
        <n x="496"/>
      </t>
    </mdx>
    <mdx n="508" f="v">
      <t c="3" si="4">
        <n x="509"/>
        <n x="83"/>
        <n x="496"/>
      </t>
    </mdx>
    <mdx n="508" f="v">
      <t c="3" si="4">
        <n x="509"/>
        <n x="360"/>
        <n x="496"/>
      </t>
    </mdx>
    <mdx n="508" f="v">
      <t c="3" si="4">
        <n x="509"/>
        <n x="431"/>
        <n x="496"/>
      </t>
    </mdx>
    <mdx n="508" f="v">
      <t c="3" si="4">
        <n x="509"/>
        <n x="91"/>
        <n x="496"/>
      </t>
    </mdx>
    <mdx n="508" f="v">
      <t c="3" si="4">
        <n x="509"/>
        <n x="173"/>
        <n x="496"/>
      </t>
    </mdx>
    <mdx n="508" f="v">
      <t c="3" si="4">
        <n x="509"/>
        <n x="397"/>
        <n x="496"/>
      </t>
    </mdx>
    <mdx n="508" f="v">
      <t c="3" si="4">
        <n x="509"/>
        <n x="45"/>
        <n x="497"/>
      </t>
    </mdx>
    <mdx n="508" f="v">
      <t c="3" si="4">
        <n x="509"/>
        <n x="21"/>
        <n x="497"/>
      </t>
    </mdx>
    <mdx n="508" f="v">
      <t c="3" si="4">
        <n x="509"/>
        <n x="99"/>
        <n x="497"/>
      </t>
    </mdx>
    <mdx n="508" f="v">
      <t c="3" si="4">
        <n x="509"/>
        <n x="141"/>
        <n x="497"/>
      </t>
    </mdx>
    <mdx n="508" f="v">
      <t c="3" si="4">
        <n x="509"/>
        <n x="106"/>
        <n x="497"/>
      </t>
    </mdx>
    <mdx n="508" f="v">
      <t c="3" si="4">
        <n x="509"/>
        <n x="60"/>
        <n x="497"/>
      </t>
    </mdx>
    <mdx n="508" f="v">
      <t c="3" si="4">
        <n x="509"/>
        <n x="344"/>
        <n x="497"/>
      </t>
    </mdx>
    <mdx n="508" f="v">
      <t c="3" si="4">
        <n x="509"/>
        <n x="177"/>
        <n x="498"/>
      </t>
    </mdx>
    <mdx n="508" f="v">
      <t c="3" si="4">
        <n x="509"/>
        <n x="84"/>
        <n x="498"/>
      </t>
    </mdx>
    <mdx n="508" f="v">
      <t c="3" si="4">
        <n x="509"/>
        <n x="99"/>
        <n x="498"/>
      </t>
    </mdx>
    <mdx n="508" f="v">
      <t c="3" si="4">
        <n x="509"/>
        <n x="25"/>
        <n x="498"/>
      </t>
    </mdx>
    <mdx n="508" f="v">
      <t c="3" si="4">
        <n x="509"/>
        <n x="28"/>
        <n x="498"/>
      </t>
    </mdx>
    <mdx n="508" f="v">
      <t c="3" si="4">
        <n x="509"/>
        <n x="227"/>
        <n x="498"/>
      </t>
    </mdx>
    <mdx n="508" f="v">
      <t c="3" si="4">
        <n x="509"/>
        <n x="144"/>
        <n x="499"/>
      </t>
    </mdx>
    <mdx n="508" f="v">
      <t c="3" si="4">
        <n x="509"/>
        <n x="100"/>
        <n x="499"/>
      </t>
    </mdx>
    <mdx n="508" f="v">
      <t c="3" si="4">
        <n x="509"/>
        <n x="349"/>
        <n x="496"/>
      </t>
    </mdx>
    <mdx n="508" f="v">
      <t c="3" si="4">
        <n x="509"/>
        <n x="381"/>
        <n x="496"/>
      </t>
    </mdx>
    <mdx n="508" f="v">
      <t c="3" si="4">
        <n x="509"/>
        <n x="266"/>
        <n x="496"/>
      </t>
    </mdx>
    <mdx n="508" f="v">
      <t c="3" si="4">
        <n x="509"/>
        <n x="197"/>
        <n x="496"/>
      </t>
    </mdx>
    <mdx n="508" f="v">
      <t c="3" si="4">
        <n x="509"/>
        <n x="16"/>
        <n x="496"/>
      </t>
    </mdx>
    <mdx n="508" f="v">
      <t c="3" si="4">
        <n x="509"/>
        <n x="33"/>
        <n x="497"/>
      </t>
    </mdx>
    <mdx n="508" f="v">
      <t c="3" si="4">
        <n x="509"/>
        <n x="312"/>
        <n x="497"/>
      </t>
    </mdx>
    <mdx n="508" f="v">
      <t c="3" si="4">
        <n x="509"/>
        <n x="183"/>
        <n x="497"/>
      </t>
    </mdx>
    <mdx n="508" f="v">
      <t c="3" si="4">
        <n x="509"/>
        <n x="396"/>
        <n x="497"/>
      </t>
    </mdx>
    <mdx n="508" f="v">
      <t c="3" si="4">
        <n x="509"/>
        <n x="78"/>
        <n x="497"/>
      </t>
    </mdx>
    <mdx n="508" f="v">
      <t c="3" si="4">
        <n x="509"/>
        <n x="260"/>
        <n x="497"/>
      </t>
    </mdx>
    <mdx n="508" f="v">
      <t c="3" si="4">
        <n x="509"/>
        <n x="403"/>
        <n x="497"/>
      </t>
    </mdx>
    <mdx n="508" f="v">
      <t c="3" si="4">
        <n x="509"/>
        <n x="331"/>
        <n x="498"/>
      </t>
    </mdx>
    <mdx n="508" f="v">
      <t c="3" si="4">
        <n x="509"/>
        <n x="348"/>
        <n x="498"/>
      </t>
    </mdx>
    <mdx n="508" f="v">
      <t c="3" si="4">
        <n x="509"/>
        <n x="299"/>
        <n x="498"/>
      </t>
    </mdx>
    <mdx n="508" f="v">
      <t c="3" si="4">
        <n x="509"/>
        <n x="165"/>
        <n x="498"/>
      </t>
    </mdx>
    <mdx n="508" f="v">
      <t c="3" si="4">
        <n x="509"/>
        <n x="105"/>
        <n x="498"/>
      </t>
    </mdx>
    <mdx n="508" f="v">
      <t c="3" si="4">
        <n x="509"/>
        <n x="80"/>
        <n x="498"/>
      </t>
    </mdx>
    <mdx n="508" f="v">
      <t c="3" si="4">
        <n x="509"/>
        <n x="182"/>
        <n x="499"/>
      </t>
    </mdx>
    <mdx n="508" f="v">
      <t c="3" si="4">
        <n x="509"/>
        <n x="253"/>
        <n x="500"/>
      </t>
    </mdx>
    <mdx n="508" f="v">
      <t c="3" si="4">
        <n x="509"/>
        <n x="250"/>
        <n x="497"/>
      </t>
    </mdx>
    <mdx n="508" f="v">
      <t c="3" si="4">
        <n x="509"/>
        <n x="317"/>
        <n x="497"/>
      </t>
    </mdx>
    <mdx n="508" f="v">
      <t c="3" si="4">
        <n x="509"/>
        <n x="352"/>
        <n x="497"/>
      </t>
    </mdx>
    <mdx n="508" f="v">
      <t c="3" si="4">
        <n x="509"/>
        <n x="259"/>
        <n x="497"/>
      </t>
    </mdx>
    <mdx n="508" f="v">
      <t c="3" si="4">
        <n x="509"/>
        <n x="169"/>
        <n x="498"/>
      </t>
    </mdx>
    <mdx n="508" f="v">
      <t c="3" si="4">
        <n x="509"/>
        <n x="301"/>
        <n x="498"/>
      </t>
    </mdx>
    <mdx n="508" f="v">
      <t c="3" si="4">
        <n x="509"/>
        <n x="303"/>
        <n x="498"/>
      </t>
    </mdx>
    <mdx n="508" f="v">
      <t c="3" si="4">
        <n x="509"/>
        <n x="391"/>
        <n x="498"/>
      </t>
    </mdx>
    <mdx n="508" f="v">
      <t c="3" si="4">
        <n x="509"/>
        <n x="26"/>
        <n x="498"/>
      </t>
    </mdx>
    <mdx n="508" f="v">
      <t c="3" si="4">
        <n x="509"/>
        <n x="111"/>
        <n x="498"/>
      </t>
    </mdx>
    <mdx n="508" f="v">
      <t c="3" si="4">
        <n x="509"/>
        <n x="119"/>
        <n x="499"/>
      </t>
    </mdx>
    <mdx n="508" f="v">
      <t c="3" si="4">
        <n x="509"/>
        <n x="338"/>
        <n x="499"/>
      </t>
    </mdx>
    <mdx n="508" f="v">
      <t c="3" si="4">
        <n x="509"/>
        <n x="228"/>
        <n x="496"/>
      </t>
    </mdx>
    <mdx n="508" f="v">
      <t c="3" si="4">
        <n x="509"/>
        <n x="182"/>
        <n x="496"/>
      </t>
    </mdx>
    <mdx n="508" f="v">
      <t c="3" si="4">
        <n x="509"/>
        <n x="299"/>
        <n x="496"/>
      </t>
    </mdx>
    <mdx n="508" f="v">
      <t c="3" si="4">
        <n x="509"/>
        <n x="224"/>
        <n x="496"/>
      </t>
    </mdx>
    <mdx n="508" f="v">
      <t c="3" si="4">
        <n x="509"/>
        <n x="154"/>
        <n x="496"/>
      </t>
    </mdx>
    <mdx n="508" f="v">
      <t c="3" si="4">
        <n x="509"/>
        <n x="9"/>
        <n x="496"/>
      </t>
    </mdx>
    <mdx n="508" f="v">
      <t c="3" si="4">
        <n x="509"/>
        <n x="191"/>
        <n x="496"/>
      </t>
    </mdx>
    <mdx n="508" f="v">
      <t c="3" si="4">
        <n x="509"/>
        <n x="188"/>
        <n x="497"/>
      </t>
    </mdx>
    <mdx n="508" f="v">
      <t c="3" si="4">
        <n x="509"/>
        <n x="301"/>
        <n x="497"/>
      </t>
    </mdx>
    <mdx n="508" f="v">
      <t c="3" si="4">
        <n x="509"/>
        <n x="176"/>
        <n x="497"/>
      </t>
    </mdx>
    <mdx n="508" f="v">
      <t c="3" si="4">
        <n x="509"/>
        <n x="463"/>
        <n x="497"/>
      </t>
    </mdx>
    <mdx n="508" f="v">
      <t c="3" si="4">
        <n x="509"/>
        <n x="175"/>
        <n x="497"/>
      </t>
    </mdx>
    <mdx n="508" f="v">
      <t c="3" si="4">
        <n x="509"/>
        <n x="405"/>
        <n x="497"/>
      </t>
    </mdx>
    <mdx n="508" f="v">
      <t c="3" si="4">
        <n x="509"/>
        <n x="214"/>
        <n x="497"/>
      </t>
    </mdx>
    <mdx n="508" f="v">
      <t c="3" si="4">
        <n x="509"/>
        <n x="272"/>
        <n x="498"/>
      </t>
    </mdx>
    <mdx n="508" f="v">
      <t c="3" si="4">
        <n x="509"/>
        <n x="416"/>
        <n x="498"/>
      </t>
    </mdx>
    <mdx n="508" f="v">
      <t c="3" si="4">
        <n x="509"/>
        <n x="312"/>
        <n x="498"/>
      </t>
    </mdx>
    <mdx n="508" f="v">
      <t c="3" si="4">
        <n x="509"/>
        <n x="335"/>
        <n x="498"/>
      </t>
    </mdx>
    <mdx n="508" f="v">
      <t c="3" si="4">
        <n x="509"/>
        <n x="411"/>
        <n x="498"/>
      </t>
    </mdx>
    <mdx n="508" f="v">
      <t c="3" si="4">
        <n x="509"/>
        <n x="214"/>
        <n x="498"/>
      </t>
    </mdx>
    <mdx n="508" f="v">
      <t c="3" si="4">
        <n x="509"/>
        <n x="440"/>
        <n x="499"/>
      </t>
    </mdx>
    <mdx n="508" f="v">
      <t c="3" si="4">
        <n x="509"/>
        <n x="367"/>
        <n x="499"/>
      </t>
    </mdx>
    <mdx n="508" f="v">
      <t c="3" si="4">
        <n x="509"/>
        <n x="132"/>
        <n x="501"/>
      </t>
    </mdx>
    <mdx n="508" f="v">
      <t c="3" si="4">
        <n x="509"/>
        <n x="296"/>
        <n x="497"/>
      </t>
    </mdx>
    <mdx n="508" f="v">
      <t c="3" si="4">
        <n x="509"/>
        <n x="59"/>
        <n x="497"/>
      </t>
    </mdx>
    <mdx n="508" f="v">
      <t c="3" si="4">
        <n x="509"/>
        <n x="339"/>
        <n x="497"/>
      </t>
    </mdx>
    <mdx n="508" f="v">
      <t c="3" si="4">
        <n x="509"/>
        <n x="360"/>
        <n x="497"/>
      </t>
    </mdx>
    <mdx n="508" f="v">
      <t c="3" si="4">
        <n x="509"/>
        <n x="262"/>
        <n x="497"/>
      </t>
    </mdx>
    <mdx n="508" f="v">
      <t c="3" si="4">
        <n x="509"/>
        <n x="383"/>
        <n x="497"/>
      </t>
    </mdx>
    <mdx n="508" f="v">
      <t c="3" si="4">
        <n x="509"/>
        <n x="452"/>
        <n x="497"/>
      </t>
    </mdx>
    <mdx n="508" f="v">
      <t c="3" si="4">
        <n x="509"/>
        <n x="53"/>
        <n x="498"/>
      </t>
    </mdx>
    <mdx n="508" f="v">
      <t c="3" si="4">
        <n x="509"/>
        <n x="246"/>
        <n x="498"/>
      </t>
    </mdx>
    <mdx n="508" f="v">
      <t c="3" si="4">
        <n x="509"/>
        <n x="182"/>
        <n x="498"/>
      </t>
    </mdx>
    <mdx n="508" f="v">
      <t c="3" si="4">
        <n x="509"/>
        <n x="102"/>
        <n x="498"/>
      </t>
    </mdx>
    <mdx n="508" f="v">
      <t c="3" si="4">
        <n x="509"/>
        <n x="326"/>
        <n x="498"/>
      </t>
    </mdx>
    <mdx n="508" f="v">
      <t c="3" si="4">
        <n x="509"/>
        <n x="57"/>
        <n x="498"/>
      </t>
    </mdx>
    <mdx n="508" f="v">
      <t c="3" si="4">
        <n x="509"/>
        <n x="145"/>
        <n x="499"/>
      </t>
    </mdx>
    <mdx n="508" f="v">
      <t c="3" si="4">
        <n x="509"/>
        <n x="413"/>
        <n x="499"/>
      </t>
    </mdx>
    <mdx n="508" f="v">
      <t c="3" si="4">
        <n x="509"/>
        <n x="233"/>
        <n x="502"/>
      </t>
    </mdx>
    <mdx n="508" f="v">
      <t c="3" si="4">
        <n x="509"/>
        <n x="447"/>
        <n x="497"/>
      </t>
    </mdx>
    <mdx n="508" f="v">
      <t c="3" si="4">
        <n x="509"/>
        <n x="44"/>
        <n x="497"/>
      </t>
    </mdx>
    <mdx n="508" f="v">
      <t c="3" si="4">
        <n x="509"/>
        <n x="200"/>
        <n x="497"/>
      </t>
    </mdx>
    <mdx n="508" f="v">
      <t c="3" si="4">
        <n x="509"/>
        <n x="170"/>
        <n x="497"/>
      </t>
    </mdx>
    <mdx n="508" f="v">
      <t c="3" si="4">
        <n x="509"/>
        <n x="126"/>
        <n x="497"/>
      </t>
    </mdx>
    <mdx n="508" f="v">
      <t c="3" si="4">
        <n x="509"/>
        <n x="76"/>
        <n x="497"/>
      </t>
    </mdx>
    <mdx n="508" f="v">
      <t c="3" si="4">
        <n x="509"/>
        <n x="161"/>
        <n x="498"/>
      </t>
    </mdx>
    <mdx n="508" f="v">
      <t c="3" si="4">
        <n x="509"/>
        <n x="37"/>
        <n x="498"/>
      </t>
    </mdx>
    <mdx n="508" f="v">
      <t c="3" si="4">
        <n x="509"/>
        <n x="94"/>
        <n x="498"/>
      </t>
    </mdx>
    <mdx n="508" f="v">
      <t c="3" si="4">
        <n x="509"/>
        <n x="400"/>
        <n x="498"/>
      </t>
    </mdx>
    <mdx n="508" f="v">
      <t c="3" si="4">
        <n x="509"/>
        <n x="140"/>
        <n x="498"/>
      </t>
    </mdx>
    <mdx n="508" f="v">
      <t c="3" si="4">
        <n x="509"/>
        <n x="74"/>
        <n x="498"/>
      </t>
    </mdx>
    <mdx n="508" f="v">
      <t c="3" si="4">
        <n x="509"/>
        <n x="434"/>
        <n x="499"/>
      </t>
    </mdx>
    <mdx n="508" f="v">
      <t c="3" si="4">
        <n x="509"/>
        <n x="417"/>
        <n x="499"/>
      </t>
    </mdx>
    <mdx n="508" f="v">
      <t c="3" si="4">
        <n x="509"/>
        <n x="120"/>
        <n x="501"/>
      </t>
    </mdx>
    <mdx n="508" f="v">
      <t c="3" si="4">
        <n x="509"/>
        <n x="426"/>
        <n x="497"/>
      </t>
    </mdx>
    <mdx n="508" f="v">
      <t c="3" si="4">
        <n x="509"/>
        <n x="395"/>
        <n x="497"/>
      </t>
    </mdx>
    <mdx n="508" f="v">
      <t c="3" si="4">
        <n x="509"/>
        <n x="12"/>
        <n x="497"/>
      </t>
    </mdx>
    <mdx n="508" f="v">
      <t c="3" si="4">
        <n x="509"/>
        <n x="443"/>
        <n x="498"/>
      </t>
    </mdx>
    <mdx n="508" f="v">
      <t c="3" si="4">
        <n x="509"/>
        <n x="242"/>
        <n x="498"/>
      </t>
    </mdx>
    <mdx n="508" f="v">
      <t c="3" si="4">
        <n x="509"/>
        <n x="200"/>
        <n x="498"/>
      </t>
    </mdx>
    <mdx n="508" f="v">
      <t c="3" si="4">
        <n x="509"/>
        <n x="276"/>
        <n x="498"/>
      </t>
    </mdx>
    <mdx n="508" f="v">
      <t c="3" si="4">
        <n x="509"/>
        <n x="274"/>
        <n x="498"/>
      </t>
    </mdx>
    <mdx n="508" f="v">
      <t c="3" si="4">
        <n x="509"/>
        <n x="163"/>
        <n x="499"/>
      </t>
    </mdx>
    <mdx n="508" f="v">
      <t c="3" si="4">
        <n x="509"/>
        <n x="125"/>
        <n x="499"/>
      </t>
    </mdx>
    <mdx n="508" f="v">
      <t c="3" si="4">
        <n x="509"/>
        <n x="453"/>
        <n x="500"/>
      </t>
    </mdx>
    <mdx n="508" f="v">
      <t c="3" si="4">
        <n x="509"/>
        <n x="109"/>
        <n x="499"/>
      </t>
    </mdx>
    <mdx n="508" f="v">
      <t c="3" si="4">
        <n x="509"/>
        <n x="73"/>
        <n x="499"/>
      </t>
    </mdx>
    <mdx n="508" f="v">
      <t c="3" si="4">
        <n x="509"/>
        <n x="273"/>
        <n x="500"/>
      </t>
    </mdx>
    <mdx n="508" f="v">
      <t c="3" si="4">
        <n x="509"/>
        <n x="417"/>
        <n x="500"/>
      </t>
    </mdx>
    <mdx n="508" f="v">
      <t c="3" si="4">
        <n x="509"/>
        <n x="329"/>
        <n x="500"/>
      </t>
    </mdx>
    <mdx n="508" f="v">
      <t c="3" si="4">
        <n x="509"/>
        <n x="386"/>
        <n x="501"/>
      </t>
    </mdx>
    <mdx n="508" f="v">
      <t c="3" si="4">
        <n x="509"/>
        <n x="379"/>
        <n x="502"/>
      </t>
    </mdx>
    <mdx n="508" f="v">
      <t c="3" si="4">
        <n x="509"/>
        <n x="87"/>
        <n x="498"/>
      </t>
    </mdx>
    <mdx n="508" f="v">
      <t c="3" si="4">
        <n x="509"/>
        <n x="86"/>
        <n x="498"/>
      </t>
    </mdx>
    <mdx n="508" f="v">
      <t c="3" si="4">
        <n x="509"/>
        <n x="149"/>
        <n x="498"/>
      </t>
    </mdx>
    <mdx n="508" f="v">
      <t c="3" si="4">
        <n x="509"/>
        <n x="216"/>
        <n x="498"/>
      </t>
    </mdx>
    <mdx n="508" f="v">
      <t c="3" si="4">
        <n x="509"/>
        <n x="188"/>
        <n x="498"/>
      </t>
    </mdx>
    <mdx n="508" f="v">
      <t c="3" si="4">
        <n x="509"/>
        <n x="457"/>
        <n x="499"/>
      </t>
    </mdx>
    <mdx n="508" f="v">
      <t c="3" si="4">
        <n x="509"/>
        <n x="382"/>
        <n x="499"/>
      </t>
    </mdx>
    <mdx n="508" f="v">
      <t c="3" si="4">
        <n x="509"/>
        <n x="147"/>
        <n x="499"/>
      </t>
    </mdx>
    <mdx n="508" f="v">
      <t c="3" si="4">
        <n x="509"/>
        <n x="14"/>
        <n x="499"/>
      </t>
    </mdx>
    <mdx n="508" f="v">
      <t c="3" si="4">
        <n x="509"/>
        <n x="183"/>
        <n x="499"/>
      </t>
    </mdx>
    <mdx n="508" f="v">
      <t c="3" si="4">
        <n x="509"/>
        <n x="51"/>
        <n x="499"/>
      </t>
    </mdx>
    <mdx n="508" f="v">
      <t c="3" si="4">
        <n x="509"/>
        <n x="134"/>
        <n x="500"/>
      </t>
    </mdx>
    <mdx n="508" f="v">
      <t c="3" si="4">
        <n x="509"/>
        <n x="349"/>
        <n x="500"/>
      </t>
    </mdx>
    <mdx n="508" f="v">
      <t c="3" si="4">
        <n x="509"/>
        <n x="272"/>
        <n x="500"/>
      </t>
    </mdx>
    <mdx n="508" f="v">
      <t c="3" si="4">
        <n x="509"/>
        <n x="99"/>
        <n x="501"/>
      </t>
    </mdx>
    <mdx n="508" f="v">
      <t c="3" si="4">
        <n x="509"/>
        <n x="46"/>
        <n x="502"/>
      </t>
    </mdx>
    <mdx n="508" f="v">
      <t c="3" si="4">
        <n x="509"/>
        <n x="306"/>
        <n x="498"/>
      </t>
    </mdx>
    <mdx n="508" f="v">
      <t c="3" si="4">
        <n x="509"/>
        <n x="213"/>
        <n x="498"/>
      </t>
    </mdx>
    <mdx n="508" f="v">
      <t c="3" si="4">
        <n x="509"/>
        <n x="262"/>
        <n x="498"/>
      </t>
    </mdx>
    <mdx n="508" f="v">
      <t c="3" si="4">
        <n x="509"/>
        <n x="308"/>
        <n x="498"/>
      </t>
    </mdx>
    <mdx n="508" f="v">
      <t c="3" si="4">
        <n x="509"/>
        <n x="357"/>
        <n x="498"/>
      </t>
    </mdx>
    <mdx n="508" f="v">
      <t c="3" si="4">
        <n x="509"/>
        <n x="286"/>
        <n x="499"/>
      </t>
    </mdx>
    <mdx n="508" f="v">
      <t c="3" si="4">
        <n x="509"/>
        <n x="221"/>
        <n x="499"/>
      </t>
    </mdx>
    <mdx n="508" f="v">
      <t c="3" si="4">
        <n x="509"/>
        <n x="257"/>
        <n x="499"/>
      </t>
    </mdx>
    <mdx n="508" f="v">
      <t c="3" si="4">
        <n x="509"/>
        <n x="313"/>
        <n x="499"/>
      </t>
    </mdx>
    <mdx n="508" f="v">
      <t c="3" si="4">
        <n x="509"/>
        <n x="164"/>
        <n x="499"/>
      </t>
    </mdx>
    <mdx n="508" f="v">
      <t c="3" si="4">
        <n x="509"/>
        <n x="177"/>
        <n x="499"/>
      </t>
    </mdx>
    <mdx n="508" f="v">
      <t c="3" si="4">
        <n x="509"/>
        <n x="402"/>
        <n x="500"/>
      </t>
    </mdx>
    <mdx n="508" f="v">
      <t c="3" si="4">
        <n x="509"/>
        <n x="264"/>
        <n x="500"/>
      </t>
    </mdx>
    <mdx n="508" f="v">
      <t c="3" si="4">
        <n x="509"/>
        <n x="452"/>
        <n x="500"/>
      </t>
    </mdx>
    <mdx n="508" f="v">
      <t c="3" si="4">
        <n x="509"/>
        <n x="87"/>
        <n x="501"/>
      </t>
    </mdx>
    <mdx n="508" f="v">
      <t c="3" si="4">
        <n x="509"/>
        <n x="93"/>
        <n x="502"/>
      </t>
    </mdx>
    <mdx n="508" f="v">
      <t c="3" si="4">
        <n x="509"/>
        <n x="282"/>
        <n x="499"/>
      </t>
    </mdx>
    <mdx n="508" f="v">
      <t c="3" si="4">
        <n x="509"/>
        <n x="339"/>
        <n x="499"/>
      </t>
    </mdx>
    <mdx n="508" f="v">
      <t c="3" si="4">
        <n x="509"/>
        <n x="409"/>
        <n x="499"/>
      </t>
    </mdx>
    <mdx n="508" f="v">
      <t c="3" si="4">
        <n x="509"/>
        <n x="65"/>
        <n x="500"/>
      </t>
    </mdx>
    <mdx n="508" f="v">
      <t c="3" si="4">
        <n x="509"/>
        <n x="382"/>
        <n x="500"/>
      </t>
    </mdx>
    <mdx n="508" f="v">
      <t c="3" si="4">
        <n x="509"/>
        <n x="244"/>
        <n x="500"/>
      </t>
    </mdx>
    <mdx n="508" f="v">
      <t c="3" si="4">
        <n x="509"/>
        <n x="185"/>
        <n x="501"/>
      </t>
    </mdx>
    <mdx n="508" f="v">
      <t c="3" si="4">
        <n x="509"/>
        <n x="290"/>
        <n x="501"/>
      </t>
    </mdx>
    <mdx n="508" f="v">
      <t c="3" si="4">
        <n x="509"/>
        <n x="17"/>
        <n x="504"/>
      </t>
    </mdx>
    <mdx n="508" f="v">
      <t c="3" si="4">
        <n x="509"/>
        <n x="391"/>
        <n x="499"/>
      </t>
    </mdx>
    <mdx n="508" f="v">
      <t c="3" si="4">
        <n x="509"/>
        <n x="41"/>
        <n x="499"/>
      </t>
    </mdx>
    <mdx n="508" f="v">
      <t c="3" si="4">
        <n x="509"/>
        <n x="262"/>
        <n x="499"/>
      </t>
    </mdx>
    <mdx n="508" f="v">
      <t c="3" si="4">
        <n x="509"/>
        <n x="196"/>
        <n x="499"/>
      </t>
    </mdx>
    <mdx n="508" f="v">
      <t c="3" si="4">
        <n x="509"/>
        <n x="271"/>
        <n x="500"/>
      </t>
    </mdx>
    <mdx n="508" f="v">
      <t c="3" si="4">
        <n x="509"/>
        <n x="381"/>
        <n x="500"/>
      </t>
    </mdx>
    <mdx n="508" f="v">
      <t c="3" si="4">
        <n x="509"/>
        <n x="230"/>
        <n x="500"/>
      </t>
    </mdx>
    <mdx n="508" f="v">
      <t c="3" si="4">
        <n x="509"/>
        <n x="246"/>
        <n x="501"/>
      </t>
    </mdx>
    <mdx n="508" f="v">
      <t c="3" si="4">
        <n x="509"/>
        <n x="100"/>
        <n x="501"/>
      </t>
    </mdx>
    <mdx n="508" f="v">
      <t c="3" si="4">
        <n x="509"/>
        <n x="136"/>
        <n x="498"/>
      </t>
    </mdx>
    <mdx n="508" f="v">
      <t c="3" si="4">
        <n x="509"/>
        <n x="164"/>
        <n x="498"/>
      </t>
    </mdx>
    <mdx n="508" f="v">
      <t c="3" si="4">
        <n x="509"/>
        <n x="236"/>
        <n x="499"/>
      </t>
    </mdx>
    <mdx n="508" f="v">
      <t c="3" si="4">
        <n x="509"/>
        <n x="315"/>
        <n x="499"/>
      </t>
    </mdx>
    <mdx n="508" f="v">
      <t c="3" si="4">
        <n x="509"/>
        <n x="385"/>
        <n x="499"/>
      </t>
    </mdx>
    <mdx n="508" f="v">
      <t c="3" si="4">
        <n x="509"/>
        <n x="264"/>
        <n x="499"/>
      </t>
    </mdx>
    <mdx n="508" f="v">
      <t c="3" si="4">
        <n x="509"/>
        <n x="342"/>
        <n x="499"/>
      </t>
    </mdx>
    <mdx n="508" f="v">
      <t c="3" si="4">
        <n x="509"/>
        <n x="173"/>
        <n x="499"/>
      </t>
    </mdx>
    <mdx n="508" f="v">
      <t c="3" si="4">
        <n x="509"/>
        <n x="428"/>
        <n x="500"/>
      </t>
    </mdx>
    <mdx n="508" f="v">
      <t c="3" si="4">
        <n x="509"/>
        <n x="93"/>
        <n x="500"/>
      </t>
    </mdx>
    <mdx n="508" f="v">
      <t c="3" si="4">
        <n x="509"/>
        <n x="106"/>
        <n x="500"/>
      </t>
    </mdx>
    <mdx n="508" f="v">
      <t c="3" si="4">
        <n x="509"/>
        <n x="232"/>
        <n x="501"/>
      </t>
    </mdx>
    <mdx n="508" f="v">
      <t c="3" si="4">
        <n x="509"/>
        <n x="353"/>
        <n x="501"/>
      </t>
    </mdx>
    <mdx n="508" f="v">
      <t c="3" si="4">
        <n x="509"/>
        <n x="11"/>
        <n x="499"/>
      </t>
    </mdx>
    <mdx n="508" f="v">
      <t c="3" si="4">
        <n x="509"/>
        <n x="86"/>
        <n x="499"/>
      </t>
    </mdx>
    <mdx n="508" f="v">
      <t c="3" si="4">
        <n x="509"/>
        <n x="392"/>
        <n x="499"/>
      </t>
    </mdx>
    <mdx n="508" f="v">
      <t c="3" si="4">
        <n x="509"/>
        <n x="420"/>
        <n x="499"/>
      </t>
    </mdx>
    <mdx n="508" f="v">
      <t c="3" si="4">
        <n x="509"/>
        <n x="387"/>
        <n x="500"/>
      </t>
    </mdx>
    <mdx n="508" f="v">
      <t c="3" si="4">
        <n x="509"/>
        <n x="238"/>
        <n x="500"/>
      </t>
    </mdx>
    <mdx n="508" f="v">
      <t c="3" si="4">
        <n x="509"/>
        <n x="240"/>
        <n x="500"/>
      </t>
    </mdx>
    <mdx n="508" f="v">
      <t c="3" si="4">
        <n x="509"/>
        <n x="442"/>
        <n x="501"/>
      </t>
    </mdx>
    <mdx n="508" f="v">
      <t c="3" si="4">
        <n x="509"/>
        <n x="213"/>
        <n x="502"/>
      </t>
    </mdx>
    <mdx n="508" f="v">
      <t c="3" si="4">
        <n x="509"/>
        <n x="13"/>
        <n x="500"/>
      </t>
    </mdx>
    <mdx n="508" f="v">
      <t c="3" si="4">
        <n x="509"/>
        <n x="332"/>
        <n x="501"/>
      </t>
    </mdx>
    <mdx n="508" f="v">
      <t c="3" si="4">
        <n x="509"/>
        <n x="22"/>
        <n x="501"/>
      </t>
    </mdx>
    <mdx n="508" f="v">
      <t c="3" si="4">
        <n x="509"/>
        <n x="446"/>
        <n x="501"/>
      </t>
    </mdx>
    <mdx n="508" f="v">
      <t c="3" si="4">
        <n x="509"/>
        <n x="335"/>
        <n x="501"/>
      </t>
    </mdx>
    <mdx n="508" f="v">
      <t c="3" si="4">
        <n x="509"/>
        <n x="175"/>
        <n x="501"/>
      </t>
    </mdx>
    <mdx n="508" f="v">
      <t c="3" si="4">
        <n x="509"/>
        <n x="164"/>
        <n x="501"/>
      </t>
    </mdx>
    <mdx n="508" f="v">
      <t c="3" si="4">
        <n x="509"/>
        <n x="110"/>
        <n x="502"/>
      </t>
    </mdx>
    <mdx n="508" f="v">
      <t c="3" si="4">
        <n x="509"/>
        <n x="216"/>
        <n x="502"/>
      </t>
    </mdx>
    <mdx n="508" f="v">
      <t c="3" si="4">
        <n x="509"/>
        <n x="129"/>
        <n x="505"/>
      </t>
    </mdx>
    <mdx n="508" f="v">
      <t c="3" si="4">
        <n x="509"/>
        <n x="280"/>
        <n x="499"/>
      </t>
    </mdx>
    <mdx n="508" f="v">
      <t c="3" si="4">
        <n x="509"/>
        <n x="9"/>
        <n x="499"/>
      </t>
    </mdx>
    <mdx n="508" f="v">
      <t c="3" si="4">
        <n x="509"/>
        <n x="316"/>
        <n x="499"/>
      </t>
    </mdx>
    <mdx n="508" f="v">
      <t c="3" si="4">
        <n x="509"/>
        <n x="307"/>
        <n x="499"/>
      </t>
    </mdx>
    <mdx n="508" f="v">
      <t c="3" si="4">
        <n x="509"/>
        <n x="440"/>
        <n x="500"/>
      </t>
    </mdx>
    <mdx n="508" f="v">
      <t c="3" si="4">
        <n x="509"/>
        <n x="234"/>
        <n x="500"/>
      </t>
    </mdx>
    <mdx n="508" f="v">
      <t c="3" si="4">
        <n x="509"/>
        <n x="38"/>
        <n x="500"/>
      </t>
    </mdx>
    <mdx n="508" f="v">
      <t c="3" si="4">
        <n x="509"/>
        <n x="241"/>
        <n x="500"/>
      </t>
    </mdx>
    <mdx n="508" f="v">
      <t c="3" si="4">
        <n x="509"/>
        <n x="18"/>
        <n x="500"/>
      </t>
    </mdx>
    <mdx n="508" f="v">
      <t c="3" si="4">
        <n x="509"/>
        <n x="352"/>
        <n x="500"/>
      </t>
    </mdx>
    <mdx n="508" f="v">
      <t c="3" si="4">
        <n x="509"/>
        <n x="227"/>
        <n x="500"/>
      </t>
    </mdx>
    <mdx n="508" f="v">
      <t c="3" si="4">
        <n x="509"/>
        <n x="370"/>
        <n x="501"/>
      </t>
    </mdx>
    <mdx n="508" f="v">
      <t c="3" si="4">
        <n x="509"/>
        <n x="257"/>
        <n x="501"/>
      </t>
    </mdx>
    <mdx n="508" f="v">
      <t c="3" si="4">
        <n x="509"/>
        <n x="47"/>
        <n x="501"/>
      </t>
    </mdx>
    <mdx n="508" f="v">
      <t c="3" si="4">
        <n x="509"/>
        <n x="350"/>
        <n x="501"/>
      </t>
    </mdx>
    <mdx n="508" f="v">
      <t c="3" si="4">
        <n x="509"/>
        <n x="91"/>
        <n x="501"/>
      </t>
    </mdx>
    <mdx n="508" f="v">
      <t c="3" si="4">
        <n x="509"/>
        <n x="307"/>
        <n x="501"/>
      </t>
    </mdx>
    <mdx n="508" f="v">
      <t c="3" si="4">
        <n x="509"/>
        <n x="174"/>
        <n x="502"/>
      </t>
    </mdx>
    <mdx n="508" f="v">
      <t c="3" si="4">
        <n x="509"/>
        <n x="406"/>
        <n x="503"/>
      </t>
    </mdx>
    <mdx n="508" f="v">
      <t c="3" si="4">
        <n x="509"/>
        <n x="175"/>
        <n x="499"/>
      </t>
    </mdx>
    <mdx n="508" f="v">
      <t c="3" si="4">
        <n x="509"/>
        <n x="278"/>
        <n x="499"/>
      </t>
    </mdx>
    <mdx n="508" f="v">
      <t c="3" si="4">
        <n x="509"/>
        <n x="414"/>
        <n x="499"/>
      </t>
    </mdx>
    <mdx n="508" f="v">
      <t c="3" si="4">
        <n x="509"/>
        <n x="268"/>
        <n x="500"/>
      </t>
    </mdx>
    <mdx n="508" f="v">
      <t c="3" si="4">
        <n x="509"/>
        <n x="419"/>
        <n x="500"/>
      </t>
    </mdx>
    <mdx n="508" f="v">
      <t c="3" si="4">
        <n x="509"/>
        <n x="217"/>
        <n x="500"/>
      </t>
    </mdx>
    <mdx n="508" f="v">
      <t c="3" si="4">
        <n x="509"/>
        <n x="70"/>
        <n x="500"/>
      </t>
    </mdx>
    <mdx n="508" f="v">
      <t c="3" si="4">
        <n x="509"/>
        <n x="360"/>
        <n x="500"/>
      </t>
    </mdx>
    <mdx n="508" f="v">
      <t c="3" si="4">
        <n x="509"/>
        <n x="101"/>
        <n x="500"/>
      </t>
    </mdx>
    <mdx n="508" f="v">
      <t c="3" si="4">
        <n x="509"/>
        <n x="112"/>
        <n x="500"/>
      </t>
    </mdx>
    <mdx n="508" f="v">
      <t c="3" si="4">
        <n x="509"/>
        <n x="310"/>
        <n x="500"/>
      </t>
    </mdx>
    <mdx n="508" f="v">
      <t c="3" si="4">
        <n x="509"/>
        <n x="443"/>
        <n x="501"/>
      </t>
    </mdx>
    <mdx n="508" f="v">
      <t c="3" si="4">
        <n x="509"/>
        <n x="24"/>
        <n x="501"/>
      </t>
    </mdx>
    <mdx n="508" f="v">
      <t c="3" si="4">
        <n x="509"/>
        <n x="46"/>
        <n x="501"/>
      </t>
    </mdx>
    <mdx n="508" f="v">
      <t c="3" si="4">
        <n x="509"/>
        <n x="25"/>
        <n x="501"/>
      </t>
    </mdx>
    <mdx n="508" f="v">
      <t c="3" si="4">
        <n x="509"/>
        <n x="405"/>
        <n x="501"/>
      </t>
    </mdx>
    <mdx n="508" f="v">
      <t c="3" si="4">
        <n x="509"/>
        <n x="60"/>
        <n x="502"/>
      </t>
    </mdx>
    <mdx n="508" f="v">
      <t c="3" si="4">
        <n x="509"/>
        <n x="348"/>
        <n x="502"/>
      </t>
    </mdx>
    <mdx n="508" f="v">
      <t c="3" si="4">
        <n x="509"/>
        <n x="278"/>
        <n x="503"/>
      </t>
    </mdx>
    <mdx n="508" f="v">
      <t c="3" si="4">
        <n x="509"/>
        <n x="176"/>
        <n x="500"/>
      </t>
    </mdx>
    <mdx n="508" f="v">
      <t c="3" si="4">
        <n x="509"/>
        <n x="130"/>
        <n x="500"/>
      </t>
    </mdx>
    <mdx n="508" f="v">
      <t c="3" si="4">
        <n x="509"/>
        <n x="261"/>
        <n x="500"/>
      </t>
    </mdx>
    <mdx n="508" f="v">
      <t c="3" si="4">
        <n x="509"/>
        <n x="403"/>
        <n x="500"/>
      </t>
    </mdx>
    <mdx n="508" f="v">
      <t c="3" si="4">
        <n x="509"/>
        <n x="259"/>
        <n x="501"/>
      </t>
    </mdx>
    <mdx n="508" f="v">
      <t c="3" si="4">
        <n x="509"/>
        <n x="351"/>
        <n x="501"/>
      </t>
    </mdx>
    <mdx n="508" f="v">
      <t c="3" si="4">
        <n x="509"/>
        <n x="75"/>
        <n x="501"/>
      </t>
    </mdx>
    <mdx n="508" f="v">
      <t c="3" si="4">
        <n x="509"/>
        <n x="86"/>
        <n x="501"/>
      </t>
    </mdx>
    <mdx n="508" f="v">
      <t c="3" si="4">
        <n x="509"/>
        <n x="113"/>
        <n x="501"/>
      </t>
    </mdx>
    <mdx n="508" f="v">
      <t c="3" si="4">
        <n x="509"/>
        <n x="121"/>
        <n x="501"/>
      </t>
    </mdx>
    <mdx n="508" f="v">
      <t c="3" si="4">
        <n x="509"/>
        <n x="269"/>
        <n x="502"/>
      </t>
    </mdx>
    <mdx n="508" f="v">
      <t c="3" si="4">
        <n x="509"/>
        <n x="364"/>
        <n x="503"/>
      </t>
    </mdx>
    <mdx n="508" f="v">
      <t c="3" si="4">
        <n x="509"/>
        <n x="3"/>
        <n x="499"/>
      </t>
    </mdx>
    <mdx n="508" f="v">
      <t c="3" si="4">
        <n x="509"/>
        <n x="434"/>
        <n x="500"/>
      </t>
    </mdx>
    <mdx n="508" f="v">
      <t c="3" si="4">
        <n x="509"/>
        <n x="119"/>
        <n x="500"/>
      </t>
    </mdx>
    <mdx n="508" f="v">
      <t c="3" si="4">
        <n x="509"/>
        <n x="27"/>
        <n x="500"/>
      </t>
    </mdx>
    <mdx n="508" f="v">
      <t c="3" si="4">
        <n x="509"/>
        <n x="220"/>
        <n x="500"/>
      </t>
    </mdx>
    <mdx n="508" f="v">
      <t c="3" si="4">
        <n x="509"/>
        <n x="113"/>
        <n x="500"/>
      </t>
    </mdx>
    <mdx n="508" f="v">
      <t c="3" si="4">
        <n x="509"/>
        <n x="148"/>
        <n x="500"/>
      </t>
    </mdx>
    <mdx n="508" f="v">
      <t c="3" si="4">
        <n x="509"/>
        <n x="111"/>
        <n x="500"/>
      </t>
    </mdx>
    <mdx n="508" f="v">
      <t c="3" si="4">
        <n x="509"/>
        <n x="286"/>
        <n x="501"/>
      </t>
    </mdx>
    <mdx n="508" f="v">
      <t c="3" si="4">
        <n x="509"/>
        <n x="137"/>
        <n x="501"/>
      </t>
    </mdx>
    <mdx n="508" f="v">
      <t c="3" si="4">
        <n x="509"/>
        <n x="69"/>
        <n x="501"/>
      </t>
    </mdx>
    <mdx n="508" f="v">
      <t c="3" si="4">
        <n x="509"/>
        <n x="448"/>
        <n x="501"/>
      </t>
    </mdx>
    <mdx n="508" f="v">
      <t c="3" si="4">
        <n x="509"/>
        <n x="272"/>
        <n x="501"/>
      </t>
    </mdx>
    <mdx n="508" f="v">
      <t c="3" si="4">
        <n x="509"/>
        <n x="179"/>
        <n x="502"/>
      </t>
    </mdx>
    <mdx n="508" f="v">
      <t c="3" si="4">
        <n x="509"/>
        <n x="400"/>
        <n x="502"/>
      </t>
    </mdx>
    <mdx n="508" f="v">
      <t c="3" si="4">
        <n x="509"/>
        <n x="44"/>
        <n x="503"/>
      </t>
    </mdx>
    <mdx n="508" f="v">
      <t c="3" si="4">
        <n x="509"/>
        <n x="429"/>
        <n x="499"/>
      </t>
    </mdx>
    <mdx n="508" f="v">
      <t c="3" si="4">
        <n x="509"/>
        <n x="153"/>
        <n x="499"/>
      </t>
    </mdx>
    <mdx n="508" f="v">
      <t c="3" si="4">
        <n x="509"/>
        <n x="204"/>
        <n x="499"/>
      </t>
    </mdx>
    <mdx n="508" f="v">
      <t c="3" si="4">
        <n x="509"/>
        <n x="34"/>
        <n x="500"/>
      </t>
    </mdx>
    <mdx n="508" f="v">
      <t c="3" si="4">
        <n x="509"/>
        <n x="37"/>
        <n x="500"/>
      </t>
    </mdx>
    <mdx n="508" f="v">
      <t c="3" si="4">
        <n x="509"/>
        <n x="8"/>
        <n x="500"/>
      </t>
    </mdx>
    <mdx n="508" f="v">
      <t c="3" si="4">
        <n x="509"/>
        <n x="282"/>
        <n x="500"/>
      </t>
    </mdx>
    <mdx n="508" f="v">
      <t c="3" si="4">
        <n x="509"/>
        <n x="178"/>
        <n x="500"/>
      </t>
    </mdx>
    <mdx n="508" f="v">
      <t c="3" si="4">
        <n x="509"/>
        <n x="85"/>
        <n x="500"/>
      </t>
    </mdx>
    <mdx n="508" f="v">
      <t c="3" si="4">
        <n x="509"/>
        <n x="379"/>
        <n x="500"/>
      </t>
    </mdx>
    <mdx n="508" f="v">
      <t c="3" si="4">
        <n x="509"/>
        <n x="307"/>
        <n x="500"/>
      </t>
    </mdx>
    <mdx n="508" f="v">
      <t c="3" si="4">
        <n x="509"/>
        <n x="440"/>
        <n x="501"/>
      </t>
    </mdx>
    <mdx n="508" f="v">
      <t c="3" si="4">
        <n x="509"/>
        <n x="21"/>
        <n x="501"/>
      </t>
    </mdx>
    <mdx n="508" f="v">
      <t c="3" si="4">
        <n x="509"/>
        <n x="38"/>
        <n x="501"/>
      </t>
    </mdx>
    <mdx n="508" f="v">
      <t c="3" si="4">
        <n x="509"/>
        <n x="381"/>
        <n x="501"/>
      </t>
    </mdx>
    <mdx n="508" f="v">
      <t c="3" si="4">
        <n x="509"/>
        <n x="392"/>
        <n x="501"/>
      </t>
    </mdx>
    <mdx n="508" f="v">
      <t c="3" si="4">
        <n x="509"/>
        <n x="135"/>
        <n x="502"/>
      </t>
    </mdx>
    <mdx n="508" f="v">
      <t c="3" si="4">
        <n x="509"/>
        <n x="241"/>
        <n x="502"/>
      </t>
    </mdx>
    <mdx n="508" f="v">
      <t c="3" si="4">
        <n x="509"/>
        <n x="296"/>
        <n x="503"/>
      </t>
    </mdx>
    <mdx n="508" f="v">
      <t c="3" si="4">
        <n x="509"/>
        <n x="463"/>
        <n x="501"/>
      </t>
    </mdx>
    <mdx n="508" f="v">
      <t c="3" si="4">
        <n x="509"/>
        <n x="218"/>
        <n x="501"/>
      </t>
    </mdx>
    <mdx n="508" f="v">
      <t c="3" si="4">
        <n x="509"/>
        <n x="388"/>
        <n x="501"/>
      </t>
    </mdx>
    <mdx n="508" f="v">
      <t c="3" si="4">
        <n x="509"/>
        <n x="12"/>
        <n x="501"/>
      </t>
    </mdx>
    <mdx n="508" f="v">
      <t c="3" si="4">
        <n x="509"/>
        <n x="229"/>
        <n x="502"/>
      </t>
    </mdx>
    <mdx n="508" f="v">
      <t c="3" si="4">
        <n x="509"/>
        <n x="144"/>
        <n x="502"/>
      </t>
    </mdx>
    <mdx n="508" f="v">
      <t c="3" si="4">
        <n x="509"/>
        <n x="157"/>
        <n x="502"/>
      </t>
    </mdx>
    <mdx n="508" f="v">
      <t c="3" si="4">
        <n x="509"/>
        <n x="176"/>
        <n x="502"/>
      </t>
    </mdx>
    <mdx n="508" f="v">
      <t c="3" si="4">
        <n x="509"/>
        <n x="262"/>
        <n x="502"/>
      </t>
    </mdx>
    <mdx n="508" f="v">
      <t c="3" si="4">
        <n x="509"/>
        <n x="254"/>
        <n x="502"/>
      </t>
    </mdx>
    <mdx n="508" f="v">
      <t c="3" si="4">
        <n x="509"/>
        <n x="23"/>
        <n x="503"/>
      </t>
    </mdx>
    <mdx n="508" f="v">
      <t c="3" si="4">
        <n x="509"/>
        <n x="70"/>
        <n x="503"/>
      </t>
    </mdx>
    <mdx n="508" f="v">
      <t c="3" si="4">
        <n x="509"/>
        <n x="342"/>
        <n x="503"/>
      </t>
    </mdx>
    <mdx n="508" f="v">
      <t c="3" si="4">
        <n x="509"/>
        <n x="454"/>
        <n x="503"/>
      </t>
    </mdx>
    <mdx n="508" f="v">
      <t c="3" si="4">
        <n x="509"/>
        <n x="434"/>
        <n x="504"/>
      </t>
    </mdx>
    <mdx n="508" f="v">
      <t c="3" si="4">
        <n x="509"/>
        <n x="390"/>
        <n x="504"/>
      </t>
    </mdx>
    <mdx n="508" f="v">
      <t c="3" si="4">
        <n x="509"/>
        <n x="242"/>
        <n x="505"/>
      </t>
    </mdx>
    <mdx n="508" f="v">
      <t c="3" si="4">
        <n x="509"/>
        <n x="7"/>
        <n x="501"/>
      </t>
    </mdx>
    <mdx n="508" f="v">
      <t c="3" si="4">
        <n x="509"/>
        <n x="76"/>
        <n x="501"/>
      </t>
    </mdx>
    <mdx n="508" f="v">
      <t c="3" si="4">
        <n x="509"/>
        <n x="371"/>
        <n x="502"/>
      </t>
    </mdx>
    <mdx n="508" f="v">
      <t c="3" si="4">
        <n x="509"/>
        <n x="364"/>
        <n x="502"/>
      </t>
    </mdx>
    <mdx n="508" f="v">
      <t c="3" si="4">
        <n x="509"/>
        <n x="119"/>
        <n x="502"/>
      </t>
    </mdx>
    <mdx n="508" f="v">
      <t c="3" si="4">
        <n x="509"/>
        <n x="323"/>
        <n x="502"/>
      </t>
    </mdx>
    <mdx n="508" f="v">
      <t c="3" si="4">
        <n x="509"/>
        <n x="385"/>
        <n x="502"/>
      </t>
    </mdx>
    <mdx n="508" f="v">
      <t c="3" si="4">
        <n x="509"/>
        <n x="130"/>
        <n x="502"/>
      </t>
    </mdx>
    <mdx n="508" f="v">
      <t c="3" si="4">
        <n x="509"/>
        <n x="340"/>
        <n x="502"/>
      </t>
    </mdx>
    <mdx n="508" f="v">
      <t c="3" si="4">
        <n x="509"/>
        <n x="94"/>
        <n x="503"/>
      </t>
    </mdx>
    <mdx n="508" f="v">
      <t c="3" si="4">
        <n x="509"/>
        <n x="181"/>
        <n x="503"/>
      </t>
    </mdx>
    <mdx n="508" f="v">
      <t c="3" si="4">
        <n x="509"/>
        <n x="109"/>
        <n x="503"/>
      </t>
    </mdx>
    <mdx n="508" f="v">
      <t c="3" si="4">
        <n x="509"/>
        <n x="436"/>
        <n x="503"/>
      </t>
    </mdx>
    <mdx n="508" f="v">
      <t c="3" si="4">
        <n x="509"/>
        <n x="226"/>
        <n x="504"/>
      </t>
    </mdx>
    <mdx n="508" f="v">
      <t c="3" si="4">
        <n x="509"/>
        <n x="150"/>
        <n x="504"/>
      </t>
    </mdx>
    <mdx n="508" f="v">
      <t c="3" si="4">
        <n x="509"/>
        <n x="456"/>
        <n x="505"/>
      </t>
    </mdx>
    <mdx n="508" f="v">
      <t c="3" si="4">
        <n x="509"/>
        <n x="28"/>
        <n x="501"/>
      </t>
    </mdx>
    <mdx n="508" f="v">
      <t c="3" si="4">
        <n x="509"/>
        <n x="293"/>
        <n x="501"/>
      </t>
    </mdx>
    <mdx n="508" f="v">
      <t c="3" si="4">
        <n x="509"/>
        <n x="126"/>
        <n x="502"/>
      </t>
    </mdx>
    <mdx n="508" f="v">
      <t c="3" si="4">
        <n x="509"/>
        <n x="437"/>
        <n x="502"/>
      </t>
    </mdx>
    <mdx n="508" f="v">
      <t c="3" si="4">
        <n x="509"/>
        <n x="8"/>
        <n x="502"/>
      </t>
    </mdx>
    <mdx n="508" f="v">
      <t c="3" si="4">
        <n x="509"/>
        <n x="192"/>
        <n x="502"/>
      </t>
    </mdx>
    <mdx n="508" f="v">
      <t c="3" si="4">
        <n x="509"/>
        <n x="458"/>
        <n x="502"/>
      </t>
    </mdx>
    <mdx n="508" f="v">
      <t c="3" si="4">
        <n x="509"/>
        <n x="113"/>
        <n x="502"/>
      </t>
    </mdx>
    <mdx n="508" f="v">
      <t c="3" si="4">
        <n x="509"/>
        <n x="247"/>
        <n x="502"/>
      </t>
    </mdx>
    <mdx n="508" f="v">
      <t c="3" si="4">
        <n x="509"/>
        <n x="116"/>
        <n x="503"/>
      </t>
    </mdx>
    <mdx n="508" f="v">
      <t c="3" si="4">
        <n x="509"/>
        <n x="413"/>
        <n x="503"/>
      </t>
    </mdx>
    <mdx n="508" f="v">
      <t c="3" si="4">
        <n x="509"/>
        <n x="232"/>
        <n x="503"/>
      </t>
    </mdx>
    <mdx n="508" f="v">
      <t c="3" si="4">
        <n x="509"/>
        <n x="228"/>
        <n x="503"/>
      </t>
    </mdx>
    <mdx n="508" f="v">
      <t c="3" si="4">
        <n x="509"/>
        <n x="242"/>
        <n x="504"/>
      </t>
    </mdx>
    <mdx n="508" f="v">
      <t c="3" si="4">
        <n x="509"/>
        <n x="342"/>
        <n x="504"/>
      </t>
    </mdx>
    <mdx n="508" f="v">
      <t c="3" si="4">
        <n x="509"/>
        <n x="154"/>
        <n x="505"/>
      </t>
    </mdx>
    <mdx n="508" f="v">
      <t c="3" si="4">
        <n x="509"/>
        <n x="336"/>
        <n x="501"/>
      </t>
    </mdx>
    <mdx n="508" f="v">
      <t c="3" si="4">
        <n x="509"/>
        <n x="393"/>
        <n x="501"/>
      </t>
    </mdx>
    <mdx n="508" f="v">
      <t c="3" si="4">
        <n x="509"/>
        <n x="260"/>
        <n x="501"/>
      </t>
    </mdx>
    <mdx n="508" f="v">
      <t c="3" si="4">
        <n x="509"/>
        <n x="114"/>
        <n x="501"/>
      </t>
    </mdx>
    <mdx n="508" f="v">
      <t c="3" si="4">
        <n x="509"/>
        <n x="253"/>
        <n x="502"/>
      </t>
    </mdx>
    <mdx n="508" f="v">
      <t c="3" si="4">
        <n x="509"/>
        <n x="449"/>
        <n x="502"/>
      </t>
    </mdx>
    <mdx n="508" f="v">
      <t c="3" si="4">
        <n x="509"/>
        <n x="281"/>
        <n x="502"/>
      </t>
    </mdx>
    <mdx n="508" f="v">
      <t c="3" si="4">
        <n x="509"/>
        <n x="206"/>
        <n x="502"/>
      </t>
    </mdx>
    <mdx n="508" f="v">
      <t c="3" si="4">
        <n x="509"/>
        <n x="43"/>
        <n x="502"/>
      </t>
    </mdx>
    <mdx n="508" f="v">
      <t c="3" si="4">
        <n x="509"/>
        <n x="63"/>
        <n x="502"/>
      </t>
    </mdx>
    <mdx n="508" f="v">
      <t c="3" si="4">
        <n x="509"/>
        <n x="133"/>
        <n x="503"/>
      </t>
    </mdx>
    <mdx n="508" f="v">
      <t c="3" si="4">
        <n x="509"/>
        <n x="385"/>
        <n x="503"/>
      </t>
    </mdx>
    <mdx n="508" f="v">
      <t c="3" si="4">
        <n x="509"/>
        <n x="433"/>
        <n x="503"/>
      </t>
    </mdx>
    <mdx n="508" f="v">
      <t c="3" si="4">
        <n x="509"/>
        <n x="22"/>
        <n x="503"/>
      </t>
    </mdx>
    <mdx n="508" f="v">
      <t c="3" si="4">
        <n x="509"/>
        <n x="370"/>
        <n x="504"/>
      </t>
    </mdx>
    <mdx n="508" f="v">
      <t c="3" si="4">
        <n x="509"/>
        <n x="255"/>
        <n x="504"/>
      </t>
    </mdx>
    <mdx n="508" f="v">
      <t c="3" si="4">
        <n x="509"/>
        <n x="219"/>
        <n x="505"/>
      </t>
    </mdx>
    <mdx n="508" f="v">
      <t c="3" si="4">
        <n x="509"/>
        <n x="85"/>
        <n x="494"/>
      </t>
    </mdx>
    <mdx n="508" f="v">
      <t c="3" si="4">
        <n x="509"/>
        <n x="461"/>
        <n x="495"/>
      </t>
    </mdx>
    <mdx n="508" f="v">
      <t c="3" si="4">
        <n x="509"/>
        <n x="250"/>
        <n x="492"/>
      </t>
    </mdx>
    <mdx n="508" f="v">
      <t c="3" si="4">
        <n x="509"/>
        <n x="385"/>
        <n x="494"/>
      </t>
    </mdx>
    <mdx n="508" f="v">
      <t c="3" si="4">
        <n x="509"/>
        <n x="95"/>
        <n x="494"/>
      </t>
    </mdx>
    <mdx n="508" f="v">
      <t c="3" si="4">
        <n x="509"/>
        <n x="350"/>
        <n x="495"/>
      </t>
    </mdx>
    <mdx n="508" f="v">
      <t c="3" si="4">
        <n x="509"/>
        <n x="224"/>
        <n x="495"/>
      </t>
    </mdx>
    <mdx n="508" f="v">
      <t c="3" si="4">
        <n x="509"/>
        <n x="105"/>
        <n x="495"/>
      </t>
    </mdx>
    <mdx n="508" f="v">
      <t c="3" si="4">
        <n x="509"/>
        <n x="247"/>
        <n x="482"/>
      </t>
    </mdx>
    <mdx n="508" f="v">
      <t c="3" si="4">
        <n x="509"/>
        <n x="424"/>
        <n x="491"/>
      </t>
    </mdx>
    <mdx n="508" f="v">
      <t c="3" si="4">
        <n x="509"/>
        <n x="334"/>
        <n x="484"/>
      </t>
    </mdx>
    <mdx n="508" f="v">
      <t c="3" si="4">
        <n x="509"/>
        <n x="335"/>
        <n x="492"/>
      </t>
    </mdx>
    <mdx n="508" f="v">
      <t c="3" si="4">
        <n x="509"/>
        <n x="280"/>
        <n x="493"/>
      </t>
    </mdx>
    <mdx n="508" f="v">
      <t c="3" si="4">
        <n x="509"/>
        <n x="67"/>
        <n x="494"/>
      </t>
    </mdx>
    <mdx n="508" f="v">
      <t c="3" si="4">
        <n x="509"/>
        <n x="250"/>
        <n x="494"/>
      </t>
    </mdx>
    <mdx n="508" f="v">
      <t c="3" si="4">
        <n x="509"/>
        <n x="179"/>
        <n x="494"/>
      </t>
    </mdx>
    <mdx n="508" f="v">
      <t c="3" si="4">
        <n x="509"/>
        <n x="239"/>
        <n x="494"/>
      </t>
    </mdx>
    <mdx n="508" f="v">
      <t c="3" si="4">
        <n x="509"/>
        <n x="301"/>
        <n x="495"/>
      </t>
    </mdx>
    <mdx n="508" f="v">
      <t c="3" si="4">
        <n x="509"/>
        <n x="220"/>
        <n x="495"/>
      </t>
    </mdx>
    <mdx n="508" f="v">
      <t c="3" si="4">
        <n x="509"/>
        <n x="264"/>
        <n x="495"/>
      </t>
    </mdx>
    <mdx n="508" f="v">
      <t c="3" si="4">
        <n x="509"/>
        <n x="123"/>
        <n x="495"/>
      </t>
    </mdx>
    <mdx n="508" f="v">
      <t c="3" si="4">
        <n x="509"/>
        <n x="188"/>
        <n x="495"/>
      </t>
    </mdx>
    <mdx n="508" f="v">
      <t c="3" si="4">
        <n x="509"/>
        <n x="431"/>
        <n x="490"/>
      </t>
    </mdx>
    <mdx n="508" f="v">
      <t c="3" si="4">
        <n x="509"/>
        <n x="361"/>
        <n x="494"/>
      </t>
    </mdx>
    <mdx n="508" f="v">
      <t c="3" si="4">
        <n x="509"/>
        <n x="24"/>
        <n x="495"/>
      </t>
    </mdx>
    <mdx n="508" f="v">
      <t c="3" si="4">
        <n x="509"/>
        <n x="242"/>
        <n x="481"/>
      </t>
    </mdx>
    <mdx n="508" f="v">
      <t c="3" si="4">
        <n x="509"/>
        <n x="418"/>
        <n x="482"/>
      </t>
    </mdx>
    <mdx n="508" f="v">
      <t c="3" si="4">
        <n x="509"/>
        <n x="92"/>
        <n x="491"/>
      </t>
    </mdx>
    <mdx n="508" f="v">
      <t c="3" si="4">
        <n x="509"/>
        <n x="205"/>
        <n x="491"/>
      </t>
    </mdx>
    <mdx n="508" f="v">
      <t c="3" si="4">
        <n x="509"/>
        <n x="178"/>
        <n x="492"/>
      </t>
    </mdx>
    <mdx n="508" f="v">
      <t c="3" si="4">
        <n x="509"/>
        <n x="59"/>
        <n x="493"/>
      </t>
    </mdx>
    <mdx n="508" f="v">
      <t c="3" si="4">
        <n x="509"/>
        <n x="310"/>
        <n x="493"/>
      </t>
    </mdx>
    <mdx n="508" f="v">
      <t c="3" si="4">
        <n x="509"/>
        <n x="452"/>
        <n x="494"/>
      </t>
    </mdx>
    <mdx n="508" f="v">
      <t c="3" si="4">
        <n x="509"/>
        <n x="149"/>
        <n x="494"/>
      </t>
    </mdx>
    <mdx n="508" f="v">
      <t c="3" si="4">
        <n x="509"/>
        <n x="388"/>
        <n x="494"/>
      </t>
    </mdx>
    <mdx n="508" f="v">
      <t c="3" si="4">
        <n x="509"/>
        <n x="190"/>
        <n x="495"/>
      </t>
    </mdx>
    <mdx n="508" f="v">
      <t c="3" si="4">
        <n x="509"/>
        <n x="8"/>
        <n x="495"/>
      </t>
    </mdx>
    <mdx n="508" f="v">
      <t c="3" si="4">
        <n x="509"/>
        <n x="396"/>
        <n x="495"/>
      </t>
    </mdx>
    <mdx n="508" f="v">
      <t c="3" si="4">
        <n x="509"/>
        <n x="113"/>
        <n x="495"/>
      </t>
    </mdx>
    <mdx n="508" f="v">
      <t c="3" si="4">
        <n x="509"/>
        <n x="328"/>
        <n x="495"/>
      </t>
    </mdx>
    <mdx n="508" f="v">
      <t c="3" si="4">
        <n x="509"/>
        <n x="104"/>
        <n x="495"/>
      </t>
    </mdx>
    <mdx n="508" f="v">
      <t c="3" si="4">
        <n x="509"/>
        <n x="302"/>
        <n x="483"/>
      </t>
    </mdx>
    <mdx n="508" f="v">
      <t c="3" si="4">
        <n x="509"/>
        <n x="7"/>
        <n x="493"/>
      </t>
    </mdx>
    <mdx n="508" f="v">
      <t c="3" si="4">
        <n x="509"/>
        <n x="415"/>
        <n x="495"/>
      </t>
    </mdx>
    <mdx n="508" f="v">
      <t c="3" si="4">
        <n x="509"/>
        <n x="401"/>
        <n x="481"/>
      </t>
    </mdx>
    <mdx n="508" f="v">
      <t c="3" si="4">
        <n x="509"/>
        <n x="16"/>
        <n x="481"/>
      </t>
    </mdx>
    <mdx n="508" f="v">
      <t c="3" si="4">
        <n x="509"/>
        <n x="278"/>
        <n x="488"/>
      </t>
    </mdx>
    <mdx n="508" f="v">
      <t c="3" si="4">
        <n x="509"/>
        <n x="118"/>
        <n x="484"/>
      </t>
    </mdx>
    <mdx n="508" f="v">
      <t c="3" si="4">
        <n x="509"/>
        <n x="410"/>
        <n x="492"/>
      </t>
    </mdx>
    <mdx n="508" f="v">
      <t c="3" si="4">
        <n x="509"/>
        <n x="263"/>
        <n x="493"/>
      </t>
    </mdx>
    <mdx n="508" f="v">
      <t c="3" si="4">
        <n x="509"/>
        <n x="100"/>
        <n x="493"/>
      </t>
    </mdx>
    <mdx n="508" f="v">
      <t c="3" si="4">
        <n x="509"/>
        <n x="88"/>
        <n x="494"/>
      </t>
    </mdx>
    <mdx n="508" f="v">
      <t c="3" si="4">
        <n x="509"/>
        <n x="290"/>
        <n x="494"/>
      </t>
    </mdx>
    <mdx n="508" f="v">
      <t c="3" si="4">
        <n x="509"/>
        <n x="195"/>
        <n x="494"/>
      </t>
    </mdx>
    <mdx n="508" f="v">
      <t c="3" si="4">
        <n x="509"/>
        <n x="297"/>
        <n x="495"/>
      </t>
    </mdx>
    <mdx n="508" f="v">
      <t c="3" si="4">
        <n x="509"/>
        <n x="401"/>
        <n x="495"/>
      </t>
    </mdx>
    <mdx n="508" f="v">
      <t c="3" si="4">
        <n x="509"/>
        <n x="49"/>
        <n x="495"/>
      </t>
    </mdx>
    <mdx n="508" f="v">
      <t c="3" si="4">
        <n x="509"/>
        <n x="43"/>
        <n x="495"/>
      </t>
    </mdx>
    <mdx n="508" f="v">
      <t c="3" si="4">
        <n x="509"/>
        <n x="277"/>
        <n x="495"/>
      </t>
    </mdx>
    <mdx n="508" f="v">
      <t c="3" si="4">
        <n x="509"/>
        <n x="26"/>
        <n x="495"/>
      </t>
    </mdx>
    <mdx n="508" f="v">
      <t c="3" si="4">
        <n x="509"/>
        <n x="433"/>
        <n x="490"/>
      </t>
    </mdx>
    <mdx n="508" f="v">
      <t c="3" si="4">
        <n x="509"/>
        <n x="324"/>
        <n x="493"/>
      </t>
    </mdx>
    <mdx n="508" f="v">
      <t c="3" si="4">
        <n x="509"/>
        <n x="459"/>
        <n x="495"/>
      </t>
    </mdx>
    <mdx n="508" f="v">
      <t c="3" si="4">
        <n x="509"/>
        <n x="48"/>
        <n x="480"/>
      </t>
    </mdx>
    <mdx n="508" f="v">
      <t c="3" si="4">
        <n x="509"/>
        <n x="423"/>
        <n x="483"/>
      </t>
    </mdx>
    <mdx n="508" f="v">
      <t c="3" si="4">
        <n x="509"/>
        <n x="35"/>
        <n x="489"/>
      </t>
    </mdx>
    <mdx n="508" f="v">
      <t c="3" si="4">
        <n x="509"/>
        <n x="72"/>
        <n x="487"/>
      </t>
    </mdx>
    <mdx n="508" f="v">
      <t c="3" si="4">
        <n x="509"/>
        <n x="132"/>
        <n x="492"/>
      </t>
    </mdx>
    <mdx n="508" f="v">
      <t c="3" si="4">
        <n x="509"/>
        <n x="258"/>
        <n x="493"/>
      </t>
    </mdx>
    <mdx n="508" f="v">
      <t c="3" si="4">
        <n x="509"/>
        <n x="97"/>
        <n x="493"/>
      </t>
    </mdx>
    <mdx n="508" f="v">
      <t c="3" si="4">
        <n x="509"/>
        <n x="235"/>
        <n x="494"/>
      </t>
    </mdx>
    <mdx n="508" f="v">
      <t c="3" si="4">
        <n x="509"/>
        <n x="454"/>
        <n x="494"/>
      </t>
    </mdx>
    <mdx n="508" f="v">
      <t c="3" si="4">
        <n x="509"/>
        <n x="66"/>
        <n x="494"/>
      </t>
    </mdx>
    <mdx n="508" f="v">
      <t c="3" si="4">
        <n x="509"/>
        <n x="36"/>
        <n x="494"/>
      </t>
    </mdx>
    <mdx n="508" f="v">
      <t c="3" si="4">
        <n x="509"/>
        <n x="428"/>
        <n x="494"/>
      </t>
    </mdx>
    <mdx n="508" f="v">
      <t c="3" si="4">
        <n x="509"/>
        <n x="58"/>
        <n x="495"/>
      </t>
    </mdx>
    <mdx n="508" f="v">
      <t c="3" si="4">
        <n x="509"/>
        <n x="242"/>
        <n x="495"/>
      </t>
    </mdx>
    <mdx n="508" f="v">
      <t c="3" si="4">
        <n x="509"/>
        <n x="295"/>
        <n x="495"/>
      </t>
    </mdx>
    <mdx n="508" f="v">
      <t c="3" si="4">
        <n x="509"/>
        <n x="431"/>
        <n x="495"/>
      </t>
    </mdx>
    <mdx n="508" f="v">
      <t c="3" si="4">
        <n x="509"/>
        <n x="106"/>
        <n x="495"/>
      </t>
    </mdx>
    <mdx n="508" f="v">
      <t c="3" si="4">
        <n x="509"/>
        <n x="177"/>
        <n x="482"/>
      </t>
    </mdx>
    <mdx n="508" f="v">
      <t c="3" si="4">
        <n x="509"/>
        <n x="364"/>
        <n x="490"/>
      </t>
    </mdx>
    <mdx n="508" f="v">
      <t c="3" si="4">
        <n x="509"/>
        <n x="71"/>
        <n x="493"/>
      </t>
    </mdx>
    <mdx n="508" f="v">
      <t c="3" si="4">
        <n x="509"/>
        <n x="425"/>
        <n x="494"/>
      </t>
    </mdx>
    <mdx n="508" f="v">
      <t c="3" si="4">
        <n x="509"/>
        <n x="17"/>
        <n x="495"/>
      </t>
    </mdx>
    <mdx n="508" f="v">
      <t c="3" si="4">
        <n x="509"/>
        <n x="222"/>
        <n x="496"/>
      </t>
    </mdx>
    <mdx n="508" f="v">
      <t c="3" si="4">
        <n x="509"/>
        <n x="166"/>
        <n x="496"/>
      </t>
    </mdx>
    <mdx n="508" f="v">
      <t c="3" si="4">
        <n x="509"/>
        <n x="202"/>
        <n x="496"/>
      </t>
    </mdx>
    <mdx n="508" f="v">
      <t c="3" si="4">
        <n x="509"/>
        <n x="13"/>
        <n x="496"/>
      </t>
    </mdx>
    <mdx n="508" f="v">
      <t c="3" si="4">
        <n x="509"/>
        <n x="271"/>
        <n x="497"/>
      </t>
    </mdx>
    <mdx n="508" f="v">
      <t c="3" si="4">
        <n x="509"/>
        <n x="189"/>
        <n x="497"/>
      </t>
    </mdx>
    <mdx n="508" f="v">
      <t c="3" si="4">
        <n x="509"/>
        <n x="221"/>
        <n x="498"/>
      </t>
    </mdx>
    <mdx n="508" f="v">
      <t c="3" si="4">
        <n x="509"/>
        <n x="321"/>
        <n x="5"/>
      </t>
    </mdx>
    <mdx n="508" f="v">
      <t c="3" si="4">
        <n x="509"/>
        <n x="263"/>
        <n x="496"/>
      </t>
    </mdx>
    <mdx n="508" f="v">
      <t c="3" si="4">
        <n x="509"/>
        <n x="369"/>
        <n x="496"/>
      </t>
    </mdx>
    <mdx n="508" f="v">
      <t c="3" si="4">
        <n x="509"/>
        <n x="245"/>
        <n x="496"/>
      </t>
    </mdx>
    <mdx n="508" f="v">
      <t c="3" si="4">
        <n x="509"/>
        <n x="161"/>
        <n x="496"/>
      </t>
    </mdx>
    <mdx n="508" f="v">
      <t c="3" si="4">
        <n x="509"/>
        <n x="111"/>
        <n x="496"/>
      </t>
    </mdx>
    <mdx n="508" f="v">
      <t c="3" si="4">
        <n x="509"/>
        <n x="155"/>
        <n x="497"/>
      </t>
    </mdx>
    <mdx n="508" f="v">
      <t c="3" si="4">
        <n x="509"/>
        <n x="205"/>
        <n x="498"/>
      </t>
    </mdx>
    <mdx n="508" f="v">
      <t c="3" si="4">
        <n x="509"/>
        <n x="342"/>
        <n x="501"/>
      </t>
    </mdx>
    <mdx n="508" f="v">
      <t c="3" si="4">
        <n x="509"/>
        <n x="134"/>
        <n x="496"/>
      </t>
    </mdx>
    <mdx n="508" f="v">
      <t c="3" si="4">
        <n x="509"/>
        <n x="417"/>
        <n x="496"/>
      </t>
    </mdx>
    <mdx n="508" f="v">
      <t c="3" si="4">
        <n x="509"/>
        <n x="174"/>
        <n x="496"/>
      </t>
    </mdx>
    <mdx n="508" f="v">
      <t c="3" si="4">
        <n x="509"/>
        <n x="385"/>
        <n x="496"/>
      </t>
    </mdx>
    <mdx n="508" f="v">
      <t c="3" si="4">
        <n x="509"/>
        <n x="353"/>
        <n x="496"/>
      </t>
    </mdx>
    <mdx n="508" f="v">
      <t c="3" si="4">
        <n x="509"/>
        <n x="209"/>
        <n x="496"/>
      </t>
    </mdx>
    <mdx n="508" f="v">
      <t c="3" si="4">
        <n x="509"/>
        <n x="103"/>
        <n x="496"/>
      </t>
    </mdx>
    <mdx n="508" f="v">
      <t c="3" si="4">
        <n x="509"/>
        <n x="258"/>
        <n x="497"/>
      </t>
    </mdx>
    <mdx n="508" f="v">
      <t c="3" si="4">
        <n x="509"/>
        <n x="11"/>
        <n x="497"/>
      </t>
    </mdx>
    <mdx n="508" f="v">
      <t c="3" si="4">
        <n x="509"/>
        <n x="366"/>
        <n x="497"/>
      </t>
    </mdx>
    <mdx n="508" f="v">
      <t c="3" si="4">
        <n x="509"/>
        <n x="238"/>
        <n x="497"/>
      </t>
    </mdx>
    <mdx n="508" f="v">
      <t c="3" si="4">
        <n x="509"/>
        <n x="373"/>
        <n x="497"/>
      </t>
    </mdx>
    <mdx n="508" f="v">
      <t c="3" si="4">
        <n x="509"/>
        <n x="414"/>
        <n x="497"/>
      </t>
    </mdx>
    <mdx n="508" f="v">
      <t c="3" si="4">
        <n x="509"/>
        <n x="331"/>
        <n x="497"/>
      </t>
    </mdx>
    <mdx n="508" f="v">
      <t c="3" si="4">
        <n x="509"/>
        <n x="337"/>
        <n x="498"/>
      </t>
    </mdx>
    <mdx n="508" f="v">
      <t c="3" si="4">
        <n x="509"/>
        <n x="167"/>
        <n x="498"/>
      </t>
    </mdx>
    <mdx n="508" f="v">
      <t c="3" si="4">
        <n x="509"/>
        <n x="265"/>
        <n x="498"/>
      </t>
    </mdx>
    <mdx n="508" f="v">
      <t c="3" si="4">
        <n x="509"/>
        <n x="174"/>
        <n x="498"/>
      </t>
    </mdx>
    <mdx n="508" f="v">
      <t c="3" si="4">
        <n x="509"/>
        <n x="389"/>
        <n x="498"/>
      </t>
    </mdx>
    <mdx n="508" f="v">
      <t c="3" si="4">
        <n x="509"/>
        <n x="307"/>
        <n x="498"/>
      </t>
    </mdx>
    <mdx n="508" f="v">
      <t c="3" si="4">
        <n x="509"/>
        <n x="369"/>
        <n x="499"/>
      </t>
    </mdx>
    <mdx n="508" f="v">
      <t c="3" si="4">
        <n x="509"/>
        <n x="223"/>
        <n x="500"/>
      </t>
    </mdx>
    <mdx n="508" f="v">
      <t c="3" si="4">
        <n x="509"/>
        <n x="413"/>
        <n x="496"/>
      </t>
    </mdx>
    <mdx n="508" f="v">
      <t c="3" si="4">
        <n x="509"/>
        <n x="290"/>
        <n x="496"/>
      </t>
    </mdx>
    <mdx n="508" f="v">
      <t c="3" si="4">
        <n x="509"/>
        <n x="320"/>
        <n x="496"/>
      </t>
    </mdx>
    <mdx n="508" f="v">
      <t c="3" si="4">
        <n x="509"/>
        <n x="409"/>
        <n x="496"/>
      </t>
    </mdx>
    <mdx n="508" f="v">
      <t c="3" si="4">
        <n x="509"/>
        <n x="302"/>
        <n x="496"/>
      </t>
    </mdx>
    <mdx n="508" f="v">
      <t c="3" si="4">
        <n x="509"/>
        <n x="327"/>
        <n x="497"/>
      </t>
    </mdx>
    <mdx n="508" f="v">
      <t c="3" si="4">
        <n x="509"/>
        <n x="289"/>
        <n x="497"/>
      </t>
    </mdx>
    <mdx n="508" f="v">
      <t c="3" si="4">
        <n x="509"/>
        <n x="267"/>
        <n x="497"/>
      </t>
    </mdx>
    <mdx n="508" f="v">
      <t c="3" si="4">
        <n x="509"/>
        <n x="102"/>
        <n x="497"/>
      </t>
    </mdx>
    <mdx n="508" f="v">
      <t c="3" si="4">
        <n x="509"/>
        <n x="48"/>
        <n x="497"/>
      </t>
    </mdx>
    <mdx n="508" f="v">
      <t c="3" si="4">
        <n x="509"/>
        <n x="404"/>
        <n x="497"/>
      </t>
    </mdx>
    <mdx n="508" f="v">
      <t c="3" si="4">
        <n x="509"/>
        <n x="114"/>
        <n x="497"/>
      </t>
    </mdx>
    <mdx n="508" f="v">
      <t c="3" si="4">
        <n x="509"/>
        <n x="450"/>
        <n x="498"/>
      </t>
    </mdx>
    <mdx n="508" f="v">
      <t c="3" si="4">
        <n x="509"/>
        <n x="137"/>
        <n x="498"/>
      </t>
    </mdx>
    <mdx n="508" f="v">
      <t c="3" si="4">
        <n x="509"/>
        <n x="256"/>
        <n x="498"/>
      </t>
    </mdx>
    <mdx n="508" f="v">
      <t c="3" si="4">
        <n x="509"/>
        <n x="198"/>
        <n x="498"/>
      </t>
    </mdx>
    <mdx n="508" f="v">
      <t c="3" si="4">
        <n x="509"/>
        <n x="363"/>
        <n x="498"/>
      </t>
    </mdx>
    <mdx n="508" f="v">
      <t c="3" si="4">
        <n x="509"/>
        <n x="108"/>
        <n x="499"/>
      </t>
    </mdx>
    <mdx n="508" f="v">
      <t c="3" si="4">
        <n x="509"/>
        <n x="150"/>
        <n x="499"/>
      </t>
    </mdx>
    <mdx n="508" f="v">
      <t c="3" si="4">
        <n x="509"/>
        <n x="75"/>
        <n x="500"/>
      </t>
    </mdx>
    <mdx n="508" f="v">
      <t c="3" si="4">
        <n x="509"/>
        <n x="120"/>
        <n x="497"/>
      </t>
    </mdx>
    <mdx n="508" f="v">
      <t c="3" si="4">
        <n x="509"/>
        <n x="7"/>
        <n x="497"/>
      </t>
    </mdx>
    <mdx n="508" f="v">
      <t c="3" si="4">
        <n x="509"/>
        <n x="142"/>
        <n x="497"/>
      </t>
    </mdx>
    <mdx n="508" f="v">
      <t c="3" si="4">
        <n x="509"/>
        <n x="398"/>
        <n x="497"/>
      </t>
    </mdx>
    <mdx n="508" f="v">
      <t c="3" si="4">
        <n x="509"/>
        <n x="208"/>
        <n x="498"/>
      </t>
    </mdx>
    <mdx n="508" f="v">
      <t c="3" si="4">
        <n x="509"/>
        <n x="151"/>
        <n x="498"/>
      </t>
    </mdx>
    <mdx n="508" f="v">
      <t c="3" si="4">
        <n x="509"/>
        <n x="69"/>
        <n x="498"/>
      </t>
    </mdx>
    <mdx n="508" f="v">
      <t c="3" si="4">
        <n x="509"/>
        <n x="345"/>
        <n x="498"/>
      </t>
    </mdx>
    <mdx n="508" f="v">
      <t c="3" si="4">
        <n x="509"/>
        <n x="320"/>
        <n x="498"/>
      </t>
    </mdx>
    <mdx n="508" f="v">
      <t c="3" si="4">
        <n x="509"/>
        <n x="371"/>
        <n x="499"/>
      </t>
    </mdx>
    <mdx n="508" f="v">
      <t c="3" si="4">
        <n x="509"/>
        <n x="350"/>
        <n x="499"/>
      </t>
    </mdx>
    <mdx n="508" f="v">
      <t c="3" si="4">
        <n x="509"/>
        <n x="58"/>
        <n x="500"/>
      </t>
    </mdx>
    <mdx n="508" f="v">
      <t c="3" si="4">
        <n x="509"/>
        <n x="459"/>
        <n x="496"/>
      </t>
    </mdx>
    <mdx n="508" f="v">
      <t c="3" si="4">
        <n x="509"/>
        <n x="21"/>
        <n x="496"/>
      </t>
    </mdx>
    <mdx n="508" f="v">
      <t c="3" si="4">
        <n x="509"/>
        <n x="155"/>
        <n x="496"/>
      </t>
    </mdx>
    <mdx n="508" f="v">
      <t c="3" si="4">
        <n x="509"/>
        <n x="86"/>
        <n x="496"/>
      </t>
    </mdx>
    <mdx n="508" f="v">
      <t c="3" si="4">
        <n x="509"/>
        <n x="251"/>
        <n x="496"/>
      </t>
    </mdx>
    <mdx n="508" f="v">
      <t c="3" si="4">
        <n x="509"/>
        <n x="160"/>
        <n x="496"/>
      </t>
    </mdx>
    <mdx n="508" f="v">
      <t c="3" si="4">
        <n x="509"/>
        <n x="435"/>
        <n x="496"/>
      </t>
    </mdx>
    <mdx n="508" f="v">
      <t c="3" si="4">
        <n x="509"/>
        <n x="208"/>
        <n x="497"/>
      </t>
    </mdx>
    <mdx n="508" f="v">
      <t c="3" si="4">
        <n x="509"/>
        <n x="193"/>
        <n x="497"/>
      </t>
    </mdx>
    <mdx n="508" f="v">
      <t c="3" si="4">
        <n x="509"/>
        <n x="410"/>
        <n x="497"/>
      </t>
    </mdx>
    <mdx n="508" f="v">
      <t c="3" si="4">
        <n x="509"/>
        <n x="192"/>
        <n x="497"/>
      </t>
    </mdx>
    <mdx n="508" f="v">
      <t c="3" si="4">
        <n x="509"/>
        <n x="149"/>
        <n x="497"/>
      </t>
    </mdx>
    <mdx n="508" f="v">
      <t c="3" si="4">
        <n x="509"/>
        <n x="389"/>
        <n x="497"/>
      </t>
    </mdx>
    <mdx n="508" f="v">
      <t c="3" si="4">
        <n x="509"/>
        <n x="460"/>
        <n x="497"/>
      </t>
    </mdx>
    <mdx n="508" f="v">
      <t c="3" si="4">
        <n x="509"/>
        <n x="185"/>
        <n x="498"/>
      </t>
    </mdx>
    <mdx n="508" f="v">
      <t c="3" si="4">
        <n x="509"/>
        <n x="134"/>
        <n x="498"/>
      </t>
    </mdx>
    <mdx n="508" f="v">
      <t c="3" si="4">
        <n x="509"/>
        <n x="193"/>
        <n x="498"/>
      </t>
    </mdx>
    <mdx n="508" f="v">
      <t c="3" si="4">
        <n x="509"/>
        <n x="384"/>
        <n x="498"/>
      </t>
    </mdx>
    <mdx n="508" f="v">
      <t c="3" si="4">
        <n x="509"/>
        <n x="237"/>
        <n x="498"/>
      </t>
    </mdx>
    <mdx n="508" f="v">
      <t c="3" si="4">
        <n x="509"/>
        <n x="197"/>
        <n x="498"/>
      </t>
    </mdx>
    <mdx n="508" f="v">
      <t c="3" si="4">
        <n x="509"/>
        <n x="37"/>
        <n x="499"/>
      </t>
    </mdx>
    <mdx n="508" f="v">
      <t c="3" si="4">
        <n x="509"/>
        <n x="165"/>
        <n x="499"/>
      </t>
    </mdx>
    <mdx n="508" f="v">
      <t c="3" si="4">
        <n x="509"/>
        <n x="23"/>
        <n x="502"/>
      </t>
    </mdx>
    <mdx n="508" f="v">
      <t c="3" si="4">
        <n x="509"/>
        <n x="279"/>
        <n x="497"/>
      </t>
    </mdx>
    <mdx n="508" f="v">
      <t c="3" si="4">
        <n x="509"/>
        <n x="257"/>
        <n x="497"/>
      </t>
    </mdx>
    <mdx n="508" f="v">
      <t c="3" si="4">
        <n x="509"/>
        <n x="233"/>
        <n x="497"/>
      </t>
    </mdx>
    <mdx n="508" f="v">
      <t c="3" si="4">
        <n x="509"/>
        <n x="174"/>
        <n x="497"/>
      </t>
    </mdx>
    <mdx n="508" f="v">
      <t c="3" si="4">
        <n x="509"/>
        <n x="333"/>
        <n x="497"/>
      </t>
    </mdx>
    <mdx n="508" f="v">
      <t c="3" si="4">
        <n x="509"/>
        <n x="216"/>
        <n x="497"/>
      </t>
    </mdx>
    <mdx n="508" f="v">
      <t c="3" si="4">
        <n x="509"/>
        <n x="68"/>
        <n x="497"/>
      </t>
    </mdx>
    <mdx n="508" f="v">
      <t c="3" si="4">
        <n x="509"/>
        <n x="240"/>
        <n x="498"/>
      </t>
    </mdx>
    <mdx n="508" f="v">
      <t c="3" si="4">
        <n x="509"/>
        <n x="226"/>
        <n x="498"/>
      </t>
    </mdx>
    <mdx n="508" f="v">
      <t c="3" si="4">
        <n x="509"/>
        <n x="44"/>
        <n x="498"/>
      </t>
    </mdx>
    <mdx n="508" f="v">
      <t c="3" si="4">
        <n x="509"/>
        <n x="461"/>
        <n x="498"/>
      </t>
    </mdx>
    <mdx n="508" f="v">
      <t c="3" si="4">
        <n x="509"/>
        <n x="97"/>
        <n x="498"/>
      </t>
    </mdx>
    <mdx n="508" f="v">
      <t c="3" si="4">
        <n x="509"/>
        <n x="451"/>
        <n x="498"/>
      </t>
    </mdx>
    <mdx n="508" f="v">
      <t c="3" si="4">
        <n x="509"/>
        <n x="226"/>
        <n x="499"/>
      </t>
    </mdx>
    <mdx n="508" f="v">
      <t c="3" si="4">
        <n x="509"/>
        <n x="146"/>
        <n x="499"/>
      </t>
    </mdx>
    <mdx n="508" f="v">
      <t c="3" si="4">
        <n x="509"/>
        <n x="372"/>
        <n x="497"/>
      </t>
    </mdx>
    <mdx n="508" f="v">
      <t c="3" si="4">
        <n x="509"/>
        <n x="355"/>
        <n x="497"/>
      </t>
    </mdx>
    <mdx n="508" f="v">
      <t c="3" si="4">
        <n x="509"/>
        <n x="336"/>
        <n x="497"/>
      </t>
    </mdx>
    <mdx n="508" f="v">
      <t c="3" si="4">
        <n x="509"/>
        <n x="186"/>
        <n x="497"/>
      </t>
    </mdx>
    <mdx n="508" f="v">
      <t c="3" si="4">
        <n x="509"/>
        <n x="342"/>
        <n x="497"/>
      </t>
    </mdx>
    <mdx n="508" f="v">
      <t c="3" si="4">
        <n x="509"/>
        <n x="108"/>
        <n x="497"/>
      </t>
    </mdx>
    <mdx n="508" f="v">
      <t c="3" si="4">
        <n x="509"/>
        <n x="277"/>
        <n x="497"/>
      </t>
    </mdx>
    <mdx n="508" f="v">
      <t c="3" si="4">
        <n x="509"/>
        <n x="436"/>
        <n x="498"/>
      </t>
    </mdx>
    <mdx n="508" f="v">
      <t c="3" si="4">
        <n x="509"/>
        <n x="330"/>
        <n x="498"/>
      </t>
    </mdx>
    <mdx n="508" f="v">
      <t c="3" si="4">
        <n x="509"/>
        <n x="350"/>
        <n x="498"/>
      </t>
    </mdx>
    <mdx n="508" f="v">
      <t c="3" si="4">
        <n x="509"/>
        <n x="14"/>
        <n x="498"/>
      </t>
    </mdx>
    <mdx n="508" f="v">
      <t c="3" si="4">
        <n x="509"/>
        <n x="230"/>
        <n x="498"/>
      </t>
    </mdx>
    <mdx n="508" f="v">
      <t c="3" si="4">
        <n x="509"/>
        <n x="50"/>
        <n x="498"/>
      </t>
    </mdx>
    <mdx n="508" f="v">
      <t c="3" si="4">
        <n x="509"/>
        <n x="30"/>
        <n x="499"/>
      </t>
    </mdx>
    <mdx n="508" f="v">
      <t c="3" si="4">
        <n x="509"/>
        <n x="412"/>
        <n x="499"/>
      </t>
    </mdx>
    <mdx n="508" f="v">
      <t c="3" si="4">
        <n x="509"/>
        <n x="353"/>
        <n x="502"/>
      </t>
    </mdx>
    <mdx n="508" f="v">
      <t c="3" si="4">
        <n x="509"/>
        <n x="32"/>
        <n x="497"/>
      </t>
    </mdx>
    <mdx n="508" f="v">
      <t c="3" si="4">
        <n x="509"/>
        <n x="13"/>
        <n x="497"/>
      </t>
    </mdx>
    <mdx n="508" f="v">
      <t c="3" si="4">
        <n x="509"/>
        <n x="3"/>
        <n x="497"/>
      </t>
    </mdx>
    <mdx n="508" f="v">
      <t c="3" si="4">
        <n x="509"/>
        <n x="168"/>
        <n x="498"/>
      </t>
    </mdx>
    <mdx n="508" f="v">
      <t c="3" si="4">
        <n x="509"/>
        <n x="382"/>
        <n x="498"/>
      </t>
    </mdx>
    <mdx n="508" f="v">
      <t c="3" si="4">
        <n x="509"/>
        <n x="162"/>
        <n x="498"/>
      </t>
    </mdx>
    <mdx n="508" f="v">
      <t c="3" si="4">
        <n x="509"/>
        <n x="43"/>
        <n x="498"/>
      </t>
    </mdx>
    <mdx n="508" f="v">
      <t c="3" si="4">
        <n x="509"/>
        <n x="223"/>
        <n x="498"/>
      </t>
    </mdx>
    <mdx n="508" f="v">
      <t c="3" si="4">
        <n x="509"/>
        <n x="450"/>
        <n x="499"/>
      </t>
    </mdx>
    <mdx n="508" f="v">
      <t c="3" si="4">
        <n x="509"/>
        <n x="306"/>
        <n x="499"/>
      </t>
    </mdx>
    <mdx n="508" f="v">
      <t c="3" si="4">
        <n x="509"/>
        <n x="80"/>
        <n x="500"/>
      </t>
    </mdx>
    <mdx n="508" f="v">
      <t c="3" si="4">
        <n x="509"/>
        <n x="363"/>
        <n x="499"/>
      </t>
    </mdx>
    <mdx n="508" f="v">
      <t c="3" si="4">
        <n x="509"/>
        <n x="357"/>
        <n x="499"/>
      </t>
    </mdx>
    <mdx n="508" f="v">
      <t c="3" si="4">
        <n x="509"/>
        <n x="33"/>
        <n x="500"/>
      </t>
    </mdx>
    <mdx n="508" f="v">
      <t c="3" si="4">
        <n x="509"/>
        <n x="181"/>
        <n x="500"/>
      </t>
    </mdx>
    <mdx n="508" f="v">
      <t c="3" si="4">
        <n x="509"/>
        <n x="61"/>
        <n x="500"/>
      </t>
    </mdx>
    <mdx n="508" f="v">
      <t c="3" si="4">
        <n x="509"/>
        <n x="231"/>
        <n x="501"/>
      </t>
    </mdx>
    <mdx n="508" f="v">
      <t c="3" si="4">
        <n x="509"/>
        <n x="217"/>
        <n x="502"/>
      </t>
    </mdx>
    <mdx n="508" f="v">
      <t c="3" si="4">
        <n x="509"/>
        <n x="55"/>
        <n x="498"/>
      </t>
    </mdx>
    <mdx n="508" f="v">
      <t c="3" si="4">
        <n x="509"/>
        <n x="355"/>
        <n x="498"/>
      </t>
    </mdx>
    <mdx n="508" f="v">
      <t c="3" si="4">
        <n x="509"/>
        <n x="334"/>
        <n x="498"/>
      </t>
    </mdx>
    <mdx n="508" f="v">
      <t c="3" si="4">
        <n x="509"/>
        <n x="48"/>
        <n x="498"/>
      </t>
    </mdx>
    <mdx n="508" f="v">
      <t c="3" si="4">
        <n x="509"/>
        <n x="259"/>
        <n x="498"/>
      </t>
    </mdx>
    <mdx n="508" f="v">
      <t c="3" si="4">
        <n x="509"/>
        <n x="58"/>
        <n x="499"/>
      </t>
    </mdx>
    <mdx n="508" f="v">
      <t c="3" si="4">
        <n x="509"/>
        <n x="212"/>
        <n x="499"/>
      </t>
    </mdx>
    <mdx n="508" f="v">
      <t c="3" si="4">
        <n x="509"/>
        <n x="454"/>
        <n x="499"/>
      </t>
    </mdx>
    <mdx n="508" f="v">
      <t c="3" si="4">
        <n x="509"/>
        <n x="464"/>
        <n x="499"/>
      </t>
    </mdx>
    <mdx n="508" f="v">
      <t c="3" si="4">
        <n x="509"/>
        <n x="10"/>
        <n x="499"/>
      </t>
    </mdx>
    <mdx n="508" f="v">
      <t c="3" si="4">
        <n x="509"/>
        <n x="35"/>
        <n x="499"/>
      </t>
    </mdx>
    <mdx n="508" f="v">
      <t c="3" si="4">
        <n x="509"/>
        <n x="315"/>
        <n x="500"/>
      </t>
    </mdx>
    <mdx n="508" f="v">
      <t c="3" si="4">
        <n x="509"/>
        <n x="322"/>
        <n x="500"/>
      </t>
    </mdx>
    <mdx n="508" f="v">
      <t c="3" si="4">
        <n x="509"/>
        <n x="179"/>
        <n x="500"/>
      </t>
    </mdx>
    <mdx n="508" f="v">
      <t c="3" si="4">
        <n x="509"/>
        <n x="72"/>
        <n x="501"/>
      </t>
    </mdx>
    <mdx n="508" f="v">
      <t c="3" si="4">
        <n x="509"/>
        <n x="462"/>
        <n x="502"/>
      </t>
    </mdx>
    <mdx n="508" f="v">
      <t c="3" si="4">
        <n x="509"/>
        <n x="47"/>
        <n x="498"/>
      </t>
    </mdx>
    <mdx n="508" f="v">
      <t c="3" si="4">
        <n x="509"/>
        <n x="42"/>
        <n x="498"/>
      </t>
    </mdx>
    <mdx n="508" f="v">
      <t c="3" si="4">
        <n x="509"/>
        <n x="333"/>
        <n x="498"/>
      </t>
    </mdx>
    <mdx n="508" f="v">
      <t c="3" si="4">
        <n x="509"/>
        <n x="347"/>
        <n x="498"/>
      </t>
    </mdx>
    <mdx n="508" f="v">
      <t c="3" si="4">
        <n x="509"/>
        <n x="31"/>
        <n x="498"/>
      </t>
    </mdx>
    <mdx n="508" f="v">
      <t c="3" si="4">
        <n x="509"/>
        <n x="273"/>
        <n x="499"/>
      </t>
    </mdx>
    <mdx n="508" f="v">
      <t c="3" si="4">
        <n x="509"/>
        <n x="461"/>
        <n x="499"/>
      </t>
    </mdx>
    <mdx n="508" f="v">
      <t c="3" si="4">
        <n x="509"/>
        <n x="361"/>
        <n x="499"/>
      </t>
    </mdx>
    <mdx n="508" f="v">
      <t c="3" si="4">
        <n x="509"/>
        <n x="203"/>
        <n x="499"/>
      </t>
    </mdx>
    <mdx n="508" f="v">
      <t c="3" si="4">
        <n x="509"/>
        <n x="216"/>
        <n x="499"/>
      </t>
    </mdx>
    <mdx n="508" f="v">
      <t c="3" si="4">
        <n x="509"/>
        <n x="259"/>
        <n x="499"/>
      </t>
    </mdx>
    <mdx n="508" f="v">
      <t c="3" si="4">
        <n x="509"/>
        <n x="374"/>
        <n x="500"/>
      </t>
    </mdx>
    <mdx n="508" f="v">
      <t c="3" si="4">
        <n x="509"/>
        <n x="102"/>
        <n x="500"/>
      </t>
    </mdx>
    <mdx n="508" f="v">
      <t c="3" si="4">
        <n x="509"/>
        <n x="346"/>
        <n x="500"/>
      </t>
    </mdx>
    <mdx n="508" f="v">
      <t c="3" si="4">
        <n x="509"/>
        <n x="458"/>
        <n x="501"/>
      </t>
    </mdx>
    <mdx n="508" f="v">
      <t c="3" si="4">
        <n x="509"/>
        <n x="447"/>
        <n x="502"/>
      </t>
    </mdx>
    <mdx n="508" f="v">
      <t c="3" si="4">
        <n x="509"/>
        <n x="439"/>
        <n x="499"/>
      </t>
    </mdx>
    <mdx n="508" f="v">
      <t c="3" si="4">
        <n x="509"/>
        <n x="276"/>
        <n x="499"/>
      </t>
    </mdx>
    <mdx n="508" f="v">
      <t c="3" si="4">
        <n x="509"/>
        <n x="223"/>
        <n x="499"/>
      </t>
    </mdx>
    <mdx n="508" f="v">
      <t c="3" si="4">
        <n x="509"/>
        <n x="39"/>
        <n x="500"/>
      </t>
    </mdx>
    <mdx n="508" f="v">
      <t c="3" si="4">
        <n x="509"/>
        <n x="267"/>
        <n x="500"/>
      </t>
    </mdx>
    <mdx n="508" f="v">
      <t c="3" si="4">
        <n x="509"/>
        <n x="438"/>
        <n x="500"/>
      </t>
    </mdx>
    <mdx n="508" f="v">
      <t c="3" si="4">
        <n x="509"/>
        <n x="208"/>
        <n x="501"/>
      </t>
    </mdx>
    <mdx n="508" f="v">
      <t c="3" si="4">
        <n x="509"/>
        <n x="317"/>
        <n x="501"/>
      </t>
    </mdx>
    <mdx n="508" f="v">
      <t c="3" si="4">
        <n x="509"/>
        <n x="301"/>
        <n x="499"/>
      </t>
    </mdx>
    <mdx n="508" f="v">
      <t c="3" si="4">
        <n x="509"/>
        <n x="99"/>
        <n x="499"/>
      </t>
    </mdx>
    <mdx n="508" f="v">
      <t c="3" si="4">
        <n x="509"/>
        <n x="335"/>
        <n x="499"/>
      </t>
    </mdx>
    <mdx n="508" f="v">
      <t c="3" si="4">
        <n x="509"/>
        <n x="237"/>
        <n x="499"/>
      </t>
    </mdx>
    <mdx n="508" f="v">
      <t c="3" si="4">
        <n x="509"/>
        <n x="57"/>
        <n x="499"/>
      </t>
    </mdx>
    <mdx n="508" f="v">
      <t c="3" si="4">
        <n x="509"/>
        <n x="286"/>
        <n x="500"/>
      </t>
    </mdx>
    <mdx n="508" f="v">
      <t c="3" si="4">
        <n x="509"/>
        <n x="69"/>
        <n x="500"/>
      </t>
    </mdx>
    <mdx n="508" f="v">
      <t c="3" si="4">
        <n x="509"/>
        <n x="347"/>
        <n x="500"/>
      </t>
    </mdx>
    <mdx n="508" f="v">
      <t c="3" si="4">
        <n x="509"/>
        <n x="144"/>
        <n x="501"/>
      </t>
    </mdx>
    <mdx n="508" f="v">
      <t c="3" si="4">
        <n x="509"/>
        <n x="90"/>
        <n x="501"/>
      </t>
    </mdx>
    <mdx n="508" f="v">
      <t c="3" si="4">
        <n x="509"/>
        <n x="325"/>
        <n x="498"/>
      </t>
    </mdx>
    <mdx n="508" f="v">
      <t c="3" si="4">
        <n x="509"/>
        <n x="430"/>
        <n x="498"/>
      </t>
    </mdx>
    <mdx n="508" f="v">
      <t c="3" si="4">
        <n x="509"/>
        <n x="436"/>
        <n x="499"/>
      </t>
    </mdx>
    <mdx n="508" f="v">
      <t c="3" si="4">
        <n x="509"/>
        <n x="295"/>
        <n x="499"/>
      </t>
    </mdx>
    <mdx n="508" f="v">
      <t c="3" si="4">
        <n x="509"/>
        <n x="93"/>
        <n x="499"/>
      </t>
    </mdx>
    <mdx n="508" f="v">
      <t c="3" si="4">
        <n x="509"/>
        <n x="244"/>
        <n x="499"/>
      </t>
    </mdx>
    <mdx n="508" f="v">
      <t c="3" si="4">
        <n x="509"/>
        <n x="326"/>
        <n x="499"/>
      </t>
    </mdx>
    <mdx n="508" f="v">
      <t c="3" si="4">
        <n x="509"/>
        <n x="50"/>
        <n x="499"/>
      </t>
    </mdx>
    <mdx n="508" f="v">
      <t c="3" si="4">
        <n x="509"/>
        <n x="279"/>
        <n x="500"/>
      </t>
    </mdx>
    <mdx n="508" f="v">
      <t c="3" si="4">
        <n x="509"/>
        <n x="446"/>
        <n x="500"/>
      </t>
    </mdx>
    <mdx n="508" f="v">
      <t c="3" si="4">
        <n x="509"/>
        <n x="36"/>
        <n x="500"/>
      </t>
    </mdx>
    <mdx n="508" f="v">
      <t c="3" si="4">
        <n x="509"/>
        <n x="245"/>
        <n x="501"/>
      </t>
    </mdx>
    <mdx n="508" f="v">
      <t c="3" si="4">
        <n x="509"/>
        <n x="161"/>
        <n x="502"/>
      </t>
    </mdx>
    <mdx n="508" f="v">
      <t c="3" si="4">
        <n x="509"/>
        <n x="166"/>
        <n x="499"/>
      </t>
    </mdx>
    <mdx n="508" f="v">
      <t c="3" si="4">
        <n x="509"/>
        <n x="167"/>
        <n x="499"/>
      </t>
    </mdx>
    <mdx n="508" f="v">
      <t c="3" si="4">
        <n x="509"/>
        <n x="210"/>
        <n x="499"/>
      </t>
    </mdx>
    <mdx n="508" f="v">
      <t c="3" si="4">
        <n x="509"/>
        <n x="403"/>
        <n x="499"/>
      </t>
    </mdx>
    <mdx n="508" f="v">
      <t c="3" si="4">
        <n x="509"/>
        <n x="59"/>
        <n x="500"/>
      </t>
    </mdx>
    <mdx n="508" f="v">
      <t c="3" si="4">
        <n x="509"/>
        <n x="300"/>
        <n x="500"/>
      </t>
    </mdx>
    <mdx n="508" f="v">
      <t c="3" si="4">
        <n x="509"/>
        <n x="73"/>
        <n x="500"/>
      </t>
    </mdx>
    <mdx n="508" f="v">
      <t c="3" si="4">
        <n x="509"/>
        <n x="244"/>
        <n x="501"/>
      </t>
    </mdx>
    <mdx n="508" f="v">
      <t c="3" si="4">
        <n x="509"/>
        <n x="308"/>
        <n x="502"/>
      </t>
    </mdx>
    <mdx n="508" f="v">
      <t c="3" si="4">
        <n x="509"/>
        <n x="56"/>
        <n x="500"/>
      </t>
    </mdx>
    <mdx n="508" f="v">
      <t c="3" si="4">
        <n x="509"/>
        <n x="287"/>
        <n x="501"/>
      </t>
    </mdx>
    <mdx n="508" f="v">
      <t c="3" si="4">
        <n x="509"/>
        <n x="315"/>
        <n x="501"/>
      </t>
    </mdx>
    <mdx n="508" f="v">
      <t c="3" si="4">
        <n x="509"/>
        <n x="129"/>
        <n x="501"/>
      </t>
    </mdx>
    <mdx n="508" f="v">
      <t c="3" si="4">
        <n x="509"/>
        <n x="19"/>
        <n x="501"/>
      </t>
    </mdx>
    <mdx n="508" f="v">
      <t c="3" si="4">
        <n x="509"/>
        <n x="411"/>
        <n x="501"/>
      </t>
    </mdx>
    <mdx n="508" f="v">
      <t c="3" si="4">
        <n x="509"/>
        <n x="112"/>
        <n x="501"/>
      </t>
    </mdx>
    <mdx n="508" f="v">
      <t c="3" si="4">
        <n x="509"/>
        <n x="321"/>
        <n x="502"/>
      </t>
    </mdx>
    <mdx n="508" f="v">
      <t c="3" si="4">
        <n x="509"/>
        <n x="50"/>
        <n x="502"/>
      </t>
    </mdx>
    <mdx n="508" f="v">
      <t c="3" si="4">
        <n x="509"/>
        <n x="29"/>
        <n x="499"/>
      </t>
    </mdx>
    <mdx n="508" f="v">
      <t c="3" si="4">
        <n x="509"/>
        <n x="438"/>
        <n x="499"/>
      </t>
    </mdx>
    <mdx n="508" f="v">
      <t c="3" si="4">
        <n x="509"/>
        <n x="289"/>
        <n x="499"/>
      </t>
    </mdx>
    <mdx n="508" f="v">
      <t c="3" si="4">
        <n x="509"/>
        <n x="421"/>
        <n x="499"/>
      </t>
    </mdx>
    <mdx n="508" f="v">
      <t c="3" si="4">
        <n x="509"/>
        <n x="183"/>
        <n x="500"/>
      </t>
    </mdx>
    <mdx n="508" f="v">
      <t c="3" si="4">
        <n x="509"/>
        <n x="423"/>
        <n x="500"/>
      </t>
    </mdx>
    <mdx n="508" f="v">
      <t c="3" si="4">
        <n x="509"/>
        <n x="321"/>
        <n x="500"/>
      </t>
    </mdx>
    <mdx n="508" f="v">
      <t c="3" si="4">
        <n x="509"/>
        <n x="72"/>
        <n x="500"/>
      </t>
    </mdx>
    <mdx n="508" f="v">
      <t c="3" si="4">
        <n x="509"/>
        <n x="194"/>
        <n x="500"/>
      </t>
    </mdx>
    <mdx n="508" f="v">
      <t c="3" si="4">
        <n x="509"/>
        <n x="380"/>
        <n x="500"/>
      </t>
    </mdx>
    <mdx n="508" f="v">
      <t c="3" si="4">
        <n x="509"/>
        <n x="228"/>
        <n x="500"/>
      </t>
    </mdx>
    <mdx n="508" f="v">
      <t c="3" si="4">
        <n x="509"/>
        <n x="378"/>
        <n x="500"/>
      </t>
    </mdx>
    <mdx n="508" f="v">
      <t c="3" si="4">
        <n x="509"/>
        <n x="187"/>
        <n x="501"/>
      </t>
    </mdx>
    <mdx n="508" f="v">
      <t c="3" si="4">
        <n x="509"/>
        <n x="242"/>
        <n x="501"/>
      </t>
    </mdx>
    <mdx n="508" f="v">
      <t c="3" si="4">
        <n x="509"/>
        <n x="354"/>
        <n x="501"/>
      </t>
    </mdx>
    <mdx n="508" f="v">
      <t c="3" si="4">
        <n x="509"/>
        <n x="143"/>
        <n x="501"/>
      </t>
    </mdx>
    <mdx n="508" f="v">
      <t c="3" si="4">
        <n x="509"/>
        <n x="26"/>
        <n x="501"/>
      </t>
    </mdx>
    <mdx n="508" f="v">
      <t c="3" si="4">
        <n x="509"/>
        <n x="195"/>
        <n x="502"/>
      </t>
    </mdx>
    <mdx n="508" f="v">
      <t c="3" si="4">
        <n x="509"/>
        <n x="267"/>
        <n x="502"/>
      </t>
    </mdx>
    <mdx n="508" f="v">
      <t c="3" si="4">
        <n x="509"/>
        <n x="54"/>
        <n x="503"/>
      </t>
    </mdx>
    <mdx n="508" f="v">
      <t c="3" si="4">
        <n x="509"/>
        <n x="149"/>
        <n x="499"/>
      </t>
    </mdx>
    <mdx n="508" f="v">
      <t c="3" si="4">
        <n x="509"/>
        <n x="105"/>
        <n x="499"/>
      </t>
    </mdx>
    <mdx n="508" f="v">
      <t c="3" si="4">
        <n x="509"/>
        <n x="451"/>
        <n x="499"/>
      </t>
    </mdx>
    <mdx n="508" f="v">
      <t c="3" si="4">
        <n x="509"/>
        <n x="185"/>
        <n x="500"/>
      </t>
    </mdx>
    <mdx n="508" f="v">
      <t c="3" si="4">
        <n x="509"/>
        <n x="138"/>
        <n x="500"/>
      </t>
    </mdx>
    <mdx n="508" f="v">
      <t c="3" si="4">
        <n x="509"/>
        <n x="212"/>
        <n x="500"/>
      </t>
    </mdx>
    <mdx n="508" f="v">
      <t c="3" si="4">
        <n x="509"/>
        <n x="49"/>
        <n x="500"/>
      </t>
    </mdx>
    <mdx n="508" f="v">
      <t c="3" si="4">
        <n x="509"/>
        <n x="345"/>
        <n x="500"/>
      </t>
    </mdx>
    <mdx n="508" f="v">
      <t c="3" si="4">
        <n x="509"/>
        <n x="196"/>
        <n x="500"/>
      </t>
    </mdx>
    <mdx n="508" f="v">
      <t c="3" si="4">
        <n x="509"/>
        <n x="76"/>
        <n x="500"/>
      </t>
    </mdx>
    <mdx n="508" f="v">
      <t c="3" si="4">
        <n x="509"/>
        <n x="65"/>
        <n x="501"/>
      </t>
    </mdx>
    <mdx n="508" f="v">
      <t c="3" si="4">
        <n x="509"/>
        <n x="168"/>
        <n x="501"/>
      </t>
    </mdx>
    <mdx n="508" f="v">
      <t c="3" si="4">
        <n x="509"/>
        <n x="221"/>
        <n x="501"/>
      </t>
    </mdx>
    <mdx n="508" f="v">
      <t c="3" si="4">
        <n x="509"/>
        <n x="233"/>
        <n x="501"/>
      </t>
    </mdx>
    <mdx n="508" f="v">
      <t c="3" si="4">
        <n x="509"/>
        <n x="181"/>
        <n x="501"/>
      </t>
    </mdx>
    <mdx n="508" f="v">
      <t c="3" si="4">
        <n x="509"/>
        <n x="96"/>
        <n x="501"/>
      </t>
    </mdx>
    <mdx n="508" f="v">
      <t c="3" si="4">
        <n x="509"/>
        <n x="287"/>
        <n x="502"/>
      </t>
    </mdx>
    <mdx n="508" f="v">
      <t c="3" si="4">
        <n x="509"/>
        <n x="441"/>
        <n x="502"/>
      </t>
    </mdx>
    <mdx n="508" f="v">
      <t c="3" si="4">
        <n x="509"/>
        <n x="51"/>
        <n x="503"/>
      </t>
    </mdx>
    <mdx n="508" f="v">
      <t c="3" si="4">
        <n x="509"/>
        <n x="394"/>
        <n x="500"/>
      </t>
    </mdx>
    <mdx n="508" f="v">
      <t c="3" si="4">
        <n x="509"/>
        <n x="115"/>
        <n x="500"/>
      </t>
    </mdx>
    <mdx n="508" f="v">
      <t c="3" si="4">
        <n x="509"/>
        <n x="425"/>
        <n x="500"/>
      </t>
    </mdx>
    <mdx n="508" f="v">
      <t c="3" si="4">
        <n x="509"/>
        <n x="114"/>
        <n x="500"/>
      </t>
    </mdx>
    <mdx n="508" f="v">
      <t c="3" si="4">
        <n x="509"/>
        <n x="457"/>
        <n x="501"/>
      </t>
    </mdx>
    <mdx n="508" f="v">
      <t c="3" si="4">
        <n x="509"/>
        <n x="139"/>
        <n x="501"/>
      </t>
    </mdx>
    <mdx n="508" f="v">
      <t c="3" si="4">
        <n x="509"/>
        <n x="299"/>
        <n x="501"/>
      </t>
    </mdx>
    <mdx n="508" f="v">
      <t c="3" si="4">
        <n x="509"/>
        <n x="294"/>
        <n x="501"/>
      </t>
    </mdx>
    <mdx n="508" f="v">
      <t c="3" si="4">
        <n x="509"/>
        <n x="373"/>
        <n x="501"/>
      </t>
    </mdx>
    <mdx n="508" f="v">
      <t c="3" si="4">
        <n x="509"/>
        <n x="302"/>
        <n x="501"/>
      </t>
    </mdx>
    <mdx n="508" f="v">
      <t c="3" si="4">
        <n x="509"/>
        <n x="244"/>
        <n x="502"/>
      </t>
    </mdx>
    <mdx n="508" f="v">
      <t c="3" si="4">
        <n x="509"/>
        <n x="330"/>
        <n x="503"/>
      </t>
    </mdx>
    <mdx n="508" f="v">
      <t c="3" si="4">
        <n x="509"/>
        <n x="426"/>
        <n x="500"/>
      </t>
    </mdx>
    <mdx n="508" f="v">
      <t c="3" si="4">
        <n x="509"/>
        <n x="263"/>
        <n x="500"/>
      </t>
    </mdx>
    <mdx n="508" f="v">
      <t c="3" si="4">
        <n x="509"/>
        <n x="312"/>
        <n x="500"/>
      </t>
    </mdx>
    <mdx n="508" f="v">
      <t c="3" si="4">
        <n x="509"/>
        <n x="291"/>
        <n x="500"/>
      </t>
    </mdx>
    <mdx n="508" f="v">
      <t c="3" si="4">
        <n x="509"/>
        <n x="441"/>
        <n x="500"/>
      </t>
    </mdx>
    <mdx n="508" f="v">
      <t c="3" si="4">
        <n x="509"/>
        <n x="91"/>
        <n x="500"/>
      </t>
    </mdx>
    <mdx n="508" f="v">
      <t c="3" si="4">
        <n x="509"/>
        <n x="319"/>
        <n x="500"/>
      </t>
    </mdx>
    <mdx n="508" f="v">
      <t c="3" si="4">
        <n x="509"/>
        <n x="90"/>
        <n x="500"/>
      </t>
    </mdx>
    <mdx n="508" f="v">
      <t c="3" si="4">
        <n x="509"/>
        <n x="273"/>
        <n x="501"/>
      </t>
    </mdx>
    <mdx n="508" f="v">
      <t c="3" si="4">
        <n x="509"/>
        <n x="23"/>
        <n x="501"/>
      </t>
    </mdx>
    <mdx n="508" f="v">
      <t c="3" si="4">
        <n x="509"/>
        <n x="417"/>
        <n x="501"/>
      </t>
    </mdx>
    <mdx n="508" f="v">
      <t c="3" si="4">
        <n x="509"/>
        <n x="20"/>
        <n x="501"/>
      </t>
    </mdx>
    <mdx n="508" f="v">
      <t c="3" si="4">
        <n x="509"/>
        <n x="324"/>
        <n x="501"/>
      </t>
    </mdx>
    <mdx n="508" f="v">
      <t c="3" si="4">
        <n x="509"/>
        <n x="409"/>
        <n x="502"/>
      </t>
    </mdx>
    <mdx n="508" f="v">
      <t c="3" si="4">
        <n x="509"/>
        <n x="54"/>
        <n x="502"/>
      </t>
    </mdx>
    <mdx n="508" f="v">
      <t c="3" si="4">
        <n x="509"/>
        <n x="324"/>
        <n x="503"/>
      </t>
    </mdx>
    <mdx n="508" f="v">
      <t c="3" si="4">
        <n x="509"/>
        <n x="122"/>
        <n x="494"/>
      </t>
    </mdx>
    <mdx n="508" f="v">
      <t c="3" si="4">
        <n x="509"/>
        <n x="69"/>
        <n x="495"/>
      </t>
    </mdx>
    <mdx n="508" f="v">
      <t c="3" si="4">
        <n x="509"/>
        <n x="174"/>
        <n x="492"/>
      </t>
    </mdx>
    <mdx n="508" f="v">
      <t c="3" si="4">
        <n x="509"/>
        <n x="192"/>
        <n x="494"/>
      </t>
    </mdx>
    <mdx n="508" f="v">
      <t c="3" si="4">
        <n x="509"/>
        <n x="297"/>
        <n x="494"/>
      </t>
    </mdx>
    <mdx n="508" f="v">
      <t c="3" si="4">
        <n x="509"/>
        <n x="151"/>
        <n x="495"/>
      </t>
    </mdx>
    <mdx n="508" f="v">
      <t c="3" si="4">
        <n x="509"/>
        <n x="86"/>
        <n x="495"/>
      </t>
    </mdx>
    <mdx n="508" f="v">
      <t c="3" si="4">
        <n x="509"/>
        <n x="82"/>
        <n x="495"/>
      </t>
    </mdx>
    <mdx n="508" f="v">
      <t c="3" si="4">
        <n x="509"/>
        <n x="68"/>
        <n x="482"/>
      </t>
    </mdx>
    <mdx n="508" f="v">
      <t c="3" si="4">
        <n x="509"/>
        <n x="457"/>
        <n x="489"/>
      </t>
    </mdx>
    <mdx n="508" f="v">
      <t c="3" si="4">
        <n x="509"/>
        <n x="332"/>
        <n x="492"/>
      </t>
    </mdx>
    <mdx n="508" f="v">
      <t c="3" si="4">
        <n x="509"/>
        <n x="346"/>
        <n x="493"/>
      </t>
    </mdx>
    <mdx n="508" f="v">
      <t c="3" si="4">
        <n x="509"/>
        <n x="355"/>
        <n x="494"/>
      </t>
    </mdx>
    <mdx n="508" f="v">
      <t c="3" si="4">
        <n x="509"/>
        <n x="390"/>
        <n x="494"/>
      </t>
    </mdx>
    <mdx n="508" f="v">
      <t c="3" si="4">
        <n x="509"/>
        <n x="26"/>
        <n x="494"/>
      </t>
    </mdx>
    <mdx n="508" f="v">
      <t c="3" si="4">
        <n x="509"/>
        <n x="12"/>
        <n x="494"/>
      </t>
    </mdx>
    <mdx n="508" f="v">
      <t c="3" si="4">
        <n x="509"/>
        <n x="47"/>
        <n x="495"/>
      </t>
    </mdx>
    <mdx n="508" f="v">
      <t c="3" si="4">
        <n x="509"/>
        <n x="367"/>
        <n x="495"/>
      </t>
    </mdx>
    <mdx n="508" f="v">
      <t c="3" si="4">
        <n x="509"/>
        <n x="292"/>
        <n x="495"/>
      </t>
    </mdx>
    <mdx n="508" f="v">
      <t c="3" si="4">
        <n x="509"/>
        <n x="320"/>
        <n x="495"/>
      </t>
    </mdx>
    <mdx n="508" f="v">
      <t c="3" si="4">
        <n x="509"/>
        <n x="229"/>
        <n x="495"/>
      </t>
    </mdx>
    <mdx n="508" f="v">
      <t c="3" si="4">
        <n x="509"/>
        <n x="413"/>
        <n x="494"/>
      </t>
    </mdx>
    <mdx n="508" f="v">
      <t c="3" si="4">
        <n x="509"/>
        <n x="453"/>
        <n x="495"/>
      </t>
    </mdx>
    <mdx n="508" f="v">
      <t c="3" si="4">
        <n x="509"/>
        <n x="309"/>
        <n x="483"/>
      </t>
    </mdx>
    <mdx n="508" f="v">
      <t c="3" si="4">
        <n x="509"/>
        <n x="143"/>
        <n x="489"/>
      </t>
    </mdx>
    <mdx n="508" f="v">
      <t c="3" si="4">
        <n x="509"/>
        <n x="80"/>
        <n x="488"/>
      </t>
    </mdx>
    <mdx n="508" f="v">
      <t c="3" si="4">
        <n x="509"/>
        <n x="276"/>
        <n x="489"/>
      </t>
    </mdx>
    <mdx n="508" f="v">
      <t c="3" si="4">
        <n x="509"/>
        <n x="429"/>
        <n x="492"/>
      </t>
    </mdx>
    <mdx n="508" f="v">
      <t c="3" si="4">
        <n x="509"/>
        <n x="44"/>
        <n x="493"/>
      </t>
    </mdx>
    <mdx n="508" f="v">
      <t c="3" si="4">
        <n x="509"/>
        <n x="296"/>
        <n x="494"/>
      </t>
    </mdx>
    <mdx n="508" f="v">
      <t c="3" si="4">
        <n x="509"/>
        <n x="417"/>
        <n x="494"/>
      </t>
    </mdx>
    <mdx n="508" f="v">
      <t c="3" si="4">
        <n x="509"/>
        <n x="106"/>
        <n x="494"/>
      </t>
    </mdx>
    <mdx n="508" f="v">
      <t c="3" si="4">
        <n x="509"/>
        <n x="81"/>
        <n x="494"/>
      </t>
    </mdx>
    <mdx n="508" f="v">
      <t c="3" si="4">
        <n x="509"/>
        <n x="45"/>
        <n x="495"/>
      </t>
    </mdx>
    <mdx n="508" f="v">
      <t c="3" si="4">
        <n x="509"/>
        <n x="46"/>
        <n x="495"/>
      </t>
    </mdx>
    <mdx n="508" f="v">
      <t c="3" si="4">
        <n x="509"/>
        <n x="102"/>
        <n x="495"/>
      </t>
    </mdx>
    <mdx n="508" f="v">
      <t c="3" si="4">
        <n x="509"/>
        <n x="91"/>
        <n x="495"/>
      </t>
    </mdx>
    <mdx n="508" f="v">
      <t c="3" si="4">
        <n x="509"/>
        <n x="215"/>
        <n x="495"/>
      </t>
    </mdx>
    <mdx n="508" f="v">
      <t c="3" si="4">
        <n x="509"/>
        <n x="205"/>
        <n x="495"/>
      </t>
    </mdx>
    <mdx n="508" f="v">
      <t c="3" si="4">
        <n x="509"/>
        <n x="175"/>
        <n x="484"/>
      </t>
    </mdx>
    <mdx n="508" f="v">
      <t c="3" si="4">
        <n x="509"/>
        <n x="301"/>
        <n x="494"/>
      </t>
    </mdx>
    <mdx n="508" f="v">
      <t c="3" si="4">
        <n x="509"/>
        <n x="416"/>
        <n x="495"/>
      </t>
    </mdx>
    <mdx n="508" f="v">
      <t c="3" si="4">
        <n x="509"/>
        <n x="211"/>
        <n x="471"/>
      </t>
    </mdx>
    <mdx n="508" f="v">
      <t c="3" si="4">
        <n x="509"/>
        <n x="277"/>
        <n x="490"/>
      </t>
    </mdx>
    <mdx n="508" f="v">
      <t c="3" si="4">
        <n x="509"/>
        <n x="341"/>
        <n x="490"/>
      </t>
    </mdx>
    <mdx n="508" f="v">
      <t c="3" si="4">
        <n x="509"/>
        <n x="302"/>
        <n x="489"/>
      </t>
    </mdx>
    <mdx n="508" f="v">
      <t c="3" si="4">
        <n x="509"/>
        <n x="86"/>
        <n x="492"/>
      </t>
    </mdx>
    <mdx n="508" f="v">
      <t c="3" si="4">
        <n x="509"/>
        <n x="292"/>
        <n x="493"/>
      </t>
    </mdx>
    <mdx n="508" f="v">
      <t c="3" si="4">
        <n x="509"/>
        <n x="420"/>
        <n x="493"/>
      </t>
    </mdx>
    <mdx n="508" f="v">
      <t c="3" si="4">
        <n x="509"/>
        <n x="15"/>
        <n x="494"/>
      </t>
    </mdx>
    <mdx n="508" f="v">
      <t c="3" si="4">
        <n x="509"/>
        <n x="438"/>
        <n x="494"/>
      </t>
    </mdx>
    <mdx n="508" f="v">
      <t c="3" si="4">
        <n x="509"/>
        <n x="332"/>
        <n x="494"/>
      </t>
    </mdx>
    <mdx n="508" f="v">
      <t c="3" si="4">
        <n x="509"/>
        <n x="296"/>
        <n x="495"/>
      </t>
    </mdx>
    <mdx n="508" f="v">
      <t c="3" si="4">
        <n x="509"/>
        <n x="386"/>
        <n x="495"/>
      </t>
    </mdx>
    <mdx n="508" f="v">
      <t c="3" si="4">
        <n x="509"/>
        <n x="29"/>
        <n x="495"/>
      </t>
    </mdx>
    <mdx n="508" f="v">
      <t c="3" si="4">
        <n x="509"/>
        <n x="127"/>
        <n x="495"/>
      </t>
    </mdx>
    <mdx n="508" f="v">
      <t c="3" si="4">
        <n x="509"/>
        <n x="254"/>
        <n x="495"/>
      </t>
    </mdx>
    <mdx n="508" f="v">
      <t c="3" si="4">
        <n x="509"/>
        <n x="199"/>
        <n x="495"/>
      </t>
    </mdx>
    <mdx n="508" f="v">
      <t c="3" si="4">
        <n x="509"/>
        <n x="188"/>
        <n x="491"/>
      </t>
    </mdx>
    <mdx n="508" f="v">
      <t c="3" si="4">
        <n x="509"/>
        <n x="293"/>
        <n x="494"/>
      </t>
    </mdx>
    <mdx n="508" f="v">
      <t c="3" si="4">
        <n x="509"/>
        <n x="402"/>
        <n x="495"/>
      </t>
    </mdx>
    <mdx n="508" f="v">
      <t c="3" si="4">
        <n x="509"/>
        <n x="382"/>
        <n x="482"/>
      </t>
    </mdx>
    <mdx n="508" f="v">
      <t c="3" si="4">
        <n x="509"/>
        <n x="97"/>
        <n x="489"/>
      </t>
    </mdx>
    <mdx n="508" f="v">
      <t c="3" si="4">
        <n x="509"/>
        <n x="266"/>
        <n x="490"/>
      </t>
    </mdx>
    <mdx n="508" f="v">
      <t c="3" si="4">
        <n x="509"/>
        <n x="444"/>
        <n x="490"/>
      </t>
    </mdx>
    <mdx n="508" f="v">
      <t c="3" si="4">
        <n x="509"/>
        <n x="16"/>
        <n x="492"/>
      </t>
    </mdx>
    <mdx n="508" f="v">
      <t c="3" si="4">
        <n x="509"/>
        <n x="445"/>
        <n x="493"/>
      </t>
    </mdx>
    <mdx n="508" f="v">
      <t c="3" si="4">
        <n x="509"/>
        <n x="329"/>
        <n x="493"/>
      </t>
    </mdx>
    <mdx n="508" f="v">
      <t c="3" si="4">
        <n x="509"/>
        <n x="305"/>
        <n x="494"/>
      </t>
    </mdx>
    <mdx n="508" f="v">
      <t c="3" si="4">
        <n x="509"/>
        <n x="343"/>
        <n x="494"/>
      </t>
    </mdx>
    <mdx n="508" f="v">
      <t c="3" si="4">
        <n x="509"/>
        <n x="175"/>
        <n x="494"/>
      </t>
    </mdx>
    <mdx n="508" f="v">
      <t c="3" si="4">
        <n x="509"/>
        <n x="236"/>
        <n x="494"/>
      </t>
    </mdx>
    <mdx n="508" f="v">
      <t c="3" si="4">
        <n x="509"/>
        <n x="31"/>
        <n x="494"/>
      </t>
    </mdx>
    <mdx n="508" f="v">
      <t c="3" si="4">
        <n x="509"/>
        <n x="419"/>
        <n x="495"/>
      </t>
    </mdx>
    <mdx n="508" f="v">
      <t c="3" si="4">
        <n x="509"/>
        <n x="382"/>
        <n x="495"/>
      </t>
    </mdx>
    <mdx n="508" f="v">
      <t c="3" si="4">
        <n x="509"/>
        <n x="184"/>
        <n x="495"/>
      </t>
    </mdx>
    <mdx n="508" f="v">
      <t c="3" si="4">
        <n x="509"/>
        <n x="441"/>
        <n x="495"/>
      </t>
    </mdx>
    <mdx n="508" f="v">
      <t c="3" si="4">
        <n x="509"/>
        <n x="373"/>
        <n x="495"/>
      </t>
    </mdx>
    <mdx n="508" f="v">
      <t c="3" si="4">
        <n x="509"/>
        <n x="378"/>
        <n x="486"/>
      </t>
    </mdx>
    <mdx n="508" f="v">
      <t c="3" si="4">
        <n x="509"/>
        <n x="114"/>
        <n x="491"/>
      </t>
    </mdx>
    <mdx n="508" f="v">
      <t c="3" si="4">
        <n x="509"/>
        <n x="419"/>
        <n x="494"/>
      </t>
    </mdx>
    <mdx n="508" f="v">
      <t c="3" si="4">
        <n x="509"/>
        <n x="444"/>
        <n x="494"/>
      </t>
    </mdx>
    <mdx n="508" f="v">
      <t c="3" si="4">
        <n x="509"/>
        <n x="64"/>
        <n x="495"/>
      </t>
    </mdx>
    <mdx n="508" f="v">
      <t c="3" si="4">
        <n x="509"/>
        <n x="268"/>
        <n x="496"/>
      </t>
    </mdx>
    <mdx n="508" f="v">
      <t c="3" si="4">
        <n x="509"/>
        <n x="301"/>
        <n x="496"/>
      </t>
    </mdx>
    <mdx n="508" f="v">
      <t c="3" si="4">
        <n x="509"/>
        <n x="303"/>
        <n x="496"/>
      </t>
    </mdx>
    <mdx n="508" f="v">
      <t c="3" si="4">
        <n x="509"/>
        <n x="438"/>
        <n x="496"/>
      </t>
    </mdx>
    <mdx n="508" f="v">
      <t c="3" si="4">
        <n x="509"/>
        <n x="261"/>
        <n x="496"/>
      </t>
    </mdx>
    <mdx n="508" f="v">
      <t c="3" si="4">
        <n x="509"/>
        <n x="443"/>
        <n x="497"/>
      </t>
    </mdx>
    <mdx n="508" f="v">
      <t c="3" si="4">
        <n x="509"/>
        <n x="72"/>
        <n x="497"/>
      </t>
    </mdx>
    <mdx n="508" f="v">
      <t c="3" si="4">
        <n x="509"/>
        <n x="422"/>
        <n x="498"/>
      </t>
    </mdx>
    <mdx n="508" f="v">
      <t c="3" si="4">
        <n x="509"/>
        <n x="53"/>
        <n x="5"/>
      </t>
    </mdx>
    <mdx n="508" f="v">
      <t c="3" si="4">
        <n x="509"/>
        <n x="243"/>
        <n x="496"/>
      </t>
    </mdx>
    <mdx n="508" f="v">
      <t c="3" si="4">
        <n x="509"/>
        <n x="382"/>
        <n x="496"/>
      </t>
    </mdx>
    <mdx n="508" f="v">
      <t c="3" si="4">
        <n x="509"/>
        <n x="336"/>
        <n x="496"/>
      </t>
    </mdx>
    <mdx n="508" f="v">
      <t c="3" si="4">
        <n x="509"/>
        <n x="172"/>
        <n x="496"/>
      </t>
    </mdx>
    <mdx n="508" f="v">
      <t c="3" si="4">
        <n x="509"/>
        <n x="445"/>
        <n x="497"/>
      </t>
    </mdx>
    <mdx n="508" f="v">
      <t c="3" si="4">
        <n x="509"/>
        <n x="323"/>
        <n x="497"/>
      </t>
    </mdx>
    <mdx n="508" f="v">
      <t c="3" si="4">
        <n x="509"/>
        <n x="258"/>
        <n x="498"/>
      </t>
    </mdx>
    <mdx n="508" f="v">
      <t c="3" si="4">
        <n x="509"/>
        <n x="329"/>
        <n x="496"/>
      </t>
    </mdx>
    <mdx n="508" f="v">
      <t c="3" si="4">
        <n x="509"/>
        <n x="22"/>
        <n x="496"/>
      </t>
    </mdx>
    <mdx n="508" f="v">
      <t c="3" si="4">
        <n x="509"/>
        <n x="15"/>
        <n x="496"/>
      </t>
    </mdx>
    <mdx n="508" f="v">
      <t c="3" si="4">
        <n x="509"/>
        <n x="345"/>
        <n x="496"/>
      </t>
    </mdx>
    <mdx n="508" f="v">
      <t c="3" si="4">
        <n x="509"/>
        <n x="198"/>
        <n x="496"/>
      </t>
    </mdx>
    <mdx n="508" f="v">
      <t c="3" si="4">
        <n x="509"/>
        <n x="105"/>
        <n x="496"/>
      </t>
    </mdx>
    <mdx n="508" f="v">
      <t c="3" si="4">
        <n x="509"/>
        <n x="414"/>
        <n x="496"/>
      </t>
    </mdx>
    <mdx n="508" f="v">
      <t c="3" si="4">
        <n x="509"/>
        <n x="80"/>
        <n x="496"/>
      </t>
    </mdx>
    <mdx n="508" f="v">
      <t c="3" si="4">
        <n x="509"/>
        <n x="243"/>
        <n x="497"/>
      </t>
    </mdx>
    <mdx n="508" f="v">
      <t c="3" si="4">
        <n x="509"/>
        <n x="280"/>
        <n x="497"/>
      </t>
    </mdx>
    <mdx n="508" f="v">
      <t c="3" si="4">
        <n x="509"/>
        <n x="351"/>
        <n x="497"/>
      </t>
    </mdx>
    <mdx n="508" f="v">
      <t c="3" si="4">
        <n x="509"/>
        <n x="322"/>
        <n x="497"/>
      </t>
    </mdx>
    <mdx n="508" f="v">
      <t c="3" si="4">
        <n x="509"/>
        <n x="268"/>
        <n x="497"/>
      </t>
    </mdx>
    <mdx n="508" f="v">
      <t c="3" si="4">
        <n x="509"/>
        <n x="332"/>
        <n x="497"/>
      </t>
    </mdx>
    <mdx n="508" f="v">
      <t c="3" si="4">
        <n x="509"/>
        <n x="117"/>
        <n x="497"/>
      </t>
    </mdx>
    <mdx n="508" f="v">
      <t c="3" si="4">
        <n x="509"/>
        <n x="286"/>
        <n x="498"/>
      </t>
    </mdx>
    <mdx n="508" f="v">
      <t c="3" si="4">
        <n x="509"/>
        <n x="139"/>
        <n x="498"/>
      </t>
    </mdx>
    <mdx n="508" f="v">
      <t c="3" si="4">
        <n x="509"/>
        <n x="38"/>
        <n x="498"/>
      </t>
    </mdx>
    <mdx n="508" f="v">
      <t c="3" si="4">
        <n x="509"/>
        <n x="292"/>
        <n x="498"/>
      </t>
    </mdx>
    <mdx n="508" f="v">
      <t c="3" si="4">
        <n x="509"/>
        <n x="199"/>
        <n x="498"/>
      </t>
    </mdx>
    <mdx n="508" f="v">
      <t c="3" si="4">
        <n x="509"/>
        <n x="405"/>
        <n x="499"/>
      </t>
    </mdx>
    <mdx n="508" f="v">
      <t c="3" si="4">
        <n x="509"/>
        <n x="269"/>
        <n x="499"/>
      </t>
    </mdx>
    <mdx n="508" f="v">
      <t c="3" si="4">
        <n x="509"/>
        <n x="157"/>
        <n x="500"/>
      </t>
    </mdx>
    <mdx n="508" f="v">
      <t c="3" si="4">
        <n x="509"/>
        <n x="406"/>
        <n x="496"/>
      </t>
    </mdx>
    <mdx n="508" f="v">
      <t c="3" si="4">
        <n x="509"/>
        <n x="180"/>
        <n x="496"/>
      </t>
    </mdx>
    <mdx n="508" f="v">
      <t c="3" si="4">
        <n x="509"/>
        <n x="366"/>
        <n x="496"/>
      </t>
    </mdx>
    <mdx n="508" f="v">
      <t c="3" si="4">
        <n x="509"/>
        <n x="73"/>
        <n x="496"/>
      </t>
    </mdx>
    <mdx n="508" f="v">
      <t c="3" si="4">
        <n x="509"/>
        <n x="63"/>
        <n x="497"/>
      </t>
    </mdx>
    <mdx n="508" f="v">
      <t c="3" si="4">
        <n x="509"/>
        <n x="222"/>
        <n x="497"/>
      </t>
    </mdx>
    <mdx n="508" f="v">
      <t c="3" si="4">
        <n x="509"/>
        <n x="167"/>
        <n x="497"/>
      </t>
    </mdx>
    <mdx n="508" f="v">
      <t c="3" si="4">
        <n x="509"/>
        <n x="361"/>
        <n x="497"/>
      </t>
    </mdx>
    <mdx n="508" f="v">
      <t c="3" si="4">
        <n x="509"/>
        <n x="79"/>
        <n x="497"/>
      </t>
    </mdx>
    <mdx n="508" f="v">
      <t c="3" si="4">
        <n x="509"/>
        <n x="346"/>
        <n x="497"/>
      </t>
    </mdx>
    <mdx n="508" f="v">
      <t c="3" si="4">
        <n x="509"/>
        <n x="388"/>
        <n x="497"/>
      </t>
    </mdx>
    <mdx n="508" f="v">
      <t c="3" si="4">
        <n x="509"/>
        <n x="375"/>
        <n x="497"/>
      </t>
    </mdx>
    <mdx n="508" f="v">
      <t c="3" si="4">
        <n x="509"/>
        <n x="440"/>
        <n x="498"/>
      </t>
    </mdx>
    <mdx n="508" f="v">
      <t c="3" si="4">
        <n x="509"/>
        <n x="23"/>
        <n x="498"/>
      </t>
    </mdx>
    <mdx n="508" f="v">
      <t c="3" si="4">
        <n x="509"/>
        <n x="192"/>
        <n x="498"/>
      </t>
    </mdx>
    <mdx n="508" f="v">
      <t c="3" si="4">
        <n x="509"/>
        <n x="356"/>
        <n x="498"/>
      </t>
    </mdx>
    <mdx n="508" f="v">
      <t c="3" si="4">
        <n x="509"/>
        <n x="260"/>
        <n x="498"/>
      </t>
    </mdx>
    <mdx n="508" f="v">
      <t c="3" si="4">
        <n x="509"/>
        <n x="297"/>
        <n x="499"/>
      </t>
    </mdx>
    <mdx n="508" f="v">
      <t c="3" si="4">
        <n x="509"/>
        <n x="323"/>
        <n x="499"/>
      </t>
    </mdx>
    <mdx n="508" f="v">
      <t c="3" si="4">
        <n x="509"/>
        <n x="317"/>
        <n x="500"/>
      </t>
    </mdx>
    <mdx n="508" f="v">
      <t c="3" si="4">
        <n x="509"/>
        <n x="14"/>
        <n x="497"/>
      </t>
    </mdx>
    <mdx n="508" f="v">
      <t c="3" si="4">
        <n x="509"/>
        <n x="173"/>
        <n x="497"/>
      </t>
    </mdx>
    <mdx n="508" f="v">
      <t c="3" si="4">
        <n x="509"/>
        <n x="328"/>
        <n x="497"/>
      </t>
    </mdx>
    <mdx n="508" f="v">
      <t c="3" si="4">
        <n x="509"/>
        <n x="111"/>
        <n x="497"/>
      </t>
    </mdx>
    <mdx n="508" f="v">
      <t c="3" si="4">
        <n x="509"/>
        <n x="364"/>
        <n x="498"/>
      </t>
    </mdx>
    <mdx n="508" f="v">
      <t c="3" si="4">
        <n x="509"/>
        <n x="133"/>
        <n x="498"/>
      </t>
    </mdx>
    <mdx n="508" f="v">
      <t c="3" si="4">
        <n x="509"/>
        <n x="339"/>
        <n x="498"/>
      </t>
    </mdx>
    <mdx n="508" f="v">
      <t c="3" si="4">
        <n x="509"/>
        <n x="290"/>
        <n x="498"/>
      </t>
    </mdx>
    <mdx n="508" f="v">
      <t c="3" si="4">
        <n x="509"/>
        <n x="183"/>
        <n x="498"/>
      </t>
    </mdx>
    <mdx n="508" f="v">
      <t c="3" si="4">
        <n x="509"/>
        <n x="209"/>
        <n x="499"/>
      </t>
    </mdx>
    <mdx n="508" f="v">
      <t c="3" si="4">
        <n x="509"/>
        <n x="38"/>
        <n x="499"/>
      </t>
    </mdx>
    <mdx n="508" f="v">
      <t c="3" si="4">
        <n x="509"/>
        <n x="44"/>
        <n x="500"/>
      </t>
    </mdx>
    <mdx n="508" f="v">
      <t c="3" si="4">
        <n x="509"/>
        <n x="443"/>
        <n x="496"/>
      </t>
    </mdx>
    <mdx n="508" f="v">
      <t c="3" si="4">
        <n x="509"/>
        <n x="212"/>
        <n x="496"/>
      </t>
    </mdx>
    <mdx n="508" f="v">
      <t c="3" si="4">
        <n x="509"/>
        <n x="323"/>
        <n x="496"/>
      </t>
    </mdx>
    <mdx n="508" f="v">
      <t c="3" si="4">
        <n x="509"/>
        <n x="47"/>
        <n x="496"/>
      </t>
    </mdx>
    <mdx n="508" f="v">
      <t c="3" si="4">
        <n x="509"/>
        <n x="326"/>
        <n x="496"/>
      </t>
    </mdx>
    <mdx n="508" f="v">
      <t c="3" si="4">
        <n x="509"/>
        <n x="388"/>
        <n x="496"/>
      </t>
    </mdx>
    <mdx n="508" f="v">
      <t c="3" si="4">
        <n x="509"/>
        <n x="415"/>
        <n x="496"/>
      </t>
    </mdx>
    <mdx n="508" f="v">
      <t c="3" si="4">
        <n x="509"/>
        <n x="364"/>
        <n x="497"/>
      </t>
    </mdx>
    <mdx n="508" f="v">
      <t c="3" si="4">
        <n x="509"/>
        <n x="144"/>
        <n x="497"/>
      </t>
    </mdx>
    <mdx n="508" f="v">
      <t c="3" si="4">
        <n x="509"/>
        <n x="125"/>
        <n x="497"/>
      </t>
    </mdx>
    <mdx n="508" f="v">
      <t c="3" si="4">
        <n x="509"/>
        <n x="49"/>
        <n x="497"/>
      </t>
    </mdx>
    <mdx n="508" f="v">
      <t c="3" si="4">
        <n x="509"/>
        <n x="334"/>
        <n x="497"/>
      </t>
    </mdx>
    <mdx n="508" f="v">
      <t c="3" si="4">
        <n x="509"/>
        <n x="96"/>
        <n x="497"/>
      </t>
    </mdx>
    <mdx n="508" f="v">
      <t c="3" si="4">
        <n x="509"/>
        <n x="204"/>
        <n x="497"/>
      </t>
    </mdx>
    <mdx n="508" f="v">
      <t c="3" si="4">
        <n x="509"/>
        <n x="332"/>
        <n x="498"/>
      </t>
    </mdx>
    <mdx n="508" f="v">
      <t c="3" si="4">
        <n x="509"/>
        <n x="22"/>
        <n x="498"/>
      </t>
    </mdx>
    <mdx n="508" f="v">
      <t c="3" si="4">
        <n x="509"/>
        <n x="431"/>
        <n x="498"/>
      </t>
    </mdx>
    <mdx n="508" f="v">
      <t c="3" si="4">
        <n x="509"/>
        <n x="300"/>
        <n x="498"/>
      </t>
    </mdx>
    <mdx n="508" f="v">
      <t c="3" si="4">
        <n x="509"/>
        <n x="317"/>
        <n x="498"/>
      </t>
    </mdx>
    <mdx n="508" f="v">
      <t c="3" si="4">
        <n x="509"/>
        <n x="67"/>
        <n x="498"/>
      </t>
    </mdx>
    <mdx n="508" f="v">
      <t c="3" si="4">
        <n x="509"/>
        <n x="232"/>
        <n x="499"/>
      </t>
    </mdx>
    <mdx n="508" f="v">
      <t c="3" si="4">
        <n x="509"/>
        <n x="300"/>
        <n x="499"/>
      </t>
    </mdx>
    <mdx n="508" f="v">
      <t c="3" si="4">
        <n x="509"/>
        <n x="331"/>
        <n x="496"/>
      </t>
    </mdx>
    <mdx n="508" f="v">
      <t c="3" si="4">
        <n x="509"/>
        <n x="437"/>
        <n x="497"/>
      </t>
    </mdx>
    <mdx n="508" f="v">
      <t c="3" si="4">
        <n x="509"/>
        <n x="242"/>
        <n x="497"/>
      </t>
    </mdx>
    <mdx n="508" f="v">
      <t c="3" si="4">
        <n x="509"/>
        <n x="381"/>
        <n x="497"/>
      </t>
    </mdx>
    <mdx n="508" f="v">
      <t c="3" si="4">
        <n x="509"/>
        <n x="345"/>
        <n x="497"/>
      </t>
    </mdx>
    <mdx n="508" f="v">
      <t c="3" si="4">
        <n x="509"/>
        <n x="393"/>
        <n x="497"/>
      </t>
    </mdx>
    <mdx n="508" f="v">
      <t c="3" si="4">
        <n x="509"/>
        <n x="61"/>
        <n x="497"/>
      </t>
    </mdx>
    <mdx n="508" f="v">
      <t c="3" si="4">
        <n x="509"/>
        <n x="169"/>
        <n x="497"/>
      </t>
    </mdx>
    <mdx n="508" f="v">
      <t c="3" si="4">
        <n x="509"/>
        <n x="191"/>
        <n x="498"/>
      </t>
    </mdx>
    <mdx n="508" f="v">
      <t c="3" si="4">
        <n x="509"/>
        <n x="377"/>
        <n x="498"/>
      </t>
    </mdx>
    <mdx n="508" f="v">
      <t c="3" si="4">
        <n x="509"/>
        <n x="381"/>
        <n x="498"/>
      </t>
    </mdx>
    <mdx n="508" f="v">
      <t c="3" si="4">
        <n x="509"/>
        <n x="354"/>
        <n x="498"/>
      </t>
    </mdx>
    <mdx n="508" f="v">
      <t c="3" si="4">
        <n x="509"/>
        <n x="426"/>
        <n x="498"/>
      </t>
    </mdx>
    <mdx n="508" f="v">
      <t c="3" si="4">
        <n x="509"/>
        <n x="131"/>
        <n x="498"/>
      </t>
    </mdx>
    <mdx n="508" f="v">
      <t c="3" si="4">
        <n x="509"/>
        <n x="305"/>
        <n x="499"/>
      </t>
    </mdx>
    <mdx n="508" f="v">
      <t c="3" si="4">
        <n x="509"/>
        <n x="383"/>
        <n x="499"/>
      </t>
    </mdx>
    <mdx n="508" f="v">
      <t c="3" si="4">
        <n x="509"/>
        <n x="190"/>
        <n x="497"/>
      </t>
    </mdx>
    <mdx n="508" f="v">
      <t c="3" si="4">
        <n x="509"/>
        <n x="252"/>
        <n x="497"/>
      </t>
    </mdx>
    <mdx n="508" f="v">
      <t c="3" si="4">
        <n x="509"/>
        <n x="231"/>
        <n x="497"/>
      </t>
    </mdx>
    <mdx n="508" f="v">
      <t c="3" si="4">
        <n x="509"/>
        <n x="349"/>
        <n x="497"/>
      </t>
    </mdx>
    <mdx n="508" f="v">
      <t c="3" si="4">
        <n x="509"/>
        <n x="130"/>
        <n x="497"/>
      </t>
    </mdx>
    <mdx n="508" f="v">
      <t c="3" si="4">
        <n x="509"/>
        <n x="308"/>
        <n x="497"/>
      </t>
    </mdx>
    <mdx n="508" f="v">
      <t c="3" si="4">
        <n x="509"/>
        <n x="287"/>
        <n x="497"/>
      </t>
    </mdx>
    <mdx n="508" f="v">
      <t c="3" si="4">
        <n x="509"/>
        <n x="395"/>
        <n x="498"/>
      </t>
    </mdx>
    <mdx n="508" f="v">
      <t c="3" si="4">
        <n x="509"/>
        <n x="116"/>
        <n x="498"/>
      </t>
    </mdx>
    <mdx n="508" f="v">
      <t c="3" si="4">
        <n x="509"/>
        <n x="417"/>
        <n x="498"/>
      </t>
    </mdx>
    <mdx n="508" f="v">
      <t c="3" si="4">
        <n x="509"/>
        <n x="203"/>
        <n x="498"/>
      </t>
    </mdx>
    <mdx n="508" f="v">
      <t c="3" si="4">
        <n x="509"/>
        <n x="91"/>
        <n x="498"/>
      </t>
    </mdx>
    <mdx n="508" f="v">
      <t c="3" si="4">
        <n x="509"/>
        <n x="362"/>
        <n x="498"/>
      </t>
    </mdx>
    <mdx n="508" f="v">
      <t c="3" si="4">
        <n x="509"/>
        <n x="116"/>
        <n x="499"/>
      </t>
    </mdx>
    <mdx n="508" f="v">
      <t c="3" si="4">
        <n x="509"/>
        <n x="252"/>
        <n x="499"/>
      </t>
    </mdx>
    <mdx n="508" f="v">
      <t c="3" si="4">
        <n x="509"/>
        <n x="429"/>
        <n x="497"/>
      </t>
    </mdx>
    <mdx n="508" f="v">
      <t c="3" si="4">
        <n x="509"/>
        <n x="236"/>
        <n x="497"/>
      </t>
    </mdx>
    <mdx n="508" f="v">
      <t c="3" si="4">
        <n x="509"/>
        <n x="74"/>
        <n x="497"/>
      </t>
    </mdx>
    <mdx n="508" f="v">
      <t c="3" si="4">
        <n x="509"/>
        <n x="36"/>
        <n x="498"/>
      </t>
    </mdx>
    <mdx n="508" f="v">
      <t c="3" si="4">
        <n x="509"/>
        <n x="145"/>
        <n x="498"/>
      </t>
    </mdx>
    <mdx n="508" f="v">
      <t c="3" si="4">
        <n x="509"/>
        <n x="88"/>
        <n x="498"/>
      </t>
    </mdx>
    <mdx n="508" f="v">
      <t c="3" si="4">
        <n x="509"/>
        <n x="396"/>
        <n x="498"/>
      </t>
    </mdx>
    <mdx n="508" f="v">
      <t c="3" si="4">
        <n x="509"/>
        <n x="251"/>
        <n x="498"/>
      </t>
    </mdx>
    <mdx n="508" f="v">
      <t c="3" si="4">
        <n x="509"/>
        <n x="210"/>
        <n x="498"/>
      </t>
    </mdx>
    <mdx n="508" f="v">
      <t c="3" si="4">
        <n x="509"/>
        <n x="171"/>
        <n x="499"/>
      </t>
    </mdx>
    <mdx n="508" f="v">
      <t c="3" si="4">
        <n x="509"/>
        <n x="200"/>
        <n x="499"/>
      </t>
    </mdx>
    <mdx n="508" f="v">
      <t c="3" si="4">
        <n x="509"/>
        <n x="200"/>
        <n x="501"/>
      </t>
    </mdx>
    <mdx n="508" f="v">
      <t c="3" si="4">
        <n x="509"/>
        <n x="320"/>
        <n x="499"/>
      </t>
    </mdx>
    <mdx n="508" f="v">
      <t c="3" si="4">
        <n x="509"/>
        <n x="344"/>
        <n x="499"/>
      </t>
    </mdx>
    <mdx n="508" f="v">
      <t c="3" si="4">
        <n x="509"/>
        <n x="222"/>
        <n x="500"/>
      </t>
    </mdx>
    <mdx n="508" f="v">
      <t c="3" si="4">
        <n x="509"/>
        <n x="120"/>
        <n x="500"/>
      </t>
    </mdx>
    <mdx n="508" f="v">
      <t c="3" si="4">
        <n x="509"/>
        <n x="214"/>
        <n x="500"/>
      </t>
    </mdx>
    <mdx n="508" f="v">
      <t c="3" si="4">
        <n x="509"/>
        <n x="27"/>
        <n x="501"/>
      </t>
    </mdx>
    <mdx n="508" f="v">
      <t c="3" si="4">
        <n x="509"/>
        <n x="303"/>
        <n x="502"/>
      </t>
    </mdx>
    <mdx n="508" f="v">
      <t c="3" si="4">
        <n x="509"/>
        <n x="54"/>
        <n x="498"/>
      </t>
    </mdx>
    <mdx n="508" f="v">
      <t c="3" si="4">
        <n x="509"/>
        <n x="157"/>
        <n x="498"/>
      </t>
    </mdx>
    <mdx n="508" f="v">
      <t c="3" si="4">
        <n x="509"/>
        <n x="18"/>
        <n x="498"/>
      </t>
    </mdx>
    <mdx n="508" f="v">
      <t c="3" si="4">
        <n x="509"/>
        <n x="172"/>
        <n x="498"/>
      </t>
    </mdx>
    <mdx n="508" f="v">
      <t c="3" si="4">
        <n x="509"/>
        <n x="121"/>
        <n x="498"/>
      </t>
    </mdx>
    <mdx n="508" f="v">
      <t c="3" si="4">
        <n x="509"/>
        <n x="45"/>
        <n x="499"/>
      </t>
    </mdx>
    <mdx n="508" f="v">
      <t c="3" si="4">
        <n x="509"/>
        <n x="151"/>
        <n x="499"/>
      </t>
    </mdx>
    <mdx n="508" f="v">
      <t c="3" si="4">
        <n x="509"/>
        <n x="343"/>
        <n x="499"/>
      </t>
    </mdx>
    <mdx n="508" f="v">
      <t c="3" si="4">
        <n x="509"/>
        <n x="245"/>
        <n x="499"/>
      </t>
    </mdx>
    <mdx n="508" f="v">
      <t c="3" si="4">
        <n x="509"/>
        <n x="261"/>
        <n x="499"/>
      </t>
    </mdx>
    <mdx n="508" f="v">
      <t c="3" si="4">
        <n x="509"/>
        <n x="229"/>
        <n x="499"/>
      </t>
    </mdx>
    <mdx n="508" f="v">
      <t c="3" si="4">
        <n x="509"/>
        <n x="418"/>
        <n x="500"/>
      </t>
    </mdx>
    <mdx n="508" f="v">
      <t c="3" si="4">
        <n x="509"/>
        <n x="283"/>
        <n x="500"/>
      </t>
    </mdx>
    <mdx n="508" f="v">
      <t c="3" si="4">
        <n x="509"/>
        <n x="35"/>
        <n x="500"/>
      </t>
    </mdx>
    <mdx n="508" f="v">
      <t c="3" si="4">
        <n x="509"/>
        <n x="14"/>
        <n x="501"/>
      </t>
    </mdx>
    <mdx n="508" f="v">
      <t c="3" si="4">
        <n x="509"/>
        <n x="234"/>
        <n x="503"/>
      </t>
    </mdx>
    <mdx n="508" f="v">
      <t c="3" si="4">
        <n x="509"/>
        <n x="176"/>
        <n x="498"/>
      </t>
    </mdx>
    <mdx n="508" f="v">
      <t c="3" si="4">
        <n x="509"/>
        <n x="150"/>
        <n x="498"/>
      </t>
    </mdx>
    <mdx n="508" f="v">
      <t c="3" si="4">
        <n x="509"/>
        <n x="393"/>
        <n x="498"/>
      </t>
    </mdx>
    <mdx n="508" f="v">
      <t c="3" si="4">
        <n x="509"/>
        <n x="160"/>
        <n x="498"/>
      </t>
    </mdx>
    <mdx n="508" f="v">
      <t c="3" si="4">
        <n x="509"/>
        <n x="229"/>
        <n x="498"/>
      </t>
    </mdx>
    <mdx n="508" f="v">
      <t c="3" si="4">
        <n x="509"/>
        <n x="158"/>
        <n x="499"/>
      </t>
    </mdx>
    <mdx n="508" f="v">
      <t c="3" si="4">
        <n x="509"/>
        <n x="139"/>
        <n x="499"/>
      </t>
    </mdx>
    <mdx n="508" f="v">
      <t c="3" si="4">
        <n x="509"/>
        <n x="256"/>
        <n x="499"/>
      </t>
    </mdx>
    <mdx n="508" f="v">
      <t c="3" si="4">
        <n x="509"/>
        <n x="24"/>
        <n x="499"/>
      </t>
    </mdx>
    <mdx n="508" f="v">
      <t c="3" si="4">
        <n x="509"/>
        <n x="32"/>
        <n x="499"/>
      </t>
    </mdx>
    <mdx n="508" f="v">
      <t c="3" si="4">
        <n x="509"/>
        <n x="117"/>
        <n x="499"/>
      </t>
    </mdx>
    <mdx n="508" f="v">
      <t c="3" si="4">
        <n x="509"/>
        <n x="144"/>
        <n x="500"/>
      </t>
    </mdx>
    <mdx n="508" f="v">
      <t c="3" si="4">
        <n x="509"/>
        <n x="343"/>
        <n x="500"/>
      </t>
    </mdx>
    <mdx n="508" f="v">
      <t c="3" si="4">
        <n x="509"/>
        <n x="31"/>
        <n x="500"/>
      </t>
    </mdx>
    <mdx n="508" f="v">
      <t c="3" si="4">
        <n x="509"/>
        <n x="376"/>
        <n x="501"/>
      </t>
    </mdx>
    <mdx n="508" f="v">
      <t c="3" si="4">
        <n x="509"/>
        <n x="171"/>
        <n x="503"/>
      </t>
    </mdx>
    <mdx n="508" f="v">
      <t c="3" si="4">
        <n x="509"/>
        <n x="422"/>
        <n x="499"/>
      </t>
    </mdx>
    <mdx n="508" f="v">
      <t c="3" si="4">
        <n x="509"/>
        <n x="154"/>
        <n x="499"/>
      </t>
    </mdx>
    <mdx n="508" f="v">
      <t c="3" si="4">
        <n x="509"/>
        <n x="199"/>
        <n x="499"/>
      </t>
    </mdx>
    <mdx n="508" f="v">
      <t c="3" si="4">
        <n x="509"/>
        <n x="357"/>
        <n x="500"/>
      </t>
    </mdx>
    <mdx n="508" f="v">
      <t c="3" si="4">
        <n x="509"/>
        <n x="323"/>
        <n x="500"/>
      </t>
    </mdx>
    <mdx n="508" f="v">
      <t c="3" si="4">
        <n x="509"/>
        <n x="326"/>
        <n x="500"/>
      </t>
    </mdx>
    <mdx n="508" f="v">
      <t c="3" si="4">
        <n x="509"/>
        <n x="138"/>
        <n x="501"/>
      </t>
    </mdx>
    <mdx n="508" f="v">
      <t c="3" si="4">
        <n x="509"/>
        <n x="240"/>
        <n x="501"/>
      </t>
    </mdx>
    <mdx n="508" f="v">
      <t c="3" si="4">
        <n x="509"/>
        <n x="137"/>
        <n x="499"/>
      </t>
    </mdx>
    <mdx n="508" f="v">
      <t c="3" si="4">
        <n x="509"/>
        <n x="449"/>
        <n x="499"/>
      </t>
    </mdx>
    <mdx n="508" f="v">
      <t c="3" si="4">
        <n x="509"/>
        <n x="17"/>
        <n x="499"/>
      </t>
    </mdx>
    <mdx n="508" f="v">
      <t c="3" si="4">
        <n x="509"/>
        <n x="97"/>
        <n x="499"/>
      </t>
    </mdx>
    <mdx n="508" f="v">
      <t c="3" si="4">
        <n x="509"/>
        <n x="365"/>
        <n x="499"/>
      </t>
    </mdx>
    <mdx n="508" f="v">
      <t c="3" si="4">
        <n x="509"/>
        <n x="158"/>
        <n x="500"/>
      </t>
    </mdx>
    <mdx n="508" f="v">
      <t c="3" si="4">
        <n x="509"/>
        <n x="314"/>
        <n x="500"/>
      </t>
    </mdx>
    <mdx n="508" f="v">
      <t c="3" si="4">
        <n x="509"/>
        <n x="9"/>
        <n x="500"/>
      </t>
    </mdx>
    <mdx n="508" f="v">
      <t c="3" si="4">
        <n x="509"/>
        <n x="189"/>
        <n x="501"/>
      </t>
    </mdx>
    <mdx n="508" f="v">
      <t c="3" si="4">
        <n x="509"/>
        <n x="171"/>
        <n x="502"/>
      </t>
    </mdx>
    <mdx n="508" f="v">
      <t c="3" si="4">
        <n x="509"/>
        <n x="316"/>
        <n x="498"/>
      </t>
    </mdx>
    <mdx n="508" f="v">
      <t c="3" si="4">
        <n x="509"/>
        <n x="204"/>
        <n x="498"/>
      </t>
    </mdx>
    <mdx n="508" f="v">
      <t c="3" si="4">
        <n x="509"/>
        <n x="296"/>
        <n x="499"/>
      </t>
    </mdx>
    <mdx n="508" f="v">
      <t c="3" si="4">
        <n x="509"/>
        <n x="407"/>
        <n x="499"/>
      </t>
    </mdx>
    <mdx n="508" f="v">
      <t c="3" si="4">
        <n x="509"/>
        <n x="359"/>
        <n x="499"/>
      </t>
    </mdx>
    <mdx n="508" f="v">
      <t c="3" si="4">
        <n x="509"/>
        <n x="390"/>
        <n x="499"/>
      </t>
    </mdx>
    <mdx n="508" f="v">
      <t c="3" si="4">
        <n x="509"/>
        <n x="85"/>
        <n x="499"/>
      </t>
    </mdx>
    <mdx n="508" f="v">
      <t c="3" si="4">
        <n x="509"/>
        <n x="362"/>
        <n x="499"/>
      </t>
    </mdx>
    <mdx n="508" f="v">
      <t c="3" si="4">
        <n x="509"/>
        <n x="416"/>
        <n x="500"/>
      </t>
    </mdx>
    <mdx n="508" f="v">
      <t c="3" si="4">
        <n x="509"/>
        <n x="200"/>
        <n x="500"/>
      </t>
    </mdx>
    <mdx n="508" f="v">
      <t c="3" si="4">
        <n x="509"/>
        <n x="96"/>
        <n x="500"/>
      </t>
    </mdx>
    <mdx n="508" f="v">
      <t c="3" si="4">
        <n x="509"/>
        <n x="283"/>
        <n x="501"/>
      </t>
    </mdx>
    <mdx n="508" f="v">
      <t c="3" si="4">
        <n x="509"/>
        <n x="327"/>
        <n x="502"/>
      </t>
    </mdx>
    <mdx n="508" f="v">
      <t c="3" si="4">
        <n x="509"/>
        <n x="70"/>
        <n x="499"/>
      </t>
    </mdx>
    <mdx n="508" f="v">
      <t c="3" si="4">
        <n x="509"/>
        <n x="281"/>
        <n x="499"/>
      </t>
    </mdx>
    <mdx n="508" f="v">
      <t c="3" si="4">
        <n x="509"/>
        <n x="63"/>
        <n x="499"/>
      </t>
    </mdx>
    <mdx n="508" f="v">
      <t c="3" si="4">
        <n x="509"/>
        <n x="310"/>
        <n x="499"/>
      </t>
    </mdx>
    <mdx n="508" f="v">
      <t c="3" si="4">
        <n x="509"/>
        <n x="401"/>
        <n x="500"/>
      </t>
    </mdx>
    <mdx n="508" f="v">
      <t c="3" si="4">
        <n x="509"/>
        <n x="458"/>
        <n x="500"/>
      </t>
    </mdx>
    <mdx n="508" f="v">
      <t c="3" si="4">
        <n x="509"/>
        <n x="12"/>
        <n x="500"/>
      </t>
    </mdx>
    <mdx n="508" f="v">
      <t c="3" si="4">
        <n x="509"/>
        <n x="150"/>
        <n x="501"/>
      </t>
    </mdx>
    <mdx n="508" f="v">
      <t c="3" si="4">
        <n x="509"/>
        <n x="190"/>
        <n x="503"/>
      </t>
    </mdx>
    <mdx n="508" f="v">
      <t c="3" si="4">
        <n x="509"/>
        <n x="259"/>
        <n x="500"/>
      </t>
    </mdx>
    <mdx n="508" f="v">
      <t c="3" si="4">
        <n x="509"/>
        <n x="428"/>
        <n x="501"/>
      </t>
    </mdx>
    <mdx n="508" f="v">
      <t c="3" si="4">
        <n x="509"/>
        <n x="207"/>
        <n x="501"/>
      </t>
    </mdx>
    <mdx n="508" f="v">
      <t c="3" si="4">
        <n x="509"/>
        <n x="93"/>
        <n x="501"/>
      </t>
    </mdx>
    <mdx n="508" f="v">
      <t c="3" si="4">
        <n x="509"/>
        <n x="313"/>
        <n x="501"/>
      </t>
    </mdx>
    <mdx n="508" f="v">
      <t c="3" si="4">
        <n x="509"/>
        <n x="237"/>
        <n x="501"/>
      </t>
    </mdx>
    <mdx n="508" f="v">
      <t c="3" si="4">
        <n x="509"/>
        <n x="253"/>
        <n x="501"/>
      </t>
    </mdx>
    <mdx n="508" f="v">
      <t c="3" si="4">
        <n x="509"/>
        <n x="231"/>
        <n x="502"/>
      </t>
    </mdx>
    <mdx n="508" f="v">
      <t c="3" si="4">
        <n x="509"/>
        <n x="11"/>
        <n x="503"/>
      </t>
    </mdx>
    <mdx n="508" f="v">
      <t c="3" si="4">
        <n x="509"/>
        <n x="396"/>
        <n x="499"/>
      </t>
    </mdx>
    <mdx n="508" f="v">
      <t c="3" si="4">
        <n x="509"/>
        <n x="40"/>
        <n x="499"/>
      </t>
    </mdx>
    <mdx n="508" f="v">
      <t c="3" si="4">
        <n x="509"/>
        <n x="123"/>
        <n x="499"/>
      </t>
    </mdx>
    <mdx n="508" f="v">
      <t c="3" si="4">
        <n x="509"/>
        <n x="287"/>
        <n x="499"/>
      </t>
    </mdx>
    <mdx n="508" f="v">
      <t c="3" si="4">
        <n x="509"/>
        <n x="277"/>
        <n x="500"/>
      </t>
    </mdx>
    <mdx n="508" f="v">
      <t c="3" si="4">
        <n x="509"/>
        <n x="30"/>
        <n x="500"/>
      </t>
    </mdx>
    <mdx n="508" f="v">
      <t c="3" si="4">
        <n x="509"/>
        <n x="304"/>
        <n x="500"/>
      </t>
    </mdx>
    <mdx n="508" f="v">
      <t c="3" si="4">
        <n x="509"/>
        <n x="439"/>
        <n x="500"/>
      </t>
    </mdx>
    <mdx n="508" f="v">
      <t c="3" si="4">
        <n x="509"/>
        <n x="41"/>
        <n x="500"/>
      </t>
    </mdx>
    <mdx n="508" f="v">
      <t c="3" si="4">
        <n x="509"/>
        <n x="371"/>
        <n x="500"/>
      </t>
    </mdx>
    <mdx n="508" f="v">
      <t c="3" si="4">
        <n x="509"/>
        <n x="81"/>
        <n x="500"/>
      </t>
    </mdx>
    <mdx n="508" f="v">
      <t c="3" si="4">
        <n x="509"/>
        <n x="199"/>
        <n x="501"/>
      </t>
    </mdx>
    <mdx n="508" f="v">
      <t c="3" si="4">
        <n x="509"/>
        <n x="171"/>
        <n x="501"/>
      </t>
    </mdx>
    <mdx n="508" f="v">
      <t c="3" si="4">
        <n x="509"/>
        <n x="382"/>
        <n x="501"/>
      </t>
    </mdx>
    <mdx n="508" f="v">
      <t c="3" si="4">
        <n x="509"/>
        <n x="241"/>
        <n x="501"/>
      </t>
    </mdx>
    <mdx n="508" f="v">
      <t c="3" si="4">
        <n x="509"/>
        <n x="186"/>
        <n x="501"/>
      </t>
    </mdx>
    <mdx n="508" f="v">
      <t c="3" si="4">
        <n x="509"/>
        <n x="9"/>
        <n x="501"/>
      </t>
    </mdx>
    <mdx n="508" f="v">
      <t c="3" si="4">
        <n x="509"/>
        <n x="204"/>
        <n x="502"/>
      </t>
    </mdx>
    <mdx n="508" f="v">
      <t c="3" si="4">
        <n x="509"/>
        <n x="358"/>
        <n x="502"/>
      </t>
    </mdx>
    <mdx n="508" f="v">
      <t c="3" si="4">
        <n x="509"/>
        <n x="215"/>
        <n x="503"/>
      </t>
    </mdx>
    <mdx n="508" f="v">
      <t c="3" si="4">
        <n x="509"/>
        <n x="334"/>
        <n x="499"/>
      </t>
    </mdx>
    <mdx n="508" f="v">
      <t c="3" si="4">
        <n x="509"/>
        <n x="160"/>
        <n x="499"/>
      </t>
    </mdx>
    <mdx n="508" f="v">
      <t c="3" si="4">
        <n x="509"/>
        <n x="271"/>
        <n x="499"/>
      </t>
    </mdx>
    <mdx n="508" f="v">
      <t c="3" si="4">
        <n x="509"/>
        <n x="135"/>
        <n x="500"/>
      </t>
    </mdx>
    <mdx n="508" f="v">
      <t c="3" si="4">
        <n x="509"/>
        <n x="232"/>
        <n x="500"/>
      </t>
    </mdx>
    <mdx n="508" f="v">
      <t c="3" si="4">
        <n x="509"/>
        <n x="455"/>
        <n x="500"/>
      </t>
    </mdx>
    <mdx n="508" f="v">
      <t c="3" si="4">
        <n x="509"/>
        <n x="335"/>
        <n x="500"/>
      </t>
    </mdx>
    <mdx n="508" f="v">
      <t c="3" si="4">
        <n x="509"/>
        <n x="202"/>
        <n x="500"/>
      </t>
    </mdx>
    <mdx n="508" f="v">
      <t c="3" si="4">
        <n x="509"/>
        <n x="32"/>
        <n x="500"/>
      </t>
    </mdx>
    <mdx n="508" f="v">
      <t c="3" si="4">
        <n x="509"/>
        <n x="293"/>
        <n x="500"/>
      </t>
    </mdx>
    <mdx n="508" f="v">
      <t c="3" si="4">
        <n x="509"/>
        <n x="298"/>
        <n x="501"/>
      </t>
    </mdx>
    <mdx n="508" f="v">
      <t c="3" si="4">
        <n x="509"/>
        <n x="145"/>
        <n x="501"/>
      </t>
    </mdx>
    <mdx n="508" f="v">
      <t c="3" si="4">
        <n x="509"/>
        <n x="83"/>
        <n x="501"/>
      </t>
    </mdx>
    <mdx n="508" f="v">
      <t c="3" si="4">
        <n x="509"/>
        <n x="194"/>
        <n x="501"/>
      </t>
    </mdx>
    <mdx n="508" f="v">
      <t c="3" si="4">
        <n x="509"/>
        <n x="71"/>
        <n x="501"/>
      </t>
    </mdx>
    <mdx n="508" f="v">
      <t c="3" si="4">
        <n x="509"/>
        <n x="60"/>
        <n x="501"/>
      </t>
    </mdx>
    <mdx n="508" f="v">
      <t c="3" si="4">
        <n x="509"/>
        <n x="370"/>
        <n x="502"/>
      </t>
    </mdx>
    <mdx n="508" f="v">
      <t c="3" si="4">
        <n x="509"/>
        <n x="175"/>
        <n x="502"/>
      </t>
    </mdx>
    <mdx n="508" f="v">
      <t c="3" si="4">
        <n x="509"/>
        <n x="166"/>
        <n x="504"/>
      </t>
    </mdx>
    <mdx n="508" f="v">
      <t c="3" si="4">
        <n x="509"/>
        <n x="358"/>
        <n x="500"/>
      </t>
    </mdx>
    <mdx n="508" f="v">
      <t c="3" si="4">
        <n x="509"/>
        <n x="97"/>
        <n x="500"/>
      </t>
    </mdx>
    <mdx n="508" f="v">
      <t c="3" si="4">
        <n x="509"/>
        <n x="104"/>
        <n x="500"/>
      </t>
    </mdx>
    <mdx n="508" f="v">
      <t c="3" si="4">
        <n x="509"/>
        <n x="375"/>
        <n x="500"/>
      </t>
    </mdx>
    <mdx n="508" f="v">
      <t c="3" si="4">
        <n x="509"/>
        <n x="58"/>
        <n x="501"/>
      </t>
    </mdx>
    <mdx n="508" f="v">
      <t c="3" si="4">
        <n x="509"/>
        <n x="234"/>
        <n x="501"/>
      </t>
    </mdx>
    <mdx n="508" f="v">
      <t c="3" si="4">
        <n x="509"/>
        <n x="44"/>
        <n x="501"/>
      </t>
    </mdx>
    <mdx n="508" f="v">
      <t c="3" si="4">
        <n x="509"/>
        <n x="125"/>
        <n x="501"/>
      </t>
    </mdx>
    <mdx n="508" f="v">
      <t c="3" si="4">
        <n x="509"/>
        <n x="329"/>
        <n x="501"/>
      </t>
    </mdx>
    <mdx n="508" f="v">
      <t c="3" si="4">
        <n x="509"/>
        <n x="39"/>
        <n x="502"/>
      </t>
    </mdx>
    <mdx n="508" f="v">
      <t c="3" si="4">
        <n x="509"/>
        <n x="361"/>
        <n x="502"/>
      </t>
    </mdx>
    <mdx n="508" f="v">
      <t c="3" si="4">
        <n x="509"/>
        <n x="346"/>
        <n x="503"/>
      </t>
    </mdx>
    <mdx n="508" f="v">
      <t c="3" si="4">
        <n x="509"/>
        <n x="50"/>
        <n x="500"/>
      </t>
    </mdx>
    <mdx n="508" f="v">
      <t c="3" si="4">
        <n x="509"/>
        <n x="246"/>
        <n x="500"/>
      </t>
    </mdx>
    <mdx n="508" f="v">
      <t c="3" si="4">
        <n x="509"/>
        <n x="369"/>
        <n x="500"/>
      </t>
    </mdx>
    <mdx n="508" f="v">
      <t c="3" si="4">
        <n x="509"/>
        <n x="162"/>
        <n x="500"/>
      </t>
    </mdx>
    <mdx n="508" f="v">
      <t c="3" si="4">
        <n x="509"/>
        <n x="255"/>
        <n x="500"/>
      </t>
    </mdx>
    <mdx n="508" f="v">
      <t c="3" si="4">
        <n x="509"/>
        <n x="353"/>
        <n x="500"/>
      </t>
    </mdx>
    <mdx n="508" f="v">
      <t c="3" si="4">
        <n x="509"/>
        <n x="366"/>
        <n x="500"/>
      </t>
    </mdx>
    <mdx n="508" f="v">
      <t c="3" si="4">
        <n x="509"/>
        <n x="183"/>
        <n x="501"/>
      </t>
    </mdx>
    <mdx n="508" f="v">
      <t c="3" si="4">
        <n x="509"/>
        <n x="158"/>
        <n x="501"/>
      </t>
    </mdx>
    <mdx n="508" f="v">
      <t c="3" si="4">
        <n x="509"/>
        <n x="217"/>
        <n x="501"/>
      </t>
    </mdx>
    <mdx n="508" f="v">
      <t c="3" si="4">
        <n x="509"/>
        <n x="323"/>
        <n x="501"/>
      </t>
    </mdx>
    <mdx n="508" f="v">
      <t c="3" si="4">
        <n x="509"/>
        <n x="349"/>
        <n x="501"/>
      </t>
    </mdx>
    <mdx n="508" f="v">
      <t c="3" si="4">
        <n x="509"/>
        <n x="461"/>
        <n x="501"/>
      </t>
    </mdx>
    <mdx n="508" f="v">
      <t c="3" si="4">
        <n x="509"/>
        <n x="177"/>
        <n x="502"/>
      </t>
    </mdx>
    <mdx n="508" f="v">
      <t c="3" si="4">
        <n x="509"/>
        <n x="255"/>
        <n x="502"/>
      </t>
    </mdx>
    <mdx n="508" f="v">
      <t c="3" si="4">
        <n x="509"/>
        <n x="3"/>
        <n x="503"/>
      </t>
    </mdx>
    <mdx n="508" f="v">
      <t c="3" si="4">
        <n x="509"/>
        <n x="399"/>
        <n x="499"/>
      </t>
    </mdx>
    <mdx n="508" f="v">
      <t c="3" si="4">
        <n x="509"/>
        <n x="254"/>
        <n x="499"/>
      </t>
    </mdx>
    <mdx n="508" f="v">
      <t c="3" si="4">
        <n x="509"/>
        <n x="435"/>
        <n x="499"/>
      </t>
    </mdx>
    <mdx n="508" f="v">
      <t c="3" si="4">
        <n x="509"/>
        <n x="395"/>
        <n x="500"/>
      </t>
    </mdx>
    <mdx n="508" f="v">
      <t c="3" si="4">
        <n x="509"/>
        <n x="116"/>
        <n x="500"/>
      </t>
    </mdx>
    <mdx n="508" f="v">
      <t c="3" si="4">
        <n x="509"/>
        <n x="354"/>
        <n x="500"/>
      </t>
    </mdx>
    <mdx n="508" f="v">
      <t c="3" si="4">
        <n x="509"/>
        <n x="128"/>
        <n x="500"/>
      </t>
    </mdx>
    <mdx n="508" f="v">
      <t c="3" si="4">
        <n x="509"/>
        <n x="290"/>
        <n x="500"/>
      </t>
    </mdx>
    <mdx n="508" f="v">
      <t c="3" si="4">
        <n x="509"/>
        <n x="248"/>
        <n x="500"/>
      </t>
    </mdx>
    <mdx n="508" f="v">
      <t c="3" si="4">
        <n x="509"/>
        <n x="57"/>
        <n x="500"/>
      </t>
    </mdx>
    <mdx n="508" f="v">
      <t c="3" si="4">
        <n x="509"/>
        <n x="63"/>
        <n x="501"/>
      </t>
    </mdx>
    <mdx n="508" f="v">
      <t c="3" si="4">
        <n x="509"/>
        <n x="30"/>
        <n x="501"/>
      </t>
    </mdx>
    <mdx n="508" f="v">
      <t c="3" si="4">
        <n x="509"/>
        <n x="210"/>
        <n x="501"/>
      </t>
    </mdx>
    <mdx n="508" f="v">
      <t c="3" si="4">
        <n x="509"/>
        <n x="441"/>
        <n x="501"/>
      </t>
    </mdx>
    <mdx n="508" f="v">
      <t c="3" si="4">
        <n x="509"/>
        <n x="198"/>
        <n x="501"/>
      </t>
    </mdx>
    <mdx n="508" f="v">
      <t c="3" si="4">
        <n x="509"/>
        <n x="247"/>
        <n x="501"/>
      </t>
    </mdx>
    <mdx n="508" f="v">
      <t c="3" si="4">
        <n x="509"/>
        <n x="187"/>
        <n x="502"/>
      </t>
    </mdx>
    <mdx n="508" f="v">
      <t c="3" si="4">
        <n x="509"/>
        <n x="408"/>
        <n x="502"/>
      </t>
    </mdx>
    <mdx n="508" f="v">
      <t c="3" si="4">
        <n x="509"/>
        <n x="181"/>
        <n x="504"/>
      </t>
    </mdx>
    <mdx n="508" f="v">
      <t c="3" si="4">
        <n x="509"/>
        <n x="211"/>
        <n x="501"/>
      </t>
    </mdx>
    <mdx n="508" f="v">
      <t c="3" si="4">
        <n x="509"/>
        <n x="36"/>
        <n x="501"/>
      </t>
    </mdx>
    <mdx n="508" f="v">
      <t c="3" si="4">
        <n x="509"/>
        <n x="261"/>
        <n x="501"/>
      </t>
    </mdx>
    <mdx n="508" f="v">
      <t c="3" si="4">
        <n x="509"/>
        <n x="36"/>
        <n x="502"/>
      </t>
    </mdx>
    <mdx n="508" f="v">
      <t c="3" si="4">
        <n x="509"/>
        <n x="440"/>
        <n x="502"/>
      </t>
    </mdx>
    <mdx n="508" f="v">
      <t c="3" si="4">
        <n x="509"/>
        <n x="11"/>
        <n x="502"/>
      </t>
    </mdx>
    <mdx n="508" f="v">
      <t c="3" si="4">
        <n x="509"/>
        <n x="291"/>
        <n x="502"/>
      </t>
    </mdx>
    <mdx n="508" f="v">
      <t c="3" si="4">
        <n x="509"/>
        <n x="72"/>
        <n x="502"/>
      </t>
    </mdx>
    <mdx n="508" f="v">
      <t c="3" si="4">
        <n x="509"/>
        <n x="393"/>
        <n x="502"/>
      </t>
    </mdx>
    <mdx n="508" f="v">
      <t c="3" si="4">
        <n x="509"/>
        <n x="160"/>
        <n x="502"/>
      </t>
    </mdx>
    <mdx n="508" f="v">
      <t c="3" si="4">
        <n x="509"/>
        <n x="134"/>
        <n x="503"/>
      </t>
    </mdx>
    <mdx n="508" f="v">
      <t c="3" si="4">
        <n x="509"/>
        <n x="41"/>
        <n x="503"/>
      </t>
    </mdx>
    <mdx n="508" f="v">
      <t c="3" si="4">
        <n x="509"/>
        <n x="440"/>
        <n x="503"/>
      </t>
    </mdx>
    <mdx n="508" f="v">
      <t c="3" si="4">
        <n x="509"/>
        <n x="404"/>
        <n x="503"/>
      </t>
    </mdx>
    <mdx n="508" f="v">
      <t c="3" si="4">
        <n x="509"/>
        <n x="449"/>
        <n x="504"/>
      </t>
    </mdx>
    <mdx n="508" f="v">
      <t c="3" si="4">
        <n x="509"/>
        <n x="154"/>
        <n x="504"/>
      </t>
    </mdx>
    <mdx n="508" f="v">
      <t c="3" si="4">
        <n x="509"/>
        <n x="71"/>
        <n x="505"/>
      </t>
    </mdx>
    <mdx n="508" f="v">
      <t c="3" si="4">
        <n x="509"/>
        <n x="236"/>
        <n x="501"/>
      </t>
    </mdx>
    <mdx n="508" f="v">
      <t c="3" si="4">
        <n x="509"/>
        <n x="148"/>
        <n x="501"/>
      </t>
    </mdx>
    <mdx n="508" f="v">
      <t c="3" si="4">
        <n x="509"/>
        <n x="352"/>
        <n x="502"/>
      </t>
    </mdx>
    <mdx n="508" f="v">
      <t c="3" si="4">
        <n x="509"/>
        <n x="419"/>
        <n x="502"/>
      </t>
    </mdx>
    <mdx n="508" f="v">
      <t c="3" si="4">
        <n x="509"/>
        <n x="456"/>
        <n x="502"/>
      </t>
    </mdx>
    <mdx n="508" f="v">
      <t c="3" si="4">
        <n x="509"/>
        <n x="41"/>
        <n x="502"/>
      </t>
    </mdx>
    <mdx n="508" f="v">
      <t c="3" si="4">
        <n x="509"/>
        <n x="49"/>
        <n x="502"/>
      </t>
    </mdx>
    <mdx n="508" f="v">
      <t c="3" si="4">
        <n x="509"/>
        <n x="85"/>
        <n x="502"/>
      </t>
    </mdx>
    <mdx n="508" f="v">
      <t c="3" si="4">
        <n x="509"/>
        <n x="74"/>
        <n x="502"/>
      </t>
    </mdx>
    <mdx n="508" f="v">
      <t c="3" si="4">
        <n x="509"/>
        <n x="448"/>
        <n x="503"/>
      </t>
    </mdx>
    <mdx n="508" f="v">
      <t c="3" si="4">
        <n x="509"/>
        <n x="396"/>
        <n x="503"/>
      </t>
    </mdx>
    <mdx n="508" f="v">
      <t c="3" si="4">
        <n x="509"/>
        <n x="143"/>
        <n x="503"/>
      </t>
    </mdx>
    <mdx n="508" f="v">
      <t c="3" si="4">
        <n x="509"/>
        <n x="73"/>
        <n x="503"/>
      </t>
    </mdx>
    <mdx n="508" f="v">
      <t c="3" si="4">
        <n x="509"/>
        <n x="295"/>
        <n x="504"/>
      </t>
    </mdx>
    <mdx n="508" f="v">
      <t c="3" si="4">
        <n x="509"/>
        <n x="78"/>
        <n x="504"/>
      </t>
    </mdx>
    <mdx n="508" f="v">
      <t c="3" si="4">
        <n x="509"/>
        <n x="298"/>
        <n x="505"/>
      </t>
    </mdx>
    <mdx n="508" f="v">
      <t c="3" si="4">
        <n x="509"/>
        <n x="320"/>
        <n x="501"/>
      </t>
    </mdx>
    <mdx n="508" f="v">
      <t c="3" si="4">
        <n x="509"/>
        <n x="201"/>
        <n x="501"/>
      </t>
    </mdx>
    <mdx n="508" f="v">
      <t c="3" si="4">
        <n x="509"/>
        <n x="122"/>
        <n x="502"/>
      </t>
    </mdx>
    <mdx n="508" f="v">
      <t c="3" si="4">
        <n x="509"/>
        <n x="134"/>
        <n x="502"/>
      </t>
    </mdx>
    <mdx n="508" f="v">
      <t c="3" si="4">
        <n x="509"/>
        <n x="69"/>
        <n x="502"/>
      </t>
    </mdx>
    <mdx n="508" f="v">
      <t c="3" si="4">
        <n x="509"/>
        <n x="19"/>
        <n x="502"/>
      </t>
    </mdx>
    <mdx n="508" f="v">
      <t c="3" si="4">
        <n x="509"/>
        <n x="406"/>
        <n x="502"/>
      </t>
    </mdx>
    <mdx n="508" f="v">
      <t c="3" si="4">
        <n x="509"/>
        <n x="248"/>
        <n x="502"/>
      </t>
    </mdx>
    <mdx n="508" f="v">
      <t c="3" si="4">
        <n x="509"/>
        <n x="152"/>
        <n x="502"/>
      </t>
    </mdx>
    <mdx n="508" f="v">
      <t c="3" si="4">
        <n x="509"/>
        <n x="99"/>
        <n x="503"/>
      </t>
    </mdx>
    <mdx n="508" f="v">
      <t c="3" si="4">
        <n x="509"/>
        <n x="86"/>
        <n x="503"/>
      </t>
    </mdx>
    <mdx n="508" f="v">
      <t c="3" si="4">
        <n x="509"/>
        <n x="353"/>
        <n x="503"/>
      </t>
    </mdx>
    <mdx n="508" f="v">
      <t c="3" si="4">
        <n x="509"/>
        <n x="420"/>
        <n x="503"/>
      </t>
    </mdx>
    <mdx n="508" f="v">
      <t c="3" si="4">
        <n x="509"/>
        <n x="231"/>
        <n x="504"/>
      </t>
    </mdx>
    <mdx n="508" f="v">
      <t c="3" si="4">
        <n x="509"/>
        <n x="261"/>
        <n x="504"/>
      </t>
    </mdx>
    <mdx n="508" f="v">
      <t c="3" si="4">
        <n x="509"/>
        <n x="208"/>
        <n x="506"/>
      </t>
    </mdx>
    <mdx n="508" f="v">
      <t c="3" si="4">
        <n x="509"/>
        <n x="422"/>
        <n x="501"/>
      </t>
    </mdx>
    <mdx n="508" f="v">
      <t c="3" si="4">
        <n x="509"/>
        <n x="363"/>
        <n x="501"/>
      </t>
    </mdx>
    <mdx n="508" f="v">
      <t c="3" si="4">
        <n x="509"/>
        <n x="371"/>
        <n x="501"/>
      </t>
    </mdx>
    <mdx n="508" f="v">
      <t c="3" si="4">
        <n x="509"/>
        <n x="61"/>
        <n x="502"/>
      </t>
    </mdx>
    <mdx n="508" f="v">
      <t c="3" si="4">
        <n x="509"/>
        <n x="190"/>
        <n x="502"/>
      </t>
    </mdx>
    <mdx n="508" f="v">
      <t c="3" si="4">
        <n x="509"/>
        <n x="386"/>
        <n x="502"/>
      </t>
    </mdx>
    <mdx n="508" f="v">
      <t c="3" si="4">
        <n x="509"/>
        <n x="311"/>
        <n x="502"/>
      </t>
    </mdx>
    <mdx n="508" f="v">
      <t c="3" si="4">
        <n x="509"/>
        <n x="15"/>
        <n x="502"/>
      </t>
    </mdx>
    <mdx n="508" f="v">
      <t c="3" si="4">
        <n x="509"/>
        <n x="127"/>
        <n x="502"/>
      </t>
    </mdx>
    <mdx n="508" f="v">
      <t c="3" si="4">
        <n x="509"/>
        <n x="298"/>
        <n x="502"/>
      </t>
    </mdx>
    <mdx n="508" f="v">
      <t c="3" si="4">
        <n x="509"/>
        <n x="304"/>
        <n x="503"/>
      </t>
    </mdx>
    <mdx n="508" f="v">
      <t c="3" si="4">
        <n x="509"/>
        <n x="178"/>
        <n x="503"/>
      </t>
    </mdx>
    <mdx n="508" f="v">
      <t c="3" si="4">
        <n x="509"/>
        <n x="101"/>
        <n x="503"/>
      </t>
    </mdx>
    <mdx n="508" f="v">
      <t c="3" si="4">
        <n x="509"/>
        <n x="163"/>
        <n x="503"/>
      </t>
    </mdx>
    <mdx n="508" f="v">
      <t c="3" si="4">
        <n x="509"/>
        <n x="318"/>
        <n x="504"/>
      </t>
    </mdx>
    <mdx n="508" f="v">
      <t c="3" si="4">
        <n x="509"/>
        <n x="290"/>
        <n x="504"/>
      </t>
    </mdx>
    <mdx n="508" f="v">
      <t c="3" si="4">
        <n x="509"/>
        <n x="441"/>
        <n x="505"/>
      </t>
    </mdx>
    <mdx n="508" f="v">
      <t c="3" si="4">
        <n x="509"/>
        <n x="330"/>
        <n x="502"/>
      </t>
    </mdx>
    <mdx n="508" f="v">
      <t c="3" si="4">
        <n x="509"/>
        <n x="448"/>
        <n x="502"/>
      </t>
    </mdx>
    <mdx n="508" f="v">
      <t c="3" si="4">
        <n x="509"/>
        <n x="390"/>
        <n x="502"/>
      </t>
    </mdx>
    <mdx n="508" f="v">
      <t c="3" si="4">
        <n x="509"/>
        <n x="396"/>
        <n x="502"/>
      </t>
    </mdx>
    <mdx n="508" f="v">
      <t c="3" si="4">
        <n x="509"/>
        <n x="329"/>
        <n x="502"/>
      </t>
    </mdx>
    <mdx n="508" f="v">
      <t c="3" si="4">
        <n x="509"/>
        <n x="31"/>
        <n x="502"/>
      </t>
    </mdx>
    <mdx n="508" f="v">
      <t c="3" si="4">
        <n x="509"/>
        <n x="87"/>
        <n x="503"/>
      </t>
    </mdx>
    <mdx n="508" f="v">
      <t c="3" si="4">
        <n x="509"/>
        <n x="300"/>
        <n x="503"/>
      </t>
    </mdx>
    <mdx n="508" f="v">
      <t c="3" si="4">
        <n x="509"/>
        <n x="173"/>
        <n x="503"/>
      </t>
    </mdx>
    <mdx n="508" f="v">
      <t c="3" si="4">
        <n x="509"/>
        <n x="253"/>
        <n x="503"/>
      </t>
    </mdx>
    <mdx n="508" f="v">
      <t c="3" si="4">
        <n x="509"/>
        <n x="15"/>
        <n x="504"/>
      </t>
    </mdx>
    <mdx n="508" f="v">
      <t c="3" si="4">
        <n x="509"/>
        <n x="108"/>
        <n x="504"/>
      </t>
    </mdx>
    <mdx n="508" f="v">
      <t c="3" si="4">
        <n x="509"/>
        <n x="116"/>
        <n x="506"/>
      </t>
    </mdx>
    <mdx n="508" f="v">
      <t c="3" si="4">
        <n x="509"/>
        <n x="432"/>
        <n x="502"/>
      </t>
    </mdx>
    <mdx n="508" f="v">
      <t c="3" si="4">
        <n x="509"/>
        <n x="374"/>
        <n x="502"/>
      </t>
    </mdx>
    <mdx n="508" f="v">
      <t c="3" si="4">
        <n x="509"/>
        <n x="167"/>
        <n x="502"/>
      </t>
    </mdx>
    <mdx n="508" f="v">
      <t c="3" si="4">
        <n x="509"/>
        <n x="55"/>
        <n x="502"/>
      </t>
    </mdx>
    <mdx n="508" f="v">
      <t c="3" si="4">
        <n x="509"/>
        <n x="52"/>
        <n x="502"/>
      </t>
    </mdx>
    <mdx n="508" f="v">
      <t c="3" si="4">
        <n x="509"/>
        <n x="268"/>
        <n x="502"/>
      </t>
    </mdx>
    <mdx n="508" f="v">
      <t c="3" si="4">
        <n x="509"/>
        <n x="151"/>
        <n x="503"/>
      </t>
    </mdx>
    <mdx n="508" f="v">
      <t c="3" si="4">
        <n x="509"/>
        <n x="166"/>
        <n x="503"/>
      </t>
    </mdx>
    <mdx n="508" f="v">
      <t c="3" si="4">
        <n x="509"/>
        <n x="290"/>
        <n x="503"/>
      </t>
    </mdx>
    <mdx n="508" f="v">
      <t c="3" si="4">
        <n x="509"/>
        <n x="216"/>
        <n x="503"/>
      </t>
    </mdx>
    <mdx n="508" f="v">
      <t c="3" si="4">
        <n x="509"/>
        <n x="277"/>
        <n x="504"/>
      </t>
    </mdx>
    <mdx n="508" f="v">
      <t c="3" si="4">
        <n x="509"/>
        <n x="360"/>
        <n x="504"/>
      </t>
    </mdx>
    <mdx n="508" f="v">
      <t c="3" si="4">
        <n x="509"/>
        <n x="204"/>
        <n x="505"/>
      </t>
    </mdx>
    <mdx n="508" f="v">
      <t c="3" si="4">
        <n x="509"/>
        <n x="159"/>
        <n x="506"/>
      </t>
    </mdx>
    <mdx n="508" f="v">
      <t c="3" si="4">
        <n x="509"/>
        <n x="217"/>
        <n x="503"/>
      </t>
    </mdx>
    <mdx n="508" f="v">
      <t c="3" si="4">
        <n x="509"/>
        <n x="360"/>
        <n x="503"/>
      </t>
    </mdx>
    <mdx n="508" f="v">
      <t c="3" si="4">
        <n x="509"/>
        <n x="230"/>
        <n x="503"/>
      </t>
    </mdx>
    <mdx n="508" f="v">
      <t c="3" si="4">
        <n x="509"/>
        <n x="277"/>
        <n x="503"/>
      </t>
    </mdx>
    <mdx n="508" f="v">
      <t c="3" si="4">
        <n x="509"/>
        <n x="246"/>
        <n x="504"/>
      </t>
    </mdx>
    <mdx n="508" f="v">
      <t c="3" si="4">
        <n x="509"/>
        <n x="146"/>
        <n x="504"/>
      </t>
    </mdx>
    <mdx n="508" f="v">
      <t c="3" si="4">
        <n x="509"/>
        <n x="157"/>
        <n x="505"/>
      </t>
    </mdx>
    <mdx n="508" f="v">
      <t c="3" si="4">
        <n x="509"/>
        <n x="363"/>
        <n x="504"/>
      </t>
    </mdx>
    <mdx n="508" f="v">
      <t c="3" si="4">
        <n x="509"/>
        <n x="352"/>
        <n x="495"/>
      </t>
    </mdx>
    <mdx n="508" f="v">
      <t c="3" si="4">
        <n x="509"/>
        <n x="257"/>
        <n x="478"/>
      </t>
    </mdx>
    <mdx n="508" f="v">
      <t c="3" si="4">
        <n x="509"/>
        <n x="80"/>
        <n x="492"/>
      </t>
    </mdx>
    <mdx n="508" f="v">
      <t c="3" si="4">
        <n x="509"/>
        <n x="92"/>
        <n x="494"/>
      </t>
    </mdx>
    <mdx n="508" f="v">
      <t c="3" si="4">
        <n x="509"/>
        <n x="398"/>
        <n x="494"/>
      </t>
    </mdx>
    <mdx n="508" f="v">
      <t c="3" si="4">
        <n x="509"/>
        <n x="11"/>
        <n x="495"/>
      </t>
    </mdx>
    <mdx n="508" f="v">
      <t c="3" si="4">
        <n x="509"/>
        <n x="422"/>
        <n x="495"/>
      </t>
    </mdx>
    <mdx n="508" f="v">
      <t c="3" si="4">
        <n x="509"/>
        <n x="332"/>
        <n x="495"/>
      </t>
    </mdx>
    <mdx n="508" f="v">
      <t c="3" si="4">
        <n x="509"/>
        <n x="451"/>
        <n x="485"/>
      </t>
    </mdx>
    <mdx n="508" f="v">
      <t c="3" si="4">
        <n x="509"/>
        <n x="323"/>
        <n x="491"/>
      </t>
    </mdx>
    <mdx n="508" f="v">
      <t c="3" si="4">
        <n x="509"/>
        <n x="464"/>
        <n x="493"/>
      </t>
    </mdx>
    <mdx n="508" f="v">
      <t c="3" si="4">
        <n x="509"/>
        <n x="72"/>
        <n x="493"/>
      </t>
    </mdx>
    <mdx n="508" f="v">
      <t c="3" si="4">
        <n x="509"/>
        <n x="321"/>
        <n x="494"/>
      </t>
    </mdx>
    <mdx n="508" f="v">
      <t c="3" si="4">
        <n x="509"/>
        <n x="213"/>
        <n x="494"/>
      </t>
    </mdx>
    <mdx n="508" f="v">
      <t c="3" si="4">
        <n x="509"/>
        <n x="108"/>
        <n x="494"/>
      </t>
    </mdx>
    <mdx n="508" f="v">
      <t c="3" si="4">
        <n x="509"/>
        <n x="160"/>
        <n x="495"/>
      </t>
    </mdx>
    <mdx n="508" f="v">
      <t c="3" si="4">
        <n x="509"/>
        <n x="147"/>
        <n x="495"/>
      </t>
    </mdx>
    <mdx n="508" f="v">
      <t c="3" si="4">
        <n x="509"/>
        <n x="38"/>
        <n x="495"/>
      </t>
    </mdx>
    <mdx n="508" f="v">
      <t c="3" si="4">
        <n x="509"/>
        <n x="170"/>
        <n x="495"/>
      </t>
    </mdx>
    <mdx n="508" f="v">
      <t c="3" si="4">
        <n x="509"/>
        <n x="77"/>
        <n x="495"/>
      </t>
    </mdx>
    <mdx n="508" f="v">
      <t c="3" si="4">
        <n x="509"/>
        <n x="12"/>
        <n x="495"/>
      </t>
    </mdx>
    <mdx n="508" f="v">
      <t c="3" si="4">
        <n x="509"/>
        <n x="208"/>
        <n x="492"/>
      </t>
    </mdx>
    <mdx n="508" f="v">
      <t c="3" si="4">
        <n x="509"/>
        <n x="280"/>
        <n x="494"/>
      </t>
    </mdx>
    <mdx n="508" f="v">
      <t c="3" si="4">
        <n x="509"/>
        <n x="449"/>
        <n x="495"/>
      </t>
    </mdx>
    <mdx n="508" f="v">
      <t c="3" si="4">
        <n x="509"/>
        <n x="317"/>
        <n x="483"/>
      </t>
    </mdx>
    <mdx n="508" f="v">
      <t c="3" si="4">
        <n x="509"/>
        <n x="414"/>
        <n x="490"/>
      </t>
    </mdx>
    <mdx n="508" f="v">
      <t c="3" si="4">
        <n x="509"/>
        <n x="366"/>
        <n x="490"/>
      </t>
    </mdx>
    <mdx n="508" f="v">
      <t c="3" si="4">
        <n x="509"/>
        <n x="91"/>
        <n x="492"/>
      </t>
    </mdx>
    <mdx n="508" f="v">
      <t c="3" si="4">
        <n x="509"/>
        <n x="87"/>
        <n x="493"/>
      </t>
    </mdx>
    <mdx n="508" f="v">
      <t c="3" si="4">
        <n x="509"/>
        <n x="134"/>
        <n x="494"/>
      </t>
    </mdx>
    <mdx n="508" f="v">
      <t c="3" si="4">
        <n x="509"/>
        <n x="463"/>
        <n x="494"/>
      </t>
    </mdx>
    <mdx n="508" f="v">
      <t c="3" si="4">
        <n x="509"/>
        <n x="288"/>
        <n x="494"/>
      </t>
    </mdx>
    <mdx n="508" f="v">
      <t c="3" si="4">
        <n x="509"/>
        <n x="435"/>
        <n x="494"/>
      </t>
    </mdx>
    <mdx n="508" f="v">
      <t c="3" si="4">
        <n x="509"/>
        <n x="138"/>
        <n x="495"/>
      </t>
    </mdx>
    <mdx n="508" f="v">
      <t c="3" si="4">
        <n x="509"/>
        <n x="339"/>
        <n x="495"/>
      </t>
    </mdx>
    <mdx n="508" f="v">
      <t c="3" si="4">
        <n x="509"/>
        <n x="446"/>
        <n x="495"/>
      </t>
    </mdx>
    <mdx n="508" f="v">
      <t c="3" si="4">
        <n x="509"/>
        <n x="183"/>
        <n x="495"/>
      </t>
    </mdx>
    <mdx n="508" f="v">
      <t c="3" si="4">
        <n x="509"/>
        <n x="179"/>
        <n x="495"/>
      </t>
    </mdx>
    <mdx n="508" f="v">
      <t c="3" si="4">
        <n x="509"/>
        <n x="375"/>
        <n x="495"/>
      </t>
    </mdx>
    <mdx n="508" f="v">
      <t c="3" si="4">
        <n x="509"/>
        <n x="226"/>
        <n x="487"/>
      </t>
    </mdx>
    <mdx n="508" f="v">
      <t c="3" si="4">
        <n x="509"/>
        <n x="304"/>
        <n x="494"/>
      </t>
    </mdx>
    <mdx n="508" f="v">
      <t c="3" si="4">
        <n x="509"/>
        <n x="221"/>
        <n x="495"/>
      </t>
    </mdx>
    <mdx n="508" f="v">
      <t c="3" si="4">
        <n x="509"/>
        <n x="254"/>
        <n x="482"/>
      </t>
    </mdx>
    <mdx n="508" f="v">
      <t c="3" si="4">
        <n x="509"/>
        <n x="458"/>
        <n x="483"/>
      </t>
    </mdx>
    <mdx n="508" f="v">
      <t c="3" si="4">
        <n x="509"/>
        <n x="174"/>
        <n x="481"/>
      </t>
    </mdx>
    <mdx n="508" f="v">
      <t c="3" si="4">
        <n x="509"/>
        <n x="243"/>
        <n x="491"/>
      </t>
    </mdx>
    <mdx n="508" f="v">
      <t c="3" si="4">
        <n x="509"/>
        <n x="29"/>
        <n x="492"/>
      </t>
    </mdx>
    <mdx n="508" f="v">
      <t c="3" si="4">
        <n x="509"/>
        <n x="11"/>
        <n x="493"/>
      </t>
    </mdx>
    <mdx n="508" f="v">
      <t c="3" si="4">
        <n x="509"/>
        <n x="302"/>
        <n x="493"/>
      </t>
    </mdx>
    <mdx n="508" f="v">
      <t c="3" si="4">
        <n x="509"/>
        <n x="69"/>
        <n x="494"/>
      </t>
    </mdx>
    <mdx n="508" f="v">
      <t c="3" si="4">
        <n x="509"/>
        <n x="127"/>
        <n x="494"/>
      </t>
    </mdx>
    <mdx n="508" f="v">
      <t c="3" si="4">
        <n x="509"/>
        <n x="223"/>
        <n x="494"/>
      </t>
    </mdx>
    <mdx n="508" f="v">
      <t c="3" si="4">
        <n x="509"/>
        <n x="443"/>
        <n x="495"/>
      </t>
    </mdx>
    <mdx n="508" f="v">
      <t c="3" si="4">
        <n x="509"/>
        <n x="182"/>
        <n x="495"/>
      </t>
    </mdx>
    <mdx n="508" f="v">
      <t c="3" si="4">
        <n x="509"/>
        <n x="120"/>
        <n x="495"/>
      </t>
    </mdx>
    <mdx n="508" f="v">
      <t c="3" si="4">
        <n x="509"/>
        <n x="109"/>
        <n x="495"/>
      </t>
    </mdx>
    <mdx n="508" f="v">
      <t c="3" si="4">
        <n x="509"/>
        <n x="223"/>
        <n x="495"/>
      </t>
    </mdx>
    <mdx n="508" f="v">
      <t c="3" si="4">
        <n x="509"/>
        <n x="124"/>
        <n x="495"/>
      </t>
    </mdx>
    <mdx n="508" f="v">
      <t c="3" si="4">
        <n x="509"/>
        <n x="168"/>
        <n x="491"/>
      </t>
    </mdx>
    <mdx n="508" f="v">
      <t c="3" si="4">
        <n x="509"/>
        <n x="129"/>
        <n x="494"/>
      </t>
    </mdx>
    <mdx n="508" f="v">
      <t c="3" si="4">
        <n x="509"/>
        <n x="42"/>
        <n x="495"/>
      </t>
    </mdx>
    <mdx n="508" f="v">
      <t c="3" si="4">
        <n x="509"/>
        <n x="117"/>
        <n x="483"/>
      </t>
    </mdx>
    <mdx n="508" f="v">
      <t c="3" si="4">
        <n x="509"/>
        <n x="400"/>
        <n x="484"/>
      </t>
    </mdx>
    <mdx n="508" f="v">
      <t c="3" si="4">
        <n x="509"/>
        <n x="108"/>
        <n x="491"/>
      </t>
    </mdx>
    <mdx n="508" f="v">
      <t c="3" si="4">
        <n x="509"/>
        <n x="203"/>
        <n x="491"/>
      </t>
    </mdx>
    <mdx n="508" f="v">
      <t c="3" si="4">
        <n x="509"/>
        <n x="120"/>
        <n x="492"/>
      </t>
    </mdx>
    <mdx n="508" f="v">
      <t c="3" si="4">
        <n x="509"/>
        <n x="167"/>
        <n x="493"/>
      </t>
    </mdx>
    <mdx n="508" f="v">
      <t c="3" si="4">
        <n x="509"/>
        <n x="160"/>
        <n x="493"/>
      </t>
    </mdx>
    <mdx n="508" f="v">
      <t c="3" si="4">
        <n x="509"/>
        <n x="285"/>
        <n x="494"/>
      </t>
    </mdx>
    <mdx n="508" f="v">
      <t c="3" si="4">
        <n x="509"/>
        <n x="458"/>
        <n x="494"/>
      </t>
    </mdx>
    <mdx n="508" f="v">
      <t c="3" si="4">
        <n x="509"/>
        <n x="342"/>
        <n x="494"/>
      </t>
    </mdx>
    <mdx n="508" f="v">
      <t c="3" si="4">
        <n x="509"/>
        <n x="10"/>
        <n x="494"/>
      </t>
    </mdx>
    <mdx n="508" f="v">
      <t c="3" si="4">
        <n x="509"/>
        <n x="227"/>
        <n x="494"/>
      </t>
    </mdx>
    <mdx n="508" f="v">
      <t c="3" si="4">
        <n x="509"/>
        <n x="246"/>
        <n x="495"/>
      </t>
    </mdx>
    <mdx n="508" f="v">
      <t c="3" si="4">
        <n x="509"/>
        <n x="88"/>
        <n x="495"/>
      </t>
    </mdx>
    <mdx n="508" f="v">
      <t c="3" si="4">
        <n x="509"/>
        <n x="458"/>
        <n x="495"/>
      </t>
    </mdx>
    <mdx n="508" f="v">
      <t c="3" si="4">
        <n x="509"/>
        <n x="335"/>
        <n x="495"/>
      </t>
    </mdx>
    <mdx n="508" f="v">
      <t c="3" si="4">
        <n x="509"/>
        <n x="353"/>
        <n x="495"/>
      </t>
    </mdx>
    <mdx n="508" f="v">
      <t c="3" si="4">
        <n x="509"/>
        <n x="54"/>
        <n x="488"/>
      </t>
    </mdx>
    <mdx n="508" f="v">
      <t c="3" si="4">
        <n x="509"/>
        <n x="285"/>
        <n x="492"/>
      </t>
    </mdx>
    <mdx n="508" f="v">
      <t c="3" si="4">
        <n x="509"/>
        <n x="348"/>
        <n x="494"/>
      </t>
    </mdx>
    <mdx n="508" f="v">
      <t c="3" si="4">
        <n x="509"/>
        <n x="249"/>
        <n x="494"/>
      </t>
    </mdx>
    <mdx n="508" f="v">
      <t c="3" si="4">
        <n x="509"/>
        <n x="78"/>
        <n x="495"/>
      </t>
    </mdx>
    <mdx n="508" f="v">
      <t c="3" si="4">
        <n x="509"/>
        <n x="205"/>
        <n x="496"/>
      </t>
    </mdx>
    <mdx n="508" f="v">
      <t c="3" si="4">
        <n x="509"/>
        <n x="24"/>
        <n x="496"/>
      </t>
    </mdx>
    <mdx n="508" f="v">
      <t c="3" si="4">
        <n x="509"/>
        <n x="358"/>
        <n x="496"/>
      </t>
    </mdx>
    <mdx n="508" f="v">
      <t c="3" si="4">
        <n x="509"/>
        <n x="342"/>
        <n x="496"/>
      </t>
    </mdx>
    <mdx n="508" f="v">
      <t c="3" si="4">
        <n x="509"/>
        <n x="430"/>
        <n x="496"/>
      </t>
    </mdx>
    <mdx n="508" f="v">
      <t c="3" si="4">
        <n x="509"/>
        <n x="330"/>
        <n x="497"/>
      </t>
    </mdx>
    <mdx n="508" f="v">
      <t c="3" si="4">
        <n x="509"/>
        <n x="255"/>
        <n x="497"/>
      </t>
    </mdx>
    <mdx n="508" f="v">
      <t c="3" si="4">
        <n x="509"/>
        <n x="427"/>
        <n x="498"/>
      </t>
    </mdx>
    <mdx n="508" f="v">
      <t c="3" si="4">
        <n x="509"/>
        <n x="195"/>
        <n x="1"/>
      </t>
    </mdx>
    <mdx n="508" f="v">
      <t c="3" si="4">
        <n x="509"/>
        <n x="219"/>
        <n x="496"/>
      </t>
    </mdx>
    <mdx n="508" f="v">
      <t c="3" si="4">
        <n x="509"/>
        <n x="38"/>
        <n x="496"/>
      </t>
    </mdx>
    <mdx n="508" f="v">
      <t c="3" si="4">
        <n x="509"/>
        <n x="292"/>
        <n x="496"/>
      </t>
    </mdx>
    <mdx n="508" f="v">
      <t c="3" si="4">
        <n x="509"/>
        <n x="100"/>
        <n x="496"/>
      </t>
    </mdx>
    <mdx n="508" f="v">
      <t c="3" si="4">
        <n x="509"/>
        <n x="177"/>
        <n x="497"/>
      </t>
    </mdx>
    <mdx n="508" f="v">
      <t c="3" si="4">
        <n x="509"/>
        <n x="182"/>
        <n x="497"/>
      </t>
    </mdx>
    <mdx n="508" f="v">
      <t c="3" si="4">
        <n x="509"/>
        <n x="83"/>
        <n x="498"/>
      </t>
    </mdx>
    <mdx n="508" f="v">
      <t c="3" si="4">
        <n x="509"/>
        <n x="63"/>
        <n x="496"/>
      </t>
    </mdx>
    <mdx n="508" f="v">
      <t c="3" si="4">
        <n x="509"/>
        <n x="315"/>
        <n x="496"/>
      </t>
    </mdx>
    <mdx n="508" f="v">
      <t c="3" si="4">
        <n x="509"/>
        <n x="449"/>
        <n x="496"/>
      </t>
    </mdx>
    <mdx n="508" f="v">
      <t c="3" si="4">
        <n x="509"/>
        <n x="244"/>
        <n x="496"/>
      </t>
    </mdx>
    <mdx n="508" f="v">
      <t c="3" si="4">
        <n x="509"/>
        <n x="275"/>
        <n x="496"/>
      </t>
    </mdx>
    <mdx n="508" f="v">
      <t c="3" si="4">
        <n x="509"/>
        <n x="464"/>
        <n x="496"/>
      </t>
    </mdx>
    <mdx n="508" f="v">
      <t c="3" si="4">
        <n x="509"/>
        <n x="81"/>
        <n x="496"/>
      </t>
    </mdx>
    <mdx n="508" f="v">
      <t c="3" si="4">
        <n x="509"/>
        <n x="288"/>
        <n x="497"/>
      </t>
    </mdx>
    <mdx n="508" f="v">
      <t c="3" si="4">
        <n x="509"/>
        <n x="110"/>
        <n x="497"/>
      </t>
    </mdx>
    <mdx n="508" f="v">
      <t c="3" si="4">
        <n x="509"/>
        <n x="350"/>
        <n x="497"/>
      </t>
    </mdx>
    <mdx n="508" f="v">
      <t c="3" si="4">
        <n x="509"/>
        <n x="448"/>
        <n x="497"/>
      </t>
    </mdx>
    <mdx n="508" f="v">
      <t c="3" si="4">
        <n x="509"/>
        <n x="213"/>
        <n x="497"/>
      </t>
    </mdx>
    <mdx n="508" f="v">
      <t c="3" si="4">
        <n x="509"/>
        <n x="347"/>
        <n x="497"/>
      </t>
    </mdx>
    <mdx n="508" f="v">
      <t c="3" si="4">
        <n x="509"/>
        <n x="118"/>
        <n x="497"/>
      </t>
    </mdx>
    <mdx n="508" f="v">
      <t c="3" si="4">
        <n x="509"/>
        <n x="310"/>
        <n x="497"/>
      </t>
    </mdx>
    <mdx n="508" f="v">
      <t c="3" si="4">
        <n x="509"/>
        <n x="273"/>
        <n x="498"/>
      </t>
    </mdx>
    <mdx n="508" f="v">
      <t c="3" si="4">
        <n x="509"/>
        <n x="234"/>
        <n x="498"/>
      </t>
    </mdx>
    <mdx n="508" f="v">
      <t c="3" si="4">
        <n x="509"/>
        <n x="282"/>
        <n x="498"/>
      </t>
    </mdx>
    <mdx n="508" f="v">
      <t c="3" si="4">
        <n x="509"/>
        <n x="180"/>
        <n x="498"/>
      </t>
    </mdx>
    <mdx n="508" f="v">
      <t c="3" si="4">
        <n x="509"/>
        <n x="39"/>
        <n x="498"/>
      </t>
    </mdx>
    <mdx n="508" f="v">
      <t c="3" si="4">
        <n x="509"/>
        <n x="148"/>
        <n x="499"/>
      </t>
    </mdx>
    <mdx n="508" f="v">
      <t c="3" si="4">
        <n x="509"/>
        <n x="394"/>
        <n x="499"/>
      </t>
    </mdx>
    <mdx n="508" f="v">
      <t c="3" si="4">
        <n x="509"/>
        <n x="140"/>
        <n x="500"/>
      </t>
    </mdx>
    <mdx n="508" f="v">
      <t c="3" si="4">
        <n x="509"/>
        <n x="390"/>
        <n x="496"/>
      </t>
    </mdx>
    <mdx n="508" f="v">
      <t c="3" si="4">
        <n x="509"/>
        <n x="43"/>
        <n x="496"/>
      </t>
    </mdx>
    <mdx n="508" f="v">
      <t c="3" si="4">
        <n x="509"/>
        <n x="126"/>
        <n x="496"/>
      </t>
    </mdx>
    <mdx n="508" f="v">
      <t c="3" si="4">
        <n x="509"/>
        <n x="365"/>
        <n x="496"/>
      </t>
    </mdx>
    <mdx n="508" f="v">
      <t c="3" si="4">
        <n x="509"/>
        <n x="451"/>
        <n x="497"/>
      </t>
    </mdx>
    <mdx n="508" f="v">
      <t c="3" si="4">
        <n x="509"/>
        <n x="84"/>
        <n x="497"/>
      </t>
    </mdx>
    <mdx n="508" f="v">
      <t c="3" si="4">
        <n x="509"/>
        <n x="442"/>
        <n x="497"/>
      </t>
    </mdx>
    <mdx n="508" f="v">
      <t c="3" si="4">
        <n x="509"/>
        <n x="343"/>
        <n x="497"/>
      </t>
    </mdx>
    <mdx n="508" f="v">
      <t c="3" si="4">
        <n x="509"/>
        <n x="52"/>
        <n x="497"/>
      </t>
    </mdx>
    <mdx n="508" f="v">
      <t c="3" si="4">
        <n x="509"/>
        <n x="248"/>
        <n x="497"/>
      </t>
    </mdx>
    <mdx n="508" f="v">
      <t c="3" si="4">
        <n x="509"/>
        <n x="95"/>
        <n x="497"/>
      </t>
    </mdx>
    <mdx n="508" f="v">
      <t c="3" si="4">
        <n x="509"/>
        <n x="196"/>
        <n x="498"/>
      </t>
    </mdx>
    <mdx n="508" f="v">
      <t c="3" si="4">
        <n x="509"/>
        <n x="423"/>
        <n x="498"/>
      </t>
    </mdx>
    <mdx n="508" f="v">
      <t c="3" si="4">
        <n x="509"/>
        <n x="217"/>
        <n x="498"/>
      </t>
    </mdx>
    <mdx n="508" f="v">
      <t c="3" si="4">
        <n x="509"/>
        <n x="141"/>
        <n x="498"/>
      </t>
    </mdx>
    <mdx n="508" f="v">
      <t c="3" si="4">
        <n x="509"/>
        <n x="40"/>
        <n x="498"/>
      </t>
    </mdx>
    <mdx n="508" f="v">
      <t c="3" si="4">
        <n x="509"/>
        <n x="379"/>
        <n x="498"/>
      </t>
    </mdx>
    <mdx n="508" f="v">
      <t c="3" si="4">
        <n x="509"/>
        <n x="187"/>
        <n x="499"/>
      </t>
    </mdx>
    <mdx n="508" f="v">
      <t c="3" si="4">
        <n x="509"/>
        <n x="42"/>
        <n x="499"/>
      </t>
    </mdx>
    <mdx n="508" f="v">
      <t c="3" si="4">
        <n x="509"/>
        <n x="318"/>
        <n x="501"/>
      </t>
    </mdx>
    <mdx n="508" f="v">
      <t c="3" si="4">
        <n x="509"/>
        <n x="300"/>
        <n x="497"/>
      </t>
    </mdx>
    <mdx n="508" f="v">
      <t c="3" si="4">
        <n x="509"/>
        <n x="261"/>
        <n x="497"/>
      </t>
    </mdx>
    <mdx n="508" f="v">
      <t c="3" si="4">
        <n x="509"/>
        <n x="112"/>
        <n x="497"/>
      </t>
    </mdx>
    <mdx n="508" f="v">
      <t c="3" si="4">
        <n x="509"/>
        <n x="90"/>
        <n x="497"/>
      </t>
    </mdx>
    <mdx n="508" f="v">
      <t c="3" si="4">
        <n x="509"/>
        <n x="270"/>
        <n x="498"/>
      </t>
    </mdx>
    <mdx n="508" f="v">
      <t c="3" si="4">
        <n x="509"/>
        <n x="21"/>
        <n x="498"/>
      </t>
    </mdx>
    <mdx n="508" f="v">
      <t c="3" si="4">
        <n x="509"/>
        <n x="441"/>
        <n x="498"/>
      </t>
    </mdx>
    <mdx n="508" f="v">
      <t c="3" si="4">
        <n x="509"/>
        <n x="52"/>
        <n x="498"/>
      </t>
    </mdx>
    <mdx n="508" f="v">
      <t c="3" si="4">
        <n x="509"/>
        <n x="135"/>
        <n x="498"/>
      </t>
    </mdx>
    <mdx n="508" f="v">
      <t c="3" si="4">
        <n x="509"/>
        <n x="208"/>
        <n x="499"/>
      </t>
    </mdx>
    <mdx n="508" f="v">
      <t c="3" si="4">
        <n x="509"/>
        <n x="220"/>
        <n x="499"/>
      </t>
    </mdx>
    <mdx n="508" f="v">
      <t c="3" si="4">
        <n x="509"/>
        <n x="405"/>
        <n x="500"/>
      </t>
    </mdx>
    <mdx n="508" f="v">
      <t c="3" si="4">
        <n x="509"/>
        <n x="168"/>
        <n x="496"/>
      </t>
    </mdx>
    <mdx n="508" f="v">
      <t c="3" si="4">
        <n x="509"/>
        <n x="252"/>
        <n x="496"/>
      </t>
    </mdx>
    <mdx n="508" f="v">
      <t c="3" si="4">
        <n x="509"/>
        <n x="291"/>
        <n x="496"/>
      </t>
    </mdx>
    <mdx n="508" f="v">
      <t c="3" si="4">
        <n x="509"/>
        <n x="367"/>
        <n x="496"/>
      </t>
    </mdx>
    <mdx n="508" f="v">
      <t c="3" si="4">
        <n x="509"/>
        <n x="218"/>
        <n x="496"/>
      </t>
    </mdx>
    <mdx n="508" f="v">
      <t c="3" si="4">
        <n x="509"/>
        <n x="210"/>
        <n x="496"/>
      </t>
    </mdx>
    <mdx n="508" f="v">
      <t c="3" si="4">
        <n x="509"/>
        <n x="131"/>
        <n x="496"/>
      </t>
    </mdx>
    <mdx n="508" f="v">
      <t c="3" si="4">
        <n x="509"/>
        <n x="270"/>
        <n x="497"/>
      </t>
    </mdx>
    <mdx n="508" f="v">
      <t c="3" si="4">
        <n x="509"/>
        <n x="401"/>
        <n x="497"/>
      </t>
    </mdx>
    <mdx n="508" f="v">
      <t c="3" si="4">
        <n x="509"/>
        <n x="220"/>
        <n x="497"/>
      </t>
    </mdx>
    <mdx n="508" f="v">
      <t c="3" si="4">
        <n x="509"/>
        <n x="264"/>
        <n x="497"/>
      </t>
    </mdx>
    <mdx n="508" f="v">
      <t c="3" si="4">
        <n x="509"/>
        <n x="18"/>
        <n x="497"/>
      </t>
    </mdx>
    <mdx n="508" f="v">
      <t c="3" si="4">
        <n x="509"/>
        <n x="461"/>
        <n x="497"/>
      </t>
    </mdx>
    <mdx n="508" f="v">
      <t c="3" si="4">
        <n x="509"/>
        <n x="435"/>
        <n x="497"/>
      </t>
    </mdx>
    <mdx n="508" f="v">
      <t c="3" si="4">
        <n x="509"/>
        <n x="365"/>
        <n x="498"/>
      </t>
    </mdx>
    <mdx n="508" f="v">
      <t c="3" si="4">
        <n x="509"/>
        <n x="315"/>
        <n x="498"/>
      </t>
    </mdx>
    <mdx n="508" f="v">
      <t c="3" si="4">
        <n x="509"/>
        <n x="385"/>
        <n x="498"/>
      </t>
    </mdx>
    <mdx n="508" f="v">
      <t c="3" si="4">
        <n x="509"/>
        <n x="184"/>
        <n x="498"/>
      </t>
    </mdx>
    <mdx n="508" f="v">
      <t c="3" si="4">
        <n x="509"/>
        <n x="353"/>
        <n x="498"/>
      </t>
    </mdx>
    <mdx n="508" f="v">
      <t c="3" si="4">
        <n x="509"/>
        <n x="249"/>
        <n x="498"/>
      </t>
    </mdx>
    <mdx n="508" f="v">
      <t c="3" si="4">
        <n x="509"/>
        <n x="374"/>
        <n x="499"/>
      </t>
    </mdx>
    <mdx n="508" f="v">
      <t c="3" si="4">
        <n x="509"/>
        <n x="78"/>
        <n x="499"/>
      </t>
    </mdx>
    <mdx n="508" f="v">
      <t c="3" si="4">
        <n x="509"/>
        <n x="117"/>
        <n x="496"/>
      </t>
    </mdx>
    <mdx n="508" f="v">
      <t c="3" si="4">
        <n x="509"/>
        <n x="416"/>
        <n x="497"/>
      </t>
    </mdx>
    <mdx n="508" f="v">
      <t c="3" si="4">
        <n x="509"/>
        <n x="382"/>
        <n x="497"/>
      </t>
    </mdx>
    <mdx n="508" f="v">
      <t c="3" si="4">
        <n x="509"/>
        <n x="303"/>
        <n x="497"/>
      </t>
    </mdx>
    <mdx n="508" f="v">
      <t c="3" si="4">
        <n x="509"/>
        <n x="244"/>
        <n x="497"/>
      </t>
    </mdx>
    <mdx n="508" f="v">
      <t c="3" si="4">
        <n x="509"/>
        <n x="101"/>
        <n x="497"/>
      </t>
    </mdx>
    <mdx n="508" f="v">
      <t c="3" si="4">
        <n x="509"/>
        <n x="160"/>
        <n x="497"/>
      </t>
    </mdx>
    <mdx n="508" f="v">
      <t c="3" si="4">
        <n x="509"/>
        <n x="31"/>
        <n x="497"/>
      </t>
    </mdx>
    <mdx n="508" f="v">
      <t c="3" si="4">
        <n x="509"/>
        <n x="420"/>
        <n x="498"/>
      </t>
    </mdx>
    <mdx n="508" f="v">
      <t c="3" si="4">
        <n x="509"/>
        <n x="284"/>
        <n x="498"/>
      </t>
    </mdx>
    <mdx n="508" f="v">
      <t c="3" si="4">
        <n x="509"/>
        <n x="207"/>
        <n x="498"/>
      </t>
    </mdx>
    <mdx n="508" f="v">
      <t c="3" si="4">
        <n x="509"/>
        <n x="194"/>
        <n x="498"/>
      </t>
    </mdx>
    <mdx n="508" f="v">
      <t c="3" si="4">
        <n x="509"/>
        <n x="236"/>
        <n x="498"/>
      </t>
    </mdx>
    <mdx n="508" f="v">
      <t c="3" si="4">
        <n x="509"/>
        <n x="103"/>
        <n x="498"/>
      </t>
    </mdx>
    <mdx n="508" f="v">
      <t c="3" si="4">
        <n x="509"/>
        <n x="321"/>
        <n x="499"/>
      </t>
    </mdx>
    <mdx n="508" f="v">
      <t c="3" si="4">
        <n x="509"/>
        <n x="152"/>
        <n x="499"/>
      </t>
    </mdx>
    <mdx n="508" f="v">
      <t c="3" si="4">
        <n x="509"/>
        <n x="434"/>
        <n x="497"/>
      </t>
    </mdx>
    <mdx n="508" f="v">
      <t c="3" si="4">
        <n x="509"/>
        <n x="24"/>
        <n x="497"/>
      </t>
    </mdx>
    <mdx n="508" f="v">
      <t c="3" si="4">
        <n x="509"/>
        <n x="15"/>
        <n x="497"/>
      </t>
    </mdx>
    <mdx n="508" f="v">
      <t c="3" si="4">
        <n x="509"/>
        <n x="413"/>
        <n x="497"/>
      </t>
    </mdx>
    <mdx n="508" f="v">
      <t c="3" si="4">
        <n x="509"/>
        <n x="115"/>
        <n x="497"/>
      </t>
    </mdx>
    <mdx n="508" f="v">
      <t c="3" si="4">
        <n x="509"/>
        <n x="205"/>
        <n x="497"/>
      </t>
    </mdx>
    <mdx n="508" f="v">
      <t c="3" si="4">
        <n x="509"/>
        <n x="428"/>
        <n x="497"/>
      </t>
    </mdx>
    <mdx n="508" f="v">
      <t c="3" si="4">
        <n x="509"/>
        <n x="444"/>
        <n x="498"/>
      </t>
    </mdx>
    <mdx n="508" f="v">
      <t c="3" si="4">
        <n x="509"/>
        <n x="309"/>
        <n x="498"/>
      </t>
    </mdx>
    <mdx n="508" f="v">
      <t c="3" si="4">
        <n x="509"/>
        <n x="15"/>
        <n x="498"/>
      </t>
    </mdx>
    <mdx n="508" f="v">
      <t c="3" si="4">
        <n x="509"/>
        <n x="46"/>
        <n x="498"/>
      </t>
    </mdx>
    <mdx n="508" f="v">
      <t c="3" si="4">
        <n x="509"/>
        <n x="153"/>
        <n x="498"/>
      </t>
    </mdx>
    <mdx n="508" f="v">
      <t c="3" si="4">
        <n x="509"/>
        <n x="398"/>
        <n x="498"/>
      </t>
    </mdx>
    <mdx n="508" f="v">
      <t c="3" si="4">
        <n x="509"/>
        <n x="285"/>
        <n x="499"/>
      </t>
    </mdx>
    <mdx n="508" f="v">
      <t c="3" si="4">
        <n x="509"/>
        <n x="179"/>
        <n x="499"/>
      </t>
    </mdx>
    <mdx n="508" f="v">
      <t c="3" si="4">
        <n x="509"/>
        <n x="411"/>
        <n x="497"/>
      </t>
    </mdx>
    <mdx n="508" f="v">
      <t c="3" si="4">
        <n x="509"/>
        <n x="105"/>
        <n x="497"/>
      </t>
    </mdx>
    <mdx n="508" f="v">
      <t c="3" si="4">
        <n x="509"/>
        <n x="185"/>
        <n x="497"/>
      </t>
    </mdx>
    <mdx n="508" f="v">
      <t c="3" si="4">
        <n x="509"/>
        <n x="163"/>
        <n x="498"/>
      </t>
    </mdx>
    <mdx n="508" f="v">
      <t c="3" si="4">
        <n x="509"/>
        <n x="402"/>
        <n x="498"/>
      </t>
    </mdx>
    <mdx n="508" f="v">
      <t c="3" si="4">
        <n x="509"/>
        <n x="418"/>
        <n x="498"/>
      </t>
    </mdx>
    <mdx n="508" f="v">
      <t c="3" si="4">
        <n x="509"/>
        <n x="313"/>
        <n x="498"/>
      </t>
    </mdx>
    <mdx n="508" f="v">
      <t c="3" si="4">
        <n x="509"/>
        <n x="115"/>
        <n x="498"/>
      </t>
    </mdx>
    <mdx n="508" f="v">
      <t c="3" si="4">
        <n x="509"/>
        <n x="425"/>
        <n x="498"/>
      </t>
    </mdx>
    <mdx n="508" f="v">
      <t c="3" si="4">
        <n x="509"/>
        <n x="138"/>
        <n x="499"/>
      </t>
    </mdx>
    <mdx n="508" f="v">
      <t c="3" si="4">
        <n x="509"/>
        <n x="400"/>
        <n x="499"/>
      </t>
    </mdx>
    <mdx n="508" f="v">
      <t c="3" si="4">
        <n x="509"/>
        <n x="206"/>
        <n x="503"/>
      </t>
    </mdx>
    <mdx n="508" f="v">
      <t c="3" si="4">
        <n x="509"/>
        <n x="266"/>
        <n x="499"/>
      </t>
    </mdx>
    <mdx n="508" f="v">
      <t c="3" si="4">
        <n x="509"/>
        <n x="121"/>
        <n x="499"/>
      </t>
    </mdx>
    <mdx n="508" f="v">
      <t c="3" si="4">
        <n x="509"/>
        <n x="47"/>
        <n x="500"/>
      </t>
    </mdx>
    <mdx n="508" f="v">
      <t c="3" si="4">
        <n x="509"/>
        <n x="367"/>
        <n x="500"/>
      </t>
    </mdx>
    <mdx n="508" f="v">
      <t c="3" si="4">
        <n x="509"/>
        <n x="51"/>
        <n x="500"/>
      </t>
    </mdx>
    <mdx n="508" f="v">
      <t c="3" si="4">
        <n x="509"/>
        <n x="17"/>
        <n x="501"/>
      </t>
    </mdx>
    <mdx n="508" f="v">
      <t c="3" si="4">
        <n x="509"/>
        <n x="172"/>
        <n x="502"/>
      </t>
    </mdx>
    <mdx n="508" f="v">
      <t c="3" si="4">
        <n x="509"/>
        <n x="129"/>
        <n x="498"/>
      </t>
    </mdx>
    <mdx n="508" f="v">
      <t c="3" si="4">
        <n x="509"/>
        <n x="458"/>
        <n x="498"/>
      </t>
    </mdx>
    <mdx n="508" f="v">
      <t c="3" si="4">
        <n x="509"/>
        <n x="380"/>
        <n x="498"/>
      </t>
    </mdx>
    <mdx n="508" f="v">
      <t c="3" si="4">
        <n x="509"/>
        <n x="122"/>
        <n x="498"/>
      </t>
    </mdx>
    <mdx n="508" f="v">
      <t c="3" si="4">
        <n x="509"/>
        <n x="16"/>
        <n x="498"/>
      </t>
    </mdx>
    <mdx n="508" f="v">
      <t c="3" si="4">
        <n x="509"/>
        <n x="258"/>
        <n x="499"/>
      </t>
    </mdx>
    <mdx n="508" f="v">
      <t c="3" si="4">
        <n x="509"/>
        <n x="448"/>
        <n x="499"/>
      </t>
    </mdx>
    <mdx n="508" f="v">
      <t c="3" si="4">
        <n x="509"/>
        <n x="291"/>
        <n x="499"/>
      </t>
    </mdx>
    <mdx n="508" f="v">
      <t c="3" si="4">
        <n x="509"/>
        <n x="46"/>
        <n x="499"/>
      </t>
    </mdx>
    <mdx n="508" f="v">
      <t c="3" si="4">
        <n x="509"/>
        <n x="39"/>
        <n x="499"/>
      </t>
    </mdx>
    <mdx n="508" f="v">
      <t c="3" si="4">
        <n x="509"/>
        <n x="302"/>
        <n x="499"/>
      </t>
    </mdx>
    <mdx n="508" f="v">
      <t c="3" si="4">
        <n x="509"/>
        <n x="21"/>
        <n x="500"/>
      </t>
    </mdx>
    <mdx n="508" f="v">
      <t c="3" si="4">
        <n x="509"/>
        <n x="165"/>
        <n x="500"/>
      </t>
    </mdx>
    <mdx n="508" f="v">
      <t c="3" si="4">
        <n x="509"/>
        <n x="173"/>
        <n x="501"/>
      </t>
    </mdx>
    <mdx n="508" f="v">
      <t c="3" si="4">
        <n x="509"/>
        <n x="264"/>
        <n x="501"/>
      </t>
    </mdx>
    <mdx n="508" f="v">
      <t c="3" si="4">
        <n x="509"/>
        <n x="270"/>
        <n x="504"/>
      </t>
    </mdx>
    <mdx n="508" f="v">
      <t c="3" si="4">
        <n x="509"/>
        <n x="20"/>
        <n x="498"/>
      </t>
    </mdx>
    <mdx n="508" f="v">
      <t c="3" si="4">
        <n x="509"/>
        <n x="453"/>
        <n x="498"/>
      </t>
    </mdx>
    <mdx n="508" f="v">
      <t c="3" si="4">
        <n x="509"/>
        <n x="101"/>
        <n x="498"/>
      </t>
    </mdx>
    <mdx n="508" f="v">
      <t c="3" si="4">
        <n x="509"/>
        <n x="228"/>
        <n x="498"/>
      </t>
    </mdx>
    <mdx n="508" f="v">
      <t c="3" si="4">
        <n x="509"/>
        <n x="12"/>
        <n x="498"/>
      </t>
    </mdx>
    <mdx n="508" f="v">
      <t c="3" si="4">
        <n x="509"/>
        <n x="33"/>
        <n x="499"/>
      </t>
    </mdx>
    <mdx n="508" f="v">
      <t c="3" si="4">
        <n x="509"/>
        <n x="442"/>
        <n x="499"/>
      </t>
    </mdx>
    <mdx n="508" f="v">
      <t c="3" si="4">
        <n x="509"/>
        <n x="453"/>
        <n x="499"/>
      </t>
    </mdx>
    <mdx n="508" f="v">
      <t c="3" si="4">
        <n x="509"/>
        <n x="157"/>
        <n x="499"/>
      </t>
    </mdx>
    <mdx n="508" f="v">
      <t c="3" si="4">
        <n x="509"/>
        <n x="260"/>
        <n x="499"/>
      </t>
    </mdx>
    <mdx n="508" f="v">
      <t c="3" si="4">
        <n x="509"/>
        <n x="199"/>
        <n x="500"/>
      </t>
    </mdx>
    <mdx n="508" f="v">
      <t c="3" si="4">
        <n x="509"/>
        <n x="386"/>
        <n x="500"/>
      </t>
    </mdx>
    <mdx n="508" f="v">
      <t c="3" si="4">
        <n x="509"/>
        <n x="156"/>
        <n x="500"/>
      </t>
    </mdx>
    <mdx n="508" f="v">
      <t c="3" si="4">
        <n x="509"/>
        <n x="347"/>
        <n x="501"/>
      </t>
    </mdx>
    <mdx n="508" f="v">
      <t c="3" si="4">
        <n x="509"/>
        <n x="255"/>
        <n x="501"/>
      </t>
    </mdx>
    <mdx n="508" f="v">
      <t c="3" si="4">
        <n x="509"/>
        <n x="368"/>
        <n x="504"/>
      </t>
    </mdx>
    <mdx n="508" f="v">
      <t c="3" si="4">
        <n x="509"/>
        <n x="250"/>
        <n x="499"/>
      </t>
    </mdx>
    <mdx n="508" f="v">
      <t c="3" si="4">
        <n x="509"/>
        <n x="127"/>
        <n x="499"/>
      </t>
    </mdx>
    <mdx n="508" f="v">
      <t c="3" si="4">
        <n x="509"/>
        <n x="195"/>
        <n x="499"/>
      </t>
    </mdx>
    <mdx n="508" f="v">
      <t c="3" si="4">
        <n x="509"/>
        <n x="457"/>
        <n x="500"/>
      </t>
    </mdx>
    <mdx n="508" f="v">
      <t c="3" si="4">
        <n x="509"/>
        <n x="206"/>
        <n x="500"/>
      </t>
    </mdx>
    <mdx n="508" f="v">
      <t c="3" si="4">
        <n x="509"/>
        <n x="153"/>
        <n x="500"/>
      </t>
    </mdx>
    <mdx n="508" f="v">
      <t c="3" si="4">
        <n x="509"/>
        <n x="348"/>
        <n x="501"/>
      </t>
    </mdx>
    <mdx n="508" f="v">
      <t c="3" si="4">
        <n x="509"/>
        <n x="103"/>
        <n x="501"/>
      </t>
    </mdx>
    <mdx n="508" f="v">
      <t c="3" si="4">
        <n x="509"/>
        <n x="8"/>
        <n x="499"/>
      </t>
    </mdx>
    <mdx n="508" f="v">
      <t c="3" si="4">
        <n x="509"/>
        <n x="242"/>
        <n x="499"/>
      </t>
    </mdx>
    <mdx n="508" f="v">
      <t c="3" si="4">
        <n x="509"/>
        <n x="98"/>
        <n x="499"/>
      </t>
    </mdx>
    <mdx n="508" f="v">
      <t c="3" si="4">
        <n x="509"/>
        <n x="340"/>
        <n x="499"/>
      </t>
    </mdx>
    <mdx n="508" f="v">
      <t c="3" si="4">
        <n x="509"/>
        <n x="169"/>
        <n x="499"/>
      </t>
    </mdx>
    <mdx n="508" f="v">
      <t c="3" si="4">
        <n x="509"/>
        <n x="327"/>
        <n x="500"/>
      </t>
    </mdx>
    <mdx n="508" f="v">
      <t c="3" si="4">
        <n x="509"/>
        <n x="141"/>
        <n x="500"/>
      </t>
    </mdx>
    <mdx n="508" f="v">
      <t c="3" si="4">
        <n x="509"/>
        <n x="274"/>
        <n x="500"/>
      </t>
    </mdx>
    <mdx n="508" f="v">
      <t c="3" si="4">
        <n x="509"/>
        <n x="55"/>
        <n x="501"/>
      </t>
    </mdx>
    <mdx n="508" f="v">
      <t c="3" si="4">
        <n x="509"/>
        <n x="200"/>
        <n x="502"/>
      </t>
    </mdx>
    <mdx n="508" f="v">
      <t c="3" si="4">
        <n x="509"/>
        <n x="6"/>
        <n x="498"/>
      </t>
    </mdx>
    <mdx n="508" f="v">
      <t c="3" si="4">
        <n x="509"/>
        <n x="428"/>
        <n x="498"/>
      </t>
    </mdx>
    <mdx n="508" f="v">
      <t c="3" si="4">
        <n x="509"/>
        <n x="279"/>
        <n x="499"/>
      </t>
    </mdx>
    <mdx n="508" f="v">
      <t c="3" si="4">
        <n x="509"/>
        <n x="94"/>
        <n x="499"/>
      </t>
    </mdx>
    <mdx n="508" f="v">
      <t c="3" si="4">
        <n x="509"/>
        <n x="21"/>
        <n x="499"/>
      </t>
    </mdx>
    <mdx n="508" f="v">
      <t c="3" si="4">
        <n x="509"/>
        <n x="92"/>
        <n x="499"/>
      </t>
    </mdx>
    <mdx n="508" f="v">
      <t c="3" si="4">
        <n x="509"/>
        <n x="324"/>
        <n x="499"/>
      </t>
    </mdx>
    <mdx n="508" f="v">
      <t c="3" si="4">
        <n x="509"/>
        <n x="428"/>
        <n x="499"/>
      </t>
    </mdx>
    <mdx n="508" f="v">
      <t c="3" si="4">
        <n x="509"/>
        <n x="22"/>
        <n x="500"/>
      </t>
    </mdx>
    <mdx n="508" f="v">
      <t c="3" si="4">
        <n x="509"/>
        <n x="406"/>
        <n x="500"/>
      </t>
    </mdx>
    <mdx n="508" f="v">
      <t c="3" si="4">
        <n x="509"/>
        <n x="338"/>
        <n x="500"/>
      </t>
    </mdx>
    <mdx n="508" f="v">
      <t c="3" si="4">
        <n x="509"/>
        <n x="281"/>
        <n x="501"/>
      </t>
    </mdx>
    <mdx n="508" f="v">
      <t c="3" si="4">
        <n x="509"/>
        <n x="322"/>
        <n x="502"/>
      </t>
    </mdx>
    <mdx n="508" f="v">
      <t c="3" si="4">
        <n x="509"/>
        <n x="360"/>
        <n x="499"/>
      </t>
    </mdx>
    <mdx n="508" f="v">
      <t c="3" si="4">
        <n x="509"/>
        <n x="292"/>
        <n x="499"/>
      </t>
    </mdx>
    <mdx n="508" f="v">
      <t c="3" si="4">
        <n x="509"/>
        <n x="240"/>
        <n x="499"/>
      </t>
    </mdx>
    <mdx n="508" f="v">
      <t c="3" si="4">
        <n x="509"/>
        <n x="205"/>
        <n x="500"/>
      </t>
    </mdx>
    <mdx n="508" f="v">
      <t c="3" si="4">
        <n x="509"/>
        <n x="94"/>
        <n x="500"/>
      </t>
    </mdx>
    <mdx n="508" f="v">
      <t c="3" si="4">
        <n x="509"/>
        <n x="66"/>
        <n x="500"/>
      </t>
    </mdx>
    <mdx n="508" f="v">
      <t c="3" si="4">
        <n x="509"/>
        <n x="328"/>
        <n x="501"/>
      </t>
    </mdx>
    <mdx n="508" f="v">
      <t c="3" si="4">
        <n x="509"/>
        <n x="170"/>
        <n x="501"/>
      </t>
    </mdx>
    <mdx n="508" f="v">
      <t c="3" si="4">
        <n x="509"/>
        <n x="211"/>
        <n x="505"/>
      </t>
    </mdx>
    <mdx n="508" f="v">
      <t c="3" si="4">
        <n x="509"/>
        <n x="121"/>
        <n x="500"/>
      </t>
    </mdx>
    <mdx n="508" f="v">
      <t c="3" si="4">
        <n x="509"/>
        <n x="296"/>
        <n x="501"/>
      </t>
    </mdx>
    <mdx n="508" f="v">
      <t c="3" si="4">
        <n x="509"/>
        <n x="147"/>
        <n x="501"/>
      </t>
    </mdx>
    <mdx n="508" f="v">
      <t c="3" si="4">
        <n x="509"/>
        <n x="359"/>
        <n x="501"/>
      </t>
    </mdx>
    <mdx n="508" f="v">
      <t c="3" si="4">
        <n x="509"/>
        <n x="449"/>
        <n x="501"/>
      </t>
    </mdx>
    <mdx n="508" f="v">
      <t c="3" si="4">
        <n x="509"/>
        <n x="380"/>
        <n x="501"/>
      </t>
    </mdx>
    <mdx n="508" f="v">
      <t c="3" si="4">
        <n x="509"/>
        <n x="16"/>
        <n x="501"/>
      </t>
    </mdx>
    <mdx n="508" f="v">
      <t c="3" si="4">
        <n x="509"/>
        <n x="463"/>
        <n x="502"/>
      </t>
    </mdx>
    <mdx n="508" f="v">
      <t c="3" si="4">
        <n x="509"/>
        <n x="186"/>
        <n x="503"/>
      </t>
    </mdx>
    <mdx n="508" f="v">
      <t c="3" si="4">
        <n x="509"/>
        <n x="102"/>
        <n x="499"/>
      </t>
    </mdx>
    <mdx n="508" f="v">
      <t c="3" si="4">
        <n x="509"/>
        <n x="408"/>
        <n x="499"/>
      </t>
    </mdx>
    <mdx n="508" f="v">
      <t c="3" si="4">
        <n x="509"/>
        <n x="172"/>
        <n x="499"/>
      </t>
    </mdx>
    <mdx n="508" f="v">
      <t c="3" si="4">
        <n x="509"/>
        <n x="56"/>
        <n x="499"/>
      </t>
    </mdx>
    <mdx n="508" f="v">
      <t c="3" si="4">
        <n x="509"/>
        <n x="254"/>
        <n x="500"/>
      </t>
    </mdx>
    <mdx n="508" f="v">
      <t c="3" si="4">
        <n x="509"/>
        <n x="235"/>
        <n x="500"/>
      </t>
    </mdx>
    <mdx n="508" f="v">
      <t c="3" si="4">
        <n x="509"/>
        <n x="294"/>
        <n x="500"/>
      </t>
    </mdx>
    <mdx n="508" f="v">
      <t c="3" si="4">
        <n x="509"/>
        <n x="250"/>
        <n x="500"/>
      </t>
    </mdx>
    <mdx n="508" f="v">
      <t c="3" si="4">
        <n x="509"/>
        <n x="462"/>
        <n x="500"/>
      </t>
    </mdx>
    <mdx n="508" f="v">
      <t c="3" si="4">
        <n x="509"/>
        <n x="340"/>
        <n x="500"/>
      </t>
    </mdx>
    <mdx n="508" f="v">
      <t c="3" si="4">
        <n x="509"/>
        <n x="209"/>
        <n x="500"/>
      </t>
    </mdx>
    <mdx n="508" f="v">
      <t c="3" si="4">
        <n x="509"/>
        <n x="340"/>
        <n x="501"/>
      </t>
    </mdx>
    <mdx n="508" f="v">
      <t c="3" si="4">
        <n x="509"/>
        <n x="37"/>
        <n x="501"/>
      </t>
    </mdx>
    <mdx n="508" f="v">
      <t c="3" si="4">
        <n x="509"/>
        <n x="88"/>
        <n x="501"/>
      </t>
    </mdx>
    <mdx n="508" f="v">
      <t c="3" si="4">
        <n x="509"/>
        <n x="453"/>
        <n x="501"/>
      </t>
    </mdx>
    <mdx n="508" f="v">
      <t c="3" si="4">
        <n x="509"/>
        <n x="29"/>
        <n x="501"/>
      </t>
    </mdx>
    <mdx n="508" f="v">
      <t c="3" si="4">
        <n x="509"/>
        <n x="195"/>
        <n x="501"/>
      </t>
    </mdx>
    <mdx n="508" f="v">
      <t c="3" si="4">
        <n x="509"/>
        <n x="239"/>
        <n x="502"/>
      </t>
    </mdx>
    <mdx n="508" f="v">
      <t c="3" si="4">
        <n x="509"/>
        <n x="438"/>
        <n x="502"/>
      </t>
    </mdx>
    <mdx n="508" f="v">
      <t c="3" si="4">
        <n x="509"/>
        <n x="83"/>
        <n x="504"/>
      </t>
    </mdx>
    <mdx n="508" f="v">
      <t c="3" si="4">
        <n x="509"/>
        <n x="18"/>
        <n x="499"/>
      </t>
    </mdx>
    <mdx n="508" f="v">
      <t c="3" si="4">
        <n x="509"/>
        <n x="328"/>
        <n x="499"/>
      </t>
    </mdx>
    <mdx n="508" f="v">
      <t c="3" si="4">
        <n x="509"/>
        <n x="424"/>
        <n x="499"/>
      </t>
    </mdx>
    <mdx n="508" f="v">
      <t c="3" si="4">
        <n x="509"/>
        <n x="201"/>
        <n x="500"/>
      </t>
    </mdx>
    <mdx n="508" f="v">
      <t c="3" si="4">
        <n x="509"/>
        <n x="318"/>
        <n x="500"/>
      </t>
    </mdx>
    <mdx n="508" f="v">
      <t c="3" si="4">
        <n x="509"/>
        <n x="336"/>
        <n x="500"/>
      </t>
    </mdx>
    <mdx n="508" f="v">
      <t c="3" si="4">
        <n x="509"/>
        <n x="17"/>
        <n x="500"/>
      </t>
    </mdx>
    <mdx n="508" f="v">
      <t c="3" si="4">
        <n x="509"/>
        <n x="62"/>
        <n x="500"/>
      </t>
    </mdx>
    <mdx n="508" f="v">
      <t c="3" si="4">
        <n x="509"/>
        <n x="236"/>
        <n x="500"/>
      </t>
    </mdx>
    <mdx n="508" f="v">
      <t c="3" si="4">
        <n x="509"/>
        <n x="409"/>
        <n x="500"/>
      </t>
    </mdx>
    <mdx n="508" f="v">
      <t c="3" si="4">
        <n x="509"/>
        <n x="160"/>
        <n x="501"/>
      </t>
    </mdx>
    <mdx n="508" f="v">
      <t c="3" si="4">
        <n x="509"/>
        <n x="402"/>
        <n x="501"/>
      </t>
    </mdx>
    <mdx n="508" f="v">
      <t c="3" si="4">
        <n x="509"/>
        <n x="267"/>
        <n x="501"/>
      </t>
    </mdx>
    <mdx n="508" f="v">
      <t c="3" si="4">
        <n x="509"/>
        <n x="41"/>
        <n x="501"/>
      </t>
    </mdx>
    <mdx n="508" f="v">
      <t c="3" si="4">
        <n x="509"/>
        <n x="276"/>
        <n x="501"/>
      </t>
    </mdx>
    <mdx n="508" f="v">
      <t c="3" si="4">
        <n x="509"/>
        <n x="215"/>
        <n x="501"/>
      </t>
    </mdx>
    <mdx n="508" f="v">
      <t c="3" si="4">
        <n x="509"/>
        <n x="158"/>
        <n x="502"/>
      </t>
    </mdx>
    <mdx n="508" f="v">
      <t c="3" si="4">
        <n x="509"/>
        <n x="101"/>
        <n x="502"/>
      </t>
    </mdx>
    <mdx n="508" f="v">
      <t c="3" si="4">
        <n x="509"/>
        <n x="308"/>
        <n x="504"/>
      </t>
    </mdx>
    <mdx n="508" f="v">
      <t c="3" si="4">
        <n x="509"/>
        <n x="412"/>
        <n x="500"/>
      </t>
    </mdx>
    <mdx n="508" f="v">
      <t c="3" si="4">
        <n x="509"/>
        <n x="445"/>
        <n x="500"/>
      </t>
    </mdx>
    <mdx n="508" f="v">
      <t c="3" si="4">
        <n x="509"/>
        <n x="74"/>
        <n x="500"/>
      </t>
    </mdx>
    <mdx n="508" f="v">
      <t c="3" si="4">
        <n x="509"/>
        <n x="61"/>
        <n x="501"/>
      </t>
    </mdx>
    <mdx n="508" f="v">
      <t c="3" si="4">
        <n x="509"/>
        <n x="45"/>
        <n x="501"/>
      </t>
    </mdx>
    <mdx n="508" f="v">
      <t c="3" si="4">
        <n x="509"/>
        <n x="321"/>
        <n x="501"/>
      </t>
    </mdx>
    <mdx n="508" f="v">
      <t c="3" si="4">
        <n x="509"/>
        <n x="394"/>
        <n x="501"/>
      </t>
    </mdx>
    <mdx n="508" f="v">
      <t c="3" si="4">
        <n x="509"/>
        <n x="439"/>
        <n x="501"/>
      </t>
    </mdx>
    <mdx n="508" f="v">
      <t c="3" si="4">
        <n x="509"/>
        <n x="216"/>
        <n x="501"/>
      </t>
    </mdx>
    <mdx n="508" f="v">
      <t c="3" si="4">
        <n x="509"/>
        <n x="451"/>
        <n x="502"/>
      </t>
    </mdx>
    <mdx n="508" f="v">
      <t c="3" si="4">
        <n x="509"/>
        <n x="413"/>
        <n x="502"/>
      </t>
    </mdx>
    <mdx n="508" f="v">
      <t c="3" si="4">
        <n x="509"/>
        <n x="239"/>
        <n x="503"/>
      </t>
    </mdx>
    <mdx n="508" f="v">
      <t c="3" si="4">
        <n x="509"/>
        <n x="124"/>
        <n x="500"/>
      </t>
    </mdx>
    <mdx n="508" f="v">
      <t c="3" si="4">
        <n x="509"/>
        <n x="226"/>
        <n x="500"/>
      </t>
    </mdx>
    <mdx n="508" f="v">
      <t c="3" si="4">
        <n x="509"/>
        <n x="184"/>
        <n x="500"/>
      </t>
    </mdx>
    <mdx n="508" f="v">
      <t c="3" si="4">
        <n x="509"/>
        <n x="400"/>
        <n x="500"/>
      </t>
    </mdx>
    <mdx n="508" f="v">
      <t c="3" si="4">
        <n x="509"/>
        <n x="198"/>
        <n x="500"/>
      </t>
    </mdx>
    <mdx n="508" f="v">
      <t c="3" si="4">
        <n x="509"/>
        <n x="136"/>
        <n x="500"/>
      </t>
    </mdx>
    <mdx n="508" f="v">
      <t c="3" si="4">
        <n x="509"/>
        <n x="60"/>
        <n x="500"/>
      </t>
    </mdx>
    <mdx n="508" f="v">
      <t c="3" si="4">
        <n x="509"/>
        <n x="452"/>
        <n x="501"/>
      </t>
    </mdx>
    <mdx n="508" f="v">
      <t c="3" si="4">
        <n x="509"/>
        <n x="33"/>
        <n x="501"/>
      </t>
    </mdx>
    <mdx n="508" f="v">
      <t c="3" si="4">
        <n x="509"/>
        <n x="212"/>
        <n x="501"/>
      </t>
    </mdx>
    <mdx n="508" f="v">
      <t c="3" si="4">
        <n x="509"/>
        <n x="358"/>
        <n x="501"/>
      </t>
    </mdx>
    <mdx n="508" f="v">
      <t c="3" si="4">
        <n x="509"/>
        <n x="292"/>
        <n x="501"/>
      </t>
    </mdx>
    <mdx n="508" f="v">
      <t c="3" si="4">
        <n x="509"/>
        <n x="409"/>
        <n x="501"/>
      </t>
    </mdx>
    <mdx n="508" f="v">
      <t c="3" si="4">
        <n x="509"/>
        <n x="286"/>
        <n x="502"/>
      </t>
    </mdx>
    <mdx n="508" f="v">
      <t c="3" si="4">
        <n x="509"/>
        <n x="149"/>
        <n x="502"/>
      </t>
    </mdx>
    <mdx n="508" f="v">
      <t c="3" si="4">
        <n x="509"/>
        <n x="38"/>
        <n x="504"/>
      </t>
    </mdx>
    <mdx n="508" f="v">
      <t c="3" si="4">
        <n x="509"/>
        <n x="113"/>
        <n x="499"/>
      </t>
    </mdx>
    <mdx n="508" f="v">
      <t c="3" si="4">
        <n x="509"/>
        <n x="122"/>
        <n x="499"/>
      </t>
    </mdx>
    <mdx n="508" f="v">
      <t c="3" si="4">
        <n x="509"/>
        <n x="415"/>
        <n x="499"/>
      </t>
    </mdx>
    <mdx n="508" f="v">
      <t c="3" si="4">
        <n x="509"/>
        <n x="362"/>
        <n x="500"/>
      </t>
    </mdx>
    <mdx n="508" f="v">
      <t c="3" si="4">
        <n x="509"/>
        <n x="309"/>
        <n x="500"/>
      </t>
    </mdx>
    <mdx n="508" f="v">
      <t c="3" si="4">
        <n x="509"/>
        <n x="20"/>
        <n x="500"/>
      </t>
    </mdx>
    <mdx n="508" f="v">
      <t c="3" si="4">
        <n x="509"/>
        <n x="224"/>
        <n x="500"/>
      </t>
    </mdx>
    <mdx n="508" f="v">
      <t c="3" si="4">
        <n x="509"/>
        <n x="180"/>
        <n x="500"/>
      </t>
    </mdx>
    <mdx n="508" f="v">
      <t c="3" si="4">
        <n x="509"/>
        <n x="324"/>
        <n x="500"/>
      </t>
    </mdx>
    <mdx n="508" f="v">
      <t c="3" si="4">
        <n x="509"/>
        <n x="122"/>
        <n x="500"/>
      </t>
    </mdx>
    <mdx n="508" f="v">
      <t c="3" si="4">
        <n x="509"/>
        <n x="142"/>
        <n x="501"/>
      </t>
    </mdx>
    <mdx n="508" f="v">
      <t c="3" si="4">
        <n x="509"/>
        <n x="235"/>
        <n x="501"/>
      </t>
    </mdx>
    <mdx n="508" f="v">
      <t c="3" si="4">
        <n x="509"/>
        <n x="367"/>
        <n x="501"/>
      </t>
    </mdx>
    <mdx n="508" f="v">
      <t c="3" si="4">
        <n x="509"/>
        <n x="141"/>
        <n x="501"/>
      </t>
    </mdx>
    <mdx n="508" f="v">
      <t c="3" si="4">
        <n x="509"/>
        <n x="356"/>
        <n x="501"/>
      </t>
    </mdx>
    <mdx n="508" f="v">
      <t c="3" si="4">
        <n x="509"/>
        <n x="445"/>
        <n x="501"/>
      </t>
    </mdx>
    <mdx n="508" f="v">
      <t c="3" si="4">
        <n x="509"/>
        <n x="243"/>
        <n x="502"/>
      </t>
    </mdx>
    <mdx n="508" f="v">
      <t c="3" si="4">
        <n x="509"/>
        <n x="324"/>
        <n x="502"/>
      </t>
    </mdx>
    <mdx n="508" f="v">
      <t c="3" si="4">
        <n x="509"/>
        <n x="440"/>
        <n x="505"/>
      </t>
    </mdx>
    <mdx n="508" f="v">
      <t c="3" si="4">
        <n x="509"/>
        <n x="64"/>
        <n x="501"/>
      </t>
    </mdx>
    <mdx n="508" f="v">
      <t c="3" si="4">
        <n x="509"/>
        <n x="126"/>
        <n x="501"/>
      </t>
    </mdx>
    <mdx n="508" f="v">
      <t c="3" si="4">
        <n x="509"/>
        <n x="425"/>
        <n x="501"/>
      </t>
    </mdx>
    <mdx n="508" f="v">
      <t c="3" si="4">
        <n x="509"/>
        <n x="57"/>
        <n x="502"/>
      </t>
    </mdx>
    <mdx n="508" f="v">
      <t c="3" si="4">
        <n x="509"/>
        <n x="423"/>
        <n x="502"/>
      </t>
    </mdx>
    <mdx n="508" f="v">
      <t c="3" si="4">
        <n x="509"/>
        <n x="295"/>
        <n x="502"/>
      </t>
    </mdx>
    <mdx n="508" f="v">
      <t c="3" si="4">
        <n x="509"/>
        <n x="156"/>
        <n x="502"/>
      </t>
    </mdx>
    <mdx n="508" f="v">
      <t c="3" si="4">
        <n x="509"/>
        <n x="178"/>
        <n x="502"/>
      </t>
    </mdx>
    <mdx n="508" f="v">
      <t c="3" si="4">
        <n x="509"/>
        <n x="91"/>
        <n x="502"/>
      </t>
    </mdx>
    <mdx n="508" f="v">
      <t c="3" si="4">
        <n x="509"/>
        <n x="214"/>
        <n x="502"/>
      </t>
    </mdx>
    <mdx n="508" f="v">
      <t c="3" si="4">
        <n x="509"/>
        <n x="367"/>
        <n x="503"/>
      </t>
    </mdx>
    <mdx n="508" f="v">
      <t c="3" si="4">
        <n x="509"/>
        <n x="128"/>
        <n x="503"/>
      </t>
    </mdx>
    <mdx n="508" f="v">
      <t c="3" si="4">
        <n x="509"/>
        <n x="431"/>
        <n x="503"/>
      </t>
    </mdx>
    <mdx n="508" f="v">
      <t c="3" si="4">
        <n x="509"/>
        <n x="208"/>
        <n x="503"/>
      </t>
    </mdx>
    <mdx n="508" f="v">
      <t c="3" si="4">
        <n x="509"/>
        <n x="212"/>
        <n x="504"/>
      </t>
    </mdx>
    <mdx n="508" f="v">
      <t c="3" si="4">
        <n x="509"/>
        <n x="317"/>
        <n x="504"/>
      </t>
    </mdx>
    <mdx n="508" f="v">
      <t c="3" si="4">
        <n x="509"/>
        <n x="105"/>
        <n x="505"/>
      </t>
    </mdx>
    <mdx n="508" f="v">
      <t c="3" si="4">
        <n x="509"/>
        <n x="105"/>
        <n x="501"/>
      </t>
    </mdx>
    <mdx n="508" f="v">
      <t c="3" si="4">
        <n x="509"/>
        <n x="297"/>
        <n x="501"/>
      </t>
    </mdx>
    <mdx n="508" f="v">
      <t c="3" si="4">
        <n x="509"/>
        <n x="240"/>
        <n x="502"/>
      </t>
    </mdx>
    <mdx n="508" f="v">
      <t c="3" si="4">
        <n x="509"/>
        <n x="138"/>
        <n x="502"/>
      </t>
    </mdx>
    <mdx n="508" f="v">
      <t c="3" si="4">
        <n x="509"/>
        <n x="299"/>
        <n x="502"/>
      </t>
    </mdx>
    <mdx n="508" f="v">
      <t c="3" si="4">
        <n x="509"/>
        <n x="120"/>
        <n x="502"/>
      </t>
    </mdx>
    <mdx n="508" f="v">
      <t c="3" si="4">
        <n x="509"/>
        <n x="335"/>
        <n x="502"/>
      </t>
    </mdx>
    <mdx n="508" f="v">
      <t c="3" si="4">
        <n x="509"/>
        <n x="261"/>
        <n x="502"/>
      </t>
    </mdx>
    <mdx n="508" f="v">
      <t c="3" si="4">
        <n x="509"/>
        <n x="424"/>
        <n x="502"/>
      </t>
    </mdx>
    <mdx n="508" f="v">
      <t c="3" si="4">
        <n x="509"/>
        <n x="381"/>
        <n x="503"/>
      </t>
    </mdx>
    <mdx n="508" f="v">
      <t c="3" si="4">
        <n x="509"/>
        <n x="84"/>
        <n x="495"/>
      </t>
    </mdx>
    <mdx n="508" f="v">
      <t c="3" si="4">
        <n x="509"/>
        <n x="216"/>
        <n x="487"/>
      </t>
    </mdx>
    <mdx n="508" f="v">
      <t c="3" si="4">
        <n x="509"/>
        <n x="401"/>
        <n x="493"/>
      </t>
    </mdx>
    <mdx n="508" f="v">
      <t c="3" si="4">
        <n x="509"/>
        <n x="334"/>
        <n x="494"/>
      </t>
    </mdx>
    <mdx n="508" f="v">
      <t c="3" si="4">
        <n x="509"/>
        <n x="103"/>
        <n x="494"/>
      </t>
    </mdx>
    <mdx n="508" f="v">
      <t c="3" si="4">
        <n x="509"/>
        <n x="207"/>
        <n x="495"/>
      </t>
    </mdx>
    <mdx n="508" f="v">
      <t c="3" si="4">
        <n x="509"/>
        <n x="202"/>
        <n x="495"/>
      </t>
    </mdx>
    <mdx n="508" f="v">
      <t c="3" si="4">
        <n x="509"/>
        <n x="118"/>
        <n x="495"/>
      </t>
    </mdx>
    <mdx n="508" f="v">
      <t c="3" si="4">
        <n x="509"/>
        <n x="247"/>
        <n x="487"/>
      </t>
    </mdx>
    <mdx n="508" f="v">
      <t c="3" si="4">
        <n x="509"/>
        <n x="158"/>
        <n x="491"/>
      </t>
    </mdx>
    <mdx n="508" f="v">
      <t c="3" si="4">
        <n x="509"/>
        <n x="310"/>
        <n x="492"/>
      </t>
    </mdx>
    <mdx n="508" f="v">
      <t c="3" si="4">
        <n x="509"/>
        <n x="377"/>
        <n x="493"/>
      </t>
    </mdx>
    <mdx n="508" f="v">
      <t c="3" si="4">
        <n x="509"/>
        <n x="118"/>
        <n x="493"/>
      </t>
    </mdx>
    <mdx n="508" f="v">
      <t c="3" si="4">
        <n x="509"/>
        <n x="354"/>
        <n x="494"/>
      </t>
    </mdx>
    <mdx n="508" f="v">
      <t c="3" si="4">
        <n x="509"/>
        <n x="180"/>
        <n x="494"/>
      </t>
    </mdx>
    <mdx n="508" f="v">
      <t c="3" si="4">
        <n x="509"/>
        <n x="6"/>
        <n x="494"/>
      </t>
    </mdx>
    <mdx n="508" f="v">
      <t c="3" si="4">
        <n x="509"/>
        <n x="51"/>
        <n x="495"/>
      </t>
    </mdx>
    <mdx n="508" f="v">
      <t c="3" si="4">
        <n x="509"/>
        <n x="119"/>
        <n x="495"/>
      </t>
    </mdx>
    <mdx n="508" f="v">
      <t c="3" si="4">
        <n x="509"/>
        <n x="181"/>
        <n x="495"/>
      </t>
    </mdx>
    <mdx n="508" f="v">
      <t c="3" si="4">
        <n x="509"/>
        <n x="342"/>
        <n x="495"/>
      </t>
    </mdx>
    <mdx n="508" f="v">
      <t c="3" si="4">
        <n x="509"/>
        <n x="414"/>
        <n x="495"/>
      </t>
    </mdx>
    <mdx n="508" f="v">
      <t c="3" si="4">
        <n x="509"/>
        <n x="3"/>
        <n x="495"/>
      </t>
    </mdx>
    <mdx n="508" f="v">
      <t c="3" si="4">
        <n x="509"/>
        <n x="100"/>
        <n x="492"/>
      </t>
    </mdx>
    <mdx n="508" f="v">
      <t c="3" si="4">
        <n x="509"/>
        <n x="340"/>
        <n x="494"/>
      </t>
    </mdx>
    <mdx n="508" f="v">
      <t c="3" si="4">
        <n x="509"/>
        <n x="52"/>
        <n x="495"/>
      </t>
    </mdx>
    <mdx n="508" f="v">
      <t c="3" si="4">
        <n x="509"/>
        <n x="235"/>
        <n x="482"/>
      </t>
    </mdx>
    <mdx n="508" f="v">
      <t c="3" si="4">
        <n x="509"/>
        <n x="348"/>
        <n x="485"/>
      </t>
    </mdx>
    <mdx n="508" f="v">
      <t c="3" si="4">
        <n x="509"/>
        <n x="32"/>
        <n x="491"/>
      </t>
    </mdx>
    <mdx n="508" f="v">
      <t c="3" si="4">
        <n x="509"/>
        <n x="28"/>
        <n x="492"/>
      </t>
    </mdx>
    <mdx n="508" f="v">
      <t c="3" si="4">
        <n x="509"/>
        <n x="29"/>
        <n x="493"/>
      </t>
    </mdx>
    <mdx n="508" f="v">
      <t c="3" si="4">
        <n x="509"/>
        <n x="315"/>
        <n x="494"/>
      </t>
    </mdx>
    <mdx n="508" f="v">
      <t c="3" si="4">
        <n x="509"/>
        <n x="422"/>
        <n x="494"/>
      </t>
    </mdx>
    <mdx n="508" f="v">
      <t c="3" si="4">
        <n x="509"/>
        <n x="199"/>
        <n x="494"/>
      </t>
    </mdx>
    <mdx n="508" f="v">
      <t c="3" si="4">
        <n x="509"/>
        <n x="259"/>
        <n x="494"/>
      </t>
    </mdx>
    <mdx n="508" f="v">
      <t c="3" si="4">
        <n x="509"/>
        <n x="315"/>
        <n x="495"/>
      </t>
    </mdx>
    <mdx n="508" f="v">
      <t c="3" si="4">
        <n x="509"/>
        <n x="233"/>
        <n x="495"/>
      </t>
    </mdx>
    <mdx n="508" f="v">
      <t c="3" si="4">
        <n x="509"/>
        <n x="192"/>
        <n x="495"/>
      </t>
    </mdx>
    <mdx n="508" f="v">
      <t c="3" si="4">
        <n x="509"/>
        <n x="136"/>
        <n x="495"/>
      </t>
    </mdx>
    <mdx n="508" f="v">
      <t c="3" si="4">
        <n x="509"/>
        <n x="163"/>
        <n x="495"/>
      </t>
    </mdx>
    <mdx n="508" f="v">
      <t c="3" si="4">
        <n x="509"/>
        <n x="429"/>
        <n x="483"/>
      </t>
    </mdx>
    <mdx n="508" f="v">
      <t c="3" si="4">
        <n x="509"/>
        <n x="410"/>
        <n x="494"/>
      </t>
    </mdx>
    <mdx n="508" f="v">
      <t c="3" si="4">
        <n x="509"/>
        <n x="456"/>
        <n x="495"/>
      </t>
    </mdx>
    <mdx n="508" f="v">
      <t c="3" si="4">
        <n x="509"/>
        <n x="182"/>
        <n x="484"/>
      </t>
    </mdx>
    <mdx n="508" f="v">
      <t c="3" si="4">
        <n x="509"/>
        <n x="28"/>
        <n x="489"/>
      </t>
    </mdx>
    <mdx n="508" f="v">
      <t c="3" si="4">
        <n x="509"/>
        <n x="42"/>
        <n x="489"/>
      </t>
    </mdx>
    <mdx n="508" f="v">
      <t c="3" si="4">
        <n x="509"/>
        <n x="149"/>
        <n x="492"/>
      </t>
    </mdx>
    <mdx n="508" f="v">
      <t c="3" si="4">
        <n x="509"/>
        <n x="38"/>
        <n x="493"/>
      </t>
    </mdx>
    <mdx n="508" f="v">
      <t c="3" si="4">
        <n x="509"/>
        <n x="158"/>
        <n x="494"/>
      </t>
    </mdx>
    <mdx n="508" f="v">
      <t c="3" si="4">
        <n x="509"/>
        <n x="150"/>
        <n x="494"/>
      </t>
    </mdx>
    <mdx n="508" f="v">
      <t c="3" si="4">
        <n x="509"/>
        <n x="317"/>
        <n x="494"/>
      </t>
    </mdx>
    <mdx n="508" f="v">
      <t c="3" si="4">
        <n x="509"/>
        <n x="362"/>
        <n x="494"/>
      </t>
    </mdx>
    <mdx n="508" f="v">
      <t c="3" si="4">
        <n x="509"/>
        <n x="423"/>
        <n x="495"/>
      </t>
    </mdx>
    <mdx n="508" f="v">
      <t c="3" si="4">
        <n x="509"/>
        <n x="44"/>
        <n x="495"/>
      </t>
    </mdx>
    <mdx n="508" f="v">
      <t c="3" si="4">
        <n x="509"/>
        <n x="300"/>
        <n x="495"/>
      </t>
    </mdx>
    <mdx n="508" f="v">
      <t c="3" si="4">
        <n x="509"/>
        <n x="85"/>
        <n x="495"/>
      </t>
    </mdx>
    <mdx n="508" f="v">
      <t c="3" si="4">
        <n x="509"/>
        <n x="214"/>
        <n x="495"/>
      </t>
    </mdx>
    <mdx n="508" f="v">
      <t c="3" si="4">
        <n x="509"/>
        <n x="114"/>
        <n x="495"/>
      </t>
    </mdx>
    <mdx n="508" f="v">
      <t c="3" si="4">
        <n x="509"/>
        <n x="349"/>
        <n x="491"/>
      </t>
    </mdx>
    <mdx n="508" f="v">
      <t c="3" si="4">
        <n x="509"/>
        <n x="453"/>
        <n x="494"/>
      </t>
    </mdx>
    <mdx n="508" f="v">
      <t c="3" si="4">
        <n x="509"/>
        <n x="311"/>
        <n x="495"/>
      </t>
    </mdx>
    <mdx n="508" f="v">
      <t c="3" si="4">
        <n x="509"/>
        <n x="394"/>
        <n x="485"/>
      </t>
    </mdx>
    <mdx n="508" f="v">
      <t c="3" si="4">
        <n x="509"/>
        <n x="362"/>
        <n x="489"/>
      </t>
    </mdx>
    <mdx n="508" f="v">
      <t c="3" si="4">
        <n x="509"/>
        <n x="140"/>
        <n x="489"/>
      </t>
    </mdx>
    <mdx n="508" f="v">
      <t c="3" si="4">
        <n x="509"/>
        <n x="250"/>
        <n x="491"/>
      </t>
    </mdx>
    <mdx n="508" f="v">
      <t c="3" si="4">
        <n x="509"/>
        <n x="411"/>
        <n x="492"/>
      </t>
    </mdx>
    <mdx n="508" f="v">
      <t c="3" si="4">
        <n x="509"/>
        <n x="94"/>
        <n x="493"/>
      </t>
    </mdx>
    <mdx n="508" f="v">
      <t c="3" si="4">
        <n x="509"/>
        <n x="214"/>
        <n x="493"/>
      </t>
    </mdx>
    <mdx n="508" f="v">
      <t c="3" si="4">
        <n x="509"/>
        <n x="42"/>
        <n x="494"/>
      </t>
    </mdx>
    <mdx n="508" f="v">
      <t c="3" si="4">
        <n x="509"/>
        <n x="439"/>
        <n x="494"/>
      </t>
    </mdx>
    <mdx n="508" f="v">
      <t c="3" si="4">
        <n x="509"/>
        <n x="237"/>
        <n x="494"/>
      </t>
    </mdx>
    <mdx n="508" f="v">
      <t c="3" si="4">
        <n x="509"/>
        <n x="53"/>
        <n x="494"/>
      </t>
    </mdx>
    <mdx n="508" f="v">
      <t c="3" si="4">
        <n x="509"/>
        <n x="90"/>
        <n x="494"/>
      </t>
    </mdx>
    <mdx n="508" f="v">
      <t c="3" si="4">
        <n x="509"/>
        <n x="116"/>
        <n x="495"/>
      </t>
    </mdx>
    <mdx n="508" f="v">
      <t c="3" si="4">
        <n x="509"/>
        <n x="299"/>
        <n x="495"/>
      </t>
    </mdx>
    <mdx n="508" f="v">
      <t c="3" si="4">
        <n x="509"/>
        <n x="349"/>
        <n x="495"/>
      </t>
    </mdx>
    <mdx n="508" f="v">
      <t c="3" si="4">
        <n x="509"/>
        <n x="66"/>
        <n x="495"/>
      </t>
    </mdx>
    <mdx n="508" f="v">
      <t c="3" si="4">
        <n x="509"/>
        <n x="261"/>
        <n x="495"/>
      </t>
    </mdx>
    <mdx n="508" f="v">
      <t c="3" si="4">
        <n x="509"/>
        <n x="153"/>
        <n x="489"/>
      </t>
    </mdx>
    <mdx n="508" f="v">
      <t c="3" si="4">
        <n x="509"/>
        <n x="169"/>
        <n x="492"/>
      </t>
    </mdx>
    <mdx n="508" f="v">
      <t c="3" si="4">
        <n x="509"/>
        <n x="99"/>
        <n x="494"/>
      </t>
    </mdx>
    <mdx n="508" f="v">
      <t c="3" si="4">
        <n x="509"/>
        <n x="287"/>
        <n x="495"/>
      </t>
    </mdx>
    <mdx n="508" f="v">
      <t c="3" si="4">
        <n x="509"/>
        <n x="50"/>
        <n x="495"/>
      </t>
    </mdx>
    <mdx n="508" f="v">
      <t c="3" si="4">
        <n x="509"/>
        <n x="254"/>
        <n x="496"/>
      </t>
    </mdx>
    <mdx n="508" f="v">
      <t c="3" si="4">
        <n x="509"/>
        <n x="368"/>
        <n x="496"/>
      </t>
    </mdx>
    <mdx n="508" f="v">
      <t c="3" si="4">
        <n x="509"/>
        <n x="41"/>
        <n x="496"/>
      </t>
    </mdx>
    <mdx n="508" f="v">
      <t c="3" si="4">
        <n x="509"/>
        <n x="18"/>
        <n x="496"/>
      </t>
    </mdx>
    <mdx n="508" f="v">
      <t c="3" si="4">
        <n x="509"/>
        <n x="201"/>
        <n x="496"/>
      </t>
    </mdx>
    <mdx n="508" f="v">
      <t c="3" si="4">
        <n x="509"/>
        <n x="305"/>
        <n x="497"/>
      </t>
    </mdx>
    <mdx n="508" f="v">
      <t c="3" si="4">
        <n x="509"/>
        <n x="180"/>
        <n x="497"/>
      </t>
    </mdx>
    <mdx n="508" f="v">
      <t c="3" si="4">
        <n x="509"/>
        <n x="319"/>
        <n x="498"/>
      </t>
    </mdx>
    <mdx n="508" f="v">
      <t c="3" si="4">
        <n x="509"/>
        <n x="164"/>
        <n x="496"/>
      </t>
    </mdx>
    <mdx n="508" f="v">
      <t c="3" si="4">
        <n x="509"/>
        <n x="456"/>
        <n x="496"/>
      </t>
    </mdx>
    <mdx n="508" f="v">
      <t c="3" si="4">
        <n x="509"/>
        <n x="72"/>
        <n x="496"/>
      </t>
    </mdx>
    <mdx n="508" f="v">
      <t c="3" si="4">
        <n x="509"/>
        <n x="175"/>
        <n x="496"/>
      </t>
    </mdx>
    <mdx n="508" f="v">
      <t c="3" si="4">
        <n x="509"/>
        <n x="26"/>
        <n x="496"/>
      </t>
    </mdx>
    <mdx n="508" f="v">
      <t c="3" si="4">
        <n x="509"/>
        <n x="440"/>
        <n x="497"/>
      </t>
    </mdx>
    <mdx n="508" f="v">
      <t c="3" si="4">
        <n x="509"/>
        <n x="458"/>
        <n x="497"/>
      </t>
    </mdx>
    <mdx n="508" f="v">
      <t c="3" si="4">
        <n x="509"/>
        <n x="120"/>
        <n x="498"/>
      </t>
    </mdx>
    <mdx n="508" f="v">
      <t c="3" si="4">
        <n x="509"/>
        <n x="135"/>
        <n x="496"/>
      </t>
    </mdx>
    <mdx n="508" f="v">
      <t c="3" si="4">
        <n x="509"/>
        <n x="295"/>
        <n x="496"/>
      </t>
    </mdx>
    <mdx n="508" f="v">
      <t c="3" si="4">
        <n x="509"/>
        <n x="23"/>
        <n x="496"/>
      </t>
    </mdx>
    <mdx n="508" f="v">
      <t c="3" si="4">
        <n x="509"/>
        <n x="17"/>
        <n x="496"/>
      </t>
    </mdx>
    <mdx n="508" f="v">
      <t c="3" si="4">
        <n x="509"/>
        <n x="429"/>
        <n x="496"/>
      </t>
    </mdx>
    <mdx n="508" f="v">
      <t c="3" si="4">
        <n x="509"/>
        <n x="136"/>
        <n x="496"/>
      </t>
    </mdx>
    <mdx n="508" f="v">
      <t c="3" si="4">
        <n x="509"/>
        <n x="451"/>
        <n x="496"/>
      </t>
    </mdx>
    <mdx n="508" f="v">
      <t c="3" si="4">
        <n x="509"/>
        <n x="67"/>
        <n x="497"/>
      </t>
    </mdx>
    <mdx n="508" f="v">
      <t c="3" si="4">
        <n x="509"/>
        <n x="89"/>
        <n x="497"/>
      </t>
    </mdx>
    <mdx n="508" f="v">
      <t c="3" si="4">
        <n x="509"/>
        <n x="446"/>
        <n x="497"/>
      </t>
    </mdx>
    <mdx n="508" f="v">
      <t c="3" si="4">
        <n x="509"/>
        <n x="417"/>
        <n x="497"/>
      </t>
    </mdx>
    <mdx n="508" f="v">
      <t c="3" si="4">
        <n x="509"/>
        <n x="356"/>
        <n x="497"/>
      </t>
    </mdx>
    <mdx n="508" f="v">
      <t c="3" si="4">
        <n x="509"/>
        <n x="136"/>
        <n x="497"/>
      </t>
    </mdx>
    <mdx n="508" f="v">
      <t c="3" si="4">
        <n x="509"/>
        <n x="100"/>
        <n x="497"/>
      </t>
    </mdx>
    <mdx n="508" f="v">
      <t c="3" si="4">
        <n x="509"/>
        <n x="289"/>
        <n x="498"/>
      </t>
    </mdx>
    <mdx n="508" f="v">
      <t c="3" si="4">
        <n x="509"/>
        <n x="158"/>
        <n x="498"/>
      </t>
    </mdx>
    <mdx n="508" f="v">
      <t c="3" si="4">
        <n x="509"/>
        <n x="321"/>
        <n x="498"/>
      </t>
    </mdx>
    <mdx n="508" f="v">
      <t c="3" si="4">
        <n x="509"/>
        <n x="412"/>
        <n x="498"/>
      </t>
    </mdx>
    <mdx n="508" f="v">
      <t c="3" si="4">
        <n x="509"/>
        <n x="154"/>
        <n x="498"/>
      </t>
    </mdx>
    <mdx n="508" f="v">
      <t c="3" si="4">
        <n x="509"/>
        <n x="13"/>
        <n x="498"/>
      </t>
    </mdx>
    <mdx n="508" f="v">
      <t c="3" si="4">
        <n x="509"/>
        <n x="190"/>
        <n x="499"/>
      </t>
    </mdx>
    <mdx n="508" f="v">
      <t c="3" si="4">
        <n x="509"/>
        <n x="47"/>
        <n x="499"/>
      </t>
    </mdx>
    <mdx n="508" f="v">
      <t c="3" si="4">
        <n x="509"/>
        <n x="270"/>
        <n x="501"/>
      </t>
    </mdx>
    <mdx n="508" f="v">
      <t c="3" si="4">
        <n x="509"/>
        <n x="98"/>
        <n x="496"/>
      </t>
    </mdx>
    <mdx n="508" f="v">
      <t c="3" si="4">
        <n x="509"/>
        <n x="341"/>
        <n x="496"/>
      </t>
    </mdx>
    <mdx n="508" f="v">
      <t c="3" si="4">
        <n x="509"/>
        <n x="352"/>
        <n x="496"/>
      </t>
    </mdx>
    <mdx n="508" f="v">
      <t c="3" si="4">
        <n x="509"/>
        <n x="51"/>
        <n x="496"/>
      </t>
    </mdx>
    <mdx n="508" f="v">
      <t c="3" si="4">
        <n x="509"/>
        <n x="420"/>
        <n x="497"/>
      </t>
    </mdx>
    <mdx n="508" f="v">
      <t c="3" si="4">
        <n x="509"/>
        <n x="203"/>
        <n x="497"/>
      </t>
    </mdx>
    <mdx n="508" f="v">
      <t c="3" si="4">
        <n x="509"/>
        <n x="143"/>
        <n x="497"/>
      </t>
    </mdx>
    <mdx n="508" f="v">
      <t c="3" si="4">
        <n x="509"/>
        <n x="282"/>
        <n x="497"/>
      </t>
    </mdx>
    <mdx n="508" f="v">
      <t c="3" si="4">
        <n x="509"/>
        <n x="154"/>
        <n x="497"/>
      </t>
    </mdx>
    <mdx n="508" f="v">
      <t c="3" si="4">
        <n x="509"/>
        <n x="324"/>
        <n x="497"/>
      </t>
    </mdx>
    <mdx n="508" f="v">
      <t c="3" si="4">
        <n x="509"/>
        <n x="196"/>
        <n x="497"/>
      </t>
    </mdx>
    <mdx n="508" f="v">
      <t c="3" si="4">
        <n x="509"/>
        <n x="452"/>
        <n x="498"/>
      </t>
    </mdx>
    <mdx n="508" f="v">
      <t c="3" si="4">
        <n x="509"/>
        <n x="30"/>
        <n x="498"/>
      </t>
    </mdx>
    <mdx n="508" f="v">
      <t c="3" si="4">
        <n x="509"/>
        <n x="212"/>
        <n x="498"/>
      </t>
    </mdx>
    <mdx n="508" f="v">
      <t c="3" si="4">
        <n x="509"/>
        <n x="17"/>
        <n x="498"/>
      </t>
    </mdx>
    <mdx n="508" f="v">
      <t c="3" si="4">
        <n x="509"/>
        <n x="399"/>
        <n x="498"/>
      </t>
    </mdx>
    <mdx n="508" f="v">
      <t c="3" si="4">
        <n x="509"/>
        <n x="261"/>
        <n x="498"/>
      </t>
    </mdx>
    <mdx n="508" f="v">
      <t c="3" si="4">
        <n x="509"/>
        <n x="419"/>
        <n x="499"/>
      </t>
    </mdx>
    <mdx n="508" f="v">
      <t c="3" si="4">
        <n x="509"/>
        <n x="358"/>
        <n x="499"/>
      </t>
    </mdx>
    <mdx n="508" f="v">
      <t c="3" si="4">
        <n x="509"/>
        <n x="228"/>
        <n x="501"/>
      </t>
    </mdx>
    <mdx n="508" f="v">
      <t c="3" si="4">
        <n x="509"/>
        <n x="438"/>
        <n x="497"/>
      </t>
    </mdx>
    <mdx n="508" f="v">
      <t c="3" si="4">
        <n x="509"/>
        <n x="26"/>
        <n x="497"/>
      </t>
    </mdx>
    <mdx n="508" f="v">
      <t c="3" si="4">
        <n x="509"/>
        <n x="215"/>
        <n x="497"/>
      </t>
    </mdx>
    <mdx n="508" f="v">
      <t c="3" si="4">
        <n x="509"/>
        <n x="445"/>
        <n x="498"/>
      </t>
    </mdx>
    <mdx n="508" f="v">
      <t c="3" si="4">
        <n x="509"/>
        <n x="419"/>
        <n x="498"/>
      </t>
    </mdx>
    <mdx n="508" f="v">
      <t c="3" si="4">
        <n x="509"/>
        <n x="11"/>
        <n x="498"/>
      </t>
    </mdx>
    <mdx n="508" f="v">
      <t c="3" si="4">
        <n x="509"/>
        <n x="250"/>
        <n x="498"/>
      </t>
    </mdx>
    <mdx n="508" f="v">
      <t c="3" si="4">
        <n x="509"/>
        <n x="342"/>
        <n x="498"/>
      </t>
    </mdx>
    <mdx n="508" f="v">
      <t c="3" si="4">
        <n x="509"/>
        <n x="215"/>
        <n x="498"/>
      </t>
    </mdx>
    <mdx n="508" f="v">
      <t c="3" si="4">
        <n x="509"/>
        <n x="443"/>
        <n x="499"/>
      </t>
    </mdx>
    <mdx n="508" f="v">
      <t c="3" si="4">
        <n x="509"/>
        <n x="206"/>
        <n x="499"/>
      </t>
    </mdx>
    <mdx n="508" f="v">
      <t c="3" si="4">
        <n x="509"/>
        <n x="119"/>
        <n x="501"/>
      </t>
    </mdx>
    <mdx n="508" f="v">
      <t c="3" si="4">
        <n x="509"/>
        <n x="145"/>
        <n x="496"/>
      </t>
    </mdx>
    <mdx n="508" f="v">
      <t c="3" si="4">
        <n x="509"/>
        <n x="281"/>
        <n x="496"/>
      </t>
    </mdx>
    <mdx n="508" f="v">
      <t c="3" si="4">
        <n x="509"/>
        <n x="181"/>
        <n x="496"/>
      </t>
    </mdx>
    <mdx n="508" f="v">
      <t c="3" si="4">
        <n x="509"/>
        <n x="256"/>
        <n x="496"/>
      </t>
    </mdx>
    <mdx n="508" f="v">
      <t c="3" si="4">
        <n x="509"/>
        <n x="78"/>
        <n x="496"/>
      </t>
    </mdx>
    <mdx n="508" f="v">
      <t c="3" si="4">
        <n x="509"/>
        <n x="32"/>
        <n x="496"/>
      </t>
    </mdx>
    <mdx n="508" f="v">
      <t c="3" si="4">
        <n x="509"/>
        <n x="227"/>
        <n x="496"/>
      </t>
    </mdx>
    <mdx n="508" f="v">
      <t c="3" si="4">
        <n x="509"/>
        <n x="419"/>
        <n x="497"/>
      </t>
    </mdx>
    <mdx n="508" f="v">
      <t c="3" si="4">
        <n x="509"/>
        <n x="386"/>
        <n x="497"/>
      </t>
    </mdx>
    <mdx n="508" f="v">
      <t c="3" si="4">
        <n x="509"/>
        <n x="306"/>
        <n x="497"/>
      </t>
    </mdx>
    <mdx n="508" f="v">
      <t c="3" si="4">
        <n x="509"/>
        <n x="335"/>
        <n x="497"/>
      </t>
    </mdx>
    <mdx n="508" f="v">
      <t c="3" si="4">
        <n x="509"/>
        <n x="380"/>
        <n x="497"/>
      </t>
    </mdx>
    <mdx n="508" f="v">
      <t c="3" si="4">
        <n x="509"/>
        <n x="172"/>
        <n x="497"/>
      </t>
    </mdx>
    <mdx n="508" f="v">
      <t c="3" si="4">
        <n x="509"/>
        <n x="253"/>
        <n x="497"/>
      </t>
    </mdx>
    <mdx n="508" f="v">
      <t c="3" si="4">
        <n x="509"/>
        <n x="159"/>
        <n x="498"/>
      </t>
    </mdx>
    <mdx n="508" f="v">
      <t c="3" si="4">
        <n x="509"/>
        <n x="369"/>
        <n x="498"/>
      </t>
    </mdx>
    <mdx n="508" f="v">
      <t c="3" si="4">
        <n x="509"/>
        <n x="75"/>
        <n x="498"/>
      </t>
    </mdx>
    <mdx n="508" f="v">
      <t c="3" si="4">
        <n x="509"/>
        <n x="70"/>
        <n x="498"/>
      </t>
    </mdx>
    <mdx n="508" f="v">
      <t c="3" si="4">
        <n x="509"/>
        <n x="405"/>
        <n x="498"/>
      </t>
    </mdx>
    <mdx n="508" f="v">
      <t c="3" si="4">
        <n x="509"/>
        <n x="107"/>
        <n x="498"/>
      </t>
    </mdx>
    <mdx n="508" f="v">
      <t c="3" si="4">
        <n x="509"/>
        <n x="386"/>
        <n x="499"/>
      </t>
    </mdx>
    <mdx n="508" f="v">
      <t c="3" si="4">
        <n x="509"/>
        <n x="444"/>
        <n x="499"/>
      </t>
    </mdx>
    <mdx n="508" f="v">
      <t c="3" si="4">
        <n x="509"/>
        <n x="310"/>
        <n x="496"/>
      </t>
    </mdx>
    <mdx n="508" f="v">
      <t c="3" si="4">
        <n x="509"/>
        <n x="134"/>
        <n x="497"/>
      </t>
    </mdx>
    <mdx n="508" f="v">
      <t c="3" si="4">
        <n x="509"/>
        <n x="88"/>
        <n x="497"/>
      </t>
    </mdx>
    <mdx n="508" f="v">
      <t c="3" si="4">
        <n x="509"/>
        <n x="456"/>
        <n x="497"/>
      </t>
    </mdx>
    <mdx n="508" f="v">
      <t c="3" si="4">
        <n x="509"/>
        <n x="17"/>
        <n x="497"/>
      </t>
    </mdx>
    <mdx n="508" f="v">
      <t c="3" si="4">
        <n x="509"/>
        <n x="199"/>
        <n x="497"/>
      </t>
    </mdx>
    <mdx n="508" f="v">
      <t c="3" si="4">
        <n x="509"/>
        <n x="409"/>
        <n x="497"/>
      </t>
    </mdx>
    <mdx n="508" f="v">
      <t c="3" si="4">
        <n x="509"/>
        <n x="397"/>
        <n x="497"/>
      </t>
    </mdx>
    <mdx n="508" f="v">
      <t c="3" si="4">
        <n x="509"/>
        <n x="372"/>
        <n x="498"/>
      </t>
    </mdx>
    <mdx n="508" f="v">
      <t c="3" si="4">
        <n x="509"/>
        <n x="146"/>
        <n x="498"/>
      </t>
    </mdx>
    <mdx n="508" f="v">
      <t c="3" si="4">
        <n x="509"/>
        <n x="448"/>
        <n x="498"/>
      </t>
    </mdx>
    <mdx n="508" f="v">
      <t c="3" si="4">
        <n x="509"/>
        <n x="29"/>
        <n x="498"/>
      </t>
    </mdx>
    <mdx n="508" f="v">
      <t c="3" si="4">
        <n x="509"/>
        <n x="9"/>
        <n x="498"/>
      </t>
    </mdx>
    <mdx n="508" f="v">
      <t c="3" si="4">
        <n x="509"/>
        <n x="353"/>
        <n x="499"/>
      </t>
    </mdx>
    <mdx n="508" f="v">
      <t c="3" si="4">
        <n x="509"/>
        <n x="401"/>
        <n x="499"/>
      </t>
    </mdx>
    <mdx n="508" f="v">
      <t c="3" si="4">
        <n x="509"/>
        <n x="110"/>
        <n x="500"/>
      </t>
    </mdx>
    <mdx n="508" f="v">
      <t c="3" si="4">
        <n x="509"/>
        <n x="263"/>
        <n x="497"/>
      </t>
    </mdx>
    <mdx n="508" f="v">
      <t c="3" si="4">
        <n x="509"/>
        <n x="221"/>
        <n x="497"/>
      </t>
    </mdx>
    <mdx n="508" f="v">
      <t c="3" si="4">
        <n x="509"/>
        <n x="75"/>
        <n x="497"/>
      </t>
    </mdx>
    <mdx n="508" f="v">
      <t c="3" si="4">
        <n x="509"/>
        <n x="406"/>
        <n x="497"/>
      </t>
    </mdx>
    <mdx n="508" f="v">
      <t c="3" si="4">
        <n x="509"/>
        <n x="97"/>
        <n x="497"/>
      </t>
    </mdx>
    <mdx n="508" f="v">
      <t c="3" si="4">
        <n x="509"/>
        <n x="421"/>
        <n x="497"/>
      </t>
    </mdx>
    <mdx n="508" f="v">
      <t c="3" si="4">
        <n x="509"/>
        <n x="337"/>
        <n x="497"/>
      </t>
    </mdx>
    <mdx n="508" f="v">
      <t c="3" si="4">
        <n x="509"/>
        <n x="415"/>
        <n x="498"/>
      </t>
    </mdx>
    <mdx n="508" f="v">
      <t c="3" si="4">
        <n x="509"/>
        <n x="59"/>
        <n x="498"/>
      </t>
    </mdx>
    <mdx n="508" f="v">
      <t c="3" si="4">
        <n x="509"/>
        <n x="368"/>
        <n x="498"/>
      </t>
    </mdx>
    <mdx n="508" f="v">
      <t c="3" si="4">
        <n x="509"/>
        <n x="186"/>
        <n x="498"/>
      </t>
    </mdx>
    <mdx n="508" f="v">
      <t c="3" si="4">
        <n x="509"/>
        <n x="123"/>
        <n x="498"/>
      </t>
    </mdx>
    <mdx n="508" f="v">
      <t c="3" si="4">
        <n x="509"/>
        <n x="378"/>
        <n x="498"/>
      </t>
    </mdx>
    <mdx n="508" f="v">
      <t c="3" si="4">
        <n x="509"/>
        <n x="88"/>
        <n x="499"/>
      </t>
    </mdx>
    <mdx n="508" f="v">
      <t c="3" si="4">
        <n x="509"/>
        <n x="398"/>
        <n x="499"/>
      </t>
    </mdx>
    <mdx n="508" f="v">
      <t c="3" si="4">
        <n x="509"/>
        <n x="399"/>
        <n x="497"/>
      </t>
    </mdx>
    <mdx n="508" f="v">
      <t c="3" si="4">
        <n x="509"/>
        <n x="82"/>
        <n x="497"/>
      </t>
    </mdx>
    <mdx n="508" f="v">
      <t c="3" si="4">
        <n x="509"/>
        <n x="365"/>
        <n x="497"/>
      </t>
    </mdx>
    <mdx n="508" f="v">
      <t c="3" si="4">
        <n x="509"/>
        <n x="112"/>
        <n x="498"/>
      </t>
    </mdx>
    <mdx n="508" f="v">
      <t c="3" si="4">
        <n x="509"/>
        <n x="387"/>
        <n x="498"/>
      </t>
    </mdx>
    <mdx n="508" f="v">
      <t c="3" si="4">
        <n x="509"/>
        <n x="27"/>
        <n x="498"/>
      </t>
    </mdx>
    <mdx n="508" f="v">
      <t c="3" si="4">
        <n x="509"/>
        <n x="285"/>
        <n x="498"/>
      </t>
    </mdx>
    <mdx n="508" f="v">
      <t c="3" si="4">
        <n x="509"/>
        <n x="85"/>
        <n x="498"/>
      </t>
    </mdx>
    <mdx n="508" f="v">
      <t c="3" si="4">
        <n x="509"/>
        <n x="51"/>
        <n x="498"/>
      </t>
    </mdx>
    <mdx n="508" f="v">
      <t c="3" si="4">
        <n x="509"/>
        <n x="387"/>
        <n x="499"/>
      </t>
    </mdx>
    <mdx n="508" f="v">
      <t c="3" si="4">
        <n x="509"/>
        <n x="184"/>
        <n x="499"/>
      </t>
    </mdx>
    <mdx n="508" f="v">
      <t c="3" si="4">
        <n x="509"/>
        <n x="354"/>
        <n x="499"/>
      </t>
    </mdx>
    <mdx n="508" f="v">
      <t c="3" si="4">
        <n x="509"/>
        <n x="352"/>
        <n x="499"/>
      </t>
    </mdx>
    <mdx n="508" f="v">
      <t c="3" si="4">
        <n x="509"/>
        <n x="90"/>
        <n x="499"/>
      </t>
    </mdx>
    <mdx n="508" f="v">
      <t c="3" si="4">
        <n x="509"/>
        <n x="24"/>
        <n x="500"/>
      </t>
    </mdx>
    <mdx n="508" f="v">
      <t c="3" si="4">
        <n x="509"/>
        <n x="174"/>
        <n x="500"/>
      </t>
    </mdx>
    <mdx n="508" f="v">
      <t c="3" si="4">
        <n x="509"/>
        <n x="3"/>
        <n x="500"/>
      </t>
    </mdx>
    <mdx n="508" f="v">
      <t c="3" si="4">
        <n x="509"/>
        <n x="192"/>
        <n x="501"/>
      </t>
    </mdx>
    <mdx n="508" f="v">
      <t c="3" si="4">
        <n x="509"/>
        <n x="247"/>
        <n x="503"/>
      </t>
    </mdx>
    <mdx n="508" f="v">
      <t c="3" si="4">
        <n x="509"/>
        <n x="360"/>
        <n x="498"/>
      </t>
    </mdx>
    <mdx n="508" f="v">
      <t c="3" si="4">
        <n x="509"/>
        <n x="156"/>
        <n x="498"/>
      </t>
    </mdx>
    <mdx n="508" f="v">
      <t c="3" si="4">
        <n x="509"/>
        <n x="371"/>
        <n x="498"/>
      </t>
    </mdx>
    <mdx n="508" f="v">
      <t c="3" si="4">
        <n x="509"/>
        <n x="100"/>
        <n x="498"/>
      </t>
    </mdx>
    <mdx n="508" f="v">
      <t c="3" si="4">
        <n x="509"/>
        <n x="302"/>
        <n x="498"/>
      </t>
    </mdx>
    <mdx n="508" f="v">
      <t c="3" si="4">
        <n x="509"/>
        <n x="243"/>
        <n x="499"/>
      </t>
    </mdx>
    <mdx n="508" f="v">
      <t c="3" si="4">
        <n x="509"/>
        <n x="410"/>
        <n x="499"/>
      </t>
    </mdx>
    <mdx n="508" f="v">
      <t c="3" si="4">
        <n x="509"/>
        <n x="181"/>
        <n x="499"/>
      </t>
    </mdx>
    <mdx n="508" f="v">
      <t c="3" si="4">
        <n x="509"/>
        <n x="64"/>
        <n x="499"/>
      </t>
    </mdx>
    <mdx n="508" f="v">
      <t c="3" si="4">
        <n x="509"/>
        <n x="228"/>
        <n x="499"/>
      </t>
    </mdx>
    <mdx n="508" f="v">
      <t c="3" si="4">
        <n x="509"/>
        <n x="53"/>
        <n x="500"/>
      </t>
    </mdx>
    <mdx n="508" f="v">
      <t c="3" si="4">
        <n x="509"/>
        <n x="464"/>
        <n x="500"/>
      </t>
    </mdx>
    <mdx n="508" f="v">
      <t c="3" si="4">
        <n x="509"/>
        <n x="356"/>
        <n x="500"/>
      </t>
    </mdx>
    <mdx n="508" f="v">
      <t c="3" si="4">
        <n x="509"/>
        <n x="432"/>
        <n x="501"/>
      </t>
    </mdx>
    <mdx n="508" f="v">
      <t c="3" si="4">
        <n x="509"/>
        <n x="127"/>
        <n x="501"/>
      </t>
    </mdx>
    <mdx n="508" f="v">
      <t c="3" si="4">
        <n x="509"/>
        <n x="295"/>
        <n x="498"/>
      </t>
    </mdx>
    <mdx n="508" f="v">
      <t c="3" si="4">
        <n x="509"/>
        <n x="358"/>
        <n x="498"/>
      </t>
    </mdx>
    <mdx n="508" f="v">
      <t c="3" si="4">
        <n x="509"/>
        <n x="41"/>
        <n x="498"/>
      </t>
    </mdx>
    <mdx n="508" f="v">
      <t c="3" si="4">
        <n x="509"/>
        <n x="65"/>
        <n x="498"/>
      </t>
    </mdx>
    <mdx n="508" f="v">
      <t c="3" si="4">
        <n x="509"/>
        <n x="95"/>
        <n x="498"/>
      </t>
    </mdx>
    <mdx n="508" f="v">
      <t c="3" si="4">
        <n x="509"/>
        <n x="3"/>
        <n x="498"/>
      </t>
    </mdx>
    <mdx n="508" f="v">
      <t c="3" si="4">
        <n x="509"/>
        <n x="327"/>
        <n x="499"/>
      </t>
    </mdx>
    <mdx n="508" f="v">
      <t c="3" si="4">
        <n x="509"/>
        <n x="336"/>
        <n x="499"/>
      </t>
    </mdx>
    <mdx n="508" f="v">
      <t c="3" si="4">
        <n x="509"/>
        <n x="441"/>
        <n x="499"/>
      </t>
    </mdx>
    <mdx n="508" f="v">
      <t c="3" si="4">
        <n x="509"/>
        <n x="62"/>
        <n x="499"/>
      </t>
    </mdx>
    <mdx n="508" f="v">
      <t c="3" si="4">
        <n x="509"/>
        <n x="118"/>
        <n x="499"/>
      </t>
    </mdx>
    <mdx n="508" f="v">
      <t c="3" si="4">
        <n x="509"/>
        <n x="160"/>
        <n x="500"/>
      </t>
    </mdx>
    <mdx n="508" f="v">
      <t c="3" si="4">
        <n x="509"/>
        <n x="55"/>
        <n x="500"/>
      </t>
    </mdx>
    <mdx n="508" f="v">
      <t c="3" si="4">
        <n x="509"/>
        <n x="52"/>
        <n x="500"/>
      </t>
    </mdx>
    <mdx n="508" f="v">
      <t c="3" si="4">
        <n x="509"/>
        <n x="424"/>
        <n x="501"/>
      </t>
    </mdx>
    <mdx n="508" f="v">
      <t c="3" si="4">
        <n x="509"/>
        <n x="230"/>
        <n x="501"/>
      </t>
    </mdx>
    <mdx n="508" f="v">
      <t c="3" si="4">
        <n x="509"/>
        <n x="368"/>
        <n x="499"/>
      </t>
    </mdx>
    <mdx n="508" f="v">
      <t c="3" si="4">
        <n x="509"/>
        <n x="19"/>
        <n x="499"/>
      </t>
    </mdx>
    <mdx n="508" f="v">
      <t c="3" si="4">
        <n x="509"/>
        <n x="101"/>
        <n x="499"/>
      </t>
    </mdx>
    <mdx n="508" f="v">
      <t c="3" si="4">
        <n x="509"/>
        <n x="67"/>
        <n x="499"/>
      </t>
    </mdx>
    <mdx n="508" f="v">
      <t c="3" si="4">
        <n x="509"/>
        <n x="45"/>
        <n x="500"/>
      </t>
    </mdx>
    <mdx n="508" f="v">
      <t c="3" si="4">
        <n x="509"/>
        <n x="391"/>
        <n x="500"/>
      </t>
    </mdx>
    <mdx n="508" f="v">
      <t c="3" si="4">
        <n x="509"/>
        <n x="383"/>
        <n x="500"/>
      </t>
    </mdx>
    <mdx n="508" f="v">
      <t c="3" si="4">
        <n x="509"/>
        <n x="203"/>
        <n x="501"/>
      </t>
    </mdx>
    <mdx n="508" f="v">
      <t c="3" si="4">
        <n x="509"/>
        <n x="58"/>
        <n x="502"/>
      </t>
    </mdx>
    <mdx n="508" f="v">
      <t c="3" si="4">
        <n x="509"/>
        <n x="456"/>
        <n x="499"/>
      </t>
    </mdx>
    <mdx n="508" f="v">
      <t c="3" si="4">
        <n x="509"/>
        <n x="54"/>
        <n x="499"/>
      </t>
    </mdx>
    <mdx n="508" f="v">
      <t c="3" si="4">
        <n x="509"/>
        <n x="59"/>
        <n x="499"/>
      </t>
    </mdx>
    <mdx n="508" f="v">
      <t c="3" si="4">
        <n x="509"/>
        <n x="77"/>
        <n x="499"/>
      </t>
    </mdx>
    <mdx n="508" f="v">
      <t c="3" si="4">
        <n x="509"/>
        <n x="249"/>
        <n x="499"/>
      </t>
    </mdx>
    <mdx n="508" f="v">
      <t c="3" si="4">
        <n x="509"/>
        <n x="84"/>
        <n x="500"/>
      </t>
    </mdx>
    <mdx n="508" f="v">
      <t c="3" si="4">
        <n x="509"/>
        <n x="213"/>
        <n x="500"/>
      </t>
    </mdx>
    <mdx n="508" f="v">
      <t c="3" si="4">
        <n x="509"/>
        <n x="421"/>
        <n x="500"/>
      </t>
    </mdx>
    <mdx n="508" f="v">
      <t c="3" si="4">
        <n x="509"/>
        <n x="165"/>
        <n x="501"/>
      </t>
    </mdx>
    <mdx n="508" f="v">
      <t c="3" si="4">
        <n x="509"/>
        <n x="18"/>
        <n x="502"/>
      </t>
    </mdx>
    <mdx n="508" f="v">
      <t c="3" si="4">
        <n x="509"/>
        <n x="288"/>
        <n x="498"/>
      </t>
    </mdx>
    <mdx n="508" f="v">
      <t c="3" si="4">
        <n x="509"/>
        <n x="403"/>
        <n x="498"/>
      </t>
    </mdx>
    <mdx n="508" f="v">
      <t c="3" si="4">
        <n x="509"/>
        <n x="437"/>
        <n x="499"/>
      </t>
    </mdx>
    <mdx n="508" f="v">
      <t c="3" si="4">
        <n x="509"/>
        <n x="193"/>
        <n x="499"/>
      </t>
    </mdx>
    <mdx n="508" f="v">
      <t c="3" si="4">
        <n x="509"/>
        <n x="176"/>
        <n x="499"/>
      </t>
    </mdx>
    <mdx n="508" f="v">
      <t c="3" si="4">
        <n x="509"/>
        <n x="351"/>
        <n x="499"/>
      </t>
    </mdx>
    <mdx n="508" f="v">
      <t c="3" si="4">
        <n x="509"/>
        <n x="6"/>
        <n x="499"/>
      </t>
    </mdx>
    <mdx n="508" f="v">
      <t c="3" si="4">
        <n x="509"/>
        <n x="331"/>
        <n x="499"/>
      </t>
    </mdx>
    <mdx n="508" f="v">
      <t c="3" si="4">
        <n x="509"/>
        <n x="203"/>
        <n x="500"/>
      </t>
    </mdx>
    <mdx n="508" f="v">
      <t c="3" si="4">
        <n x="509"/>
        <n x="79"/>
        <n x="500"/>
      </t>
    </mdx>
    <mdx n="508" f="v">
      <t c="3" si="4">
        <n x="509"/>
        <n x="118"/>
        <n x="500"/>
      </t>
    </mdx>
    <mdx n="508" f="v">
      <t c="3" si="4">
        <n x="509"/>
        <n x="250"/>
        <n x="501"/>
      </t>
    </mdx>
    <mdx n="508" f="v">
      <t c="3" si="4">
        <n x="509"/>
        <n x="392"/>
        <n x="502"/>
      </t>
    </mdx>
    <mdx n="508" f="v">
      <t c="3" si="4">
        <n x="509"/>
        <n x="174"/>
        <n x="499"/>
      </t>
    </mdx>
    <mdx n="508" f="v">
      <t c="3" si="4">
        <n x="509"/>
        <n x="52"/>
        <n x="499"/>
      </t>
    </mdx>
    <mdx n="508" f="v">
      <t c="3" si="4">
        <n x="509"/>
        <n x="379"/>
        <n x="499"/>
      </t>
    </mdx>
    <mdx n="508" f="v">
      <t c="3" si="4">
        <n x="509"/>
        <n x="388"/>
        <n x="500"/>
      </t>
    </mdx>
    <mdx n="508" f="v">
      <t c="3" si="4">
        <n x="509"/>
        <n x="431"/>
        <n x="500"/>
      </t>
    </mdx>
    <mdx n="508" f="v">
      <t c="3" si="4">
        <n x="509"/>
        <n x="40"/>
        <n x="500"/>
      </t>
    </mdx>
    <mdx n="508" f="v">
      <t c="3" si="4">
        <n x="509"/>
        <n x="190"/>
        <n x="501"/>
      </t>
    </mdx>
    <mdx n="508" f="v">
      <t c="3" si="4">
        <n x="509"/>
        <n x="248"/>
        <n x="501"/>
      </t>
    </mdx>
    <mdx n="508" f="v">
      <t c="3" si="4">
        <n x="509"/>
        <n x="332"/>
        <n x="500"/>
      </t>
    </mdx>
    <mdx n="508" f="v">
      <t c="3" si="4">
        <n x="509"/>
        <n x="16"/>
        <n x="500"/>
      </t>
    </mdx>
    <mdx n="508" f="v">
      <t c="3" si="4">
        <n x="509"/>
        <n x="279"/>
        <n x="501"/>
      </t>
    </mdx>
    <mdx n="508" f="v">
      <t c="3" si="4">
        <n x="509"/>
        <n x="407"/>
        <n x="501"/>
      </t>
    </mdx>
    <mdx n="508" f="v">
      <t c="3" si="4">
        <n x="509"/>
        <n x="361"/>
        <n x="501"/>
      </t>
    </mdx>
    <mdx n="508" f="v">
      <t c="3" si="4">
        <n x="509"/>
        <n x="431"/>
        <n x="501"/>
      </t>
    </mdx>
    <mdx n="508" f="v">
      <t c="3" si="4">
        <n x="509"/>
        <n x="346"/>
        <n x="501"/>
      </t>
    </mdx>
    <mdx n="508" f="v">
      <t c="3" si="4">
        <n x="509"/>
        <n x="347"/>
        <n x="502"/>
      </t>
    </mdx>
    <mdx n="508" f="v">
      <t c="3" si="4">
        <n x="509"/>
        <n x="86"/>
        <n x="502"/>
      </t>
    </mdx>
    <mdx n="508" f="v">
      <t c="3" si="4">
        <n x="509"/>
        <n x="393"/>
        <n x="503"/>
      </t>
    </mdx>
    <mdx n="508" f="v">
      <t c="3" si="4">
        <n x="509"/>
        <n x="79"/>
        <n x="499"/>
      </t>
    </mdx>
    <mdx n="508" f="v">
      <t c="3" si="4">
        <n x="509"/>
        <n x="230"/>
        <n x="499"/>
      </t>
    </mdx>
    <mdx n="508" f="v">
      <t c="3" si="4">
        <n x="509"/>
        <n x="404"/>
        <n x="499"/>
      </t>
    </mdx>
    <mdx n="508" f="v">
      <t c="3" si="4">
        <n x="509"/>
        <n x="159"/>
        <n x="499"/>
      </t>
    </mdx>
    <mdx n="508" f="v">
      <t c="3" si="4">
        <n x="509"/>
        <n x="297"/>
        <n x="500"/>
      </t>
    </mdx>
    <mdx n="508" f="v">
      <t c="3" si="4">
        <n x="509"/>
        <n x="219"/>
        <n x="500"/>
      </t>
    </mdx>
    <mdx n="508" f="v">
      <t c="3" si="4">
        <n x="509"/>
        <n x="256"/>
        <n x="500"/>
      </t>
    </mdx>
    <mdx n="508" f="v">
      <t c="3" si="4">
        <n x="509"/>
        <n x="19"/>
        <n x="500"/>
      </t>
    </mdx>
    <mdx n="508" f="v">
      <t c="3" si="4">
        <n x="509"/>
        <n x="447"/>
        <n x="500"/>
      </t>
    </mdx>
    <mdx n="508" f="v">
      <t c="3" si="4">
        <n x="509"/>
        <n x="126"/>
        <n x="500"/>
      </t>
    </mdx>
    <mdx n="508" f="v">
      <t c="3" si="4">
        <n x="509"/>
        <n x="414"/>
        <n x="500"/>
      </t>
    </mdx>
    <mdx n="508" f="v">
      <t c="3" si="4">
        <n x="509"/>
        <n x="172"/>
        <n x="501"/>
      </t>
    </mdx>
    <mdx n="508" f="v">
      <t c="3" si="4">
        <n x="509"/>
        <n x="330"/>
        <n x="501"/>
      </t>
    </mdx>
    <mdx n="508" f="v">
      <t c="3" si="4">
        <n x="509"/>
        <n x="355"/>
        <n x="501"/>
      </t>
    </mdx>
    <mdx n="508" f="v">
      <t c="3" si="4">
        <n x="509"/>
        <n x="156"/>
        <n x="501"/>
      </t>
    </mdx>
    <mdx n="508" f="v">
      <t c="3" si="4">
        <n x="509"/>
        <n x="447"/>
        <n x="501"/>
      </t>
    </mdx>
    <mdx n="508" f="v">
      <t c="3" si="4">
        <n x="509"/>
        <n x="95"/>
        <n x="501"/>
      </t>
    </mdx>
    <mdx n="508" f="v">
      <t c="3" si="4">
        <n x="509"/>
        <n x="45"/>
        <n x="502"/>
      </t>
    </mdx>
    <mdx n="508" f="v">
      <t c="3" si="4">
        <n x="509"/>
        <n x="380"/>
        <n x="502"/>
      </t>
    </mdx>
    <mdx n="508" f="v">
      <t c="3" si="4">
        <n x="509"/>
        <n x="218"/>
        <n x="504"/>
      </t>
    </mdx>
    <mdx n="508" f="v">
      <t c="3" si="4">
        <n x="509"/>
        <n x="380"/>
        <n x="499"/>
      </t>
    </mdx>
    <mdx n="508" f="v">
      <t c="3" si="4">
        <n x="509"/>
        <n x="112"/>
        <n x="499"/>
      </t>
    </mdx>
    <mdx n="508" f="v">
      <t c="3" si="4">
        <n x="509"/>
        <n x="31"/>
        <n x="499"/>
      </t>
    </mdx>
    <mdx n="508" f="v">
      <t c="3" si="4">
        <n x="509"/>
        <n x="432"/>
        <n x="500"/>
      </t>
    </mdx>
    <mdx n="508" f="v">
      <t c="3" si="4">
        <n x="509"/>
        <n x="301"/>
        <n x="500"/>
      </t>
    </mdx>
    <mdx n="508" f="v">
      <t c="3" si="4">
        <n x="509"/>
        <n x="99"/>
        <n x="500"/>
      </t>
    </mdx>
    <mdx n="508" f="v">
      <t c="3" si="4">
        <n x="509"/>
        <n x="376"/>
        <n x="500"/>
      </t>
    </mdx>
    <mdx n="508" f="v">
      <t c="3" si="4">
        <n x="509"/>
        <n x="433"/>
        <n x="500"/>
      </t>
    </mdx>
    <mdx n="508" f="v">
      <t c="3" si="4">
        <n x="509"/>
        <n x="105"/>
        <n x="500"/>
      </t>
    </mdx>
    <mdx n="508" f="v">
      <t c="3" si="4">
        <n x="509"/>
        <n x="68"/>
        <n x="500"/>
      </t>
    </mdx>
    <mdx n="508" f="v">
      <t c="3" si="4">
        <n x="509"/>
        <n x="118"/>
        <n x="501"/>
      </t>
    </mdx>
    <mdx n="508" f="v">
      <t c="3" si="4">
        <n x="509"/>
        <n x="387"/>
        <n x="501"/>
      </t>
    </mdx>
    <mdx n="508" f="v">
      <t c="3" si="4">
        <n x="509"/>
        <n x="166"/>
        <n x="501"/>
      </t>
    </mdx>
    <mdx n="508" f="v">
      <t c="3" si="4">
        <n x="509"/>
        <n x="400"/>
        <n x="501"/>
      </t>
    </mdx>
    <mdx n="508" f="v">
      <t c="3" si="4">
        <n x="509"/>
        <n x="43"/>
        <n x="501"/>
      </t>
    </mdx>
    <mdx n="508" f="v">
      <t c="3" si="4">
        <n x="509"/>
        <n x="352"/>
        <n x="501"/>
      </t>
    </mdx>
    <mdx n="508" f="v">
      <t c="3" si="4">
        <n x="509"/>
        <n x="84"/>
        <n x="502"/>
      </t>
    </mdx>
    <mdx n="508" f="v">
      <t c="3" si="4">
        <n x="509"/>
        <n x="34"/>
        <n x="502"/>
      </t>
    </mdx>
    <mdx n="508" f="v">
      <t c="3" si="4">
        <n x="509"/>
        <n x="344"/>
        <n x="505"/>
      </t>
    </mdx>
    <mdx n="508" f="v">
      <t c="3" si="4">
        <n x="509"/>
        <n x="292"/>
        <n x="500"/>
      </t>
    </mdx>
    <mdx n="508" f="v">
      <t c="3" si="4">
        <n x="509"/>
        <n x="28"/>
        <n x="500"/>
      </t>
    </mdx>
    <mdx n="508" f="v">
      <t c="3" si="4">
        <n x="509"/>
        <n x="288"/>
        <n x="500"/>
      </t>
    </mdx>
    <mdx n="508" f="v">
      <t c="3" si="4">
        <n x="509"/>
        <n x="460"/>
        <n x="501"/>
      </t>
    </mdx>
    <mdx n="508" f="v">
      <t c="3" si="4">
        <n x="509"/>
        <n x="258"/>
        <n x="501"/>
      </t>
    </mdx>
    <mdx n="508" f="v">
      <t c="3" si="4">
        <n x="509"/>
        <n x="304"/>
        <n x="501"/>
      </t>
    </mdx>
    <mdx n="508" f="v">
      <t c="3" si="4">
        <n x="509"/>
        <n x="360"/>
        <n x="501"/>
      </t>
    </mdx>
    <mdx n="508" f="v">
      <t c="3" si="4">
        <n x="509"/>
        <n x="462"/>
        <n x="501"/>
      </t>
    </mdx>
    <mdx n="508" f="v">
      <t c="3" si="4">
        <n x="509"/>
        <n x="53"/>
        <n x="501"/>
      </t>
    </mdx>
    <mdx n="508" f="v">
      <t c="3" si="4">
        <n x="509"/>
        <n x="457"/>
        <n x="502"/>
      </t>
    </mdx>
    <mdx n="508" f="v">
      <t c="3" si="4">
        <n x="509"/>
        <n x="40"/>
        <n x="502"/>
      </t>
    </mdx>
    <mdx n="508" f="v">
      <t c="3" si="4">
        <n x="509"/>
        <n x="75"/>
        <n x="504"/>
      </t>
    </mdx>
    <mdx n="508" f="v">
      <t c="3" si="4">
        <n x="509"/>
        <n x="451"/>
        <n x="500"/>
      </t>
    </mdx>
    <mdx n="508" f="v">
      <t c="3" si="4">
        <n x="509"/>
        <n x="377"/>
        <n x="500"/>
      </t>
    </mdx>
    <mdx n="508" f="v">
      <t c="3" si="4">
        <n x="509"/>
        <n x="125"/>
        <n x="500"/>
      </t>
    </mdx>
    <mdx n="508" f="v">
      <t c="3" si="4">
        <n x="509"/>
        <n x="384"/>
        <n x="500"/>
      </t>
    </mdx>
    <mdx n="508" f="v">
      <t c="3" si="4">
        <n x="509"/>
        <n x="275"/>
        <n x="500"/>
      </t>
    </mdx>
    <mdx n="508" f="v">
      <t c="3" si="4">
        <n x="509"/>
        <n x="325"/>
        <n x="500"/>
      </t>
    </mdx>
    <mdx n="508" f="v">
      <t c="3" si="4">
        <n x="509"/>
        <n x="328"/>
        <n x="500"/>
      </t>
    </mdx>
    <mdx n="508" f="v">
      <t c="3" si="4">
        <n x="509"/>
        <n x="414"/>
        <n x="501"/>
      </t>
    </mdx>
    <mdx n="508" f="v">
      <t c="3" si="4">
        <n x="509"/>
        <n x="327"/>
        <n x="501"/>
      </t>
    </mdx>
    <mdx n="508" f="v">
      <t c="3" si="4">
        <n x="509"/>
        <n x="206"/>
        <n x="501"/>
      </t>
    </mdx>
    <mdx n="508" f="v">
      <t c="3" si="4">
        <n x="509"/>
        <n x="412"/>
        <n x="501"/>
      </t>
    </mdx>
    <mdx n="508" f="v">
      <t c="3" si="4">
        <n x="509"/>
        <n x="180"/>
        <n x="501"/>
      </t>
    </mdx>
    <mdx n="508" f="v">
      <t c="3" si="4">
        <n x="509"/>
        <n x="196"/>
        <n x="501"/>
      </t>
    </mdx>
    <mdx n="508" f="v">
      <t c="3" si="4">
        <n x="509"/>
        <n x="33"/>
        <n x="502"/>
      </t>
    </mdx>
    <mdx n="508" f="v">
      <t c="3" si="4">
        <n x="509"/>
        <n x="173"/>
        <n x="502"/>
      </t>
    </mdx>
    <mdx n="508" f="v">
      <t c="3" si="4">
        <n x="509"/>
        <n x="51"/>
        <n x="504"/>
      </t>
    </mdx>
    <mdx n="508" f="v">
      <t c="3" si="4">
        <n x="509"/>
        <n x="91"/>
        <n x="499"/>
      </t>
    </mdx>
    <mdx n="508" f="v">
      <t c="3" si="4">
        <n x="509"/>
        <n x="319"/>
        <n x="499"/>
      </t>
    </mdx>
    <mdx n="508" f="v">
      <t c="3" si="4">
        <n x="509"/>
        <n x="131"/>
        <n x="499"/>
      </t>
    </mdx>
    <mdx n="508" f="v">
      <t c="3" si="4">
        <n x="509"/>
        <n x="152"/>
        <n x="500"/>
      </t>
    </mdx>
    <mdx n="508" f="v">
      <t c="3" si="4">
        <n x="509"/>
        <n x="449"/>
        <n x="500"/>
      </t>
    </mdx>
    <mdx n="508" f="v">
      <t c="3" si="4">
        <n x="509"/>
        <n x="306"/>
        <n x="500"/>
      </t>
    </mdx>
    <mdx n="508" f="v">
      <t c="3" si="4">
        <n x="509"/>
        <n x="86"/>
        <n x="500"/>
      </t>
    </mdx>
    <mdx n="508" f="v">
      <t c="3" si="4">
        <n x="509"/>
        <n x="43"/>
        <n x="500"/>
      </t>
    </mdx>
    <mdx n="508" f="v">
      <t c="3" si="4">
        <n x="509"/>
        <n x="10"/>
        <n x="500"/>
      </t>
    </mdx>
    <mdx n="508" f="v">
      <t c="3" si="4">
        <n x="509"/>
        <n x="191"/>
        <n x="500"/>
      </t>
    </mdx>
    <mdx n="508" f="v">
      <t c="3" si="4">
        <n x="509"/>
        <n x="204"/>
        <n x="501"/>
      </t>
    </mdx>
    <mdx n="508" f="v">
      <t c="3" si="4">
        <n x="509"/>
        <n x="219"/>
        <n x="501"/>
      </t>
    </mdx>
    <mdx n="508" f="v">
      <t c="3" si="4">
        <n x="509"/>
        <n x="410"/>
        <n x="501"/>
      </t>
    </mdx>
    <mdx n="508" f="v">
      <t c="3" si="4">
        <n x="509"/>
        <n x="396"/>
        <n x="501"/>
      </t>
    </mdx>
    <mdx n="508" f="v">
      <t c="3" si="4">
        <n x="509"/>
        <n x="149"/>
        <n x="501"/>
      </t>
    </mdx>
    <mdx n="508" f="v">
      <t c="3" si="4">
        <n x="509"/>
        <n x="124"/>
        <n x="501"/>
      </t>
    </mdx>
    <mdx n="508" f="v">
      <t c="3" si="4">
        <n x="509"/>
        <n x="234"/>
        <n x="502"/>
      </t>
    </mdx>
    <mdx n="508" f="v">
      <t c="3" si="4">
        <n x="509"/>
        <n x="445"/>
        <n x="502"/>
      </t>
    </mdx>
    <mdx n="508" f="v">
      <t c="3" si="4">
        <n x="509"/>
        <n x="208"/>
        <n x="507"/>
      </t>
    </mdx>
    <mdx n="508" f="v">
      <t c="3" si="4">
        <n x="509"/>
        <n x="52"/>
        <n x="501"/>
      </t>
    </mdx>
    <mdx n="508" f="v">
      <t c="3" si="4">
        <n x="509"/>
        <n x="108"/>
        <n x="501"/>
      </t>
    </mdx>
    <mdx n="508" f="v">
      <t c="3" si="4">
        <n x="509"/>
        <n x="379"/>
        <n x="501"/>
      </t>
    </mdx>
    <mdx n="508" f="v">
      <t c="3" si="4">
        <n x="509"/>
        <n x="404"/>
        <n x="502"/>
      </t>
    </mdx>
    <mdx n="508" f="v">
      <t c="3" si="4">
        <n x="509"/>
        <n x="30"/>
        <n x="502"/>
      </t>
    </mdx>
    <mdx n="508" f="v">
      <t c="3" si="4">
        <n x="509"/>
        <n x="407"/>
        <n x="502"/>
      </t>
    </mdx>
    <mdx n="508" f="v">
      <t c="3" si="4">
        <n x="509"/>
        <n x="238"/>
        <n x="502"/>
      </t>
    </mdx>
    <mdx n="508" f="v">
      <t c="3" si="4">
        <n x="509"/>
        <n x="29"/>
        <n x="502"/>
      </t>
    </mdx>
    <mdx n="508" f="v">
      <t c="3" si="4">
        <n x="509"/>
        <n x="426"/>
        <n x="502"/>
      </t>
    </mdx>
    <mdx n="508" f="v">
      <t c="3" si="4">
        <n x="509"/>
        <n x="169"/>
        <n x="502"/>
      </t>
    </mdx>
    <mdx n="508" f="v">
      <t c="3" si="4">
        <n x="509"/>
        <n x="323"/>
        <n x="503"/>
      </t>
    </mdx>
    <mdx n="508" f="v">
      <t c="3" si="4">
        <n x="509"/>
        <n x="376"/>
        <n x="503"/>
      </t>
    </mdx>
    <mdx n="508" f="v">
      <t c="3" si="4">
        <n x="509"/>
        <n x="61"/>
        <n x="503"/>
      </t>
    </mdx>
    <mdx n="508" f="v">
      <t c="3" si="4">
        <n x="509"/>
        <n x="177"/>
        <n x="503"/>
      </t>
    </mdx>
    <mdx n="508" f="v">
      <t c="3" si="4">
        <n x="509"/>
        <n x="25"/>
        <n x="504"/>
      </t>
    </mdx>
    <mdx n="508" f="v">
      <t c="3" si="4">
        <n x="509"/>
        <n x="77"/>
        <n x="504"/>
      </t>
    </mdx>
    <mdx n="508" f="v">
      <t c="3" si="4">
        <n x="509"/>
        <n x="253"/>
        <n x="505"/>
      </t>
    </mdx>
    <mdx n="508" f="v">
      <t c="3" si="4">
        <n x="509"/>
        <n x="82"/>
        <n x="501"/>
      </t>
    </mdx>
    <mdx n="508" f="v">
      <t c="3" si="4">
        <n x="509"/>
        <n x="435"/>
        <n x="501"/>
      </t>
    </mdx>
    <mdx n="508" f="v">
      <t c="3" si="4">
        <n x="509"/>
        <n x="81"/>
        <n x="502"/>
      </t>
    </mdx>
    <mdx n="508" f="v">
      <t c="3" si="4">
        <n x="509"/>
        <n x="232"/>
        <n x="502"/>
      </t>
    </mdx>
    <mdx n="508" f="v">
      <t c="3" si="4">
        <n x="509"/>
        <n x="155"/>
        <n x="502"/>
      </t>
    </mdx>
    <mdx n="508" f="v">
      <t c="3" si="4">
        <n x="509"/>
        <n x="14"/>
        <n x="502"/>
      </t>
    </mdx>
    <mdx n="508" f="v">
      <t c="3" si="4">
        <n x="509"/>
        <n x="292"/>
        <n x="502"/>
      </t>
    </mdx>
    <mdx n="508" f="v">
      <t c="3" si="4">
        <n x="509"/>
        <n x="108"/>
        <n x="502"/>
      </t>
    </mdx>
    <mdx n="508" f="v">
      <t c="3" si="4">
        <n x="509"/>
        <n x="227"/>
        <n x="502"/>
      </t>
    </mdx>
    <mdx n="508" f="v">
      <t c="3" si="4">
        <n x="509"/>
        <n x="423"/>
        <n x="503"/>
      </t>
    </mdx>
    <mdx n="508" f="v">
      <t c="3" si="4">
        <n x="509"/>
        <n x="219"/>
        <n x="503"/>
      </t>
    </mdx>
    <mdx n="508" f="v">
      <t c="3" si="4">
        <n x="509"/>
        <n x="34"/>
        <n x="503"/>
      </t>
    </mdx>
    <mdx n="508" f="v">
      <t c="3" si="4">
        <n x="509"/>
        <n x="229"/>
        <n x="503"/>
      </t>
    </mdx>
    <mdx n="508" f="v">
      <t c="3" si="4">
        <n x="509"/>
        <n x="167"/>
        <n x="504"/>
      </t>
    </mdx>
    <mdx n="508" f="v">
      <t c="3" si="4">
        <n x="509"/>
        <n x="379"/>
        <n x="504"/>
      </t>
    </mdx>
    <mdx n="508" f="v">
      <t c="3" si="4">
        <n x="509"/>
        <n x="394"/>
        <n x="506"/>
      </t>
    </mdx>
    <mdx n="508" f="v">
      <t c="3" si="4">
        <n x="509"/>
        <n x="34"/>
        <n x="501"/>
      </t>
    </mdx>
    <mdx n="508" f="v">
      <t c="3" si="4">
        <n x="509"/>
        <n x="331"/>
        <n x="501"/>
      </t>
    </mdx>
    <mdx n="508" f="v">
      <t c="3" si="4">
        <n x="509"/>
        <n x="357"/>
        <n x="502"/>
      </t>
    </mdx>
    <mdx n="508" f="v">
      <t c="3" si="4">
        <n x="509"/>
        <n x="315"/>
        <n x="502"/>
      </t>
    </mdx>
    <mdx n="508" f="v">
      <t c="3" si="4">
        <n x="509"/>
        <n x="284"/>
        <n x="502"/>
      </t>
    </mdx>
    <mdx n="508" f="v">
      <t c="3" si="4">
        <n x="509"/>
        <n x="203"/>
        <n x="502"/>
      </t>
    </mdx>
    <mdx n="508" f="v">
      <t c="3" si="4">
        <n x="509"/>
        <n x="275"/>
        <n x="502"/>
      </t>
    </mdx>
    <mdx n="508" f="v">
      <t c="3" si="4">
        <n x="509"/>
        <n x="461"/>
        <n x="502"/>
      </t>
    </mdx>
    <mdx n="508" f="v">
      <t c="3" si="4">
        <n x="509"/>
        <n x="80"/>
        <n x="502"/>
      </t>
    </mdx>
    <mdx n="508" f="v">
      <t c="3" si="4">
        <n x="509"/>
        <n x="294"/>
        <n x="503"/>
      </t>
    </mdx>
    <mdx n="508" f="v">
      <t c="3" si="4">
        <n x="509"/>
        <n x="71"/>
        <n x="503"/>
      </t>
    </mdx>
    <mdx n="508" f="v">
      <t c="3" si="4">
        <n x="509"/>
        <n x="320"/>
        <n x="503"/>
      </t>
    </mdx>
    <mdx n="508" f="v">
      <t c="3" si="4">
        <n x="509"/>
        <n x="346"/>
        <n x="504"/>
      </t>
    </mdx>
    <mdx n="508" f="v">
      <t c="3" si="4">
        <n x="509"/>
        <n x="70"/>
        <n x="504"/>
      </t>
    </mdx>
    <mdx n="508" f="v">
      <t c="3" si="4">
        <n x="509"/>
        <n x="131"/>
        <n x="504"/>
      </t>
    </mdx>
    <mdx n="508" f="v">
      <t c="3" si="4">
        <n x="509"/>
        <n x="105"/>
        <n x="506"/>
      </t>
    </mdx>
    <mdx n="508" f="v">
      <t c="3" si="4">
        <n x="509"/>
        <n x="62"/>
        <n x="501"/>
      </t>
    </mdx>
    <mdx n="508" f="v">
      <t c="3" si="4">
        <n x="509"/>
        <n x="325"/>
        <n x="501"/>
      </t>
    </mdx>
    <mdx n="508" f="v">
      <t c="3" si="4">
        <n x="509"/>
        <n x="135"/>
        <n x="501"/>
      </t>
    </mdx>
    <mdx n="508" f="v">
      <t c="3" si="4">
        <n x="509"/>
        <n x="425"/>
        <n x="502"/>
      </t>
    </mdx>
    <mdx n="508" f="v">
      <t c="3" si="4">
        <n x="509"/>
        <n x="263"/>
        <n x="502"/>
      </t>
    </mdx>
    <mdx n="508" f="v">
      <t c="3" si="4">
        <n x="509"/>
        <n x="359"/>
        <n x="502"/>
      </t>
    </mdx>
    <mdx n="508" f="v">
      <t c="3" si="4">
        <n x="509"/>
        <n x="412"/>
        <n x="502"/>
      </t>
    </mdx>
    <mdx n="508" f="v">
      <t c="3" si="4">
        <n x="509"/>
        <n x="162"/>
        <n x="502"/>
      </t>
    </mdx>
    <mdx n="508" f="v">
      <t c="3" si="4">
        <n x="509"/>
        <n x="78"/>
        <n x="502"/>
      </t>
    </mdx>
    <mdx n="508" f="v">
      <t c="3" si="4">
        <n x="509"/>
        <n x="67"/>
        <n x="502"/>
      </t>
    </mdx>
    <mdx n="508" f="v">
      <t c="3" si="4">
        <n x="509"/>
        <n x="157"/>
        <n x="503"/>
      </t>
    </mdx>
    <mdx n="508" f="v">
      <t c="3" si="4">
        <n x="509"/>
        <n x="17"/>
        <n x="503"/>
      </t>
    </mdx>
    <mdx n="508" f="v">
      <t c="3" si="4">
        <n x="509"/>
        <n x="461"/>
        <n x="503"/>
      </t>
    </mdx>
    <mdx n="508" f="v">
      <t c="3" si="4">
        <n x="509"/>
        <n x="287"/>
        <n x="503"/>
      </t>
    </mdx>
    <mdx n="508" f="v">
      <t c="3" si="4">
        <n x="509"/>
        <n x="257"/>
        <n x="504"/>
      </t>
    </mdx>
    <mdx n="508" f="v">
      <t c="3" si="4">
        <n x="509"/>
        <n x="183"/>
        <n x="504"/>
      </t>
    </mdx>
    <mdx n="508" f="v">
      <t c="3" si="4">
        <n x="509"/>
        <n x="421"/>
        <n x="505"/>
      </t>
    </mdx>
    <mdx n="508" f="v">
      <t c="3" si="4">
        <n x="509"/>
        <n x="143"/>
        <n x="495"/>
      </t>
    </mdx>
    <mdx n="508" f="v">
      <t c="3" si="4">
        <n x="509"/>
        <n x="106"/>
        <n x="491"/>
      </t>
    </mdx>
    <mdx n="508" f="v">
      <t c="3" si="4">
        <n x="509"/>
        <n x="79"/>
        <n x="493"/>
      </t>
    </mdx>
    <mdx n="508" f="v">
      <t c="3" si="4">
        <n x="509"/>
        <n x="461"/>
        <n x="494"/>
      </t>
    </mdx>
    <mdx n="508" f="v">
      <t c="3" si="4">
        <n x="509"/>
        <n x="444"/>
        <n x="495"/>
      </t>
    </mdx>
    <mdx n="508" f="v">
      <t c="3" si="4">
        <n x="509"/>
        <n x="241"/>
        <n x="495"/>
      </t>
    </mdx>
    <mdx n="508" f="v">
      <t c="3" si="4">
        <n x="509"/>
        <n x="262"/>
        <n x="495"/>
      </t>
    </mdx>
    <mdx n="508" f="v">
      <t c="3" si="4">
        <n x="509"/>
        <n x="53"/>
        <n x="495"/>
      </t>
    </mdx>
    <mdx n="508" f="v">
      <t c="3" si="4">
        <n x="509"/>
        <n x="113"/>
        <n x="488"/>
      </t>
    </mdx>
    <mdx n="508" f="v">
      <t c="3" si="4">
        <n x="509"/>
        <n x="175"/>
        <n x="491"/>
      </t>
    </mdx>
    <mdx n="508" f="v">
      <t c="3" si="4">
        <n x="509"/>
        <n x="306"/>
        <n x="492"/>
      </t>
    </mdx>
    <mdx n="508" f="v">
      <t c="3" si="4">
        <n x="509"/>
        <n x="193"/>
        <n x="493"/>
      </t>
    </mdx>
    <mdx n="508" f="v">
      <t c="3" si="4">
        <n x="509"/>
        <n x="16"/>
        <n x="493"/>
      </t>
    </mdx>
    <mdx n="508" f="v">
      <t c="3" si="4">
        <n x="509"/>
        <n x="323"/>
        <n x="494"/>
      </t>
    </mdx>
    <mdx n="508" f="v">
      <t c="3" si="4">
        <n x="509"/>
        <n x="40"/>
        <n x="494"/>
      </t>
    </mdx>
    <mdx n="508" f="v">
      <t c="3" si="4">
        <n x="509"/>
        <n x="118"/>
        <n x="494"/>
      </t>
    </mdx>
    <mdx n="508" f="v">
      <t c="3" si="4">
        <n x="509"/>
        <n x="239"/>
        <n x="495"/>
      </t>
    </mdx>
    <mdx n="508" f="v">
      <t c="3" si="4">
        <n x="509"/>
        <n x="312"/>
        <n x="495"/>
      </t>
    </mdx>
    <mdx n="508" f="v">
      <t c="3" si="4">
        <n x="509"/>
        <n x="238"/>
        <n x="495"/>
      </t>
    </mdx>
    <mdx n="508" f="v">
      <t c="3" si="4">
        <n x="509"/>
        <n x="130"/>
        <n x="495"/>
      </t>
    </mdx>
    <mdx n="508" f="v">
      <t c="3" si="4">
        <n x="509"/>
        <n x="404"/>
        <n x="495"/>
      </t>
    </mdx>
    <mdx n="508" f="v">
      <t c="3" si="4">
        <n x="509"/>
        <n x="398"/>
        <n x="491"/>
      </t>
    </mdx>
    <mdx n="508" f="v">
      <t c="3" si="4">
        <n x="509"/>
        <n x="151"/>
        <n x="493"/>
      </t>
    </mdx>
    <mdx n="508" f="v">
      <t c="3" si="4">
        <n x="509"/>
        <n x="240"/>
        <n x="494"/>
      </t>
    </mdx>
    <mdx n="508" f="v">
      <t c="3" si="4">
        <n x="509"/>
        <n x="389"/>
        <n x="495"/>
      </t>
    </mdx>
    <mdx n="508" f="v">
      <t c="3" si="4">
        <n x="509"/>
        <n x="246"/>
        <n x="486"/>
      </t>
    </mdx>
    <mdx n="508" f="v">
      <t c="3" si="4">
        <n x="509"/>
        <n x="443"/>
        <n x="490"/>
      </t>
    </mdx>
    <mdx n="508" f="v">
      <t c="3" si="4">
        <n x="509"/>
        <n x="232"/>
        <n x="489"/>
      </t>
    </mdx>
    <mdx n="508" f="v">
      <t c="3" si="4">
        <n x="509"/>
        <n x="288"/>
        <n x="492"/>
      </t>
    </mdx>
    <mdx n="508" f="v">
      <t c="3" si="4">
        <n x="509"/>
        <n x="115"/>
        <n x="493"/>
      </t>
    </mdx>
    <mdx n="508" f="v">
      <t c="3" si="4">
        <n x="509"/>
        <n x="207"/>
        <n x="494"/>
      </t>
    </mdx>
    <mdx n="508" f="v">
      <t c="3" si="4">
        <n x="509"/>
        <n x="335"/>
        <n x="494"/>
      </t>
    </mdx>
    <mdx n="508" f="v">
      <t c="3" si="4">
        <n x="509"/>
        <n x="346"/>
        <n x="494"/>
      </t>
    </mdx>
    <mdx n="508" f="v">
      <t c="3" si="4">
        <n x="509"/>
        <n x="397"/>
        <n x="494"/>
      </t>
    </mdx>
    <mdx n="508" f="v">
      <t c="3" si="4">
        <n x="509"/>
        <n x="203"/>
        <n x="495"/>
      </t>
    </mdx>
    <mdx n="508" f="v">
      <t c="3" si="4">
        <n x="509"/>
        <n x="303"/>
        <n x="495"/>
      </t>
    </mdx>
    <mdx n="508" f="v">
      <t c="3" si="4">
        <n x="509"/>
        <n x="413"/>
        <n x="495"/>
      </t>
    </mdx>
    <mdx n="508" f="v">
      <t c="3" si="4">
        <n x="509"/>
        <n x="325"/>
        <n x="495"/>
      </t>
    </mdx>
    <mdx n="508" f="v">
      <t c="3" si="4">
        <n x="509"/>
        <n x="253"/>
        <n x="495"/>
      </t>
    </mdx>
    <mdx n="508" f="v">
      <t c="3" si="4">
        <n x="509"/>
        <n x="98"/>
        <n x="486"/>
      </t>
    </mdx>
    <mdx n="508" f="v">
      <t c="3" si="4">
        <n x="509"/>
        <n x="158"/>
        <n x="492"/>
      </t>
    </mdx>
    <mdx n="508" f="v">
      <t c="3" si="4">
        <n x="509"/>
        <n x="433"/>
        <n x="494"/>
      </t>
    </mdx>
    <mdx n="508" f="v">
      <t c="3" si="4">
        <n x="509"/>
        <n x="244"/>
        <n x="495"/>
      </t>
    </mdx>
    <mdx n="508" f="v">
      <t c="3" si="4">
        <n x="509"/>
        <n x="383"/>
        <n x="484"/>
      </t>
    </mdx>
    <mdx n="508" f="v">
      <t c="3" si="4">
        <n x="509"/>
        <n x="171"/>
        <n x="486"/>
      </t>
    </mdx>
    <mdx n="508" f="v">
      <t c="3" si="4">
        <n x="509"/>
        <n x="275"/>
        <n x="490"/>
      </t>
    </mdx>
    <mdx n="508" f="v">
      <t c="3" si="4">
        <n x="509"/>
        <n x="366"/>
        <n x="492"/>
      </t>
    </mdx>
    <mdx n="508" f="v">
      <t c="3" si="4">
        <n x="509"/>
        <n x="200"/>
        <n x="493"/>
      </t>
    </mdx>
    <mdx n="508" f="v">
      <t c="3" si="4">
        <n x="509"/>
        <n x="327"/>
        <n x="494"/>
      </t>
    </mdx>
    <mdx n="508" f="v">
      <t c="3" si="4">
        <n x="509"/>
        <n x="441"/>
        <n x="494"/>
      </t>
    </mdx>
    <mdx n="508" f="v">
      <t c="3" si="4">
        <n x="509"/>
        <n x="274"/>
        <n x="494"/>
      </t>
    </mdx>
    <mdx n="508" f="v">
      <t c="3" si="4">
        <n x="509"/>
        <n x="169"/>
        <n x="494"/>
      </t>
    </mdx>
    <mdx n="508" f="v">
      <t c="3" si="4">
        <n x="509"/>
        <n x="226"/>
        <n x="495"/>
      </t>
    </mdx>
    <mdx n="508" f="v">
      <t c="3" si="4">
        <n x="509"/>
        <n x="336"/>
        <n x="495"/>
      </t>
    </mdx>
    <mdx n="508" f="v">
      <t c="3" si="4">
        <n x="509"/>
        <n x="354"/>
        <n x="495"/>
      </t>
    </mdx>
    <mdx n="508" f="v">
      <t c="3" si="4">
        <n x="509"/>
        <n x="346"/>
        <n x="495"/>
      </t>
    </mdx>
    <mdx n="508" f="v">
      <t c="3" si="4">
        <n x="509"/>
        <n x="173"/>
        <n x="495"/>
      </t>
    </mdx>
    <mdx n="508" f="v">
      <t c="3" si="4">
        <n x="509"/>
        <n x="199"/>
        <n x="468"/>
      </t>
    </mdx>
    <mdx n="508" f="v">
      <t c="3" si="4">
        <n x="509"/>
        <n x="145"/>
        <n x="492"/>
      </t>
    </mdx>
    <mdx n="508" f="v">
      <t c="3" si="4">
        <n x="509"/>
        <n x="14"/>
        <n x="494"/>
      </t>
    </mdx>
    <mdx n="508" f="v">
      <t c="3" si="4">
        <n x="509"/>
        <n x="162"/>
        <n x="495"/>
      </t>
    </mdx>
    <mdx n="508" f="v">
      <t c="3" si="4">
        <n x="509"/>
        <n x="172"/>
        <n x="485"/>
      </t>
    </mdx>
    <mdx n="508" f="v">
      <t c="3" si="4">
        <n x="509"/>
        <n x="270"/>
        <n x="491"/>
      </t>
    </mdx>
    <mdx n="508" f="v">
      <t c="3" si="4">
        <n x="509"/>
        <n x="129"/>
        <n x="490"/>
      </t>
    </mdx>
    <mdx n="508" f="v">
      <t c="3" si="4">
        <n x="509"/>
        <n x="428"/>
        <n x="492"/>
      </t>
    </mdx>
    <mdx n="508" f="v">
      <t c="3" si="4">
        <n x="509"/>
        <n x="256"/>
        <n x="493"/>
      </t>
    </mdx>
    <mdx n="508" f="v">
      <t c="3" si="4">
        <n x="509"/>
        <n x="344"/>
        <n x="493"/>
      </t>
    </mdx>
    <mdx n="508" f="v">
      <t c="3" si="4">
        <n x="509"/>
        <n x="24"/>
        <n x="494"/>
      </t>
    </mdx>
    <mdx n="508" f="v">
      <t c="3" si="4">
        <n x="509"/>
        <n x="264"/>
        <n x="494"/>
      </t>
    </mdx>
    <mdx n="508" f="v">
      <t c="3" si="4">
        <n x="509"/>
        <n x="380"/>
        <n x="494"/>
      </t>
    </mdx>
    <mdx n="508" f="v">
      <t c="3" si="4">
        <n x="509"/>
        <n x="404"/>
        <n x="494"/>
      </t>
    </mdx>
    <mdx n="508" f="v">
      <t c="3" si="4">
        <n x="509"/>
        <n x="293"/>
        <n x="495"/>
      </t>
    </mdx>
    <mdx n="508" f="v">
      <t c="3" si="4">
        <n x="509"/>
        <n x="309"/>
        <n x="495"/>
      </t>
    </mdx>
    <mdx n="508" f="v">
      <t c="3" si="4">
        <n x="509"/>
        <n x="155"/>
        <n x="495"/>
      </t>
    </mdx>
    <mdx n="508" f="v">
      <t c="3" si="4">
        <n x="509"/>
        <n x="250"/>
        <n x="495"/>
      </t>
    </mdx>
    <mdx n="508" f="v">
      <t c="3" si="4">
        <n x="509"/>
        <n x="356"/>
        <n x="495"/>
      </t>
    </mdx>
    <mdx n="508" f="v">
      <t c="3" si="4">
        <n x="509"/>
        <n x="9"/>
        <n x="495"/>
      </t>
    </mdx>
    <mdx n="508" f="v">
      <t c="3" si="4">
        <n x="509"/>
        <n x="401"/>
        <n x="491"/>
      </t>
    </mdx>
    <mdx n="508" f="v">
      <t c="3" si="4">
        <n x="509"/>
        <n x="183"/>
        <n x="492"/>
      </t>
    </mdx>
    <mdx n="508" f="v">
      <t c="3" si="4">
        <n x="509"/>
        <n x="178"/>
        <n x="494"/>
      </t>
    </mdx>
    <mdx n="508" f="v">
      <t c="3" si="4">
        <n x="509"/>
        <n x="387"/>
        <n x="495"/>
      </t>
    </mdx>
    <mdx n="508" f="v">
      <t c="3" si="4">
        <n x="509"/>
        <n x="204"/>
        <n x="495"/>
      </t>
    </mdx>
    <mdx n="508" f="v">
      <t c="3" si="4">
        <n x="509"/>
        <n x="370"/>
        <n x="496"/>
      </t>
    </mdx>
    <mdx n="508" f="v">
      <t c="3" si="4">
        <n x="509"/>
        <n x="221"/>
        <n x="496"/>
      </t>
    </mdx>
    <mdx n="508" f="v">
      <t c="3" si="4">
        <n x="509"/>
        <n x="238"/>
        <n x="496"/>
      </t>
    </mdx>
    <mdx n="508" f="v">
      <t c="3" si="4">
        <n x="509"/>
        <n x="373"/>
        <n x="496"/>
      </t>
    </mdx>
    <mdx n="508" f="v">
      <t c="3" si="4">
        <n x="509"/>
        <n x="56"/>
        <n x="496"/>
      </t>
    </mdx>
    <mdx n="508" f="v">
      <t c="3" si="4">
        <n x="509"/>
        <n x="137"/>
        <n x="497"/>
      </t>
    </mdx>
    <mdx n="508" f="v">
      <t c="3" si="4">
        <n x="509"/>
        <n x="28"/>
        <n x="497"/>
      </t>
    </mdx>
    <mdx n="508" f="v">
      <t c="3" si="4">
        <n x="509"/>
        <n x="364"/>
        <n x="499"/>
      </t>
    </mdx>
    <mdx n="508" f="v">
      <t c="3" si="4">
        <n x="509"/>
        <n x="293"/>
        <n x="496"/>
      </t>
    </mdx>
    <mdx n="508" f="v">
      <t c="3" si="4">
        <n x="509"/>
        <n x="386"/>
        <n x="496"/>
      </t>
    </mdx>
    <mdx n="508" f="v">
      <t c="3" si="4">
        <n x="509"/>
        <n x="441"/>
        <n x="496"/>
      </t>
    </mdx>
    <mdx n="508" f="v">
      <t c="3" si="4">
        <n x="509"/>
        <n x="140"/>
        <n x="496"/>
      </t>
    </mdx>
    <mdx n="508" f="v">
      <t c="3" si="4">
        <n x="509"/>
        <n x="425"/>
        <n x="496"/>
      </t>
    </mdx>
    <mdx n="508" f="v">
      <t c="3" si="4">
        <n x="509"/>
        <n x="402"/>
        <n x="497"/>
      </t>
    </mdx>
    <mdx n="508" f="v">
      <t c="3" si="4">
        <n x="509"/>
        <n x="400"/>
        <n x="497"/>
      </t>
    </mdx>
    <mdx n="508" f="v">
      <t c="3" si="4">
        <n x="509"/>
        <n x="408"/>
        <n x="498"/>
      </t>
    </mdx>
    <mdx n="508" f="v">
      <t c="3" si="4">
        <n x="509"/>
        <n x="296"/>
        <n x="496"/>
      </t>
    </mdx>
    <mdx n="508" f="v">
      <t c="3" si="4">
        <n x="509"/>
        <n x="139"/>
        <n x="496"/>
      </t>
    </mdx>
    <mdx n="508" f="v">
      <t c="3" si="4">
        <n x="509"/>
        <n x="54"/>
        <n x="496"/>
      </t>
    </mdx>
    <mdx n="508" f="v">
      <t c="3" si="4">
        <n x="509"/>
        <n x="376"/>
        <n x="496"/>
      </t>
    </mdx>
    <mdx n="508" f="v">
      <t c="3" si="4">
        <n x="509"/>
        <n x="411"/>
        <n x="496"/>
      </t>
    </mdx>
    <mdx n="508" f="v">
      <t c="3" si="4">
        <n x="509"/>
        <n x="274"/>
        <n x="496"/>
      </t>
    </mdx>
    <mdx n="508" f="v">
      <t c="3" si="4">
        <n x="509"/>
        <n x="271"/>
        <n x="496"/>
      </t>
    </mdx>
    <mdx n="508" f="v">
      <t c="3" si="4">
        <n x="509"/>
        <n x="159"/>
        <n x="497"/>
      </t>
    </mdx>
    <mdx n="508" f="v">
      <t c="3" si="4">
        <n x="509"/>
        <n x="298"/>
        <n x="497"/>
      </t>
    </mdx>
    <mdx n="508" f="v">
      <t c="3" si="4">
        <n x="509"/>
        <n x="38"/>
        <n x="497"/>
      </t>
    </mdx>
    <mdx n="508" f="v">
      <t c="3" si="4">
        <n x="509"/>
        <n x="453"/>
        <n x="497"/>
      </t>
    </mdx>
    <mdx n="508" f="v">
      <t c="3" si="4">
        <n x="509"/>
        <n x="427"/>
        <n x="497"/>
      </t>
    </mdx>
    <mdx n="508" f="v">
      <t c="3" si="4">
        <n x="509"/>
        <n x="325"/>
        <n x="497"/>
      </t>
    </mdx>
    <mdx n="508" f="v">
      <t c="3" si="4">
        <n x="509"/>
        <n x="464"/>
        <n x="497"/>
      </t>
    </mdx>
    <mdx n="508" f="v">
      <t c="3" si="4">
        <n x="509"/>
        <n x="460"/>
        <n x="498"/>
      </t>
    </mdx>
    <mdx n="508" f="v">
      <t c="3" si="4">
        <n x="509"/>
        <n x="33"/>
        <n x="498"/>
      </t>
    </mdx>
    <mdx n="508" f="v">
      <t c="3" si="4">
        <n x="509"/>
        <n x="304"/>
        <n x="498"/>
      </t>
    </mdx>
    <mdx n="508" f="v">
      <t c="3" si="4">
        <n x="509"/>
        <n x="19"/>
        <n x="498"/>
      </t>
    </mdx>
    <mdx n="508" f="v">
      <t c="3" si="4">
        <n x="509"/>
        <n x="130"/>
        <n x="498"/>
      </t>
    </mdx>
    <mdx n="508" f="v">
      <t c="3" si="4">
        <n x="509"/>
        <n x="268"/>
        <n x="498"/>
      </t>
    </mdx>
    <mdx n="508" f="v">
      <t c="3" si="4">
        <n x="509"/>
        <n x="423"/>
        <n x="499"/>
      </t>
    </mdx>
    <mdx n="508" f="v">
      <t c="3" si="4">
        <n x="509"/>
        <n x="186"/>
        <n x="499"/>
      </t>
    </mdx>
    <mdx n="508" f="v">
      <t c="3" si="4">
        <n x="509"/>
        <n x="389"/>
        <n x="501"/>
      </t>
    </mdx>
    <mdx n="508" f="v">
      <t c="3" si="4">
        <n x="509"/>
        <n x="359"/>
        <n x="496"/>
      </t>
    </mdx>
    <mdx n="508" f="v">
      <t c="3" si="4">
        <n x="509"/>
        <n x="127"/>
        <n x="496"/>
      </t>
    </mdx>
    <mdx n="508" f="v">
      <t c="3" si="4">
        <n x="509"/>
        <n x="240"/>
        <n x="496"/>
      </t>
    </mdx>
    <mdx n="508" f="v">
      <t c="3" si="4">
        <n x="509"/>
        <n x="420"/>
        <n x="496"/>
      </t>
    </mdx>
    <mdx n="508" f="v">
      <t c="3" si="4">
        <n x="509"/>
        <n x="286"/>
        <n x="497"/>
      </t>
    </mdx>
    <mdx n="508" f="v">
      <t c="3" si="4">
        <n x="509"/>
        <n x="151"/>
        <n x="497"/>
      </t>
    </mdx>
    <mdx n="508" f="v">
      <t c="3" si="4">
        <n x="509"/>
        <n x="129"/>
        <n x="497"/>
      </t>
    </mdx>
    <mdx n="508" f="v">
      <t c="3" si="4">
        <n x="509"/>
        <n x="439"/>
        <n x="497"/>
      </t>
    </mdx>
    <mdx n="508" f="v">
      <t c="3" si="4">
        <n x="509"/>
        <n x="251"/>
        <n x="497"/>
      </t>
    </mdx>
    <mdx n="508" f="v">
      <t c="3" si="4">
        <n x="509"/>
        <n x="10"/>
        <n x="497"/>
      </t>
    </mdx>
    <mdx n="508" f="v">
      <t c="3" si="4">
        <n x="509"/>
        <n x="430"/>
        <n x="497"/>
      </t>
    </mdx>
    <mdx n="508" f="v">
      <t c="3" si="4">
        <n x="509"/>
        <n x="142"/>
        <n x="498"/>
      </t>
    </mdx>
    <mdx n="508" f="v">
      <t c="3" si="4">
        <n x="509"/>
        <n x="235"/>
        <n x="498"/>
      </t>
    </mdx>
    <mdx n="508" f="v">
      <t c="3" si="4">
        <n x="509"/>
        <n x="442"/>
        <n x="498"/>
      </t>
    </mdx>
    <mdx n="508" f="v">
      <t c="3" si="4">
        <n x="509"/>
        <n x="92"/>
        <n x="498"/>
      </t>
    </mdx>
    <mdx n="508" f="v">
      <t c="3" si="4">
        <n x="509"/>
        <n x="106"/>
        <n x="498"/>
      </t>
    </mdx>
    <mdx n="508" f="v">
      <t c="3" si="4">
        <n x="509"/>
        <n x="118"/>
        <n x="498"/>
      </t>
    </mdx>
    <mdx n="508" f="v">
      <t c="3" si="4">
        <n x="509"/>
        <n x="402"/>
        <n x="499"/>
      </t>
    </mdx>
    <mdx n="508" f="v">
      <t c="3" si="4">
        <n x="509"/>
        <n x="322"/>
        <n x="499"/>
      </t>
    </mdx>
    <mdx n="508" f="v">
      <t c="3" si="4">
        <n x="509"/>
        <n x="194"/>
        <n x="497"/>
      </t>
    </mdx>
    <mdx n="508" f="v">
      <t c="3" si="4">
        <n x="509"/>
        <n x="40"/>
        <n x="497"/>
      </t>
    </mdx>
    <mdx n="508" f="v">
      <t c="3" si="4">
        <n x="509"/>
        <n x="392"/>
        <n x="497"/>
      </t>
    </mdx>
    <mdx n="508" f="v">
      <t c="3" si="4">
        <n x="509"/>
        <n x="209"/>
        <n x="497"/>
      </t>
    </mdx>
    <mdx n="508" f="v">
      <t c="3" si="4">
        <n x="509"/>
        <n x="63"/>
        <n x="498"/>
      </t>
    </mdx>
    <mdx n="508" f="v">
      <t c="3" si="4">
        <n x="509"/>
        <n x="138"/>
        <n x="498"/>
      </t>
    </mdx>
    <mdx n="508" f="v">
      <t c="3" si="4">
        <n x="509"/>
        <n x="456"/>
        <n x="498"/>
      </t>
    </mdx>
    <mdx n="508" f="v">
      <t c="3" si="4">
        <n x="509"/>
        <n x="390"/>
        <n x="498"/>
      </t>
    </mdx>
    <mdx n="508" f="v">
      <t c="3" si="4">
        <n x="509"/>
        <n x="127"/>
        <n x="498"/>
      </t>
    </mdx>
    <mdx n="508" f="v">
      <t c="3" si="4">
        <n x="509"/>
        <n x="298"/>
        <n x="498"/>
      </t>
    </mdx>
    <mdx n="508" f="v">
      <t c="3" si="4">
        <n x="509"/>
        <n x="263"/>
        <n x="499"/>
      </t>
    </mdx>
    <mdx n="508" f="v">
      <t c="3" si="4">
        <n x="509"/>
        <n x="349"/>
        <n x="499"/>
      </t>
    </mdx>
    <mdx n="508" f="v">
      <t c="3" si="4">
        <n x="509"/>
        <n x="112"/>
        <n x="502"/>
      </t>
    </mdx>
    <mdx n="508" f="v">
      <t c="3" si="4">
        <n x="509"/>
        <n x="402"/>
        <n x="496"/>
      </t>
    </mdx>
    <mdx n="508" f="v">
      <t c="3" si="4">
        <n x="509"/>
        <n x="132"/>
        <n x="496"/>
      </t>
    </mdx>
    <mdx n="508" f="v">
      <t c="3" si="4">
        <n x="509"/>
        <n x="162"/>
        <n x="496"/>
      </t>
    </mdx>
    <mdx n="508" f="v">
      <t c="3" si="4">
        <n x="509"/>
        <n x="211"/>
        <n x="496"/>
      </t>
    </mdx>
    <mdx n="508" f="v">
      <t c="3" si="4">
        <n x="509"/>
        <n x="36"/>
        <n x="496"/>
      </t>
    </mdx>
    <mdx n="508" f="v">
      <t c="3" si="4">
        <n x="509"/>
        <n x="60"/>
        <n x="496"/>
      </t>
    </mdx>
    <mdx n="508" f="v">
      <t c="3" si="4">
        <n x="509"/>
        <n x="378"/>
        <n x="496"/>
      </t>
    </mdx>
    <mdx n="508" f="v">
      <t c="3" si="4">
        <n x="509"/>
        <n x="138"/>
        <n x="497"/>
      </t>
    </mdx>
    <mdx n="508" f="v">
      <t c="3" si="4">
        <n x="509"/>
        <n x="94"/>
        <n x="497"/>
      </t>
    </mdx>
    <mdx n="508" f="v">
      <t c="3" si="4">
        <n x="509"/>
        <n x="369"/>
        <n x="497"/>
      </t>
    </mdx>
    <mdx n="508" f="v">
      <t c="3" si="4">
        <n x="509"/>
        <n x="19"/>
        <n x="497"/>
      </t>
    </mdx>
    <mdx n="508" f="v">
      <t c="3" si="4">
        <n x="509"/>
        <n x="66"/>
        <n x="497"/>
      </t>
    </mdx>
    <mdx n="508" f="v">
      <t c="3" si="4">
        <n x="509"/>
        <n x="254"/>
        <n x="497"/>
      </t>
    </mdx>
    <mdx n="508" f="v">
      <t c="3" si="4">
        <n x="509"/>
        <n x="239"/>
        <n x="497"/>
      </t>
    </mdx>
    <mdx n="508" f="v">
      <t c="3" si="4">
        <n x="509"/>
        <n x="296"/>
        <n x="498"/>
      </t>
    </mdx>
    <mdx n="508" f="v">
      <t c="3" si="4">
        <n x="509"/>
        <n x="147"/>
        <n x="498"/>
      </t>
    </mdx>
    <mdx n="508" f="v">
      <t c="3" si="4">
        <n x="509"/>
        <n x="454"/>
        <n x="498"/>
      </t>
    </mdx>
    <mdx n="508" f="v">
      <t c="3" si="4">
        <n x="509"/>
        <n x="255"/>
        <n x="498"/>
      </t>
    </mdx>
    <mdx n="508" f="v">
      <t c="3" si="4">
        <n x="509"/>
        <n x="10"/>
        <n x="498"/>
      </t>
    </mdx>
    <mdx n="508" f="v">
      <t c="3" si="4">
        <n x="509"/>
        <n x="65"/>
        <n x="499"/>
      </t>
    </mdx>
    <mdx n="508" f="v">
      <t c="3" si="4">
        <n x="509"/>
        <n x="265"/>
        <n x="499"/>
      </t>
    </mdx>
    <mdx n="508" f="v">
      <t c="3" si="4">
        <n x="509"/>
        <n x="258"/>
        <n x="500"/>
      </t>
    </mdx>
    <mdx n="508" f="v">
      <t c="3" si="4">
        <n x="509"/>
        <n x="210"/>
        <n x="497"/>
      </t>
    </mdx>
    <mdx n="508" f="v">
      <t c="3" si="4">
        <n x="509"/>
        <n x="22"/>
        <n x="497"/>
      </t>
    </mdx>
    <mdx n="508" f="v">
      <t c="3" si="4">
        <n x="509"/>
        <n x="368"/>
        <n x="497"/>
      </t>
    </mdx>
    <mdx n="508" f="v">
      <t c="3" si="4">
        <n x="509"/>
        <n x="206"/>
        <n x="497"/>
      </t>
    </mdx>
    <mdx n="508" f="v">
      <t c="3" si="4">
        <n x="509"/>
        <n x="376"/>
        <n x="497"/>
      </t>
    </mdx>
    <mdx n="508" f="v">
      <t c="3" si="4">
        <n x="509"/>
        <n x="164"/>
        <n x="497"/>
      </t>
    </mdx>
    <mdx n="508" f="v">
      <t c="3" si="4">
        <n x="509"/>
        <n x="124"/>
        <n x="497"/>
      </t>
    </mdx>
    <mdx n="508" f="v">
      <t c="3" si="4">
        <n x="509"/>
        <n x="103"/>
        <n x="497"/>
      </t>
    </mdx>
    <mdx n="508" f="v">
      <t c="3" si="4">
        <n x="509"/>
        <n x="190"/>
        <n x="498"/>
      </t>
    </mdx>
    <mdx n="508" f="v">
      <t c="3" si="4">
        <n x="509"/>
        <n x="407"/>
        <n x="498"/>
      </t>
    </mdx>
    <mdx n="508" f="v">
      <t c="3" si="4">
        <n x="509"/>
        <n x="72"/>
        <n x="498"/>
      </t>
    </mdx>
    <mdx n="508" f="v">
      <t c="3" si="4">
        <n x="509"/>
        <n x="64"/>
        <n x="498"/>
      </t>
    </mdx>
    <mdx n="508" f="v">
      <t c="3" si="4">
        <n x="509"/>
        <n x="293"/>
        <n x="498"/>
      </t>
    </mdx>
    <mdx n="508" f="v">
      <t c="3" si="4">
        <n x="509"/>
        <n x="274"/>
        <n x="499"/>
      </t>
    </mdx>
    <mdx n="508" f="v">
      <t c="3" si="4">
        <n x="509"/>
        <n x="27"/>
        <n x="499"/>
      </t>
    </mdx>
    <mdx n="508" f="v">
      <t c="3" si="4">
        <n x="509"/>
        <n x="396"/>
        <n x="500"/>
      </t>
    </mdx>
    <mdx n="508" f="v">
      <t c="3" si="4">
        <n x="509"/>
        <n x="246"/>
        <n x="497"/>
      </t>
    </mdx>
    <mdx n="508" f="v">
      <t c="3" si="4">
        <n x="509"/>
        <n x="83"/>
        <n x="497"/>
      </t>
    </mdx>
    <mdx n="508" f="v">
      <t c="3" si="4">
        <n x="509"/>
        <n x="284"/>
        <n x="497"/>
      </t>
    </mdx>
    <mdx n="508" f="v">
      <t c="3" si="4">
        <n x="509"/>
        <n x="390"/>
        <n x="497"/>
      </t>
    </mdx>
    <mdx n="508" f="v">
      <t c="3" si="4">
        <n x="509"/>
        <n x="278"/>
        <n x="497"/>
      </t>
    </mdx>
    <mdx n="508" f="v">
      <t c="3" si="4">
        <n x="509"/>
        <n x="338"/>
        <n x="497"/>
      </t>
    </mdx>
    <mdx n="508" f="v">
      <t c="3" si="4">
        <n x="509"/>
        <n x="121"/>
        <n x="497"/>
      </t>
    </mdx>
    <mdx n="508" f="v">
      <t c="3" si="4">
        <n x="509"/>
        <n x="370"/>
        <n x="498"/>
      </t>
    </mdx>
    <mdx n="508" f="v">
      <t c="3" si="4">
        <n x="509"/>
        <n x="144"/>
        <n x="498"/>
      </t>
    </mdx>
    <mdx n="508" f="v">
      <t c="3" si="4">
        <n x="509"/>
        <n x="446"/>
        <n x="498"/>
      </t>
    </mdx>
    <mdx n="508" f="v">
      <t c="3" si="4">
        <n x="509"/>
        <n x="244"/>
        <n x="498"/>
      </t>
    </mdx>
    <mdx n="508" f="v">
      <t c="3" si="4">
        <n x="509"/>
        <n x="96"/>
        <n x="498"/>
      </t>
    </mdx>
    <mdx n="508" f="v">
      <t c="3" si="4">
        <n x="509"/>
        <n x="48"/>
        <n x="499"/>
      </t>
    </mdx>
    <mdx n="508" f="v">
      <t c="3" si="4">
        <n x="509"/>
        <n x="299"/>
        <n x="499"/>
      </t>
    </mdx>
    <mdx n="508" f="v">
      <t c="3" si="4">
        <n x="509"/>
        <n x="351"/>
        <n x="500"/>
      </t>
    </mdx>
    <mdx n="508" f="v">
      <t c="3" si="4">
        <n x="509"/>
        <n x="113"/>
        <n x="497"/>
      </t>
    </mdx>
    <mdx n="508" f="v">
      <t c="3" si="4">
        <n x="509"/>
        <n x="197"/>
        <n x="497"/>
      </t>
    </mdx>
    <mdx n="508" f="v">
      <t c="3" si="4">
        <n x="509"/>
        <n x="424"/>
        <n x="497"/>
      </t>
    </mdx>
    <mdx n="508" f="v">
      <t c="3" si="4">
        <n x="509"/>
        <n x="56"/>
        <n x="498"/>
      </t>
    </mdx>
    <mdx n="508" f="v">
      <t c="3" si="4">
        <n x="509"/>
        <n x="374"/>
        <n x="498"/>
      </t>
    </mdx>
    <mdx n="508" f="v">
      <t c="3" si="4">
        <n x="509"/>
        <n x="314"/>
        <n x="498"/>
      </t>
    </mdx>
    <mdx n="508" f="v">
      <t c="3" si="4">
        <n x="509"/>
        <n x="143"/>
        <n x="498"/>
      </t>
    </mdx>
    <mdx n="508" f="v">
      <t c="3" si="4">
        <n x="509"/>
        <n x="346"/>
        <n x="498"/>
      </t>
    </mdx>
    <mdx n="508" f="v">
      <t c="3" si="4">
        <n x="509"/>
        <n x="239"/>
        <n x="498"/>
      </t>
    </mdx>
    <mdx n="508" f="v">
      <t c="3" si="4">
        <n x="509"/>
        <n x="189"/>
        <n x="499"/>
      </t>
    </mdx>
    <mdx n="508" f="v">
      <t c="3" si="4">
        <n x="509"/>
        <n x="185"/>
        <n x="499"/>
      </t>
    </mdx>
    <mdx n="508" f="v">
      <t c="3" si="4">
        <n x="509"/>
        <n x="66"/>
        <n x="499"/>
      </t>
    </mdx>
    <mdx n="508" f="v">
      <t c="3" si="4">
        <n x="509"/>
        <n x="395"/>
        <n x="499"/>
      </t>
    </mdx>
    <mdx n="508" f="v">
      <t c="3" si="4">
        <n x="509"/>
        <n x="195"/>
        <n x="500"/>
      </t>
    </mdx>
    <mdx n="508" f="v">
      <t c="3" si="4">
        <n x="509"/>
        <n x="83"/>
        <n x="500"/>
      </t>
    </mdx>
    <mdx n="508" f="v">
      <t c="3" si="4">
        <n x="509"/>
        <n x="280"/>
        <n x="500"/>
      </t>
    </mdx>
    <mdx n="508" f="v">
      <t c="3" si="4">
        <n x="509"/>
        <n x="365"/>
        <n x="501"/>
      </t>
    </mdx>
    <mdx n="508" f="v">
      <t c="3" si="4">
        <n x="509"/>
        <n x="341"/>
        <n x="501"/>
      </t>
    </mdx>
    <mdx n="508" f="v">
      <t c="3" si="4">
        <n x="509"/>
        <n x="367"/>
        <n x="498"/>
      </t>
    </mdx>
    <mdx n="508" f="v">
      <t c="3" si="4">
        <n x="509"/>
        <n x="264"/>
        <n x="498"/>
      </t>
    </mdx>
    <mdx n="508" f="v">
      <t c="3" si="4">
        <n x="509"/>
        <n x="462"/>
        <n x="498"/>
      </t>
    </mdx>
    <mdx n="508" f="v">
      <t c="3" si="4">
        <n x="509"/>
        <n x="34"/>
        <n x="498"/>
      </t>
    </mdx>
    <mdx n="508" f="v">
      <t c="3" si="4">
        <n x="509"/>
        <n x="366"/>
        <n x="498"/>
      </t>
    </mdx>
    <mdx n="508" f="v">
      <t c="3" si="4">
        <n x="509"/>
        <n x="347"/>
        <n x="499"/>
      </t>
    </mdx>
    <mdx n="508" f="v">
      <t c="3" si="4">
        <n x="509"/>
        <n x="110"/>
        <n x="499"/>
      </t>
    </mdx>
    <mdx n="508" f="v">
      <t c="3" si="4">
        <n x="509"/>
        <n x="231"/>
        <n x="499"/>
      </t>
    </mdx>
    <mdx n="508" f="v">
      <t c="3" si="4">
        <n x="509"/>
        <n x="162"/>
        <n x="499"/>
      </t>
    </mdx>
    <mdx n="508" f="v">
      <t c="3" si="4">
        <n x="509"/>
        <n x="43"/>
        <n x="499"/>
      </t>
    </mdx>
    <mdx n="508" f="v">
      <t c="3" si="4">
        <n x="509"/>
        <n x="81"/>
        <n x="499"/>
      </t>
    </mdx>
    <mdx n="508" f="v">
      <t c="3" si="4">
        <n x="509"/>
        <n x="67"/>
        <n x="500"/>
      </t>
    </mdx>
    <mdx n="508" f="v">
      <t c="3" si="4">
        <n x="509"/>
        <n x="25"/>
        <n x="500"/>
      </t>
    </mdx>
    <mdx n="508" f="v">
      <t c="3" si="4">
        <n x="509"/>
        <n x="408"/>
        <n x="500"/>
      </t>
    </mdx>
    <mdx n="508" f="v">
      <t c="3" si="4">
        <n x="509"/>
        <n x="419"/>
        <n x="501"/>
      </t>
    </mdx>
    <mdx n="508" f="v">
      <t c="3" si="4">
        <n x="509"/>
        <n x="278"/>
        <n x="501"/>
      </t>
    </mdx>
    <mdx n="508" f="v">
      <t c="3" si="4">
        <n x="509"/>
        <n x="283"/>
        <n x="498"/>
      </t>
    </mdx>
    <mdx n="508" f="v">
      <t c="3" si="4">
        <n x="509"/>
        <n x="413"/>
        <n x="498"/>
      </t>
    </mdx>
    <mdx n="508" f="v">
      <t c="3" si="4">
        <n x="509"/>
        <n x="202"/>
        <n x="498"/>
      </t>
    </mdx>
    <mdx n="508" f="v">
      <t c="3" si="4">
        <n x="509"/>
        <n x="340"/>
        <n x="498"/>
      </t>
    </mdx>
    <mdx n="508" f="v">
      <t c="3" si="4">
        <n x="509"/>
        <n x="278"/>
        <n x="498"/>
      </t>
    </mdx>
    <mdx n="508" f="v">
      <t c="3" si="4">
        <n x="509"/>
        <n x="34"/>
        <n x="499"/>
      </t>
    </mdx>
    <mdx n="508" f="v">
      <t c="3" si="4">
        <n x="509"/>
        <n x="222"/>
        <n x="499"/>
      </t>
    </mdx>
    <mdx n="508" f="v">
      <t c="3" si="4">
        <n x="509"/>
        <n x="20"/>
        <n x="499"/>
      </t>
    </mdx>
    <mdx n="508" f="v">
      <t c="3" si="4">
        <n x="509"/>
        <n x="156"/>
        <n x="499"/>
      </t>
    </mdx>
    <mdx n="508" f="v">
      <t c="3" si="4">
        <n x="509"/>
        <n x="427"/>
        <n x="499"/>
      </t>
    </mdx>
    <mdx n="508" f="v">
      <t c="3" si="4">
        <n x="509"/>
        <n x="74"/>
        <n x="499"/>
      </t>
    </mdx>
    <mdx n="508" f="v">
      <t c="3" si="4">
        <n x="509"/>
        <n x="188"/>
        <n x="500"/>
      </t>
    </mdx>
    <mdx n="508" f="v">
      <t c="3" si="4">
        <n x="509"/>
        <n x="385"/>
        <n x="500"/>
      </t>
    </mdx>
    <mdx n="508" f="v">
      <t c="3" si="4">
        <n x="509"/>
        <n x="237"/>
        <n x="500"/>
      </t>
    </mdx>
    <mdx n="508" f="v">
      <t c="3" si="4">
        <n x="509"/>
        <n x="263"/>
        <n x="501"/>
      </t>
    </mdx>
    <mdx n="508" f="v">
      <t c="3" si="4">
        <n x="509"/>
        <n x="197"/>
        <n x="501"/>
      </t>
    </mdx>
    <mdx n="508" f="v">
      <t c="3" si="4">
        <n x="509"/>
        <n x="133"/>
        <n x="499"/>
      </t>
    </mdx>
    <mdx n="508" f="v">
      <t c="3" si="4">
        <n x="509"/>
        <n x="376"/>
        <n x="499"/>
      </t>
    </mdx>
    <mdx n="508" f="v">
      <t c="3" si="4">
        <n x="509"/>
        <n x="346"/>
        <n x="499"/>
      </t>
    </mdx>
    <mdx n="508" f="v">
      <t c="3" si="4">
        <n x="509"/>
        <n x="432"/>
        <n x="499"/>
      </t>
    </mdx>
    <mdx n="508" f="v">
      <t c="3" si="4">
        <n x="509"/>
        <n x="243"/>
        <n x="500"/>
      </t>
    </mdx>
    <mdx n="508" f="v">
      <t c="3" si="4">
        <n x="509"/>
        <n x="413"/>
        <n x="500"/>
      </t>
    </mdx>
    <mdx n="508" f="v">
      <t c="3" si="4">
        <n x="509"/>
        <n x="63"/>
        <n x="500"/>
      </t>
    </mdx>
    <mdx n="508" f="v">
      <t c="3" si="4">
        <n x="509"/>
        <n x="284"/>
        <n x="501"/>
      </t>
    </mdx>
    <mdx n="508" f="v">
      <t c="3" si="4">
        <n x="509"/>
        <n x="20"/>
        <n x="502"/>
      </t>
    </mdx>
    <mdx n="508" f="v">
      <t c="3" si="4">
        <n x="509"/>
        <n x="23"/>
        <n x="499"/>
      </t>
    </mdx>
    <mdx n="508" f="v">
      <t c="3" si="4">
        <n x="509"/>
        <n x="72"/>
        <n x="499"/>
      </t>
    </mdx>
    <mdx n="508" f="v">
      <t c="3" si="4">
        <n x="509"/>
        <n x="312"/>
        <n x="499"/>
      </t>
    </mdx>
    <mdx n="508" f="v">
      <t c="3" si="4">
        <n x="509"/>
        <n x="298"/>
        <n x="499"/>
      </t>
    </mdx>
    <mdx n="508" f="v">
      <t c="3" si="4">
        <n x="509"/>
        <n x="111"/>
        <n x="499"/>
      </t>
    </mdx>
    <mdx n="508" f="v">
      <t c="3" si="4">
        <n x="509"/>
        <n x="252"/>
        <n x="500"/>
      </t>
    </mdx>
    <mdx n="508" f="v">
      <t c="3" si="4">
        <n x="509"/>
        <n x="132"/>
        <n x="500"/>
      </t>
    </mdx>
    <mdx n="508" f="v">
      <t c="3" si="4">
        <n x="509"/>
        <n x="229"/>
        <n x="500"/>
      </t>
    </mdx>
    <mdx n="508" f="v">
      <t c="3" si="4">
        <n x="509"/>
        <n x="182"/>
        <n x="501"/>
      </t>
    </mdx>
    <mdx n="508" f="v">
      <t c="3" si="4">
        <n x="509"/>
        <n x="422"/>
        <n x="503"/>
      </t>
    </mdx>
    <mdx n="508" f="v">
      <t c="3" si="4">
        <n x="509"/>
        <n x="409"/>
        <n x="498"/>
      </t>
    </mdx>
    <mdx n="508" f="v">
      <t c="3" si="4">
        <n x="509"/>
        <n x="114"/>
        <n x="498"/>
      </t>
    </mdx>
    <mdx n="508" f="v">
      <t c="3" si="4">
        <n x="509"/>
        <n x="416"/>
        <n x="499"/>
      </t>
    </mdx>
    <mdx n="508" f="v">
      <t c="3" si="4">
        <n x="509"/>
        <n x="217"/>
        <n x="499"/>
      </t>
    </mdx>
    <mdx n="508" f="v">
      <t c="3" si="4">
        <n x="509"/>
        <n x="463"/>
        <n x="499"/>
      </t>
    </mdx>
    <mdx n="508" f="v">
      <t c="3" si="4">
        <n x="509"/>
        <n x="294"/>
        <n x="499"/>
      </t>
    </mdx>
    <mdx n="508" f="v">
      <t c="3" si="4">
        <n x="509"/>
        <n x="460"/>
        <n x="499"/>
      </t>
    </mdx>
    <mdx n="508" f="v">
      <t c="3" si="4">
        <n x="509"/>
        <n x="16"/>
        <n x="499"/>
      </t>
    </mdx>
    <mdx n="508" f="v">
      <t c="3" si="4">
        <n x="509"/>
        <n x="133"/>
        <n x="500"/>
      </t>
    </mdx>
    <mdx n="508" f="v">
      <t c="3" si="4">
        <n x="509"/>
        <n x="463"/>
        <n x="500"/>
      </t>
    </mdx>
    <mdx n="508" f="v">
      <t c="3" si="4">
        <n x="509"/>
        <n x="103"/>
        <n x="500"/>
      </t>
    </mdx>
    <mdx n="508" f="v">
      <t c="3" si="4">
        <n x="509"/>
        <n x="269"/>
        <n x="501"/>
      </t>
    </mdx>
    <mdx n="508" f="v">
      <t c="3" si="4">
        <n x="509"/>
        <n x="262"/>
        <n x="503"/>
      </t>
    </mdx>
    <mdx n="508" f="v">
      <t c="3" si="4">
        <n x="509"/>
        <n x="345"/>
        <n x="499"/>
      </t>
    </mdx>
    <mdx n="508" f="v">
      <t c="3" si="4">
        <n x="509"/>
        <n x="341"/>
        <n x="499"/>
      </t>
    </mdx>
    <mdx n="508" f="v">
      <t c="3" si="4">
        <n x="509"/>
        <n x="426"/>
        <n x="499"/>
      </t>
    </mdx>
    <mdx n="508" f="v">
      <t c="3" si="4">
        <n x="509"/>
        <n x="344"/>
        <n x="500"/>
      </t>
    </mdx>
    <mdx n="508" f="v">
      <t c="3" si="4">
        <n x="509"/>
        <n x="303"/>
        <n x="500"/>
      </t>
    </mdx>
    <mdx n="508" f="v">
      <t c="3" si="4">
        <n x="509"/>
        <n x="218"/>
        <n x="500"/>
      </t>
    </mdx>
    <mdx n="508" f="v">
      <t c="3" si="4">
        <n x="509"/>
        <n x="226"/>
        <n x="501"/>
      </t>
    </mdx>
    <mdx n="508" f="v">
      <t c="3" si="4">
        <n x="509"/>
        <n x="277"/>
        <n x="501"/>
      </t>
    </mdx>
    <mdx n="508" f="v">
      <t c="3" si="4">
        <n x="509"/>
        <n x="215"/>
        <n x="500"/>
      </t>
    </mdx>
    <mdx n="508" f="v">
      <t c="3" si="4">
        <n x="509"/>
        <n x="302"/>
        <n x="500"/>
      </t>
    </mdx>
    <mdx n="508" f="v">
      <t c="3" si="4">
        <n x="509"/>
        <n x="437"/>
        <n x="501"/>
      </t>
    </mdx>
    <mdx n="508" f="v">
      <t c="3" si="4">
        <n x="509"/>
        <n x="225"/>
        <n x="501"/>
      </t>
    </mdx>
    <mdx n="508" f="v">
      <t c="3" si="4">
        <n x="509"/>
        <n x="339"/>
        <n x="501"/>
      </t>
    </mdx>
    <mdx n="508" f="v">
      <t c="3" si="4">
        <n x="509"/>
        <n x="291"/>
        <n x="501"/>
      </t>
    </mdx>
    <mdx n="508" f="v">
      <t c="3" si="4">
        <n x="509"/>
        <n x="383"/>
        <n x="501"/>
      </t>
    </mdx>
    <mdx n="508" f="v">
      <t c="3" si="4">
        <n x="509"/>
        <n x="319"/>
        <n x="502"/>
      </t>
    </mdx>
    <mdx n="508" f="v">
      <t c="3" si="4">
        <n x="509"/>
        <n x="306"/>
        <n x="502"/>
      </t>
    </mdx>
    <mdx n="508" f="v">
      <t c="3" si="4">
        <n x="509"/>
        <n x="185"/>
        <n x="503"/>
      </t>
    </mdx>
    <mdx n="508" f="v">
      <t c="3" si="4">
        <n x="509"/>
        <n x="348"/>
        <n x="499"/>
      </t>
    </mdx>
    <mdx n="508" f="v">
      <t c="3" si="4">
        <n x="509"/>
        <n x="317"/>
        <n x="499"/>
      </t>
    </mdx>
    <mdx n="508" f="v">
      <t c="3" si="4">
        <n x="509"/>
        <n x="388"/>
        <n x="499"/>
      </t>
    </mdx>
    <mdx n="508" f="v">
      <t c="3" si="4">
        <n x="509"/>
        <n x="253"/>
        <n x="499"/>
      </t>
    </mdx>
    <mdx n="508" f="v">
      <t c="3" si="4">
        <n x="509"/>
        <n x="177"/>
        <n x="500"/>
      </t>
    </mdx>
    <mdx n="508" f="v">
      <t c="3" si="4">
        <n x="509"/>
        <n x="305"/>
        <n x="500"/>
      </t>
    </mdx>
    <mdx n="508" f="v">
      <t c="3" si="4">
        <n x="509"/>
        <n x="15"/>
        <n x="500"/>
      </t>
    </mdx>
    <mdx n="508" f="v">
      <t c="3" si="4">
        <n x="509"/>
        <n x="313"/>
        <n x="500"/>
      </t>
    </mdx>
    <mdx n="508" f="v">
      <t c="3" si="4">
        <n x="509"/>
        <n x="175"/>
        <n x="500"/>
      </t>
    </mdx>
    <mdx n="508" f="v">
      <t c="3" si="4">
        <n x="509"/>
        <n x="108"/>
        <n x="500"/>
      </t>
    </mdx>
    <mdx n="508" f="v">
      <t c="3" si="4">
        <n x="509"/>
        <n x="204"/>
        <n x="500"/>
      </t>
    </mdx>
    <mdx n="508" f="v">
      <t c="3" si="4">
        <n x="509"/>
        <n x="122"/>
        <n x="501"/>
      </t>
    </mdx>
    <mdx n="508" f="v">
      <t c="3" si="4">
        <n x="509"/>
        <n x="116"/>
        <n x="501"/>
      </t>
    </mdx>
    <mdx n="508" f="v">
      <t c="3" si="4">
        <n x="509"/>
        <n x="176"/>
        <n x="501"/>
      </t>
    </mdx>
    <mdx n="508" f="v">
      <t c="3" si="4">
        <n x="509"/>
        <n x="406"/>
        <n x="501"/>
      </t>
    </mdx>
    <mdx n="508" f="v">
      <t c="3" si="4">
        <n x="509"/>
        <n x="429"/>
        <n x="501"/>
      </t>
    </mdx>
    <mdx n="508" f="v">
      <t c="3" si="4">
        <n x="509"/>
        <n x="274"/>
        <n x="501"/>
      </t>
    </mdx>
    <mdx n="508" f="v">
      <t c="3" si="4">
        <n x="509"/>
        <n x="89"/>
        <n x="502"/>
      </t>
    </mdx>
    <mdx n="508" f="v">
      <t c="3" si="4">
        <n x="509"/>
        <n x="346"/>
        <n x="502"/>
      </t>
    </mdx>
    <mdx n="508" f="v">
      <t c="3" si="4">
        <n x="509"/>
        <n x="324"/>
        <n x="505"/>
      </t>
    </mdx>
    <mdx n="508" f="v">
      <t c="3" si="4">
        <n x="509"/>
        <n x="366"/>
        <n x="499"/>
      </t>
    </mdx>
    <mdx n="508" f="v">
      <t c="3" si="4">
        <n x="509"/>
        <n x="215"/>
        <n x="499"/>
      </t>
    </mdx>
    <mdx n="508" f="v">
      <t c="3" si="4">
        <n x="509"/>
        <n x="397"/>
        <n x="499"/>
      </t>
    </mdx>
    <mdx n="508" f="v">
      <t c="3" si="4">
        <n x="509"/>
        <n x="208"/>
        <n x="500"/>
      </t>
    </mdx>
    <mdx n="508" f="v">
      <t c="3" si="4">
        <n x="509"/>
        <n x="265"/>
        <n x="500"/>
      </t>
    </mdx>
    <mdx n="508" f="v">
      <t c="3" si="4">
        <n x="509"/>
        <n x="284"/>
        <n x="500"/>
      </t>
    </mdx>
    <mdx n="508" f="v">
      <t c="3" si="4">
        <n x="509"/>
        <n x="285"/>
        <n x="500"/>
      </t>
    </mdx>
    <mdx n="508" f="v">
      <t c="3" si="4">
        <n x="509"/>
        <n x="262"/>
        <n x="500"/>
      </t>
    </mdx>
    <mdx n="508" f="v">
      <t c="3" si="4">
        <n x="509"/>
        <n x="82"/>
        <n x="500"/>
      </t>
    </mdx>
    <mdx n="508" f="v">
      <t c="3" si="4">
        <n x="509"/>
        <n x="169"/>
        <n x="500"/>
      </t>
    </mdx>
    <mdx n="508" f="v">
      <t c="3" si="4">
        <n x="509"/>
        <n x="188"/>
        <n x="501"/>
      </t>
    </mdx>
    <mdx n="508" f="v">
      <t c="3" si="4">
        <n x="509"/>
        <n x="374"/>
        <n x="501"/>
      </t>
    </mdx>
    <mdx n="508" f="v">
      <t c="3" si="4">
        <n x="509"/>
        <n x="385"/>
        <n x="501"/>
      </t>
    </mdx>
    <mdx n="508" f="v">
      <t c="3" si="4">
        <n x="509"/>
        <n x="384"/>
        <n x="501"/>
      </t>
    </mdx>
    <mdx n="508" f="v">
      <t c="3" si="4">
        <n x="509"/>
        <n x="408"/>
        <n x="501"/>
      </t>
    </mdx>
    <mdx n="508" f="v">
      <t c="3" si="4">
        <n x="509"/>
        <n x="444"/>
        <n x="501"/>
      </t>
    </mdx>
    <mdx n="508" f="v">
      <t c="3" si="4">
        <n x="509"/>
        <n x="212"/>
        <n x="502"/>
      </t>
    </mdx>
    <mdx n="508" f="v">
      <t c="3" si="4">
        <n x="509"/>
        <n x="51"/>
        <n x="502"/>
      </t>
    </mdx>
    <mdx n="508" f="v">
      <t c="3" si="4">
        <n x="509"/>
        <n x="390"/>
        <n x="500"/>
      </t>
    </mdx>
    <mdx n="508" f="v">
      <t c="3" si="4">
        <n x="509"/>
        <n x="276"/>
        <n x="500"/>
      </t>
    </mdx>
    <mdx n="508" f="v">
      <t c="3" si="4">
        <n x="509"/>
        <n x="123"/>
        <n x="500"/>
      </t>
    </mdx>
    <mdx n="508" f="v">
      <t c="3" si="4">
        <n x="509"/>
        <n x="247"/>
        <n x="500"/>
      </t>
    </mdx>
    <mdx n="508" f="v">
      <t c="3" si="4">
        <n x="509"/>
        <n x="421"/>
        <n x="501"/>
      </t>
    </mdx>
    <mdx n="508" f="v">
      <t c="3" si="4">
        <n x="509"/>
        <n x="243"/>
        <n x="501"/>
      </t>
    </mdx>
    <mdx n="508" f="v">
      <t c="3" si="4">
        <n x="509"/>
        <n x="151"/>
        <n x="501"/>
      </t>
    </mdx>
    <mdx n="508" f="v">
      <t c="3" si="4">
        <n x="509"/>
        <n x="345"/>
        <n x="501"/>
      </t>
    </mdx>
    <mdx n="508" f="v">
      <t c="3" si="4">
        <n x="509"/>
        <n x="275"/>
        <n x="501"/>
      </t>
    </mdx>
    <mdx n="508" f="v">
      <t c="3" si="4">
        <n x="509"/>
        <n x="214"/>
        <n x="501"/>
      </t>
    </mdx>
    <mdx n="508" f="v">
      <t c="3" si="4">
        <n x="509"/>
        <n x="258"/>
        <n x="502"/>
      </t>
    </mdx>
    <mdx n="508" f="v">
      <t c="3" si="4">
        <n x="509"/>
        <n x="272"/>
        <n x="502"/>
      </t>
    </mdx>
    <mdx n="508" f="v">
      <t c="3" si="4">
        <n x="509"/>
        <n x="328"/>
        <n x="504"/>
      </t>
    </mdx>
    <mdx n="508" f="v">
      <t c="3" si="4">
        <n x="509"/>
        <n x="424"/>
        <n x="500"/>
      </t>
    </mdx>
    <mdx n="508" f="v">
      <t c="3" si="4">
        <n x="509"/>
        <n x="456"/>
        <n x="500"/>
      </t>
    </mdx>
    <mdx n="508" f="v">
      <t c="3" si="4">
        <n x="509"/>
        <n x="87"/>
        <n x="500"/>
      </t>
    </mdx>
    <mdx n="508" f="v">
      <t c="3" si="4">
        <n x="509"/>
        <n x="92"/>
        <n x="500"/>
      </t>
    </mdx>
    <mdx n="508" f="v">
      <t c="3" si="4">
        <n x="509"/>
        <n x="429"/>
        <n x="500"/>
      </t>
    </mdx>
    <mdx n="508" f="v">
      <t c="3" si="4">
        <n x="509"/>
        <n x="316"/>
        <n x="500"/>
      </t>
    </mdx>
    <mdx n="508" f="v">
      <t c="3" si="4">
        <n x="509"/>
        <n x="365"/>
        <n x="500"/>
      </t>
    </mdx>
    <mdx n="508" f="v">
      <t c="3" si="4">
        <n x="509"/>
        <n x="73"/>
        <n x="501"/>
      </t>
    </mdx>
    <mdx n="508" f="v">
      <t c="3" si="4">
        <n x="509"/>
        <n x="222"/>
        <n x="501"/>
      </t>
    </mdx>
    <mdx n="508" f="v">
      <t c="3" si="4">
        <n x="509"/>
        <n x="343"/>
        <n x="501"/>
      </t>
    </mdx>
    <mdx n="508" f="v">
      <t c="3" si="4">
        <n x="509"/>
        <n x="238"/>
        <n x="501"/>
      </t>
    </mdx>
    <mdx n="508" f="v">
      <t c="3" si="4">
        <n x="509"/>
        <n x="40"/>
        <n x="501"/>
      </t>
    </mdx>
    <mdx n="508" f="v">
      <t c="3" si="4">
        <n x="509"/>
        <n x="404"/>
        <n x="501"/>
      </t>
    </mdx>
    <mdx n="508" f="v">
      <t c="3" si="4">
        <n x="509"/>
        <n x="151"/>
        <n x="502"/>
      </t>
    </mdx>
    <mdx n="508" f="v">
      <t c="3" si="4">
        <n x="509"/>
        <n x="421"/>
        <n x="502"/>
      </t>
    </mdx>
    <mdx n="508" f="v">
      <t c="3" si="4">
        <n x="509"/>
        <n x="400"/>
        <n x="495"/>
      </t>
    </mdx>
    <mdx n="508" f="v">
      <t c="3" si="4">
        <n x="509"/>
        <n x="343"/>
        <n x="490"/>
      </t>
    </mdx>
    <mdx n="508" f="v">
      <t c="3" si="4">
        <n x="509"/>
        <n x="240"/>
        <n x="493"/>
      </t>
    </mdx>
    <mdx n="508" f="v">
      <t c="3" si="4">
        <n x="509"/>
        <n x="445"/>
        <n x="494"/>
      </t>
    </mdx>
    <mdx n="508" f="v">
      <t c="3" si="4">
        <n x="509"/>
        <n x="249"/>
        <n x="495"/>
      </t>
    </mdx>
    <mdx n="508" f="v">
      <t c="3" si="4">
        <n x="509"/>
        <n x="323"/>
        <n x="495"/>
      </t>
    </mdx>
    <mdx n="508" f="v">
      <t c="3" si="4">
        <n x="509"/>
        <n x="333"/>
        <n x="495"/>
      </t>
    </mdx>
    <mdx n="508" f="v">
      <t c="3" si="4">
        <n x="509"/>
        <n x="362"/>
        <n x="495"/>
      </t>
    </mdx>
    <mdx n="508" f="v">
      <t c="3" si="4">
        <n x="509"/>
        <n x="262"/>
        <n x="490"/>
      </t>
    </mdx>
    <mdx n="508" f="v">
      <t c="3" si="4">
        <n x="509"/>
        <n x="198"/>
        <n x="491"/>
      </t>
    </mdx>
    <mdx n="508" f="v">
      <t c="3" si="4">
        <n x="509"/>
        <n x="390"/>
        <n x="492"/>
      </t>
    </mdx>
    <mdx n="508" f="v">
      <t c="3" si="4">
        <n x="509"/>
        <n x="21"/>
        <n x="493"/>
      </t>
    </mdx>
    <mdx n="508" f="v">
      <t c="3" si="4">
        <n x="509"/>
        <n x="208"/>
        <n x="494"/>
      </t>
    </mdx>
    <mdx n="508" f="v">
      <t c="3" si="4">
        <n x="509"/>
        <n x="157"/>
        <n x="494"/>
      </t>
    </mdx>
    <mdx n="508" f="v">
      <t c="3" si="4">
        <n x="509"/>
        <n x="333"/>
        <n x="494"/>
      </t>
    </mdx>
    <mdx n="508" f="v">
      <t c="3" si="4">
        <n x="509"/>
        <n x="214"/>
        <n x="494"/>
      </t>
    </mdx>
    <mdx n="508" f="v">
      <t c="3" si="4">
        <n x="509"/>
        <n x="168"/>
        <n x="495"/>
      </t>
    </mdx>
    <mdx n="508" f="v">
      <t c="3" si="4">
        <n x="509"/>
        <n x="368"/>
        <n x="495"/>
      </t>
    </mdx>
    <mdx n="508" f="v">
      <t c="3" si="4">
        <n x="509"/>
        <n x="322"/>
        <n x="495"/>
      </t>
    </mdx>
    <mdx n="508" f="v">
      <t c="3" si="4">
        <n x="509"/>
        <n x="97"/>
        <n x="495"/>
      </t>
    </mdx>
    <mdx n="508" f="v">
      <t c="3" si="4">
        <n x="509"/>
        <n x="388"/>
        <n x="495"/>
      </t>
    </mdx>
    <mdx n="508" f="v">
      <t c="3" si="4">
        <n x="509"/>
        <n x="255"/>
        <n x="488"/>
      </t>
    </mdx>
    <mdx n="508" f="v">
      <t c="3" si="4">
        <n x="509"/>
        <n x="414"/>
        <n x="493"/>
      </t>
    </mdx>
    <mdx n="508" f="v">
      <t c="3" si="4">
        <n x="509"/>
        <n x="159"/>
        <n x="494"/>
      </t>
    </mdx>
    <mdx n="508" f="v">
      <t c="3" si="4">
        <n x="509"/>
        <n x="76"/>
        <n x="495"/>
      </t>
    </mdx>
    <mdx n="508" f="v">
      <t c="3" si="4">
        <n x="509"/>
        <n x="366"/>
        <n x="489"/>
      </t>
    </mdx>
    <mdx n="508" f="v">
      <t c="3" si="4">
        <n x="509"/>
        <n x="456"/>
        <n x="491"/>
      </t>
    </mdx>
    <mdx n="508" f="v">
      <t c="3" si="4">
        <n x="509"/>
        <n x="126"/>
        <n x="490"/>
      </t>
    </mdx>
    <mdx n="508" f="v">
      <t c="3" si="4">
        <n x="509"/>
        <n x="221"/>
        <n x="492"/>
      </t>
    </mdx>
    <mdx n="508" f="v">
      <t c="3" si="4">
        <n x="509"/>
        <n x="240"/>
        <n x="492"/>
      </t>
    </mdx>
    <mdx n="508" f="v">
      <t c="3" si="4">
        <n x="509"/>
        <n x="34"/>
        <n x="493"/>
      </t>
    </mdx>
    <mdx n="508" f="v">
      <t c="3" si="4">
        <n x="509"/>
        <n x="137"/>
        <n x="494"/>
      </t>
    </mdx>
    <mdx n="508" f="v">
      <t c="3" si="4">
        <n x="509"/>
        <n x="384"/>
        <n x="494"/>
      </t>
    </mdx>
    <mdx n="508" f="v">
      <t c="3" si="4">
        <n x="509"/>
        <n x="405"/>
        <n x="494"/>
      </t>
    </mdx>
    <mdx n="508" f="v">
      <t c="3" si="4">
        <n x="509"/>
        <n x="268"/>
        <n x="495"/>
      </t>
    </mdx>
    <mdx n="508" f="v">
      <t c="3" si="4">
        <n x="509"/>
        <n x="267"/>
        <n x="495"/>
      </t>
    </mdx>
    <mdx n="508" f="v">
      <t c="3" si="4">
        <n x="509"/>
        <n x="454"/>
        <n x="495"/>
      </t>
    </mdx>
    <mdx n="508" f="v">
      <t c="3" si="4">
        <n x="509"/>
        <n x="275"/>
        <n x="495"/>
      </t>
    </mdx>
    <mdx n="508" f="v">
      <t c="3" si="4">
        <n x="509"/>
        <n x="316"/>
        <n x="495"/>
      </t>
    </mdx>
    <mdx n="508" f="v">
      <t c="3" si="4">
        <n x="509"/>
        <n x="227"/>
        <n x="495"/>
      </t>
    </mdx>
    <mdx n="508" f="v">
      <t c="3" si="4">
        <n x="509"/>
        <n x="458"/>
        <n x="489"/>
      </t>
    </mdx>
    <mdx n="508" f="v">
      <t c="3" si="4">
        <n x="509"/>
        <n x="462"/>
        <n x="492"/>
      </t>
    </mdx>
    <mdx n="508" f="v">
      <t c="3" si="4">
        <n x="509"/>
        <n x="442"/>
        <n x="494"/>
      </t>
    </mdx>
    <mdx n="508" f="v">
      <t c="3" si="4">
        <n x="509"/>
        <n x="218"/>
        <n x="495"/>
      </t>
    </mdx>
    <mdx n="508" f="v">
      <t c="3" si="4">
        <n x="509"/>
        <n x="153"/>
        <n x="482"/>
      </t>
    </mdx>
    <mdx n="508" f="v">
      <t c="3" si="4">
        <n x="509"/>
        <n x="150"/>
        <n x="486"/>
      </t>
    </mdx>
    <mdx n="508" f="v">
      <t c="3" si="4">
        <n x="509"/>
        <n x="221"/>
        <n x="482"/>
      </t>
    </mdx>
    <mdx n="508" f="v">
      <t c="3" si="4">
        <n x="509"/>
        <n x="329"/>
        <n x="492"/>
      </t>
    </mdx>
    <mdx n="508" f="v">
      <t c="3" si="4">
        <n x="509"/>
        <n x="438"/>
        <n x="493"/>
      </t>
    </mdx>
    <mdx n="508" f="v">
      <t c="3" si="4">
        <n x="509"/>
        <n x="84"/>
        <n x="494"/>
      </t>
    </mdx>
    <mdx n="508" f="v">
      <t c="3" si="4">
        <n x="509"/>
        <n x="41"/>
        <n x="494"/>
      </t>
    </mdx>
    <mdx n="508" f="v">
      <t c="3" si="4">
        <n x="509"/>
        <n x="268"/>
        <n x="494"/>
      </t>
    </mdx>
    <mdx n="508" f="v">
      <t c="3" si="4">
        <n x="509"/>
        <n x="253"/>
        <n x="494"/>
      </t>
    </mdx>
    <mdx n="508" f="v">
      <t c="3" si="4">
        <n x="509"/>
        <n x="377"/>
        <n x="495"/>
      </t>
    </mdx>
    <mdx n="508" f="v">
      <t c="3" si="4">
        <n x="509"/>
        <n x="15"/>
        <n x="495"/>
      </t>
    </mdx>
    <mdx n="508" f="v">
      <t c="3" si="4">
        <n x="509"/>
        <n x="186"/>
        <n x="495"/>
      </t>
    </mdx>
    <mdx n="508" f="v">
      <t c="3" si="4">
        <n x="509"/>
        <n x="248"/>
        <n x="495"/>
      </t>
    </mdx>
    <mdx n="508" f="v">
      <t c="3" si="4">
        <n x="509"/>
        <n x="271"/>
        <n x="495"/>
      </t>
    </mdx>
    <mdx n="508" f="v">
      <t c="3" si="4">
        <n x="509"/>
        <n x="351"/>
        <n x="486"/>
      </t>
    </mdx>
    <mdx n="508" f="v">
      <t c="3" si="4">
        <n x="509"/>
        <n x="334"/>
        <n x="492"/>
      </t>
    </mdx>
    <mdx n="508" f="v">
      <t c="3" si="4">
        <n x="509"/>
        <n x="363"/>
        <n x="494"/>
      </t>
    </mdx>
    <mdx n="508" f="v">
      <t c="3" si="4">
        <n x="509"/>
        <n x="178"/>
        <n x="495"/>
      </t>
    </mdx>
    <mdx n="508" f="v">
      <t c="3" si="4">
        <n x="509"/>
        <n x="314"/>
        <n x="483"/>
      </t>
    </mdx>
    <mdx n="508" f="v">
      <t c="3" si="4">
        <n x="509"/>
        <n x="42"/>
        <n x="487"/>
      </t>
    </mdx>
    <mdx n="508" f="v">
      <t c="3" si="4">
        <n x="509"/>
        <n x="223"/>
        <n x="491"/>
      </t>
    </mdx>
    <mdx n="508" f="v">
      <t c="3" si="4">
        <n x="509"/>
        <n x="123"/>
        <n x="492"/>
      </t>
    </mdx>
    <mdx n="508" f="v">
      <t c="3" si="4">
        <n x="509"/>
        <n x="282"/>
        <n x="493"/>
      </t>
    </mdx>
    <mdx n="508" f="v">
      <t c="3" si="4">
        <n x="509"/>
        <n x="3"/>
        <n x="493"/>
      </t>
    </mdx>
    <mdx n="508" f="v">
      <t c="3" si="4">
        <n x="509"/>
        <n x="83"/>
        <n x="494"/>
      </t>
    </mdx>
    <mdx n="508" f="v">
      <t c="3" si="4">
        <n x="509"/>
        <n x="400"/>
        <n x="494"/>
      </t>
    </mdx>
    <mdx n="508" f="v">
      <t c="3" si="4">
        <n x="509"/>
        <n x="367"/>
        <n x="494"/>
      </t>
    </mdx>
    <mdx n="508" f="v">
      <t c="3" si="4">
        <n x="509"/>
        <n x="104"/>
        <n x="494"/>
      </t>
    </mdx>
    <mdx n="508" f="v">
      <t c="3" si="4">
        <n x="509"/>
        <n x="201"/>
        <n x="495"/>
      </t>
    </mdx>
    <mdx n="508" f="v">
      <t c="3" si="4">
        <n x="509"/>
        <n x="189"/>
        <n x="495"/>
      </t>
    </mdx>
    <mdx n="508" f="v">
      <t c="3" si="4">
        <n x="509"/>
        <n x="132"/>
        <n x="495"/>
      </t>
    </mdx>
    <mdx n="508" f="v">
      <t c="3" si="4">
        <n x="509"/>
        <n x="19"/>
        <n x="495"/>
      </t>
    </mdx>
    <mdx n="508" f="v">
      <t c="3" si="4">
        <n x="509"/>
        <n x="427"/>
        <n x="495"/>
      </t>
    </mdx>
    <mdx n="508" f="v">
      <t c="3" si="4">
        <n x="509"/>
        <n x="409"/>
        <n x="495"/>
      </t>
    </mdx>
    <mdx n="508" f="v">
      <t c="3" si="4">
        <n x="509"/>
        <n x="154"/>
        <n x="491"/>
      </t>
    </mdx>
    <mdx n="508" f="v">
      <t c="3" si="4">
        <n x="509"/>
        <n x="372"/>
        <n x="493"/>
      </t>
    </mdx>
    <mdx n="508" f="v">
      <t c="3" si="4">
        <n x="509"/>
        <n x="294"/>
        <n x="494"/>
      </t>
    </mdx>
    <mdx n="508" f="v">
      <t c="3" si="4">
        <n x="509"/>
        <n x="252"/>
        <n x="495"/>
      </t>
    </mdx>
    <mdx n="508" f="v">
      <t c="3" si="4">
        <n x="509"/>
        <n x="273"/>
        <n x="496"/>
      </t>
    </mdx>
    <mdx n="508" f="v">
      <t c="3" si="4">
        <n x="509"/>
        <n x="410"/>
        <n x="496"/>
      </t>
    </mdx>
    <mdx n="508" f="v">
      <t c="3" si="4">
        <n x="509"/>
        <n x="313"/>
        <n x="496"/>
      </t>
    </mdx>
    <mdx n="508" f="v">
      <t c="3" si="4">
        <n x="509"/>
        <n x="123"/>
        <n x="496"/>
      </t>
    </mdx>
    <mdx n="508" f="v">
      <t c="3" si="4">
        <n x="509"/>
        <n x="35"/>
        <n x="496"/>
      </t>
    </mdx>
    <mdx n="508" f="v">
      <t c="3" si="4">
        <n x="509"/>
        <n x="304"/>
        <n x="497"/>
      </t>
    </mdx>
    <mdx n="508" f="v">
      <t c="3" si="4">
        <n x="509"/>
        <n x="379"/>
        <n x="497"/>
      </t>
    </mdx>
    <mdx n="508" f="v">
      <t c="3" si="4">
        <n x="509"/>
        <n x="303"/>
        <n x="499"/>
      </t>
    </mdx>
    <mdx n="508" f="v">
      <t c="3" si="4">
        <n x="509"/>
        <n x="404"/>
        <n x="496"/>
      </t>
    </mdx>
    <mdx n="508" f="v">
      <t c="3" si="4">
        <n x="509"/>
        <n x="193"/>
        <n x="496"/>
      </t>
    </mdx>
    <mdx n="508" f="v">
      <t c="3" si="4">
        <n x="509"/>
        <n x="264"/>
        <n x="496"/>
      </t>
    </mdx>
    <mdx n="508" f="v">
      <t c="3" si="4">
        <n x="509"/>
        <n x="393"/>
        <n x="496"/>
      </t>
    </mdx>
    <mdx n="508" f="v">
      <t c="3" si="4">
        <n x="509"/>
        <n x="68"/>
        <n x="496"/>
      </t>
    </mdx>
    <mdx n="508" f="v">
      <t c="3" si="4">
        <n x="509"/>
        <n x="371"/>
        <n x="497"/>
      </t>
    </mdx>
    <mdx n="508" f="v">
      <t c="3" si="4">
        <n x="509"/>
        <n x="43"/>
        <n x="497"/>
      </t>
    </mdx>
    <mdx n="508" f="v">
      <t c="3" si="4">
        <n x="509"/>
        <n x="179"/>
        <n x="498"/>
      </t>
    </mdx>
    <mdx n="508" f="v">
      <t c="3" si="4">
        <n x="509"/>
        <n x="279"/>
        <n x="496"/>
      </t>
    </mdx>
    <mdx n="508" f="v">
      <t c="3" si="4">
        <n x="509"/>
        <n x="312"/>
        <n x="496"/>
      </t>
    </mdx>
    <mdx n="508" f="v">
      <t c="3" si="4">
        <n x="509"/>
        <n x="241"/>
        <n x="496"/>
      </t>
    </mdx>
    <mdx n="508" f="v">
      <t c="3" si="4">
        <n x="509"/>
        <n x="284"/>
        <n x="496"/>
      </t>
    </mdx>
    <mdx n="508" f="v">
      <t c="3" si="4">
        <n x="509"/>
        <n x="399"/>
        <n x="496"/>
      </t>
    </mdx>
    <mdx n="508" f="v">
      <t c="3" si="4">
        <n x="509"/>
        <n x="332"/>
        <n x="496"/>
      </t>
    </mdx>
    <mdx n="508" f="v">
      <t c="3" si="4">
        <n x="509"/>
        <n x="424"/>
        <n x="496"/>
      </t>
    </mdx>
    <mdx n="508" f="v">
      <t c="3" si="4">
        <n x="509"/>
        <n x="457"/>
        <n x="497"/>
      </t>
    </mdx>
    <mdx n="508" f="v">
      <t c="3" si="4">
        <n x="509"/>
        <n x="348"/>
        <n x="497"/>
      </t>
    </mdx>
    <mdx n="508" f="v">
      <t c="3" si="4">
        <n x="509"/>
        <n x="25"/>
        <n x="497"/>
      </t>
    </mdx>
    <mdx n="508" f="v">
      <t c="3" si="4">
        <n x="509"/>
        <n x="441"/>
        <n x="497"/>
      </t>
    </mdx>
    <mdx n="508" f="v">
      <t c="3" si="4">
        <n x="509"/>
        <n x="140"/>
        <n x="497"/>
      </t>
    </mdx>
    <mdx n="508" f="v">
      <t c="3" si="4">
        <n x="509"/>
        <n x="316"/>
        <n x="497"/>
      </t>
    </mdx>
    <mdx n="508" f="v">
      <t c="3" si="4">
        <n x="509"/>
        <n x="436"/>
        <n x="497"/>
      </t>
    </mdx>
    <mdx n="508" f="v">
      <t c="3" si="4">
        <n x="509"/>
        <n x="148"/>
        <n x="498"/>
      </t>
    </mdx>
    <mdx n="508" f="v">
      <t c="3" si="4">
        <n x="509"/>
        <n x="327"/>
        <n x="498"/>
      </t>
    </mdx>
    <mdx n="508" f="v">
      <t c="3" si="4">
        <n x="509"/>
        <n x="361"/>
        <n x="498"/>
      </t>
    </mdx>
    <mdx n="508" f="v">
      <t c="3" si="4">
        <n x="509"/>
        <n x="98"/>
        <n x="498"/>
      </t>
    </mdx>
    <mdx n="508" f="v">
      <t c="3" si="4">
        <n x="509"/>
        <n x="109"/>
        <n x="498"/>
      </t>
    </mdx>
    <mdx n="508" f="v">
      <t c="3" si="4">
        <n x="509"/>
        <n x="254"/>
        <n x="498"/>
      </t>
    </mdx>
    <mdx n="508" f="v">
      <t c="3" si="4">
        <n x="509"/>
        <n x="330"/>
        <n x="499"/>
      </t>
    </mdx>
    <mdx n="508" f="v">
      <t c="3" si="4">
        <n x="509"/>
        <n x="224"/>
        <n x="499"/>
      </t>
    </mdx>
    <mdx n="508" f="v">
      <t c="3" si="4">
        <n x="509"/>
        <n x="200"/>
        <n x="496"/>
      </t>
    </mdx>
    <mdx n="508" f="v">
      <t c="3" si="4">
        <n x="509"/>
        <n x="8"/>
        <n x="496"/>
      </t>
    </mdx>
    <mdx n="508" f="v">
      <t c="3" si="4">
        <n x="509"/>
        <n x="109"/>
        <n x="496"/>
      </t>
    </mdx>
    <mdx n="508" f="v">
      <t c="3" si="4">
        <n x="509"/>
        <n x="76"/>
        <n x="496"/>
      </t>
    </mdx>
    <mdx n="508" f="v">
      <t c="3" si="4">
        <n x="509"/>
        <n x="337"/>
        <n x="496"/>
      </t>
    </mdx>
    <mdx n="508" f="v">
      <t c="3" si="4">
        <n x="509"/>
        <n x="273"/>
        <n x="497"/>
      </t>
    </mdx>
    <mdx n="508" f="v">
      <t c="3" si="4">
        <n x="509"/>
        <n x="245"/>
        <n x="497"/>
      </t>
    </mdx>
    <mdx n="508" f="v">
      <t c="3" si="4">
        <n x="509"/>
        <n x="385"/>
        <n x="497"/>
      </t>
    </mdx>
    <mdx n="508" f="v">
      <t c="3" si="4">
        <n x="509"/>
        <n x="422"/>
        <n x="497"/>
      </t>
    </mdx>
    <mdx n="508" f="v">
      <t c="3" si="4">
        <n x="509"/>
        <n x="326"/>
        <n x="497"/>
      </t>
    </mdx>
    <mdx n="508" f="v">
      <t c="3" si="4">
        <n x="509"/>
        <n x="71"/>
        <n x="497"/>
      </t>
    </mdx>
    <mdx n="508" f="v">
      <t c="3" si="4">
        <n x="509"/>
        <n x="56"/>
        <n x="497"/>
      </t>
    </mdx>
    <mdx n="508" f="v">
      <t c="3" si="4">
        <n x="509"/>
        <n x="68"/>
        <n x="498"/>
      </t>
    </mdx>
    <mdx n="508" f="v">
      <t c="3" si="4">
        <n x="509"/>
        <n x="219"/>
        <n x="498"/>
      </t>
    </mdx>
    <mdx n="508" f="v">
      <t c="3" si="4">
        <n x="509"/>
        <n x="231"/>
        <n x="498"/>
      </t>
    </mdx>
    <mdx n="508" f="v">
      <t c="3" si="4">
        <n x="509"/>
        <n x="455"/>
        <n x="498"/>
      </t>
    </mdx>
    <mdx n="508" f="v">
      <t c="3" si="4">
        <n x="509"/>
        <n x="7"/>
        <n x="498"/>
      </t>
    </mdx>
    <mdx n="508" f="v">
      <t c="3" si="4">
        <n x="509"/>
        <n x="152"/>
        <n x="498"/>
      </t>
    </mdx>
    <mdx n="508" f="v">
      <t c="3" si="4">
        <n x="509"/>
        <n x="377"/>
        <n x="499"/>
      </t>
    </mdx>
    <mdx n="508" f="v">
      <t c="3" si="4">
        <n x="509"/>
        <n x="140"/>
        <n x="499"/>
      </t>
    </mdx>
    <mdx n="508" f="v">
      <t c="3" si="4">
        <n x="509"/>
        <n x="178"/>
        <n x="497"/>
      </t>
    </mdx>
    <mdx n="508" f="v">
      <t c="3" si="4">
        <n x="509"/>
        <n x="408"/>
        <n x="497"/>
      </t>
    </mdx>
    <mdx n="508" f="v">
      <t c="3" si="4">
        <n x="509"/>
        <n x="9"/>
        <n x="497"/>
      </t>
    </mdx>
    <mdx n="508" f="v">
      <t c="3" si="4">
        <n x="509"/>
        <n x="425"/>
        <n x="497"/>
      </t>
    </mdx>
    <mdx n="508" f="v">
      <t c="3" si="4">
        <n x="509"/>
        <n x="338"/>
        <n x="498"/>
      </t>
    </mdx>
    <mdx n="508" f="v">
      <t c="3" si="4">
        <n x="509"/>
        <n x="232"/>
        <n x="498"/>
      </t>
    </mdx>
    <mdx n="508" f="v">
      <t c="3" si="4">
        <n x="509"/>
        <n x="269"/>
        <n x="498"/>
      </t>
    </mdx>
    <mdx n="508" f="v">
      <t c="3" si="4">
        <n x="509"/>
        <n x="79"/>
        <n x="498"/>
      </t>
    </mdx>
    <mdx n="508" f="v">
      <t c="3" si="4">
        <n x="509"/>
        <n x="218"/>
        <n x="498"/>
      </t>
    </mdx>
    <mdx n="508" f="v">
      <t c="3" si="4">
        <n x="509"/>
        <n x="73"/>
        <n x="498"/>
      </t>
    </mdx>
    <mdx n="508" f="v">
      <t c="3" si="4">
        <n x="509"/>
        <n x="235"/>
        <n x="499"/>
      </t>
    </mdx>
    <mdx n="508" f="v">
      <t c="3" si="4">
        <n x="509"/>
        <n x="213"/>
        <n x="499"/>
      </t>
    </mdx>
    <mdx n="508" f="v">
      <t c="3" si="4">
        <n x="509"/>
        <n x="108"/>
        <n x="496"/>
      </t>
    </mdx>
    <mdx n="508" f="v">
      <t c="3" si="4">
        <n x="509"/>
        <n x="387"/>
        <n x="496"/>
      </t>
    </mdx>
    <mdx n="508" f="v">
      <t c="3" si="4">
        <n x="509"/>
        <n x="93"/>
        <n x="496"/>
      </t>
    </mdx>
    <mdx n="508" f="v">
      <t c="3" si="4">
        <n x="509"/>
        <n x="255"/>
        <n x="496"/>
      </t>
    </mdx>
    <mdx n="508" f="v">
      <t c="3" si="4">
        <n x="509"/>
        <n x="64"/>
        <n x="496"/>
      </t>
    </mdx>
    <mdx n="508" f="v">
      <t c="3" si="4">
        <n x="509"/>
        <n x="216"/>
        <n x="496"/>
      </t>
    </mdx>
    <mdx n="508" f="v">
      <t c="3" si="4">
        <n x="509"/>
        <n x="328"/>
        <n x="496"/>
      </t>
    </mdx>
    <mdx n="508" f="v">
      <t c="3" si="4">
        <n x="509"/>
        <n x="292"/>
        <n x="497"/>
      </t>
    </mdx>
    <mdx n="508" f="v">
      <t c="3" si="4">
        <n x="509"/>
        <n x="232"/>
        <n x="497"/>
      </t>
    </mdx>
    <mdx n="508" f="v">
      <t c="3" si="4">
        <n x="509"/>
        <n x="295"/>
        <n x="497"/>
      </t>
    </mdx>
    <mdx n="508" f="v">
      <t c="3" si="4">
        <n x="509"/>
        <n x="147"/>
        <n x="497"/>
      </t>
    </mdx>
    <mdx n="508" f="v">
      <t c="3" si="4">
        <n x="509"/>
        <n x="313"/>
        <n x="497"/>
      </t>
    </mdx>
    <mdx n="508" f="v">
      <t c="3" si="4">
        <n x="509"/>
        <n x="266"/>
        <n x="497"/>
      </t>
    </mdx>
    <mdx n="508" f="v">
      <t c="3" si="4">
        <n x="509"/>
        <n x="240"/>
        <n x="497"/>
      </t>
    </mdx>
    <mdx n="508" f="v">
      <t c="3" si="4">
        <n x="509"/>
        <n x="107"/>
        <n x="497"/>
      </t>
    </mdx>
    <mdx n="508" f="v">
      <t c="3" si="4">
        <n x="509"/>
        <n x="279"/>
        <n x="498"/>
      </t>
    </mdx>
    <mdx n="508" f="v">
      <t c="3" si="4">
        <n x="509"/>
        <n x="245"/>
        <n x="498"/>
      </t>
    </mdx>
    <mdx n="508" f="v">
      <t c="3" si="4">
        <n x="509"/>
        <n x="132"/>
        <n x="498"/>
      </t>
    </mdx>
    <mdx n="508" f="v">
      <t c="3" si="4">
        <n x="509"/>
        <n x="66"/>
        <n x="498"/>
      </t>
    </mdx>
    <mdx n="508" f="v">
      <t c="3" si="4">
        <n x="509"/>
        <n x="209"/>
        <n x="498"/>
      </t>
    </mdx>
    <mdx n="508" f="v">
      <t c="3" si="4">
        <n x="509"/>
        <n x="293"/>
        <n x="499"/>
      </t>
    </mdx>
    <mdx n="508" f="v">
      <t c="3" si="4">
        <n x="509"/>
        <n x="143"/>
        <n x="499"/>
      </t>
    </mdx>
    <mdx n="508" f="v">
      <t c="3" si="4">
        <n x="509"/>
        <n x="186"/>
        <n x="500"/>
      </t>
    </mdx>
    <mdx n="508" f="v">
      <t c="3" si="4">
        <n x="509"/>
        <n x="163"/>
        <n x="497"/>
      </t>
    </mdx>
    <mdx n="508" f="v">
      <t c="3" si="4">
        <n x="509"/>
        <n x="315"/>
        <n x="497"/>
      </t>
    </mdx>
    <mdx n="508" f="v">
      <t c="3" si="4">
        <n x="509"/>
        <n x="294"/>
        <n x="497"/>
      </t>
    </mdx>
    <mdx n="508" f="v">
      <t c="3" si="4">
        <n x="509"/>
        <n x="269"/>
        <n x="497"/>
      </t>
    </mdx>
    <mdx n="508" f="v">
      <t c="3" si="4">
        <n x="509"/>
        <n x="290"/>
        <n x="497"/>
      </t>
    </mdx>
    <mdx n="508" f="v">
      <t c="3" si="4">
        <n x="509"/>
        <n x="34"/>
        <n x="497"/>
      </t>
    </mdx>
    <mdx n="508" f="v">
      <t c="3" si="4">
        <n x="509"/>
        <n x="104"/>
        <n x="497"/>
      </t>
    </mdx>
    <mdx n="508" f="v">
      <t c="3" si="4">
        <n x="509"/>
        <n x="80"/>
        <n x="497"/>
      </t>
    </mdx>
    <mdx n="508" f="v">
      <t c="3" si="4">
        <n x="509"/>
        <n x="434"/>
        <n x="498"/>
      </t>
    </mdx>
    <mdx n="508" f="v">
      <t c="3" si="4">
        <n x="509"/>
        <n x="225"/>
        <n x="498"/>
      </t>
    </mdx>
    <mdx n="508" f="v">
      <t c="3" si="4">
        <n x="509"/>
        <n x="49"/>
        <n x="498"/>
      </t>
    </mdx>
    <mdx n="508" f="v">
      <t c="3" si="4">
        <n x="509"/>
        <n x="170"/>
        <n x="498"/>
      </t>
    </mdx>
    <mdx n="508" f="v">
      <t c="3" si="4">
        <n x="509"/>
        <n x="124"/>
        <n x="498"/>
      </t>
    </mdx>
    <mdx n="508" f="v">
      <t c="3" si="4">
        <n x="509"/>
        <n x="370"/>
        <n x="499"/>
      </t>
    </mdx>
    <mdx n="508" f="v">
      <t c="3" si="4">
        <n x="509"/>
        <n x="311"/>
        <n x="499"/>
      </t>
    </mdx>
    <mdx n="508" f="v">
      <t c="3" si="4">
        <n x="509"/>
        <n x="95"/>
        <n x="500"/>
      </t>
    </mdx>
    <mdx n="508" f="v">
      <t c="3" si="4">
        <n x="509"/>
        <n x="226"/>
        <n x="497"/>
      </t>
    </mdx>
    <mdx n="508" f="v">
      <t c="3" si="4">
        <n x="509"/>
        <n x="449"/>
        <n x="497"/>
      </t>
    </mdx>
    <mdx n="508" f="v">
      <t c="3" si="4">
        <n x="509"/>
        <n x="69"/>
        <n x="497"/>
      </t>
    </mdx>
    <mdx n="508" f="v">
      <t c="3" si="4">
        <n x="509"/>
        <n x="98"/>
        <n x="497"/>
      </t>
    </mdx>
    <mdx n="508" f="v">
      <t c="3" si="4">
        <n x="509"/>
        <n x="161"/>
        <n x="497"/>
      </t>
    </mdx>
    <mdx n="508" f="v">
      <t c="3" si="4">
        <n x="509"/>
        <n x="122"/>
        <n x="497"/>
      </t>
    </mdx>
    <mdx n="508" f="v">
      <t c="3" si="4">
        <n x="509"/>
        <n x="16"/>
        <n x="497"/>
      </t>
    </mdx>
    <mdx n="508" f="v">
      <t c="3" si="4">
        <n x="509"/>
        <n x="187"/>
        <n x="498"/>
      </t>
    </mdx>
    <mdx n="508" f="v">
      <t c="3" si="4">
        <n x="509"/>
        <n x="401"/>
        <n x="498"/>
      </t>
    </mdx>
    <mdx n="508" f="v">
      <t c="3" si="4">
        <n x="509"/>
        <n x="463"/>
        <n x="498"/>
      </t>
    </mdx>
    <mdx n="508" f="v">
      <t c="3" si="4">
        <n x="509"/>
        <n x="280"/>
        <n x="498"/>
      </t>
    </mdx>
    <mdx n="508" f="v">
      <t c="3" si="4">
        <n x="509"/>
        <n x="277"/>
        <n x="498"/>
      </t>
    </mdx>
    <mdx n="508" f="v">
      <t c="3" si="4">
        <n x="509"/>
        <n x="53"/>
        <n x="499"/>
      </t>
    </mdx>
    <mdx n="508" f="v">
      <t c="3" si="4">
        <n x="509"/>
        <n x="241"/>
        <n x="499"/>
      </t>
    </mdx>
    <mdx n="508" f="v">
      <t c="3" si="4">
        <n x="509"/>
        <n x="299"/>
        <n x="500"/>
      </t>
    </mdx>
    <mdx n="508" f="v">
      <t c="3" si="4">
        <n x="509"/>
        <n x="91"/>
        <n x="497"/>
      </t>
    </mdx>
    <mdx n="508" f="v">
      <t c="3" si="4">
        <n x="509"/>
        <n x="39"/>
        <n x="497"/>
      </t>
    </mdx>
    <mdx n="508" f="v">
      <t c="3" si="4">
        <n x="509"/>
        <n x="249"/>
        <n x="497"/>
      </t>
    </mdx>
    <mdx n="508" f="v">
      <t c="3" si="4">
        <n x="509"/>
        <n x="35"/>
        <n x="498"/>
      </t>
    </mdx>
    <mdx n="508" f="v">
      <t c="3" si="4">
        <n x="509"/>
        <n x="351"/>
        <n x="498"/>
      </t>
    </mdx>
    <mdx n="508" f="v">
      <t c="3" si="4">
        <n x="509"/>
        <n x="449"/>
        <n x="498"/>
      </t>
    </mdx>
    <mdx n="508" f="v">
      <t c="3" si="4">
        <n x="509"/>
        <n x="181"/>
        <n x="498"/>
      </t>
    </mdx>
    <mdx n="508" f="v">
      <t c="3" si="4">
        <n x="509"/>
        <n x="324"/>
        <n x="498"/>
      </t>
    </mdx>
    <mdx n="508" f="v">
      <t c="3" si="4">
        <n x="509"/>
        <n x="310"/>
        <n x="498"/>
      </t>
    </mdx>
    <mdx n="508" f="v">
      <t c="3" si="4">
        <n x="509"/>
        <n x="83"/>
        <n x="499"/>
      </t>
    </mdx>
    <mdx n="508" f="v">
      <t c="3" si="4">
        <n x="509"/>
        <n x="375"/>
        <n x="499"/>
      </t>
    </mdx>
    <mdx n="508" f="v">
      <t c="3" si="4">
        <n x="509"/>
        <n x="170"/>
        <n x="499"/>
      </t>
    </mdx>
    <mdx n="508" f="v">
      <t c="3" si="4">
        <n x="509"/>
        <n x="214"/>
        <n x="499"/>
      </t>
    </mdx>
    <mdx n="508" f="v">
      <t c="3" si="4">
        <n x="509"/>
        <n x="100"/>
        <n x="500"/>
      </t>
    </mdx>
    <mdx n="508" f="v">
      <t c="3" si="4">
        <n x="509"/>
        <n x="150"/>
        <n x="500"/>
      </t>
    </mdx>
    <mdx n="508" f="v">
      <t c="3" si="4">
        <n x="509"/>
        <n x="251"/>
        <n x="500"/>
      </t>
    </mdx>
    <mdx n="508" f="v">
      <t c="3" si="4">
        <n x="509"/>
        <n x="434"/>
        <n x="501"/>
      </t>
    </mdx>
    <mdx n="508" f="v">
      <t c="3" si="4">
        <n x="509"/>
        <n x="10"/>
        <n x="501"/>
      </t>
    </mdx>
    <mdx n="508" f="v">
      <t c="3" si="4">
        <n x="509"/>
        <n x="343"/>
        <n x="498"/>
      </t>
    </mdx>
    <mdx n="508" f="v">
      <t c="3" si="4">
        <n x="509"/>
        <n x="128"/>
        <n x="498"/>
      </t>
    </mdx>
    <mdx n="508" f="v">
      <t c="3" si="4">
        <n x="509"/>
        <n x="447"/>
        <n x="498"/>
      </t>
    </mdx>
    <mdx n="508" f="v">
      <t c="3" si="4">
        <n x="509"/>
        <n x="329"/>
        <n x="498"/>
      </t>
    </mdx>
    <mdx n="508" f="v">
      <t c="3" si="4">
        <n x="509"/>
        <n x="195"/>
        <n x="498"/>
      </t>
    </mdx>
    <mdx n="508" f="v">
      <t c="3" si="4">
        <n x="509"/>
        <n x="288"/>
        <n x="499"/>
      </t>
    </mdx>
    <mdx n="508" f="v">
      <t c="3" si="4">
        <n x="509"/>
        <n x="89"/>
        <n x="499"/>
      </t>
    </mdx>
    <mdx n="508" f="v">
      <t c="3" si="4">
        <n x="509"/>
        <n x="15"/>
        <n x="499"/>
      </t>
    </mdx>
    <mdx n="508" f="v">
      <t c="3" si="4">
        <n x="509"/>
        <n x="255"/>
        <n x="499"/>
      </t>
    </mdx>
    <mdx n="508" f="v">
      <t c="3" si="4">
        <n x="509"/>
        <n x="333"/>
        <n x="499"/>
      </t>
    </mdx>
    <mdx n="508" f="v">
      <t c="3" si="4">
        <n x="509"/>
        <n x="325"/>
        <n x="499"/>
      </t>
    </mdx>
    <mdx n="508" f="v">
      <t c="3" si="4">
        <n x="509"/>
        <n x="296"/>
        <n x="500"/>
      </t>
    </mdx>
    <mdx n="508" f="v">
      <t c="3" si="4">
        <n x="509"/>
        <n x="359"/>
        <n x="500"/>
      </t>
    </mdx>
    <mdx n="508" f="v">
      <t c="3" si="4">
        <n x="509"/>
        <n x="78"/>
        <n x="500"/>
      </t>
    </mdx>
    <mdx n="508" f="v">
      <t c="3" si="4">
        <n x="509"/>
        <n x="301"/>
        <n x="501"/>
      </t>
    </mdx>
    <mdx n="508" f="v">
      <t c="3" si="4">
        <n x="509"/>
        <n x="35"/>
        <n x="501"/>
      </t>
    </mdx>
    <mdx n="508" f="v">
      <t c="3" si="4">
        <n x="509"/>
        <n x="410"/>
        <n x="498"/>
      </t>
    </mdx>
    <mdx n="508" f="v">
      <t c="3" si="4">
        <n x="509"/>
        <n x="238"/>
        <n x="498"/>
      </t>
    </mdx>
    <mdx n="508" f="v">
      <t c="3" si="4">
        <n x="509"/>
        <n x="62"/>
        <n x="498"/>
      </t>
    </mdx>
    <mdx n="508" f="v">
      <t c="3" si="4">
        <n x="509"/>
        <n x="126"/>
        <n x="498"/>
      </t>
    </mdx>
    <mdx n="508" f="v">
      <t c="3" si="4">
        <n x="509"/>
        <n x="60"/>
        <n x="498"/>
      </t>
    </mdx>
    <mdx n="508" f="v">
      <t c="3" si="4">
        <n x="509"/>
        <n x="277"/>
        <n x="499"/>
      </t>
    </mdx>
    <mdx n="508" f="v">
      <t c="3" si="4">
        <n x="509"/>
        <n x="84"/>
        <n x="499"/>
      </t>
    </mdx>
    <mdx n="508" f="v">
      <t c="3" si="4">
        <n x="509"/>
        <n x="314"/>
        <n x="499"/>
      </t>
    </mdx>
    <mdx n="508" f="v">
      <t c="3" si="4">
        <n x="509"/>
        <n x="141"/>
        <n x="499"/>
      </t>
    </mdx>
    <mdx n="508" f="v">
      <t c="3" si="4">
        <n x="509"/>
        <n x="130"/>
        <n x="499"/>
      </t>
    </mdx>
    <mdx n="508" f="v">
      <t c="3" si="4">
        <n x="509"/>
        <n x="197"/>
        <n x="499"/>
      </t>
    </mdx>
    <mdx n="508" f="v">
      <t c="3" si="4">
        <n x="509"/>
        <n x="459"/>
        <n x="500"/>
      </t>
    </mdx>
    <mdx n="508" f="v">
      <t c="3" si="4">
        <n x="509"/>
        <n x="348"/>
        <n x="500"/>
      </t>
    </mdx>
    <mdx n="508" f="v">
      <t c="3" si="4">
        <n x="509"/>
        <n x="7"/>
        <n x="500"/>
      </t>
    </mdx>
    <mdx n="508" f="v">
      <t c="3" si="4">
        <n x="509"/>
        <n x="456"/>
        <n x="501"/>
      </t>
    </mdx>
    <mdx n="508" f="v">
      <t c="3" si="4">
        <n x="509"/>
        <n x="398"/>
        <n x="501"/>
      </t>
    </mdx>
    <mdx n="508" f="v">
      <t c="3" si="4">
        <n x="509"/>
        <n x="446"/>
        <n x="499"/>
      </t>
    </mdx>
    <mdx n="508" f="v">
      <t c="3" si="4">
        <n x="509"/>
        <n x="284"/>
        <n x="499"/>
      </t>
    </mdx>
    <mdx n="508" f="v">
      <t c="3" si="4">
        <n x="509"/>
        <n x="308"/>
        <n x="499"/>
      </t>
    </mdx>
    <mdx n="508" f="v">
      <t c="3" si="4">
        <n x="509"/>
        <n x="337"/>
        <n x="499"/>
      </t>
    </mdx>
    <mdx n="508" f="v">
      <t c="3" si="4">
        <n x="509"/>
        <n x="89"/>
        <n x="500"/>
      </t>
    </mdx>
    <mdx n="508" f="v">
      <t c="3" si="4">
        <n x="509"/>
        <n x="14"/>
        <n x="500"/>
      </t>
    </mdx>
    <mdx n="508" f="v">
      <t c="3" si="4">
        <n x="509"/>
        <n x="436"/>
        <n x="500"/>
      </t>
    </mdx>
    <mdx n="508" f="v">
      <t c="3" si="4">
        <n x="509"/>
        <n x="178"/>
        <n x="501"/>
      </t>
    </mdx>
    <mdx n="508" f="v">
      <t c="3" si="4">
        <n x="509"/>
        <n x="334"/>
        <n x="502"/>
      </t>
    </mdx>
    <mdx n="508" f="v">
      <t c="3" si="4">
        <n x="509"/>
        <n x="431"/>
        <n x="499"/>
      </t>
    </mdx>
    <mdx n="508" f="v">
      <t c="3" si="4">
        <n x="509"/>
        <n x="194"/>
        <n x="499"/>
      </t>
    </mdx>
    <mdx n="508" f="v">
      <t c="3" si="4">
        <n x="509"/>
        <n x="211"/>
        <n x="499"/>
      </t>
    </mdx>
    <mdx n="508" f="v">
      <t c="3" si="4">
        <n x="509"/>
        <n x="135"/>
        <n x="499"/>
      </t>
    </mdx>
    <mdx n="508" f="v">
      <t c="3" si="4">
        <n x="509"/>
        <n x="278"/>
        <n x="500"/>
      </t>
    </mdx>
    <mdx n="508" f="v">
      <t c="3" si="4">
        <n x="509"/>
        <n x="221"/>
        <n x="500"/>
      </t>
    </mdx>
    <mdx n="508" f="v">
      <t c="3" si="4">
        <n x="509"/>
        <n x="211"/>
        <n x="500"/>
      </t>
    </mdx>
    <mdx n="508" f="v">
      <t c="3" si="4">
        <n x="509"/>
        <n x="50"/>
        <n x="501"/>
      </t>
    </mdx>
    <mdx n="508" f="v">
      <t c="3" si="4">
        <n x="509"/>
        <n x="280"/>
        <n x="501"/>
      </t>
    </mdx>
    <mdx n="508" f="v">
      <t c="3" si="4">
        <n x="509"/>
        <n x="438"/>
        <n x="504"/>
      </t>
    </mdx>
    <mdx n="508" f="v">
      <t c="3" si="4">
        <n x="509"/>
        <n x="104"/>
        <n x="498"/>
      </t>
    </mdx>
    <mdx n="508" f="v">
      <t c="3" si="4">
        <n x="509"/>
        <n x="375"/>
        <n x="498"/>
      </t>
    </mdx>
    <mdx n="508" f="v">
      <t c="3" si="4">
        <n x="509"/>
        <n x="134"/>
        <n x="499"/>
      </t>
    </mdx>
    <mdx n="508" f="v">
      <t c="3" si="4">
        <n x="509"/>
        <n x="44"/>
        <n x="499"/>
      </t>
    </mdx>
    <mdx n="508" f="v">
      <t c="3" si="4">
        <n x="509"/>
        <n x="192"/>
        <n x="499"/>
      </t>
    </mdx>
    <mdx n="508" f="v">
      <t c="3" si="4">
        <n x="509"/>
        <n x="202"/>
        <n x="499"/>
      </t>
    </mdx>
    <mdx n="508" f="v">
      <t c="3" si="4">
        <n x="509"/>
        <n x="332"/>
        <n x="499"/>
      </t>
    </mdx>
    <mdx n="508" f="v">
      <t c="3" si="4">
        <n x="509"/>
        <n x="266"/>
        <n x="500"/>
      </t>
    </mdx>
    <mdx n="508" f="v">
      <t c="3" si="4">
        <n x="509"/>
        <n x="11"/>
        <n x="500"/>
      </t>
    </mdx>
    <mdx n="508" f="v">
      <t c="3" si="4">
        <n x="509"/>
        <n x="71"/>
        <n x="500"/>
      </t>
    </mdx>
    <mdx n="508" f="v">
      <t c="3" si="4">
        <n x="509"/>
        <n x="338"/>
        <n x="501"/>
      </t>
    </mdx>
    <mdx n="508" f="v">
      <t c="3" si="4">
        <n x="509"/>
        <n x="438"/>
        <n x="501"/>
      </t>
    </mdx>
    <mdx n="508" f="v">
      <t c="3" si="4">
        <n x="509"/>
        <n x="407"/>
        <n x="505"/>
      </t>
    </mdx>
    <mdx n="508" f="v">
      <t c="3" si="4">
        <n x="509"/>
        <n x="406"/>
        <n x="499"/>
      </t>
    </mdx>
    <mdx n="508" f="v">
      <t c="3" si="4">
        <n x="509"/>
        <n x="393"/>
        <n x="499"/>
      </t>
    </mdx>
    <mdx n="508" f="v">
      <t c="3" si="4">
        <n x="509"/>
        <n x="430"/>
        <n x="499"/>
      </t>
    </mdx>
    <mdx n="508" f="v">
      <t c="3" si="4">
        <n x="509"/>
        <n x="443"/>
        <n x="500"/>
      </t>
    </mdx>
    <mdx n="508" f="v">
      <t c="3" si="4">
        <n x="509"/>
        <n x="46"/>
        <n x="500"/>
      </t>
    </mdx>
    <mdx n="508" f="v">
      <t c="3" si="4">
        <n x="509"/>
        <n x="26"/>
        <n x="500"/>
      </t>
    </mdx>
    <mdx n="508" f="v">
      <t c="3" si="4">
        <n x="509"/>
        <n x="401"/>
        <n x="501"/>
      </t>
    </mdx>
    <mdx n="508" f="v">
      <t c="3" si="4">
        <n x="509"/>
        <n x="293"/>
        <n x="502"/>
      </t>
    </mdx>
    <mdx n="508" f="v">
      <t c="3" si="4">
        <n x="509"/>
        <n x="48"/>
        <n x="500"/>
      </t>
    </mdx>
    <mdx n="508" f="v">
      <t c="3" si="4">
        <n x="509"/>
        <n x="161"/>
        <n x="501"/>
      </t>
    </mdx>
    <mdx n="508" f="v">
      <t c="3" si="4">
        <n x="509"/>
        <n x="416"/>
        <n x="501"/>
      </t>
    </mdx>
    <mdx n="508" f="v">
      <t c="3" si="4">
        <n x="509"/>
        <n x="8"/>
        <n x="501"/>
      </t>
    </mdx>
    <mdx n="508" f="v">
      <t c="3" si="4">
        <n x="509"/>
        <n x="70"/>
        <n x="501"/>
      </t>
    </mdx>
    <mdx n="508" f="v">
      <t c="3" si="4">
        <n x="509"/>
        <n x="413"/>
        <n x="501"/>
      </t>
    </mdx>
    <mdx n="508" f="v">
      <t c="3" si="4">
        <n x="509"/>
        <n x="179"/>
        <n x="501"/>
      </t>
    </mdx>
    <mdx n="508" f="v">
      <t c="3" si="4">
        <n x="509"/>
        <n x="337"/>
        <n x="502"/>
      </t>
    </mdx>
    <mdx n="508" f="v">
      <t c="3" si="4">
        <n x="509"/>
        <n x="280"/>
        <n x="502"/>
      </t>
    </mdx>
    <mdx n="508" f="v">
      <t c="3" si="4">
        <n x="509"/>
        <n x="330"/>
        <n x="504"/>
      </t>
    </mdx>
    <mdx n="508" f="v">
      <t c="3" si="4">
        <n x="509"/>
        <n x="455"/>
        <n x="499"/>
      </t>
    </mdx>
    <mdx n="508" f="v">
      <t c="3" si="4">
        <n x="509"/>
        <n x="7"/>
        <n x="499"/>
      </t>
    </mdx>
    <mdx n="508" f="v">
      <t c="3" si="4">
        <n x="509"/>
        <n x="95"/>
        <n x="499"/>
      </t>
    </mdx>
    <mdx n="508" f="v">
      <t c="3" si="4">
        <n x="509"/>
        <n x="239"/>
        <n x="499"/>
      </t>
    </mdx>
    <mdx n="508" f="v">
      <t c="3" si="4">
        <n x="509"/>
        <n x="331"/>
        <n x="500"/>
      </t>
    </mdx>
    <mdx n="508" f="v">
      <t c="3" si="4">
        <n x="509"/>
        <n x="167"/>
        <n x="500"/>
      </t>
    </mdx>
    <mdx n="508" f="v">
      <t c="3" si="4">
        <n x="509"/>
        <n x="368"/>
        <n x="500"/>
      </t>
    </mdx>
    <mdx n="508" f="v">
      <t c="3" si="4">
        <n x="509"/>
        <n x="295"/>
        <n x="500"/>
      </t>
    </mdx>
    <mdx n="508" f="v">
      <t c="3" si="4">
        <n x="509"/>
        <n x="149"/>
        <n x="500"/>
      </t>
    </mdx>
    <mdx n="508" f="v">
      <t c="3" si="4">
        <n x="509"/>
        <n x="308"/>
        <n x="500"/>
      </t>
    </mdx>
    <mdx n="508" f="v">
      <t c="3" si="4">
        <n x="509"/>
        <n x="435"/>
        <n x="500"/>
      </t>
    </mdx>
    <mdx n="508" f="v">
      <t c="3" si="4">
        <n x="509"/>
        <n x="191"/>
        <n x="501"/>
      </t>
    </mdx>
    <mdx n="508" f="v">
      <t c="3" si="4">
        <n x="509"/>
        <n x="309"/>
        <n x="501"/>
      </t>
    </mdx>
    <mdx n="508" f="v">
      <t c="3" si="4">
        <n x="509"/>
        <n x="391"/>
        <n x="501"/>
      </t>
    </mdx>
    <mdx n="508" f="v">
      <t c="3" si="4">
        <n x="509"/>
        <n x="390"/>
        <n x="501"/>
      </t>
    </mdx>
    <mdx n="508" f="v">
      <t c="3" si="4">
        <n x="509"/>
        <n x="140"/>
        <n x="501"/>
      </t>
    </mdx>
    <mdx n="508" f="v">
      <t c="3" si="4">
        <n x="509"/>
        <n x="362"/>
        <n x="501"/>
      </t>
    </mdx>
    <mdx n="508" f="v">
      <t c="3" si="4">
        <n x="509"/>
        <n x="304"/>
        <n x="502"/>
      </t>
    </mdx>
    <mdx n="508" f="v">
      <t c="3" si="4">
        <n x="509"/>
        <n x="13"/>
        <n x="502"/>
      </t>
    </mdx>
    <mdx n="508" f="v">
      <t c="3" si="4">
        <n x="509"/>
        <n x="462"/>
        <n x="499"/>
      </t>
    </mdx>
    <mdx n="508" f="v">
      <t c="3" si="4">
        <n x="509"/>
        <n x="126"/>
        <n x="499"/>
      </t>
    </mdx>
    <mdx n="508" f="v">
      <t c="3" si="4">
        <n x="509"/>
        <n x="272"/>
        <n x="499"/>
      </t>
    </mdx>
    <mdx n="508" f="v">
      <t c="3" si="4">
        <n x="509"/>
        <n x="103"/>
        <n x="499"/>
      </t>
    </mdx>
    <mdx n="508" f="v">
      <t c="3" si="4">
        <n x="509"/>
        <n x="364"/>
        <n x="500"/>
      </t>
    </mdx>
    <mdx n="508" f="v">
      <t c="3" si="4">
        <n x="509"/>
        <n x="137"/>
        <n x="500"/>
      </t>
    </mdx>
    <mdx n="508" f="v">
      <t c="3" si="4">
        <n x="509"/>
        <n x="281"/>
        <n x="500"/>
      </t>
    </mdx>
    <mdx n="508" f="v">
      <t c="3" si="4">
        <n x="509"/>
        <n x="442"/>
        <n x="500"/>
      </t>
    </mdx>
    <mdx n="508" f="v">
      <t c="3" si="4">
        <n x="509"/>
        <n x="333"/>
        <n x="500"/>
      </t>
    </mdx>
    <mdx n="508" f="v">
      <t c="3" si="4">
        <n x="509"/>
        <n x="161"/>
        <n x="500"/>
      </t>
    </mdx>
    <mdx n="508" f="v">
      <t c="3" si="4">
        <n x="509"/>
        <n x="131"/>
        <n x="500"/>
      </t>
    </mdx>
    <mdx n="508" f="v">
      <t c="3" si="4">
        <n x="509"/>
        <n x="344"/>
        <n x="501"/>
      </t>
    </mdx>
    <mdx n="508" f="v">
      <t c="3" si="4">
        <n x="509"/>
        <n x="59"/>
        <n x="501"/>
      </t>
    </mdx>
    <mdx n="508" f="v">
      <t c="3" si="4">
        <n x="509"/>
        <n x="303"/>
        <n x="501"/>
      </t>
    </mdx>
    <mdx n="508" f="v">
      <t c="3" si="4">
        <n x="509"/>
        <n x="92"/>
        <n x="501"/>
      </t>
    </mdx>
    <mdx n="508" f="v">
      <t c="3" si="4">
        <n x="509"/>
        <n x="115"/>
        <n x="501"/>
      </t>
    </mdx>
    <mdx n="508" f="v">
      <t c="3" si="4">
        <n x="509"/>
        <n x="397"/>
        <n x="501"/>
      </t>
    </mdx>
    <mdx n="508" f="v">
      <t c="3" si="4">
        <n x="509"/>
        <n x="257"/>
        <n x="502"/>
      </t>
    </mdx>
    <mdx n="508" f="v">
      <t c="3" si="4">
        <n x="509"/>
        <n x="233"/>
        <n x="503"/>
      </t>
    </mdx>
    <mdx n="508" f="v">
      <t c="3" si="4">
        <n x="509"/>
        <n x="98"/>
        <n x="500"/>
      </t>
    </mdx>
    <mdx n="508" f="v">
      <t c="3" si="4">
        <n x="509"/>
        <n x="170"/>
        <n x="500"/>
      </t>
    </mdx>
    <mdx n="508" f="v">
      <t c="3" si="4">
        <n x="509"/>
        <n x="320"/>
        <n x="500"/>
      </t>
    </mdx>
    <mdx n="508" f="v">
      <t c="3" si="4">
        <n x="509"/>
        <n x="287"/>
        <n x="500"/>
      </t>
    </mdx>
    <mdx n="508" f="v">
      <t c="3" si="4">
        <n x="509"/>
        <n x="13"/>
        <n x="501"/>
      </t>
    </mdx>
    <mdx n="508" f="v">
      <t c="3" si="4">
        <n x="509"/>
        <n x="110"/>
        <n x="501"/>
      </t>
    </mdx>
    <mdx n="508" f="v">
      <t c="3" si="4">
        <n x="509"/>
        <n x="155"/>
        <n x="501"/>
      </t>
    </mdx>
    <mdx n="508" f="v">
      <t c="3" si="4">
        <n x="509"/>
        <n x="128"/>
        <n x="501"/>
      </t>
    </mdx>
    <mdx n="508" f="v">
      <t c="3" si="4">
        <n x="509"/>
        <n x="427"/>
        <n x="501"/>
      </t>
    </mdx>
    <mdx n="508" f="v">
      <t c="3" si="4">
        <n x="509"/>
        <n x="430"/>
        <n x="501"/>
      </t>
    </mdx>
    <mdx n="508" f="v">
      <t c="3" si="4">
        <n x="509"/>
        <n x="265"/>
        <n x="502"/>
      </t>
    </mdx>
    <mdx n="508" f="v">
      <t c="3" si="4">
        <n x="509"/>
        <n x="163"/>
        <n x="502"/>
      </t>
    </mdx>
    <mdx n="508" f="v">
      <t c="3" si="4">
        <n x="509"/>
        <n x="455"/>
        <n x="506"/>
      </t>
    </mdx>
    <mdx n="508" f="v">
      <t c="3" si="4">
        <n x="509"/>
        <n x="372"/>
        <n x="500"/>
      </t>
    </mdx>
    <mdx n="508" f="v">
      <t c="3" si="4">
        <n x="509"/>
        <n x="147"/>
        <n x="500"/>
      </t>
    </mdx>
    <mdx n="508" f="v">
      <t c="3" si="4">
        <n x="509"/>
        <n x="182"/>
        <n x="500"/>
      </t>
    </mdx>
    <mdx n="508" f="v">
      <t c="3" si="4">
        <n x="509"/>
        <n x="355"/>
        <n x="500"/>
      </t>
    </mdx>
    <mdx n="508" f="v">
      <t c="3" si="4">
        <n x="509"/>
        <n x="411"/>
        <n x="500"/>
      </t>
    </mdx>
    <mdx n="508" f="v">
      <t c="3" si="4">
        <n x="509"/>
        <n x="6"/>
        <n x="500"/>
      </t>
    </mdx>
    <mdx n="508" f="v">
      <t c="3" si="4">
        <n x="509"/>
        <n x="420"/>
        <n x="500"/>
      </t>
    </mdx>
    <mdx n="508" f="v">
      <t c="3" si="4">
        <n x="509"/>
        <n x="271"/>
        <n x="501"/>
      </t>
    </mdx>
    <mdx n="508" f="v">
      <t c="3" si="4">
        <n x="509"/>
        <n x="84"/>
        <n x="501"/>
      </t>
    </mdx>
    <mdx n="508" f="v">
      <t c="3" si="4">
        <n x="509"/>
        <n x="15"/>
        <n x="501"/>
      </t>
    </mdx>
    <mdx n="508" f="v">
      <t c="3" si="4">
        <n x="509"/>
        <n x="322"/>
        <n x="501"/>
      </t>
    </mdx>
    <mdx n="508" f="v">
      <t c="3" si="4">
        <n x="509"/>
        <n x="130"/>
        <n x="501"/>
      </t>
    </mdx>
    <mdx n="508" f="v">
      <t c="3" si="4">
        <n x="509"/>
        <n x="420"/>
        <n x="501"/>
      </t>
    </mdx>
    <mdx n="508" f="v">
      <t c="3" si="4">
        <n x="509"/>
        <n x="147"/>
        <n x="502"/>
      </t>
    </mdx>
    <mdx n="508" f="v">
      <t c="3" si="4">
        <n x="509"/>
        <n x="378"/>
        <n x="502"/>
      </t>
    </mdx>
    <mdx n="508" f="v">
      <t c="3" si="4">
        <n x="509"/>
        <n x="198"/>
        <n x="499"/>
      </t>
    </mdx>
    <mdx n="508" f="v">
      <t c="3" si="4">
        <n x="509"/>
        <n x="389"/>
        <n x="499"/>
      </t>
    </mdx>
    <mdx n="508" f="v">
      <t c="3" si="4">
        <n x="509"/>
        <n x="36"/>
        <n x="499"/>
      </t>
    </mdx>
    <mdx n="508" f="v">
      <t c="3" si="4">
        <n x="509"/>
        <n x="378"/>
        <n x="499"/>
      </t>
    </mdx>
    <mdx n="508" f="v">
      <t c="3" si="4">
        <n x="509"/>
        <n x="187"/>
        <n x="500"/>
      </t>
    </mdx>
    <mdx n="508" f="v">
      <t c="3" si="4">
        <n x="509"/>
        <n x="407"/>
        <n x="500"/>
      </t>
    </mdx>
    <mdx n="508" f="v">
      <t c="3" si="4">
        <n x="509"/>
        <n x="269"/>
        <n x="500"/>
      </t>
    </mdx>
    <mdx n="508" f="v">
      <t c="3" si="4">
        <n x="509"/>
        <n x="155"/>
        <n x="500"/>
      </t>
    </mdx>
    <mdx n="508" f="v">
      <t c="3" si="4">
        <n x="509"/>
        <n x="127"/>
        <n x="500"/>
      </t>
    </mdx>
    <mdx n="508" f="v">
      <t c="3" si="4">
        <n x="509"/>
        <n x="460"/>
        <n x="500"/>
      </t>
    </mdx>
    <mdx n="508" f="v">
      <t c="3" si="4">
        <n x="509"/>
        <n x="239"/>
        <n x="500"/>
      </t>
    </mdx>
    <mdx n="508" f="v">
      <t c="3" si="4">
        <n x="509"/>
        <n x="131"/>
        <n x="501"/>
      </t>
    </mdx>
    <mdx n="508" f="v">
      <t c="3" si="4">
        <n x="509"/>
        <n x="42"/>
        <n x="501"/>
      </t>
    </mdx>
    <mdx n="508" f="v">
      <t c="3" si="4">
        <n x="509"/>
        <n x="368"/>
        <n x="501"/>
      </t>
    </mdx>
    <mdx n="508" f="v">
      <t c="3" si="4">
        <n x="509"/>
        <n x="300"/>
        <n x="501"/>
      </t>
    </mdx>
    <mdx n="508" f="v">
      <t c="3" si="4">
        <n x="509"/>
        <n x="106"/>
        <n x="501"/>
      </t>
    </mdx>
    <mdx n="508" f="v">
      <t c="3" si="4">
        <n x="509"/>
        <n x="107"/>
        <n x="501"/>
      </t>
    </mdx>
    <mdx n="508" f="v">
      <t c="3" si="4">
        <n x="509"/>
        <n x="125"/>
        <n x="502"/>
      </t>
    </mdx>
    <mdx n="508" f="v">
      <t c="3" si="4">
        <n x="509"/>
        <n x="343"/>
        <n x="503"/>
      </t>
    </mdx>
    <mdx n="508" f="v">
      <t c="3" si="4">
        <n x="509"/>
        <n x="265"/>
        <n x="501"/>
      </t>
    </mdx>
    <mdx n="508" f="v">
      <t c="3" si="4">
        <n x="509"/>
        <n x="251"/>
        <n x="501"/>
      </t>
    </mdx>
    <mdx n="508" f="v">
      <t c="3" si="4">
        <n x="509"/>
        <n x="48"/>
        <n x="501"/>
      </t>
    </mdx>
    <mdx n="508" f="v">
      <t c="3" si="4">
        <n x="509"/>
        <n x="337"/>
        <n x="501"/>
      </t>
    </mdx>
    <mdx n="508" f="v">
      <t c="3" si="4">
        <n x="509"/>
        <n x="362"/>
        <n x="502"/>
      </t>
    </mdx>
    <mdx n="508" f="v">
      <t c="3" si="4">
        <n x="509"/>
        <n x="219"/>
        <n x="502"/>
      </t>
    </mdx>
    <mdx n="508" f="v">
      <t c="3" si="4">
        <n x="509"/>
        <n x="207"/>
        <n x="502"/>
      </t>
    </mdx>
    <mdx n="508" f="v">
      <t c="3" si="4">
        <n x="509"/>
        <n x="79"/>
        <n x="502"/>
      </t>
    </mdx>
    <mdx n="508" f="v">
      <t c="3" si="4">
        <n x="509"/>
        <n x="62"/>
        <n x="502"/>
      </t>
    </mdx>
    <mdx n="508" f="v">
      <t c="3" si="4">
        <n x="509"/>
        <n x="77"/>
        <n x="502"/>
      </t>
    </mdx>
    <mdx n="508" f="v">
      <t c="3" si="4">
        <n x="509"/>
        <n x="375"/>
        <n x="502"/>
      </t>
    </mdx>
    <mdx n="508" f="v">
      <t c="3" si="4">
        <n x="509"/>
        <n x="59"/>
        <n x="503"/>
      </t>
    </mdx>
    <mdx n="508" f="v">
      <t c="3" si="4">
        <n x="509"/>
        <n x="150"/>
        <n x="503"/>
      </t>
    </mdx>
    <mdx n="508" f="v">
      <t c="3" si="4">
        <n x="509"/>
        <n x="392"/>
        <n x="503"/>
      </t>
    </mdx>
    <mdx n="508" f="v">
      <t c="3" si="4">
        <n x="509"/>
        <n x="353"/>
        <n x="504"/>
      </t>
    </mdx>
    <mdx n="508" f="v">
      <t c="3" si="4">
        <n x="509"/>
        <n x="339"/>
        <n x="504"/>
      </t>
    </mdx>
    <mdx n="508" f="v">
      <t c="3" si="4">
        <n x="509"/>
        <n x="435"/>
        <n x="504"/>
      </t>
    </mdx>
    <mdx n="508" f="v">
      <t c="3" si="4">
        <n x="509"/>
        <n x="278"/>
        <n x="506"/>
      </t>
    </mdx>
    <mdx n="508" f="v">
      <t c="3" si="4">
        <n x="509"/>
        <n x="163"/>
        <n x="501"/>
      </t>
    </mdx>
    <mdx n="508" f="v">
      <t c="3" si="4">
        <n x="509"/>
        <n x="227"/>
        <n x="501"/>
      </t>
    </mdx>
    <mdx n="508" f="v">
      <t c="3" si="4">
        <n x="509"/>
        <n x="415"/>
        <n x="502"/>
      </t>
    </mdx>
    <mdx n="508" f="v">
      <t c="3" si="4">
        <n x="509"/>
        <n x="301"/>
        <n x="502"/>
      </t>
    </mdx>
    <mdx n="508" f="v">
      <t c="3" si="4">
        <n x="509"/>
        <n x="294"/>
        <n x="502"/>
      </t>
    </mdx>
    <mdx n="508" f="v">
      <t c="3" si="4">
        <n x="509"/>
        <n x="252"/>
        <n x="502"/>
      </t>
    </mdx>
    <mdx n="508" f="v">
      <t c="3" si="4">
        <n x="509"/>
        <n x="170"/>
        <n x="502"/>
      </t>
    </mdx>
    <mdx n="508" f="v">
      <t c="3" si="4">
        <n x="509"/>
        <n x="123"/>
        <n x="502"/>
      </t>
    </mdx>
    <mdx n="508" f="v">
      <t c="3" si="4">
        <n x="509"/>
        <n x="139"/>
        <n x="503"/>
      </t>
    </mdx>
    <mdx n="508" f="v">
      <t c="3" si="4">
        <n x="509"/>
        <n x="129"/>
        <n x="503"/>
      </t>
    </mdx>
    <mdx n="508" f="v">
      <t c="3" si="4">
        <n x="509"/>
        <n x="180"/>
        <n x="503"/>
      </t>
    </mdx>
    <mdx n="508" f="v">
      <t c="3" si="4">
        <n x="509"/>
        <n x="437"/>
        <n x="503"/>
      </t>
    </mdx>
    <mdx n="508" f="v">
      <t c="3" si="4">
        <n x="509"/>
        <n x="208"/>
        <n x="504"/>
      </t>
    </mdx>
    <mdx n="508" f="v">
      <t c="3" si="4">
        <n x="509"/>
        <n x="162"/>
        <n x="504"/>
      </t>
    </mdx>
    <mdx n="508" f="v">
      <t c="3" si="4">
        <n x="509"/>
        <n x="30"/>
        <n x="505"/>
      </t>
    </mdx>
    <mdx n="508" f="v">
      <t c="3" si="4">
        <n x="509"/>
        <n x="119"/>
        <n x="507"/>
      </t>
    </mdx>
    <mdx n="508" f="v">
      <t c="3" si="4">
        <n x="509"/>
        <n x="104"/>
        <n x="501"/>
      </t>
    </mdx>
    <mdx n="508" f="v">
      <t c="3" si="4">
        <n x="509"/>
        <n x="310"/>
        <n x="501"/>
      </t>
    </mdx>
    <mdx n="508" f="v">
      <t c="3" si="4">
        <n x="509"/>
        <n x="296"/>
        <n x="502"/>
      </t>
    </mdx>
    <mdx n="508" f="v">
      <t c="3" si="4">
        <n x="509"/>
        <n x="137"/>
        <n x="502"/>
      </t>
    </mdx>
    <mdx n="508" f="v">
      <t c="3" si="4">
        <n x="509"/>
        <n x="143"/>
        <n x="502"/>
      </t>
    </mdx>
    <mdx n="508" f="v">
      <t c="3" si="4">
        <n x="509"/>
        <n x="417"/>
        <n x="502"/>
      </t>
    </mdx>
    <mdx n="508" f="v">
      <t c="3" si="4">
        <n x="509"/>
        <n x="411"/>
        <n x="502"/>
      </t>
    </mdx>
    <mdx n="508" f="v">
      <t c="3" si="4">
        <n x="509"/>
        <n x="395"/>
        <n x="502"/>
      </t>
    </mdx>
    <mdx n="508" f="v">
      <t c="3" si="4">
        <n x="509"/>
        <n x="225"/>
        <n x="503"/>
      </t>
    </mdx>
    <mdx n="508" f="v">
      <t c="3" si="4">
        <n x="509"/>
        <n x="458"/>
        <n x="503"/>
      </t>
    </mdx>
    <mdx n="508" f="v">
      <t c="3" si="4">
        <n x="509"/>
        <n x="408"/>
        <n x="503"/>
      </t>
    </mdx>
    <mdx n="508" f="v">
      <t c="3" si="4">
        <n x="509"/>
        <n x="205"/>
        <n x="503"/>
      </t>
    </mdx>
    <mdx n="508" f="v">
      <t c="3" si="4">
        <n x="509"/>
        <n x="419"/>
        <n x="504"/>
      </t>
    </mdx>
    <mdx n="508" f="v">
      <t c="3" si="4">
        <n x="509"/>
        <n x="86"/>
        <n x="504"/>
      </t>
    </mdx>
    <mdx n="508" f="v">
      <t c="3" si="4">
        <n x="509"/>
        <n x="88"/>
        <n x="505"/>
      </t>
    </mdx>
    <mdx n="508" f="v">
      <t c="3" si="4">
        <n x="509"/>
        <n x="464"/>
        <n x="501"/>
      </t>
    </mdx>
    <mdx n="508" f="v">
      <t c="3" si="4">
        <n x="509"/>
        <n x="262"/>
        <n x="501"/>
      </t>
    </mdx>
    <mdx n="508" f="v">
      <t c="3" si="4">
        <n x="509"/>
        <n x="6"/>
        <n x="501"/>
      </t>
    </mdx>
    <mdx n="508" f="v">
      <t c="3" si="4">
        <n x="509"/>
        <n x="159"/>
        <n x="501"/>
      </t>
    </mdx>
    <mdx n="508" f="v">
      <t c="3" si="4">
        <n x="509"/>
        <n x="73"/>
        <n x="502"/>
      </t>
    </mdx>
    <mdx n="508" f="v">
      <t c="3" si="4">
        <n x="509"/>
        <n x="226"/>
        <n x="502"/>
      </t>
    </mdx>
    <mdx n="508" f="v">
      <t c="3" si="4">
        <n x="509"/>
        <n x="256"/>
        <n x="502"/>
      </t>
    </mdx>
    <mdx n="508" f="v">
      <t c="3" si="4">
        <n x="509"/>
        <n x="376"/>
        <n x="502"/>
      </t>
    </mdx>
    <mdx n="508" f="v">
      <t c="3" si="4">
        <n x="509"/>
        <n x="290"/>
        <n x="502"/>
      </t>
    </mdx>
    <mdx n="508" f="v">
      <t c="3" si="4">
        <n x="509"/>
        <n x="316"/>
        <n x="502"/>
      </t>
    </mdx>
    <mdx n="508" f="v">
      <t c="3" si="4">
        <n x="509"/>
        <n x="111"/>
        <n x="502"/>
      </t>
    </mdx>
    <mdx n="508" f="v">
      <t c="3" si="4">
        <n x="509"/>
        <n x="138"/>
        <n x="503"/>
      </t>
    </mdx>
    <mdx n="508" f="v">
      <t c="3" si="4">
        <n x="509"/>
        <n x="359"/>
        <n x="503"/>
      </t>
    </mdx>
    <mdx n="508" f="v">
      <t c="3" si="4">
        <n x="509"/>
        <n x="248"/>
        <n x="503"/>
      </t>
    </mdx>
    <mdx n="508" f="v">
      <t c="3" si="4">
        <n x="509"/>
        <n x="16"/>
        <n x="503"/>
      </t>
    </mdx>
    <mdx n="508" f="v">
      <t c="3" si="4">
        <n x="509"/>
        <n x="139"/>
        <n x="504"/>
      </t>
    </mdx>
    <mdx n="508" f="v">
      <t c="3" si="4">
        <n x="509"/>
        <n x="164"/>
        <n x="504"/>
      </t>
    </mdx>
    <mdx n="508" f="v">
      <t c="3" si="4">
        <n x="509"/>
        <n x="250"/>
        <n x="506"/>
      </t>
    </mdx>
    <mdx n="508" f="v">
      <t c="3" si="4">
        <n x="509"/>
        <n x="245"/>
        <n x="502"/>
      </t>
    </mdx>
    <mdx n="508" f="v">
      <t c="3" si="4">
        <n x="509"/>
        <n x="132"/>
        <n x="502"/>
      </t>
    </mdx>
    <mdx n="508" f="v">
      <t c="3" si="4">
        <n x="509"/>
        <n x="410"/>
        <n x="502"/>
      </t>
    </mdx>
    <mdx n="508" f="v">
      <t c="3" si="4">
        <n x="509"/>
        <n x="140"/>
        <n x="502"/>
      </t>
    </mdx>
    <mdx n="508" f="v">
      <t c="3" si="4">
        <n x="509"/>
        <n x="464"/>
        <n x="502"/>
      </t>
    </mdx>
    <mdx n="508" f="v">
      <t c="3" si="4">
        <n x="509"/>
        <n x="221"/>
        <n x="503"/>
      </t>
    </mdx>
    <mdx n="508" f="v">
      <t c="3" si="4">
        <n x="509"/>
        <n x="282"/>
        <n x="503"/>
      </t>
    </mdx>
    <mdx n="508" f="v">
      <t c="3" si="4">
        <n x="509"/>
        <n x="130"/>
        <n x="503"/>
      </t>
    </mdx>
    <mdx n="508" f="v">
      <t c="3" si="4">
        <n x="509"/>
        <n x="197"/>
        <n x="503"/>
      </t>
    </mdx>
    <mdx n="508" f="v">
      <t c="3" si="4">
        <n x="509"/>
        <n x="37"/>
        <n x="504"/>
      </t>
    </mdx>
    <mdx n="508" f="v">
      <t c="3" si="4">
        <n x="509"/>
        <n x="55"/>
        <n x="504"/>
      </t>
    </mdx>
    <mdx n="508" f="v">
      <t c="3" si="4">
        <n x="509"/>
        <n x="454"/>
        <n x="505"/>
      </t>
    </mdx>
    <mdx n="508" f="v">
      <t c="3" si="4">
        <n x="509"/>
        <n x="288"/>
        <n x="502"/>
      </t>
    </mdx>
    <mdx n="508" f="v">
      <t c="3" si="4">
        <n x="509"/>
        <n x="168"/>
        <n x="502"/>
      </t>
    </mdx>
    <mdx n="508" f="v">
      <t c="3" si="4">
        <n x="509"/>
        <n x="83"/>
        <n x="502"/>
      </t>
    </mdx>
    <mdx n="508" f="v">
      <t c="3" si="4">
        <n x="509"/>
        <n x="439"/>
        <n x="502"/>
      </t>
    </mdx>
    <mdx n="508" f="v">
      <t c="3" si="4">
        <n x="509"/>
        <n x="360"/>
        <n x="502"/>
      </t>
    </mdx>
    <mdx n="508" f="v">
      <t c="3" si="4">
        <n x="509"/>
        <n x="218"/>
        <n x="502"/>
      </t>
    </mdx>
    <mdx n="508" f="v">
      <t c="3" si="4">
        <n x="509"/>
        <n x="388"/>
        <n x="502"/>
      </t>
    </mdx>
    <mdx n="508" f="v">
      <t c="3" si="4">
        <n x="509"/>
        <n x="449"/>
        <n x="503"/>
      </t>
    </mdx>
    <mdx n="508" f="v">
      <t c="3" si="4">
        <n x="509"/>
        <n x="250"/>
        <n x="503"/>
      </t>
    </mdx>
    <mdx n="508" f="v">
      <t c="3" si="4">
        <n x="509"/>
        <n x="189"/>
        <n x="503"/>
      </t>
    </mdx>
    <mdx n="508" f="v">
      <t c="3" si="4">
        <n x="509"/>
        <n x="379"/>
        <n x="503"/>
      </t>
    </mdx>
    <mdx n="508" f="v">
      <t c="3" si="4">
        <n x="509"/>
        <n x="217"/>
        <n x="504"/>
      </t>
    </mdx>
    <mdx n="508" f="v">
      <t c="3" si="4">
        <n x="509"/>
        <n x="237"/>
        <n x="504"/>
      </t>
    </mdx>
    <mdx n="508" f="v">
      <t c="3" si="4">
        <n x="509"/>
        <n x="426"/>
        <n x="505"/>
      </t>
    </mdx>
    <mdx n="508" f="v">
      <t c="3" si="4">
        <n x="509"/>
        <n x="398"/>
        <n x="502"/>
      </t>
    </mdx>
    <mdx n="508" f="v">
      <t c="3" si="4">
        <n x="509"/>
        <n x="370"/>
        <n x="503"/>
      </t>
    </mdx>
    <mdx n="508" f="v">
      <t c="3" si="4">
        <n x="509"/>
        <n x="416"/>
        <n x="503"/>
      </t>
    </mdx>
    <mdx n="508" f="v">
      <t c="3" si="4">
        <n x="509"/>
        <n x="153"/>
        <n x="503"/>
      </t>
    </mdx>
    <mdx n="508" f="v">
      <t c="3" si="4">
        <n x="509"/>
        <n x="249"/>
        <n x="503"/>
      </t>
    </mdx>
    <mdx n="508" f="v">
      <t c="3" si="4">
        <n x="509"/>
        <n x="306"/>
        <n x="504"/>
      </t>
    </mdx>
    <mdx n="508" f="v">
      <t c="3" si="4">
        <n x="509"/>
        <n x="247"/>
        <n x="504"/>
      </t>
    </mdx>
    <mdx n="508" f="v">
      <t c="3" si="4">
        <n x="509"/>
        <n x="351"/>
        <n x="506"/>
      </t>
    </mdx>
    <mdx n="508" f="v">
      <t c="3" si="4">
        <n x="509"/>
        <n x="111"/>
        <n x="504"/>
      </t>
    </mdx>
    <mdx n="508" f="v">
      <t c="3" si="4">
        <n x="509"/>
        <n x="200"/>
        <n x="506"/>
      </t>
    </mdx>
    <mdx n="508" f="v">
      <t c="3" si="4">
        <n x="509"/>
        <n x="370"/>
        <n x="500"/>
      </t>
    </mdx>
    <mdx n="508" f="v">
      <t c="3" si="4">
        <n x="509"/>
        <n x="341"/>
        <n x="500"/>
      </t>
    </mdx>
    <mdx n="508" f="v">
      <t c="3" si="4">
        <n x="509"/>
        <n x="305"/>
        <n x="501"/>
      </t>
    </mdx>
    <mdx n="508" f="v">
      <t c="3" si="4">
        <n x="509"/>
        <n x="415"/>
        <n x="501"/>
      </t>
    </mdx>
    <mdx n="508" f="v">
      <t c="3" si="4">
        <n x="509"/>
        <n x="154"/>
        <n x="501"/>
      </t>
    </mdx>
    <mdx n="508" f="v">
      <t c="3" si="4">
        <n x="509"/>
        <n x="235"/>
        <n x="502"/>
      </t>
    </mdx>
    <mdx n="508" f="v">
      <t c="3" si="4">
        <n x="509"/>
        <n x="383"/>
        <n x="502"/>
      </t>
    </mdx>
    <mdx n="508" f="v">
      <t c="3" si="4">
        <n x="509"/>
        <n x="261"/>
        <n x="503"/>
      </t>
    </mdx>
    <mdx n="508" f="v">
      <t c="3" si="4">
        <n x="509"/>
        <n x="454"/>
        <n x="506"/>
      </t>
    </mdx>
    <mdx n="508" f="v">
      <t c="3" si="4">
        <n x="509"/>
        <n x="318"/>
        <n x="502"/>
      </t>
    </mdx>
    <mdx n="508" f="v">
      <t c="3" si="4">
        <n x="509"/>
        <n x="6"/>
        <n x="502"/>
      </t>
    </mdx>
    <mdx n="508" f="v">
      <t c="3" si="4">
        <n x="509"/>
        <n x="419"/>
        <n x="503"/>
      </t>
    </mdx>
    <mdx n="508" f="v">
      <t c="3" si="4">
        <n x="509"/>
        <n x="27"/>
        <n x="504"/>
      </t>
    </mdx>
    <mdx n="508" f="v">
      <t c="3" si="4">
        <n x="509"/>
        <n x="77"/>
        <n x="501"/>
      </t>
    </mdx>
    <mdx n="508" f="v">
      <t c="3" si="4">
        <n x="509"/>
        <n x="416"/>
        <n x="502"/>
      </t>
    </mdx>
    <mdx n="508" f="v">
      <t c="3" si="4">
        <n x="509"/>
        <n x="401"/>
        <n x="502"/>
      </t>
    </mdx>
    <mdx n="508" f="v">
      <t c="3" si="4">
        <n x="509"/>
        <n x="114"/>
        <n x="502"/>
      </t>
    </mdx>
    <mdx n="508" f="v">
      <t c="3" si="4">
        <n x="509"/>
        <n x="210"/>
        <n x="503"/>
      </t>
    </mdx>
    <mdx n="508" f="v">
      <t c="3" si="4">
        <n x="509"/>
        <n x="156"/>
        <n x="504"/>
      </t>
    </mdx>
    <mdx n="508" f="v">
      <t c="3" si="4">
        <n x="509"/>
        <n x="202"/>
        <n x="501"/>
      </t>
    </mdx>
    <mdx n="508" f="v">
      <t c="3" si="4">
        <n x="509"/>
        <n x="375"/>
        <n x="501"/>
      </t>
    </mdx>
    <mdx n="508" f="v">
      <t c="3" si="4">
        <n x="509"/>
        <n x="454"/>
        <n x="502"/>
      </t>
    </mdx>
    <mdx n="508" f="v">
      <t c="3" si="4">
        <n x="509"/>
        <n x="109"/>
        <n x="502"/>
      </t>
    </mdx>
    <mdx n="508" f="v">
      <t c="3" si="4">
        <n x="509"/>
        <n x="93"/>
        <n x="503"/>
      </t>
    </mdx>
    <mdx n="508" f="v">
      <t c="3" si="4">
        <n x="509"/>
        <n x="48"/>
        <n x="503"/>
      </t>
    </mdx>
    <mdx n="508" f="v">
      <t c="3" si="4">
        <n x="509"/>
        <n x="220"/>
        <n x="504"/>
      </t>
    </mdx>
    <mdx n="508" f="v">
      <t c="3" si="4">
        <n x="509"/>
        <n x="138"/>
        <n x="506"/>
      </t>
    </mdx>
    <mdx n="508" f="v">
      <t c="3" si="4">
        <n x="509"/>
        <n x="88"/>
        <n x="502"/>
      </t>
    </mdx>
    <mdx n="508" f="v">
      <t c="3" si="4">
        <n x="509"/>
        <n x="98"/>
        <n x="502"/>
      </t>
    </mdx>
    <mdx n="508" f="v">
      <t c="3" si="4">
        <n x="509"/>
        <n x="427"/>
        <n x="502"/>
      </t>
    </mdx>
    <mdx n="508" f="v">
      <t c="3" si="4">
        <n x="509"/>
        <n x="228"/>
        <n x="502"/>
      </t>
    </mdx>
    <mdx n="508" f="v">
      <t c="3" si="4">
        <n x="509"/>
        <n x="226"/>
        <n x="503"/>
      </t>
    </mdx>
    <mdx n="508" f="v">
      <t c="3" si="4">
        <n x="509"/>
        <n x="170"/>
        <n x="503"/>
      </t>
    </mdx>
    <mdx n="508" f="v">
      <t c="3" si="4">
        <n x="509"/>
        <n x="112"/>
        <n x="503"/>
      </t>
    </mdx>
    <mdx n="508" f="v">
      <t c="3" si="4">
        <n x="509"/>
        <n x="454"/>
        <n x="504"/>
      </t>
    </mdx>
    <mdx n="508" f="v">
      <t c="3" si="4">
        <n x="509"/>
        <n x="315"/>
        <n x="505"/>
      </t>
    </mdx>
    <mdx n="508" f="v">
      <t c="3" si="4">
        <n x="509"/>
        <n x="104"/>
        <n x="502"/>
      </t>
    </mdx>
    <mdx n="508" f="v">
      <t c="3" si="4">
        <n x="509"/>
        <n x="350"/>
        <n x="502"/>
      </t>
    </mdx>
    <mdx n="508" f="v">
      <t c="3" si="4">
        <n x="509"/>
        <n x="75"/>
        <n x="502"/>
      </t>
    </mdx>
    <mdx n="508" f="v">
      <t c="3" si="4">
        <n x="509"/>
        <n x="211"/>
        <n x="502"/>
      </t>
    </mdx>
    <mdx n="508" f="v">
      <t c="3" si="4">
        <n x="509"/>
        <n x="436"/>
        <n x="502"/>
      </t>
    </mdx>
    <mdx n="508" f="v">
      <t c="3" si="4">
        <n x="509"/>
        <n x="372"/>
        <n x="503"/>
      </t>
    </mdx>
    <mdx n="508" f="v">
      <t c="3" si="4">
        <n x="509"/>
        <n x="187"/>
        <n x="503"/>
      </t>
    </mdx>
    <mdx n="508" f="v">
      <t c="3" si="4">
        <n x="509"/>
        <n x="207"/>
        <n x="503"/>
      </t>
    </mdx>
    <mdx n="508" f="v">
      <t c="3" si="4">
        <n x="509"/>
        <n x="309"/>
        <n x="504"/>
      </t>
    </mdx>
    <mdx n="508" f="v">
      <t c="3" si="4">
        <n x="509"/>
        <n x="421"/>
        <n x="504"/>
      </t>
    </mdx>
    <mdx n="508" f="v">
      <t c="3" si="4">
        <n x="509"/>
        <n x="334"/>
        <n x="507"/>
      </t>
    </mdx>
    <mdx n="508" f="v">
      <t c="3" si="4">
        <n x="509"/>
        <n x="241"/>
        <n x="503"/>
      </t>
    </mdx>
    <mdx n="508" f="v">
      <t c="3" si="4">
        <n x="509"/>
        <n x="280"/>
        <n x="503"/>
      </t>
    </mdx>
    <mdx n="508" f="v">
      <t c="3" si="4">
        <n x="509"/>
        <n x="142"/>
        <n x="503"/>
      </t>
    </mdx>
    <mdx n="508" f="v">
      <t c="3" si="4">
        <n x="509"/>
        <n x="176"/>
        <n x="504"/>
      </t>
    </mdx>
    <mdx n="508" f="v">
      <t c="3" si="4">
        <n x="509"/>
        <n x="296"/>
        <n x="505"/>
      </t>
    </mdx>
    <mdx n="508" f="v">
      <t c="3" si="4">
        <n x="509"/>
        <n x="148"/>
        <n x="504"/>
      </t>
    </mdx>
    <mdx n="508" f="v">
      <t c="3" si="4">
        <n x="509"/>
        <n x="137"/>
        <n x="505"/>
      </t>
    </mdx>
    <mdx n="508" f="v">
      <t c="3" si="4">
        <n x="509"/>
        <n x="92"/>
        <n x="505"/>
      </t>
    </mdx>
    <mdx n="508" f="v">
      <t c="3" si="4">
        <n x="509"/>
        <n x="435"/>
        <n x="505"/>
      </t>
    </mdx>
    <mdx n="508" f="v">
      <t c="3" si="4">
        <n x="509"/>
        <n x="91"/>
        <n x="506"/>
      </t>
    </mdx>
    <mdx n="508" f="v">
      <t c="3" si="4">
        <n x="509"/>
        <n x="317"/>
        <n x="502"/>
      </t>
    </mdx>
    <mdx n="508" f="v">
      <t c="3" si="4">
        <n x="509"/>
        <n x="196"/>
        <n x="502"/>
      </t>
    </mdx>
    <mdx n="508" f="v">
      <t c="3" si="4">
        <n x="509"/>
        <n x="147"/>
        <n x="503"/>
      </t>
    </mdx>
    <mdx n="508" f="v">
      <t c="3" si="4">
        <n x="509"/>
        <n x="75"/>
        <n x="503"/>
      </t>
    </mdx>
    <mdx n="508" f="v">
      <t c="3" si="4">
        <n x="509"/>
        <n x="141"/>
        <n x="503"/>
      </t>
    </mdx>
    <mdx n="508" f="v">
      <t c="3" si="4">
        <n x="509"/>
        <n x="447"/>
        <n x="503"/>
      </t>
    </mdx>
    <mdx n="508" f="v">
      <t c="3" si="4">
        <n x="509"/>
        <n x="281"/>
        <n x="503"/>
      </t>
    </mdx>
    <mdx n="508" f="v">
      <t c="3" si="4">
        <n x="509"/>
        <n x="6"/>
        <n x="503"/>
      </t>
    </mdx>
    <mdx n="508" f="v">
      <t c="3" si="4">
        <n x="509"/>
        <n x="118"/>
        <n x="503"/>
      </t>
    </mdx>
    <mdx n="508" f="v">
      <t c="3" si="4">
        <n x="509"/>
        <n x="103"/>
        <n x="503"/>
      </t>
    </mdx>
    <mdx n="508" f="v">
      <t c="3" si="4">
        <n x="509"/>
        <n x="416"/>
        <n x="504"/>
      </t>
    </mdx>
    <mdx n="508" f="v">
      <t c="3" si="4">
        <n x="509"/>
        <n x="151"/>
        <n x="504"/>
      </t>
    </mdx>
    <mdx n="508" f="v">
      <t c="3" si="4">
        <n x="509"/>
        <n x="200"/>
        <n x="504"/>
      </t>
    </mdx>
    <mdx n="508" f="v">
      <t c="3" si="4">
        <n x="509"/>
        <n x="292"/>
        <n x="504"/>
      </t>
    </mdx>
    <mdx n="508" f="v">
      <t c="3" si="4">
        <n x="509"/>
        <n x="340"/>
        <n x="504"/>
      </t>
    </mdx>
    <mdx n="508" f="v">
      <t c="3" si="4">
        <n x="509"/>
        <n x="73"/>
        <n x="505"/>
      </t>
    </mdx>
    <mdx n="508" f="v">
      <t c="3" si="4">
        <n x="509"/>
        <n x="431"/>
        <n x="505"/>
      </t>
    </mdx>
    <mdx n="508" f="v">
      <t c="3" si="4">
        <n x="509"/>
        <n x="363"/>
        <n x="505"/>
      </t>
    </mdx>
    <mdx n="508" f="v">
      <t c="3" si="4">
        <n x="509"/>
        <n x="359"/>
        <n x="506"/>
      </t>
    </mdx>
    <mdx n="508" f="v">
      <t c="3" si="4">
        <n x="509"/>
        <n x="435"/>
        <n x="506"/>
      </t>
    </mdx>
    <mdx n="508" f="v">
      <t c="3" si="4">
        <n x="509"/>
        <n x="105"/>
        <n x="502"/>
      </t>
    </mdx>
    <mdx n="508" f="v">
      <t c="3" si="4">
        <n x="509"/>
        <n x="297"/>
        <n x="502"/>
      </t>
    </mdx>
    <mdx n="508" f="v">
      <t c="3" si="4">
        <n x="509"/>
        <n x="88"/>
        <n x="503"/>
      </t>
    </mdx>
    <mdx n="508" f="v">
      <t c="3" si="4">
        <n x="509"/>
        <n x="125"/>
        <n x="503"/>
      </t>
    </mdx>
    <mdx n="508" f="v">
      <t c="3" si="4">
        <n x="509"/>
        <n x="457"/>
        <n x="503"/>
      </t>
    </mdx>
    <mdx n="508" f="v">
      <t c="3" si="4">
        <n x="509"/>
        <n x="399"/>
        <n x="503"/>
      </t>
    </mdx>
    <mdx n="508" f="v">
      <t c="3" si="4">
        <n x="509"/>
        <n x="266"/>
        <n x="503"/>
      </t>
    </mdx>
    <mdx n="508" f="v">
      <t c="3" si="4">
        <n x="509"/>
        <n x="288"/>
        <n x="503"/>
      </t>
    </mdx>
    <mdx n="508" f="v">
      <t c="3" si="4">
        <n x="509"/>
        <n x="191"/>
        <n x="503"/>
      </t>
    </mdx>
    <mdx n="508" f="v">
      <t c="3" si="4">
        <n x="509"/>
        <n x="274"/>
        <n x="504"/>
      </t>
    </mdx>
    <mdx n="508" f="v">
      <t c="3" si="4">
        <n x="509"/>
        <n x="374"/>
        <n x="504"/>
      </t>
    </mdx>
    <mdx n="508" f="v">
      <t c="3" si="4">
        <n x="509"/>
        <n x="311"/>
        <n x="504"/>
      </t>
    </mdx>
    <mdx n="508" f="v">
      <t c="3" si="4">
        <n x="509"/>
        <n x="244"/>
        <n x="504"/>
      </t>
    </mdx>
    <mdx n="508" f="v">
      <t c="3" si="4">
        <n x="509"/>
        <n x="326"/>
        <n x="504"/>
      </t>
    </mdx>
    <mdx n="508" f="v">
      <t c="3" si="4">
        <n x="509"/>
        <n x="383"/>
        <n x="504"/>
      </t>
    </mdx>
    <mdx n="508" f="v">
      <t c="3" si="4">
        <n x="509"/>
        <n x="374"/>
        <n x="505"/>
      </t>
    </mdx>
    <mdx n="508" f="v">
      <t c="3" si="4">
        <n x="509"/>
        <n x="165"/>
        <n x="505"/>
      </t>
    </mdx>
    <mdx n="508" f="v">
      <t c="3" si="4">
        <n x="509"/>
        <n x="414"/>
        <n x="505"/>
      </t>
    </mdx>
    <mdx n="508" f="v">
      <t c="3" si="4">
        <n x="509"/>
        <n x="102"/>
        <n x="506"/>
      </t>
    </mdx>
    <mdx n="508" f="v">
      <t c="3" si="4">
        <n x="509"/>
        <n x="412"/>
        <n x="507"/>
      </t>
    </mdx>
    <mdx n="508" f="v">
      <t c="3" si="4">
        <n x="509"/>
        <n x="201"/>
        <n x="503"/>
      </t>
    </mdx>
    <mdx n="508" f="v">
      <t c="3" si="4">
        <n x="509"/>
        <n x="26"/>
        <n x="504"/>
      </t>
    </mdx>
    <mdx n="508" f="v">
      <t c="3" si="4">
        <n x="509"/>
        <n x="110"/>
        <n x="504"/>
      </t>
    </mdx>
    <mdx n="508" f="v">
      <t c="3" si="4">
        <n x="509"/>
        <n x="391"/>
        <n x="504"/>
      </t>
    </mdx>
    <mdx n="508" f="v">
      <t c="3" si="4">
        <n x="509"/>
        <n x="41"/>
        <n x="504"/>
      </t>
    </mdx>
    <mdx n="508" f="v">
      <t c="3" si="4">
        <n x="509"/>
        <n x="140"/>
        <n x="504"/>
      </t>
    </mdx>
    <mdx n="508" f="v">
      <t c="3" si="4">
        <n x="509"/>
        <n x="81"/>
        <n x="504"/>
      </t>
    </mdx>
    <mdx n="508" f="v">
      <t c="3" si="4">
        <n x="509"/>
        <n x="327"/>
        <n x="505"/>
      </t>
    </mdx>
    <mdx n="508" f="v">
      <t c="3" si="4">
        <n x="509"/>
        <n x="200"/>
        <n x="505"/>
      </t>
    </mdx>
    <mdx n="508" f="v">
      <t c="3" si="4">
        <n x="509"/>
        <n x="63"/>
        <n x="505"/>
      </t>
    </mdx>
    <mdx n="508" f="v">
      <t c="3" si="4">
        <n x="509"/>
        <n x="458"/>
        <n x="506"/>
      </t>
    </mdx>
    <mdx n="508" f="v">
      <t c="3" si="4">
        <n x="509"/>
        <n x="410"/>
        <n x="507"/>
      </t>
    </mdx>
    <mdx n="508" f="v">
      <t c="3" si="4">
        <n x="509"/>
        <n x="356"/>
        <n x="503"/>
      </t>
    </mdx>
    <mdx n="508" f="v">
      <t c="3" si="4">
        <n x="509"/>
        <n x="336"/>
        <n x="503"/>
      </t>
    </mdx>
    <mdx n="508" f="v">
      <t c="3" si="4">
        <n x="509"/>
        <n x="158"/>
        <n x="503"/>
      </t>
    </mdx>
    <mdx n="508" f="v">
      <t c="3" si="4">
        <n x="509"/>
        <n x="319"/>
        <n x="503"/>
      </t>
    </mdx>
    <mdx n="508" f="v">
      <t c="3" si="4">
        <n x="509"/>
        <n x="375"/>
        <n x="503"/>
      </t>
    </mdx>
    <mdx n="508" f="v">
      <t c="3" si="4">
        <n x="509"/>
        <n x="33"/>
        <n x="504"/>
      </t>
    </mdx>
    <mdx n="508" f="v">
      <t c="3" si="4">
        <n x="509"/>
        <n x="367"/>
        <n x="504"/>
      </t>
    </mdx>
    <mdx n="508" f="v">
      <t c="3" si="4">
        <n x="509"/>
        <n x="194"/>
        <n x="504"/>
      </t>
    </mdx>
    <mdx n="508" f="v">
      <t c="3" si="4">
        <n x="509"/>
        <n x="62"/>
        <n x="504"/>
      </t>
    </mdx>
    <mdx n="508" f="v">
      <t c="3" si="4">
        <n x="509"/>
        <n x="57"/>
        <n x="504"/>
      </t>
    </mdx>
    <mdx n="508" f="v">
      <t c="3" si="4">
        <n x="509"/>
        <n x="450"/>
        <n x="505"/>
      </t>
    </mdx>
    <mdx n="508" f="v">
      <t c="3" si="4">
        <n x="509"/>
        <n x="143"/>
        <n x="505"/>
      </t>
    </mdx>
    <mdx n="508" f="v">
      <t c="3" si="4">
        <n x="509"/>
        <n x="28"/>
        <n x="505"/>
      </t>
    </mdx>
    <mdx n="508" f="v">
      <t c="3" si="4">
        <n x="509"/>
        <n x="137"/>
        <n x="506"/>
      </t>
    </mdx>
    <mdx n="508" f="v">
      <t c="3" si="4">
        <n x="509"/>
        <n x="12"/>
        <n x="506"/>
      </t>
    </mdx>
    <mdx n="508" f="v">
      <t c="3" si="4">
        <n x="509"/>
        <n x="384"/>
        <n x="503"/>
      </t>
    </mdx>
    <mdx n="508" f="v">
      <t c="3" si="4">
        <n x="509"/>
        <n x="154"/>
        <n x="503"/>
      </t>
    </mdx>
    <mdx n="508" f="v">
      <t c="3" si="4">
        <n x="509"/>
        <n x="65"/>
        <n x="503"/>
      </t>
    </mdx>
    <mdx n="508" f="v">
      <t c="3" si="4">
        <n x="509"/>
        <n x="193"/>
        <n x="503"/>
      </t>
    </mdx>
    <mdx n="508" f="v">
      <t c="3" si="4">
        <n x="509"/>
        <n x="74"/>
        <n x="503"/>
      </t>
    </mdx>
    <mdx n="508" f="v">
      <t c="3" si="4">
        <n x="509"/>
        <n x="179"/>
        <n x="504"/>
      </t>
    </mdx>
    <mdx n="508" f="v">
      <t c="3" si="4">
        <n x="509"/>
        <n x="235"/>
        <n x="504"/>
      </t>
    </mdx>
    <mdx n="508" f="v">
      <t c="3" si="4">
        <n x="509"/>
        <n x="132"/>
        <n x="504"/>
      </t>
    </mdx>
    <mdx n="508" f="v">
      <t c="3" si="4">
        <n x="509"/>
        <n x="49"/>
        <n x="504"/>
      </t>
    </mdx>
    <mdx n="508" f="v">
      <t c="3" si="4">
        <n x="509"/>
        <n x="427"/>
        <n x="504"/>
      </t>
    </mdx>
    <mdx n="508" f="v">
      <t c="3" si="4">
        <n x="509"/>
        <n x="223"/>
        <n x="504"/>
      </t>
    </mdx>
    <mdx n="508" f="v">
      <t c="3" si="4">
        <n x="509"/>
        <n x="416"/>
        <n x="505"/>
      </t>
    </mdx>
    <mdx n="508" f="v">
      <t c="3" si="4">
        <n x="509"/>
        <n x="99"/>
        <n x="505"/>
      </t>
    </mdx>
    <mdx n="508" f="v">
      <t c="3" si="4">
        <n x="509"/>
        <n x="77"/>
        <n x="505"/>
      </t>
    </mdx>
    <mdx n="508" f="v">
      <t c="3" si="4">
        <n x="509"/>
        <n x="38"/>
        <n x="506"/>
      </t>
    </mdx>
    <mdx n="508" f="v">
      <t c="3" si="4">
        <n x="509"/>
        <n x="295"/>
        <n x="507"/>
      </t>
    </mdx>
    <mdx n="508" f="v">
      <t c="3" si="4">
        <n x="509"/>
        <n x="210"/>
        <n x="504"/>
      </t>
    </mdx>
    <mdx n="508" f="v">
      <t c="3" si="4">
        <n x="509"/>
        <n x="18"/>
        <n x="504"/>
      </t>
    </mdx>
    <mdx n="508" f="v">
      <t c="3" si="4">
        <n x="509"/>
        <n x="240"/>
        <n x="504"/>
      </t>
    </mdx>
    <mdx n="508" f="v">
      <t c="3" si="4">
        <n x="509"/>
        <n x="152"/>
        <n x="504"/>
      </t>
    </mdx>
    <mdx n="508" f="v">
      <t c="3" si="4">
        <n x="509"/>
        <n x="419"/>
        <n x="505"/>
      </t>
    </mdx>
    <mdx n="508" f="v">
      <t c="3" si="4">
        <n x="509"/>
        <n x="386"/>
        <n x="505"/>
      </t>
    </mdx>
    <mdx n="508" f="v">
      <t c="3" si="4">
        <n x="509"/>
        <n x="323"/>
        <n x="505"/>
      </t>
    </mdx>
    <mdx n="508" f="v">
      <t c="3" si="4">
        <n x="509"/>
        <n x="224"/>
        <n x="505"/>
      </t>
    </mdx>
    <mdx n="508" f="v">
      <t c="3" si="4">
        <n x="509"/>
        <n x="380"/>
        <n x="505"/>
      </t>
    </mdx>
    <mdx n="508" f="v">
      <t c="3" si="4">
        <n x="509"/>
        <n x="277"/>
        <n x="505"/>
      </t>
    </mdx>
    <mdx n="508" f="v">
      <t c="3" si="4">
        <n x="509"/>
        <n x="227"/>
        <n x="505"/>
      </t>
    </mdx>
    <mdx n="508" f="v">
      <t c="3" si="4">
        <n x="509"/>
        <n x="257"/>
        <n x="506"/>
      </t>
    </mdx>
    <mdx n="508" f="v">
      <t c="3" si="4">
        <n x="509"/>
        <n x="313"/>
        <n x="506"/>
      </t>
    </mdx>
    <mdx n="508" f="v">
      <t c="3" si="4">
        <n x="509"/>
        <n x="197"/>
        <n x="506"/>
      </t>
    </mdx>
    <mdx n="508" f="v">
      <t c="3" si="4">
        <n x="509"/>
        <n x="134"/>
        <n x="507"/>
      </t>
    </mdx>
    <mdx n="508" f="v">
      <t c="3" si="4">
        <n x="509"/>
        <n x="161"/>
        <n x="507"/>
      </t>
    </mdx>
    <mdx n="508" f="v">
      <t c="3" si="4">
        <n x="509"/>
        <n x="432"/>
        <n x="504"/>
      </t>
    </mdx>
    <mdx n="508" f="v">
      <t c="3" si="4">
        <n x="509"/>
        <n x="434"/>
        <n x="505"/>
      </t>
    </mdx>
    <mdx n="508" f="v">
      <t c="3" si="4">
        <n x="509"/>
        <n x="24"/>
        <n x="505"/>
      </t>
    </mdx>
    <mdx n="508" f="v">
      <t c="3" si="4">
        <n x="509"/>
        <n x="233"/>
        <n x="505"/>
      </t>
    </mdx>
    <mdx n="508" f="v">
      <t c="3" si="4">
        <n x="509"/>
        <n x="396"/>
        <n x="505"/>
      </t>
    </mdx>
    <mdx n="508" f="v">
      <t c="3" si="4">
        <n x="509"/>
        <n x="115"/>
        <n x="505"/>
      </t>
    </mdx>
    <mdx n="508" f="v">
      <t c="3" si="4">
        <n x="509"/>
        <n x="460"/>
        <n x="505"/>
      </t>
    </mdx>
    <mdx n="508" f="v">
      <t c="3" si="4">
        <n x="509"/>
        <n x="31"/>
        <n x="505"/>
      </t>
    </mdx>
    <mdx n="508" f="v">
      <t c="3" si="4">
        <n x="509"/>
        <n x="267"/>
        <n x="506"/>
      </t>
    </mdx>
    <mdx n="508" f="v">
      <t c="3" si="4">
        <n x="509"/>
        <n x="396"/>
        <n x="506"/>
      </t>
    </mdx>
    <mdx n="508" f="v">
      <t c="3" si="4">
        <n x="509"/>
        <n x="10"/>
        <n x="506"/>
      </t>
    </mdx>
    <mdx n="508" f="v">
      <t c="3" si="4">
        <n x="509"/>
        <n x="279"/>
        <n x="507"/>
      </t>
    </mdx>
    <mdx n="508" f="v">
      <t c="3" si="4">
        <n x="509"/>
        <n x="333"/>
        <n x="507"/>
      </t>
    </mdx>
    <mdx n="508" f="v">
      <t c="3" si="4">
        <n x="509"/>
        <n x="92"/>
        <n x="504"/>
      </t>
    </mdx>
    <mdx n="508" f="v">
      <t c="3" si="4">
        <n x="509"/>
        <n x="399"/>
        <n x="504"/>
      </t>
    </mdx>
    <mdx n="508" f="v">
      <t c="3" si="4">
        <n x="509"/>
        <n x="414"/>
        <n x="504"/>
      </t>
    </mdx>
    <mdx n="508" f="v">
      <t c="3" si="4">
        <n x="509"/>
        <n x="169"/>
        <n x="504"/>
      </t>
    </mdx>
    <mdx n="508" f="v">
      <t c="3" si="4">
        <n x="509"/>
        <n x="171"/>
        <n x="505"/>
      </t>
    </mdx>
    <mdx n="508" f="v">
      <t c="3" si="4">
        <n x="509"/>
        <n x="234"/>
        <n x="505"/>
      </t>
    </mdx>
    <mdx n="508" f="v">
      <t c="3" si="4">
        <n x="509"/>
        <n x="231"/>
        <n x="505"/>
      </t>
    </mdx>
    <mdx n="508" f="v">
      <t c="3" si="4">
        <n x="509"/>
        <n x="120"/>
        <n x="505"/>
      </t>
    </mdx>
    <mdx n="508" f="v">
      <t c="3" si="4">
        <n x="509"/>
        <n x="113"/>
        <n x="505"/>
      </t>
    </mdx>
    <mdx n="508" f="v">
      <t c="3" si="4">
        <n x="509"/>
        <n x="197"/>
        <n x="505"/>
      </t>
    </mdx>
    <mdx n="508" f="v">
      <t c="3" si="4">
        <n x="509"/>
        <n x="131"/>
        <n x="505"/>
      </t>
    </mdx>
    <mdx n="508" f="v">
      <t c="3" si="4">
        <n x="509"/>
        <n x="167"/>
        <n x="506"/>
      </t>
    </mdx>
    <mdx n="508" f="v">
      <t c="3" si="4">
        <n x="509"/>
        <n x="120"/>
        <n x="506"/>
      </t>
    </mdx>
    <mdx n="508" f="v">
      <t c="3" si="4">
        <n x="509"/>
        <n x="9"/>
        <n x="506"/>
      </t>
    </mdx>
    <mdx n="508" f="v">
      <t c="3" si="4">
        <n x="509"/>
        <n x="270"/>
        <n x="507"/>
      </t>
    </mdx>
    <mdx n="508" f="v">
      <t c="3" si="4">
        <n x="509"/>
        <n x="18"/>
        <n x="507"/>
      </t>
    </mdx>
    <mdx n="508" f="v">
      <t c="3" si="4">
        <n x="509"/>
        <n x="49"/>
        <n x="505"/>
      </t>
    </mdx>
    <mdx n="508" f="v">
      <t c="3" si="4">
        <n x="509"/>
        <n x="43"/>
        <n x="505"/>
      </t>
    </mdx>
    <mdx n="508" f="v">
      <t c="3" si="4">
        <n x="509"/>
        <n x="383"/>
        <n x="505"/>
      </t>
    </mdx>
    <mdx n="508" f="v">
      <t c="3" si="4">
        <n x="509"/>
        <n x="371"/>
        <n x="505"/>
      </t>
    </mdx>
    <mdx n="508" f="v">
      <t c="3" si="4">
        <n x="509"/>
        <n x="243"/>
        <n x="506"/>
      </t>
    </mdx>
    <mdx n="508" f="v">
      <t c="3" si="4">
        <n x="509"/>
        <n x="381"/>
        <n x="506"/>
      </t>
    </mdx>
    <mdx n="508" f="v">
      <t c="3" si="4">
        <n x="509"/>
        <n x="199"/>
        <n x="506"/>
      </t>
    </mdx>
    <mdx n="508" f="v">
      <t c="3" si="4">
        <n x="509"/>
        <n x="344"/>
        <n x="506"/>
      </t>
    </mdx>
    <mdx n="508" f="v">
      <t c="3" si="4">
        <n x="509"/>
        <n x="181"/>
        <n x="507"/>
      </t>
    </mdx>
    <mdx n="508" f="v">
      <t c="3" si="4">
        <n x="509"/>
        <n x="112"/>
        <n x="504"/>
      </t>
    </mdx>
    <mdx n="508" f="v">
      <t c="3" si="4">
        <n x="509"/>
        <n x="253"/>
        <n x="504"/>
      </t>
    </mdx>
    <mdx n="508" f="v">
      <t c="3" si="4">
        <n x="509"/>
        <n x="258"/>
        <n x="505"/>
      </t>
    </mdx>
    <mdx n="508" f="v">
      <t c="3" si="4">
        <n x="509"/>
        <n x="11"/>
        <n x="505"/>
      </t>
    </mdx>
    <mdx n="508" f="v">
      <t c="3" si="4">
        <n x="509"/>
        <n x="311"/>
        <n x="505"/>
      </t>
    </mdx>
    <mdx n="508" f="v">
      <t c="3" si="4">
        <n x="509"/>
        <n x="376"/>
        <n x="505"/>
      </t>
    </mdx>
    <mdx n="508" f="v">
      <t c="3" si="4">
        <n x="509"/>
        <n x="373"/>
        <n x="505"/>
      </t>
    </mdx>
    <mdx n="508" f="v">
      <t c="3" si="4">
        <n x="509"/>
        <n x="53"/>
        <n x="505"/>
      </t>
    </mdx>
    <mdx n="508" f="v">
      <t c="3" si="4">
        <n x="509"/>
        <n x="378"/>
        <n x="505"/>
      </t>
    </mdx>
    <mdx n="508" f="v">
      <t c="3" si="4">
        <n x="509"/>
        <n x="23"/>
        <n x="506"/>
      </t>
    </mdx>
    <mdx n="508" f="v">
      <t c="3" si="4">
        <n x="509"/>
        <n x="462"/>
        <n x="506"/>
      </t>
    </mdx>
    <mdx n="508" f="v">
      <t c="3" si="4">
        <n x="509"/>
        <n x="50"/>
        <n x="506"/>
      </t>
    </mdx>
    <mdx n="508" f="v">
      <t c="3" si="4">
        <n x="509"/>
        <n x="301"/>
        <n x="507"/>
      </t>
    </mdx>
    <mdx n="508" f="v">
      <t c="3" si="4">
        <n x="509"/>
        <n x="298"/>
        <n x="507"/>
      </t>
    </mdx>
    <mdx n="508" f="v">
      <t c="3" si="4">
        <n x="509"/>
        <n x="32"/>
        <n x="507"/>
      </t>
    </mdx>
    <mdx n="508" f="v">
      <t c="3" si="4">
        <n x="509"/>
        <n x="95"/>
        <n x="507"/>
      </t>
    </mdx>
    <mdx n="508" f="v">
      <t c="3" si="4">
        <n x="509"/>
        <n x="107"/>
        <n x="507"/>
      </t>
    </mdx>
    <mdx n="508" f="v">
      <t c="3" si="4">
        <n x="509"/>
        <n x="263"/>
        <n x="507"/>
      </t>
    </mdx>
    <mdx n="508" f="v">
      <t c="3" si="4">
        <n x="509"/>
        <n x="225"/>
        <n x="507"/>
      </t>
    </mdx>
    <mdx n="508" f="v">
      <t c="3" si="4">
        <n x="509"/>
        <n x="455"/>
        <n x="507"/>
      </t>
    </mdx>
    <mdx n="508" f="v">
      <t c="3" si="4">
        <n x="509"/>
        <n x="213"/>
        <n x="507"/>
      </t>
    </mdx>
    <mdx n="508" f="v">
      <t c="3" si="4">
        <n x="509"/>
        <n x="97"/>
        <n x="507"/>
      </t>
    </mdx>
    <mdx n="508" f="v">
      <t c="3" si="4">
        <n x="509"/>
        <n x="414"/>
        <n x="507"/>
      </t>
    </mdx>
    <mdx n="508" f="v">
      <t c="3" si="4">
        <n x="509"/>
        <n x="424"/>
        <n x="507"/>
      </t>
    </mdx>
    <mdx n="508" f="v">
      <t c="3" si="4">
        <n x="509"/>
        <n x="215"/>
        <n x="505"/>
      </t>
    </mdx>
    <mdx n="508" f="v">
      <t c="3" si="4">
        <n x="509"/>
        <n x="302"/>
        <n x="505"/>
      </t>
    </mdx>
    <mdx n="508" f="v">
      <t c="3" si="4">
        <n x="509"/>
        <n x="84"/>
        <n x="506"/>
      </t>
    </mdx>
    <mdx n="508" f="v">
      <t c="3" si="4">
        <n x="509"/>
        <n x="83"/>
        <n x="506"/>
      </t>
    </mdx>
    <mdx n="508" f="v">
      <t c="3" si="4">
        <n x="509"/>
        <n x="360"/>
        <n x="506"/>
      </t>
    </mdx>
    <mdx n="508" f="v">
      <t c="3" si="4">
        <n x="509"/>
        <n x="52"/>
        <n x="506"/>
      </t>
    </mdx>
    <mdx n="508" f="v">
      <t c="3" si="4">
        <n x="509"/>
        <n x="164"/>
        <n x="506"/>
      </t>
    </mdx>
    <mdx n="508" f="v">
      <t c="3" si="4">
        <n x="509"/>
        <n x="409"/>
        <n x="506"/>
      </t>
    </mdx>
    <mdx n="508" f="v">
      <t c="3" si="4">
        <n x="509"/>
        <n x="114"/>
        <n x="506"/>
      </t>
    </mdx>
    <mdx n="508" f="v">
      <t c="3" si="4">
        <n x="509"/>
        <n x="330"/>
        <n x="507"/>
      </t>
    </mdx>
    <mdx n="508" f="v">
      <t c="3" si="4">
        <n x="509"/>
        <n x="94"/>
        <n x="507"/>
      </t>
    </mdx>
    <mdx n="508" f="v">
      <t c="3" si="4">
        <n x="509"/>
        <n x="143"/>
        <n x="507"/>
      </t>
    </mdx>
    <mdx n="508" f="v">
      <t c="3" si="4">
        <n x="509"/>
        <n x="281"/>
        <n x="507"/>
      </t>
    </mdx>
    <mdx n="508" f="v">
      <t c="3" si="4">
        <n x="509"/>
        <n x="179"/>
        <n x="507"/>
      </t>
    </mdx>
    <mdx n="508" f="v">
      <t c="3" si="4">
        <n x="509"/>
        <n x="240"/>
        <n x="507"/>
      </t>
    </mdx>
    <mdx n="508" f="v">
      <t c="3" si="4">
        <n x="509"/>
        <n x="337"/>
        <n x="507"/>
      </t>
    </mdx>
    <mdx n="508" f="v">
      <t c="3" si="4">
        <n x="509"/>
        <n x="209"/>
        <n x="505"/>
      </t>
    </mdx>
    <mdx n="508" f="v">
      <t c="3" si="4">
        <n x="509"/>
        <n x="357"/>
        <n x="506"/>
      </t>
    </mdx>
    <mdx n="508" f="v">
      <t c="3" si="4">
        <n x="509"/>
        <n x="188"/>
        <n x="506"/>
      </t>
    </mdx>
    <mdx n="508" f="v">
      <t c="3" si="4">
        <n x="509"/>
        <n x="448"/>
        <n x="506"/>
      </t>
    </mdx>
    <mdx n="508" f="v">
      <t c="3" si="4">
        <n x="509"/>
        <n x="40"/>
        <n x="506"/>
      </t>
    </mdx>
    <mdx n="508" f="v">
      <t c="3" si="4">
        <n x="509"/>
        <n x="340"/>
        <n x="506"/>
      </t>
    </mdx>
    <mdx n="508" f="v">
      <t c="3" si="4">
        <n x="509"/>
        <n x="122"/>
        <n x="506"/>
      </t>
    </mdx>
    <mdx n="508" f="v">
      <t c="3" si="4">
        <n x="509"/>
        <n x="90"/>
        <n x="506"/>
      </t>
    </mdx>
    <mdx n="508" f="v">
      <t c="3" si="4">
        <n x="509"/>
        <n x="387"/>
        <n x="507"/>
      </t>
    </mdx>
    <mdx n="508" f="v">
      <t c="3" si="4">
        <n x="509"/>
        <n x="69"/>
        <n x="507"/>
      </t>
    </mdx>
    <mdx n="508" f="v">
      <t c="3" si="4">
        <n x="509"/>
        <n x="194"/>
        <n x="507"/>
      </t>
    </mdx>
    <mdx n="508" f="v">
      <t c="3" si="4">
        <n x="509"/>
        <n x="290"/>
        <n x="507"/>
      </t>
    </mdx>
    <mdx n="508" f="v">
      <t c="3" si="4">
        <n x="509"/>
        <n x="346"/>
        <n x="507"/>
      </t>
    </mdx>
    <mdx n="508" f="v">
      <t c="3" si="4">
        <n x="509"/>
        <n x="229"/>
        <n x="507"/>
      </t>
    </mdx>
    <mdx n="508" f="v">
      <t c="3" si="4">
        <n x="509"/>
        <n x="454"/>
        <n x="507"/>
      </t>
    </mdx>
    <mdx n="508" f="v">
      <t c="3" si="4">
        <n x="509"/>
        <n x="66"/>
        <n x="507"/>
      </t>
    </mdx>
    <mdx n="508" f="v">
      <t c="3" si="4">
        <n x="509"/>
        <n x="319"/>
        <n x="507"/>
      </t>
    </mdx>
    <mdx n="508" f="v">
      <t c="3" si="4">
        <n x="509"/>
        <n x="446"/>
        <n x="506"/>
      </t>
    </mdx>
    <mdx n="508" f="v">
      <t c="3" si="4">
        <n x="509"/>
        <n x="262"/>
        <n x="506"/>
      </t>
    </mdx>
    <mdx n="508" f="v">
      <t c="3" si="4">
        <n x="509"/>
        <n x="228"/>
        <n x="506"/>
      </t>
    </mdx>
    <mdx n="508" f="v">
      <t c="3" si="4">
        <n x="509"/>
        <n x="222"/>
        <n x="507"/>
      </t>
    </mdx>
    <mdx n="508" f="v">
      <t c="3" si="4">
        <n x="509"/>
        <n x="360"/>
        <n x="507"/>
      </t>
    </mdx>
    <mdx n="508" f="v">
      <t c="3" si="4">
        <n x="509"/>
        <n x="36"/>
        <n x="507"/>
      </t>
    </mdx>
    <mdx n="508" f="v">
      <t c="3" si="4">
        <n x="509"/>
        <n x="169"/>
        <n x="505"/>
      </t>
    </mdx>
    <mdx n="508" f="v">
      <t c="3" si="4">
        <n x="509"/>
        <n x="47"/>
        <n x="506"/>
      </t>
    </mdx>
    <mdx n="508" f="v">
      <t c="3" si="4">
        <n x="509"/>
        <n x="238"/>
        <n x="506"/>
      </t>
    </mdx>
    <mdx n="508" f="v">
      <t c="3" si="4">
        <n x="509"/>
        <n x="316"/>
        <n x="506"/>
      </t>
    </mdx>
    <mdx n="508" f="v">
      <t c="3" si="4">
        <n x="509"/>
        <n x="351"/>
        <n x="507"/>
      </t>
    </mdx>
    <mdx n="508" f="v">
      <t c="3" si="4">
        <n x="509"/>
        <n x="413"/>
        <n x="507"/>
      </t>
    </mdx>
    <mdx n="508" f="v">
      <t c="3" si="4">
        <n x="509"/>
        <n x="383"/>
        <n x="507"/>
      </t>
    </mdx>
    <mdx n="508" f="v">
      <t c="3" si="4">
        <n x="509"/>
        <n x="195"/>
        <n x="506"/>
      </t>
    </mdx>
    <mdx n="508" f="v">
      <t c="3" si="4">
        <n x="509"/>
        <n x="311"/>
        <n x="507"/>
      </t>
    </mdx>
    <mdx n="508" f="v">
      <t c="3" si="4">
        <n x="509"/>
        <n x="133"/>
        <n x="506"/>
      </t>
    </mdx>
    <mdx n="508" f="v">
      <t c="3" si="4">
        <n x="509"/>
        <n x="273"/>
        <n x="507"/>
      </t>
    </mdx>
    <mdx n="508" f="v">
      <t c="3" si="4">
        <n x="509"/>
        <n x="61"/>
        <n x="507"/>
      </t>
    </mdx>
    <mdx n="508" f="v">
      <t c="3" si="4">
        <n x="509"/>
        <n x="312"/>
        <n x="506"/>
      </t>
    </mdx>
    <mdx n="508" f="v">
      <t c="3" si="4">
        <n x="509"/>
        <n x="121"/>
        <n x="506"/>
      </t>
    </mdx>
    <mdx n="508" f="v">
      <t c="3" si="4">
        <n x="509"/>
        <n x="247"/>
        <n x="507"/>
      </t>
    </mdx>
    <mdx n="508" f="v">
      <t c="3" si="4">
        <n x="509"/>
        <n x="196"/>
        <n x="506"/>
      </t>
    </mdx>
    <mdx n="508" f="v">
      <t c="3" si="4">
        <n x="509"/>
        <n x="432"/>
        <n x="507"/>
      </t>
    </mdx>
    <mdx n="508" f="v">
      <t c="3" si="4">
        <n x="509"/>
        <n x="170"/>
        <n x="506"/>
      </t>
    </mdx>
    <mdx n="508" f="v">
      <t c="3" si="4">
        <n x="509"/>
        <n x="212"/>
        <n x="507"/>
      </t>
    </mdx>
    <mdx n="508" f="v">
      <t c="3" si="4">
        <n x="509"/>
        <n x="411"/>
        <n x="499"/>
      </t>
    </mdx>
    <mdx n="508" f="v">
      <t c="3" si="4">
        <n x="509"/>
        <n x="330"/>
        <n x="500"/>
      </t>
    </mdx>
    <mdx n="508" f="v">
      <t c="3" si="4">
        <n x="509"/>
        <n x="164"/>
        <n x="500"/>
      </t>
    </mdx>
    <mdx n="508" f="v">
      <t c="3" si="4">
        <n x="509"/>
        <n x="11"/>
        <n x="501"/>
      </t>
    </mdx>
    <mdx n="508" f="v">
      <t c="3" si="4">
        <n x="509"/>
        <n x="428"/>
        <n x="502"/>
      </t>
    </mdx>
    <mdx n="508" f="v">
      <t c="3" si="4">
        <n x="509"/>
        <n x="78"/>
        <n x="501"/>
      </t>
    </mdx>
    <mdx n="508" f="v">
      <t c="3" si="4">
        <n x="509"/>
        <n x="21"/>
        <n x="502"/>
      </t>
    </mdx>
    <mdx n="508" f="v">
      <t c="3" si="4">
        <n x="509"/>
        <n x="153"/>
        <n x="502"/>
      </t>
    </mdx>
    <mdx n="508" f="v">
      <t c="3" si="4">
        <n x="509"/>
        <n x="274"/>
        <n x="503"/>
      </t>
    </mdx>
    <mdx n="508" f="v">
      <t c="3" si="4">
        <n x="509"/>
        <n x="32"/>
        <n x="501"/>
      </t>
    </mdx>
    <mdx n="508" f="v">
      <t c="3" si="4">
        <n x="509"/>
        <n x="312"/>
        <n x="502"/>
      </t>
    </mdx>
    <mdx n="508" f="v">
      <t c="3" si="4">
        <n x="509"/>
        <n x="148"/>
        <n x="502"/>
      </t>
    </mdx>
    <mdx n="508" f="v">
      <t c="3" si="4">
        <n x="509"/>
        <n x="183"/>
        <n x="503"/>
      </t>
    </mdx>
    <mdx n="508" f="v">
      <t c="3" si="4">
        <n x="509"/>
        <n x="262"/>
        <n x="504"/>
      </t>
    </mdx>
    <mdx n="508" f="v">
      <t c="3" si="4">
        <n x="509"/>
        <n x="39"/>
        <n x="501"/>
      </t>
    </mdx>
    <mdx n="508" f="v">
      <t c="3" si="4">
        <n x="509"/>
        <n x="22"/>
        <n x="502"/>
      </t>
    </mdx>
    <mdx n="508" f="v">
      <t c="3" si="4">
        <n x="509"/>
        <n x="349"/>
        <n x="502"/>
      </t>
    </mdx>
    <mdx n="508" f="v">
      <t c="3" si="4">
        <n x="509"/>
        <n x="137"/>
        <n x="503"/>
      </t>
    </mdx>
    <mdx n="508" f="v">
      <t c="3" si="4">
        <n x="509"/>
        <n x="28"/>
        <n x="503"/>
      </t>
    </mdx>
    <mdx n="508" f="v">
      <t c="3" si="4">
        <n x="509"/>
        <n x="196"/>
        <n x="504"/>
      </t>
    </mdx>
    <mdx n="508" f="v">
      <t c="3" si="4">
        <n x="509"/>
        <n x="433"/>
        <n x="501"/>
      </t>
    </mdx>
    <mdx n="508" f="v">
      <t c="3" si="4">
        <n x="509"/>
        <n x="209"/>
        <n x="502"/>
      </t>
    </mdx>
    <mdx n="508" f="v">
      <t c="3" si="4">
        <n x="509"/>
        <n x="339"/>
        <n x="502"/>
      </t>
    </mdx>
    <mdx n="508" f="v">
      <t c="3" si="4">
        <n x="509"/>
        <n x="26"/>
        <n x="502"/>
      </t>
    </mdx>
    <mdx n="508" f="v">
      <t c="3" si="4">
        <n x="509"/>
        <n x="283"/>
        <n x="503"/>
      </t>
    </mdx>
    <mdx n="508" f="v">
      <t c="3" si="4">
        <n x="509"/>
        <n x="10"/>
        <n x="503"/>
      </t>
    </mdx>
    <mdx n="508" f="v">
      <t c="3" si="4">
        <n x="509"/>
        <n x="458"/>
        <n x="504"/>
      </t>
    </mdx>
    <mdx n="508" f="v">
      <t c="3" si="4">
        <n x="509"/>
        <n x="404"/>
        <n x="506"/>
      </t>
    </mdx>
    <mdx n="508" f="v">
      <t c="3" si="4">
        <n x="509"/>
        <n x="355"/>
        <n x="502"/>
      </t>
    </mdx>
    <mdx n="508" f="v">
      <t c="3" si="4">
        <n x="509"/>
        <n x="189"/>
        <n x="502"/>
      </t>
    </mdx>
    <mdx n="508" f="v">
      <t c="3" si="4">
        <n x="509"/>
        <n x="237"/>
        <n x="502"/>
      </t>
    </mdx>
    <mdx n="508" f="v">
      <t c="3" si="4">
        <n x="509"/>
        <n x="365"/>
        <n x="502"/>
      </t>
    </mdx>
    <mdx n="508" f="v">
      <t c="3" si="4">
        <n x="509"/>
        <n x="269"/>
        <n x="503"/>
      </t>
    </mdx>
    <mdx n="508" f="v">
      <t c="3" si="4">
        <n x="509"/>
        <n x="97"/>
        <n x="503"/>
      </t>
    </mdx>
    <mdx n="508" f="v">
      <t c="3" si="4">
        <n x="509"/>
        <n x="365"/>
        <n x="503"/>
      </t>
    </mdx>
    <mdx n="508" f="v">
      <t c="3" si="4">
        <n x="509"/>
        <n x="291"/>
        <n x="504"/>
      </t>
    </mdx>
    <mdx n="508" f="v">
      <t c="3" si="4">
        <n x="509"/>
        <n x="349"/>
        <n x="505"/>
      </t>
    </mdx>
    <mdx n="508" f="v">
      <t c="3" si="4">
        <n x="509"/>
        <n x="68"/>
        <n x="502"/>
      </t>
    </mdx>
    <mdx n="508" f="v">
      <t c="3" si="4">
        <n x="509"/>
        <n x="242"/>
        <n x="502"/>
      </t>
    </mdx>
    <mdx n="508" f="v">
      <t c="3" si="4">
        <n x="509"/>
        <n x="250"/>
        <n x="502"/>
      </t>
    </mdx>
    <mdx n="508" f="v">
      <t c="3" si="4">
        <n x="509"/>
        <n x="64"/>
        <n x="502"/>
      </t>
    </mdx>
    <mdx n="508" f="v">
      <t c="3" si="4">
        <n x="509"/>
        <n x="199"/>
        <n x="502"/>
      </t>
    </mdx>
    <mdx n="508" f="v">
      <t c="3" si="4">
        <n x="509"/>
        <n x="25"/>
        <n x="503"/>
      </t>
    </mdx>
    <mdx n="508" f="v">
      <t c="3" si="4">
        <n x="509"/>
        <n x="167"/>
        <n x="503"/>
      </t>
    </mdx>
    <mdx n="508" f="v">
      <t c="3" si="4">
        <n x="509"/>
        <n x="452"/>
        <n x="503"/>
      </t>
    </mdx>
    <mdx n="508" f="v">
      <t c="3" si="4">
        <n x="509"/>
        <n x="446"/>
        <n x="504"/>
      </t>
    </mdx>
    <mdx n="508" f="v">
      <t c="3" si="4">
        <n x="509"/>
        <n x="122"/>
        <n x="504"/>
      </t>
    </mdx>
    <mdx n="508" f="v">
      <t c="3" si="4">
        <n x="509"/>
        <n x="223"/>
        <n x="502"/>
      </t>
    </mdx>
    <mdx n="508" f="v">
      <t c="3" si="4">
        <n x="509"/>
        <n x="203"/>
        <n x="503"/>
      </t>
    </mdx>
    <mdx n="508" f="v">
      <t c="3" si="4">
        <n x="509"/>
        <n x="40"/>
        <n x="503"/>
      </t>
    </mdx>
    <mdx n="508" f="v">
      <t c="3" si="4">
        <n x="509"/>
        <n x="95"/>
        <n x="503"/>
      </t>
    </mdx>
    <mdx n="508" f="v">
      <t c="3" si="4">
        <n x="509"/>
        <n x="442"/>
        <n x="504"/>
      </t>
    </mdx>
    <mdx n="508" f="v">
      <t c="3" si="4">
        <n x="509"/>
        <n x="265"/>
        <n x="505"/>
      </t>
    </mdx>
    <mdx n="508" f="v">
      <t c="3" si="4">
        <n x="509"/>
        <n x="357"/>
        <n x="504"/>
      </t>
    </mdx>
    <mdx n="508" f="v">
      <t c="3" si="4">
        <n x="509"/>
        <n x="217"/>
        <n x="505"/>
      </t>
    </mdx>
    <mdx n="508" f="v">
      <t c="3" si="4">
        <n x="509"/>
        <n x="52"/>
        <n x="505"/>
      </t>
    </mdx>
    <mdx n="508" f="v">
      <t c="3" si="4">
        <n x="509"/>
        <n x="90"/>
        <n x="505"/>
      </t>
    </mdx>
    <mdx n="508" f="v">
      <t c="3" si="4">
        <n x="509"/>
        <n x="32"/>
        <n x="506"/>
      </t>
    </mdx>
    <mdx n="508" f="v">
      <t c="3" si="4">
        <n x="509"/>
        <n x="7"/>
        <n x="502"/>
      </t>
    </mdx>
    <mdx n="508" f="v">
      <t c="3" si="4">
        <n x="509"/>
        <n x="460"/>
        <n x="502"/>
      </t>
    </mdx>
    <mdx n="508" f="v">
      <t c="3" si="4">
        <n x="509"/>
        <n x="245"/>
        <n x="503"/>
      </t>
    </mdx>
    <mdx n="508" f="v">
      <t c="3" si="4">
        <n x="509"/>
        <n x="327"/>
        <n x="503"/>
      </t>
    </mdx>
    <mdx n="508" f="v">
      <t c="3" si="4">
        <n x="509"/>
        <n x="238"/>
        <n x="503"/>
      </t>
    </mdx>
    <mdx n="508" f="v">
      <t c="3" si="4">
        <n x="509"/>
        <n x="175"/>
        <n x="503"/>
      </t>
    </mdx>
    <mdx n="508" f="v">
      <t c="3" si="4">
        <n x="509"/>
        <n x="464"/>
        <n x="503"/>
      </t>
    </mdx>
    <mdx n="508" f="v">
      <t c="3" si="4">
        <n x="509"/>
        <n x="402"/>
        <n x="503"/>
      </t>
    </mdx>
    <mdx n="508" f="v">
      <t c="3" si="4">
        <n x="509"/>
        <n x="100"/>
        <n x="503"/>
      </t>
    </mdx>
    <mdx n="508" f="v">
      <t c="3" si="4">
        <n x="509"/>
        <n x="80"/>
        <n x="503"/>
      </t>
    </mdx>
    <mdx n="508" f="v">
      <t c="3" si="4">
        <n x="509"/>
        <n x="134"/>
        <n x="504"/>
      </t>
    </mdx>
    <mdx n="508" f="v">
      <t c="3" si="4">
        <n x="509"/>
        <n x="54"/>
        <n x="504"/>
      </t>
    </mdx>
    <mdx n="508" f="v">
      <t c="3" si="4">
        <n x="509"/>
        <n x="186"/>
        <n x="504"/>
      </t>
    </mdx>
    <mdx n="508" f="v">
      <t c="3" si="4">
        <n x="509"/>
        <n x="356"/>
        <n x="504"/>
      </t>
    </mdx>
    <mdx n="508" f="v">
      <t c="3" si="4">
        <n x="509"/>
        <n x="142"/>
        <n x="504"/>
      </t>
    </mdx>
    <mdx n="508" f="v">
      <t c="3" si="4">
        <n x="509"/>
        <n x="273"/>
        <n x="505"/>
      </t>
    </mdx>
    <mdx n="508" f="v">
      <t c="3" si="4">
        <n x="509"/>
        <n x="25"/>
        <n x="505"/>
      </t>
    </mdx>
    <mdx n="508" f="v">
      <t c="3" si="4">
        <n x="509"/>
        <n x="123"/>
        <n x="505"/>
      </t>
    </mdx>
    <mdx n="508" f="v">
      <t c="3" si="4">
        <n x="509"/>
        <n x="217"/>
        <n x="506"/>
      </t>
    </mdx>
    <mdx n="508" f="v">
      <t c="3" si="4">
        <n x="509"/>
        <n x="425"/>
        <n x="507"/>
      </t>
    </mdx>
    <mdx n="508" f="v">
      <t c="3" si="4">
        <n x="509"/>
        <n x="82"/>
        <n x="502"/>
      </t>
    </mdx>
    <mdx n="508" f="v">
      <t c="3" si="4">
        <n x="509"/>
        <n x="435"/>
        <n x="502"/>
      </t>
    </mdx>
    <mdx n="508" f="v">
      <t c="3" si="4">
        <n x="509"/>
        <n x="145"/>
        <n x="503"/>
      </t>
    </mdx>
    <mdx n="508" f="v">
      <t c="3" si="4">
        <n x="509"/>
        <n x="463"/>
        <n x="503"/>
      </t>
    </mdx>
    <mdx n="508" f="v">
      <t c="3" si="4">
        <n x="509"/>
        <n x="387"/>
        <n x="503"/>
      </t>
    </mdx>
    <mdx n="508" f="v">
      <t c="3" si="4">
        <n x="509"/>
        <n x="113"/>
        <n x="503"/>
      </t>
    </mdx>
    <mdx n="508" f="v">
      <t c="3" si="4">
        <n x="509"/>
        <n x="36"/>
        <n x="503"/>
      </t>
    </mdx>
    <mdx n="508" f="v">
      <t c="3" si="4">
        <n x="509"/>
        <n x="57"/>
        <n x="503"/>
      </t>
    </mdx>
    <mdx n="508" f="v">
      <t c="3" si="4">
        <n x="509"/>
        <n x="435"/>
        <n x="503"/>
      </t>
    </mdx>
    <mdx n="508" f="v">
      <t c="3" si="4">
        <n x="509"/>
        <n x="135"/>
        <n x="504"/>
      </t>
    </mdx>
    <mdx n="508" f="v">
      <t c="3" si="4">
        <n x="509"/>
        <n x="355"/>
        <n x="504"/>
      </t>
    </mdx>
    <mdx n="508" f="v">
      <t c="3" si="4">
        <n x="509"/>
        <n x="285"/>
        <n x="504"/>
      </t>
    </mdx>
    <mdx n="508" f="v">
      <t c="3" si="4">
        <n x="509"/>
        <n x="224"/>
        <n x="504"/>
      </t>
    </mdx>
    <mdx n="508" f="v">
      <t c="3" si="4">
        <n x="509"/>
        <n x="101"/>
        <n x="504"/>
      </t>
    </mdx>
    <mdx n="508" f="v">
      <t c="3" si="4">
        <n x="509"/>
        <n x="67"/>
        <n x="504"/>
      </t>
    </mdx>
    <mdx n="508" f="v">
      <t c="3" si="4">
        <n x="509"/>
        <n x="418"/>
        <n x="505"/>
      </t>
    </mdx>
    <mdx n="508" f="v">
      <t c="3" si="4">
        <n x="509"/>
        <n x="390"/>
        <n x="505"/>
      </t>
    </mdx>
    <mdx n="508" f="v">
      <t c="3" si="4">
        <n x="509"/>
        <n x="297"/>
        <n x="505"/>
      </t>
    </mdx>
    <mdx n="508" f="v">
      <t c="3" si="4">
        <n x="509"/>
        <n x="149"/>
        <n x="506"/>
      </t>
    </mdx>
    <mdx n="508" f="v">
      <t c="3" si="4">
        <n x="509"/>
        <n x="340"/>
        <n x="507"/>
      </t>
    </mdx>
    <mdx n="508" f="v">
      <t c="3" si="4">
        <n x="509"/>
        <n x="188"/>
        <n x="503"/>
      </t>
    </mdx>
    <mdx n="508" f="v">
      <t c="3" si="4">
        <n x="509"/>
        <n x="53"/>
        <n x="504"/>
      </t>
    </mdx>
    <mdx n="508" f="v">
      <t c="3" si="4">
        <n x="509"/>
        <n x="89"/>
        <n x="504"/>
      </t>
    </mdx>
    <mdx n="508" f="v">
      <t c="3" si="4">
        <n x="509"/>
        <n x="99"/>
        <n x="504"/>
      </t>
    </mdx>
    <mdx n="508" f="v">
      <t c="3" si="4">
        <n x="509"/>
        <n x="406"/>
        <n x="504"/>
      </t>
    </mdx>
    <mdx n="508" f="v">
      <t c="3" si="4">
        <n x="509"/>
        <n x="230"/>
        <n x="504"/>
      </t>
    </mdx>
    <mdx n="508" f="v">
      <t c="3" si="4">
        <n x="509"/>
        <n x="460"/>
        <n x="504"/>
      </t>
    </mdx>
    <mdx n="508" f="v">
      <t c="3" si="4">
        <n x="509"/>
        <n x="84"/>
        <n x="505"/>
      </t>
    </mdx>
    <mdx n="508" f="v">
      <t c="3" si="4">
        <n x="509"/>
        <n x="156"/>
        <n x="505"/>
      </t>
    </mdx>
    <mdx n="508" f="v">
      <t c="3" si="4">
        <n x="509"/>
        <n x="332"/>
        <n x="505"/>
      </t>
    </mdx>
    <mdx n="508" f="v">
      <t c="3" si="4">
        <n x="509"/>
        <n x="14"/>
        <n x="506"/>
      </t>
    </mdx>
    <mdx n="508" f="v">
      <t c="3" si="4">
        <n x="509"/>
        <n x="400"/>
        <n x="507"/>
      </t>
    </mdx>
    <mdx n="508" f="v">
      <t c="3" si="4">
        <n x="509"/>
        <n x="427"/>
        <n x="503"/>
      </t>
    </mdx>
    <mdx n="508" f="v">
      <t c="3" si="4">
        <n x="509"/>
        <n x="289"/>
        <n x="503"/>
      </t>
    </mdx>
    <mdx n="508" f="v">
      <t c="3" si="4">
        <n x="509"/>
        <n x="456"/>
        <n x="503"/>
      </t>
    </mdx>
    <mdx n="508" f="v">
      <t c="3" si="4">
        <n x="509"/>
        <n x="76"/>
        <n x="503"/>
      </t>
    </mdx>
    <mdx n="508" f="v">
      <t c="3" si="4">
        <n x="509"/>
        <n x="61"/>
        <n x="504"/>
      </t>
    </mdx>
    <mdx n="508" f="v">
      <t c="3" si="4">
        <n x="509"/>
        <n x="327"/>
        <n x="504"/>
      </t>
    </mdx>
    <mdx n="508" f="v">
      <t c="3" si="4">
        <n x="509"/>
        <n x="410"/>
        <n x="504"/>
      </t>
    </mdx>
    <mdx n="508" f="v">
      <t c="3" si="4">
        <n x="509"/>
        <n x="178"/>
        <n x="504"/>
      </t>
    </mdx>
    <mdx n="508" f="v">
      <t c="3" si="4">
        <n x="509"/>
        <n x="43"/>
        <n x="504"/>
      </t>
    </mdx>
    <mdx n="508" f="v">
      <t c="3" si="4">
        <n x="509"/>
        <n x="388"/>
        <n x="504"/>
      </t>
    </mdx>
    <mdx n="508" f="v">
      <t c="3" si="4">
        <n x="509"/>
        <n x="423"/>
        <n x="505"/>
      </t>
    </mdx>
    <mdx n="508" f="v">
      <t c="3" si="4">
        <n x="509"/>
        <n x="220"/>
        <n x="505"/>
      </t>
    </mdx>
    <mdx n="508" f="v">
      <t c="3" si="4">
        <n x="509"/>
        <n x="82"/>
        <n x="505"/>
      </t>
    </mdx>
    <mdx n="508" f="v">
      <t c="3" si="4">
        <n x="509"/>
        <n x="157"/>
        <n x="506"/>
      </t>
    </mdx>
    <mdx n="508" f="v">
      <t c="3" si="4">
        <n x="509"/>
        <n x="232"/>
        <n x="507"/>
      </t>
    </mdx>
    <mdx n="508" f="v">
      <t c="3" si="4">
        <n x="509"/>
        <n x="92"/>
        <n x="503"/>
      </t>
    </mdx>
    <mdx n="508" f="v">
      <t c="3" si="4">
        <n x="509"/>
        <n x="251"/>
        <n x="503"/>
      </t>
    </mdx>
    <mdx n="508" f="v">
      <t c="3" si="4">
        <n x="509"/>
        <n x="272"/>
        <n x="503"/>
      </t>
    </mdx>
    <mdx n="508" f="v">
      <t c="3" si="4">
        <n x="509"/>
        <n x="298"/>
        <n x="503"/>
      </t>
    </mdx>
    <mdx n="508" f="v">
      <t c="3" si="4">
        <n x="509"/>
        <n x="67"/>
        <n x="503"/>
      </t>
    </mdx>
    <mdx n="508" f="v">
      <t c="3" si="4">
        <n x="509"/>
        <n x="209"/>
        <n x="504"/>
      </t>
    </mdx>
    <mdx n="508" f="v">
      <t c="3" si="4">
        <n x="509"/>
        <n x="219"/>
        <n x="504"/>
      </t>
    </mdx>
    <mdx n="508" f="v">
      <t c="3" si="4">
        <n x="509"/>
        <n x="323"/>
        <n x="504"/>
      </t>
    </mdx>
    <mdx n="508" f="v">
      <t c="3" si="4">
        <n x="509"/>
        <n x="413"/>
        <n x="504"/>
      </t>
    </mdx>
    <mdx n="508" f="v">
      <t c="3" si="4">
        <n x="509"/>
        <n x="408"/>
        <n x="504"/>
      </t>
    </mdx>
    <mdx n="508" f="v">
      <t c="3" si="4">
        <n x="509"/>
        <n x="464"/>
        <n x="504"/>
      </t>
    </mdx>
    <mdx n="508" f="v">
      <t c="3" si="4">
        <n x="509"/>
        <n x="22"/>
        <n x="505"/>
      </t>
    </mdx>
    <mdx n="508" f="v">
      <t c="3" si="4">
        <n x="509"/>
        <n x="453"/>
        <n x="505"/>
      </t>
    </mdx>
    <mdx n="508" f="v">
      <t c="3" si="4">
        <n x="509"/>
        <n x="352"/>
        <n x="505"/>
      </t>
    </mdx>
    <mdx n="508" f="v">
      <t c="3" si="4">
        <n x="509"/>
        <n x="178"/>
        <n x="506"/>
      </t>
    </mdx>
    <mdx n="508" f="v">
      <t c="3" si="4">
        <n x="509"/>
        <n x="323"/>
        <n x="507"/>
      </t>
    </mdx>
    <mdx n="508" f="v">
      <t c="3" si="4">
        <n x="509"/>
        <n x="137"/>
        <n x="504"/>
      </t>
    </mdx>
    <mdx n="508" f="v">
      <t c="3" si="4">
        <n x="509"/>
        <n x="380"/>
        <n x="504"/>
      </t>
    </mdx>
    <mdx n="508" f="v">
      <t c="3" si="4">
        <n x="509"/>
        <n x="319"/>
        <n x="504"/>
      </t>
    </mdx>
    <mdx n="508" f="v">
      <t c="3" si="4">
        <n x="509"/>
        <n x="249"/>
        <n x="504"/>
      </t>
    </mdx>
    <mdx n="508" f="v">
      <t c="3" si="4">
        <n x="509"/>
        <n x="138"/>
        <n x="505"/>
      </t>
    </mdx>
    <mdx n="508" f="v">
      <t c="3" si="4">
        <n x="509"/>
        <n x="94"/>
        <n x="505"/>
      </t>
    </mdx>
    <mdx n="508" f="v">
      <t c="3" si="4">
        <n x="509"/>
        <n x="87"/>
        <n x="505"/>
      </t>
    </mdx>
    <mdx n="508" f="v">
      <t c="3" si="4">
        <n x="509"/>
        <n x="86"/>
        <n x="505"/>
      </t>
    </mdx>
    <mdx n="508" f="v">
      <t c="3" si="4">
        <n x="509"/>
        <n x="199"/>
        <n x="505"/>
      </t>
    </mdx>
    <mdx n="508" f="v">
      <t c="3" si="4">
        <n x="509"/>
        <n x="436"/>
        <n x="505"/>
      </t>
    </mdx>
    <mdx n="508" f="v">
      <t c="3" si="4">
        <n x="509"/>
        <n x="307"/>
        <n x="505"/>
      </t>
    </mdx>
    <mdx n="508" f="v">
      <t c="3" si="4">
        <n x="509"/>
        <n x="382"/>
        <n x="506"/>
      </t>
    </mdx>
    <mdx n="508" f="v">
      <t c="3" si="4">
        <n x="509"/>
        <n x="66"/>
        <n x="506"/>
      </t>
    </mdx>
    <mdx n="508" f="v">
      <t c="3" si="4">
        <n x="509"/>
        <n x="160"/>
        <n x="506"/>
      </t>
    </mdx>
    <mdx n="508" f="v">
      <t c="3" si="4">
        <n x="509"/>
        <n x="47"/>
        <n x="507"/>
      </t>
    </mdx>
    <mdx n="508" f="v">
      <t c="3" si="4">
        <n x="509"/>
        <n x="118"/>
        <n x="507"/>
      </t>
    </mdx>
    <mdx n="508" f="v">
      <t c="3" si="4">
        <n x="509"/>
        <n x="344"/>
        <n x="504"/>
      </t>
    </mdx>
    <mdx n="508" f="v">
      <t c="3" si="4">
        <n x="509"/>
        <n x="263"/>
        <n x="505"/>
      </t>
    </mdx>
    <mdx n="508" f="v">
      <t c="3" si="4">
        <n x="509"/>
        <n x="221"/>
        <n x="505"/>
      </t>
    </mdx>
    <mdx n="508" f="v">
      <t c="3" si="4">
        <n x="509"/>
        <n x="381"/>
        <n x="505"/>
      </t>
    </mdx>
    <mdx n="508" f="v">
      <t c="3" si="4">
        <n x="509"/>
        <n x="102"/>
        <n x="505"/>
      </t>
    </mdx>
    <mdx n="508" f="v">
      <t c="3" si="4">
        <n x="509"/>
        <n x="97"/>
        <n x="505"/>
      </t>
    </mdx>
    <mdx n="508" f="v">
      <t c="3" si="4">
        <n x="509"/>
        <n x="185"/>
        <n x="505"/>
      </t>
    </mdx>
    <mdx n="508" f="v">
      <t c="3" si="4">
        <n x="509"/>
        <n x="111"/>
        <n x="505"/>
      </t>
    </mdx>
    <mdx n="508" f="v">
      <t c="3" si="4">
        <n x="509"/>
        <n x="407"/>
        <n x="506"/>
      </t>
    </mdx>
    <mdx n="508" f="v">
      <t c="3" si="4">
        <n x="509"/>
        <n x="79"/>
        <n x="506"/>
      </t>
    </mdx>
    <mdx n="508" f="v">
      <t c="3" si="4">
        <n x="509"/>
        <n x="185"/>
        <n x="506"/>
      </t>
    </mdx>
    <mdx n="508" f="v">
      <t c="3" si="4">
        <n x="509"/>
        <n x="22"/>
        <n x="507"/>
      </t>
    </mdx>
    <mdx n="508" f="v">
      <t c="3" si="4">
        <n x="509"/>
        <n x="126"/>
        <n x="507"/>
      </t>
    </mdx>
    <mdx n="508" f="v">
      <t c="3" si="4">
        <n x="509"/>
        <n x="359"/>
        <n x="504"/>
      </t>
    </mdx>
    <mdx n="508" f="v">
      <t c="3" si="4">
        <n x="509"/>
        <n x="113"/>
        <n x="504"/>
      </t>
    </mdx>
    <mdx n="508" f="v">
      <t c="3" si="4">
        <n x="509"/>
        <n x="118"/>
        <n x="504"/>
      </t>
    </mdx>
    <mdx n="508" f="v">
      <t c="3" si="4">
        <n x="509"/>
        <n x="35"/>
        <n x="504"/>
      </t>
    </mdx>
    <mdx n="508" f="v">
      <t c="3" si="4">
        <n x="509"/>
        <n x="37"/>
        <n x="505"/>
      </t>
    </mdx>
    <mdx n="508" f="v">
      <t c="3" si="4">
        <n x="509"/>
        <n x="321"/>
        <n x="505"/>
      </t>
    </mdx>
    <mdx n="508" f="v">
      <t c="3" si="4">
        <n x="509"/>
        <n x="15"/>
        <n x="505"/>
      </t>
    </mdx>
    <mdx n="508" f="v">
      <t c="3" si="4">
        <n x="509"/>
        <n x="14"/>
        <n x="505"/>
      </t>
    </mdx>
    <mdx n="508" f="v">
      <t c="3" si="4">
        <n x="509"/>
        <n x="91"/>
        <n x="505"/>
      </t>
    </mdx>
    <mdx n="508" f="v">
      <t c="3" si="4">
        <n x="509"/>
        <n x="274"/>
        <n x="505"/>
      </t>
    </mdx>
    <mdx n="508" f="v">
      <t c="3" si="4">
        <n x="509"/>
        <n x="107"/>
        <n x="505"/>
      </t>
    </mdx>
    <mdx n="508" f="v">
      <t c="3" si="4">
        <n x="509"/>
        <n x="401"/>
        <n x="506"/>
      </t>
    </mdx>
    <mdx n="508" f="v">
      <t c="3" si="4">
        <n x="509"/>
        <n x="300"/>
        <n x="506"/>
      </t>
    </mdx>
    <mdx n="508" f="v">
      <t c="3" si="4">
        <n x="509"/>
        <n x="274"/>
        <n x="506"/>
      </t>
    </mdx>
    <mdx n="508" f="v">
      <t c="3" si="4">
        <n x="509"/>
        <n x="318"/>
        <n x="507"/>
      </t>
    </mdx>
    <mdx n="508" f="v">
      <t c="3" si="4">
        <n x="509"/>
        <n x="108"/>
        <n x="507"/>
      </t>
    </mdx>
    <mdx n="508" f="v">
      <t c="3" si="4">
        <n x="509"/>
        <n x="264"/>
        <n x="505"/>
      </t>
    </mdx>
    <mdx n="508" f="v">
      <t c="3" si="4">
        <n x="509"/>
        <n x="341"/>
        <n x="505"/>
      </t>
    </mdx>
    <mdx n="508" f="v">
      <t c="3" si="4">
        <n x="509"/>
        <n x="216"/>
        <n x="505"/>
      </t>
    </mdx>
    <mdx n="508" f="v">
      <t c="3" si="4">
        <n x="509"/>
        <n x="191"/>
        <n x="505"/>
      </t>
    </mdx>
    <mdx n="508" f="v">
      <t c="3" si="4">
        <n x="509"/>
        <n x="89"/>
        <n x="506"/>
      </t>
    </mdx>
    <mdx n="508" f="v">
      <t c="3" si="4">
        <n x="509"/>
        <n x="192"/>
        <n x="506"/>
      </t>
    </mdx>
    <mdx n="508" f="v">
      <t c="3" si="4">
        <n x="509"/>
        <n x="266"/>
        <n x="506"/>
      </t>
    </mdx>
    <mdx n="508" f="v">
      <t c="3" si="4">
        <n x="509"/>
        <n x="117"/>
        <n x="506"/>
      </t>
    </mdx>
    <mdx n="508" f="v">
      <t c="3" si="4">
        <n x="509"/>
        <n x="224"/>
        <n x="507"/>
      </t>
    </mdx>
    <mdx n="508" f="v">
      <t c="3" si="4">
        <n x="509"/>
        <n x="215"/>
        <n x="504"/>
      </t>
    </mdx>
    <mdx n="508" f="v">
      <t c="3" si="4">
        <n x="509"/>
        <n x="239"/>
        <n x="504"/>
      </t>
    </mdx>
    <mdx n="508" f="v">
      <t c="3" si="4">
        <n x="509"/>
        <n x="243"/>
        <n x="505"/>
      </t>
    </mdx>
    <mdx n="508" f="v">
      <t c="3" si="4">
        <n x="509"/>
        <n x="464"/>
        <n x="505"/>
      </t>
    </mdx>
    <mdx n="508" f="v">
      <t c="3" si="4">
        <n x="509"/>
        <n x="203"/>
        <n x="505"/>
      </t>
    </mdx>
    <mdx n="508" f="v">
      <t c="3" si="4">
        <n x="509"/>
        <n x="284"/>
        <n x="505"/>
      </t>
    </mdx>
    <mdx n="508" f="v">
      <t c="3" si="4">
        <n x="509"/>
        <n x="266"/>
        <n x="505"/>
      </t>
    </mdx>
    <mdx n="508" f="v">
      <t c="3" si="4">
        <n x="509"/>
        <n x="425"/>
        <n x="505"/>
      </t>
    </mdx>
    <mdx n="508" f="v">
      <t c="3" si="4">
        <n x="509"/>
        <n x="68"/>
        <n x="506"/>
      </t>
    </mdx>
    <mdx n="508" f="v">
      <t c="3" si="4">
        <n x="509"/>
        <n x="212"/>
        <n x="506"/>
      </t>
    </mdx>
    <mdx n="508" f="v">
      <t c="3" si="4">
        <n x="509"/>
        <n x="175"/>
        <n x="506"/>
      </t>
    </mdx>
    <mdx n="508" f="v">
      <t c="3" si="4">
        <n x="509"/>
        <n x="135"/>
        <n x="506"/>
      </t>
    </mdx>
    <mdx n="508" f="v">
      <t c="3" si="4">
        <n x="509"/>
        <n x="21"/>
        <n x="507"/>
      </t>
    </mdx>
    <mdx n="508" f="v">
      <t c="3" si="4">
        <n x="509"/>
        <n x="357"/>
        <n x="507"/>
      </t>
    </mdx>
    <mdx n="508" f="v">
      <t c="3" si="4">
        <n x="509"/>
        <n x="236"/>
        <n x="507"/>
      </t>
    </mdx>
    <mdx n="508" f="v">
      <t c="3" si="4">
        <n x="509"/>
        <n x="183"/>
        <n x="507"/>
      </t>
    </mdx>
    <mdx n="508" f="v">
      <t c="3" si="4">
        <n x="509"/>
        <n x="307"/>
        <n x="507"/>
      </t>
    </mdx>
    <mdx n="508" f="v">
      <t c="3" si="4">
        <n x="509"/>
        <n x="246"/>
        <n x="507"/>
      </t>
    </mdx>
    <mdx n="508" f="v">
      <t c="3" si="4">
        <n x="509"/>
        <n x="8"/>
        <n x="507"/>
      </t>
    </mdx>
    <mdx n="508" f="v">
      <t c="3" si="4">
        <n x="509"/>
        <n x="417"/>
        <n x="507"/>
      </t>
    </mdx>
    <mdx n="508" f="v">
      <t c="3" si="4">
        <n x="509"/>
        <n x="367"/>
        <n x="507"/>
      </t>
    </mdx>
    <mdx n="508" f="v">
      <t c="3" si="4">
        <n x="509"/>
        <n x="278"/>
        <n x="507"/>
      </t>
    </mdx>
    <mdx n="508" f="v">
      <t c="3" si="4">
        <n x="509"/>
        <n x="328"/>
        <n x="507"/>
      </t>
    </mdx>
    <mdx n="508" f="v">
      <t c="3" si="4">
        <n x="509"/>
        <n x="31"/>
        <n x="507"/>
      </t>
    </mdx>
    <mdx n="508" f="v">
      <t c="3" si="4">
        <n x="509"/>
        <n x="173"/>
        <n x="505"/>
      </t>
    </mdx>
    <mdx n="508" f="v">
      <t c="3" si="4">
        <n x="509"/>
        <n x="362"/>
        <n x="506"/>
      </t>
    </mdx>
    <mdx n="508" f="v">
      <t c="3" si="4">
        <n x="509"/>
        <n x="287"/>
        <n x="506"/>
      </t>
    </mdx>
    <mdx n="508" f="v">
      <t c="3" si="4">
        <n x="509"/>
        <n x="281"/>
        <n x="506"/>
      </t>
    </mdx>
    <mdx n="508" f="v">
      <t c="3" si="4">
        <n x="509"/>
        <n x="174"/>
        <n x="506"/>
      </t>
    </mdx>
    <mdx n="508" f="v">
      <t c="3" si="4">
        <n x="509"/>
        <n x="154"/>
        <n x="506"/>
      </t>
    </mdx>
    <mdx n="508" f="v">
      <t c="3" si="4">
        <n x="509"/>
        <n x="34"/>
        <n x="506"/>
      </t>
    </mdx>
    <mdx n="508" f="v">
      <t c="3" si="4">
        <n x="509"/>
        <n x="124"/>
        <n x="506"/>
      </t>
    </mdx>
    <mdx n="508" f="v">
      <t c="3" si="4">
        <n x="509"/>
        <n x="375"/>
        <n x="506"/>
      </t>
    </mdx>
    <mdx n="508" f="v">
      <t c="3" si="4">
        <n x="509"/>
        <n x="116"/>
        <n x="507"/>
      </t>
    </mdx>
    <mdx n="508" f="v">
      <t c="3" si="4">
        <n x="509"/>
        <n x="299"/>
        <n x="507"/>
      </t>
    </mdx>
    <mdx n="508" f="v">
      <t c="3" si="4">
        <n x="509"/>
        <n x="282"/>
        <n x="507"/>
      </t>
    </mdx>
    <mdx n="508" f="v">
      <t c="3" si="4">
        <n x="509"/>
        <n x="198"/>
        <n x="507"/>
      </t>
    </mdx>
    <mdx n="508" f="v">
      <t c="3" si="4">
        <n x="509"/>
        <n x="347"/>
        <n x="507"/>
      </t>
    </mdx>
    <mdx n="508" f="v">
      <t c="3" si="4">
        <n x="509"/>
        <n x="223"/>
        <n x="507"/>
      </t>
    </mdx>
    <mdx n="508" f="v">
      <t c="3" si="4">
        <n x="509"/>
        <n x="121"/>
        <n x="507"/>
      </t>
    </mdx>
    <mdx n="508" f="v">
      <t c="3" si="4">
        <n x="509"/>
        <n x="362"/>
        <n x="505"/>
      </t>
    </mdx>
    <mdx n="508" f="v">
      <t c="3" si="4">
        <n x="509"/>
        <n x="450"/>
        <n x="506"/>
      </t>
    </mdx>
    <mdx n="508" f="v">
      <t c="3" si="4">
        <n x="509"/>
        <n x="284"/>
        <n x="506"/>
      </t>
    </mdx>
    <mdx n="508" f="v">
      <t c="3" si="4">
        <n x="509"/>
        <n x="176"/>
        <n x="506"/>
      </t>
    </mdx>
    <mdx n="508" f="v">
      <t c="3" si="4">
        <n x="509"/>
        <n x="413"/>
        <n x="506"/>
      </t>
    </mdx>
    <mdx n="508" f="v">
      <t c="3" si="4">
        <n x="509"/>
        <n x="408"/>
        <n x="506"/>
      </t>
    </mdx>
    <mdx n="508" f="v">
      <t c="3" si="4">
        <n x="509"/>
        <n x="126"/>
        <n x="506"/>
      </t>
    </mdx>
    <mdx n="508" f="v">
      <t c="3" si="4">
        <n x="509"/>
        <n x="319"/>
        <n x="506"/>
      </t>
    </mdx>
    <mdx n="508" f="v">
      <t c="3" si="4">
        <n x="509"/>
        <n x="353"/>
        <n x="507"/>
      </t>
    </mdx>
    <mdx n="508" f="v">
      <t c="3" si="4">
        <n x="509"/>
        <n x="374"/>
        <n x="507"/>
      </t>
    </mdx>
    <mdx n="508" f="v">
      <t c="3" si="4">
        <n x="509"/>
        <n x="155"/>
        <n x="507"/>
      </t>
    </mdx>
    <mdx n="508" f="v">
      <t c="3" si="4">
        <n x="509"/>
        <n x="178"/>
        <n x="507"/>
      </t>
    </mdx>
    <mdx n="508" f="v">
      <t c="3" si="4">
        <n x="509"/>
        <n x="180"/>
        <n x="507"/>
      </t>
    </mdx>
    <mdx n="508" f="v">
      <t c="3" si="4">
        <n x="509"/>
        <n x="248"/>
        <n x="507"/>
      </t>
    </mdx>
    <mdx n="508" f="v">
      <t c="3" si="4">
        <n x="509"/>
        <n x="81"/>
        <n x="507"/>
      </t>
    </mdx>
    <mdx n="508" f="v">
      <t c="3" si="4">
        <n x="509"/>
        <n x="12"/>
        <n x="507"/>
      </t>
    </mdx>
    <mdx n="508" f="v">
      <t c="3" si="4">
        <n x="509"/>
        <n x="89"/>
        <n x="507"/>
      </t>
    </mdx>
    <mdx n="508" f="v">
      <t c="3" si="4">
        <n x="509"/>
        <n x="150"/>
        <n x="507"/>
      </t>
    </mdx>
    <mdx n="508" f="v">
      <t c="3" si="4">
        <n x="509"/>
        <n x="49"/>
        <n x="507"/>
      </t>
    </mdx>
    <mdx n="508" f="v">
      <t c="3" si="4">
        <n x="509"/>
        <n x="356"/>
        <n x="507"/>
      </t>
    </mdx>
    <mdx n="508" f="v">
      <t c="3" si="4">
        <n x="509"/>
        <n x="26"/>
        <n x="507"/>
      </t>
    </mdx>
    <mdx n="508" f="v">
      <t c="3" si="4">
        <n x="509"/>
        <n x="76"/>
        <n x="507"/>
      </t>
    </mdx>
    <mdx n="508" f="v">
      <t c="3" si="4">
        <n x="509"/>
        <n x="378"/>
        <n x="507"/>
      </t>
    </mdx>
    <mdx n="508" f="v">
      <t c="3" si="4">
        <n x="509"/>
        <n x="193"/>
        <n x="506"/>
      </t>
    </mdx>
    <mdx n="508" f="v">
      <t c="3" si="4">
        <n x="509"/>
        <n x="431"/>
        <n x="506"/>
      </t>
    </mdx>
    <mdx n="508" f="v">
      <t c="3" si="4">
        <n x="509"/>
        <n x="255"/>
        <n x="506"/>
      </t>
    </mdx>
    <mdx n="508" f="v">
      <t c="3" si="4">
        <n x="509"/>
        <n x="333"/>
        <n x="506"/>
      </t>
    </mdx>
    <mdx n="508" f="v">
      <t c="3" si="4">
        <n x="509"/>
        <n x="123"/>
        <n x="506"/>
      </t>
    </mdx>
    <mdx n="508" f="v">
      <t c="3" si="4">
        <n x="509"/>
        <n x="379"/>
        <n x="506"/>
      </t>
    </mdx>
    <mdx n="508" f="v">
      <t c="3" si="4">
        <n x="509"/>
        <n x="205"/>
        <n x="507"/>
      </t>
    </mdx>
    <mdx n="508" f="v">
      <t c="3" si="4">
        <n x="509"/>
        <n x="84"/>
        <n x="507"/>
      </t>
    </mdx>
    <mdx n="508" f="v">
      <t c="3" si="4">
        <n x="509"/>
        <n x="38"/>
        <n x="507"/>
      </t>
    </mdx>
    <mdx n="508" f="v">
      <t c="3" si="4">
        <n x="509"/>
        <n x="174"/>
        <n x="507"/>
      </t>
    </mdx>
    <mdx n="508" f="v">
      <t c="3" si="4">
        <n x="509"/>
        <n x="52"/>
        <n x="507"/>
      </t>
    </mdx>
    <mdx n="508" f="v">
      <t c="3" si="4">
        <n x="509"/>
        <n x="405"/>
        <n x="507"/>
      </t>
    </mdx>
    <mdx n="508" f="v">
      <t c="3" si="4">
        <n x="509"/>
        <n x="74"/>
        <n x="507"/>
      </t>
    </mdx>
    <mdx n="508" f="v">
      <t c="3" si="4">
        <n x="509"/>
        <n x="310"/>
        <n x="507"/>
      </t>
    </mdx>
    <mdx n="508" f="v">
      <t c="3" si="4">
        <n x="509"/>
        <n x="35"/>
        <n x="505"/>
      </t>
    </mdx>
    <mdx n="508" f="v">
      <t c="3" si="4">
        <n x="509"/>
        <n x="263"/>
        <n x="506"/>
      </t>
    </mdx>
    <mdx n="508" f="v">
      <t c="3" si="4">
        <n x="509"/>
        <n x="147"/>
        <n x="506"/>
      </t>
    </mdx>
    <mdx n="508" f="v">
      <t c="3" si="4">
        <n x="509"/>
        <n x="129"/>
        <n x="506"/>
      </t>
    </mdx>
    <mdx n="508" f="v">
      <t c="3" si="4">
        <n x="509"/>
        <n x="322"/>
        <n x="506"/>
      </t>
    </mdx>
    <mdx n="508" f="v">
      <t c="3" si="4">
        <n x="509"/>
        <n x="97"/>
        <n x="506"/>
      </t>
    </mdx>
    <mdx n="508" f="v">
      <t c="3" si="4">
        <n x="509"/>
        <n x="6"/>
        <n x="506"/>
      </t>
    </mdx>
    <mdx n="508" f="v">
      <t c="3" si="4">
        <n x="509"/>
        <n x="51"/>
        <n x="506"/>
      </t>
    </mdx>
    <mdx n="508" f="v">
      <t c="3" si="4">
        <n x="509"/>
        <n x="450"/>
        <n x="507"/>
      </t>
    </mdx>
    <mdx n="508" f="v">
      <t c="3" si="4">
        <n x="509"/>
        <n x="418"/>
        <n x="507"/>
      </t>
    </mdx>
    <mdx n="508" f="v">
      <t c="3" si="4">
        <n x="509"/>
        <n x="385"/>
        <n x="507"/>
      </t>
    </mdx>
    <mdx n="508" f="v">
      <t c="3" si="4">
        <n x="509"/>
        <n x="406"/>
        <n x="507"/>
      </t>
    </mdx>
    <mdx n="508" f="v">
      <t c="3" si="4">
        <n x="509"/>
        <n x="408"/>
        <n x="507"/>
      </t>
    </mdx>
    <mdx n="508" f="v">
      <t c="3" si="4">
        <n x="509"/>
        <n x="216"/>
        <n x="507"/>
      </t>
    </mdx>
    <mdx n="508" f="v">
      <t c="3" si="4">
        <n x="509"/>
        <n x="68"/>
        <n x="507"/>
      </t>
    </mdx>
    <mdx n="508" f="v">
      <t c="3" si="4">
        <n x="509"/>
        <n x="7"/>
        <n x="506"/>
      </t>
    </mdx>
    <mdx n="508" f="v">
      <t c="3" si="4">
        <n x="509"/>
        <n x="252"/>
        <n x="507"/>
      </t>
    </mdx>
    <mdx n="508" f="v">
      <t c="3" si="4">
        <n x="509"/>
        <n x="134"/>
        <n x="506"/>
      </t>
    </mdx>
    <mdx n="508" f="v">
      <t c="3" si="4">
        <n x="509"/>
        <n x="424"/>
        <n x="506"/>
      </t>
    </mdx>
    <mdx n="508" f="v">
      <t c="3" si="4">
        <n x="509"/>
        <n x="326"/>
        <n x="507"/>
      </t>
    </mdx>
    <mdx n="508" f="v">
      <t c="3" si="4">
        <n x="509"/>
        <n x="377"/>
        <n x="506"/>
      </t>
    </mdx>
    <mdx n="508" f="v">
      <t c="3" si="4">
        <n x="509"/>
        <n x="414"/>
        <n x="506"/>
      </t>
    </mdx>
    <mdx n="508" f="v">
      <t c="3" si="4">
        <n x="509"/>
        <n x="7"/>
        <n x="507"/>
      </t>
    </mdx>
    <mdx n="508" f="v">
      <t c="3" si="4">
        <n x="509"/>
        <n x="202"/>
        <n x="506"/>
      </t>
    </mdx>
    <mdx n="508" f="v">
      <t c="3" si="4">
        <n x="509"/>
        <n x="172"/>
        <n x="507"/>
      </t>
    </mdx>
    <mdx n="508" f="v">
      <t c="3" si="4">
        <n x="509"/>
        <n x="441"/>
        <n x="506"/>
      </t>
    </mdx>
    <mdx n="508" f="v">
      <t c="3" si="4">
        <n x="509"/>
        <n x="200"/>
        <n x="507"/>
      </t>
    </mdx>
    <mdx n="508" f="v">
      <t c="3" si="4">
        <n x="509"/>
        <n x="268"/>
        <n x="499"/>
      </t>
    </mdx>
    <mdx n="508" f="v">
      <t c="3" si="4">
        <n x="509"/>
        <n x="146"/>
        <n x="500"/>
      </t>
    </mdx>
    <mdx n="508" f="v">
      <t c="3" si="4">
        <n x="509"/>
        <n x="461"/>
        <n x="500"/>
      </t>
    </mdx>
    <mdx n="508" f="v">
      <t c="3" si="4">
        <n x="509"/>
        <n x="311"/>
        <n x="501"/>
      </t>
    </mdx>
    <mdx n="508" f="v">
      <t c="3" si="4">
        <n x="509"/>
        <n x="354"/>
        <n x="502"/>
      </t>
    </mdx>
    <mdx n="508" f="v">
      <t c="3" si="4">
        <n x="509"/>
        <n x="308"/>
        <n x="501"/>
      </t>
    </mdx>
    <mdx n="508" f="v">
      <t c="3" si="4">
        <n x="509"/>
        <n x="44"/>
        <n x="502"/>
      </t>
    </mdx>
    <mdx n="508" f="v">
      <t c="3" si="4">
        <n x="509"/>
        <n x="121"/>
        <n x="502"/>
      </t>
    </mdx>
    <mdx n="508" f="v">
      <t c="3" si="4">
        <n x="509"/>
        <n x="121"/>
        <n x="503"/>
      </t>
    </mdx>
    <mdx n="508" f="v">
      <t c="3" si="4">
        <n x="509"/>
        <n x="426"/>
        <n x="501"/>
      </t>
    </mdx>
    <mdx n="508" f="v">
      <t c="3" si="4">
        <n x="509"/>
        <n x="368"/>
        <n x="502"/>
      </t>
    </mdx>
    <mdx n="508" f="v">
      <t c="3" si="4">
        <n x="509"/>
        <n x="90"/>
        <n x="502"/>
      </t>
    </mdx>
    <mdx n="508" f="v">
      <t c="3" si="4">
        <n x="509"/>
        <n x="383"/>
        <n x="503"/>
      </t>
    </mdx>
    <mdx n="508" f="v">
      <t c="3" si="4">
        <n x="509"/>
        <n x="6"/>
        <n x="504"/>
      </t>
    </mdx>
    <mdx n="508" f="v">
      <t c="3" si="4">
        <n x="509"/>
        <n x="254"/>
        <n x="501"/>
      </t>
    </mdx>
    <mdx n="508" f="v">
      <t c="3" si="4">
        <n x="509"/>
        <n x="369"/>
        <n x="502"/>
      </t>
    </mdx>
    <mdx n="508" f="v">
      <t c="3" si="4">
        <n x="509"/>
        <n x="198"/>
        <n x="502"/>
      </t>
    </mdx>
    <mdx n="508" f="v">
      <t c="3" si="4">
        <n x="509"/>
        <n x="176"/>
        <n x="503"/>
      </t>
    </mdx>
    <mdx n="508" f="v">
      <t c="3" si="4">
        <n x="509"/>
        <n x="30"/>
        <n x="503"/>
      </t>
    </mdx>
    <mdx n="508" f="v">
      <t c="3" si="4">
        <n x="509"/>
        <n x="95"/>
        <n x="504"/>
      </t>
    </mdx>
    <mdx n="508" f="v">
      <t c="3" si="4">
        <n x="509"/>
        <n x="101"/>
        <n x="501"/>
      </t>
    </mdx>
    <mdx n="508" f="v">
      <t c="3" si="4">
        <n x="509"/>
        <n x="118"/>
        <n x="502"/>
      </t>
    </mdx>
    <mdx n="508" f="v">
      <t c="3" si="4">
        <n x="509"/>
        <n x="186"/>
        <n x="502"/>
      </t>
    </mdx>
    <mdx n="508" f="v">
      <t c="3" si="4">
        <n x="509"/>
        <n x="215"/>
        <n x="502"/>
      </t>
    </mdx>
    <mdx n="508" f="v">
      <t c="3" si="4">
        <n x="509"/>
        <n x="291"/>
        <n x="503"/>
      </t>
    </mdx>
    <mdx n="508" f="v">
      <t c="3" si="4">
        <n x="509"/>
        <n x="460"/>
        <n x="503"/>
      </t>
    </mdx>
    <mdx n="508" f="v">
      <t c="3" si="4">
        <n x="509"/>
        <n x="213"/>
        <n x="504"/>
      </t>
    </mdx>
    <mdx n="508" f="v">
      <t c="3" si="4">
        <n x="509"/>
        <n x="458"/>
        <n x="507"/>
      </t>
    </mdx>
    <mdx n="508" f="v">
      <t c="3" si="4">
        <n x="509"/>
        <n x="336"/>
        <n x="502"/>
      </t>
    </mdx>
    <mdx n="508" f="v">
      <t c="3" si="4">
        <n x="509"/>
        <n x="367"/>
        <n x="502"/>
      </t>
    </mdx>
    <mdx n="508" f="v">
      <t c="3" si="4">
        <n x="509"/>
        <n x="106"/>
        <n x="502"/>
      </t>
    </mdx>
    <mdx n="508" f="v">
      <t c="3" si="4">
        <n x="509"/>
        <n x="103"/>
        <n x="502"/>
      </t>
    </mdx>
    <mdx n="508" f="v">
      <t c="3" si="4">
        <n x="509"/>
        <n x="220"/>
        <n x="503"/>
      </t>
    </mdx>
    <mdx n="508" f="v">
      <t c="3" si="4">
        <n x="509"/>
        <n x="301"/>
        <n x="503"/>
      </t>
    </mdx>
    <mdx n="508" f="v">
      <t c="3" si="4">
        <n x="509"/>
        <n x="12"/>
        <n x="503"/>
      </t>
    </mdx>
    <mdx n="508" f="v">
      <t c="3" si="4">
        <n x="509"/>
        <n x="29"/>
        <n x="504"/>
      </t>
    </mdx>
    <mdx n="508" f="v">
      <t c="3" si="4">
        <n x="509"/>
        <n x="393"/>
        <n x="505"/>
      </t>
    </mdx>
    <mdx n="508" f="v">
      <t c="3" si="4">
        <n x="509"/>
        <n x="131"/>
        <n x="502"/>
      </t>
    </mdx>
    <mdx n="508" f="v">
      <t c="3" si="4">
        <n x="509"/>
        <n x="221"/>
        <n x="502"/>
      </t>
    </mdx>
    <mdx n="508" f="v">
      <t c="3" si="4">
        <n x="509"/>
        <n x="384"/>
        <n x="502"/>
      </t>
    </mdx>
    <mdx n="508" f="v">
      <t c="3" si="4">
        <n x="509"/>
        <n x="154"/>
        <n x="502"/>
      </t>
    </mdx>
    <mdx n="508" f="v">
      <t c="3" si="4">
        <n x="509"/>
        <n x="277"/>
        <n x="502"/>
      </t>
    </mdx>
    <mdx n="508" f="v">
      <t c="3" si="4">
        <n x="509"/>
        <n x="306"/>
        <n x="503"/>
      </t>
    </mdx>
    <mdx n="508" f="v">
      <t c="3" si="4">
        <n x="509"/>
        <n x="43"/>
        <n x="503"/>
      </t>
    </mdx>
    <mdx n="508" f="v">
      <t c="3" si="4">
        <n x="509"/>
        <n x="260"/>
        <n x="503"/>
      </t>
    </mdx>
    <mdx n="508" f="v">
      <t c="3" si="4">
        <n x="509"/>
        <n x="314"/>
        <n x="504"/>
      </t>
    </mdx>
    <mdx n="508" f="v">
      <t c="3" si="4">
        <n x="509"/>
        <n x="350"/>
        <n x="505"/>
      </t>
    </mdx>
    <mdx n="508" f="v">
      <t c="3" si="4">
        <n x="509"/>
        <n x="56"/>
        <n x="502"/>
      </t>
    </mdx>
    <mdx n="508" f="v">
      <t c="3" si="4">
        <n x="509"/>
        <n x="417"/>
        <n x="503"/>
      </t>
    </mdx>
    <mdx n="508" f="v">
      <t c="3" si="4">
        <n x="509"/>
        <n x="7"/>
        <n x="503"/>
      </t>
    </mdx>
    <mdx n="508" f="v">
      <t c="3" si="4">
        <n x="509"/>
        <n x="56"/>
        <n x="503"/>
      </t>
    </mdx>
    <mdx n="508" f="v">
      <t c="3" si="4">
        <n x="509"/>
        <n x="358"/>
        <n x="504"/>
      </t>
    </mdx>
    <mdx n="508" f="v">
      <t c="3" si="4">
        <n x="509"/>
        <n x="238"/>
        <n x="505"/>
      </t>
    </mdx>
    <mdx n="508" f="v">
      <t c="3" si="4">
        <n x="509"/>
        <n x="259"/>
        <n x="504"/>
      </t>
    </mdx>
    <mdx n="508" f="v">
      <t c="3" si="4">
        <n x="509"/>
        <n x="206"/>
        <n x="505"/>
      </t>
    </mdx>
    <mdx n="508" f="v">
      <t c="3" si="4">
        <n x="509"/>
        <n x="333"/>
        <n x="505"/>
      </t>
    </mdx>
    <mdx n="508" f="v">
      <t c="3" si="4">
        <n x="509"/>
        <n x="37"/>
        <n x="506"/>
      </t>
    </mdx>
    <mdx n="508" f="v">
      <t c="3" si="4">
        <n x="509"/>
        <n x="163"/>
        <n x="506"/>
      </t>
    </mdx>
    <mdx n="508" f="v">
      <t c="3" si="4">
        <n x="509"/>
        <n x="32"/>
        <n x="502"/>
      </t>
    </mdx>
    <mdx n="508" f="v">
      <t c="3" si="4">
        <n x="509"/>
        <n x="142"/>
        <n x="502"/>
      </t>
    </mdx>
    <mdx n="508" f="v">
      <t c="3" si="4">
        <n x="509"/>
        <n x="119"/>
        <n x="503"/>
      </t>
    </mdx>
    <mdx n="508" f="v">
      <t c="3" si="4">
        <n x="509"/>
        <n x="418"/>
        <n x="503"/>
      </t>
    </mdx>
    <mdx n="508" f="v">
      <t c="3" si="4">
        <n x="509"/>
        <n x="322"/>
        <n x="503"/>
      </t>
    </mdx>
    <mdx n="508" f="v">
      <t c="3" si="4">
        <n x="509"/>
        <n x="149"/>
        <n x="503"/>
      </t>
    </mdx>
    <mdx n="508" f="v">
      <t c="3" si="4">
        <n x="509"/>
        <n x="363"/>
        <n x="503"/>
      </t>
    </mdx>
    <mdx n="508" f="v">
      <t c="3" si="4">
        <n x="509"/>
        <n x="42"/>
        <n x="503"/>
      </t>
    </mdx>
    <mdx n="508" f="v">
      <t c="3" si="4">
        <n x="509"/>
        <n x="450"/>
        <n x="503"/>
      </t>
    </mdx>
    <mdx n="508" f="v">
      <t c="3" si="4">
        <n x="509"/>
        <n x="266"/>
        <n x="504"/>
      </t>
    </mdx>
    <mdx n="508" f="v">
      <t c="3" si="4">
        <n x="509"/>
        <n x="22"/>
        <n x="504"/>
      </t>
    </mdx>
    <mdx n="508" f="v">
      <t c="3" si="4">
        <n x="509"/>
        <n x="241"/>
        <n x="504"/>
      </t>
    </mdx>
    <mdx n="508" f="v">
      <t c="3" si="4">
        <n x="509"/>
        <n x="349"/>
        <n x="504"/>
      </t>
    </mdx>
    <mdx n="508" f="v">
      <t c="3" si="4">
        <n x="509"/>
        <n x="40"/>
        <n x="504"/>
      </t>
    </mdx>
    <mdx n="508" f="v">
      <t c="3" si="4">
        <n x="509"/>
        <n x="13"/>
        <n x="504"/>
      </t>
    </mdx>
    <mdx n="508" f="v">
      <t c="3" si="4">
        <n x="509"/>
        <n x="33"/>
        <n x="505"/>
      </t>
    </mdx>
    <mdx n="508" f="v">
      <t c="3" si="4">
        <n x="509"/>
        <n x="306"/>
        <n x="505"/>
      </t>
    </mdx>
    <mdx n="508" f="v">
      <t c="3" si="4">
        <n x="509"/>
        <n x="161"/>
        <n x="505"/>
      </t>
    </mdx>
    <mdx n="508" f="v">
      <t c="3" si="4">
        <n x="509"/>
        <n x="125"/>
        <n x="506"/>
      </t>
    </mdx>
    <mdx n="508" f="v">
      <t c="3" si="4">
        <n x="509"/>
        <n x="151"/>
        <n x="507"/>
      </t>
    </mdx>
    <mdx n="508" f="v">
      <t c="3" si="4">
        <n x="509"/>
        <n x="164"/>
        <n x="502"/>
      </t>
    </mdx>
    <mdx n="508" f="v">
      <t c="3" si="4">
        <n x="509"/>
        <n x="331"/>
        <n x="502"/>
      </t>
    </mdx>
    <mdx n="508" f="v">
      <t c="3" si="4">
        <n x="509"/>
        <n x="182"/>
        <n x="503"/>
      </t>
    </mdx>
    <mdx n="508" f="v">
      <t c="3" si="4">
        <n x="509"/>
        <n x="192"/>
        <n x="503"/>
      </t>
    </mdx>
    <mdx n="508" f="v">
      <t c="3" si="4">
        <n x="509"/>
        <n x="267"/>
        <n x="503"/>
      </t>
    </mdx>
    <mdx n="508" f="v">
      <t c="3" si="4">
        <n x="509"/>
        <n x="91"/>
        <n x="503"/>
      </t>
    </mdx>
    <mdx n="508" f="v">
      <t c="3" si="4">
        <n x="509"/>
        <n x="405"/>
        <n x="503"/>
      </t>
    </mdx>
    <mdx n="508" f="v">
      <t c="3" si="4">
        <n x="509"/>
        <n x="160"/>
        <n x="503"/>
      </t>
    </mdx>
    <mdx n="508" f="v">
      <t c="3" si="4">
        <n x="509"/>
        <n x="415"/>
        <n x="503"/>
      </t>
    </mdx>
    <mdx n="508" f="v">
      <t c="3" si="4">
        <n x="509"/>
        <n x="459"/>
        <n x="504"/>
      </t>
    </mdx>
    <mdx n="508" f="v">
      <t c="3" si="4">
        <n x="509"/>
        <n x="234"/>
        <n x="504"/>
      </t>
    </mdx>
    <mdx n="508" f="v">
      <t c="3" si="4">
        <n x="509"/>
        <n x="407"/>
        <n x="504"/>
      </t>
    </mdx>
    <mdx n="508" f="v">
      <t c="3" si="4">
        <n x="509"/>
        <n x="79"/>
        <n x="504"/>
      </t>
    </mdx>
    <mdx n="508" f="v">
      <t c="3" si="4">
        <n x="509"/>
        <n x="426"/>
        <n x="504"/>
      </t>
    </mdx>
    <mdx n="508" f="v">
      <t c="3" si="4">
        <n x="509"/>
        <n x="428"/>
        <n x="504"/>
      </t>
    </mdx>
    <mdx n="508" f="v">
      <t c="3" si="4">
        <n x="509"/>
        <n x="23"/>
        <n x="505"/>
      </t>
    </mdx>
    <mdx n="508" f="v">
      <t c="3" si="4">
        <n x="509"/>
        <n x="202"/>
        <n x="505"/>
      </t>
    </mdx>
    <mdx n="508" f="v">
      <t c="3" si="4">
        <n x="509"/>
        <n x="239"/>
        <n x="505"/>
      </t>
    </mdx>
    <mdx n="508" f="v">
      <t c="3" si="4">
        <n x="509"/>
        <n x="61"/>
        <n x="506"/>
      </t>
    </mdx>
    <mdx n="508" f="v">
      <t c="3" si="4">
        <n x="509"/>
        <n x="53"/>
        <n x="503"/>
      </t>
    </mdx>
    <mdx n="508" f="v">
      <t c="3" si="4">
        <n x="509"/>
        <n x="432"/>
        <n x="503"/>
      </t>
    </mdx>
    <mdx n="508" f="v">
      <t c="3" si="4">
        <n x="509"/>
        <n x="404"/>
        <n x="504"/>
      </t>
    </mdx>
    <mdx n="508" f="v">
      <t c="3" si="4">
        <n x="509"/>
        <n x="47"/>
        <n x="504"/>
      </t>
    </mdx>
    <mdx n="508" f="v">
      <t c="3" si="4">
        <n x="509"/>
        <n x="193"/>
        <n x="504"/>
      </t>
    </mdx>
    <mdx n="508" f="v">
      <t c="3" si="4">
        <n x="509"/>
        <n x="322"/>
        <n x="504"/>
      </t>
    </mdx>
    <mdx n="508" f="v">
      <t c="3" si="4">
        <n x="509"/>
        <n x="97"/>
        <n x="504"/>
      </t>
    </mdx>
    <mdx n="508" f="v">
      <t c="3" si="4">
        <n x="509"/>
        <n x="451"/>
        <n x="504"/>
      </t>
    </mdx>
    <mdx n="508" f="v">
      <t c="3" si="4">
        <n x="509"/>
        <n x="147"/>
        <n x="505"/>
      </t>
    </mdx>
    <mdx n="508" f="v">
      <t c="3" si="4">
        <n x="509"/>
        <n x="384"/>
        <n x="505"/>
      </t>
    </mdx>
    <mdx n="508" f="v">
      <t c="3" si="4">
        <n x="509"/>
        <n x="67"/>
        <n x="505"/>
      </t>
    </mdx>
    <mdx n="508" f="v">
      <t c="3" si="4">
        <n x="509"/>
        <n x="399"/>
        <n x="506"/>
      </t>
    </mdx>
    <mdx n="508" f="v">
      <t c="3" si="4">
        <n x="509"/>
        <n x="332"/>
        <n x="507"/>
      </t>
    </mdx>
    <mdx n="508" f="v">
      <t c="3" si="4">
        <n x="509"/>
        <n x="140"/>
        <n x="503"/>
      </t>
    </mdx>
    <mdx n="508" f="v">
      <t c="3" si="4">
        <n x="509"/>
        <n x="179"/>
        <n x="503"/>
      </t>
    </mdx>
    <mdx n="508" f="v">
      <t c="3" si="4">
        <n x="509"/>
        <n x="209"/>
        <n x="503"/>
      </t>
    </mdx>
    <mdx n="508" f="v">
      <t c="3" si="4">
        <n x="509"/>
        <n x="68"/>
        <n x="503"/>
      </t>
    </mdx>
    <mdx n="508" f="v">
      <t c="3" si="4">
        <n x="509"/>
        <n x="389"/>
        <n x="504"/>
      </t>
    </mdx>
    <mdx n="508" f="v">
      <t c="3" si="4">
        <n x="509"/>
        <n x="222"/>
        <n x="504"/>
      </t>
    </mdx>
    <mdx n="508" f="v">
      <t c="3" si="4">
        <n x="509"/>
        <n x="385"/>
        <n x="504"/>
      </t>
    </mdx>
    <mdx n="508" f="v">
      <t c="3" si="4">
        <n x="509"/>
        <n x="345"/>
        <n x="504"/>
      </t>
    </mdx>
    <mdx n="508" f="v">
      <t c="3" si="4">
        <n x="509"/>
        <n x="251"/>
        <n x="504"/>
      </t>
    </mdx>
    <mdx n="508" f="v">
      <t c="3" si="4">
        <n x="509"/>
        <n x="74"/>
        <n x="504"/>
      </t>
    </mdx>
    <mdx n="508" f="v">
      <t c="3" si="4">
        <n x="509"/>
        <n x="235"/>
        <n x="505"/>
      </t>
    </mdx>
    <mdx n="508" f="v">
      <t c="3" si="4">
        <n x="509"/>
        <n x="458"/>
        <n x="505"/>
      </t>
    </mdx>
    <mdx n="508" f="v">
      <t c="3" si="4">
        <n x="509"/>
        <n x="60"/>
        <n x="505"/>
      </t>
    </mdx>
    <mdx n="508" f="v">
      <t c="3" si="4">
        <n x="509"/>
        <n x="439"/>
        <n x="506"/>
      </t>
    </mdx>
    <mdx n="508" f="v">
      <t c="3" si="4">
        <n x="509"/>
        <n x="241"/>
        <n x="507"/>
      </t>
    </mdx>
    <mdx n="508" f="v">
      <t c="3" si="4">
        <n x="509"/>
        <n x="45"/>
        <n x="503"/>
      </t>
    </mdx>
    <mdx n="508" f="v">
      <t c="3" si="4">
        <n x="509"/>
        <n x="326"/>
        <n x="503"/>
      </t>
    </mdx>
    <mdx n="508" f="v">
      <t c="3" si="4">
        <n x="509"/>
        <n x="426"/>
        <n x="503"/>
      </t>
    </mdx>
    <mdx n="508" f="v">
      <t c="3" si="4">
        <n x="509"/>
        <n x="63"/>
        <n x="503"/>
      </t>
    </mdx>
    <mdx n="508" f="v">
      <t c="3" si="4">
        <n x="509"/>
        <n x="357"/>
        <n x="503"/>
      </t>
    </mdx>
    <mdx n="508" f="v">
      <t c="3" si="4">
        <n x="509"/>
        <n x="430"/>
        <n x="504"/>
      </t>
    </mdx>
    <mdx n="508" f="v">
      <t c="3" si="4">
        <n x="509"/>
        <n x="305"/>
        <n x="504"/>
      </t>
    </mdx>
    <mdx n="508" f="v">
      <t c="3" si="4">
        <n x="509"/>
        <n x="87"/>
        <n x="504"/>
      </t>
    </mdx>
    <mdx n="508" f="v">
      <t c="3" si="4">
        <n x="509"/>
        <n x="238"/>
        <n x="504"/>
      </t>
    </mdx>
    <mdx n="508" f="v">
      <t c="3" si="4">
        <n x="509"/>
        <n x="115"/>
        <n x="504"/>
      </t>
    </mdx>
    <mdx n="508" f="v">
      <t c="3" si="4">
        <n x="509"/>
        <n x="352"/>
        <n x="504"/>
      </t>
    </mdx>
    <mdx n="508" f="v">
      <t c="3" si="4">
        <n x="509"/>
        <n x="207"/>
        <n x="505"/>
      </t>
    </mdx>
    <mdx n="508" f="v">
      <t c="3" si="4">
        <n x="509"/>
        <n x="412"/>
        <n x="505"/>
      </t>
    </mdx>
    <mdx n="508" f="v">
      <t c="3" si="4">
        <n x="509"/>
        <n x="122"/>
        <n x="505"/>
      </t>
    </mdx>
    <mdx n="508" f="v">
      <t c="3" si="4">
        <n x="509"/>
        <n x="198"/>
        <n x="506"/>
      </t>
    </mdx>
    <mdx n="508" f="v">
      <t c="3" si="4">
        <n x="509"/>
        <n x="359"/>
        <n x="507"/>
      </t>
    </mdx>
    <mdx n="508" f="v">
      <t c="3" si="4">
        <n x="509"/>
        <n x="431"/>
        <n x="504"/>
      </t>
    </mdx>
    <mdx n="508" f="v">
      <t c="3" si="4">
        <n x="509"/>
        <n x="371"/>
        <n x="504"/>
      </t>
    </mdx>
    <mdx n="508" f="v">
      <t c="3" si="4">
        <n x="509"/>
        <n x="76"/>
        <n x="504"/>
      </t>
    </mdx>
    <mdx n="508" f="v">
      <t c="3" si="4">
        <n x="509"/>
        <n x="229"/>
        <n x="504"/>
      </t>
    </mdx>
    <mdx n="508" f="v">
      <t c="3" si="4">
        <n x="509"/>
        <n x="232"/>
        <n x="505"/>
      </t>
    </mdx>
    <mdx n="508" f="v">
      <t c="3" si="4">
        <n x="509"/>
        <n x="189"/>
        <n x="505"/>
      </t>
    </mdx>
    <mdx n="508" f="v">
      <t c="3" si="4">
        <n x="509"/>
        <n x="59"/>
        <n x="505"/>
      </t>
    </mdx>
    <mdx n="508" f="v">
      <t c="3" si="4">
        <n x="509"/>
        <n x="462"/>
        <n x="505"/>
      </t>
    </mdx>
    <mdx n="508" f="v">
      <t c="3" si="4">
        <n x="509"/>
        <n x="347"/>
        <n x="505"/>
      </t>
    </mdx>
    <mdx n="508" f="v">
      <t c="3" si="4">
        <n x="509"/>
        <n x="148"/>
        <n x="505"/>
      </t>
    </mdx>
    <mdx n="508" f="v">
      <t c="3" si="4">
        <n x="509"/>
        <n x="296"/>
        <n x="506"/>
      </t>
    </mdx>
    <mdx n="508" f="v">
      <t c="3" si="4">
        <n x="509"/>
        <n x="283"/>
        <n x="506"/>
      </t>
    </mdx>
    <mdx n="508" f="v">
      <t c="3" si="4">
        <n x="509"/>
        <n x="427"/>
        <n x="506"/>
      </t>
    </mdx>
    <mdx n="508" f="v">
      <t c="3" si="4">
        <n x="509"/>
        <n x="240"/>
        <n x="506"/>
      </t>
    </mdx>
    <mdx n="508" f="v">
      <t c="3" si="4">
        <n x="509"/>
        <n x="312"/>
        <n x="507"/>
      </t>
    </mdx>
    <mdx n="508" f="v">
      <t c="3" si="4">
        <n x="509"/>
        <n x="398"/>
        <n x="507"/>
      </t>
    </mdx>
    <mdx n="508" f="v">
      <t c="3" si="4">
        <n x="509"/>
        <n x="331"/>
        <n x="504"/>
      </t>
    </mdx>
    <mdx n="508" f="v">
      <t c="3" si="4">
        <n x="509"/>
        <n x="246"/>
        <n x="505"/>
      </t>
    </mdx>
    <mdx n="508" f="v">
      <t c="3" si="4">
        <n x="509"/>
        <n x="83"/>
        <n x="505"/>
      </t>
    </mdx>
    <mdx n="508" f="v">
      <t c="3" si="4">
        <n x="509"/>
        <n x="303"/>
        <n x="505"/>
      </t>
    </mdx>
    <mdx n="508" f="v">
      <t c="3" si="4">
        <n x="509"/>
        <n x="79"/>
        <n x="505"/>
      </t>
    </mdx>
    <mdx n="508" f="v">
      <t c="3" si="4">
        <n x="509"/>
        <n x="445"/>
        <n x="505"/>
      </t>
    </mdx>
    <mdx n="508" f="v">
      <t c="3" si="4">
        <n x="509"/>
        <n x="430"/>
        <n x="505"/>
      </t>
    </mdx>
    <mdx n="508" f="v">
      <t c="3" si="4">
        <n x="509"/>
        <n x="206"/>
        <n x="506"/>
      </t>
    </mdx>
    <mdx n="508" f="v">
      <t c="3" si="4">
        <n x="509"/>
        <n x="8"/>
        <n x="506"/>
      </t>
    </mdx>
    <mdx n="508" f="v">
      <t c="3" si="4">
        <n x="509"/>
        <n x="275"/>
        <n x="506"/>
      </t>
    </mdx>
    <mdx n="508" f="v">
      <t c="3" si="4">
        <n x="509"/>
        <n x="260"/>
        <n x="506"/>
      </t>
    </mdx>
    <mdx n="508" f="v">
      <t c="3" si="4">
        <n x="509"/>
        <n x="147"/>
        <n x="507"/>
      </t>
    </mdx>
    <mdx n="508" f="v">
      <t c="3" si="4">
        <n x="509"/>
        <n x="363"/>
        <n x="507"/>
      </t>
    </mdx>
    <mdx n="508" f="v">
      <t c="3" si="4">
        <n x="509"/>
        <n x="294"/>
        <n x="504"/>
      </t>
    </mdx>
    <mdx n="508" f="v">
      <t c="3" si="4">
        <n x="509"/>
        <n x="91"/>
        <n x="504"/>
      </t>
    </mdx>
    <mdx n="508" f="v">
      <t c="3" si="4">
        <n x="509"/>
        <n x="100"/>
        <n x="504"/>
      </t>
    </mdx>
    <mdx n="508" f="v">
      <t c="3" si="4">
        <n x="509"/>
        <n x="403"/>
        <n x="504"/>
      </t>
    </mdx>
    <mdx n="508" f="v">
      <t c="3" si="4">
        <n x="509"/>
        <n x="330"/>
        <n x="505"/>
      </t>
    </mdx>
    <mdx n="508" f="v">
      <t c="3" si="4">
        <n x="509"/>
        <n x="304"/>
        <n x="505"/>
      </t>
    </mdx>
    <mdx n="508" f="v">
      <t c="3" si="4">
        <n x="509"/>
        <n x="75"/>
        <n x="505"/>
      </t>
    </mdx>
    <mdx n="508" f="v">
      <t c="3" si="4">
        <n x="509"/>
        <n x="300"/>
        <n x="505"/>
      </t>
    </mdx>
    <mdx n="508" f="v">
      <t c="3" si="4">
        <n x="509"/>
        <n x="353"/>
        <n x="505"/>
      </t>
    </mdx>
    <mdx n="508" f="v">
      <t c="3" si="4">
        <n x="509"/>
        <n x="163"/>
        <n x="505"/>
      </t>
    </mdx>
    <mdx n="508" f="v">
      <t c="3" si="4">
        <n x="509"/>
        <n x="298"/>
        <n x="506"/>
      </t>
    </mdx>
    <mdx n="508" f="v">
      <t c="3" si="4">
        <n x="509"/>
        <n x="94"/>
        <n x="506"/>
      </t>
    </mdx>
    <mdx n="508" f="v">
      <t c="3" si="4">
        <n x="509"/>
        <n x="180"/>
        <n x="506"/>
      </t>
    </mdx>
    <mdx n="508" f="v">
      <t c="3" si="4">
        <n x="509"/>
        <n x="142"/>
        <n x="506"/>
      </t>
    </mdx>
    <mdx n="508" f="v">
      <t c="3" si="4">
        <n x="509"/>
        <n x="133"/>
        <n x="507"/>
      </t>
    </mdx>
    <mdx n="508" f="v">
      <t c="3" si="4">
        <n x="509"/>
        <n x="436"/>
        <n x="507"/>
      </t>
    </mdx>
    <mdx n="508" f="v">
      <t c="3" si="4">
        <n x="509"/>
        <n x="335"/>
        <n x="505"/>
      </t>
    </mdx>
    <mdx n="508" f="v">
      <t c="3" si="4">
        <n x="509"/>
        <n x="127"/>
        <n x="505"/>
      </t>
    </mdx>
    <mdx n="508" f="v">
      <t c="3" si="4">
        <n x="509"/>
        <n x="272"/>
        <n x="505"/>
      </t>
    </mdx>
    <mdx n="508" f="v">
      <t c="3" si="4">
        <n x="509"/>
        <n x="159"/>
        <n x="505"/>
      </t>
    </mdx>
    <mdx n="508" f="v">
      <t c="3" si="4">
        <n x="509"/>
        <n x="456"/>
        <n x="506"/>
      </t>
    </mdx>
    <mdx n="508" f="v">
      <t c="3" si="4">
        <n x="509"/>
        <n x="264"/>
        <n x="506"/>
      </t>
    </mdx>
    <mdx n="508" f="v">
      <t c="3" si="4">
        <n x="509"/>
        <n x="405"/>
        <n x="506"/>
      </t>
    </mdx>
    <mdx n="508" f="v">
      <t c="3" si="4">
        <n x="509"/>
        <n x="195"/>
        <n x="507"/>
      </t>
    </mdx>
    <mdx n="508" f="v">
      <t c="3" si="4">
        <n x="509"/>
        <n x="62"/>
        <n x="507"/>
      </t>
    </mdx>
    <mdx n="508" f="v">
      <t c="3" si="4">
        <n x="509"/>
        <n x="445"/>
        <n x="504"/>
      </t>
    </mdx>
    <mdx n="508" f="v">
      <t c="3" si="4">
        <n x="509"/>
        <n x="107"/>
        <n x="504"/>
      </t>
    </mdx>
    <mdx n="508" f="v">
      <t c="3" si="4">
        <n x="509"/>
        <n x="110"/>
        <n x="505"/>
      </t>
    </mdx>
    <mdx n="508" f="v">
      <t c="3" si="4">
        <n x="509"/>
        <n x="294"/>
        <n x="505"/>
      </t>
    </mdx>
    <mdx n="508" f="v">
      <t c="3" si="4">
        <n x="509"/>
        <n x="70"/>
        <n x="505"/>
      </t>
    </mdx>
    <mdx n="508" f="v">
      <t c="3" si="4">
        <n x="509"/>
        <n x="66"/>
        <n x="505"/>
      </t>
    </mdx>
    <mdx n="508" f="v">
      <t c="3" si="4">
        <n x="509"/>
        <n x="340"/>
        <n x="505"/>
      </t>
    </mdx>
    <mdx n="508" f="v">
      <t c="3" si="4">
        <n x="509"/>
        <n x="247"/>
        <n x="505"/>
      </t>
    </mdx>
    <mdx n="508" f="v">
      <t c="3" si="4">
        <n x="509"/>
        <n x="279"/>
        <n x="506"/>
      </t>
    </mdx>
    <mdx n="508" f="v">
      <t c="3" si="4">
        <n x="509"/>
        <n x="46"/>
        <n x="506"/>
      </t>
    </mdx>
    <mdx n="508" f="v">
      <t c="3" si="4">
        <n x="509"/>
        <n x="334"/>
        <n x="506"/>
      </t>
    </mdx>
    <mdx n="508" f="v">
      <t c="3" si="4">
        <n x="509"/>
        <n x="13"/>
        <n x="506"/>
      </t>
    </mdx>
    <mdx n="508" f="v">
      <t c="3" si="4">
        <n x="509"/>
        <n x="256"/>
        <n x="507"/>
      </t>
    </mdx>
    <mdx n="508" f="v">
      <t c="3" si="4">
        <n x="509"/>
        <n x="433"/>
        <n x="507"/>
      </t>
    </mdx>
    <mdx n="508" f="v">
      <t c="3" si="4">
        <n x="509"/>
        <n x="105"/>
        <n x="507"/>
      </t>
    </mdx>
    <mdx n="508" f="v">
      <t c="3" si="4">
        <n x="509"/>
        <n x="163"/>
        <n x="507"/>
      </t>
    </mdx>
    <mdx n="508" f="v">
      <t c="3" si="4">
        <n x="509"/>
        <n x="310"/>
        <n x="506"/>
      </t>
    </mdx>
    <mdx n="508" f="v">
      <t c="3" si="4">
        <n x="509"/>
        <n x="226"/>
        <n x="507"/>
      </t>
    </mdx>
    <mdx n="508" f="v">
      <t c="3" si="4">
        <n x="509"/>
        <n x="189"/>
        <n x="507"/>
      </t>
    </mdx>
    <mdx n="508" f="v">
      <t c="3" si="4">
        <n x="509"/>
        <n x="453"/>
        <n x="507"/>
      </t>
    </mdx>
    <mdx n="508" f="v">
      <t c="3" si="4">
        <n x="509"/>
        <n x="292"/>
        <n x="507"/>
      </t>
    </mdx>
    <mdx n="508" f="v">
      <t c="3" si="4">
        <n x="509"/>
        <n x="153"/>
        <n x="507"/>
      </t>
    </mdx>
    <mdx n="508" f="v">
      <t c="3" si="4">
        <n x="509"/>
        <n x="112"/>
        <n x="507"/>
      </t>
    </mdx>
    <mdx n="508" f="v">
      <t c="3" si="4">
        <n x="509"/>
        <n x="397"/>
        <n x="507"/>
      </t>
    </mdx>
    <mdx n="508" f="v">
      <t c="3" si="4">
        <n x="509"/>
        <n x="365"/>
        <n x="505"/>
      </t>
    </mdx>
    <mdx n="508" f="v">
      <t c="3" si="4">
        <n x="509"/>
        <n x="286"/>
        <n x="506"/>
      </t>
    </mdx>
    <mdx n="508" f="v">
      <t c="3" si="4">
        <n x="509"/>
        <n x="285"/>
        <n x="506"/>
      </t>
    </mdx>
    <mdx n="508" f="v">
      <t c="3" si="4">
        <n x="509"/>
        <n x="269"/>
        <n x="506"/>
      </t>
    </mdx>
    <mdx n="508" f="v">
      <t c="3" si="4">
        <n x="509"/>
        <n x="345"/>
        <n x="506"/>
      </t>
    </mdx>
    <mdx n="508" f="v">
      <t c="3" si="4">
        <n x="509"/>
        <n x="251"/>
        <n x="506"/>
      </t>
    </mdx>
    <mdx n="508" f="v">
      <t c="3" si="4">
        <n x="509"/>
        <n x="329"/>
        <n x="506"/>
      </t>
    </mdx>
    <mdx n="508" f="v">
      <t c="3" si="4">
        <n x="509"/>
        <n x="104"/>
        <n x="506"/>
      </t>
    </mdx>
    <mdx n="508" f="v">
      <t c="3" si="4">
        <n x="509"/>
        <n x="445"/>
        <n x="507"/>
      </t>
    </mdx>
    <mdx n="508" f="v">
      <t c="3" si="4">
        <n x="509"/>
        <n x="309"/>
        <n x="507"/>
      </t>
    </mdx>
    <mdx n="508" f="v">
      <t c="3" si="4">
        <n x="509"/>
        <n x="44"/>
        <n x="507"/>
      </t>
    </mdx>
    <mdx n="508" f="v">
      <t c="3" si="4">
        <n x="509"/>
        <n x="439"/>
        <n x="507"/>
      </t>
    </mdx>
    <mdx n="508" f="v">
      <t c="3" si="4">
        <n x="509"/>
        <n x="275"/>
        <n x="507"/>
      </t>
    </mdx>
    <mdx n="508" f="v">
      <t c="3" si="4">
        <n x="509"/>
        <n x="136"/>
        <n x="507"/>
      </t>
    </mdx>
    <mdx n="508" f="v">
      <t c="3" si="4">
        <n x="509"/>
        <n x="214"/>
        <n x="507"/>
      </t>
    </mdx>
    <mdx n="508" f="v">
      <t c="3" si="4">
        <n x="509"/>
        <n x="16"/>
        <n x="507"/>
      </t>
    </mdx>
    <mdx n="508" f="v">
      <t c="3" si="4">
        <n x="509"/>
        <n x="177"/>
        <n x="505"/>
      </t>
    </mdx>
    <mdx n="508" f="v">
      <t c="3" si="4">
        <n x="509"/>
        <n x="440"/>
        <n x="506"/>
      </t>
    </mdx>
    <mdx n="508" f="v">
      <t c="3" si="4">
        <n x="509"/>
        <n x="355"/>
        <n x="506"/>
      </t>
    </mdx>
    <mdx n="508" f="v">
      <t c="3" si="4">
        <n x="509"/>
        <n x="150"/>
        <n x="506"/>
      </t>
    </mdx>
    <mdx n="508" f="v">
      <t c="3" si="4">
        <n x="509"/>
        <n x="406"/>
        <n x="506"/>
      </t>
    </mdx>
    <mdx n="508" f="v">
      <t c="3" si="4">
        <n x="509"/>
        <n x="230"/>
        <n x="506"/>
      </t>
    </mdx>
    <mdx n="508" f="v">
      <t c="3" si="4">
        <n x="509"/>
        <n x="108"/>
        <n x="506"/>
      </t>
    </mdx>
    <mdx n="508" f="v">
      <t c="3" si="4">
        <n x="509"/>
        <n x="76"/>
        <n x="506"/>
      </t>
    </mdx>
    <mdx n="508" f="v">
      <t c="3" si="4">
        <n x="509"/>
        <n x="430"/>
        <n x="507"/>
      </t>
    </mdx>
    <mdx n="508" f="v">
      <t c="3" si="4">
        <n x="509"/>
        <n x="59"/>
        <n x="507"/>
      </t>
    </mdx>
    <mdx n="508" f="v">
      <t c="3" si="4">
        <n x="509"/>
        <n x="132"/>
        <n x="507"/>
      </t>
    </mdx>
    <mdx n="508" f="v">
      <t c="3" si="4">
        <n x="509"/>
        <n x="41"/>
        <n x="507"/>
      </t>
    </mdx>
    <mdx n="508" f="v">
      <t c="3" si="4">
        <n x="509"/>
        <n x="43"/>
        <n x="507"/>
      </t>
    </mdx>
    <mdx n="508" f="v">
      <t c="3" si="4">
        <n x="509"/>
        <n x="324"/>
        <n x="507"/>
      </t>
    </mdx>
    <mdx n="508" f="v">
      <t c="3" si="4">
        <n x="509"/>
        <n x="288"/>
        <n x="507"/>
      </t>
    </mdx>
    <mdx n="508" f="v">
      <t c="3" si="4">
        <n x="509"/>
        <n x="3"/>
        <n x="507"/>
      </t>
    </mdx>
    <mdx n="508" f="v">
      <t c="3" si="4">
        <n x="509"/>
        <n x="55"/>
        <n x="507"/>
      </t>
    </mdx>
    <mdx n="508" f="v">
      <t c="3" si="4">
        <n x="509"/>
        <n x="27"/>
        <n x="507"/>
      </t>
    </mdx>
    <mdx n="508" f="v">
      <t c="3" si="4">
        <n x="509"/>
        <n x="264"/>
        <n x="507"/>
      </t>
    </mdx>
    <mdx n="508" f="v">
      <t c="3" si="4">
        <n x="509"/>
        <n x="427"/>
        <n x="507"/>
      </t>
    </mdx>
    <mdx n="508" f="v">
      <t c="3" si="4">
        <n x="509"/>
        <n x="392"/>
        <n x="507"/>
      </t>
    </mdx>
    <mdx n="508" f="v">
      <t c="3" si="4">
        <n x="509"/>
        <n x="277"/>
        <n x="507"/>
      </t>
    </mdx>
    <mdx n="508" f="v">
      <t c="3" si="4">
        <n x="509"/>
        <n x="437"/>
        <n x="506"/>
      </t>
    </mdx>
    <mdx n="508" f="v">
      <t c="3" si="4">
        <n x="509"/>
        <n x="350"/>
        <n x="506"/>
      </t>
    </mdx>
    <mdx n="508" f="v">
      <t c="3" si="4">
        <n x="509"/>
        <n x="343"/>
        <n x="506"/>
      </t>
    </mdx>
    <mdx n="508" f="v">
      <t c="3" si="4">
        <n x="509"/>
        <n x="128"/>
        <n x="506"/>
      </t>
    </mdx>
    <mdx n="508" f="v">
      <t c="3" si="4">
        <n x="509"/>
        <n x="393"/>
        <n x="506"/>
      </t>
    </mdx>
    <mdx n="508" f="v">
      <t c="3" si="4">
        <n x="509"/>
        <n x="320"/>
        <n x="506"/>
      </t>
    </mdx>
    <mdx n="508" f="v">
      <t c="3" si="4">
        <n x="509"/>
        <n x="463"/>
        <n x="506"/>
      </t>
    </mdx>
    <mdx n="508" f="v">
      <t c="3" si="4">
        <n x="509"/>
        <n x="260"/>
        <n x="507"/>
      </t>
    </mdx>
    <mdx n="508" f="v">
      <t c="3" si="4">
        <n x="509"/>
        <n x="355"/>
        <n x="507"/>
      </t>
    </mdx>
    <mdx n="508" f="v">
      <t c="3" si="4">
        <n x="509"/>
        <n x="25"/>
        <n x="507"/>
      </t>
    </mdx>
    <mdx n="508" f="v">
      <t c="3" si="4">
        <n x="509"/>
        <n x="345"/>
        <n x="507"/>
      </t>
    </mdx>
    <mdx n="508" f="v">
      <t c="3" si="4">
        <n x="509"/>
        <n x="154"/>
        <n x="507"/>
      </t>
    </mdx>
    <mdx n="508" f="v">
      <t c="3" si="4">
        <n x="509"/>
        <n x="389"/>
        <n x="507"/>
      </t>
    </mdx>
    <mdx n="508" f="v">
      <t c="3" si="4">
        <n x="509"/>
        <n x="185"/>
        <n x="507"/>
      </t>
    </mdx>
    <mdx n="508" f="v">
      <t c="3" si="4">
        <n x="509"/>
        <n x="135"/>
        <n x="505"/>
      </t>
    </mdx>
    <mdx n="508" f="v">
      <t c="3" si="4">
        <n x="509"/>
        <n x="403"/>
        <n x="505"/>
      </t>
    </mdx>
    <mdx n="508" f="v">
      <t c="3" si="4">
        <n x="509"/>
        <n x="246"/>
        <n x="506"/>
      </t>
    </mdx>
    <mdx n="508" f="v">
      <t c="3" si="4">
        <n x="509"/>
        <n x="245"/>
        <n x="506"/>
      </t>
    </mdx>
    <mdx n="508" f="v">
      <t c="3" si="4">
        <n x="509"/>
        <n x="385"/>
        <n x="506"/>
      </t>
    </mdx>
    <mdx n="508" f="v">
      <t c="3" si="4">
        <n x="509"/>
        <n x="213"/>
        <n x="506"/>
      </t>
    </mdx>
    <mdx n="508" f="v">
      <t c="3" si="4">
        <n x="509"/>
        <n x="464"/>
        <n x="506"/>
      </t>
    </mdx>
    <mdx n="508" f="v">
      <t c="3" si="4">
        <n x="509"/>
        <n x="60"/>
        <n x="506"/>
      </t>
    </mdx>
    <mdx n="508" f="v">
      <t c="3" si="4">
        <n x="509"/>
        <n x="420"/>
        <n x="506"/>
      </t>
    </mdx>
    <mdx n="508" f="v">
      <t c="3" si="4">
        <n x="509"/>
        <n x="440"/>
        <n x="507"/>
      </t>
    </mdx>
    <mdx n="508" f="v">
      <t c="3" si="4">
        <n x="509"/>
        <n x="137"/>
        <n x="507"/>
      </t>
    </mdx>
    <mdx n="508" f="v">
      <t c="3" si="4">
        <n x="509"/>
        <n x="93"/>
        <n x="507"/>
      </t>
    </mdx>
    <mdx n="508" f="v">
      <t c="3" si="4">
        <n x="509"/>
        <n x="390"/>
        <n x="507"/>
      </t>
    </mdx>
    <mdx n="508" f="v">
      <t c="3" si="4">
        <n x="509"/>
        <n x="230"/>
        <n x="507"/>
      </t>
    </mdx>
    <mdx n="508" f="v">
      <t c="3" si="4">
        <n x="509"/>
        <n x="268"/>
        <n x="507"/>
      </t>
    </mdx>
    <mdx n="508" f="v">
      <t c="3" si="4">
        <n x="509"/>
        <n x="444"/>
        <n x="507"/>
      </t>
    </mdx>
    <mdx n="508" f="v">
      <t c="3" si="4">
        <n x="509"/>
        <n x="325"/>
        <n x="507"/>
      </t>
    </mdx>
    <mdx n="508" f="v">
      <t c="3" si="4">
        <n x="509"/>
        <n x="317"/>
        <n x="506"/>
      </t>
    </mdx>
    <mdx n="508" f="v">
      <t c="3" si="4">
        <n x="509"/>
        <n x="444"/>
        <n x="506"/>
      </t>
    </mdx>
    <mdx n="508" f="v">
      <t c="3" si="4">
        <n x="509"/>
        <n x="459"/>
        <n x="507"/>
      </t>
    </mdx>
    <mdx n="508" f="v">
      <t c="3" si="4">
        <n x="509"/>
        <n x="20"/>
        <n x="507"/>
      </t>
    </mdx>
    <mdx n="508" f="v">
      <t c="3" si="4">
        <n x="509"/>
        <n x="250"/>
        <n x="507"/>
      </t>
    </mdx>
    <mdx n="508" f="v">
      <t c="3" si="4">
        <n x="509"/>
        <n x="10"/>
        <n x="507"/>
      </t>
    </mdx>
    <mdx n="508" f="v">
      <t c="3" si="4">
        <n x="509"/>
        <n x="457"/>
        <n x="507"/>
      </t>
    </mdx>
    <mdx n="508" f="v">
      <t c="3" si="4">
        <n x="509"/>
        <n x="42"/>
        <n x="507"/>
      </t>
    </mdx>
    <mdx n="508" f="v">
      <t c="3" si="4">
        <n x="509"/>
        <n x="335"/>
        <n x="507"/>
      </t>
    </mdx>
    <mdx n="508" f="v">
      <t c="3" si="4">
        <n x="509"/>
        <n x="9"/>
        <n x="507"/>
      </t>
    </mdx>
    <mdx n="508" f="v">
      <t c="3" si="4">
        <n x="509"/>
        <n x="204"/>
        <n x="507"/>
      </t>
    </mdx>
    <mdx n="508" f="v">
      <t c="3" si="4">
        <n x="509"/>
        <n x="151"/>
        <n x="506"/>
      </t>
    </mdx>
    <mdx n="508" f="v">
      <t c="3" si="4">
        <n x="509"/>
        <n x="224"/>
        <n x="506"/>
      </t>
    </mdx>
    <mdx n="508" f="v">
      <t c="3" si="4">
        <n x="509"/>
        <n x="101"/>
        <n x="506"/>
      </t>
    </mdx>
    <mdx n="508" f="v">
      <t c="3" si="4">
        <n x="509"/>
        <n x="271"/>
        <n x="506"/>
      </t>
    </mdx>
    <mdx n="508" f="v">
      <t c="3" si="4">
        <n x="509"/>
        <n x="348"/>
        <n x="507"/>
      </t>
    </mdx>
    <mdx n="508" f="v">
      <t c="3" si="4">
        <n x="509"/>
        <n x="391"/>
        <n x="507"/>
      </t>
    </mdx>
    <mdx n="508" f="v">
      <t c="3" si="4">
        <n x="509"/>
        <n x="251"/>
        <n x="507"/>
      </t>
    </mdx>
    <mdx n="508" f="v">
      <t c="3" si="4">
        <n x="509"/>
        <n x="201"/>
        <n x="507"/>
      </t>
    </mdx>
    <mdx n="508" f="v">
      <t c="3" si="4">
        <n x="509"/>
        <n x="114"/>
        <n x="505"/>
      </t>
    </mdx>
    <mdx n="508" f="v">
      <t c="3" si="4">
        <n x="509"/>
        <n x="226"/>
        <n x="506"/>
      </t>
    </mdx>
    <mdx n="508" f="v">
      <t c="3" si="4">
        <n x="509"/>
        <n x="93"/>
        <n x="506"/>
      </t>
    </mdx>
    <mdx n="508" f="v">
      <t c="3" si="4">
        <n x="509"/>
        <n x="363"/>
        <n x="506"/>
      </t>
    </mdx>
    <mdx n="508" f="v">
      <t c="3" si="4">
        <n x="509"/>
        <n x="172"/>
        <n x="506"/>
      </t>
    </mdx>
    <mdx n="508" f="v">
      <t c="3" si="4">
        <n x="509"/>
        <n x="423"/>
        <n x="507"/>
      </t>
    </mdx>
    <mdx n="508" f="v">
      <t c="3" si="4">
        <n x="509"/>
        <n x="23"/>
        <n x="507"/>
      </t>
    </mdx>
    <mdx n="508" f="v">
      <t c="3" si="4">
        <n x="509"/>
        <n x="98"/>
        <n x="507"/>
      </t>
    </mdx>
    <mdx n="508" f="v">
      <t c="3" si="4">
        <n x="509"/>
        <n x="317"/>
        <n x="507"/>
      </t>
    </mdx>
    <mdx n="508" f="v">
      <t c="3" si="4">
        <n x="509"/>
        <n x="169"/>
        <n x="507"/>
      </t>
    </mdx>
    <mdx n="508" f="v">
      <t c="3" si="4">
        <n x="509"/>
        <n x="249"/>
        <n x="505"/>
      </t>
    </mdx>
    <mdx n="508" f="v">
      <t c="3" si="4">
        <n x="509"/>
        <n x="362"/>
        <n x="507"/>
      </t>
    </mdx>
    <mdx n="508" f="v">
      <t c="3" si="4">
        <n x="509"/>
        <n x="65"/>
        <n x="507"/>
      </t>
    </mdx>
    <mdx n="508" f="v">
      <t c="3" si="4">
        <n x="509"/>
        <n x="210"/>
        <n x="506"/>
      </t>
    </mdx>
    <mdx n="508" f="v">
      <t c="3" si="4">
        <n x="509"/>
        <n x="99"/>
        <n x="507"/>
      </t>
    </mdx>
    <mdx n="508" f="v">
      <t c="3" si="4">
        <n x="509"/>
        <n x="13"/>
        <n x="505"/>
      </t>
    </mdx>
    <mdx n="508" f="v">
      <t c="3" si="4">
        <n x="509"/>
        <n x="268"/>
        <n x="506"/>
      </t>
    </mdx>
    <mdx n="508" f="v">
      <t c="3" si="4">
        <n x="509"/>
        <n x="46"/>
        <n x="507"/>
      </t>
    </mdx>
    <mdx n="508" f="v">
      <t c="3" si="4">
        <n x="509"/>
        <n x="99"/>
        <n x="506"/>
      </t>
    </mdx>
    <mdx n="508" f="v">
      <t c="3" si="4">
        <n x="509"/>
        <n x="288"/>
        <n x="506"/>
      </t>
    </mdx>
    <mdx n="508" f="v">
      <t c="3" si="4">
        <n x="509"/>
        <n x="332"/>
        <n x="506"/>
      </t>
    </mdx>
    <mdx n="508" f="v">
      <t c="3" si="4">
        <n x="509"/>
        <n x="228"/>
        <n x="507"/>
      </t>
    </mdx>
    <mdx n="508" f="v">
      <t c="3" si="4">
        <n x="509"/>
        <n x="452"/>
        <n x="499"/>
      </t>
    </mdx>
    <mdx n="508" f="v">
      <t c="3" si="4">
        <n x="509"/>
        <n x="193"/>
        <n x="500"/>
      </t>
    </mdx>
    <mdx n="508" f="v">
      <t c="3" si="4">
        <n x="509"/>
        <n x="363"/>
        <n x="500"/>
      </t>
    </mdx>
    <mdx n="508" f="v">
      <t c="3" si="4">
        <n x="509"/>
        <n x="314"/>
        <n x="501"/>
      </t>
    </mdx>
    <mdx n="508" f="v">
      <t c="3" si="4">
        <n x="509"/>
        <n x="71"/>
        <n x="502"/>
      </t>
    </mdx>
    <mdx n="508" f="v">
      <t c="3" si="4">
        <n x="509"/>
        <n x="81"/>
        <n x="501"/>
      </t>
    </mdx>
    <mdx n="508" f="v">
      <t c="3" si="4">
        <n x="509"/>
        <n x="391"/>
        <n x="502"/>
      </t>
    </mdx>
    <mdx n="508" f="v">
      <t c="3" si="4">
        <n x="509"/>
        <n x="8"/>
        <n x="503"/>
      </t>
    </mdx>
    <mdx n="508" f="v">
      <t c="3" si="4">
        <n x="509"/>
        <n x="232"/>
        <n x="504"/>
      </t>
    </mdx>
    <mdx n="508" f="v">
      <t c="3" si="4">
        <n x="509"/>
        <n x="209"/>
        <n x="501"/>
      </t>
    </mdx>
    <mdx n="508" f="v">
      <t c="3" si="4">
        <n x="509"/>
        <n x="282"/>
        <n x="502"/>
      </t>
    </mdx>
    <mdx n="508" f="v">
      <t c="3" si="4">
        <n x="509"/>
        <n x="243"/>
        <n x="503"/>
      </t>
    </mdx>
    <mdx n="508" f="v">
      <t c="3" si="4">
        <n x="509"/>
        <n x="328"/>
        <n x="503"/>
      </t>
    </mdx>
    <mdx n="508" f="v">
      <t c="3" si="4">
        <n x="509"/>
        <n x="337"/>
        <n x="504"/>
      </t>
    </mdx>
    <mdx n="508" f="v">
      <t c="3" si="4">
        <n x="509"/>
        <n x="169"/>
        <n x="501"/>
      </t>
    </mdx>
    <mdx n="508" f="v">
      <t c="3" si="4">
        <n x="509"/>
        <n x="193"/>
        <n x="502"/>
      </t>
    </mdx>
    <mdx n="508" f="v">
      <t c="3" si="4">
        <n x="509"/>
        <n x="429"/>
        <n x="502"/>
      </t>
    </mdx>
    <mdx n="508" f="v">
      <t c="3" si="4">
        <n x="509"/>
        <n x="37"/>
        <n x="503"/>
      </t>
    </mdx>
    <mdx n="508" f="v">
      <t c="3" si="4">
        <n x="509"/>
        <n x="297"/>
        <n x="503"/>
      </t>
    </mdx>
    <mdx n="508" f="v">
      <t c="3" si="4">
        <n x="509"/>
        <n x="134"/>
        <n x="505"/>
      </t>
    </mdx>
    <mdx n="508" f="v">
      <t c="3" si="4">
        <n x="509"/>
        <n x="136"/>
        <n x="501"/>
      </t>
    </mdx>
    <mdx n="508" f="v">
      <t c="3" si="4">
        <n x="509"/>
        <n x="372"/>
        <n x="502"/>
      </t>
    </mdx>
    <mdx n="508" f="v">
      <t c="3" si="4">
        <n x="509"/>
        <n x="17"/>
        <n x="502"/>
      </t>
    </mdx>
    <mdx n="508" f="v">
      <t c="3" si="4">
        <n x="509"/>
        <n x="328"/>
        <n x="502"/>
      </t>
    </mdx>
    <mdx n="508" f="v">
      <t c="3" si="4">
        <n x="509"/>
        <n x="255"/>
        <n x="503"/>
      </t>
    </mdx>
    <mdx n="508" f="v">
      <t c="3" si="4">
        <n x="509"/>
        <n x="388"/>
        <n x="503"/>
      </t>
    </mdx>
    <mdx n="508" f="v">
      <t c="3" si="4">
        <n x="509"/>
        <n x="333"/>
        <n x="504"/>
      </t>
    </mdx>
    <mdx n="508" f="v">
      <t c="3" si="4">
        <n x="509"/>
        <n x="37"/>
        <n x="502"/>
      </t>
    </mdx>
    <mdx n="508" f="v">
      <t c="3" si="4">
        <n x="509"/>
        <n x="351"/>
        <n x="502"/>
      </t>
    </mdx>
    <mdx n="508" f="v">
      <t c="3" si="4">
        <n x="509"/>
        <n x="314"/>
        <n x="502"/>
      </t>
    </mdx>
    <mdx n="508" f="v">
      <t c="3" si="4">
        <n x="509"/>
        <n x="210"/>
        <n x="502"/>
      </t>
    </mdx>
    <mdx n="508" f="v">
      <t c="3" si="4">
        <n x="509"/>
        <n x="3"/>
        <n x="502"/>
      </t>
    </mdx>
    <mdx n="508" f="v">
      <t c="3" si="4">
        <n x="509"/>
        <n x="174"/>
        <n x="503"/>
      </t>
    </mdx>
    <mdx n="508" f="v">
      <t c="3" si="4">
        <n x="509"/>
        <n x="371"/>
        <n x="503"/>
      </t>
    </mdx>
    <mdx n="508" f="v">
      <t c="3" si="4">
        <n x="509"/>
        <n x="452"/>
        <n x="504"/>
      </t>
    </mdx>
    <mdx n="508" f="v">
      <t c="3" si="4">
        <n x="509"/>
        <n x="66"/>
        <n x="504"/>
      </t>
    </mdx>
    <mdx n="508" f="v">
      <t c="3" si="4">
        <n x="509"/>
        <n x="39"/>
        <n x="505"/>
      </t>
    </mdx>
    <mdx n="508" f="v">
      <t c="3" si="4">
        <n x="509"/>
        <n x="459"/>
        <n x="502"/>
      </t>
    </mdx>
    <mdx n="508" f="v">
      <t c="3" si="4">
        <n x="509"/>
        <n x="47"/>
        <n x="502"/>
      </t>
    </mdx>
    <mdx n="508" f="v">
      <t c="3" si="4">
        <n x="509"/>
        <n x="92"/>
        <n x="502"/>
      </t>
    </mdx>
    <mdx n="508" f="v">
      <t c="3" si="4">
        <n x="509"/>
        <n x="251"/>
        <n x="502"/>
      </t>
    </mdx>
    <mdx n="508" f="v">
      <t c="3" si="4">
        <n x="509"/>
        <n x="191"/>
        <n x="502"/>
      </t>
    </mdx>
    <mdx n="508" f="v">
      <t c="3" si="4">
        <n x="509"/>
        <n x="318"/>
        <n x="503"/>
      </t>
    </mdx>
    <mdx n="508" f="v">
      <t c="3" si="4">
        <n x="509"/>
        <n x="127"/>
        <n x="503"/>
      </t>
    </mdx>
    <mdx n="508" f="v">
      <t c="3" si="4">
        <n x="509"/>
        <n x="362"/>
        <n x="503"/>
      </t>
    </mdx>
    <mdx n="508" f="v">
      <t c="3" si="4">
        <n x="509"/>
        <n x="361"/>
        <n x="504"/>
      </t>
    </mdx>
    <mdx n="508" f="v">
      <t c="3" si="4">
        <n x="509"/>
        <n x="166"/>
        <n x="505"/>
      </t>
    </mdx>
    <mdx n="508" f="v">
      <t c="3" si="4">
        <n x="509"/>
        <n x="12"/>
        <n x="502"/>
      </t>
    </mdx>
    <mdx n="508" f="v">
      <t c="3" si="4">
        <n x="509"/>
        <n x="303"/>
        <n x="503"/>
      </t>
    </mdx>
    <mdx n="508" f="v">
      <t c="3" si="4">
        <n x="509"/>
        <n x="69"/>
        <n x="503"/>
      </t>
    </mdx>
    <mdx n="508" f="v">
      <t c="3" si="4">
        <n x="509"/>
        <n x="302"/>
        <n x="503"/>
      </t>
    </mdx>
    <mdx n="508" f="v">
      <t c="3" si="4">
        <n x="509"/>
        <n x="396"/>
        <n x="504"/>
      </t>
    </mdx>
    <mdx n="508" f="v">
      <t c="3" si="4">
        <n x="509"/>
        <n x="153"/>
        <n x="505"/>
      </t>
    </mdx>
    <mdx n="508" f="v">
      <t c="3" si="4">
        <n x="509"/>
        <n x="179"/>
        <n x="505"/>
      </t>
    </mdx>
    <mdx n="508" f="v">
      <t c="3" si="4">
        <n x="509"/>
        <n x="176"/>
        <n x="505"/>
      </t>
    </mdx>
    <mdx n="508" f="v">
      <t c="3" si="4">
        <n x="509"/>
        <n x="7"/>
        <n x="505"/>
      </t>
    </mdx>
    <mdx n="508" f="v">
      <t c="3" si="4">
        <n x="509"/>
        <n x="207"/>
        <n x="506"/>
      </t>
    </mdx>
    <mdx n="508" f="v">
      <t c="3" si="4">
        <n x="509"/>
        <n x="177"/>
        <n x="506"/>
      </t>
    </mdx>
    <mdx n="508" f="v">
      <t c="3" si="4">
        <n x="509"/>
        <n x="389"/>
        <n x="502"/>
      </t>
    </mdx>
    <mdx n="508" f="v">
      <t c="3" si="4">
        <n x="509"/>
        <n x="100"/>
        <n x="502"/>
      </t>
    </mdx>
    <mdx n="508" f="v">
      <t c="3" si="4">
        <n x="509"/>
        <n x="312"/>
        <n x="503"/>
      </t>
    </mdx>
    <mdx n="508" f="v">
      <t c="3" si="4">
        <n x="509"/>
        <n x="339"/>
        <n x="503"/>
      </t>
    </mdx>
    <mdx n="508" f="v">
      <t c="3" si="4">
        <n x="509"/>
        <n x="213"/>
        <n x="503"/>
      </t>
    </mdx>
    <mdx n="508" f="v">
      <t c="3" si="4">
        <n x="509"/>
        <n x="334"/>
        <n x="503"/>
      </t>
    </mdx>
    <mdx n="508" f="v">
      <t c="3" si="4">
        <n x="509"/>
        <n x="268"/>
        <n x="503"/>
      </t>
    </mdx>
    <mdx n="508" f="v">
      <t c="3" si="4">
        <n x="509"/>
        <n x="293"/>
        <n x="503"/>
      </t>
    </mdx>
    <mdx n="508" f="v">
      <t c="3" si="4">
        <n x="509"/>
        <n x="451"/>
        <n x="503"/>
      </t>
    </mdx>
    <mdx n="508" f="v">
      <t c="3" si="4">
        <n x="509"/>
        <n x="197"/>
        <n x="504"/>
      </t>
    </mdx>
    <mdx n="508" f="v">
      <t c="3" si="4">
        <n x="509"/>
        <n x="315"/>
        <n x="504"/>
      </t>
    </mdx>
    <mdx n="508" f="v">
      <t c="3" si="4">
        <n x="509"/>
        <n x="381"/>
        <n x="504"/>
      </t>
    </mdx>
    <mdx n="508" f="v">
      <t c="3" si="4">
        <n x="509"/>
        <n x="141"/>
        <n x="504"/>
      </t>
    </mdx>
    <mdx n="508" f="v">
      <t c="3" si="4">
        <n x="509"/>
        <n x="130"/>
        <n x="504"/>
      </t>
    </mdx>
    <mdx n="508" f="v">
      <t c="3" si="4">
        <n x="509"/>
        <n x="268"/>
        <n x="504"/>
      </t>
    </mdx>
    <mdx n="508" f="v">
      <t c="3" si="4">
        <n x="509"/>
        <n x="222"/>
        <n x="505"/>
      </t>
    </mdx>
    <mdx n="508" f="v">
      <t c="3" si="4">
        <n x="509"/>
        <n x="358"/>
        <n x="505"/>
      </t>
    </mdx>
    <mdx n="508" f="v">
      <t c="3" si="4">
        <n x="509"/>
        <n x="172"/>
        <n x="505"/>
      </t>
    </mdx>
    <mdx n="508" f="v">
      <t c="3" si="4">
        <n x="509"/>
        <n x="29"/>
        <n x="506"/>
      </t>
    </mdx>
    <mdx n="508" f="v">
      <t c="3" si="4">
        <n x="509"/>
        <n x="166"/>
        <n x="507"/>
      </t>
    </mdx>
    <mdx n="508" f="v">
      <t c="3" si="4">
        <n x="509"/>
        <n x="185"/>
        <n x="502"/>
      </t>
    </mdx>
    <mdx n="508" f="v">
      <t c="3" si="4">
        <n x="509"/>
        <n x="107"/>
        <n x="502"/>
      </t>
    </mdx>
    <mdx n="508" f="v">
      <t c="3" si="4">
        <n x="509"/>
        <n x="38"/>
        <n x="503"/>
      </t>
    </mdx>
    <mdx n="508" f="v">
      <t c="3" si="4">
        <n x="509"/>
        <n x="49"/>
        <n x="503"/>
      </t>
    </mdx>
    <mdx n="508" f="v">
      <t c="3" si="4">
        <n x="509"/>
        <n x="256"/>
        <n x="503"/>
      </t>
    </mdx>
    <mdx n="508" f="v">
      <t c="3" si="4">
        <n x="509"/>
        <n x="168"/>
        <n x="503"/>
      </t>
    </mdx>
    <mdx n="508" f="v">
      <t c="3" si="4">
        <n x="509"/>
        <n x="389"/>
        <n x="503"/>
      </t>
    </mdx>
    <mdx n="508" f="v">
      <t c="3" si="4">
        <n x="509"/>
        <n x="254"/>
        <n x="503"/>
      </t>
    </mdx>
    <mdx n="508" f="v">
      <t c="3" si="4">
        <n x="509"/>
        <n x="131"/>
        <n x="503"/>
      </t>
    </mdx>
    <mdx n="508" f="v">
      <t c="3" si="4">
        <n x="509"/>
        <n x="443"/>
        <n x="504"/>
      </t>
    </mdx>
    <mdx n="508" f="v">
      <t c="3" si="4">
        <n x="509"/>
        <n x="312"/>
        <n x="504"/>
      </t>
    </mdx>
    <mdx n="508" f="v">
      <t c="3" si="4">
        <n x="509"/>
        <n x="354"/>
        <n x="504"/>
      </t>
    </mdx>
    <mdx n="508" f="v">
      <t c="3" si="4">
        <n x="509"/>
        <n x="401"/>
        <n x="504"/>
      </t>
    </mdx>
    <mdx n="508" f="v">
      <t c="3" si="4">
        <n x="509"/>
        <n x="320"/>
        <n x="504"/>
      </t>
    </mdx>
    <mdx n="508" f="v">
      <t c="3" si="4">
        <n x="509"/>
        <n x="398"/>
        <n x="504"/>
      </t>
    </mdx>
    <mdx n="508" f="v">
      <t c="3" si="4">
        <n x="509"/>
        <n x="212"/>
        <n x="505"/>
      </t>
    </mdx>
    <mdx n="508" f="v">
      <t c="3" si="4">
        <n x="509"/>
        <n x="40"/>
        <n x="505"/>
      </t>
    </mdx>
    <mdx n="508" f="v">
      <t c="3" si="4">
        <n x="509"/>
        <n x="370"/>
        <n x="506"/>
      </t>
    </mdx>
    <mdx n="508" f="v">
      <t c="3" si="4">
        <n x="509"/>
        <n x="69"/>
        <n x="506"/>
      </t>
    </mdx>
    <mdx n="508" f="v">
      <t c="3" si="4">
        <n x="509"/>
        <n x="425"/>
        <n x="503"/>
      </t>
    </mdx>
    <mdx n="508" f="v">
      <t c="3" si="4">
        <n x="509"/>
        <n x="344"/>
        <n x="503"/>
      </t>
    </mdx>
    <mdx n="508" f="v">
      <t c="3" si="4">
        <n x="509"/>
        <n x="457"/>
        <n x="504"/>
      </t>
    </mdx>
    <mdx n="508" f="v">
      <t c="3" si="4">
        <n x="509"/>
        <n x="23"/>
        <n x="504"/>
      </t>
    </mdx>
    <mdx n="508" f="v">
      <t c="3" si="4">
        <n x="509"/>
        <n x="386"/>
        <n x="504"/>
      </t>
    </mdx>
    <mdx n="508" f="v">
      <t c="3" si="4">
        <n x="509"/>
        <n x="300"/>
        <n x="504"/>
      </t>
    </mdx>
    <mdx n="508" f="v">
      <t c="3" si="4">
        <n x="509"/>
        <n x="36"/>
        <n x="504"/>
      </t>
    </mdx>
    <mdx n="508" f="v">
      <t c="3" si="4">
        <n x="509"/>
        <n x="424"/>
        <n x="504"/>
      </t>
    </mdx>
    <mdx n="508" f="v">
      <t c="3" si="4">
        <n x="509"/>
        <n x="119"/>
        <n x="505"/>
      </t>
    </mdx>
    <mdx n="508" f="v">
      <t c="3" si="4">
        <n x="509"/>
        <n x="64"/>
        <n x="505"/>
      </t>
    </mdx>
    <mdx n="508" f="v">
      <t c="3" si="4">
        <n x="509"/>
        <n x="397"/>
        <n x="505"/>
      </t>
    </mdx>
    <mdx n="508" f="v">
      <t c="3" si="4">
        <n x="509"/>
        <n x="272"/>
        <n x="506"/>
      </t>
    </mdx>
    <mdx n="508" f="v">
      <t c="3" si="4">
        <n x="509"/>
        <n x="270"/>
        <n x="503"/>
      </t>
    </mdx>
    <mdx n="508" f="v">
      <t c="3" si="4">
        <n x="509"/>
        <n x="237"/>
        <n x="503"/>
      </t>
    </mdx>
    <mdx n="508" f="v">
      <t c="3" si="4">
        <n x="509"/>
        <n x="161"/>
        <n x="503"/>
      </t>
    </mdx>
    <mdx n="508" f="v">
      <t c="3" si="4">
        <n x="509"/>
        <n x="195"/>
        <n x="503"/>
      </t>
    </mdx>
    <mdx n="508" f="v">
      <t c="3" si="4">
        <n x="509"/>
        <n x="444"/>
        <n x="503"/>
      </t>
    </mdx>
    <mdx n="508" f="v">
      <t c="3" si="4">
        <n x="509"/>
        <n x="436"/>
        <n x="504"/>
      </t>
    </mdx>
    <mdx n="508" f="v">
      <t c="3" si="4">
        <n x="509"/>
        <n x="84"/>
        <n x="504"/>
      </t>
    </mdx>
    <mdx n="508" f="v">
      <t c="3" si="4">
        <n x="509"/>
        <n x="93"/>
        <n x="504"/>
      </t>
    </mdx>
    <mdx n="508" f="v">
      <t c="3" si="4">
        <n x="509"/>
        <n x="128"/>
        <n x="504"/>
      </t>
    </mdx>
    <mdx n="508" f="v">
      <t c="3" si="4">
        <n x="509"/>
        <n x="393"/>
        <n x="504"/>
      </t>
    </mdx>
    <mdx n="508" f="v">
      <t c="3" si="4">
        <n x="509"/>
        <n x="63"/>
        <n x="504"/>
      </t>
    </mdx>
    <mdx n="508" f="v">
      <t c="3" si="4">
        <n x="509"/>
        <n x="305"/>
        <n x="505"/>
      </t>
    </mdx>
    <mdx n="508" f="v">
      <t c="3" si="4">
        <n x="509"/>
        <n x="413"/>
        <n x="505"/>
      </t>
    </mdx>
    <mdx n="508" f="v">
      <t c="3" si="4">
        <n x="509"/>
        <n x="404"/>
        <n x="505"/>
      </t>
    </mdx>
    <mdx n="508" f="v">
      <t c="3" si="4">
        <n x="509"/>
        <n x="92"/>
        <n x="506"/>
      </t>
    </mdx>
    <mdx n="508" f="v">
      <t c="3" si="4">
        <n x="509"/>
        <n x="86"/>
        <n x="507"/>
      </t>
    </mdx>
    <mdx n="508" f="v">
      <t c="3" si="4">
        <n x="509"/>
        <n x="374"/>
        <n x="503"/>
      </t>
    </mdx>
    <mdx n="508" f="v">
      <t c="3" si="4">
        <n x="509"/>
        <n x="218"/>
        <n x="503"/>
      </t>
    </mdx>
    <mdx n="508" f="v">
      <t c="3" si="4">
        <n x="509"/>
        <n x="32"/>
        <n x="503"/>
      </t>
    </mdx>
    <mdx n="508" f="v">
      <t c="3" si="4">
        <n x="509"/>
        <n x="50"/>
        <n x="503"/>
      </t>
    </mdx>
    <mdx n="508" f="v">
      <t c="3" si="4">
        <n x="509"/>
        <n x="428"/>
        <n x="503"/>
      </t>
    </mdx>
    <mdx n="508" f="v">
      <t c="3" si="4">
        <n x="509"/>
        <n x="297"/>
        <n x="504"/>
      </t>
    </mdx>
    <mdx n="508" f="v">
      <t c="3" si="4">
        <n x="509"/>
        <n x="147"/>
        <n x="504"/>
      </t>
    </mdx>
    <mdx n="508" f="v">
      <t c="3" si="4">
        <n x="509"/>
        <n x="351"/>
        <n x="504"/>
      </t>
    </mdx>
    <mdx n="508" f="v">
      <t c="3" si="4">
        <n x="509"/>
        <n x="14"/>
        <n x="504"/>
      </t>
    </mdx>
    <mdx n="508" f="v">
      <t c="3" si="4">
        <n x="509"/>
        <n x="373"/>
        <n x="504"/>
      </t>
    </mdx>
    <mdx n="508" f="v">
      <t c="3" si="4">
        <n x="509"/>
        <n x="191"/>
        <n x="504"/>
      </t>
    </mdx>
    <mdx n="508" f="v">
      <t c="3" si="4">
        <n x="509"/>
        <n x="257"/>
        <n x="505"/>
      </t>
    </mdx>
    <mdx n="508" f="v">
      <t c="3" si="4">
        <n x="509"/>
        <n x="98"/>
        <n x="505"/>
      </t>
    </mdx>
    <mdx n="508" f="v">
      <t c="3" si="4">
        <n x="509"/>
        <n x="56"/>
        <n x="505"/>
      </t>
    </mdx>
    <mdx n="508" f="v">
      <t c="3" si="4">
        <n x="509"/>
        <n x="18"/>
        <n x="506"/>
      </t>
    </mdx>
    <mdx n="508" f="v">
      <t c="3" si="4">
        <n x="509"/>
        <n x="259"/>
        <n x="507"/>
      </t>
    </mdx>
    <mdx n="508" f="v">
      <t c="3" si="4">
        <n x="509"/>
        <n x="462"/>
        <n x="504"/>
      </t>
    </mdx>
    <mdx n="508" f="v">
      <t c="3" si="4">
        <n x="509"/>
        <n x="236"/>
        <n x="504"/>
      </t>
    </mdx>
    <mdx n="508" f="v">
      <t c="3" si="4">
        <n x="509"/>
        <n x="347"/>
        <n x="504"/>
      </t>
    </mdx>
    <mdx n="508" f="v">
      <t c="3" si="4">
        <n x="509"/>
        <n x="12"/>
        <n x="504"/>
      </t>
    </mdx>
    <mdx n="508" f="v">
      <t c="3" si="4">
        <n x="509"/>
        <n x="318"/>
        <n x="505"/>
      </t>
    </mdx>
    <mdx n="508" f="v">
      <t c="3" si="4">
        <n x="509"/>
        <n x="455"/>
        <n x="505"/>
      </t>
    </mdx>
    <mdx n="508" f="v">
      <t c="3" si="4">
        <n x="509"/>
        <n x="291"/>
        <n x="505"/>
      </t>
    </mdx>
    <mdx n="508" f="v">
      <t c="3" si="4">
        <n x="509"/>
        <n x="447"/>
        <n x="505"/>
      </t>
    </mdx>
    <mdx n="508" f="v">
      <t c="3" si="4">
        <n x="509"/>
        <n x="136"/>
        <n x="505"/>
      </t>
    </mdx>
    <mdx n="508" f="v">
      <t c="3" si="4">
        <n x="509"/>
        <n x="124"/>
        <n x="505"/>
      </t>
    </mdx>
    <mdx n="508" f="v">
      <t c="3" si="4">
        <n x="509"/>
        <n x="58"/>
        <n x="506"/>
      </t>
    </mdx>
    <mdx n="508" f="v">
      <t c="3" si="4">
        <n x="509"/>
        <n x="155"/>
        <n x="506"/>
      </t>
    </mdx>
    <mdx n="508" f="v">
      <t c="3" si="4">
        <n x="509"/>
        <n x="237"/>
        <n x="506"/>
      </t>
    </mdx>
    <mdx n="508" f="v">
      <t c="3" si="4">
        <n x="509"/>
        <n x="214"/>
        <n x="506"/>
      </t>
    </mdx>
    <mdx n="508" f="v">
      <t c="3" si="4">
        <n x="509"/>
        <n x="125"/>
        <n x="507"/>
      </t>
    </mdx>
    <mdx n="508" f="v">
      <t c="3" si="4">
        <n x="509"/>
        <n x="111"/>
        <n x="507"/>
      </t>
    </mdx>
    <mdx n="508" f="v">
      <t c="3" si="4">
        <n x="509"/>
        <n x="117"/>
        <n x="504"/>
      </t>
    </mdx>
    <mdx n="508" f="v">
      <t c="3" si="4">
        <n x="509"/>
        <n x="226"/>
        <n x="505"/>
      </t>
    </mdx>
    <mdx n="508" f="v">
      <t c="3" si="4">
        <n x="509"/>
        <n x="267"/>
        <n x="505"/>
      </t>
    </mdx>
    <mdx n="508" f="v">
      <t c="3" si="4">
        <n x="509"/>
        <n x="167"/>
        <n x="505"/>
      </t>
    </mdx>
    <mdx n="508" f="v">
      <t c="3" si="4">
        <n x="509"/>
        <n x="292"/>
        <n x="505"/>
      </t>
    </mdx>
    <mdx n="508" f="v">
      <t c="3" si="4">
        <n x="509"/>
        <n x="261"/>
        <n x="505"/>
      </t>
    </mdx>
    <mdx n="508" f="v">
      <t c="3" si="4">
        <n x="509"/>
        <n x="260"/>
        <n x="505"/>
      </t>
    </mdx>
    <mdx n="508" f="v">
      <t c="3" si="4">
        <n x="509"/>
        <n x="459"/>
        <n x="506"/>
      </t>
    </mdx>
    <mdx n="508" f="v">
      <t c="3" si="4">
        <n x="509"/>
        <n x="442"/>
        <n x="506"/>
      </t>
    </mdx>
    <mdx n="508" f="v">
      <t c="3" si="4">
        <n x="509"/>
        <n x="411"/>
        <n x="506"/>
      </t>
    </mdx>
    <mdx n="508" f="v">
      <t c="3" si="4">
        <n x="509"/>
        <n x="388"/>
        <n x="506"/>
      </t>
    </mdx>
    <mdx n="508" f="v">
      <t c="3" si="4">
        <n x="509"/>
        <n x="368"/>
        <n x="507"/>
      </t>
    </mdx>
    <mdx n="508" f="v">
      <t c="3" si="4">
        <n x="509"/>
        <n x="90"/>
        <n x="507"/>
      </t>
    </mdx>
    <mdx n="508" f="v">
      <t c="3" si="4">
        <n x="509"/>
        <n x="143"/>
        <n x="504"/>
      </t>
    </mdx>
    <mdx n="508" f="v">
      <t c="3" si="4">
        <n x="509"/>
        <n x="48"/>
        <n x="504"/>
      </t>
    </mdx>
    <mdx n="508" f="v">
      <t c="3" si="4">
        <n x="509"/>
        <n x="366"/>
        <n x="504"/>
      </t>
    </mdx>
    <mdx n="508" f="v">
      <t c="3" si="4">
        <n x="509"/>
        <n x="114"/>
        <n x="504"/>
      </t>
    </mdx>
    <mdx n="508" f="v">
      <t c="3" si="4">
        <n x="509"/>
        <n x="116"/>
        <n x="505"/>
      </t>
    </mdx>
    <mdx n="508" f="v">
      <t c="3" si="4">
        <n x="509"/>
        <n x="299"/>
        <n x="505"/>
      </t>
    </mdx>
    <mdx n="508" f="v">
      <t c="3" si="4">
        <n x="509"/>
        <n x="72"/>
        <n x="505"/>
      </t>
    </mdx>
    <mdx n="508" f="v">
      <t c="3" si="4">
        <n x="509"/>
        <n x="198"/>
        <n x="505"/>
      </t>
    </mdx>
    <mdx n="508" f="v">
      <t c="3" si="4">
        <n x="509"/>
        <n x="36"/>
        <n x="505"/>
      </t>
    </mdx>
    <mdx n="508" f="v">
      <t c="3" si="4">
        <n x="509"/>
        <n x="409"/>
        <n x="505"/>
      </t>
    </mdx>
    <mdx n="508" f="v">
      <t c="3" si="4">
        <n x="509"/>
        <n x="457"/>
        <n x="506"/>
      </t>
    </mdx>
    <mdx n="508" f="v">
      <t c="3" si="4">
        <n x="509"/>
        <n x="54"/>
        <n x="506"/>
      </t>
    </mdx>
    <mdx n="508" f="v">
      <t c="3" si="4">
        <n x="509"/>
        <n x="341"/>
        <n x="506"/>
      </t>
    </mdx>
    <mdx n="508" f="v">
      <t c="3" si="4">
        <n x="509"/>
        <n x="112"/>
        <n x="506"/>
      </t>
    </mdx>
    <mdx n="508" f="v">
      <t c="3" si="4">
        <n x="509"/>
        <n x="54"/>
        <n x="507"/>
      </t>
    </mdx>
    <mdx n="508" f="v">
      <t c="3" si="4">
        <n x="509"/>
        <n x="20"/>
        <n x="505"/>
      </t>
    </mdx>
    <mdx n="508" f="v">
      <t c="3" si="4">
        <n x="509"/>
        <n x="19"/>
        <n x="505"/>
      </t>
    </mdx>
    <mdx n="508" f="v">
      <t c="3" si="4">
        <n x="509"/>
        <n x="109"/>
        <n x="505"/>
      </t>
    </mdx>
    <mdx n="508" f="v">
      <t c="3" si="4">
        <n x="509"/>
        <n x="288"/>
        <n x="505"/>
      </t>
    </mdx>
    <mdx n="508" f="v">
      <t c="3" si="4">
        <n x="509"/>
        <n x="331"/>
        <n x="505"/>
      </t>
    </mdx>
    <mdx n="508" f="v">
      <t c="3" si="4">
        <n x="509"/>
        <n x="265"/>
        <n x="506"/>
      </t>
    </mdx>
    <mdx n="508" f="v">
      <t c="3" si="4">
        <n x="509"/>
        <n x="19"/>
        <n x="506"/>
      </t>
    </mdx>
    <mdx n="508" f="v">
      <t c="3" si="4">
        <n x="509"/>
        <n x="96"/>
        <n x="506"/>
      </t>
    </mdx>
    <mdx n="508" f="v">
      <t c="3" si="4">
        <n x="509"/>
        <n x="437"/>
        <n x="507"/>
      </t>
    </mdx>
    <mdx n="508" f="v">
      <t c="3" si="4">
        <n x="509"/>
        <n x="393"/>
        <n x="507"/>
      </t>
    </mdx>
    <mdx n="508" f="v">
      <t c="3" si="4">
        <n x="509"/>
        <n x="298"/>
        <n x="504"/>
      </t>
    </mdx>
    <mdx n="508" f="v">
      <t c="3" si="4">
        <n x="509"/>
        <n x="307"/>
        <n x="504"/>
      </t>
    </mdx>
    <mdx n="508" f="v">
      <t c="3" si="4">
        <n x="509"/>
        <n x="89"/>
        <n x="505"/>
      </t>
    </mdx>
    <mdx n="508" f="v">
      <t c="3" si="4">
        <n x="509"/>
        <n x="361"/>
        <n x="505"/>
      </t>
    </mdx>
    <mdx n="508" f="v">
      <t c="3" si="4">
        <n x="509"/>
        <n x="360"/>
        <n x="505"/>
      </t>
    </mdx>
    <mdx n="508" f="v">
      <t c="3" si="4">
        <n x="509"/>
        <n x="356"/>
        <n x="505"/>
      </t>
    </mdx>
    <mdx n="508" f="v">
      <t c="3" si="4">
        <n x="509"/>
        <n x="126"/>
        <n x="505"/>
      </t>
    </mdx>
    <mdx n="508" f="v">
      <t c="3" si="4">
        <n x="509"/>
        <n x="104"/>
        <n x="505"/>
      </t>
    </mdx>
    <mdx n="508" f="v">
      <t c="3" si="4">
        <n x="509"/>
        <n x="419"/>
        <n x="506"/>
      </t>
    </mdx>
    <mdx n="508" f="v">
      <t c="3" si="4">
        <n x="509"/>
        <n x="27"/>
        <n x="506"/>
      </t>
    </mdx>
    <mdx n="508" f="v">
      <t c="3" si="4">
        <n x="509"/>
        <n x="380"/>
        <n x="506"/>
      </t>
    </mdx>
    <mdx n="508" f="v">
      <t c="3" si="4">
        <n x="509"/>
        <n x="56"/>
        <n x="506"/>
      </t>
    </mdx>
    <mdx n="508" f="v">
      <t c="3" si="4">
        <n x="509"/>
        <n x="182"/>
        <n x="507"/>
      </t>
    </mdx>
    <mdx n="508" f="v">
      <t c="3" si="4">
        <n x="509"/>
        <n x="101"/>
        <n x="507"/>
      </t>
    </mdx>
    <mdx n="508" f="v">
      <t c="3" si="4">
        <n x="509"/>
        <n x="82"/>
        <n x="507"/>
      </t>
    </mdx>
    <mdx n="508" f="v">
      <t c="3" si="4">
        <n x="509"/>
        <n x="287"/>
        <n x="507"/>
      </t>
    </mdx>
    <mdx n="508" f="v">
      <t c="3" si="4">
        <n x="509"/>
        <n x="196"/>
        <n x="507"/>
      </t>
    </mdx>
    <mdx n="508" f="v">
      <t c="3" si="4">
        <n x="509"/>
        <n x="377"/>
        <n x="507"/>
      </t>
    </mdx>
    <mdx n="508" f="v">
      <t c="3" si="4">
        <n x="509"/>
        <n x="431"/>
        <n x="507"/>
      </t>
    </mdx>
    <mdx n="508" f="v">
      <t c="3" si="4">
        <n x="509"/>
        <n x="441"/>
        <n x="507"/>
      </t>
    </mdx>
    <mdx n="508" f="v">
      <t c="3" si="4">
        <n x="509"/>
        <n x="276"/>
        <n x="507"/>
      </t>
    </mdx>
    <mdx n="508" f="v">
      <t c="3" si="4">
        <n x="509"/>
        <n x="28"/>
        <n x="507"/>
      </t>
    </mdx>
    <mdx n="508" f="v">
      <t c="3" si="4">
        <n x="509"/>
        <n x="215"/>
        <n x="507"/>
      </t>
    </mdx>
    <mdx n="508" f="v">
      <t c="3" si="4">
        <n x="509"/>
        <n x="103"/>
        <n x="507"/>
      </t>
    </mdx>
    <mdx n="508" f="v">
      <t c="3" si="4">
        <n x="509"/>
        <n x="51"/>
        <n x="505"/>
      </t>
    </mdx>
    <mdx n="508" f="v">
      <t c="3" si="4">
        <n x="509"/>
        <n x="273"/>
        <n x="506"/>
      </t>
    </mdx>
    <mdx n="508" f="v">
      <t c="3" si="4">
        <n x="509"/>
        <n x="55"/>
        <n x="506"/>
      </t>
    </mdx>
    <mdx n="508" f="v">
      <t c="3" si="4">
        <n x="509"/>
        <n x="417"/>
        <n x="506"/>
      </t>
    </mdx>
    <mdx n="508" f="v">
      <t c="3" si="4">
        <n x="509"/>
        <n x="244"/>
        <n x="506"/>
      </t>
    </mdx>
    <mdx n="508" f="v">
      <t c="3" si="4">
        <n x="509"/>
        <n x="326"/>
        <n x="506"/>
      </t>
    </mdx>
    <mdx n="508" f="v">
      <t c="3" si="4">
        <n x="509"/>
        <n x="383"/>
        <n x="506"/>
      </t>
    </mdx>
    <mdx n="508" f="v">
      <t c="3" si="4">
        <n x="509"/>
        <n x="81"/>
        <n x="506"/>
      </t>
    </mdx>
    <mdx n="508" f="v">
      <t c="3" si="4">
        <n x="509"/>
        <n x="50"/>
        <n x="507"/>
      </t>
    </mdx>
    <mdx n="508" f="v">
      <t c="3" si="4">
        <n x="509"/>
        <n x="449"/>
        <n x="507"/>
      </t>
    </mdx>
    <mdx n="508" f="v">
      <t c="3" si="4">
        <n x="509"/>
        <n x="336"/>
        <n x="507"/>
      </t>
    </mdx>
    <mdx n="508" f="v">
      <t c="3" si="4">
        <n x="509"/>
        <n x="422"/>
        <n x="507"/>
      </t>
    </mdx>
    <mdx n="508" f="v">
      <t c="3" si="4">
        <n x="509"/>
        <n x="429"/>
        <n x="507"/>
      </t>
    </mdx>
    <mdx n="508" f="v">
      <t c="3" si="4">
        <n x="509"/>
        <n x="293"/>
        <n x="507"/>
      </t>
    </mdx>
    <mdx n="508" f="v">
      <t c="3" si="4">
        <n x="509"/>
        <n x="302"/>
        <n x="507"/>
      </t>
    </mdx>
    <mdx n="508" f="v">
      <t c="3" si="4">
        <n x="509"/>
        <n x="152"/>
        <n x="505"/>
      </t>
    </mdx>
    <mdx n="508" f="v">
      <t c="3" si="4">
        <n x="509"/>
        <n x="423"/>
        <n x="506"/>
      </t>
    </mdx>
    <mdx n="508" f="v">
      <t c="3" si="4">
        <n x="509"/>
        <n x="348"/>
        <n x="506"/>
      </t>
    </mdx>
    <mdx n="508" f="v">
      <t c="3" si="4">
        <n x="509"/>
        <n x="132"/>
        <n x="506"/>
      </t>
    </mdx>
    <mdx n="508" f="v">
      <t c="3" si="4">
        <n x="509"/>
        <n x="390"/>
        <n x="506"/>
      </t>
    </mdx>
    <mdx n="508" f="v">
      <t c="3" si="4">
        <n x="509"/>
        <n x="308"/>
        <n x="506"/>
      </t>
    </mdx>
    <mdx n="508" f="v">
      <t c="3" si="4">
        <n x="509"/>
        <n x="265"/>
        <n x="507"/>
      </t>
    </mdx>
    <mdx n="508" f="v">
      <t c="3" si="4">
        <n x="509"/>
        <n x="341"/>
        <n x="507"/>
      </t>
    </mdx>
    <mdx n="508" f="v">
      <t c="3" si="4">
        <n x="509"/>
        <n x="297"/>
        <n x="507"/>
      </t>
    </mdx>
    <mdx n="508" f="v">
      <t c="3" si="4">
        <n x="509"/>
        <n x="394"/>
        <n x="507"/>
      </t>
    </mdx>
    <mdx n="508" f="v">
      <t c="3" si="4">
        <n x="509"/>
        <n x="140"/>
        <n x="507"/>
      </t>
    </mdx>
    <mdx n="508" f="v">
      <t c="3" si="4">
        <n x="509"/>
        <n x="416"/>
        <n x="506"/>
      </t>
    </mdx>
    <mdx n="508" f="v">
      <t c="3" si="4">
        <n x="509"/>
        <n x="25"/>
        <n x="506"/>
      </t>
    </mdx>
    <mdx n="508" f="v">
      <t c="3" si="4">
        <n x="509"/>
        <n x="77"/>
        <n x="506"/>
      </t>
    </mdx>
    <mdx n="508" f="v">
      <t c="3" si="4">
        <n x="509"/>
        <n x="286"/>
        <n x="507"/>
      </t>
    </mdx>
    <mdx n="508" f="v">
      <t c="3" si="4">
        <n x="509"/>
        <n x="244"/>
        <n x="507"/>
      </t>
    </mdx>
    <mdx n="508" f="v">
      <t c="3" si="4">
        <n x="509"/>
        <n x="96"/>
        <n x="507"/>
      </t>
    </mdx>
    <mdx n="508" f="v">
      <t c="3" si="4">
        <n x="509"/>
        <n x="395"/>
        <n x="505"/>
      </t>
    </mdx>
    <mdx n="508" f="v">
      <t c="3" si="4">
        <n x="509"/>
        <n x="119"/>
        <n x="506"/>
      </t>
    </mdx>
    <mdx n="508" f="v">
      <t c="3" si="4">
        <n x="509"/>
        <n x="292"/>
        <n x="506"/>
      </t>
    </mdx>
    <mdx n="508" f="v">
      <t c="3" si="4">
        <n x="509"/>
        <n x="337"/>
        <n x="506"/>
      </t>
    </mdx>
    <mdx n="508" f="v">
      <t c="3" si="4">
        <n x="509"/>
        <n x="193"/>
        <n x="507"/>
      </t>
    </mdx>
    <mdx n="508" f="v">
      <t c="3" si="4">
        <n x="509"/>
        <n x="160"/>
        <n x="507"/>
      </t>
    </mdx>
    <mdx n="508" f="v">
      <t c="3" si="4">
        <n x="509"/>
        <n x="139"/>
        <n x="506"/>
      </t>
    </mdx>
    <mdx n="508" f="v">
      <t c="3" si="4">
        <n x="509"/>
        <n x="120"/>
        <n x="507"/>
      </t>
    </mdx>
    <mdx n="508" f="v">
      <t c="3" si="4">
        <n x="509"/>
        <n x="19"/>
        <n x="507"/>
      </t>
    </mdx>
    <mdx n="508" f="v">
      <t c="3" si="4">
        <n x="509"/>
        <n x="391"/>
        <n x="506"/>
      </t>
    </mdx>
    <mdx n="508" f="v">
      <t c="3" si="4">
        <n x="509"/>
        <n x="17"/>
        <n x="507"/>
      </t>
    </mdx>
    <mdx n="508" f="v">
      <t c="3" si="4">
        <n x="509"/>
        <n x="453"/>
        <n x="506"/>
      </t>
    </mdx>
    <mdx n="508" f="v">
      <t c="3" si="4">
        <n x="509"/>
        <n x="217"/>
        <n x="507"/>
      </t>
    </mdx>
    <mdx n="508" f="v">
      <t c="3" si="4">
        <n x="509"/>
        <n x="31"/>
        <n x="506"/>
      </t>
    </mdx>
    <mdx n="508" f="v">
      <t c="3" si="4">
        <n x="509"/>
        <n x="209"/>
        <n x="506"/>
      </t>
    </mdx>
    <mdx n="508" f="v">
      <t c="3" si="4">
        <n x="509"/>
        <n x="16"/>
        <n x="506"/>
      </t>
    </mdx>
    <mdx n="508" f="v">
      <t c="3" si="4">
        <n x="509"/>
        <n x="403"/>
        <n x="507"/>
      </t>
    </mdx>
    <mdx n="508" f="v">
      <t c="3" si="4">
        <n x="509"/>
        <n x="76"/>
        <n x="499"/>
      </t>
    </mdx>
    <mdx n="508" f="v">
      <t c="3" si="4">
        <n x="509"/>
        <n x="350"/>
        <n x="500"/>
      </t>
    </mdx>
    <mdx n="508" f="v">
      <t c="3" si="4">
        <n x="509"/>
        <n x="415"/>
        <n x="500"/>
      </t>
    </mdx>
    <mdx n="508" f="v">
      <t c="3" si="4">
        <n x="509"/>
        <n x="102"/>
        <n x="501"/>
      </t>
    </mdx>
    <mdx n="508" f="v">
      <t c="3" si="4">
        <n x="509"/>
        <n x="144"/>
        <n x="503"/>
      </t>
    </mdx>
    <mdx n="508" f="v">
      <t c="3" si="4">
        <n x="509"/>
        <n x="51"/>
        <n x="501"/>
      </t>
    </mdx>
    <mdx n="508" f="v">
      <t c="3" si="4">
        <n x="509"/>
        <n x="102"/>
        <n x="502"/>
      </t>
    </mdx>
    <mdx n="508" f="v">
      <t c="3" si="4">
        <n x="509"/>
        <n x="434"/>
        <n x="503"/>
      </t>
    </mdx>
    <mdx n="508" f="v">
      <t c="3" si="4">
        <n x="509"/>
        <n x="369"/>
        <n x="504"/>
      </t>
    </mdx>
    <mdx n="508" f="v">
      <t c="3" si="4">
        <n x="509"/>
        <n x="249"/>
        <n x="501"/>
      </t>
    </mdx>
    <mdx n="508" f="v">
      <t c="3" si="4">
        <n x="509"/>
        <n x="300"/>
        <n x="502"/>
      </t>
    </mdx>
    <mdx n="508" f="v">
      <t c="3" si="4">
        <n x="509"/>
        <n x="350"/>
        <n x="503"/>
      </t>
    </mdx>
    <mdx n="508" f="v">
      <t c="3" si="4">
        <n x="509"/>
        <n x="159"/>
        <n x="503"/>
      </t>
    </mdx>
    <mdx n="508" f="v">
      <t c="3" si="4">
        <n x="509"/>
        <n x="433"/>
        <n x="505"/>
      </t>
    </mdx>
    <mdx n="508" f="v">
      <t c="3" si="4">
        <n x="509"/>
        <n x="117"/>
        <n x="501"/>
      </t>
    </mdx>
    <mdx n="508" f="v">
      <t c="3" si="4">
        <n x="509"/>
        <n x="38"/>
        <n x="502"/>
      </t>
    </mdx>
    <mdx n="508" f="v">
      <t c="3" si="4">
        <n x="509"/>
        <n x="373"/>
        <n x="502"/>
      </t>
    </mdx>
    <mdx n="508" f="v">
      <t c="3" si="4">
        <n x="509"/>
        <n x="20"/>
        <n x="503"/>
      </t>
    </mdx>
    <mdx n="508" f="v">
      <t c="3" si="4">
        <n x="509"/>
        <n x="107"/>
        <n x="503"/>
      </t>
    </mdx>
    <mdx n="508" f="v">
      <t c="3" si="4">
        <n x="509"/>
        <n x="293"/>
        <n x="505"/>
      </t>
    </mdx>
    <mdx n="508" f="v">
      <t c="3" si="4">
        <n x="509"/>
        <n x="316"/>
        <n x="501"/>
      </t>
    </mdx>
    <mdx n="508" f="v">
      <t c="3" si="4">
        <n x="509"/>
        <n x="434"/>
        <n x="502"/>
      </t>
    </mdx>
    <mdx n="508" f="v">
      <t c="3" si="4">
        <n x="509"/>
        <n x="343"/>
        <n x="502"/>
      </t>
    </mdx>
    <mdx n="508" f="v">
      <t c="3" si="4">
        <n x="509"/>
        <n x="344"/>
        <n x="502"/>
      </t>
    </mdx>
    <mdx n="508" f="v">
      <t c="3" si="4">
        <n x="509"/>
        <n x="79"/>
        <n x="503"/>
      </t>
    </mdx>
    <mdx n="508" f="v">
      <t c="3" si="4">
        <n x="509"/>
        <n x="152"/>
        <n x="503"/>
      </t>
    </mdx>
    <mdx n="508" f="v">
      <t c="3" si="4">
        <n x="509"/>
        <n x="126"/>
        <n x="504"/>
      </t>
    </mdx>
    <mdx n="508" f="v">
      <t c="3" si="4">
        <n x="509"/>
        <n x="116"/>
        <n x="502"/>
      </t>
    </mdx>
    <mdx n="508" f="v">
      <t c="3" si="4">
        <n x="509"/>
        <n x="446"/>
        <n x="502"/>
      </t>
    </mdx>
    <mdx n="508" f="v">
      <t c="3" si="4">
        <n x="509"/>
        <n x="194"/>
        <n x="502"/>
      </t>
    </mdx>
    <mdx n="508" f="v">
      <t c="3" si="4">
        <n x="509"/>
        <n x="10"/>
        <n x="502"/>
      </t>
    </mdx>
    <mdx n="508" f="v">
      <t c="3" si="4">
        <n x="509"/>
        <n x="407"/>
        <n x="503"/>
      </t>
    </mdx>
    <mdx n="508" f="v">
      <t c="3" si="4">
        <n x="509"/>
        <n x="29"/>
        <n x="503"/>
      </t>
    </mdx>
    <mdx n="508" f="v">
      <t c="3" si="4">
        <n x="509"/>
        <n x="26"/>
        <n x="503"/>
      </t>
    </mdx>
    <mdx n="508" f="v">
      <t c="3" si="4">
        <n x="509"/>
        <n x="364"/>
        <n x="504"/>
      </t>
    </mdx>
    <mdx n="508" f="v">
      <t c="3" si="4">
        <n x="509"/>
        <n x="127"/>
        <n x="504"/>
      </t>
    </mdx>
    <mdx n="508" f="v">
      <t c="3" si="4">
        <n x="509"/>
        <n x="400"/>
        <n x="506"/>
      </t>
    </mdx>
    <mdx n="508" f="v">
      <t c="3" si="4">
        <n x="509"/>
        <n x="443"/>
        <n x="502"/>
      </t>
    </mdx>
    <mdx n="508" f="v">
      <t c="3" si="4">
        <n x="509"/>
        <n x="184"/>
        <n x="502"/>
      </t>
    </mdx>
    <mdx n="508" f="v">
      <t c="3" si="4">
        <n x="509"/>
        <n x="283"/>
        <n x="502"/>
      </t>
    </mdx>
    <mdx n="508" f="v">
      <t c="3" si="4">
        <n x="509"/>
        <n x="326"/>
        <n x="502"/>
      </t>
    </mdx>
    <mdx n="508" f="v">
      <t c="3" si="4">
        <n x="509"/>
        <n x="249"/>
        <n x="502"/>
      </t>
    </mdx>
    <mdx n="508" f="v">
      <t c="3" si="4">
        <n x="509"/>
        <n x="15"/>
        <n x="503"/>
      </t>
    </mdx>
    <mdx n="508" f="v">
      <t c="3" si="4">
        <n x="509"/>
        <n x="85"/>
        <n x="503"/>
      </t>
    </mdx>
    <mdx n="508" f="v">
      <t c="3" si="4">
        <n x="509"/>
        <n x="337"/>
        <n x="503"/>
      </t>
    </mdx>
    <mdx n="508" f="v">
      <t c="3" si="4">
        <n x="509"/>
        <n x="250"/>
        <n x="504"/>
      </t>
    </mdx>
    <mdx n="508" f="v">
      <t c="3" si="4">
        <n x="509"/>
        <n x="400"/>
        <n x="505"/>
      </t>
    </mdx>
    <mdx n="508" f="v">
      <t c="3" si="4">
        <n x="509"/>
        <n x="146"/>
        <n x="503"/>
      </t>
    </mdx>
    <mdx n="508" f="v">
      <t c="3" si="4">
        <n x="509"/>
        <n x="162"/>
        <n x="503"/>
      </t>
    </mdx>
    <mdx n="508" f="v">
      <t c="3" si="4">
        <n x="509"/>
        <n x="196"/>
        <n x="503"/>
      </t>
    </mdx>
    <mdx n="508" f="v">
      <t c="3" si="4">
        <n x="509"/>
        <n x="160"/>
        <n x="504"/>
      </t>
    </mdx>
    <mdx n="508" f="v">
      <t c="3" si="4">
        <n x="509"/>
        <n x="52"/>
        <n x="504"/>
      </t>
    </mdx>
    <mdx n="508" f="v">
      <t c="3" si="4">
        <n x="509"/>
        <n x="183"/>
        <n x="505"/>
      </t>
    </mdx>
    <mdx n="508" f="v">
      <t c="3" si="4">
        <n x="509"/>
        <n x="443"/>
        <n x="505"/>
      </t>
    </mdx>
    <mdx n="508" f="v">
      <t c="3" si="4">
        <n x="509"/>
        <n x="132"/>
        <n x="505"/>
      </t>
    </mdx>
    <mdx n="508" f="v">
      <t c="3" si="4">
        <n x="509"/>
        <n x="236"/>
        <n x="505"/>
      </t>
    </mdx>
    <mdx n="508" f="v">
      <t c="3" si="4">
        <n x="509"/>
        <n x="386"/>
        <n x="506"/>
      </t>
    </mdx>
    <mdx n="508" f="v">
      <t c="3" si="4">
        <n x="509"/>
        <n x="3"/>
        <n x="506"/>
      </t>
    </mdx>
    <mdx n="508" f="v">
      <t c="3" si="4">
        <n x="509"/>
        <n x="96"/>
        <n x="502"/>
      </t>
    </mdx>
    <mdx n="508" f="v">
      <t c="3" si="4">
        <n x="509"/>
        <n x="444"/>
        <n x="502"/>
      </t>
    </mdx>
    <mdx n="508" f="v">
      <t c="3" si="4">
        <n x="509"/>
        <n x="279"/>
        <n x="503"/>
      </t>
    </mdx>
    <mdx n="508" f="v">
      <t c="3" si="4">
        <n x="509"/>
        <n x="311"/>
        <n x="503"/>
      </t>
    </mdx>
    <mdx n="508" f="v">
      <t c="3" si="4">
        <n x="509"/>
        <n x="33"/>
        <n x="503"/>
      </t>
    </mdx>
    <mdx n="508" f="v">
      <t c="3" si="4">
        <n x="509"/>
        <n x="18"/>
        <n x="503"/>
      </t>
    </mdx>
    <mdx n="508" f="v">
      <t c="3" si="4">
        <n x="509"/>
        <n x="347"/>
        <n x="503"/>
      </t>
    </mdx>
    <mdx n="508" f="v">
      <t c="3" si="4">
        <n x="509"/>
        <n x="60"/>
        <n x="503"/>
      </t>
    </mdx>
    <mdx n="508" f="v">
      <t c="3" si="4">
        <n x="509"/>
        <n x="271"/>
        <n x="503"/>
      </t>
    </mdx>
    <mdx n="508" f="v">
      <t c="3" si="4">
        <n x="509"/>
        <n x="39"/>
        <n x="504"/>
      </t>
    </mdx>
    <mdx n="508" f="v">
      <t c="3" si="4">
        <n x="509"/>
        <n x="207"/>
        <n x="504"/>
      </t>
    </mdx>
    <mdx n="508" f="v">
      <t c="3" si="4">
        <n x="509"/>
        <n x="303"/>
        <n x="504"/>
      </t>
    </mdx>
    <mdx n="508" f="v">
      <t c="3" si="4">
        <n x="509"/>
        <n x="120"/>
        <n x="504"/>
      </t>
    </mdx>
    <mdx n="508" f="v">
      <t c="3" si="4">
        <n x="509"/>
        <n x="106"/>
        <n x="504"/>
      </t>
    </mdx>
    <mdx n="508" f="v">
      <t c="3" si="4">
        <n x="509"/>
        <n x="332"/>
        <n x="504"/>
      </t>
    </mdx>
    <mdx n="508" f="v">
      <t c="3" si="4">
        <n x="509"/>
        <n x="355"/>
        <n x="505"/>
      </t>
    </mdx>
    <mdx n="508" f="v">
      <t c="3" si="4">
        <n x="509"/>
        <n x="406"/>
        <n x="505"/>
      </t>
    </mdx>
    <mdx n="508" f="v">
      <t c="3" si="4">
        <n x="509"/>
        <n x="379"/>
        <n x="505"/>
      </t>
    </mdx>
    <mdx n="508" f="v">
      <t c="3" si="4">
        <n x="509"/>
        <n x="447"/>
        <n x="506"/>
      </t>
    </mdx>
    <mdx n="508" f="v">
      <t c="3" si="4">
        <n x="509"/>
        <n x="149"/>
        <n x="507"/>
      </t>
    </mdx>
    <mdx n="508" f="v">
      <t c="3" si="4">
        <n x="509"/>
        <n x="332"/>
        <n x="502"/>
      </t>
    </mdx>
    <mdx n="508" f="v">
      <t c="3" si="4">
        <n x="509"/>
        <n x="307"/>
        <n x="502"/>
      </t>
    </mdx>
    <mdx n="508" f="v">
      <t c="3" si="4">
        <n x="509"/>
        <n x="314"/>
        <n x="503"/>
      </t>
    </mdx>
    <mdx n="508" f="v">
      <t c="3" si="4">
        <n x="509"/>
        <n x="264"/>
        <n x="503"/>
      </t>
    </mdx>
    <mdx n="508" f="v">
      <t c="3" si="4">
        <n x="509"/>
        <n x="198"/>
        <n x="503"/>
      </t>
    </mdx>
    <mdx n="508" f="v">
      <t c="3" si="4">
        <n x="509"/>
        <n x="368"/>
        <n x="503"/>
      </t>
    </mdx>
    <mdx n="508" f="v">
      <t c="3" si="4">
        <n x="509"/>
        <n x="96"/>
        <n x="503"/>
      </t>
    </mdx>
    <mdx n="508" f="v">
      <t c="3" si="4">
        <n x="509"/>
        <n x="240"/>
        <n x="503"/>
      </t>
    </mdx>
    <mdx n="508" f="v">
      <t c="3" si="4">
        <n x="509"/>
        <n x="227"/>
        <n x="503"/>
      </t>
    </mdx>
    <mdx n="508" f="v">
      <t c="3" si="4">
        <n x="509"/>
        <n x="168"/>
        <n x="504"/>
      </t>
    </mdx>
    <mdx n="508" f="v">
      <t c="3" si="4">
        <n x="509"/>
        <n x="456"/>
        <n x="504"/>
      </t>
    </mdx>
    <mdx n="508" f="v">
      <t c="3" si="4">
        <n x="509"/>
        <n x="129"/>
        <n x="504"/>
      </t>
    </mdx>
    <mdx n="508" f="v">
      <t c="3" si="4">
        <n x="509"/>
        <n x="336"/>
        <n x="504"/>
      </t>
    </mdx>
    <mdx n="508" f="v">
      <t c="3" si="4">
        <n x="509"/>
        <n x="289"/>
        <n x="504"/>
      </t>
    </mdx>
    <mdx n="508" f="v">
      <t c="3" si="4">
        <n x="509"/>
        <n x="90"/>
        <n x="504"/>
      </t>
    </mdx>
    <mdx n="508" f="v">
      <t c="3" si="4">
        <n x="509"/>
        <n x="448"/>
        <n x="505"/>
      </t>
    </mdx>
    <mdx n="508" f="v">
      <t c="3" si="4">
        <n x="509"/>
        <n x="218"/>
        <n x="505"/>
      </t>
    </mdx>
    <mdx n="508" f="v">
      <t c="3" si="4">
        <n x="509"/>
        <n x="387"/>
        <n x="506"/>
      </t>
    </mdx>
    <mdx n="508" f="v">
      <t c="3" si="4">
        <n x="509"/>
        <n x="395"/>
        <n x="506"/>
      </t>
    </mdx>
    <mdx n="508" f="v">
      <t c="3" si="4">
        <n x="509"/>
        <n x="409"/>
        <n x="503"/>
      </t>
    </mdx>
    <mdx n="508" f="v">
      <t c="3" si="4">
        <n x="509"/>
        <n x="331"/>
        <n x="503"/>
      </t>
    </mdx>
    <mdx n="508" f="v">
      <t c="3" si="4">
        <n x="509"/>
        <n x="58"/>
        <n x="504"/>
      </t>
    </mdx>
    <mdx n="508" f="v">
      <t c="3" si="4">
        <n x="509"/>
        <n x="8"/>
        <n x="504"/>
      </t>
    </mdx>
    <mdx n="508" f="v">
      <t c="3" si="4">
        <n x="509"/>
        <n x="46"/>
        <n x="504"/>
      </t>
    </mdx>
    <mdx n="508" f="v">
      <t c="3" si="4">
        <n x="509"/>
        <n x="382"/>
        <n x="504"/>
      </t>
    </mdx>
    <mdx n="508" f="v">
      <t c="3" si="4">
        <n x="509"/>
        <n x="316"/>
        <n x="504"/>
      </t>
    </mdx>
    <mdx n="508" f="v">
      <t c="3" si="4">
        <n x="509"/>
        <n x="397"/>
        <n x="504"/>
      </t>
    </mdx>
    <mdx n="508" f="v">
      <t c="3" si="4">
        <n x="509"/>
        <n x="369"/>
        <n x="505"/>
      </t>
    </mdx>
    <mdx n="508" f="v">
      <t c="3" si="4">
        <n x="509"/>
        <n x="262"/>
        <n x="505"/>
      </t>
    </mdx>
    <mdx n="508" f="v">
      <t c="3" si="4">
        <n x="509"/>
        <n x="187"/>
        <n x="506"/>
      </t>
    </mdx>
    <mdx n="508" f="v">
      <t c="3" si="4">
        <n x="509"/>
        <n x="205"/>
        <n x="506"/>
      </t>
    </mdx>
    <mdx n="508" f="v">
      <t c="3" si="4">
        <n x="509"/>
        <n x="309"/>
        <n x="503"/>
      </t>
    </mdx>
    <mdx n="508" f="v">
      <t c="3" si="4">
        <n x="509"/>
        <n x="106"/>
        <n x="503"/>
      </t>
    </mdx>
    <mdx n="508" f="v">
      <t c="3" si="4">
        <n x="509"/>
        <n x="340"/>
        <n x="503"/>
      </t>
    </mdx>
    <mdx n="508" f="v">
      <t c="3" si="4">
        <n x="509"/>
        <n x="352"/>
        <n x="503"/>
      </t>
    </mdx>
    <mdx n="508" f="v">
      <t c="3" si="4">
        <n x="509"/>
        <n x="169"/>
        <n x="503"/>
      </t>
    </mdx>
    <mdx n="508" f="v">
      <t c="3" si="4">
        <n x="509"/>
        <n x="395"/>
        <n x="504"/>
      </t>
    </mdx>
    <mdx n="508" f="v">
      <t c="3" si="4">
        <n x="509"/>
        <n x="42"/>
        <n x="504"/>
      </t>
    </mdx>
    <mdx n="508" f="v">
      <t c="3" si="4">
        <n x="509"/>
        <n x="59"/>
        <n x="504"/>
      </t>
    </mdx>
    <mdx n="508" f="v">
      <t c="3" si="4">
        <n x="509"/>
        <n x="102"/>
        <n x="504"/>
      </t>
    </mdx>
    <mdx n="508" f="v">
      <t c="3" si="4">
        <n x="509"/>
        <n x="85"/>
        <n x="504"/>
      </t>
    </mdx>
    <mdx n="508" f="v">
      <t c="3" si="4">
        <n x="509"/>
        <n x="365"/>
        <n x="504"/>
      </t>
    </mdx>
    <mdx n="508" f="v">
      <t c="3" si="4">
        <n x="509"/>
        <n x="146"/>
        <n x="505"/>
      </t>
    </mdx>
    <mdx n="508" f="v">
      <t c="3" si="4">
        <n x="509"/>
        <n x="322"/>
        <n x="505"/>
      </t>
    </mdx>
    <mdx n="508" f="v">
      <t c="3" si="4">
        <n x="509"/>
        <n x="357"/>
        <n x="505"/>
      </t>
    </mdx>
    <mdx n="508" f="v">
      <t c="3" si="4">
        <n x="509"/>
        <n x="127"/>
        <n x="506"/>
      </t>
    </mdx>
    <mdx n="508" f="v">
      <t c="3" si="4">
        <n x="509"/>
        <n x="100"/>
        <n x="507"/>
      </t>
    </mdx>
    <mdx n="508" f="v">
      <t c="3" si="4">
        <n x="509"/>
        <n x="455"/>
        <n x="503"/>
      </t>
    </mdx>
    <mdx n="508" f="v">
      <t c="3" si="4">
        <n x="509"/>
        <n x="78"/>
        <n x="503"/>
      </t>
    </mdx>
    <mdx n="508" f="v">
      <t c="3" si="4">
        <n x="509"/>
        <n x="236"/>
        <n x="503"/>
      </t>
    </mdx>
    <mdx n="508" f="v">
      <t c="3" si="4">
        <n x="509"/>
        <n x="39"/>
        <n x="503"/>
      </t>
    </mdx>
    <mdx n="508" f="v">
      <t c="3" si="4">
        <n x="509"/>
        <n x="259"/>
        <n x="503"/>
      </t>
    </mdx>
    <mdx n="508" f="v">
      <t c="3" si="4">
        <n x="509"/>
        <n x="450"/>
        <n x="504"/>
      </t>
    </mdx>
    <mdx n="508" f="v">
      <t c="3" si="4">
        <n x="509"/>
        <n x="119"/>
        <n x="504"/>
      </t>
    </mdx>
    <mdx n="508" f="v">
      <t c="3" si="4">
        <n x="509"/>
        <n x="69"/>
        <n x="504"/>
      </t>
    </mdx>
    <mdx n="508" f="v">
      <t c="3" si="4">
        <n x="509"/>
        <n x="284"/>
        <n x="504"/>
      </t>
    </mdx>
    <mdx n="508" f="v">
      <t c="3" si="4">
        <n x="509"/>
        <n x="405"/>
        <n x="504"/>
      </t>
    </mdx>
    <mdx n="508" f="v">
      <t c="3" si="4">
        <n x="509"/>
        <n x="415"/>
        <n x="504"/>
      </t>
    </mdx>
    <mdx n="508" f="v">
      <t c="3" si="4">
        <n x="509"/>
        <n x="382"/>
        <n x="505"/>
      </t>
    </mdx>
    <mdx n="508" f="v">
      <t c="3" si="4">
        <n x="509"/>
        <n x="62"/>
        <n x="505"/>
      </t>
    </mdx>
    <mdx n="508" f="v">
      <t c="3" si="4">
        <n x="509"/>
        <n x="310"/>
        <n x="505"/>
      </t>
    </mdx>
    <mdx n="508" f="v">
      <t c="3" si="4">
        <n x="509"/>
        <n x="261"/>
        <n x="506"/>
      </t>
    </mdx>
    <mdx n="508" f="v">
      <t c="3" si="4">
        <n x="509"/>
        <n x="264"/>
        <n x="504"/>
      </t>
    </mdx>
    <mdx n="508" f="v">
      <t c="3" si="4">
        <n x="509"/>
        <n x="447"/>
        <n x="504"/>
      </t>
    </mdx>
    <mdx n="508" f="v">
      <t c="3" si="4">
        <n x="509"/>
        <n x="10"/>
        <n x="504"/>
      </t>
    </mdx>
    <mdx n="508" f="v">
      <t c="3" si="4">
        <n x="509"/>
        <n x="185"/>
        <n x="504"/>
      </t>
    </mdx>
    <mdx n="508" f="v">
      <t c="3" si="4">
        <n x="509"/>
        <n x="3"/>
        <n x="504"/>
      </t>
    </mdx>
    <mdx n="508" f="v">
      <t c="3" si="4">
        <n x="509"/>
        <n x="301"/>
        <n x="505"/>
      </t>
    </mdx>
    <mdx n="508" f="v">
      <t c="3" si="4">
        <n x="509"/>
        <n x="442"/>
        <n x="505"/>
      </t>
    </mdx>
    <mdx n="508" f="v">
      <t c="3" si="4">
        <n x="509"/>
        <n x="181"/>
        <n x="505"/>
      </t>
    </mdx>
    <mdx n="508" f="v">
      <t c="3" si="4">
        <n x="509"/>
        <n x="175"/>
        <n x="505"/>
      </t>
    </mdx>
    <mdx n="508" f="v">
      <t c="3" si="4">
        <n x="509"/>
        <n x="325"/>
        <n x="505"/>
      </t>
    </mdx>
    <mdx n="508" f="v">
      <t c="3" si="4">
        <n x="509"/>
        <n x="100"/>
        <n x="505"/>
      </t>
    </mdx>
    <mdx n="508" f="v">
      <t c="3" si="4">
        <n x="509"/>
        <n x="258"/>
        <n x="506"/>
      </t>
    </mdx>
    <mdx n="508" f="v">
      <t c="3" si="4">
        <n x="509"/>
        <n x="233"/>
        <n x="506"/>
      </t>
    </mdx>
    <mdx n="508" f="v">
      <t c="3" si="4">
        <n x="509"/>
        <n x="373"/>
        <n x="506"/>
      </t>
    </mdx>
    <mdx n="508" f="v">
      <t c="3" si="4">
        <n x="509"/>
        <n x="432"/>
        <n x="506"/>
      </t>
    </mdx>
    <mdx n="508" f="v">
      <t c="3" si="4">
        <n x="509"/>
        <n x="157"/>
        <n x="507"/>
      </t>
    </mdx>
    <mdx n="508" f="v">
      <t c="3" si="4">
        <n x="509"/>
        <n x="136"/>
        <n x="504"/>
      </t>
    </mdx>
    <mdx n="508" f="v">
      <t c="3" si="4">
        <n x="509"/>
        <n x="310"/>
        <n x="504"/>
      </t>
    </mdx>
    <mdx n="508" f="v">
      <t c="3" si="4">
        <n x="509"/>
        <n x="377"/>
        <n x="505"/>
      </t>
    </mdx>
    <mdx n="508" f="v">
      <t c="3" si="4">
        <n x="509"/>
        <n x="283"/>
        <n x="505"/>
      </t>
    </mdx>
    <mdx n="508" f="v">
      <t c="3" si="4">
        <n x="509"/>
        <n x="282"/>
        <n x="505"/>
      </t>
    </mdx>
    <mdx n="508" f="v">
      <t c="3" si="4">
        <n x="509"/>
        <n x="276"/>
        <n x="505"/>
      </t>
    </mdx>
    <mdx n="508" f="v">
      <t c="3" si="4">
        <n x="509"/>
        <n x="26"/>
        <n x="505"/>
      </t>
    </mdx>
    <mdx n="508" f="v">
      <t c="3" si="4">
        <n x="509"/>
        <n x="228"/>
        <n x="505"/>
      </t>
    </mdx>
    <mdx n="508" f="v">
      <t c="3" si="4">
        <n x="509"/>
        <n x="171"/>
        <n x="506"/>
      </t>
    </mdx>
    <mdx n="508" f="v">
      <t c="3" si="4">
        <n x="509"/>
        <n x="256"/>
        <n x="506"/>
      </t>
    </mdx>
    <mdx n="508" f="v">
      <t c="3" si="4">
        <n x="509"/>
        <n x="113"/>
        <n x="506"/>
      </t>
    </mdx>
    <mdx n="508" f="v">
      <t c="3" si="4">
        <n x="509"/>
        <n x="297"/>
        <n x="506"/>
      </t>
    </mdx>
    <mdx n="508" f="v">
      <t c="3" si="4">
        <n x="509"/>
        <n x="220"/>
        <n x="507"/>
      </t>
    </mdx>
    <mdx n="508" f="v">
      <t c="3" si="4">
        <n x="509"/>
        <n x="165"/>
        <n x="504"/>
      </t>
    </mdx>
    <mdx n="508" f="v">
      <t c="3" si="4">
        <n x="509"/>
        <n x="198"/>
        <n x="504"/>
      </t>
    </mdx>
    <mdx n="508" f="v">
      <t c="3" si="4">
        <n x="509"/>
        <n x="324"/>
        <n x="504"/>
      </t>
    </mdx>
    <mdx n="508" f="v">
      <t c="3" si="4">
        <n x="509"/>
        <n x="329"/>
        <n x="504"/>
      </t>
    </mdx>
    <mdx n="508" f="v">
      <t c="3" si="4">
        <n x="509"/>
        <n x="375"/>
        <n x="504"/>
      </t>
    </mdx>
    <mdx n="508" f="v">
      <t c="3" si="4">
        <n x="509"/>
        <n x="309"/>
        <n x="505"/>
      </t>
    </mdx>
    <mdx n="508" f="v">
      <t c="3" si="4">
        <n x="509"/>
        <n x="281"/>
        <n x="505"/>
      </t>
    </mdx>
    <mdx n="508" f="v">
      <t c="3" si="4">
        <n x="509"/>
        <n x="194"/>
        <n x="505"/>
      </t>
    </mdx>
    <mdx n="508" f="v">
      <t c="3" si="4">
        <n x="509"/>
        <n x="275"/>
        <n x="505"/>
      </t>
    </mdx>
    <mdx n="508" f="v">
      <t c="3" si="4">
        <n x="509"/>
        <n x="405"/>
        <n x="505"/>
      </t>
    </mdx>
    <mdx n="508" f="v">
      <t c="3" si="4">
        <n x="509"/>
        <n x="118"/>
        <n x="505"/>
      </t>
    </mdx>
    <mdx n="508" f="v">
      <t c="3" si="4">
        <n x="509"/>
        <n x="168"/>
        <n x="506"/>
      </t>
    </mdx>
    <mdx n="508" f="v">
      <t c="3" si="4">
        <n x="509"/>
        <n x="410"/>
        <n x="506"/>
      </t>
    </mdx>
    <mdx n="508" f="v">
      <t c="3" si="4">
        <n x="509"/>
        <n x="109"/>
        <n x="506"/>
      </t>
    </mdx>
    <mdx n="508" f="v">
      <t c="3" si="4">
        <n x="509"/>
        <n x="67"/>
        <n x="506"/>
      </t>
    </mdx>
    <mdx n="508" f="v">
      <t c="3" si="4">
        <n x="509"/>
        <n x="87"/>
        <n x="507"/>
      </t>
    </mdx>
    <mdx n="508" f="v">
      <t c="3" si="4">
        <n x="509"/>
        <n x="314"/>
        <n x="505"/>
      </t>
    </mdx>
    <mdx n="508" f="v">
      <t c="3" si="4">
        <n x="509"/>
        <n x="313"/>
        <n x="505"/>
      </t>
    </mdx>
    <mdx n="508" f="v">
      <t c="3" si="4">
        <n x="509"/>
        <n x="85"/>
        <n x="505"/>
      </t>
    </mdx>
    <mdx n="508" f="v">
      <t c="3" si="4">
        <n x="509"/>
        <n x="57"/>
        <n x="505"/>
      </t>
    </mdx>
    <mdx n="508" f="v">
      <t c="3" si="4">
        <n x="509"/>
        <n x="103"/>
        <n x="505"/>
      </t>
    </mdx>
    <mdx n="508" f="v">
      <t c="3" si="4">
        <n x="509"/>
        <n x="242"/>
        <n x="506"/>
      </t>
    </mdx>
    <mdx n="508" f="v">
      <t c="3" si="4">
        <n x="509"/>
        <n x="72"/>
        <n x="506"/>
      </t>
    </mdx>
    <mdx n="508" f="v">
      <t c="3" si="4">
        <n x="509"/>
        <n x="57"/>
        <n x="506"/>
      </t>
    </mdx>
    <mdx n="508" f="v">
      <t c="3" si="4">
        <n x="509"/>
        <n x="315"/>
        <n x="507"/>
      </t>
    </mdx>
    <mdx n="508" f="v">
      <t c="3" si="4">
        <n x="509"/>
        <n x="308"/>
        <n x="507"/>
      </t>
    </mdx>
    <mdx n="508" f="v">
      <t c="3" si="4">
        <n x="509"/>
        <n x="254"/>
        <n x="504"/>
      </t>
    </mdx>
    <mdx n="508" f="v">
      <t c="3" si="4">
        <n x="509"/>
        <n x="164"/>
        <n x="505"/>
      </t>
    </mdx>
    <mdx n="508" f="v">
      <t c="3" si="4">
        <n x="509"/>
        <n x="182"/>
        <n x="505"/>
      </t>
    </mdx>
    <mdx n="508" f="v">
      <t c="3" si="4">
        <n x="509"/>
        <n x="46"/>
        <n x="505"/>
      </t>
    </mdx>
    <mdx n="508" f="v">
      <t c="3" si="4">
        <n x="509"/>
        <n x="174"/>
        <n x="505"/>
      </t>
    </mdx>
    <mdx n="508" f="v">
      <t c="3" si="4">
        <n x="509"/>
        <n x="427"/>
        <n x="505"/>
      </t>
    </mdx>
    <mdx n="508" f="v">
      <t c="3" si="4">
        <n x="509"/>
        <n x="108"/>
        <n x="505"/>
      </t>
    </mdx>
    <mdx n="508" f="v">
      <t c="3" si="4">
        <n x="509"/>
        <n x="65"/>
        <n x="505"/>
      </t>
    </mdx>
    <mdx n="508" f="v">
      <t c="3" si="4">
        <n x="509"/>
        <n x="232"/>
        <n x="506"/>
      </t>
    </mdx>
    <mdx n="508" f="v">
      <t c="3" si="4">
        <n x="509"/>
        <n x="311"/>
        <n x="506"/>
      </t>
    </mdx>
    <mdx n="508" f="v">
      <t c="3" si="4">
        <n x="509"/>
        <n x="65"/>
        <n x="506"/>
      </t>
    </mdx>
    <mdx n="508" f="v">
      <t c="3" si="4">
        <n x="509"/>
        <n x="253"/>
        <n x="506"/>
      </t>
    </mdx>
    <mdx n="508" f="v">
      <t c="3" si="4">
        <n x="509"/>
        <n x="165"/>
        <n x="507"/>
      </t>
    </mdx>
    <mdx n="508" f="v">
      <t c="3" si="4">
        <n x="509"/>
        <n x="39"/>
        <n x="507"/>
      </t>
    </mdx>
    <mdx n="508" f="v">
      <t c="3" si="4">
        <n x="509"/>
        <n x="460"/>
        <n x="507"/>
      </t>
    </mdx>
    <mdx n="508" f="v">
      <t c="3" si="4">
        <n x="509"/>
        <n x="56"/>
        <n x="507"/>
      </t>
    </mdx>
    <mdx n="508" f="v">
      <t c="3" si="4">
        <n x="509"/>
        <n x="57"/>
        <n x="507"/>
      </t>
    </mdx>
    <mdx n="508" f="v">
      <t c="3" si="4">
        <n x="509"/>
        <n x="456"/>
        <n x="507"/>
      </t>
    </mdx>
    <mdx n="508" f="v">
      <t c="3" si="4">
        <n x="509"/>
        <n x="339"/>
        <n x="507"/>
      </t>
    </mdx>
    <mdx n="508" f="v">
      <t c="3" si="4">
        <n x="509"/>
        <n x="156"/>
        <n x="507"/>
      </t>
    </mdx>
    <mdx n="508" f="v">
      <t c="3" si="4">
        <n x="509"/>
        <n x="170"/>
        <n x="507"/>
      </t>
    </mdx>
    <mdx n="508" f="v">
      <t c="3" si="4">
        <n x="509"/>
        <n x="123"/>
        <n x="507"/>
      </t>
    </mdx>
    <mdx n="508" f="v">
      <t c="3" si="4">
        <n x="509"/>
        <n x="48"/>
        <n x="507"/>
      </t>
    </mdx>
    <mdx n="508" f="v">
      <t c="3" si="4">
        <n x="509"/>
        <n x="80"/>
        <n x="507"/>
      </t>
    </mdx>
    <mdx n="508" f="v">
      <t c="3" si="4">
        <n x="509"/>
        <n x="420"/>
        <n x="505"/>
      </t>
    </mdx>
    <mdx n="508" f="v">
      <t c="3" si="4">
        <n x="509"/>
        <n x="158"/>
        <n x="506"/>
      </t>
    </mdx>
    <mdx n="508" f="v">
      <t c="3" si="4">
        <n x="509"/>
        <n x="42"/>
        <n x="506"/>
      </t>
    </mdx>
    <mdx n="508" f="v">
      <t c="3" si="4">
        <n x="509"/>
        <n x="336"/>
        <n x="506"/>
      </t>
    </mdx>
    <mdx n="508" f="v">
      <t c="3" si="4">
        <n x="509"/>
        <n x="17"/>
        <n x="506"/>
      </t>
    </mdx>
    <mdx n="508" f="v">
      <t c="3" si="4">
        <n x="509"/>
        <n x="218"/>
        <n x="506"/>
      </t>
    </mdx>
    <mdx n="508" f="v">
      <t c="3" si="4">
        <n x="509"/>
        <n x="216"/>
        <n x="506"/>
      </t>
    </mdx>
    <mdx n="508" f="v">
      <t c="3" si="4">
        <n x="509"/>
        <n x="191"/>
        <n x="506"/>
      </t>
    </mdx>
    <mdx n="508" f="v">
      <t c="3" si="4">
        <n x="509"/>
        <n x="370"/>
        <n x="507"/>
      </t>
    </mdx>
    <mdx n="508" f="v">
      <t c="3" si="4">
        <n x="509"/>
        <n x="167"/>
        <n x="507"/>
      </t>
    </mdx>
    <mdx n="508" f="v">
      <t c="3" si="4">
        <n x="509"/>
        <n x="231"/>
        <n x="507"/>
      </t>
    </mdx>
    <mdx n="508" f="v">
      <t c="3" si="4">
        <n x="509"/>
        <n x="29"/>
        <n x="507"/>
      </t>
    </mdx>
    <mdx n="508" f="v">
      <t c="3" si="4">
        <n x="509"/>
        <n x="411"/>
        <n x="507"/>
      </t>
    </mdx>
    <mdx n="508" f="v">
      <t c="3" si="4">
        <n x="509"/>
        <n x="316"/>
        <n x="507"/>
      </t>
    </mdx>
    <mdx n="508" f="v">
      <t c="3" si="4">
        <n x="509"/>
        <n x="254"/>
        <n x="507"/>
      </t>
    </mdx>
    <mdx n="508" f="v">
      <t c="3" si="4">
        <n x="509"/>
        <n x="254"/>
        <n x="505"/>
      </t>
    </mdx>
    <mdx n="508" f="v">
      <t c="3" si="4">
        <n x="509"/>
        <n x="30"/>
        <n x="506"/>
      </t>
    </mdx>
    <mdx n="508" f="v">
      <t c="3" si="4">
        <n x="509"/>
        <n x="20"/>
        <n x="506"/>
      </t>
    </mdx>
    <mdx n="508" f="v">
      <t c="3" si="4">
        <n x="509"/>
        <n x="428"/>
        <n x="506"/>
      </t>
    </mdx>
    <mdx n="508" f="v">
      <t c="3" si="4">
        <n x="509"/>
        <n x="443"/>
        <n x="507"/>
      </t>
    </mdx>
    <mdx n="508" f="v">
      <t c="3" si="4">
        <n x="509"/>
        <n x="257"/>
        <n x="507"/>
      </t>
    </mdx>
    <mdx n="508" f="v">
      <t c="3" si="4">
        <n x="509"/>
        <n x="314"/>
        <n x="507"/>
      </t>
    </mdx>
    <mdx n="508" f="v">
      <t c="3" si="4">
        <n x="509"/>
        <n x="464"/>
        <n x="507"/>
      </t>
    </mdx>
    <mdx n="508" f="v">
      <t c="3" si="4">
        <n x="509"/>
        <n x="237"/>
        <n x="507"/>
      </t>
    </mdx>
    <mdx n="508" f="v">
      <t c="3" si="4">
        <n x="509"/>
        <n x="277"/>
        <n x="506"/>
      </t>
    </mdx>
    <mdx n="508" f="v">
      <t c="3" si="4">
        <n x="509"/>
        <n x="375"/>
        <n x="505"/>
      </t>
    </mdx>
    <mdx n="508" f="v">
      <t c="3" si="4">
        <n x="509"/>
        <n x="284"/>
        <n x="507"/>
      </t>
    </mdx>
    <mdx n="508" f="v">
      <t c="3" si="4">
        <n x="509"/>
        <n x="285"/>
        <n x="507"/>
      </t>
    </mdx>
    <mdx n="508" f="v">
      <t c="3" si="4">
        <n x="509"/>
        <n x="71"/>
        <n x="507"/>
      </t>
    </mdx>
    <mdx n="508" f="v">
      <t c="3" si="4">
        <n x="509"/>
        <n x="191"/>
        <n x="499"/>
      </t>
    </mdx>
    <mdx n="508" f="v">
      <t c="3" si="4">
        <n x="509"/>
        <n x="422"/>
        <n x="500"/>
      </t>
    </mdx>
    <mdx n="508" f="v">
      <t c="3" si="4">
        <n x="509"/>
        <n x="268"/>
        <n x="501"/>
      </t>
    </mdx>
    <mdx n="508" f="v">
      <t c="3" si="4">
        <n x="509"/>
        <n x="162"/>
        <n x="501"/>
      </t>
    </mdx>
    <mdx n="508" f="v">
      <t c="3" si="4">
        <n x="509"/>
        <n x="260"/>
        <n x="504"/>
      </t>
    </mdx>
    <mdx n="508" f="v">
      <t c="3" si="4">
        <n x="509"/>
        <n x="3"/>
        <n x="501"/>
      </t>
    </mdx>
    <mdx n="508" f="v">
      <t c="3" si="4">
        <n x="509"/>
        <n x="394"/>
        <n x="502"/>
      </t>
    </mdx>
    <mdx n="508" f="v">
      <t c="3" si="4">
        <n x="509"/>
        <n x="358"/>
        <n x="503"/>
      </t>
    </mdx>
    <mdx n="508" f="v">
      <t c="3" si="4">
        <n x="509"/>
        <n x="157"/>
        <n x="504"/>
      </t>
    </mdx>
    <mdx n="508" f="v">
      <t c="3" si="4">
        <n x="509"/>
        <n x="28"/>
        <n x="502"/>
      </t>
    </mdx>
    <mdx n="508" f="v">
      <t c="3" si="4">
        <n x="509"/>
        <n x="70"/>
        <n x="502"/>
      </t>
    </mdx>
    <mdx n="508" f="v">
      <t c="3" si="4">
        <n x="509"/>
        <n x="345"/>
        <n x="503"/>
      </t>
    </mdx>
    <mdx n="508" f="v">
      <t c="3" si="4">
        <n x="509"/>
        <n x="153"/>
        <n x="504"/>
      </t>
    </mdx>
    <mdx n="508" f="v">
      <t c="3" si="4">
        <n x="509"/>
        <n x="451"/>
        <n x="506"/>
      </t>
    </mdx>
    <mdx n="508" f="v">
      <t c="3" si="4">
        <n x="509"/>
        <n x="430"/>
        <n x="502"/>
      </t>
    </mdx>
    <mdx n="508" f="v">
      <t c="3" si="4">
        <n x="509"/>
        <n x="455"/>
        <n x="502"/>
      </t>
    </mdx>
    <mdx n="508" f="v">
      <t c="3" si="4">
        <n x="509"/>
        <n x="320"/>
        <n x="502"/>
      </t>
    </mdx>
    <mdx n="508" f="v">
      <t c="3" si="4">
        <n x="509"/>
        <n x="120"/>
        <n x="503"/>
      </t>
    </mdx>
    <mdx n="508" f="v">
      <t c="3" si="4">
        <n x="509"/>
        <n x="372"/>
        <n x="504"/>
      </t>
    </mdx>
    <mdx n="508" f="v">
      <t c="3" si="4">
        <n x="509"/>
        <n x="87"/>
        <n x="506"/>
      </t>
    </mdx>
    <mdx n="508" f="v">
      <t c="3" si="4">
        <n x="509"/>
        <n x="319"/>
        <n x="501"/>
      </t>
    </mdx>
    <mdx n="508" f="v">
      <t c="3" si="4">
        <n x="509"/>
        <n x="246"/>
        <n x="502"/>
      </t>
    </mdx>
    <mdx n="508" f="v">
      <t c="3" si="4">
        <n x="509"/>
        <n x="453"/>
        <n x="502"/>
      </t>
    </mdx>
    <mdx n="508" f="v">
      <t c="3" si="4">
        <n x="509"/>
        <n x="302"/>
        <n x="502"/>
      </t>
    </mdx>
    <mdx n="508" f="v">
      <t c="3" si="4">
        <n x="509"/>
        <n x="202"/>
        <n x="503"/>
      </t>
    </mdx>
    <mdx n="508" f="v">
      <t c="3" si="4">
        <n x="509"/>
        <n x="293"/>
        <n x="504"/>
      </t>
    </mdx>
    <mdx n="508" f="v">
      <t c="3" si="4">
        <n x="509"/>
        <n x="16"/>
        <n x="504"/>
      </t>
    </mdx>
    <mdx n="508" f="v">
      <t c="3" si="4">
        <n x="509"/>
        <n x="309"/>
        <n x="502"/>
      </t>
    </mdx>
    <mdx n="508" f="v">
      <t c="3" si="4">
        <n x="509"/>
        <n x="87"/>
        <n x="502"/>
      </t>
    </mdx>
    <mdx n="508" f="v">
      <t c="3" si="4">
        <n x="509"/>
        <n x="422"/>
        <n x="502"/>
      </t>
    </mdx>
    <mdx n="508" f="v">
      <t c="3" si="4">
        <n x="509"/>
        <n x="183"/>
        <n x="502"/>
      </t>
    </mdx>
    <mdx n="508" f="v">
      <t c="3" si="4">
        <n x="509"/>
        <n x="212"/>
        <n x="503"/>
      </t>
    </mdx>
    <mdx n="508" f="v">
      <t c="3" si="4">
        <n x="509"/>
        <n x="390"/>
        <n x="503"/>
      </t>
    </mdx>
    <mdx n="508" f="v">
      <t c="3" si="4">
        <n x="509"/>
        <n x="9"/>
        <n x="503"/>
      </t>
    </mdx>
    <mdx n="508" f="v">
      <t c="3" si="4">
        <n x="509"/>
        <n x="377"/>
        <n x="504"/>
      </t>
    </mdx>
    <mdx n="508" f="v">
      <t c="3" si="4">
        <n x="509"/>
        <n x="123"/>
        <n x="504"/>
      </t>
    </mdx>
    <mdx n="508" f="v">
      <t c="3" si="4">
        <n x="509"/>
        <n x="328"/>
        <n x="506"/>
      </t>
    </mdx>
    <mdx n="508" f="v">
      <t c="3" si="4">
        <n x="509"/>
        <n x="145"/>
        <n x="502"/>
      </t>
    </mdx>
    <mdx n="508" f="v">
      <t c="3" si="4">
        <n x="509"/>
        <n x="25"/>
        <n x="502"/>
      </t>
    </mdx>
    <mdx n="508" f="v">
      <t c="3" si="4">
        <n x="509"/>
        <n x="27"/>
        <n x="502"/>
      </t>
    </mdx>
    <mdx n="508" f="v">
      <t c="3" si="4">
        <n x="509"/>
        <n x="289"/>
        <n x="502"/>
      </t>
    </mdx>
    <mdx n="508" f="v">
      <t c="3" si="4">
        <n x="509"/>
        <n x="16"/>
        <n x="502"/>
      </t>
    </mdx>
    <mdx n="508" f="v">
      <t c="3" si="4">
        <n x="509"/>
        <n x="194"/>
        <n x="503"/>
      </t>
    </mdx>
    <mdx n="508" f="v">
      <t c="3" si="4">
        <n x="509"/>
        <n x="366"/>
        <n x="503"/>
      </t>
    </mdx>
    <mdx n="508" f="v">
      <t c="3" si="4">
        <n x="509"/>
        <n x="307"/>
        <n x="503"/>
      </t>
    </mdx>
    <mdx n="508" f="v">
      <t c="3" si="4">
        <n x="509"/>
        <n x="348"/>
        <n x="504"/>
      </t>
    </mdx>
    <mdx n="508" f="v">
      <t c="3" si="4">
        <n x="509"/>
        <n x="95"/>
        <n x="505"/>
      </t>
    </mdx>
    <mdx n="508" f="v">
      <t c="3" si="4">
        <n x="509"/>
        <n x="24"/>
        <n x="503"/>
      </t>
    </mdx>
    <mdx n="508" f="v">
      <t c="3" si="4">
        <n x="509"/>
        <n x="244"/>
        <n x="503"/>
      </t>
    </mdx>
    <mdx n="508" f="v">
      <t c="3" si="4">
        <n x="509"/>
        <n x="123"/>
        <n x="503"/>
      </t>
    </mdx>
    <mdx n="508" f="v">
      <t c="3" si="4">
        <n x="509"/>
        <n x="187"/>
        <n x="504"/>
      </t>
    </mdx>
    <mdx n="508" f="v">
      <t c="3" si="4">
        <n x="509"/>
        <n x="109"/>
        <n x="504"/>
      </t>
    </mdx>
    <mdx n="508" f="v">
      <t c="3" si="4">
        <n x="509"/>
        <n x="43"/>
        <n x="506"/>
      </t>
    </mdx>
    <mdx n="508" f="v">
      <t c="3" si="4">
        <n x="509"/>
        <n x="145"/>
        <n x="505"/>
      </t>
    </mdx>
    <mdx n="508" f="v">
      <t c="3" si="4">
        <n x="509"/>
        <n x="93"/>
        <n x="505"/>
      </t>
    </mdx>
    <mdx n="508" f="v">
      <t c="3" si="4">
        <n x="509"/>
        <n x="366"/>
        <n x="505"/>
      </t>
    </mdx>
    <mdx n="508" f="v">
      <t c="3" si="4">
        <n x="509"/>
        <n x="241"/>
        <n x="506"/>
      </t>
    </mdx>
    <mdx n="508" f="v">
      <t c="3" si="4">
        <n x="509"/>
        <n x="350"/>
        <n x="507"/>
      </t>
    </mdx>
    <mdx n="508" f="v">
      <t c="3" si="4">
        <n x="509"/>
        <n x="363"/>
        <n x="502"/>
      </t>
    </mdx>
    <mdx n="508" f="v">
      <t c="3" si="4">
        <n x="509"/>
        <n x="259"/>
        <n x="502"/>
      </t>
    </mdx>
    <mdx n="508" f="v">
      <t c="3" si="4">
        <n x="509"/>
        <n x="84"/>
        <n x="503"/>
      </t>
    </mdx>
    <mdx n="508" f="v">
      <t c="3" si="4">
        <n x="509"/>
        <n x="453"/>
        <n x="503"/>
      </t>
    </mdx>
    <mdx n="508" f="v">
      <t c="3" si="4">
        <n x="509"/>
        <n x="285"/>
        <n x="503"/>
      </t>
    </mdx>
    <mdx n="508" f="v">
      <t c="3" si="4">
        <n x="509"/>
        <n x="380"/>
        <n x="503"/>
      </t>
    </mdx>
    <mdx n="508" f="v">
      <t c="3" si="4">
        <n x="509"/>
        <n x="136"/>
        <n x="503"/>
      </t>
    </mdx>
    <mdx n="508" f="v">
      <t c="3" si="4">
        <n x="509"/>
        <n x="172"/>
        <n x="503"/>
      </t>
    </mdx>
    <mdx n="508" f="v">
      <t c="3" si="4">
        <n x="509"/>
        <n x="424"/>
        <n x="503"/>
      </t>
    </mdx>
    <mdx n="508" f="v">
      <t c="3" si="4">
        <n x="509"/>
        <n x="296"/>
        <n x="504"/>
      </t>
    </mdx>
    <mdx n="508" f="v">
      <t c="3" si="4">
        <n x="509"/>
        <n x="245"/>
        <n x="504"/>
      </t>
    </mdx>
    <mdx n="508" f="v">
      <t c="3" si="4">
        <n x="509"/>
        <n x="418"/>
        <n x="504"/>
      </t>
    </mdx>
    <mdx n="508" f="v">
      <t c="3" si="4">
        <n x="509"/>
        <n x="98"/>
        <n x="504"/>
      </t>
    </mdx>
    <mdx n="508" f="v">
      <t c="3" si="4">
        <n x="509"/>
        <n x="7"/>
        <n x="504"/>
      </t>
    </mdx>
    <mdx n="508" f="v">
      <t c="3" si="4">
        <n x="509"/>
        <n x="271"/>
        <n x="504"/>
      </t>
    </mdx>
    <mdx n="508" f="v">
      <t c="3" si="4">
        <n x="509"/>
        <n x="245"/>
        <n x="505"/>
      </t>
    </mdx>
    <mdx n="508" f="v">
      <t c="3" si="4">
        <n x="509"/>
        <n x="213"/>
        <n x="505"/>
      </t>
    </mdx>
    <mdx n="508" f="v">
      <t c="3" si="4">
        <n x="509"/>
        <n x="415"/>
        <n x="505"/>
      </t>
    </mdx>
    <mdx n="508" f="v">
      <t c="3" si="4">
        <n x="509"/>
        <n x="85"/>
        <n x="506"/>
      </t>
    </mdx>
    <mdx n="508" f="v">
      <t c="3" si="4">
        <n x="509"/>
        <n x="97"/>
        <n x="502"/>
      </t>
    </mdx>
    <mdx n="508" f="v">
      <t c="3" si="4">
        <n x="509"/>
        <n x="266"/>
        <n x="502"/>
      </t>
    </mdx>
    <mdx n="508" f="v">
      <t c="3" si="4">
        <n x="509"/>
        <n x="257"/>
        <n x="503"/>
      </t>
    </mdx>
    <mdx n="508" f="v">
      <t c="3" si="4">
        <n x="509"/>
        <n x="58"/>
        <n x="503"/>
      </t>
    </mdx>
    <mdx n="508" f="v">
      <t c="3" si="4">
        <n x="509"/>
        <n x="335"/>
        <n x="503"/>
      </t>
    </mdx>
    <mdx n="508" f="v">
      <t c="3" si="4">
        <n x="509"/>
        <n x="275"/>
        <n x="503"/>
      </t>
    </mdx>
    <mdx n="508" f="v">
      <t c="3" si="4">
        <n x="509"/>
        <n x="155"/>
        <n x="503"/>
      </t>
    </mdx>
    <mdx n="508" f="v">
      <t c="3" si="4">
        <n x="509"/>
        <n x="443"/>
        <n x="503"/>
      </t>
    </mdx>
    <mdx n="508" f="v">
      <t c="3" si="4">
        <n x="509"/>
        <n x="223"/>
        <n x="503"/>
      </t>
    </mdx>
    <mdx n="508" f="v">
      <t c="3" si="4">
        <n x="509"/>
        <n x="378"/>
        <n x="503"/>
      </t>
    </mdx>
    <mdx n="508" f="v">
      <t c="3" si="4">
        <n x="509"/>
        <n x="145"/>
        <n x="504"/>
      </t>
    </mdx>
    <mdx n="508" f="v">
      <t c="3" si="4">
        <n x="509"/>
        <n x="225"/>
        <n x="504"/>
      </t>
    </mdx>
    <mdx n="508" f="v">
      <t c="3" si="4">
        <n x="509"/>
        <n x="453"/>
        <n x="504"/>
      </t>
    </mdx>
    <mdx n="508" f="v">
      <t c="3" si="4">
        <n x="509"/>
        <n x="64"/>
        <n x="504"/>
      </t>
    </mdx>
    <mdx n="508" f="v">
      <t c="3" si="4">
        <n x="509"/>
        <n x="288"/>
        <n x="504"/>
      </t>
    </mdx>
    <mdx n="508" f="v">
      <t c="3" si="4">
        <n x="509"/>
        <n x="459"/>
        <n x="505"/>
      </t>
    </mdx>
    <mdx n="508" f="v">
      <t c="3" si="4">
        <n x="509"/>
        <n x="150"/>
        <n x="505"/>
      </t>
    </mdx>
    <mdx n="508" f="v">
      <t c="3" si="4">
        <n x="509"/>
        <n x="346"/>
        <n x="505"/>
      </t>
    </mdx>
    <mdx n="508" f="v">
      <t c="3" si="4">
        <n x="509"/>
        <n x="146"/>
        <n x="506"/>
      </t>
    </mdx>
    <mdx n="508" f="v">
      <t c="3" si="4">
        <n x="509"/>
        <n x="131"/>
        <n x="506"/>
      </t>
    </mdx>
    <mdx n="508" f="v">
      <t c="3" si="4">
        <n x="509"/>
        <n x="124"/>
        <n x="503"/>
      </t>
    </mdx>
    <mdx n="508" f="v">
      <t c="3" si="4">
        <n x="509"/>
        <n x="117"/>
        <n x="503"/>
      </t>
    </mdx>
    <mdx n="508" f="v">
      <t c="3" si="4">
        <n x="509"/>
        <n x="45"/>
        <n x="504"/>
      </t>
    </mdx>
    <mdx n="508" f="v">
      <t c="3" si="4">
        <n x="509"/>
        <n x="189"/>
        <n x="504"/>
      </t>
    </mdx>
    <mdx n="508" f="v">
      <t c="3" si="4">
        <n x="509"/>
        <n x="20"/>
        <n x="504"/>
      </t>
    </mdx>
    <mdx n="508" f="v">
      <t c="3" si="4">
        <n x="509"/>
        <n x="233"/>
        <n x="504"/>
      </t>
    </mdx>
    <mdx n="508" f="v">
      <t c="3" si="4">
        <n x="509"/>
        <n x="278"/>
        <n x="504"/>
      </t>
    </mdx>
    <mdx n="508" f="v">
      <t c="3" si="4">
        <n x="509"/>
        <n x="80"/>
        <n x="504"/>
      </t>
    </mdx>
    <mdx n="508" f="v">
      <t c="3" si="4">
        <n x="509"/>
        <n x="446"/>
        <n x="505"/>
      </t>
    </mdx>
    <mdx n="508" f="v">
      <t c="3" si="4">
        <n x="509"/>
        <n x="317"/>
        <n x="505"/>
      </t>
    </mdx>
    <mdx n="508" f="v">
      <t c="3" si="4">
        <n x="509"/>
        <n x="318"/>
        <n x="506"/>
      </t>
    </mdx>
    <mdx n="508" f="v">
      <t c="3" si="4">
        <n x="509"/>
        <n x="95"/>
        <n x="506"/>
      </t>
    </mdx>
    <mdx n="508" f="v">
      <t c="3" si="4">
        <n x="509"/>
        <n x="299"/>
        <n x="503"/>
      </t>
    </mdx>
    <mdx n="508" f="v">
      <t c="3" si="4">
        <n x="509"/>
        <n x="373"/>
        <n x="503"/>
      </t>
    </mdx>
    <mdx n="508" f="v">
      <t c="3" si="4">
        <n x="509"/>
        <n x="126"/>
        <n x="503"/>
      </t>
    </mdx>
    <mdx n="508" f="v">
      <t c="3" si="4">
        <n x="509"/>
        <n x="421"/>
        <n x="503"/>
      </t>
    </mdx>
    <mdx n="508" f="v">
      <t c="3" si="4">
        <n x="509"/>
        <n x="35"/>
        <n x="503"/>
      </t>
    </mdx>
    <mdx n="508" f="v">
      <t c="3" si="4">
        <n x="509"/>
        <n x="286"/>
        <n x="504"/>
      </t>
    </mdx>
    <mdx n="508" f="v">
      <t c="3" si="4">
        <n x="509"/>
        <n x="21"/>
        <n x="504"/>
      </t>
    </mdx>
    <mdx n="508" f="v">
      <t c="3" si="4">
        <n x="509"/>
        <n x="299"/>
        <n x="504"/>
      </t>
    </mdx>
    <mdx n="508" f="v">
      <t c="3" si="4">
        <n x="509"/>
        <n x="203"/>
        <n x="504"/>
      </t>
    </mdx>
    <mdx n="508" f="v">
      <t c="3" si="4">
        <n x="509"/>
        <n x="28"/>
        <n x="504"/>
      </t>
    </mdx>
    <mdx n="508" f="v">
      <t c="3" si="4">
        <n x="509"/>
        <n x="420"/>
        <n x="504"/>
      </t>
    </mdx>
    <mdx n="508" f="v">
      <t c="3" si="4">
        <n x="509"/>
        <n x="225"/>
        <n x="505"/>
      </t>
    </mdx>
    <mdx n="508" f="v">
      <t c="3" si="4">
        <n x="509"/>
        <n x="280"/>
        <n x="505"/>
      </t>
    </mdx>
    <mdx n="508" f="v">
      <t c="3" si="4">
        <n x="509"/>
        <n x="117"/>
        <n x="505"/>
      </t>
    </mdx>
    <mdx n="508" f="v">
      <t c="3" si="4">
        <n x="509"/>
        <n x="346"/>
        <n x="506"/>
      </t>
    </mdx>
    <mdx n="508" f="v">
      <t c="3" si="4">
        <n x="509"/>
        <n x="165"/>
        <n x="503"/>
      </t>
    </mdx>
    <mdx n="508" f="v">
      <t c="3" si="4">
        <n x="509"/>
        <n x="211"/>
        <n x="503"/>
      </t>
    </mdx>
    <mdx n="508" f="v">
      <t c="3" si="4">
        <n x="509"/>
        <n x="246"/>
        <n x="503"/>
      </t>
    </mdx>
    <mdx n="508" f="v">
      <t c="3" si="4">
        <n x="509"/>
        <n x="105"/>
        <n x="503"/>
      </t>
    </mdx>
    <mdx n="508" f="v">
      <t c="3" si="4">
        <n x="509"/>
        <n x="135"/>
        <n x="503"/>
      </t>
    </mdx>
    <mdx n="508" f="v">
      <t c="3" si="4">
        <n x="509"/>
        <n x="398"/>
        <n x="503"/>
      </t>
    </mdx>
    <mdx n="508" f="v">
      <t c="3" si="4">
        <n x="509"/>
        <n x="440"/>
        <n x="504"/>
      </t>
    </mdx>
    <mdx n="508" f="v">
      <t c="3" si="4">
        <n x="509"/>
        <n x="88"/>
        <n x="504"/>
      </t>
    </mdx>
    <mdx n="508" f="v">
      <t c="3" si="4">
        <n x="509"/>
        <n x="417"/>
        <n x="504"/>
      </t>
    </mdx>
    <mdx n="508" f="v">
      <t c="3" si="4">
        <n x="509"/>
        <n x="448"/>
        <n x="504"/>
      </t>
    </mdx>
    <mdx n="508" f="v">
      <t c="3" si="4">
        <n x="509"/>
        <n x="96"/>
        <n x="504"/>
      </t>
    </mdx>
    <mdx n="508" f="v">
      <t c="3" si="4">
        <n x="509"/>
        <n x="227"/>
        <n x="504"/>
      </t>
    </mdx>
    <mdx n="508" f="v">
      <t c="3" si="4">
        <n x="509"/>
        <n x="55"/>
        <n x="505"/>
      </t>
    </mdx>
    <mdx n="508" f="v">
      <t c="3" si="4">
        <n x="509"/>
        <n x="408"/>
        <n x="505"/>
      </t>
    </mdx>
    <mdx n="508" f="v">
      <t c="3" si="4">
        <n x="509"/>
        <n x="270"/>
        <n x="506"/>
      </t>
    </mdx>
    <mdx n="508" f="v">
      <t c="3" si="4">
        <n x="509"/>
        <n x="430"/>
        <n x="506"/>
      </t>
    </mdx>
    <mdx n="508" f="v">
      <t c="3" si="4">
        <n x="509"/>
        <n x="335"/>
        <n x="504"/>
      </t>
    </mdx>
    <mdx n="508" f="v">
      <t c="3" si="4">
        <n x="509"/>
        <n x="175"/>
        <n x="504"/>
      </t>
    </mdx>
    <mdx n="508" f="v">
      <t c="3" si="4">
        <n x="509"/>
        <n x="461"/>
        <n x="504"/>
      </t>
    </mdx>
    <mdx n="508" f="v">
      <t c="3" si="4">
        <n x="509"/>
        <n x="73"/>
        <n x="504"/>
      </t>
    </mdx>
    <mdx n="508" f="v">
      <t c="3" si="4">
        <n x="509"/>
        <n x="208"/>
        <n x="505"/>
      </t>
    </mdx>
    <mdx n="508" f="v">
      <t c="3" si="4">
        <n x="509"/>
        <n x="47"/>
        <n x="505"/>
      </t>
    </mdx>
    <mdx n="508" f="v">
      <t c="3" si="4">
        <n x="509"/>
        <n x="44"/>
        <n x="505"/>
      </t>
    </mdx>
    <mdx n="508" f="v">
      <t c="3" si="4">
        <n x="509"/>
        <n x="162"/>
        <n x="505"/>
      </t>
    </mdx>
    <mdx n="508" f="v">
      <t c="3" si="4">
        <n x="509"/>
        <n x="149"/>
        <n x="505"/>
      </t>
    </mdx>
    <mdx n="508" f="v">
      <t c="3" si="4">
        <n x="509"/>
        <n x="316"/>
        <n x="505"/>
      </t>
    </mdx>
    <mdx n="508" f="v">
      <t c="3" si="4">
        <n x="509"/>
        <n x="201"/>
        <n x="505"/>
      </t>
    </mdx>
    <mdx n="508" f="v">
      <t c="3" si="4">
        <n x="509"/>
        <n x="110"/>
        <n x="506"/>
      </t>
    </mdx>
    <mdx n="508" f="v">
      <t c="3" si="4">
        <n x="509"/>
        <n x="303"/>
        <n x="506"/>
      </t>
    </mdx>
    <mdx n="508" f="v">
      <t c="3" si="4">
        <n x="509"/>
        <n x="445"/>
        <n x="506"/>
      </t>
    </mdx>
    <mdx n="508" f="v">
      <t c="3" si="4">
        <n x="509"/>
        <n x="331"/>
        <n x="506"/>
      </t>
    </mdx>
    <mdx n="508" f="v">
      <t c="3" si="4">
        <n x="509"/>
        <n x="255"/>
        <n x="507"/>
      </t>
    </mdx>
    <mdx n="508" f="v">
      <t c="3" si="4">
        <n x="509"/>
        <n x="172"/>
        <n x="504"/>
      </t>
    </mdx>
    <mdx n="508" f="v">
      <t c="3" si="4">
        <n x="509"/>
        <n x="289"/>
        <n x="505"/>
      </t>
    </mdx>
    <mdx n="508" f="v">
      <t c="3" si="4">
        <n x="509"/>
        <n x="368"/>
        <n x="505"/>
      </t>
    </mdx>
    <mdx n="508" f="v">
      <t c="3" si="4">
        <n x="509"/>
        <n x="354"/>
        <n x="505"/>
      </t>
    </mdx>
    <mdx n="508" f="v">
      <t c="3" si="4">
        <n x="509"/>
        <n x="439"/>
        <n x="505"/>
      </t>
    </mdx>
    <mdx n="508" f="v">
      <t c="3" si="4">
        <n x="509"/>
        <n x="170"/>
        <n x="505"/>
      </t>
    </mdx>
    <mdx n="508" f="v">
      <t c="3" si="4">
        <n x="509"/>
        <n x="392"/>
        <n x="505"/>
      </t>
    </mdx>
    <mdx n="508" f="v">
      <t c="3" si="4">
        <n x="509"/>
        <n x="81"/>
        <n x="505"/>
      </t>
    </mdx>
    <mdx n="508" f="v">
      <t c="3" si="4">
        <n x="509"/>
        <n x="330"/>
        <n x="506"/>
      </t>
    </mdx>
    <mdx n="508" f="v">
      <t c="3" si="4">
        <n x="509"/>
        <n x="323"/>
        <n x="506"/>
      </t>
    </mdx>
    <mdx n="508" f="v">
      <t c="3" si="4">
        <n x="509"/>
        <n x="461"/>
        <n x="506"/>
      </t>
    </mdx>
    <mdx n="508" f="v">
      <t c="3" si="4">
        <n x="509"/>
        <n x="152"/>
        <n x="506"/>
      </t>
    </mdx>
    <mdx n="508" f="v">
      <t c="3" si="4">
        <n x="509"/>
        <n x="291"/>
        <n x="507"/>
      </t>
    </mdx>
    <mdx n="508" f="v">
      <t c="3" si="4">
        <n x="509"/>
        <n x="412"/>
        <n x="504"/>
      </t>
    </mdx>
    <mdx n="508" f="v">
      <t c="3" si="4">
        <n x="509"/>
        <n x="275"/>
        <n x="504"/>
      </t>
    </mdx>
    <mdx n="508" f="v">
      <t c="3" si="4">
        <n x="509"/>
        <n x="216"/>
        <n x="504"/>
      </t>
    </mdx>
    <mdx n="508" f="v">
      <t c="3" si="4">
        <n x="509"/>
        <n x="425"/>
        <n x="504"/>
      </t>
    </mdx>
    <mdx n="508" f="v">
      <t c="3" si="4">
        <n x="509"/>
        <n x="278"/>
        <n x="505"/>
      </t>
    </mdx>
    <mdx n="508" f="v">
      <t c="3" si="4">
        <n x="509"/>
        <n x="449"/>
        <n x="505"/>
      </t>
    </mdx>
    <mdx n="508" f="v">
      <t c="3" si="4">
        <n x="509"/>
        <n x="269"/>
        <n x="505"/>
      </t>
    </mdx>
    <mdx n="508" f="v">
      <t c="3" si="4">
        <n x="509"/>
        <n x="178"/>
        <n x="505"/>
      </t>
    </mdx>
    <mdx n="508" f="v">
      <t c="3" si="4">
        <n x="509"/>
        <n x="429"/>
        <n x="505"/>
      </t>
    </mdx>
    <mdx n="508" f="v">
      <t c="3" si="4">
        <n x="509"/>
        <n x="389"/>
        <n x="505"/>
      </t>
    </mdx>
    <mdx n="508" f="v">
      <t c="3" si="4">
        <n x="509"/>
        <n x="76"/>
        <n x="505"/>
      </t>
    </mdx>
    <mdx n="508" f="v">
      <t c="3" si="4">
        <n x="509"/>
        <n x="402"/>
        <n x="506"/>
      </t>
    </mdx>
    <mdx n="508" f="v">
      <t c="3" si="4">
        <n x="509"/>
        <n x="220"/>
        <n x="506"/>
      </t>
    </mdx>
    <mdx n="508" f="v">
      <t c="3" si="4">
        <n x="509"/>
        <n x="371"/>
        <n x="506"/>
      </t>
    </mdx>
    <mdx n="508" f="v">
      <t c="3" si="4">
        <n x="509"/>
        <n x="415"/>
        <n x="506"/>
      </t>
    </mdx>
    <mdx n="508" f="v">
      <t c="3" si="4">
        <n x="509"/>
        <n x="358"/>
        <n x="507"/>
      </t>
    </mdx>
    <mdx n="508" f="v">
      <t c="3" si="4">
        <n x="509"/>
        <n x="210"/>
        <n x="505"/>
      </t>
    </mdx>
    <mdx n="508" f="v">
      <t c="3" si="4">
        <n x="509"/>
        <n x="295"/>
        <n x="505"/>
      </t>
    </mdx>
    <mdx n="508" f="v">
      <t c="3" si="4">
        <n x="509"/>
        <n x="48"/>
        <n x="505"/>
      </t>
    </mdx>
    <mdx n="508" f="v">
      <t c="3" si="4">
        <n x="509"/>
        <n x="160"/>
        <n x="505"/>
      </t>
    </mdx>
    <mdx n="508" f="v">
      <t c="3" si="4">
        <n x="509"/>
        <n x="204"/>
        <n x="506"/>
      </t>
    </mdx>
    <mdx n="508" f="v">
      <t c="3" si="4">
        <n x="509"/>
        <n x="88"/>
        <n x="506"/>
      </t>
    </mdx>
    <mdx n="508" f="v">
      <t c="3" si="4">
        <n x="509"/>
        <n x="356"/>
        <n x="506"/>
      </t>
    </mdx>
    <mdx n="508" f="v">
      <t c="3" si="4">
        <n x="509"/>
        <n x="254"/>
        <n x="506"/>
      </t>
    </mdx>
    <mdx n="508" f="v">
      <t c="3" si="4">
        <n x="509"/>
        <n x="245"/>
        <n x="507"/>
      </t>
    </mdx>
    <mdx n="508" f="v">
      <t c="3" si="4">
        <n x="509"/>
        <n x="67"/>
        <n x="507"/>
      </t>
    </mdx>
    <mdx n="508" f="v">
      <t c="3" si="4">
        <n x="509"/>
        <n x="287"/>
        <n x="504"/>
      </t>
    </mdx>
    <mdx n="508" f="v">
      <t c="3" si="4">
        <n x="509"/>
        <n x="457"/>
        <n x="505"/>
      </t>
    </mdx>
    <mdx n="508" f="v">
      <t c="3" si="4">
        <n x="509"/>
        <n x="151"/>
        <n x="505"/>
      </t>
    </mdx>
    <mdx n="508" f="v">
      <t c="3" si="4">
        <n x="509"/>
        <n x="38"/>
        <n x="505"/>
      </t>
    </mdx>
    <mdx n="508" f="v">
      <t c="3" si="4">
        <n x="509"/>
        <n x="345"/>
        <n x="505"/>
      </t>
    </mdx>
    <mdx n="508" f="v">
      <t c="3" si="4">
        <n x="509"/>
        <n x="140"/>
        <n x="505"/>
      </t>
    </mdx>
    <mdx n="508" f="v">
      <t c="3" si="4">
        <n x="509"/>
        <n x="308"/>
        <n x="505"/>
      </t>
    </mdx>
    <mdx n="508" f="v">
      <t c="3" si="4">
        <n x="509"/>
        <n x="188"/>
        <n x="505"/>
      </t>
    </mdx>
    <mdx n="508" f="v">
      <t c="3" si="4">
        <n x="509"/>
        <n x="301"/>
        <n x="506"/>
      </t>
    </mdx>
    <mdx n="508" f="v">
      <t c="3" si="4">
        <n x="509"/>
        <n x="358"/>
        <n x="506"/>
      </t>
    </mdx>
    <mdx n="508" f="v">
      <t c="3" si="4">
        <n x="509"/>
        <n x="426"/>
        <n x="506"/>
      </t>
    </mdx>
    <mdx n="508" f="v">
      <t c="3" si="4">
        <n x="509"/>
        <n x="107"/>
        <n x="506"/>
      </t>
    </mdx>
    <mdx n="508" f="v">
      <t c="3" si="4">
        <n x="509"/>
        <n x="92"/>
        <n x="507"/>
      </t>
    </mdx>
    <mdx n="508" f="v">
      <t c="3" si="4">
        <n x="509"/>
        <n x="428"/>
        <n x="507"/>
      </t>
    </mdx>
    <mdx n="508" f="v">
      <t c="3" si="4">
        <n x="509"/>
        <n x="148"/>
        <n x="507"/>
      </t>
    </mdx>
    <mdx n="508" f="v">
      <t c="3" si="4">
        <n x="509"/>
        <n x="159"/>
        <n x="507"/>
      </t>
    </mdx>
    <mdx n="508" f="v">
      <t c="3" si="4">
        <n x="509"/>
        <n x="372"/>
        <n x="507"/>
      </t>
    </mdx>
    <mdx n="508" f="v">
      <t c="3" si="4">
        <n x="509"/>
        <n x="267"/>
        <n x="507"/>
      </t>
    </mdx>
    <mdx n="508" f="v">
      <t c="3" si="4">
        <n x="509"/>
        <n x="233"/>
        <n x="507"/>
      </t>
    </mdx>
    <mdx n="508" f="v">
      <t c="3" si="4">
        <n x="509"/>
        <n x="141"/>
        <n x="507"/>
      </t>
    </mdx>
    <mdx n="508" f="v">
      <t c="3" si="4">
        <n x="509"/>
        <n x="342"/>
        <n x="507"/>
      </t>
    </mdx>
    <mdx n="508" f="v">
      <t c="3" si="4">
        <n x="509"/>
        <n x="320"/>
        <n x="507"/>
      </t>
    </mdx>
    <mdx n="508" f="v">
      <t c="3" si="4">
        <n x="509"/>
        <n x="421"/>
        <n x="507"/>
      </t>
    </mdx>
    <mdx n="508" f="v">
      <t c="3" si="4">
        <n x="509"/>
        <n x="142"/>
        <n x="505"/>
      </t>
    </mdx>
    <mdx n="508" f="v">
      <t c="3" si="4">
        <n x="509"/>
        <n x="337"/>
        <n x="505"/>
      </t>
    </mdx>
    <mdx n="508" f="v">
      <t c="3" si="4">
        <n x="509"/>
        <n x="33"/>
        <n x="506"/>
      </t>
    </mdx>
    <mdx n="508" f="v">
      <t c="3" si="4">
        <n x="509"/>
        <n x="252"/>
        <n x="506"/>
      </t>
    </mdx>
    <mdx n="508" f="v">
      <t c="3" si="4">
        <n x="509"/>
        <n x="231"/>
        <n x="506"/>
      </t>
    </mdx>
    <mdx n="508" f="v">
      <t c="3" si="4">
        <n x="509"/>
        <n x="376"/>
        <n x="506"/>
      </t>
    </mdx>
    <mdx n="508" f="v">
      <t c="3" si="4">
        <n x="509"/>
        <n x="78"/>
        <n x="506"/>
      </t>
    </mdx>
    <mdx n="508" f="v">
      <t c="3" si="4">
        <n x="509"/>
        <n x="452"/>
        <n x="506"/>
      </t>
    </mdx>
    <mdx n="508" f="v">
      <t c="3" si="4">
        <n x="509"/>
        <n x="169"/>
        <n x="506"/>
      </t>
    </mdx>
    <mdx n="508" f="v">
      <t c="3" si="4">
        <n x="509"/>
        <n x="187"/>
        <n x="507"/>
      </t>
    </mdx>
    <mdx n="508" f="v">
      <t c="3" si="4">
        <n x="509"/>
        <n x="144"/>
        <n x="507"/>
      </t>
    </mdx>
    <mdx n="508" f="v">
      <t c="3" si="4">
        <n x="509"/>
        <n x="15"/>
        <n x="507"/>
      </t>
    </mdx>
    <mdx n="508" f="v">
      <t c="3" si="4">
        <n x="509"/>
        <n x="396"/>
        <n x="507"/>
      </t>
    </mdx>
    <mdx n="508" f="v">
      <t c="3" si="4">
        <n x="509"/>
        <n x="399"/>
        <n x="507"/>
      </t>
    </mdx>
    <mdx n="508" f="v">
      <t c="3" si="4">
        <n x="509"/>
        <n x="6"/>
        <n x="507"/>
      </t>
    </mdx>
    <mdx n="508" f="v">
      <t c="3" si="4">
        <n x="509"/>
        <n x="365"/>
        <n x="507"/>
      </t>
    </mdx>
    <mdx n="508" f="v">
      <t c="3" si="4">
        <n x="509"/>
        <n x="240"/>
        <n x="505"/>
      </t>
    </mdx>
    <mdx n="508" f="v">
      <t c="3" si="4">
        <n x="509"/>
        <n x="229"/>
        <n x="505"/>
      </t>
    </mdx>
    <mdx n="508" f="v">
      <t c="3" si="4">
        <n x="509"/>
        <n x="235"/>
        <n x="506"/>
      </t>
    </mdx>
    <mdx n="508" f="v">
      <t c="3" si="4">
        <n x="509"/>
        <n x="234"/>
        <n x="506"/>
      </t>
    </mdx>
    <mdx n="508" f="v">
      <t c="3" si="4">
        <n x="509"/>
        <n x="314"/>
        <n x="506"/>
      </t>
    </mdx>
    <mdx n="508" f="v">
      <t c="3" si="4">
        <n x="509"/>
        <n x="71"/>
        <n x="506"/>
      </t>
    </mdx>
    <mdx n="508" f="v">
      <t c="3" si="4">
        <n x="509"/>
        <n x="289"/>
        <n x="506"/>
      </t>
    </mdx>
    <mdx n="508" f="v">
      <t c="3" si="4">
        <n x="509"/>
        <n x="352"/>
        <n x="506"/>
      </t>
    </mdx>
    <mdx n="508" f="v">
      <t c="3" si="4">
        <n x="509"/>
        <n x="259"/>
        <n x="506"/>
      </t>
    </mdx>
    <mdx n="508" f="v">
      <t c="3" si="4">
        <n x="509"/>
        <n x="168"/>
        <n x="507"/>
      </t>
    </mdx>
    <mdx n="508" f="v">
      <t c="3" si="4">
        <n x="509"/>
        <n x="242"/>
        <n x="507"/>
      </t>
    </mdx>
    <mdx n="508" f="v">
      <t c="3" si="4">
        <n x="509"/>
        <n x="371"/>
        <n x="507"/>
      </t>
    </mdx>
    <mdx n="508" f="v">
      <t c="3" si="4">
        <n x="509"/>
        <n x="14"/>
        <n x="507"/>
      </t>
    </mdx>
    <mdx n="508" f="v">
      <t c="3" si="4">
        <n x="509"/>
        <n x="109"/>
        <n x="507"/>
      </t>
    </mdx>
    <mdx n="508" f="v">
      <t c="3" si="4">
        <n x="509"/>
        <n x="274"/>
        <n x="507"/>
      </t>
    </mdx>
    <mdx n="508" f="v">
      <t c="3" si="4">
        <n x="509"/>
        <n x="177"/>
        <n x="507"/>
      </t>
    </mdx>
    <mdx n="508" f="v">
      <t c="3" si="4">
        <n x="509"/>
        <n x="45"/>
        <n x="507"/>
      </t>
    </mdx>
    <mdx n="508" f="v">
      <t c="3" si="4">
        <n x="509"/>
        <n x="24"/>
        <n x="507"/>
      </t>
    </mdx>
    <mdx n="508" f="v">
      <t c="3" si="4">
        <n x="509"/>
        <n x="369"/>
        <n x="507"/>
      </t>
    </mdx>
    <mdx n="508" f="v">
      <t c="3" si="4">
        <n x="509"/>
        <n x="313"/>
        <n x="507"/>
      </t>
    </mdx>
    <mdx n="508" f="v">
      <t c="3" si="4">
        <n x="509"/>
        <n x="106"/>
        <n x="507"/>
      </t>
    </mdx>
    <mdx n="508" f="v">
      <t c="3" si="4">
        <n x="509"/>
        <n x="352"/>
        <n x="507"/>
      </t>
    </mdx>
    <mdx n="508" f="v">
      <t c="3" si="4">
        <n x="509"/>
        <n x="435"/>
        <n x="507"/>
      </t>
    </mdx>
    <mdx n="508" f="v">
      <t c="3" si="4">
        <n x="509"/>
        <n x="22"/>
        <n x="506"/>
      </t>
    </mdx>
    <mdx n="508" f="v">
      <t c="3" si="4">
        <n x="509"/>
        <n x="21"/>
        <n x="506"/>
      </t>
    </mdx>
    <mdx n="508" f="v">
      <t c="3" si="4">
        <n x="509"/>
        <n x="158"/>
        <n x="507"/>
      </t>
    </mdx>
    <mdx n="508" f="v">
      <t c="3" si="4">
        <n x="509"/>
        <n x="234"/>
        <n x="507"/>
      </t>
    </mdx>
    <mdx n="508" f="v">
      <t c="3" si="4">
        <n x="509"/>
        <n x="376"/>
        <n x="507"/>
      </t>
    </mdx>
    <mdx n="508" f="v">
      <t c="3" si="4">
        <n x="509"/>
        <n x="218"/>
        <n x="507"/>
      </t>
    </mdx>
    <mdx n="508" f="v">
      <t c="3" si="4">
        <n x="509"/>
        <n x="367"/>
        <n x="506"/>
      </t>
    </mdx>
    <mdx n="508" f="v">
      <t c="3" si="4">
        <n x="509"/>
        <n x="235"/>
        <n x="507"/>
      </t>
    </mdx>
    <mdx n="508" f="v">
      <t c="3" si="4">
        <n x="509"/>
        <n x="227"/>
        <n x="499"/>
      </t>
    </mdx>
    <mdx n="508" f="v">
      <t c="3" si="4">
        <n x="509"/>
        <n x="42"/>
        <n x="500"/>
      </t>
    </mdx>
    <mdx n="508" f="v">
      <t c="3" si="4">
        <n x="509"/>
        <n x="177"/>
        <n x="501"/>
      </t>
    </mdx>
    <mdx n="508" f="v">
      <t c="3" si="4">
        <n x="509"/>
        <n x="399"/>
        <n x="501"/>
      </t>
    </mdx>
    <mdx n="508" f="v">
      <t c="3" si="4">
        <n x="509"/>
        <n x="213"/>
        <n x="501"/>
      </t>
    </mdx>
    <mdx n="508" f="v">
      <t c="3" si="4">
        <n x="509"/>
        <n x="95"/>
        <n x="502"/>
      </t>
    </mdx>
    <mdx n="508" f="v">
      <t c="3" si="4">
        <n x="509"/>
        <n x="202"/>
        <n x="502"/>
      </t>
    </mdx>
    <mdx n="508" f="v">
      <t c="3" si="4">
        <n x="509"/>
        <n x="235"/>
        <n x="503"/>
      </t>
    </mdx>
    <mdx n="508" f="v">
      <t c="3" si="4">
        <n x="509"/>
        <n x="104"/>
        <n x="504"/>
      </t>
    </mdx>
    <mdx n="508" f="v">
      <t c="3" si="4">
        <n x="509"/>
        <n x="188"/>
        <n x="502"/>
      </t>
    </mdx>
    <mdx n="508" f="v">
      <t c="3" si="4">
        <n x="509"/>
        <n x="276"/>
        <n x="502"/>
      </t>
    </mdx>
    <mdx n="508" f="v">
      <t c="3" si="4">
        <n x="509"/>
        <n x="98"/>
        <n x="503"/>
      </t>
    </mdx>
    <mdx n="508" f="v">
      <t c="3" si="4">
        <n x="509"/>
        <n x="252"/>
        <n x="504"/>
      </t>
    </mdx>
    <mdx n="508" f="v">
      <t c="3" si="4">
        <n x="509"/>
        <n x="392"/>
        <n x="506"/>
      </t>
    </mdx>
    <mdx n="508" f="v">
      <t c="3" si="4">
        <n x="509"/>
        <n x="76"/>
        <n x="502"/>
      </t>
    </mdx>
    <mdx n="508" f="v">
      <t c="3" si="4">
        <n x="509"/>
        <n x="345"/>
        <n x="502"/>
      </t>
    </mdx>
    <mdx n="508" f="v">
      <t c="3" si="4">
        <n x="509"/>
        <n x="197"/>
        <n x="502"/>
      </t>
    </mdx>
    <mdx n="508" f="v">
      <t c="3" si="4">
        <n x="509"/>
        <n x="295"/>
        <n x="503"/>
      </t>
    </mdx>
    <mdx n="508" f="v">
      <t c="3" si="4">
        <n x="509"/>
        <n x="265"/>
        <n x="504"/>
      </t>
    </mdx>
    <mdx n="508" f="v">
      <t c="3" si="4">
        <n x="509"/>
        <n x="11"/>
        <n x="507"/>
      </t>
    </mdx>
    <mdx n="508" f="v">
      <t c="3" si="4">
        <n x="509"/>
        <n x="288"/>
        <n x="501"/>
      </t>
    </mdx>
    <mdx n="508" f="v">
      <t c="3" si="4">
        <n x="509"/>
        <n x="133"/>
        <n x="502"/>
      </t>
    </mdx>
    <mdx n="508" f="v">
      <t c="3" si="4">
        <n x="509"/>
        <n x="128"/>
        <n x="502"/>
      </t>
    </mdx>
    <mdx n="508" f="v">
      <t c="3" si="4">
        <n x="509"/>
        <n x="386"/>
        <n x="503"/>
      </t>
    </mdx>
    <mdx n="508" f="v">
      <t c="3" si="4">
        <n x="509"/>
        <n x="333"/>
        <n x="503"/>
      </t>
    </mdx>
    <mdx n="508" f="v">
      <t c="3" si="4">
        <n x="509"/>
        <n x="263"/>
        <n x="504"/>
      </t>
    </mdx>
    <mdx n="508" f="v">
      <t c="3" si="4">
        <n x="509"/>
        <n x="367"/>
        <n x="505"/>
      </t>
    </mdx>
    <mdx n="508" f="v">
      <t c="3" si="4">
        <n x="509"/>
        <n x="182"/>
        <n x="502"/>
      </t>
    </mdx>
    <mdx n="508" f="v">
      <t c="3" si="4">
        <n x="509"/>
        <n x="181"/>
        <n x="502"/>
      </t>
    </mdx>
    <mdx n="508" f="v">
      <t c="3" si="4">
        <n x="509"/>
        <n x="66"/>
        <n x="502"/>
      </t>
    </mdx>
    <mdx n="508" f="v">
      <t c="3" si="4">
        <n x="509"/>
        <n x="53"/>
        <n x="502"/>
      </t>
    </mdx>
    <mdx n="508" f="v">
      <t c="3" si="4">
        <n x="509"/>
        <n x="369"/>
        <n x="503"/>
      </t>
    </mdx>
    <mdx n="508" f="v">
      <t c="3" si="4">
        <n x="509"/>
        <n x="55"/>
        <n x="503"/>
      </t>
    </mdx>
    <mdx n="508" f="v">
      <t c="3" si="4">
        <n x="509"/>
        <n x="222"/>
        <n x="503"/>
      </t>
    </mdx>
    <mdx n="508" f="v">
      <t c="3" si="4">
        <n x="509"/>
        <n x="221"/>
        <n x="504"/>
      </t>
    </mdx>
    <mdx n="508" f="v">
      <t c="3" si="4">
        <n x="509"/>
        <n x="34"/>
        <n x="504"/>
      </t>
    </mdx>
    <mdx n="508" f="v">
      <t c="3" si="4">
        <n x="509"/>
        <n x="162"/>
        <n x="507"/>
      </t>
    </mdx>
    <mdx n="508" f="v">
      <t c="3" si="4">
        <n x="509"/>
        <n x="402"/>
        <n x="502"/>
      </t>
    </mdx>
    <mdx n="508" f="v">
      <t c="3" si="4">
        <n x="509"/>
        <n x="442"/>
        <n x="502"/>
      </t>
    </mdx>
    <mdx n="508" f="v">
      <t c="3" si="4">
        <n x="509"/>
        <n x="99"/>
        <n x="502"/>
      </t>
    </mdx>
    <mdx n="508" f="v">
      <t c="3" si="4">
        <n x="509"/>
        <n x="325"/>
        <n x="502"/>
      </t>
    </mdx>
    <mdx n="508" f="v">
      <t c="3" si="4">
        <n x="509"/>
        <n x="401"/>
        <n x="503"/>
      </t>
    </mdx>
    <mdx n="508" f="v">
      <t c="3" si="4">
        <n x="509"/>
        <n x="349"/>
        <n x="503"/>
      </t>
    </mdx>
    <mdx n="508" f="v">
      <t c="3" si="4">
        <n x="509"/>
        <n x="164"/>
        <n x="503"/>
      </t>
    </mdx>
    <mdx n="508" f="v">
      <t c="3" si="4">
        <n x="509"/>
        <n x="190"/>
        <n x="504"/>
      </t>
    </mdx>
    <mdx n="508" f="v">
      <t c="3" si="4">
        <n x="509"/>
        <n x="180"/>
        <n x="504"/>
      </t>
    </mdx>
    <mdx n="508" f="v">
      <t c="3" si="4">
        <n x="509"/>
        <n x="59"/>
        <n x="506"/>
      </t>
    </mdx>
    <mdx n="508" f="v">
      <t c="3" si="4">
        <n x="509"/>
        <n x="273"/>
        <n x="503"/>
      </t>
    </mdx>
    <mdx n="508" f="v">
      <t c="3" si="4">
        <n x="509"/>
        <n x="102"/>
        <n x="503"/>
      </t>
    </mdx>
    <mdx n="508" f="v">
      <t c="3" si="4">
        <n x="509"/>
        <n x="77"/>
        <n x="503"/>
      </t>
    </mdx>
    <mdx n="508" f="v">
      <t c="3" si="4">
        <n x="509"/>
        <n x="301"/>
        <n x="504"/>
      </t>
    </mdx>
    <mdx n="508" f="v">
      <t c="3" si="4">
        <n x="509"/>
        <n x="105"/>
        <n x="504"/>
      </t>
    </mdx>
    <mdx n="508" f="v">
      <t c="3" si="4">
        <n x="509"/>
        <n x="249"/>
        <n x="506"/>
      </t>
    </mdx>
    <mdx n="508" f="v">
      <t c="3" si="4">
        <n x="509"/>
        <n x="387"/>
        <n x="505"/>
      </t>
    </mdx>
    <mdx n="508" f="v">
      <t c="3" si="4">
        <n x="509"/>
        <n x="186"/>
        <n x="505"/>
      </t>
    </mdx>
    <mdx n="508" f="v">
      <t c="3" si="4">
        <n x="509"/>
        <n x="50"/>
        <n x="505"/>
      </t>
    </mdx>
    <mdx n="508" f="v">
      <t c="3" si="4">
        <n x="509"/>
        <n x="165"/>
        <n x="506"/>
      </t>
    </mdx>
    <mdx n="508" f="v">
      <t c="3" si="4">
        <n x="509"/>
        <n x="294"/>
        <n x="507"/>
      </t>
    </mdx>
    <mdx n="508" f="v">
      <t c="3" si="4">
        <n x="509"/>
        <n x="205"/>
        <n x="502"/>
      </t>
    </mdx>
    <mdx n="508" f="v">
      <t c="3" si="4">
        <n x="509"/>
        <n x="117"/>
        <n x="502"/>
      </t>
    </mdx>
    <mdx n="508" f="v">
      <t c="3" si="4">
        <n x="509"/>
        <n x="442"/>
        <n x="503"/>
      </t>
    </mdx>
    <mdx n="508" f="v">
      <t c="3" si="4">
        <n x="509"/>
        <n x="441"/>
        <n x="503"/>
      </t>
    </mdx>
    <mdx n="508" f="v">
      <t c="3" si="4">
        <n x="509"/>
        <n x="354"/>
        <n x="503"/>
      </t>
    </mdx>
    <mdx n="508" f="v">
      <t c="3" si="4">
        <n x="509"/>
        <n x="459"/>
        <n x="503"/>
      </t>
    </mdx>
    <mdx n="508" f="v">
      <t c="3" si="4">
        <n x="509"/>
        <n x="325"/>
        <n x="503"/>
      </t>
    </mdx>
    <mdx n="508" f="v">
      <t c="3" si="4">
        <n x="509"/>
        <n x="414"/>
        <n x="503"/>
      </t>
    </mdx>
    <mdx n="508" f="v">
      <t c="3" si="4">
        <n x="509"/>
        <n x="31"/>
        <n x="503"/>
      </t>
    </mdx>
    <mdx n="508" f="v">
      <t c="3" si="4">
        <n x="509"/>
        <n x="279"/>
        <n x="504"/>
      </t>
    </mdx>
    <mdx n="508" f="v">
      <t c="3" si="4">
        <n x="509"/>
        <n x="321"/>
        <n x="504"/>
      </t>
    </mdx>
    <mdx n="508" f="v">
      <t c="3" si="4">
        <n x="509"/>
        <n x="281"/>
        <n x="504"/>
      </t>
    </mdx>
    <mdx n="508" f="v">
      <t c="3" si="4">
        <n x="509"/>
        <n x="267"/>
        <n x="504"/>
      </t>
    </mdx>
    <mdx n="508" f="v">
      <t c="3" si="4">
        <n x="509"/>
        <n x="325"/>
        <n x="504"/>
      </t>
    </mdx>
    <mdx n="508" f="v">
      <t c="3" si="4">
        <n x="509"/>
        <n x="31"/>
        <n x="504"/>
      </t>
    </mdx>
    <mdx n="508" f="v">
      <t c="3" si="4">
        <n x="509"/>
        <n x="312"/>
        <n x="505"/>
      </t>
    </mdx>
    <mdx n="508" f="v">
      <t c="3" si="4">
        <n x="509"/>
        <n x="438"/>
        <n x="505"/>
      </t>
    </mdx>
    <mdx n="508" f="v">
      <t c="3" si="4">
        <n x="509"/>
        <n x="80"/>
        <n x="505"/>
      </t>
    </mdx>
    <mdx n="508" f="v">
      <t c="3" si="4">
        <n x="509"/>
        <n x="324"/>
        <n x="506"/>
      </t>
    </mdx>
    <mdx n="508" f="v">
      <t c="3" si="4">
        <n x="509"/>
        <n x="278"/>
        <n x="502"/>
      </t>
    </mdx>
    <mdx n="508" f="v">
      <t c="3" si="4">
        <n x="509"/>
        <n x="274"/>
        <n x="502"/>
      </t>
    </mdx>
    <mdx n="508" f="v">
      <t c="3" si="4">
        <n x="509"/>
        <n x="242"/>
        <n x="503"/>
      </t>
    </mdx>
    <mdx n="508" f="v">
      <t c="3" si="4">
        <n x="509"/>
        <n x="305"/>
        <n x="503"/>
      </t>
    </mdx>
    <mdx n="508" f="v">
      <t c="3" si="4">
        <n x="509"/>
        <n x="19"/>
        <n x="503"/>
      </t>
    </mdx>
    <mdx n="508" f="v">
      <t c="3" si="4">
        <n x="509"/>
        <n x="429"/>
        <n x="503"/>
      </t>
    </mdx>
    <mdx n="508" f="v">
      <t c="3" si="4">
        <n x="509"/>
        <n x="199"/>
        <n x="503"/>
      </t>
    </mdx>
    <mdx n="508" f="v">
      <t c="3" si="4">
        <n x="509"/>
        <n x="89"/>
        <n x="503"/>
      </t>
    </mdx>
    <mdx n="508" f="v">
      <t c="3" si="4">
        <n x="509"/>
        <n x="214"/>
        <n x="503"/>
      </t>
    </mdx>
    <mdx n="508" f="v">
      <t c="3" si="4">
        <n x="509"/>
        <n x="199"/>
        <n x="504"/>
      </t>
    </mdx>
    <mdx n="508" f="v">
      <t c="3" si="4">
        <n x="509"/>
        <n x="402"/>
        <n x="504"/>
      </t>
    </mdx>
    <mdx n="508" f="v">
      <t c="3" si="4">
        <n x="509"/>
        <n x="155"/>
        <n x="504"/>
      </t>
    </mdx>
    <mdx n="508" f="v">
      <t c="3" si="4">
        <n x="509"/>
        <n x="441"/>
        <n x="504"/>
      </t>
    </mdx>
    <mdx n="508" f="v">
      <t c="3" si="4">
        <n x="509"/>
        <n x="433"/>
        <n x="504"/>
      </t>
    </mdx>
    <mdx n="508" f="v">
      <t c="3" si="4">
        <n x="509"/>
        <n x="124"/>
        <n x="504"/>
      </t>
    </mdx>
    <mdx n="508" f="v">
      <t c="3" si="4">
        <n x="509"/>
        <n x="168"/>
        <n x="505"/>
      </t>
    </mdx>
    <mdx n="508" f="v">
      <t c="3" si="4">
        <n x="509"/>
        <n x="391"/>
        <n x="505"/>
      </t>
    </mdx>
    <mdx n="508" f="v">
      <t c="3" si="4">
        <n x="509"/>
        <n x="320"/>
        <n x="505"/>
      </t>
    </mdx>
    <mdx n="508" f="v">
      <t c="3" si="4">
        <n x="509"/>
        <n x="361"/>
        <n x="506"/>
      </t>
    </mdx>
    <mdx n="508" f="v">
      <t c="3" si="4">
        <n x="509"/>
        <n x="416"/>
        <n x="507"/>
      </t>
    </mdx>
    <mdx n="508" f="v">
      <t c="3" si="4">
        <n x="509"/>
        <n x="104"/>
        <n x="503"/>
      </t>
    </mdx>
    <mdx n="508" f="v">
      <t c="3" si="4">
        <n x="509"/>
        <n x="310"/>
        <n x="503"/>
      </t>
    </mdx>
    <mdx n="508" f="v">
      <t c="3" si="4">
        <n x="509"/>
        <n x="258"/>
        <n x="504"/>
      </t>
    </mdx>
    <mdx n="508" f="v">
      <t c="3" si="4">
        <n x="509"/>
        <n x="206"/>
        <n x="504"/>
      </t>
    </mdx>
    <mdx n="508" f="v">
      <t c="3" si="4">
        <n x="509"/>
        <n x="282"/>
        <n x="504"/>
      </t>
    </mdx>
    <mdx n="508" f="v">
      <t c="3" si="4">
        <n x="509"/>
        <n x="280"/>
        <n x="504"/>
      </t>
    </mdx>
    <mdx n="508" f="v">
      <t c="3" si="4">
        <n x="509"/>
        <n x="60"/>
        <n x="504"/>
      </t>
    </mdx>
    <mdx n="508" f="v">
      <t c="3" si="4">
        <n x="509"/>
        <n x="286"/>
        <n x="505"/>
      </t>
    </mdx>
    <mdx n="508" f="v">
      <t c="3" si="4">
        <n x="509"/>
        <n x="343"/>
        <n x="505"/>
      </t>
    </mdx>
    <mdx n="508" f="v">
      <t c="3" si="4">
        <n x="509"/>
        <n x="32"/>
        <n x="505"/>
      </t>
    </mdx>
    <mdx n="508" f="v">
      <t c="3" si="4">
        <n x="509"/>
        <n x="144"/>
        <n x="506"/>
      </t>
    </mdx>
    <mdx n="508" f="v">
      <t c="3" si="4">
        <n x="509"/>
        <n x="239"/>
        <n x="506"/>
      </t>
    </mdx>
    <mdx n="508" f="v">
      <t c="3" si="4">
        <n x="509"/>
        <n x="394"/>
        <n x="503"/>
      </t>
    </mdx>
    <mdx n="508" f="v">
      <t c="3" si="4">
        <n x="509"/>
        <n x="258"/>
        <n x="503"/>
      </t>
    </mdx>
    <mdx n="508" f="v">
      <t c="3" si="4">
        <n x="509"/>
        <n x="108"/>
        <n x="503"/>
      </t>
    </mdx>
    <mdx n="508" f="v">
      <t c="3" si="4">
        <n x="509"/>
        <n x="338"/>
        <n x="503"/>
      </t>
    </mdx>
    <mdx n="508" f="v">
      <t c="3" si="4">
        <n x="509"/>
        <n x="403"/>
        <n x="503"/>
      </t>
    </mdx>
    <mdx n="508" f="v">
      <t c="3" si="4">
        <n x="509"/>
        <n x="273"/>
        <n x="504"/>
      </t>
    </mdx>
    <mdx n="508" f="v">
      <t c="3" si="4">
        <n x="509"/>
        <n x="94"/>
        <n x="504"/>
      </t>
    </mdx>
    <mdx n="508" f="v">
      <t c="3" si="4">
        <n x="509"/>
        <n x="44"/>
        <n x="504"/>
      </t>
    </mdx>
    <mdx n="508" f="v">
      <t c="3" si="4">
        <n x="509"/>
        <n x="455"/>
        <n x="504"/>
      </t>
    </mdx>
    <mdx n="508" f="v">
      <t c="3" si="4">
        <n x="509"/>
        <n x="9"/>
        <n x="504"/>
      </t>
    </mdx>
    <mdx n="508" f="v">
      <t c="3" si="4">
        <n x="509"/>
        <n x="121"/>
        <n x="504"/>
      </t>
    </mdx>
    <mdx n="508" f="v">
      <t c="3" si="4">
        <n x="509"/>
        <n x="285"/>
        <n x="505"/>
      </t>
    </mdx>
    <mdx n="508" f="v">
      <t c="3" si="4">
        <n x="509"/>
        <n x="251"/>
        <n x="505"/>
      </t>
    </mdx>
    <mdx n="508" f="v">
      <t c="3" si="4">
        <n x="509"/>
        <n x="443"/>
        <n x="506"/>
      </t>
    </mdx>
    <mdx n="508" f="v">
      <t c="3" si="4">
        <n x="509"/>
        <n x="63"/>
        <n x="506"/>
      </t>
    </mdx>
    <mdx n="508" f="v">
      <t c="3" si="4">
        <n x="509"/>
        <n x="412"/>
        <n x="503"/>
      </t>
    </mdx>
    <mdx n="508" f="v">
      <t c="3" si="4">
        <n x="509"/>
        <n x="64"/>
        <n x="503"/>
      </t>
    </mdx>
    <mdx n="508" f="v">
      <t c="3" si="4">
        <n x="509"/>
        <n x="265"/>
        <n x="503"/>
      </t>
    </mdx>
    <mdx n="508" f="v">
      <t c="3" si="4">
        <n x="509"/>
        <n x="82"/>
        <n x="503"/>
      </t>
    </mdx>
    <mdx n="508" f="v">
      <t c="3" si="4">
        <n x="509"/>
        <n x="395"/>
        <n x="503"/>
      </t>
    </mdx>
    <mdx n="508" f="v">
      <t c="3" si="4">
        <n x="509"/>
        <n x="111"/>
        <n x="503"/>
      </t>
    </mdx>
    <mdx n="508" f="v">
      <t c="3" si="4">
        <n x="509"/>
        <n x="423"/>
        <n x="504"/>
      </t>
    </mdx>
    <mdx n="508" f="v">
      <t c="3" si="4">
        <n x="509"/>
        <n x="350"/>
        <n x="504"/>
      </t>
    </mdx>
    <mdx n="508" f="v">
      <t c="3" si="4">
        <n x="509"/>
        <n x="463"/>
        <n x="504"/>
      </t>
    </mdx>
    <mdx n="508" f="v">
      <t c="3" si="4">
        <n x="509"/>
        <n x="71"/>
        <n x="504"/>
      </t>
    </mdx>
    <mdx n="508" f="v">
      <t c="3" si="4">
        <n x="509"/>
        <n x="161"/>
        <n x="504"/>
      </t>
    </mdx>
    <mdx n="508" f="v">
      <t c="3" si="4">
        <n x="509"/>
        <n x="461"/>
        <n x="505"/>
      </t>
    </mdx>
    <mdx n="508" f="v">
      <t c="3" si="4">
        <n x="509"/>
        <n x="54"/>
        <n x="505"/>
      </t>
    </mdx>
    <mdx n="508" f="v">
      <t c="3" si="4">
        <n x="509"/>
        <n x="78"/>
        <n x="505"/>
      </t>
    </mdx>
    <mdx n="508" f="v">
      <t c="3" si="4">
        <n x="509"/>
        <n x="73"/>
        <n x="506"/>
      </t>
    </mdx>
    <mdx n="508" f="v">
      <t c="3" si="4">
        <n x="509"/>
        <n x="74"/>
        <n x="506"/>
      </t>
    </mdx>
    <mdx n="508" f="v">
      <t c="3" si="4">
        <n x="509"/>
        <n x="19"/>
        <n x="504"/>
      </t>
    </mdx>
    <mdx n="508" f="v">
      <t c="3" si="4">
        <n x="509"/>
        <n x="149"/>
        <n x="504"/>
      </t>
    </mdx>
    <mdx n="508" f="v">
      <t c="3" si="4">
        <n x="509"/>
        <n x="248"/>
        <n x="504"/>
      </t>
    </mdx>
    <mdx n="508" f="v">
      <t c="3" si="4">
        <n x="509"/>
        <n x="362"/>
        <n x="504"/>
      </t>
    </mdx>
    <mdx n="508" f="v">
      <t c="3" si="4">
        <n x="509"/>
        <n x="364"/>
        <n x="505"/>
      </t>
    </mdx>
    <mdx n="508" f="v">
      <t c="3" si="4">
        <n x="509"/>
        <n x="144"/>
        <n x="505"/>
      </t>
    </mdx>
    <mdx n="508" f="v">
      <t c="3" si="4">
        <n x="509"/>
        <n x="256"/>
        <n x="505"/>
      </t>
    </mdx>
    <mdx n="508" f="v">
      <t c="3" si="4">
        <n x="509"/>
        <n x="255"/>
        <n x="505"/>
      </t>
    </mdx>
    <mdx n="508" f="v">
      <t c="3" si="4">
        <n x="509"/>
        <n x="334"/>
        <n x="505"/>
      </t>
    </mdx>
    <mdx n="508" f="v">
      <t c="3" si="4">
        <n x="509"/>
        <n x="6"/>
        <n x="505"/>
      </t>
    </mdx>
    <mdx n="508" f="v">
      <t c="3" si="4">
        <n x="509"/>
        <n x="271"/>
        <n x="505"/>
      </t>
    </mdx>
    <mdx n="508" f="v">
      <t c="3" si="4">
        <n x="509"/>
        <n x="201"/>
        <n x="506"/>
      </t>
    </mdx>
    <mdx n="508" f="v">
      <t c="3" si="4">
        <n x="509"/>
        <n x="49"/>
        <n x="506"/>
      </t>
    </mdx>
    <mdx n="508" f="v">
      <t c="3" si="4">
        <n x="509"/>
        <n x="36"/>
        <n x="506"/>
      </t>
    </mdx>
    <mdx n="508" f="v">
      <t c="3" si="4">
        <n x="509"/>
        <n x="307"/>
        <n x="506"/>
      </t>
    </mdx>
    <mdx n="508" f="v">
      <t c="3" si="4">
        <n x="509"/>
        <n x="206"/>
        <n x="507"/>
      </t>
    </mdx>
    <mdx n="508" f="v">
      <t c="3" si="4">
        <n x="509"/>
        <n x="201"/>
        <n x="504"/>
      </t>
    </mdx>
    <mdx n="508" f="v">
      <t c="3" si="4">
        <n x="509"/>
        <n x="372"/>
        <n x="505"/>
      </t>
    </mdx>
    <mdx n="508" f="v">
      <t c="3" si="4">
        <n x="509"/>
        <n x="42"/>
        <n x="505"/>
      </t>
    </mdx>
    <mdx n="508" f="v">
      <t c="3" si="4">
        <n x="509"/>
        <n x="155"/>
        <n x="505"/>
      </t>
    </mdx>
    <mdx n="508" f="v">
      <t c="3" si="4">
        <n x="509"/>
        <n x="422"/>
        <n x="505"/>
      </t>
    </mdx>
    <mdx n="508" f="v">
      <t c="3" si="4">
        <n x="509"/>
        <n x="342"/>
        <n x="505"/>
      </t>
    </mdx>
    <mdx n="508" f="v">
      <t c="3" si="4">
        <n x="509"/>
        <n x="9"/>
        <n x="505"/>
      </t>
    </mdx>
    <mdx n="508" f="v">
      <t c="3" si="4">
        <n x="509"/>
        <n x="287"/>
        <n x="505"/>
      </t>
    </mdx>
    <mdx n="508" f="v">
      <t c="3" si="4">
        <n x="509"/>
        <n x="309"/>
        <n x="506"/>
      </t>
    </mdx>
    <mdx n="508" f="v">
      <t c="3" si="4">
        <n x="509"/>
        <n x="282"/>
        <n x="506"/>
      </t>
    </mdx>
    <mdx n="508" f="v">
      <t c="3" si="4">
        <n x="509"/>
        <n x="48"/>
        <n x="506"/>
      </t>
    </mdx>
    <mdx n="508" f="v">
      <t c="3" si="4">
        <n x="509"/>
        <n x="229"/>
        <n x="506"/>
      </t>
    </mdx>
    <mdx n="508" f="v">
      <t c="3" si="4">
        <n x="509"/>
        <n x="128"/>
        <n x="507"/>
      </t>
    </mdx>
    <mdx n="508" f="v">
      <t c="3" si="4">
        <n x="509"/>
        <n x="400"/>
        <n x="504"/>
      </t>
    </mdx>
    <mdx n="508" f="v">
      <t c="3" si="4">
        <n x="509"/>
        <n x="429"/>
        <n x="504"/>
      </t>
    </mdx>
    <mdx n="508" f="v">
      <t c="3" si="4">
        <n x="509"/>
        <n x="272"/>
        <n x="504"/>
      </t>
    </mdx>
    <mdx n="508" f="v">
      <t c="3" si="4">
        <n x="509"/>
        <n x="68"/>
        <n x="504"/>
      </t>
    </mdx>
    <mdx n="508" f="v">
      <t c="3" si="4">
        <n x="509"/>
        <n x="370"/>
        <n x="505"/>
      </t>
    </mdx>
    <mdx n="508" f="v">
      <t c="3" si="4">
        <n x="509"/>
        <n x="348"/>
        <n x="505"/>
      </t>
    </mdx>
    <mdx n="508" f="v">
      <t c="3" si="4">
        <n x="509"/>
        <n x="417"/>
        <n x="505"/>
      </t>
    </mdx>
    <mdx n="508" f="v">
      <t c="3" si="4">
        <n x="509"/>
        <n x="41"/>
        <n x="505"/>
      </t>
    </mdx>
    <mdx n="508" f="v">
      <t c="3" si="4">
        <n x="509"/>
        <n x="411"/>
        <n x="505"/>
      </t>
    </mdx>
    <mdx n="508" f="v">
      <t c="3" si="4">
        <n x="509"/>
        <n x="96"/>
        <n x="505"/>
      </t>
    </mdx>
    <mdx n="508" f="v">
      <t c="3" si="4">
        <n x="509"/>
        <n x="451"/>
        <n x="505"/>
      </t>
    </mdx>
    <mdx n="508" f="v">
      <t c="3" si="4">
        <n x="509"/>
        <n x="374"/>
        <n x="506"/>
      </t>
    </mdx>
    <mdx n="508" f="v">
      <t c="3" si="4">
        <n x="509"/>
        <n x="194"/>
        <n x="506"/>
      </t>
    </mdx>
    <mdx n="508" f="v">
      <t c="3" si="4">
        <n x="509"/>
        <n x="173"/>
        <n x="506"/>
      </t>
    </mdx>
    <mdx n="508" f="v">
      <t c="3" si="4">
        <n x="509"/>
        <n x="227"/>
        <n x="506"/>
      </t>
    </mdx>
    <mdx n="508" f="v">
      <t c="3" si="4">
        <n x="509"/>
        <n x="384"/>
        <n x="507"/>
      </t>
    </mdx>
    <mdx n="508" f="v">
      <t c="3" si="4">
        <n x="509"/>
        <n x="463"/>
        <n x="505"/>
      </t>
    </mdx>
    <mdx n="508" f="v">
      <t c="3" si="4">
        <n x="509"/>
        <n x="290"/>
        <n x="505"/>
      </t>
    </mdx>
    <mdx n="508" f="v">
      <t c="3" si="4">
        <n x="509"/>
        <n x="34"/>
        <n x="505"/>
      </t>
    </mdx>
    <mdx n="508" f="v">
      <t c="3" si="4">
        <n x="509"/>
        <n x="338"/>
        <n x="505"/>
      </t>
    </mdx>
    <mdx n="508" f="v">
      <t c="3" si="4">
        <n x="509"/>
        <n x="364"/>
        <n x="506"/>
      </t>
    </mdx>
    <mdx n="508" f="v">
      <t c="3" si="4">
        <n x="509"/>
        <n x="354"/>
        <n x="506"/>
      </t>
    </mdx>
    <mdx n="508" f="v">
      <t c="3" si="4">
        <n x="509"/>
        <n x="140"/>
        <n x="506"/>
      </t>
    </mdx>
    <mdx n="508" f="v">
      <t c="3" si="4">
        <n x="509"/>
        <n x="223"/>
        <n x="506"/>
      </t>
    </mdx>
    <mdx n="508" f="v">
      <t c="3" si="4">
        <n x="509"/>
        <n x="176"/>
        <n x="507"/>
      </t>
    </mdx>
    <mdx n="508" f="v">
      <t c="3" si="4">
        <n x="509"/>
        <n x="195"/>
        <n x="504"/>
      </t>
    </mdx>
    <mdx n="508" f="v">
      <t c="3" si="4">
        <n x="509"/>
        <n x="56"/>
        <n x="504"/>
      </t>
    </mdx>
    <mdx n="508" f="v">
      <t c="3" si="4">
        <n x="509"/>
        <n x="58"/>
        <n x="505"/>
      </t>
    </mdx>
    <mdx n="508" f="v">
      <t c="3" si="4">
        <n x="509"/>
        <n x="133"/>
        <n x="505"/>
      </t>
    </mdx>
    <mdx n="508" f="v">
      <t c="3" si="4">
        <n x="509"/>
        <n x="27"/>
        <n x="505"/>
      </t>
    </mdx>
    <mdx n="508" f="v">
      <t c="3" si="4">
        <n x="509"/>
        <n x="244"/>
        <n x="505"/>
      </t>
    </mdx>
    <mdx n="508" f="v">
      <t c="3" si="4">
        <n x="509"/>
        <n x="237"/>
        <n x="505"/>
      </t>
    </mdx>
    <mdx n="508" f="v">
      <t c="3" si="4">
        <n x="509"/>
        <n x="268"/>
        <n x="505"/>
      </t>
    </mdx>
    <mdx n="508" f="v">
      <t c="3" si="4">
        <n x="509"/>
        <n x="424"/>
        <n x="505"/>
      </t>
    </mdx>
    <mdx n="508" f="v">
      <t c="3" si="4">
        <n x="509"/>
        <n x="449"/>
        <n x="506"/>
      </t>
    </mdx>
    <mdx n="508" f="v">
      <t c="3" si="4">
        <n x="509"/>
        <n x="412"/>
        <n x="506"/>
      </t>
    </mdx>
    <mdx n="508" f="v">
      <t c="3" si="4">
        <n x="509"/>
        <n x="236"/>
        <n x="506"/>
      </t>
    </mdx>
    <mdx n="508" f="v">
      <t c="3" si="4">
        <n x="509"/>
        <n x="60"/>
        <n x="507"/>
      </t>
    </mdx>
    <mdx n="508" f="v">
      <t c="3" si="4">
        <n x="509"/>
        <n x="175"/>
        <n x="507"/>
      </t>
    </mdx>
    <mdx n="508" f="v">
      <t c="3" si="4">
        <n x="509"/>
        <n x="289"/>
        <n x="507"/>
      </t>
    </mdx>
    <mdx n="508" f="v">
      <t c="3" si="4">
        <n x="509"/>
        <n x="404"/>
        <n x="507"/>
      </t>
    </mdx>
    <mdx n="508" f="v">
      <t c="3" si="4">
        <n x="509"/>
        <n x="253"/>
        <n x="507"/>
      </t>
    </mdx>
    <mdx n="508" f="v">
      <t c="3" si="4">
        <n x="509"/>
        <n x="190"/>
        <n x="507"/>
      </t>
    </mdx>
    <mdx n="508" f="v">
      <t c="3" si="4">
        <n x="509"/>
        <n x="146"/>
        <n x="507"/>
      </t>
    </mdx>
    <mdx n="508" f="v">
      <t c="3" si="4">
        <n x="509"/>
        <n x="381"/>
        <n x="507"/>
      </t>
    </mdx>
    <mdx n="508" f="v">
      <t c="3" si="4">
        <n x="509"/>
        <n x="238"/>
        <n x="507"/>
      </t>
    </mdx>
    <mdx n="508" f="v">
      <t c="3" si="4">
        <n x="509"/>
        <n x="130"/>
        <n x="507"/>
      </t>
    </mdx>
    <mdx n="508" f="v">
      <t c="3" si="4">
        <n x="509"/>
        <n x="77"/>
        <n x="507"/>
      </t>
    </mdx>
    <mdx n="508" f="v">
      <t c="3" si="4">
        <n x="509"/>
        <n x="451"/>
        <n x="507"/>
      </t>
    </mdx>
    <mdx n="508" f="v">
      <t c="3" si="4">
        <n x="509"/>
        <n x="328"/>
        <n x="505"/>
      </t>
    </mdx>
    <mdx n="508" f="v">
      <t c="3" si="4">
        <n x="509"/>
        <n x="121"/>
        <n x="505"/>
      </t>
    </mdx>
    <mdx n="508" f="v">
      <t c="3" si="4">
        <n x="509"/>
        <n x="327"/>
        <n x="506"/>
      </t>
    </mdx>
    <mdx n="508" f="v">
      <t c="3" si="4">
        <n x="509"/>
        <n x="24"/>
        <n x="506"/>
      </t>
    </mdx>
    <mdx n="508" f="v">
      <t c="3" si="4">
        <n x="509"/>
        <n x="15"/>
        <n x="506"/>
      </t>
    </mdx>
    <mdx n="508" f="v">
      <t c="3" si="4">
        <n x="509"/>
        <n x="211"/>
        <n x="506"/>
      </t>
    </mdx>
    <mdx n="508" f="v">
      <t c="3" si="4">
        <n x="509"/>
        <n x="366"/>
        <n x="506"/>
      </t>
    </mdx>
    <mdx n="508" f="v">
      <t c="3" si="4">
        <n x="509"/>
        <n x="53"/>
        <n x="506"/>
      </t>
    </mdx>
    <mdx n="508" f="v">
      <t c="3" si="4">
        <n x="509"/>
        <n x="35"/>
        <n x="506"/>
      </t>
    </mdx>
    <mdx n="508" f="v">
      <t c="3" si="4">
        <n x="509"/>
        <n x="171"/>
        <n x="507"/>
      </t>
    </mdx>
    <mdx n="508" f="v">
      <t c="3" si="4">
        <n x="509"/>
        <n x="401"/>
        <n x="507"/>
      </t>
    </mdx>
    <mdx n="508" f="v">
      <t c="3" si="4">
        <n x="509"/>
        <n x="75"/>
        <n x="507"/>
      </t>
    </mdx>
    <mdx n="508" f="v">
      <t c="3" si="4">
        <n x="509"/>
        <n x="102"/>
        <n x="507"/>
      </t>
    </mdx>
    <mdx n="508" f="v">
      <t c="3" si="4">
        <n x="509"/>
        <n x="113"/>
        <n x="507"/>
      </t>
    </mdx>
    <mdx n="508" f="v">
      <t c="3" si="4">
        <n x="509"/>
        <n x="63"/>
        <n x="507"/>
      </t>
    </mdx>
    <mdx n="508" f="v">
      <t c="3" si="4">
        <n x="509"/>
        <n x="51"/>
        <n x="507"/>
      </t>
    </mdx>
    <mdx n="508" f="v">
      <t c="3" si="4">
        <n x="509"/>
        <n x="223"/>
        <n x="505"/>
      </t>
    </mdx>
    <mdx n="508" f="v">
      <t c="3" si="4">
        <n x="509"/>
        <n x="12"/>
        <n x="505"/>
      </t>
    </mdx>
    <mdx n="508" f="v">
      <t c="3" si="4">
        <n x="509"/>
        <n x="219"/>
        <n x="506"/>
      </t>
    </mdx>
    <mdx n="508" f="v">
      <t c="3" si="4">
        <n x="509"/>
        <n x="321"/>
        <n x="506"/>
      </t>
    </mdx>
    <mdx n="508" f="v">
      <t c="3" si="4">
        <n x="509"/>
        <n x="70"/>
        <n x="506"/>
      </t>
    </mdx>
    <mdx n="508" f="v">
      <t c="3" si="4">
        <n x="509"/>
        <n x="280"/>
        <n x="506"/>
      </t>
    </mdx>
    <mdx n="508" f="v">
      <t c="3" si="4">
        <n x="509"/>
        <n x="179"/>
        <n x="506"/>
      </t>
    </mdx>
    <mdx n="508" f="v">
      <t c="3" si="4">
        <n x="509"/>
        <n x="421"/>
        <n x="506"/>
      </t>
    </mdx>
    <mdx n="508" f="v">
      <t c="3" si="4">
        <n x="509"/>
        <n x="398"/>
        <n x="506"/>
      </t>
    </mdx>
    <mdx n="508" f="v">
      <t c="3" si="4">
        <n x="509"/>
        <n x="145"/>
        <n x="507"/>
      </t>
    </mdx>
    <mdx n="508" f="v">
      <t c="3" si="4">
        <n x="509"/>
        <n x="382"/>
        <n x="507"/>
      </t>
    </mdx>
    <mdx n="508" f="v">
      <t c="3" si="4">
        <n x="509"/>
        <n x="361"/>
        <n x="507"/>
      </t>
    </mdx>
    <mdx n="508" f="v">
      <t c="3" si="4">
        <n x="509"/>
        <n x="300"/>
        <n x="507"/>
      </t>
    </mdx>
    <mdx n="508" f="v">
      <t c="3" si="4">
        <n x="509"/>
        <n x="85"/>
        <n x="507"/>
      </t>
    </mdx>
    <mdx n="508" f="v">
      <t c="3" si="4">
        <n x="509"/>
        <n x="409"/>
        <n x="507"/>
      </t>
    </mdx>
    <mdx n="508" f="v">
      <t c="3" si="4">
        <n x="509"/>
        <n x="152"/>
        <n x="507"/>
      </t>
    </mdx>
    <mdx n="508" f="v">
      <t c="3" si="4">
        <n x="509"/>
        <n x="258"/>
        <n x="507"/>
      </t>
    </mdx>
    <mdx n="508" f="v">
      <t c="3" si="4">
        <n x="509"/>
        <n x="221"/>
        <n x="507"/>
      </t>
    </mdx>
    <mdx n="508" f="v">
      <t c="3" si="4">
        <n x="509"/>
        <n x="442"/>
        <n x="507"/>
      </t>
    </mdx>
    <mdx n="508" f="v">
      <t c="3" si="4">
        <n x="509"/>
        <n x="461"/>
        <n x="507"/>
      </t>
    </mdx>
    <mdx n="508" f="v">
      <t c="3" si="4">
        <n x="509"/>
        <n x="373"/>
        <n x="507"/>
      </t>
    </mdx>
    <mdx n="508" f="v">
      <t c="3" si="4">
        <n x="509"/>
        <n x="338"/>
        <n x="507"/>
      </t>
    </mdx>
    <mdx n="508" f="v">
      <t c="3" si="4">
        <n x="509"/>
        <n x="415"/>
        <n x="507"/>
      </t>
    </mdx>
    <mdx n="508" f="v">
      <t c="3" si="4">
        <n x="509"/>
        <n x="315"/>
        <n x="506"/>
      </t>
    </mdx>
    <mdx n="508" f="v">
      <t c="3" si="4">
        <n x="509"/>
        <n x="11"/>
        <n x="506"/>
      </t>
    </mdx>
    <mdx n="508" f="v">
      <t c="3" si="4">
        <n x="509"/>
        <n x="291"/>
        <n x="506"/>
      </t>
    </mdx>
    <mdx n="508" f="v">
      <t c="3" si="4">
        <n x="509"/>
        <n x="62"/>
        <n x="506"/>
      </t>
    </mdx>
    <mdx n="508" f="v">
      <t c="3" si="4">
        <n x="509"/>
        <n x="353"/>
        <n x="506"/>
      </t>
    </mdx>
    <mdx n="508" f="v">
      <t c="3" si="4">
        <n x="509"/>
        <n x="148"/>
        <n x="506"/>
      </t>
    </mdx>
    <mdx n="508" f="v">
      <t c="3" si="4">
        <n x="509"/>
        <n x="397"/>
        <n x="506"/>
      </t>
    </mdx>
    <mdx n="508" f="v">
      <t c="3" si="4">
        <n x="509"/>
        <n x="33"/>
        <n x="507"/>
      </t>
    </mdx>
    <mdx n="508" f="v">
      <t c="3" si="4">
        <n x="509"/>
        <n x="321"/>
        <n x="507"/>
      </t>
    </mdx>
    <mdx n="508" f="v">
      <t c="3" si="4">
        <n x="509"/>
        <n x="354"/>
        <n x="507"/>
      </t>
    </mdx>
    <mdx n="508" f="v">
      <t c="3" si="4">
        <n x="509"/>
        <n x="203"/>
        <n x="507"/>
      </t>
    </mdx>
    <mdx n="508" f="v">
      <t c="3" si="4">
        <n x="509"/>
        <n x="78"/>
        <n x="507"/>
      </t>
    </mdx>
    <mdx n="508" f="v">
      <t c="3" si="4">
        <n x="509"/>
        <n x="135"/>
        <n x="507"/>
      </t>
    </mdx>
    <mdx n="508" f="v">
      <t c="3" si="4">
        <n x="509"/>
        <n x="344"/>
        <n x="507"/>
      </t>
    </mdx>
    <mdx n="508" f="v">
      <t c="3" si="4">
        <n x="509"/>
        <n x="68"/>
        <n x="505"/>
      </t>
    </mdx>
    <mdx n="508" f="v">
      <t c="3" si="4">
        <n x="509"/>
        <n x="372"/>
        <n x="506"/>
      </t>
    </mdx>
    <mdx n="508" f="v">
      <t c="3" si="4">
        <n x="509"/>
        <n x="203"/>
        <n x="506"/>
      </t>
    </mdx>
    <mdx n="508" f="v">
      <t c="3" si="4">
        <n x="509"/>
        <n x="184"/>
        <n x="506"/>
      </t>
    </mdx>
    <mdx n="508" f="v">
      <t c="3" si="4">
        <n x="509"/>
        <n x="156"/>
        <n x="506"/>
      </t>
    </mdx>
    <mdx n="508" f="v">
      <t c="3" si="4">
        <n x="509"/>
        <n x="342"/>
        <n x="506"/>
      </t>
    </mdx>
    <mdx n="508" f="v">
      <t c="3" si="4">
        <n x="509"/>
        <n x="136"/>
        <n x="506"/>
      </t>
    </mdx>
    <mdx n="508" f="v">
      <t c="3" si="4">
        <n x="509"/>
        <n x="118"/>
        <n x="506"/>
      </t>
    </mdx>
    <mdx n="508" f="v">
      <t c="3" si="4">
        <n x="509"/>
        <n x="302"/>
        <n x="506"/>
      </t>
    </mdx>
    <mdx n="508" f="v">
      <t c="3" si="4">
        <n x="509"/>
        <n x="219"/>
        <n x="507"/>
      </t>
    </mdx>
    <mdx n="508" f="v">
      <t c="3" si="4">
        <n x="509"/>
        <n x="184"/>
        <n x="507"/>
      </t>
    </mdx>
    <mdx n="508" f="v">
      <t c="3" si="4">
        <n x="509"/>
        <n x="186"/>
        <n x="507"/>
      </t>
    </mdx>
    <mdx n="508" f="v">
      <t c="3" si="4">
        <n x="509"/>
        <n x="280"/>
        <n x="507"/>
      </t>
    </mdx>
    <mdx n="508" f="v">
      <t c="3" si="4">
        <n x="509"/>
        <n x="34"/>
        <n x="507"/>
      </t>
    </mdx>
    <mdx n="508" f="v">
      <t c="3" si="4">
        <n x="509"/>
        <n x="379"/>
        <n x="507"/>
      </t>
    </mdx>
    <mdx n="508" f="v">
      <t c="3" si="4">
        <n x="509"/>
        <n x="114"/>
        <n x="507"/>
      </t>
    </mdx>
    <mdx n="508" f="v">
      <t c="3" si="4">
        <n x="509"/>
        <n x="172"/>
        <n x="500"/>
      </t>
    </mdx>
    <mdx n="508" f="v">
      <t c="3" si="4">
        <n x="509"/>
        <n x="29"/>
        <n x="500"/>
      </t>
    </mdx>
    <mdx n="508" f="v">
      <t c="3" si="4">
        <n x="509"/>
        <n x="423"/>
        <n x="501"/>
      </t>
    </mdx>
    <mdx n="508" f="v">
      <t c="3" si="4">
        <n x="509"/>
        <n x="289"/>
        <n x="501"/>
      </t>
    </mdx>
    <mdx n="508" f="v">
      <t c="3" si="4">
        <n x="509"/>
        <n x="49"/>
        <n x="501"/>
      </t>
    </mdx>
    <mdx n="508" f="v">
      <t c="3" si="4">
        <n x="509"/>
        <n x="450"/>
        <n x="502"/>
      </t>
    </mdx>
    <mdx n="508" f="v">
      <t c="3" si="4">
        <n x="509"/>
        <n x="333"/>
        <n x="502"/>
      </t>
    </mdx>
    <mdx n="508" f="v">
      <t c="3" si="4">
        <n x="509"/>
        <n x="115"/>
        <n x="503"/>
      </t>
    </mdx>
    <mdx n="508" f="v">
      <t c="3" si="4">
        <n x="509"/>
        <n x="125"/>
        <n x="505"/>
      </t>
    </mdx>
    <mdx n="508" f="v">
      <t c="3" si="4">
        <n x="509"/>
        <n x="270"/>
        <n x="502"/>
      </t>
    </mdx>
    <mdx n="508" f="v">
      <t c="3" si="4">
        <n x="509"/>
        <n x="115"/>
        <n x="502"/>
      </t>
    </mdx>
    <mdx n="508" f="v">
      <t c="3" si="4">
        <n x="509"/>
        <n x="132"/>
        <n x="503"/>
      </t>
    </mdx>
    <mdx n="508" f="v">
      <t c="3" si="4">
        <n x="509"/>
        <n x="125"/>
        <n x="504"/>
      </t>
    </mdx>
    <mdx n="508" f="v">
      <t c="3" si="4">
        <n x="509"/>
        <n x="123"/>
        <n x="501"/>
      </t>
    </mdx>
    <mdx n="508" f="v">
      <t c="3" si="4">
        <n x="509"/>
        <n x="35"/>
        <n x="502"/>
      </t>
    </mdx>
    <mdx n="508" f="v">
      <t c="3" si="4">
        <n x="509"/>
        <n x="313"/>
        <n x="502"/>
      </t>
    </mdx>
    <mdx n="508" f="v">
      <t c="3" si="4">
        <n x="509"/>
        <n x="201"/>
        <n x="502"/>
      </t>
    </mdx>
    <mdx n="508" f="v">
      <t c="3" si="4">
        <n x="509"/>
        <n x="438"/>
        <n x="503"/>
      </t>
    </mdx>
    <mdx n="508" f="v">
      <t c="3" si="4">
        <n x="509"/>
        <n x="144"/>
        <n x="504"/>
      </t>
    </mdx>
    <mdx n="508" f="v">
      <t c="3" si="4">
        <n x="509"/>
        <n x="282"/>
        <n x="501"/>
      </t>
    </mdx>
    <mdx n="508" f="v">
      <t c="3" si="4">
        <n x="509"/>
        <n x="67"/>
        <n x="501"/>
      </t>
    </mdx>
    <mdx n="508" f="v">
      <t c="3" si="4">
        <n x="509"/>
        <n x="94"/>
        <n x="502"/>
      </t>
    </mdx>
    <mdx n="508" f="v">
      <t c="3" si="4">
        <n x="509"/>
        <n x="341"/>
        <n x="502"/>
      </t>
    </mdx>
    <mdx n="508" f="v">
      <t c="3" si="4">
        <n x="509"/>
        <n x="315"/>
        <n x="503"/>
      </t>
    </mdx>
    <mdx n="508" f="v">
      <t c="3" si="4">
        <n x="509"/>
        <n x="377"/>
        <n x="503"/>
      </t>
    </mdx>
    <mdx n="508" f="v">
      <t c="3" si="4">
        <n x="509"/>
        <n x="24"/>
        <n x="504"/>
      </t>
    </mdx>
    <mdx n="508" f="v">
      <t c="3" si="4">
        <n x="509"/>
        <n x="230"/>
        <n x="505"/>
      </t>
    </mdx>
    <mdx n="508" f="v">
      <t c="3" si="4">
        <n x="509"/>
        <n x="382"/>
        <n x="502"/>
      </t>
    </mdx>
    <mdx n="508" f="v">
      <t c="3" si="4">
        <n x="509"/>
        <n x="141"/>
        <n x="502"/>
      </t>
    </mdx>
    <mdx n="508" f="v">
      <t c="3" si="4">
        <n x="509"/>
        <n x="356"/>
        <n x="502"/>
      </t>
    </mdx>
    <mdx n="508" f="v">
      <t c="3" si="4">
        <n x="509"/>
        <n x="452"/>
        <n x="502"/>
      </t>
    </mdx>
    <mdx n="508" f="v">
      <t c="3" si="4">
        <n x="509"/>
        <n x="410"/>
        <n x="503"/>
      </t>
    </mdx>
    <mdx n="508" f="v">
      <t c="3" si="4">
        <n x="509"/>
        <n x="292"/>
        <n x="503"/>
      </t>
    </mdx>
    <mdx n="508" f="v">
      <t c="3" si="4">
        <n x="509"/>
        <n x="148"/>
        <n x="503"/>
      </t>
    </mdx>
    <mdx n="508" f="v">
      <t c="3" si="4">
        <n x="509"/>
        <n x="133"/>
        <n x="504"/>
      </t>
    </mdx>
    <mdx n="508" f="v">
      <t c="3" si="4">
        <n x="509"/>
        <n x="378"/>
        <n x="504"/>
      </t>
    </mdx>
    <mdx n="508" f="v">
      <t c="3" si="4">
        <n x="509"/>
        <n x="260"/>
        <n x="502"/>
      </t>
    </mdx>
    <mdx n="508" f="v">
      <t c="3" si="4">
        <n x="509"/>
        <n x="387"/>
        <n x="502"/>
      </t>
    </mdx>
    <mdx n="508" f="v">
      <t c="3" si="4">
        <n x="509"/>
        <n x="129"/>
        <n x="502"/>
      </t>
    </mdx>
    <mdx n="508" f="v">
      <t c="3" si="4">
        <n x="509"/>
        <n x="264"/>
        <n x="502"/>
      </t>
    </mdx>
    <mdx n="508" f="v">
      <t c="3" si="4">
        <n x="509"/>
        <n x="9"/>
        <n x="502"/>
      </t>
    </mdx>
    <mdx n="508" f="v">
      <t c="3" si="4">
        <n x="509"/>
        <n x="321"/>
        <n x="503"/>
      </t>
    </mdx>
    <mdx n="508" f="v">
      <t c="3" si="4">
        <n x="509"/>
        <n x="224"/>
        <n x="503"/>
      </t>
    </mdx>
    <mdx n="508" f="v">
      <t c="3" si="4">
        <n x="509"/>
        <n x="329"/>
        <n x="503"/>
      </t>
    </mdx>
    <mdx n="508" f="v">
      <t c="3" si="4">
        <n x="509"/>
        <n x="138"/>
        <n x="504"/>
      </t>
    </mdx>
    <mdx n="508" f="v">
      <t c="3" si="4">
        <n x="509"/>
        <n x="392"/>
        <n x="504"/>
      </t>
    </mdx>
    <mdx n="508" f="v">
      <t c="3" si="4">
        <n x="509"/>
        <n x="429"/>
        <n x="506"/>
      </t>
    </mdx>
    <mdx n="508" f="v">
      <t c="3" si="4">
        <n x="509"/>
        <n x="47"/>
        <n x="503"/>
      </t>
    </mdx>
    <mdx n="508" f="v">
      <t c="3" si="4">
        <n x="509"/>
        <n x="361"/>
        <n x="503"/>
      </t>
    </mdx>
    <mdx n="508" f="v">
      <t c="3" si="4">
        <n x="509"/>
        <n x="355"/>
        <n x="503"/>
      </t>
    </mdx>
    <mdx n="508" f="v">
      <t c="3" si="4">
        <n x="509"/>
        <n x="11"/>
        <n x="504"/>
      </t>
    </mdx>
    <mdx n="508" f="v">
      <t c="3" si="4">
        <n x="509"/>
        <n x="204"/>
        <n x="504"/>
      </t>
    </mdx>
    <mdx n="508" f="v">
      <t c="3" si="4">
        <n x="509"/>
        <n x="210"/>
        <n x="507"/>
      </t>
    </mdx>
    <mdx n="508" f="v">
      <t c="3" si="4">
        <n x="509"/>
        <n x="359"/>
        <n x="505"/>
      </t>
    </mdx>
    <mdx n="508" f="v">
      <t c="3" si="4">
        <n x="509"/>
        <n x="141"/>
        <n x="505"/>
      </t>
    </mdx>
    <mdx n="508" f="v">
      <t c="3" si="4">
        <n x="509"/>
        <n x="319"/>
        <n x="505"/>
      </t>
    </mdx>
    <mdx n="508" f="v">
      <t c="3" si="4">
        <n x="509"/>
        <n x="290"/>
        <n x="506"/>
      </t>
    </mdx>
    <mdx n="508" f="v">
      <t c="3" si="4">
        <n x="509"/>
        <n x="462"/>
        <n x="507"/>
      </t>
    </mdx>
    <mdx n="508" f="v">
      <t c="3" si="4">
        <n x="509"/>
        <n x="414"/>
        <n x="502"/>
      </t>
    </mdx>
    <mdx n="508" f="v">
      <t c="3" si="4">
        <n x="509"/>
        <n x="310"/>
        <n x="502"/>
      </t>
    </mdx>
    <mdx n="508" f="v">
      <t c="3" si="4">
        <n x="509"/>
        <n x="391"/>
        <n x="503"/>
      </t>
    </mdx>
    <mdx n="508" f="v">
      <t c="3" si="4">
        <n x="509"/>
        <n x="156"/>
        <n x="503"/>
      </t>
    </mdx>
    <mdx n="508" f="v">
      <t c="3" si="4">
        <n x="509"/>
        <n x="462"/>
        <n x="503"/>
      </t>
    </mdx>
    <mdx n="508" f="v">
      <t c="3" si="4">
        <n x="509"/>
        <n x="110"/>
        <n x="503"/>
      </t>
    </mdx>
    <mdx n="508" f="v">
      <t c="3" si="4">
        <n x="509"/>
        <n x="316"/>
        <n x="503"/>
      </t>
    </mdx>
    <mdx n="508" f="v">
      <t c="3" si="4">
        <n x="509"/>
        <n x="332"/>
        <n x="503"/>
      </t>
    </mdx>
    <mdx n="508" f="v">
      <t c="3" si="4">
        <n x="509"/>
        <n x="397"/>
        <n x="503"/>
      </t>
    </mdx>
    <mdx n="508" f="v">
      <t c="3" si="4">
        <n x="509"/>
        <n x="437"/>
        <n x="504"/>
      </t>
    </mdx>
    <mdx n="508" f="v">
      <t c="3" si="4">
        <n x="509"/>
        <n x="304"/>
        <n x="504"/>
      </t>
    </mdx>
    <mdx n="508" f="v">
      <t c="3" si="4">
        <n x="509"/>
        <n x="256"/>
        <n x="504"/>
      </t>
    </mdx>
    <mdx n="508" f="v">
      <t c="3" si="4">
        <n x="509"/>
        <n x="269"/>
        <n x="504"/>
      </t>
    </mdx>
    <mdx n="508" f="v">
      <t c="3" si="4">
        <n x="509"/>
        <n x="82"/>
        <n x="504"/>
      </t>
    </mdx>
    <mdx n="508" f="v">
      <t c="3" si="4">
        <n x="509"/>
        <n x="103"/>
        <n x="504"/>
      </t>
    </mdx>
    <mdx n="508" f="v">
      <t c="3" si="4">
        <n x="509"/>
        <n x="69"/>
        <n x="505"/>
      </t>
    </mdx>
    <mdx n="508" f="v">
      <t c="3" si="4">
        <n x="509"/>
        <n x="326"/>
        <n x="505"/>
      </t>
    </mdx>
    <mdx n="508" f="v">
      <t c="3" si="4">
        <n x="509"/>
        <n x="145"/>
        <n x="506"/>
      </t>
    </mdx>
    <mdx n="508" f="v">
      <t c="3" si="4">
        <n x="509"/>
        <n x="39"/>
        <n x="506"/>
      </t>
    </mdx>
    <mdx n="508" f="v">
      <t c="3" si="4">
        <n x="509"/>
        <n x="405"/>
        <n x="502"/>
      </t>
    </mdx>
    <mdx n="508" f="v">
      <t c="3" si="4">
        <n x="509"/>
        <n x="124"/>
        <n x="502"/>
      </t>
    </mdx>
    <mdx n="508" f="v">
      <t c="3" si="4">
        <n x="509"/>
        <n x="382"/>
        <n x="503"/>
      </t>
    </mdx>
    <mdx n="508" f="v">
      <t c="3" si="4">
        <n x="509"/>
        <n x="184"/>
        <n x="503"/>
      </t>
    </mdx>
    <mdx n="508" f="v">
      <t c="3" si="4">
        <n x="509"/>
        <n x="313"/>
        <n x="503"/>
      </t>
    </mdx>
    <mdx n="508" f="v">
      <t c="3" si="4">
        <n x="509"/>
        <n x="411"/>
        <n x="503"/>
      </t>
    </mdx>
    <mdx n="508" f="v">
      <t c="3" si="4">
        <n x="509"/>
        <n x="445"/>
        <n x="503"/>
      </t>
    </mdx>
    <mdx n="508" f="v">
      <t c="3" si="4">
        <n x="509"/>
        <n x="446"/>
        <n x="503"/>
      </t>
    </mdx>
    <mdx n="508" f="v">
      <t c="3" si="4">
        <n x="509"/>
        <n x="204"/>
        <n x="503"/>
      </t>
    </mdx>
    <mdx n="508" f="v">
      <t c="3" si="4">
        <n x="509"/>
        <n x="32"/>
        <n x="504"/>
      </t>
    </mdx>
    <mdx n="508" f="v">
      <t c="3" si="4">
        <n x="509"/>
        <n x="387"/>
        <n x="504"/>
      </t>
    </mdx>
    <mdx n="508" f="v">
      <t c="3" si="4">
        <n x="509"/>
        <n x="394"/>
        <n x="504"/>
      </t>
    </mdx>
    <mdx n="508" f="v">
      <t c="3" si="4">
        <n x="509"/>
        <n x="422"/>
        <n x="504"/>
      </t>
    </mdx>
    <mdx n="508" f="v">
      <t c="3" si="4">
        <n x="509"/>
        <n x="341"/>
        <n x="504"/>
      </t>
    </mdx>
    <mdx n="508" f="v">
      <t c="3" si="4">
        <n x="509"/>
        <n x="214"/>
        <n x="504"/>
      </t>
    </mdx>
    <mdx n="508" f="v">
      <t c="3" si="4">
        <n x="509"/>
        <n x="402"/>
        <n x="505"/>
      </t>
    </mdx>
    <mdx n="508" f="v">
      <t c="3" si="4">
        <n x="509"/>
        <n x="351"/>
        <n x="505"/>
      </t>
    </mdx>
    <mdx n="508" f="v">
      <t c="3" si="4">
        <n x="509"/>
        <n x="195"/>
        <n x="505"/>
      </t>
    </mdx>
    <mdx n="508" f="v">
      <t c="3" si="4">
        <n x="509"/>
        <n x="306"/>
        <n x="506"/>
      </t>
    </mdx>
    <mdx n="508" f="v">
      <t c="3" si="4">
        <n x="509"/>
        <n x="207"/>
        <n x="507"/>
      </t>
    </mdx>
    <mdx n="508" f="v">
      <t c="3" si="4">
        <n x="509"/>
        <n x="81"/>
        <n x="503"/>
      </t>
    </mdx>
    <mdx n="508" f="v">
      <t c="3" si="4">
        <n x="509"/>
        <n x="65"/>
        <n x="504"/>
      </t>
    </mdx>
    <mdx n="508" f="v">
      <t c="3" si="4">
        <n x="509"/>
        <n x="243"/>
        <n x="504"/>
      </t>
    </mdx>
    <mdx n="508" f="v">
      <t c="3" si="4">
        <n x="509"/>
        <n x="343"/>
        <n x="504"/>
      </t>
    </mdx>
    <mdx n="508" f="v">
      <t c="3" si="4">
        <n x="509"/>
        <n x="439"/>
        <n x="504"/>
      </t>
    </mdx>
    <mdx n="508" f="v">
      <t c="3" si="4">
        <n x="509"/>
        <n x="170"/>
        <n x="504"/>
      </t>
    </mdx>
    <mdx n="508" f="v">
      <t c="3" si="4">
        <n x="509"/>
        <n x="228"/>
        <n x="504"/>
      </t>
    </mdx>
    <mdx n="508" f="v">
      <t c="3" si="4">
        <n x="509"/>
        <n x="158"/>
        <n x="505"/>
      </t>
    </mdx>
    <mdx n="508" f="v">
      <t c="3" si="4">
        <n x="509"/>
        <n x="385"/>
        <n x="505"/>
      </t>
    </mdx>
    <mdx n="508" f="v">
      <t c="3" si="4">
        <n x="509"/>
        <n x="10"/>
        <n x="505"/>
      </t>
    </mdx>
    <mdx n="508" f="v">
      <t c="3" si="4">
        <n x="509"/>
        <n x="44"/>
        <n x="506"/>
      </t>
    </mdx>
    <mdx n="508" f="v">
      <t c="3" si="4">
        <n x="509"/>
        <n x="138"/>
        <n x="507"/>
      </t>
    </mdx>
    <mdx n="508" f="v">
      <t c="3" si="4">
        <n x="509"/>
        <n x="66"/>
        <n x="503"/>
      </t>
    </mdx>
    <mdx n="508" f="v">
      <t c="3" si="4">
        <n x="509"/>
        <n x="351"/>
        <n x="503"/>
      </t>
    </mdx>
    <mdx n="508" f="v">
      <t c="3" si="4">
        <n x="509"/>
        <n x="308"/>
        <n x="503"/>
      </t>
    </mdx>
    <mdx n="508" f="v">
      <t c="3" si="4">
        <n x="509"/>
        <n x="122"/>
        <n x="503"/>
      </t>
    </mdx>
    <mdx n="508" f="v">
      <t c="3" si="4">
        <n x="509"/>
        <n x="114"/>
        <n x="503"/>
      </t>
    </mdx>
    <mdx n="508" f="v">
      <t c="3" si="4">
        <n x="509"/>
        <n x="158"/>
        <n x="504"/>
      </t>
    </mdx>
    <mdx n="508" f="v">
      <t c="3" si="4">
        <n x="509"/>
        <n x="182"/>
        <n x="504"/>
      </t>
    </mdx>
    <mdx n="508" f="v">
      <t c="3" si="4">
        <n x="509"/>
        <n x="72"/>
        <n x="504"/>
      </t>
    </mdx>
    <mdx n="508" f="v">
      <t c="3" si="4">
        <n x="509"/>
        <n x="211"/>
        <n x="504"/>
      </t>
    </mdx>
    <mdx n="508" f="v">
      <t c="3" si="4">
        <n x="509"/>
        <n x="173"/>
        <n x="504"/>
      </t>
    </mdx>
    <mdx n="508" f="v">
      <t c="3" si="4">
        <n x="509"/>
        <n x="302"/>
        <n x="504"/>
      </t>
    </mdx>
    <mdx n="508" f="v">
      <t c="3" si="4">
        <n x="509"/>
        <n x="184"/>
        <n x="505"/>
      </t>
    </mdx>
    <mdx n="508" f="v">
      <t c="3" si="4">
        <n x="509"/>
        <n x="101"/>
        <n x="505"/>
      </t>
    </mdx>
    <mdx n="508" f="v">
      <t c="3" si="4">
        <n x="509"/>
        <n x="460"/>
        <n x="506"/>
      </t>
    </mdx>
    <mdx n="508" f="v">
      <t c="3" si="4">
        <n x="509"/>
        <n x="215"/>
        <n x="506"/>
      </t>
    </mdx>
    <mdx n="508" f="v">
      <t c="3" si="4">
        <n x="509"/>
        <n x="400"/>
        <n x="503"/>
      </t>
    </mdx>
    <mdx n="508" f="v">
      <t c="3" si="4">
        <n x="509"/>
        <n x="52"/>
        <n x="503"/>
      </t>
    </mdx>
    <mdx n="508" f="v">
      <t c="3" si="4">
        <n x="509"/>
        <n x="231"/>
        <n x="503"/>
      </t>
    </mdx>
    <mdx n="508" f="v">
      <t c="3" si="4">
        <n x="509"/>
        <n x="263"/>
        <n x="503"/>
      </t>
    </mdx>
    <mdx n="508" f="v">
      <t c="3" si="4">
        <n x="509"/>
        <n x="13"/>
        <n x="503"/>
      </t>
    </mdx>
    <mdx n="508" f="v">
      <t c="3" si="4">
        <n x="509"/>
        <n x="90"/>
        <n x="503"/>
      </t>
    </mdx>
    <mdx n="508" f="v">
      <t c="3" si="4">
        <n x="509"/>
        <n x="30"/>
        <n x="504"/>
      </t>
    </mdx>
    <mdx n="508" f="v">
      <t c="3" si="4">
        <n x="509"/>
        <n x="283"/>
        <n x="504"/>
      </t>
    </mdx>
    <mdx n="508" f="v">
      <t c="3" si="4">
        <n x="509"/>
        <n x="192"/>
        <n x="504"/>
      </t>
    </mdx>
    <mdx n="508" f="v">
      <t c="3" si="4">
        <n x="509"/>
        <n x="276"/>
        <n x="504"/>
      </t>
    </mdx>
    <mdx n="508" f="v">
      <t c="3" si="4">
        <n x="509"/>
        <n x="163"/>
        <n x="504"/>
      </t>
    </mdx>
    <mdx n="508" f="v">
      <t c="3" si="4">
        <n x="509"/>
        <n x="279"/>
        <n x="505"/>
      </t>
    </mdx>
    <mdx n="508" f="v">
      <t c="3" si="4">
        <n x="509"/>
        <n x="410"/>
        <n x="505"/>
      </t>
    </mdx>
    <mdx n="508" f="v">
      <t c="3" si="4">
        <n x="509"/>
        <n x="248"/>
        <n x="505"/>
      </t>
    </mdx>
    <mdx n="508" f="v">
      <t c="3" si="4">
        <n x="509"/>
        <n x="225"/>
        <n x="506"/>
      </t>
    </mdx>
    <mdx n="508" f="v">
      <t c="3" si="4">
        <n x="509"/>
        <n x="378"/>
        <n x="506"/>
      </t>
    </mdx>
    <mdx n="508" f="v">
      <t c="3" si="4">
        <n x="509"/>
        <n x="313"/>
        <n x="504"/>
      </t>
    </mdx>
    <mdx n="508" f="v">
      <t c="3" si="4">
        <n x="509"/>
        <n x="334"/>
        <n x="504"/>
      </t>
    </mdx>
    <mdx n="508" f="v">
      <t c="3" si="4">
        <n x="509"/>
        <n x="50"/>
        <n x="504"/>
      </t>
    </mdx>
    <mdx n="508" f="v">
      <t c="3" si="4">
        <n x="509"/>
        <n x="177"/>
        <n x="504"/>
      </t>
    </mdx>
    <mdx n="508" f="v">
      <t c="3" si="4">
        <n x="509"/>
        <n x="270"/>
        <n x="505"/>
      </t>
    </mdx>
    <mdx n="508" f="v">
      <t c="3" si="4">
        <n x="509"/>
        <n x="401"/>
        <n x="505"/>
      </t>
    </mdx>
    <mdx n="508" f="v">
      <t c="3" si="4">
        <n x="509"/>
        <n x="241"/>
        <n x="505"/>
      </t>
    </mdx>
    <mdx n="508" f="v">
      <t c="3" si="4">
        <n x="509"/>
        <n x="128"/>
        <n x="505"/>
      </t>
    </mdx>
    <mdx n="508" f="v">
      <t c="3" si="4">
        <n x="509"/>
        <n x="18"/>
        <n x="505"/>
      </t>
    </mdx>
    <mdx n="508" f="v">
      <t c="3" si="4">
        <n x="509"/>
        <n x="205"/>
        <n x="505"/>
      </t>
    </mdx>
    <mdx n="508" f="v">
      <t c="3" si="4">
        <n x="509"/>
        <n x="259"/>
        <n x="505"/>
      </t>
    </mdx>
    <mdx n="508" f="v">
      <t c="3" si="4">
        <n x="509"/>
        <n x="182"/>
        <n x="506"/>
      </t>
    </mdx>
    <mdx n="508" f="v">
      <t c="3" si="4">
        <n x="509"/>
        <n x="335"/>
        <n x="506"/>
      </t>
    </mdx>
    <mdx n="508" f="v">
      <t c="3" si="4">
        <n x="509"/>
        <n x="389"/>
        <n x="506"/>
      </t>
    </mdx>
    <mdx n="508" f="v">
      <t c="3" si="4">
        <n x="509"/>
        <n x="296"/>
        <n x="507"/>
      </t>
    </mdx>
    <mdx n="508" f="v">
      <t c="3" si="4">
        <n x="509"/>
        <n x="262"/>
        <n x="507"/>
      </t>
    </mdx>
    <mdx n="508" f="v">
      <t c="3" si="4">
        <n x="509"/>
        <n x="188"/>
        <n x="504"/>
      </t>
    </mdx>
    <mdx n="508" f="v">
      <t c="3" si="4">
        <n x="509"/>
        <n x="190"/>
        <n x="505"/>
      </t>
    </mdx>
    <mdx n="508" f="v">
      <t c="3" si="4">
        <n x="509"/>
        <n x="252"/>
        <n x="505"/>
      </t>
    </mdx>
    <mdx n="508" f="v">
      <t c="3" si="4">
        <n x="509"/>
        <n x="339"/>
        <n x="505"/>
      </t>
    </mdx>
    <mdx n="508" f="v">
      <t c="3" si="4">
        <n x="509"/>
        <n x="29"/>
        <n x="505"/>
      </t>
    </mdx>
    <mdx n="508" f="v">
      <t c="3" si="4">
        <n x="509"/>
        <n x="130"/>
        <n x="505"/>
      </t>
    </mdx>
    <mdx n="508" f="v">
      <t c="3" si="4">
        <n x="509"/>
        <n x="196"/>
        <n x="505"/>
      </t>
    </mdx>
    <mdx n="508" f="v">
      <t c="3" si="4">
        <n x="509"/>
        <n x="432"/>
        <n x="505"/>
      </t>
    </mdx>
    <mdx n="508" f="v">
      <t c="3" si="4">
        <n x="509"/>
        <n x="369"/>
        <n x="506"/>
      </t>
    </mdx>
    <mdx n="508" f="v">
      <t c="3" si="4">
        <n x="509"/>
        <n x="422"/>
        <n x="506"/>
      </t>
    </mdx>
    <mdx n="508" f="v">
      <t c="3" si="4">
        <n x="509"/>
        <n x="248"/>
        <n x="506"/>
      </t>
    </mdx>
    <mdx n="508" f="v">
      <t c="3" si="4">
        <n x="509"/>
        <n x="199"/>
        <n x="507"/>
      </t>
    </mdx>
    <mdx n="508" f="v">
      <t c="3" si="4">
        <n x="509"/>
        <n x="202"/>
        <n x="507"/>
      </t>
    </mdx>
    <mdx n="508" f="v">
      <t c="3" si="4">
        <n x="509"/>
        <n x="384"/>
        <n x="504"/>
      </t>
    </mdx>
    <mdx n="508" f="v">
      <t c="3" si="4">
        <n x="509"/>
        <n x="411"/>
        <n x="504"/>
      </t>
    </mdx>
    <mdx n="508" f="v">
      <t c="3" si="4">
        <n x="509"/>
        <n x="205"/>
        <n x="504"/>
      </t>
    </mdx>
    <mdx n="508" f="v">
      <t c="3" si="4">
        <n x="509"/>
        <n x="444"/>
        <n x="504"/>
      </t>
    </mdx>
    <mdx n="508" f="v">
      <t c="3" si="4">
        <n x="509"/>
        <n x="187"/>
        <n x="505"/>
      </t>
    </mdx>
    <mdx n="508" f="v">
      <t c="3" si="4">
        <n x="509"/>
        <n x="139"/>
        <n x="505"/>
      </t>
    </mdx>
    <mdx n="508" f="v">
      <t c="3" si="4">
        <n x="509"/>
        <n x="336"/>
        <n x="505"/>
      </t>
    </mdx>
    <mdx n="508" f="v">
      <t c="3" si="4">
        <n x="509"/>
        <n x="250"/>
        <n x="505"/>
      </t>
    </mdx>
    <mdx n="508" f="v">
      <t c="3" si="4">
        <n x="509"/>
        <n x="399"/>
        <n x="505"/>
      </t>
    </mdx>
    <mdx n="508" f="v">
      <t c="3" si="4">
        <n x="509"/>
        <n x="61"/>
        <n x="505"/>
      </t>
    </mdx>
    <mdx n="508" f="v">
      <t c="3" si="4">
        <n x="509"/>
        <n x="428"/>
        <n x="505"/>
      </t>
    </mdx>
    <mdx n="508" f="v">
      <t c="3" si="4">
        <n x="509"/>
        <n x="368"/>
        <n x="506"/>
      </t>
    </mdx>
    <mdx n="508" f="v">
      <t c="3" si="4">
        <n x="509"/>
        <n x="41"/>
        <n x="506"/>
      </t>
    </mdx>
    <mdx n="508" f="v">
      <t c="3" si="4">
        <n x="509"/>
        <n x="26"/>
        <n x="506"/>
      </t>
    </mdx>
    <mdx n="508" f="v">
      <t c="3" si="4">
        <n x="509"/>
        <n x="209"/>
        <n x="507"/>
      </t>
    </mdx>
    <mdx n="508" f="v">
      <t c="3" si="4">
        <n x="509"/>
        <n x="447"/>
        <n x="507"/>
      </t>
    </mdx>
    <mdx n="508" f="v">
      <t c="3" si="4">
        <n x="509"/>
        <n x="192"/>
        <n x="505"/>
      </t>
    </mdx>
    <mdx n="508" f="v">
      <t c="3" si="4">
        <n x="509"/>
        <n x="180"/>
        <n x="505"/>
      </t>
    </mdx>
    <mdx n="508" f="v">
      <t c="3" si="4">
        <n x="509"/>
        <n x="329"/>
        <n x="505"/>
      </t>
    </mdx>
    <mdx n="508" f="v">
      <t c="3" si="4">
        <n x="509"/>
        <n x="388"/>
        <n x="505"/>
      </t>
    </mdx>
    <mdx n="508" f="v">
      <t c="3" si="4">
        <n x="509"/>
        <n x="45"/>
        <n x="506"/>
      </t>
    </mdx>
    <mdx n="508" f="v">
      <t c="3" si="4">
        <n x="509"/>
        <n x="339"/>
        <n x="506"/>
      </t>
    </mdx>
    <mdx n="508" f="v">
      <t c="3" si="4">
        <n x="509"/>
        <n x="106"/>
        <n x="506"/>
      </t>
    </mdx>
    <mdx n="508" f="v">
      <t c="3" si="4">
        <n x="509"/>
        <n x="365"/>
        <n x="506"/>
      </t>
    </mdx>
    <mdx n="508" f="v">
      <t c="3" si="4">
        <n x="509"/>
        <n x="306"/>
        <n x="507"/>
      </t>
    </mdx>
    <mdx n="508" f="v">
      <t c="3" si="4">
        <n x="509"/>
        <n x="338"/>
        <n x="504"/>
      </t>
    </mdx>
    <mdx n="508" f="v">
      <t c="3" si="4">
        <n x="509"/>
        <n x="159"/>
        <n x="504"/>
      </t>
    </mdx>
    <mdx n="508" f="v">
      <t c="3" si="4">
        <n x="509"/>
        <n x="45"/>
        <n x="505"/>
      </t>
    </mdx>
    <mdx n="508" f="v">
      <t c="3" si="4">
        <n x="509"/>
        <n x="21"/>
        <n x="505"/>
      </t>
    </mdx>
    <mdx n="508" f="v">
      <t c="3" si="4">
        <n x="509"/>
        <n x="394"/>
        <n x="505"/>
      </t>
    </mdx>
    <mdx n="508" f="v">
      <t c="3" si="4">
        <n x="509"/>
        <n x="17"/>
        <n x="505"/>
      </t>
    </mdx>
    <mdx n="508" f="v">
      <t c="3" si="4">
        <n x="509"/>
        <n x="106"/>
        <n x="505"/>
      </t>
    </mdx>
    <mdx n="508" f="v">
      <t c="3" si="4">
        <n x="509"/>
        <n x="452"/>
        <n x="505"/>
      </t>
    </mdx>
    <mdx n="508" f="v">
      <t c="3" si="4">
        <n x="509"/>
        <n x="398"/>
        <n x="505"/>
      </t>
    </mdx>
    <mdx n="508" f="v">
      <t c="3" si="4">
        <n x="509"/>
        <n x="418"/>
        <n x="506"/>
      </t>
    </mdx>
    <mdx n="508" f="v">
      <t c="3" si="4">
        <n x="509"/>
        <n x="384"/>
        <n x="506"/>
      </t>
    </mdx>
    <mdx n="508" f="v">
      <t c="3" si="4">
        <n x="509"/>
        <n x="82"/>
        <n x="506"/>
      </t>
    </mdx>
    <mdx n="508" f="v">
      <t c="3" si="4">
        <n x="509"/>
        <n x="419"/>
        <n x="507"/>
      </t>
    </mdx>
    <mdx n="508" f="v">
      <t c="3" si="4">
        <n x="509"/>
        <n x="380"/>
        <n x="507"/>
      </t>
    </mdx>
    <mdx n="508" f="v">
      <t c="3" si="4">
        <n x="509"/>
        <n x="426"/>
        <n x="507"/>
      </t>
    </mdx>
    <mdx n="508" f="v">
      <t c="3" si="4">
        <n x="509"/>
        <n x="388"/>
        <n x="507"/>
      </t>
    </mdx>
    <mdx n="508" f="v">
      <t c="3" si="4">
        <n x="509"/>
        <n x="239"/>
        <n x="507"/>
      </t>
    </mdx>
    <mdx n="508" f="v">
      <t c="3" si="4">
        <n x="509"/>
        <n x="434"/>
        <n x="507"/>
      </t>
    </mdx>
    <mdx n="508" f="v">
      <t c="3" si="4">
        <n x="509"/>
        <n x="407"/>
        <n x="507"/>
      </t>
    </mdx>
    <mdx n="508" f="v">
      <t c="3" si="4">
        <n x="509"/>
        <n x="303"/>
        <n x="507"/>
      </t>
    </mdx>
    <mdx n="508" f="v">
      <t c="3" si="4">
        <n x="509"/>
        <n x="322"/>
        <n x="507"/>
      </t>
    </mdx>
    <mdx n="508" f="v">
      <t c="3" si="4">
        <n x="509"/>
        <n x="115"/>
        <n x="507"/>
      </t>
    </mdx>
    <mdx n="508" f="v">
      <t c="3" si="4">
        <n x="509"/>
        <n x="452"/>
        <n x="507"/>
      </t>
    </mdx>
    <mdx n="508" f="v">
      <t c="3" si="4">
        <n x="509"/>
        <n x="271"/>
        <n x="507"/>
      </t>
    </mdx>
    <mdx n="508" f="v">
      <t c="3" si="4">
        <n x="509"/>
        <n x="112"/>
        <n x="505"/>
      </t>
    </mdx>
    <mdx n="508" f="v">
      <t c="3" si="4">
        <n x="509"/>
        <n x="16"/>
        <n x="505"/>
      </t>
    </mdx>
    <mdx n="508" f="v">
      <t c="3" si="4">
        <n x="509"/>
        <n x="222"/>
        <n x="506"/>
      </t>
    </mdx>
    <mdx n="508" f="v">
      <t c="3" si="4">
        <n x="509"/>
        <n x="221"/>
        <n x="506"/>
      </t>
    </mdx>
    <mdx n="508" f="v">
      <t c="3" si="4">
        <n x="509"/>
        <n x="75"/>
        <n x="506"/>
      </t>
    </mdx>
    <mdx n="508" f="v">
      <t c="3" si="4">
        <n x="509"/>
        <n x="64"/>
        <n x="506"/>
      </t>
    </mdx>
    <mdx n="508" f="v">
      <t c="3" si="4">
        <n x="509"/>
        <n x="183"/>
        <n x="506"/>
      </t>
    </mdx>
    <mdx n="508" f="v">
      <t c="3" si="4">
        <n x="509"/>
        <n x="425"/>
        <n x="506"/>
      </t>
    </mdx>
    <mdx n="508" f="v">
      <t c="3" si="4">
        <n x="509"/>
        <n x="403"/>
        <n x="506"/>
      </t>
    </mdx>
    <mdx n="508" f="v">
      <t c="3" si="4">
        <n x="509"/>
        <n x="37"/>
        <n x="507"/>
      </t>
    </mdx>
    <mdx n="508" f="v">
      <t c="3" si="4">
        <n x="509"/>
        <n x="386"/>
        <n x="507"/>
      </t>
    </mdx>
    <mdx n="508" f="v">
      <t c="3" si="4">
        <n x="509"/>
        <n x="283"/>
        <n x="507"/>
      </t>
    </mdx>
    <mdx n="508" f="v">
      <t c="3" si="4">
        <n x="509"/>
        <n x="79"/>
        <n x="507"/>
      </t>
    </mdx>
    <mdx n="508" f="v">
      <t c="3" si="4">
        <n x="509"/>
        <n x="91"/>
        <n x="507"/>
      </t>
    </mdx>
    <mdx n="508" f="v">
      <t c="3" si="4">
        <n x="509"/>
        <n x="142"/>
        <n x="507"/>
      </t>
    </mdx>
    <mdx n="508" f="v">
      <t c="3" si="4">
        <n x="509"/>
        <n x="420"/>
        <n x="507"/>
      </t>
    </mdx>
    <mdx n="508" f="v">
      <t c="3" si="4">
        <n x="509"/>
        <n x="214"/>
        <n x="505"/>
      </t>
    </mdx>
    <mdx n="508" f="v">
      <t c="3" si="4">
        <n x="509"/>
        <n x="3"/>
        <n x="505"/>
      </t>
    </mdx>
    <mdx n="508" f="v">
      <t c="3" si="4">
        <n x="509"/>
        <n x="305"/>
        <n x="506"/>
      </t>
    </mdx>
    <mdx n="508" f="v">
      <t c="3" si="4">
        <n x="509"/>
        <n x="304"/>
        <n x="506"/>
      </t>
    </mdx>
    <mdx n="508" f="v">
      <t c="3" si="4">
        <n x="509"/>
        <n x="186"/>
        <n x="506"/>
      </t>
    </mdx>
    <mdx n="508" f="v">
      <t c="3" si="4">
        <n x="509"/>
        <n x="438"/>
        <n x="506"/>
      </t>
    </mdx>
    <mdx n="508" f="v">
      <t c="3" si="4">
        <n x="509"/>
        <n x="161"/>
        <n x="506"/>
      </t>
    </mdx>
    <mdx n="508" f="v">
      <t c="3" si="4">
        <n x="509"/>
        <n x="338"/>
        <n x="506"/>
      </t>
    </mdx>
    <mdx n="508" f="v">
      <t c="3" si="4">
        <n x="509"/>
        <n x="111"/>
        <n x="506"/>
      </t>
    </mdx>
    <mdx n="508" f="v">
      <t c="3" si="4">
        <n x="509"/>
        <n x="402"/>
        <n x="507"/>
      </t>
    </mdx>
    <mdx n="508" f="v">
      <t c="3" si="4">
        <n x="509"/>
        <n x="88"/>
        <n x="507"/>
      </t>
    </mdx>
    <mdx n="508" f="v">
      <t c="3" si="4">
        <n x="509"/>
        <n x="72"/>
        <n x="507"/>
      </t>
    </mdx>
    <mdx n="508" f="v">
      <t c="3" si="4">
        <n x="509"/>
        <n x="446"/>
        <n x="507"/>
      </t>
    </mdx>
    <mdx n="508" f="v">
      <t c="3" si="4">
        <n x="509"/>
        <n x="272"/>
        <n x="507"/>
      </t>
    </mdx>
    <mdx n="508" f="v">
      <t c="3" si="4">
        <n x="509"/>
        <n x="124"/>
        <n x="507"/>
      </t>
    </mdx>
    <mdx n="508" f="v">
      <t c="3" si="4">
        <n x="509"/>
        <n x="249"/>
        <n x="507"/>
      </t>
    </mdx>
    <mdx n="508" f="v">
      <t c="3" si="4">
        <n x="509"/>
        <n x="243"/>
        <n x="507"/>
      </t>
    </mdx>
    <mdx n="508" f="v">
      <t c="3" si="4">
        <n x="509"/>
        <n x="83"/>
        <n x="507"/>
      </t>
    </mdx>
    <mdx n="508" f="v">
      <t c="3" si="4">
        <n x="509"/>
        <n x="463"/>
        <n x="507"/>
      </t>
    </mdx>
    <mdx n="508" f="v">
      <t c="3" si="4">
        <n x="509"/>
        <n x="269"/>
        <n x="507"/>
      </t>
    </mdx>
    <mdx n="508" f="v">
      <t c="3" si="4">
        <n x="509"/>
        <n x="173"/>
        <n x="507"/>
      </t>
    </mdx>
    <mdx n="508" f="v">
      <t c="3" si="4">
        <n x="509"/>
        <n x="122"/>
        <n x="507"/>
      </t>
    </mdx>
    <mdx n="508" f="v">
      <t c="3" si="4">
        <n x="509"/>
        <n x="131"/>
        <n x="507"/>
      </t>
    </mdx>
    <mdx n="508" f="v">
      <t c="3" si="4">
        <n x="509"/>
        <n x="299"/>
        <n x="506"/>
      </t>
    </mdx>
    <mdx n="508" f="v">
      <t c="3" si="4">
        <n x="509"/>
        <n x="294"/>
        <n x="506"/>
      </t>
    </mdx>
    <mdx n="508" f="v">
      <t c="3" si="4">
        <n x="509"/>
        <n x="181"/>
        <n x="506"/>
      </t>
    </mdx>
    <mdx n="508" f="v">
      <t c="3" si="4">
        <n x="509"/>
        <n x="433"/>
        <n x="506"/>
      </t>
    </mdx>
    <mdx n="508" f="v">
      <t c="3" si="4">
        <n x="509"/>
        <n x="153"/>
        <n x="506"/>
      </t>
    </mdx>
    <mdx n="508" f="v">
      <t c="3" si="4">
        <n x="509"/>
        <n x="247"/>
        <n x="506"/>
      </t>
    </mdx>
    <mdx n="508" f="v">
      <t c="3" si="4">
        <n x="509"/>
        <n x="103"/>
        <n x="506"/>
      </t>
    </mdx>
    <mdx n="508" f="v">
      <t c="3" si="4">
        <n x="509"/>
        <n x="327"/>
        <n x="507"/>
      </t>
    </mdx>
    <mdx n="508" f="v">
      <t c="3" si="4">
        <n x="509"/>
        <n x="304"/>
        <n x="507"/>
      </t>
    </mdx>
    <mdx n="508" f="v">
      <t c="3" si="4">
        <n x="509"/>
        <n x="70"/>
        <n x="507"/>
      </t>
    </mdx>
    <mdx n="508" f="v">
      <t c="3" si="4">
        <n x="509"/>
        <n x="211"/>
        <n x="507"/>
      </t>
    </mdx>
    <mdx n="508" f="v">
      <t c="3" si="4">
        <n x="509"/>
        <n x="266"/>
        <n x="507"/>
      </t>
    </mdx>
    <mdx n="508" f="v">
      <t c="3" si="4">
        <n x="509"/>
        <n x="395"/>
        <n x="507"/>
      </t>
    </mdx>
    <mdx n="508" f="v">
      <t c="3" si="4">
        <n x="509"/>
        <n x="331"/>
        <n x="507"/>
      </t>
    </mdx>
    <mdx n="508" f="v">
      <t c="3" si="4">
        <n x="509"/>
        <n x="444"/>
        <n x="505"/>
      </t>
    </mdx>
    <mdx n="508" f="v">
      <t c="3" si="4">
        <n x="509"/>
        <n x="190"/>
        <n x="506"/>
      </t>
    </mdx>
    <mdx n="508" f="v">
      <t c="3" si="4">
        <n x="509"/>
        <n x="189"/>
        <n x="506"/>
      </t>
    </mdx>
    <mdx n="508" f="v">
      <t c="3" si="4">
        <n x="509"/>
        <n x="166"/>
        <n x="506"/>
      </t>
    </mdx>
    <mdx n="508" f="v">
      <t c="3" si="4">
        <n x="509"/>
        <n x="141"/>
        <n x="506"/>
      </t>
    </mdx>
    <mdx n="508" f="v">
      <t c="3" si="4">
        <n x="509"/>
        <n x="130"/>
        <n x="506"/>
      </t>
    </mdx>
    <mdx n="508" f="v">
      <t c="3" si="4">
        <n x="509"/>
        <n x="325"/>
        <n x="506"/>
      </t>
    </mdx>
    <mdx n="508" f="v">
      <t c="3" si="4">
        <n x="509"/>
        <n x="100"/>
        <n x="506"/>
      </t>
    </mdx>
    <mdx n="508" f="v">
      <t c="3" si="4">
        <n x="509"/>
        <n x="197"/>
        <n x="507"/>
      </t>
    </mdx>
    <mdx n="508" f="v">
      <t c="3" si="4">
        <n x="509"/>
        <n x="305"/>
        <n x="507"/>
      </t>
    </mdx>
    <mdx n="508" f="v">
      <t c="3" si="4">
        <n x="509"/>
        <n x="343"/>
        <n x="507"/>
      </t>
    </mdx>
    <mdx n="508" f="v">
      <t c="3" si="4">
        <n x="509"/>
        <n x="349"/>
        <n x="507"/>
      </t>
    </mdx>
    <mdx n="508" f="v">
      <t c="3" si="4">
        <n x="509"/>
        <n x="438"/>
        <n x="507"/>
      </t>
    </mdx>
    <mdx n="508" f="v">
      <t c="3" si="4">
        <n x="509"/>
        <n x="329"/>
        <n x="507"/>
      </t>
    </mdx>
    <mdx n="508" f="v">
      <t c="3" si="4">
        <n x="509"/>
        <n x="366"/>
        <n x="507"/>
      </t>
    </mdx>
    <mdx n="508" f="v">
      <t c="3" si="4">
        <n x="509"/>
        <n x="375"/>
        <n x="507"/>
      </t>
    </mdx>
    <mdx n="508" f="v">
      <t c="3" si="4">
        <n x="509"/>
        <n x="349"/>
        <n x="506"/>
      </t>
    </mdx>
    <mdx n="508" f="v">
      <t c="3" si="4">
        <n x="509"/>
        <n x="104"/>
        <n x="507"/>
      </t>
    </mdx>
    <mdx n="508" f="v">
      <t c="3" si="4">
        <n x="509"/>
        <n x="110"/>
        <n x="507"/>
      </t>
    </mdx>
    <mdx n="508" f="v">
      <t c="3" si="4">
        <n x="509"/>
        <n x="192"/>
        <n x="507"/>
      </t>
    </mdx>
    <mdx n="508" f="v">
      <t c="3" si="4">
        <n x="509"/>
        <n x="261"/>
        <n x="507"/>
      </t>
    </mdx>
    <mdx n="508" f="v">
      <t c="3" si="4">
        <n x="509"/>
        <n x="227"/>
        <n x="507"/>
      </t>
    </mdx>
    <mdx n="508" f="v">
      <t c="3" si="4">
        <n x="509"/>
        <n x="295"/>
        <n x="506"/>
      </t>
    </mdx>
    <mdx n="508" f="v">
      <t c="3" si="4">
        <n x="509"/>
        <n x="162"/>
        <n x="506"/>
      </t>
    </mdx>
    <mdx n="508" f="v">
      <t c="3" si="4">
        <n x="509"/>
        <n x="28"/>
        <n x="506"/>
      </t>
    </mdx>
    <mdx n="508" f="v">
      <t c="3" si="4">
        <n x="509"/>
        <n x="80"/>
        <n x="506"/>
      </t>
    </mdx>
    <mdx n="508" f="v">
      <t c="3" si="4">
        <n x="509"/>
        <n x="448"/>
        <n x="507"/>
      </t>
    </mdx>
    <mdx n="508" f="v">
      <t c="3" si="4">
        <n x="509"/>
        <n x="64"/>
        <n x="507"/>
      </t>
    </mdx>
    <mdx n="508" f="v">
      <t c="3" si="4">
        <n x="509"/>
        <n x="13"/>
        <n x="507"/>
      </t>
    </mdx>
    <mdx n="508" f="v">
      <t c="3" si="4">
        <n x="509"/>
        <n x="117"/>
        <n x="507"/>
      </t>
    </mdx>
    <mdx n="508" f="v">
      <t c="3" si="4">
        <n x="509"/>
        <n x="434"/>
        <n x="506"/>
      </t>
    </mdx>
    <mdx n="508" f="v">
      <t c="3" si="4">
        <n x="509"/>
        <n x="143"/>
        <n x="506"/>
      </t>
    </mdx>
    <mdx n="508" f="v">
      <t c="3" si="4">
        <n x="509"/>
        <n x="115"/>
        <n x="506"/>
      </t>
    </mdx>
    <mdx n="508" f="v">
      <t c="3" si="4">
        <n x="509"/>
        <n x="293"/>
        <n x="506"/>
      </t>
    </mdx>
    <mdx n="508" f="v">
      <t c="3" si="4">
        <n x="509"/>
        <n x="73"/>
        <n x="507"/>
      </t>
    </mdx>
    <mdx n="508" f="v">
      <t c="3" si="4">
        <n x="509"/>
        <n x="129"/>
        <n x="507"/>
      </t>
    </mdx>
    <mdx n="508" f="v">
      <t c="3" si="4">
        <n x="509"/>
        <n x="40"/>
        <n x="507"/>
      </t>
    </mdx>
    <mdx n="508" f="v">
      <t c="3" si="4">
        <n x="509"/>
        <n x="53"/>
        <n x="507"/>
      </t>
    </mdx>
    <mdx n="508" f="v">
      <t c="3" si="4">
        <n x="509"/>
        <n x="98"/>
        <n x="506"/>
      </t>
    </mdx>
    <mdx n="508" f="v">
      <t c="3" si="4">
        <n x="509"/>
        <n x="127"/>
        <n x="507"/>
      </t>
    </mdx>
    <mdx n="508" f="v">
      <t c="3" si="4">
        <n x="509"/>
        <n x="58"/>
        <n x="507"/>
      </t>
    </mdx>
    <mdx n="508" f="v">
      <t c="3" si="4">
        <n x="509"/>
        <n x="191"/>
        <n x="507"/>
      </t>
    </mdx>
    <mdx n="508" f="v">
      <t c="3" si="4">
        <n x="509"/>
        <n x="86"/>
        <n x="506"/>
      </t>
    </mdx>
    <mdx n="508" f="v">
      <t c="3" si="4">
        <n x="509"/>
        <n x="139"/>
        <n x="507"/>
      </t>
    </mdx>
    <mdx n="508" f="v">
      <t c="3" si="4">
        <n x="509"/>
        <n x="188"/>
        <n x="507"/>
      </t>
    </mdx>
    <mdx n="508" f="v">
      <t c="3" si="4">
        <n x="509"/>
        <n x="276"/>
        <n x="506"/>
      </t>
    </mdx>
    <mdx n="508" f="v">
      <t c="3" si="4">
        <n x="509"/>
        <n x="30"/>
        <n x="507"/>
      </t>
    </mdx>
    <mdx n="508" f="v">
      <t c="3" si="4">
        <n x="509"/>
        <n x="35"/>
        <n x="507"/>
      </t>
    </mdx>
    <mdx n="508" f="v">
      <t c="3" si="4">
        <n x="509"/>
        <n x="436"/>
        <n x="506"/>
      </t>
    </mdx>
    <mdx n="508" f="v">
      <t c="3" si="4">
        <n x="509"/>
        <n x="74"/>
        <n x="505"/>
      </t>
    </mdx>
    <mdx n="508" f="v">
      <t c="3" si="4">
        <n x="509"/>
        <n x="347"/>
        <n x="506"/>
      </t>
    </mdx>
    <mdx n="508" f="v">
      <t c="3" si="4">
        <n x="509"/>
        <n x="164"/>
        <n x="507"/>
      </t>
    </mdx>
    <mdx n="508" f="v">
      <t c="3" si="4">
        <n x="509"/>
        <n x="450"/>
        <n x="496"/>
      </t>
    </mdx>
    <mdx n="508" f="v">
      <t c="3" si="4">
        <n x="509"/>
        <n x="446"/>
        <n x="496"/>
      </t>
    </mdx>
    <mdx n="508" f="v">
      <t c="3" si="4">
        <n x="509"/>
        <n x="19"/>
        <n x="496"/>
      </t>
    </mdx>
    <mdx n="508" f="v">
      <t c="3" si="4">
        <n x="509"/>
        <n x="65"/>
        <n x="496"/>
      </t>
    </mdx>
    <mdx n="508" f="v">
      <t c="3" si="4">
        <n x="509"/>
        <n x="169"/>
        <n x="496"/>
      </t>
    </mdx>
    <mdx n="508" f="v">
      <t c="3" si="4">
        <n x="509"/>
        <n x="23"/>
        <n x="497"/>
      </t>
    </mdx>
    <mdx n="508" f="v">
      <t c="3" si="4">
        <n x="509"/>
        <n x="77"/>
        <n x="497"/>
      </t>
    </mdx>
    <mdx n="508" f="v">
      <t c="3" si="4">
        <n x="509"/>
        <n x="219"/>
        <n x="499"/>
      </t>
    </mdx>
    <mdx n="508" f="v">
      <t c="3" si="4">
        <n x="509"/>
        <n x="179"/>
        <n x="5"/>
      </t>
    </mdx>
    <mdx n="508" f="v">
      <t c="3" si="4">
        <n x="509"/>
        <n x="53"/>
        <n x="496"/>
      </t>
    </mdx>
    <mdx n="508" f="v">
      <t c="3" si="4">
        <n x="509"/>
        <n x="11"/>
        <n x="496"/>
      </t>
    </mdx>
    <mdx n="508" f="v">
      <t c="3" si="4">
        <n x="509"/>
        <n x="49"/>
        <n x="496"/>
      </t>
    </mdx>
    <mdx n="508" f="v">
      <t c="3" si="4">
        <n x="509"/>
        <n x="333"/>
        <n x="496"/>
      </t>
    </mdx>
    <mdx n="508" f="v">
      <t c="3" si="4">
        <n x="509"/>
        <n x="118"/>
        <n x="496"/>
      </t>
    </mdx>
    <mdx n="508" f="v">
      <t c="3" si="4">
        <n x="509"/>
        <n x="387"/>
        <n x="497"/>
      </t>
    </mdx>
    <mdx n="508" f="v">
      <t c="3" si="4">
        <n x="509"/>
        <n x="224"/>
        <n x="497"/>
      </t>
    </mdx>
    <mdx n="508" f="v">
      <t c="3" si="4">
        <n x="509"/>
        <n x="32"/>
        <n x="498"/>
      </t>
    </mdx>
    <mdx n="508" f="v">
      <t c="3" si="4">
        <n x="509"/>
        <n x="45"/>
        <n x="496"/>
      </t>
    </mdx>
    <mdx n="508" f="v">
      <t c="3" si="4">
        <n x="509"/>
        <n x="311"/>
        <n x="496"/>
      </t>
    </mdx>
    <mdx n="508" f="v">
      <t c="3" si="4">
        <n x="509"/>
        <n x="203"/>
        <n x="496"/>
      </t>
    </mdx>
    <mdx n="508" f="v">
      <t c="3" si="4">
        <n x="509"/>
        <n x="77"/>
        <n x="496"/>
      </t>
    </mdx>
    <mdx n="508" f="v">
      <t c="3" si="4">
        <n x="509"/>
        <n x="398"/>
        <n x="496"/>
      </t>
    </mdx>
    <mdx n="508" f="v">
      <t c="3" si="4">
        <n x="509"/>
        <n x="418"/>
        <n x="497"/>
      </t>
    </mdx>
    <mdx n="508" f="v">
      <t c="3" si="4">
        <n x="509"/>
        <n x="131"/>
        <n x="497"/>
      </t>
    </mdx>
    <mdx n="508" f="v">
      <t c="3" si="4">
        <n x="509"/>
        <n x="197"/>
        <n x="500"/>
      </t>
    </mdx>
    <mdx n="508" f="v">
      <t c="3" si="4">
        <n x="509"/>
        <n x="452"/>
        <n x="1"/>
      </t>
    </mdx>
    <mdx n="508" f="v">
      <t c="3" si="4">
        <n x="509"/>
        <n x="187"/>
        <n x="496"/>
      </t>
    </mdx>
    <mdx n="508" f="v">
      <t c="3" si="4">
        <n x="509"/>
        <n x="44"/>
        <n x="496"/>
      </t>
    </mdx>
    <mdx n="508" f="v">
      <t c="3" si="4">
        <n x="509"/>
        <n x="102"/>
        <n x="496"/>
      </t>
    </mdx>
    <mdx n="508" f="v">
      <t c="3" si="4">
        <n x="509"/>
        <n x="28"/>
        <n x="496"/>
      </t>
    </mdx>
    <mdx n="508" f="v">
      <t c="3" si="4">
        <n x="509"/>
        <n x="152"/>
        <n x="496"/>
      </t>
    </mdx>
    <mdx n="508" f="v">
      <t c="3" si="4">
        <n x="509"/>
        <n x="217"/>
        <n x="497"/>
      </t>
    </mdx>
    <mdx n="508" f="v">
      <t c="3" si="4">
        <n x="509"/>
        <n x="247"/>
        <n x="497"/>
      </t>
    </mdx>
    <mdx n="508" f="v">
      <t c="3" si="4">
        <n x="509"/>
        <n x="283"/>
        <n x="499"/>
      </t>
    </mdx>
    <mdx n="508" f="v">
      <t c="3" si="4">
        <n x="509"/>
        <n x="110"/>
        <n x="496"/>
      </t>
    </mdx>
    <mdx n="508" f="v">
      <t c="3" si="4">
        <n x="509"/>
        <n x="176"/>
        <n x="496"/>
      </t>
    </mdx>
    <mdx n="508" f="v">
      <t c="3" si="4">
        <n x="509"/>
        <n x="462"/>
        <n x="496"/>
      </t>
    </mdx>
    <mdx n="508" f="v">
      <t c="3" si="4">
        <n x="509"/>
        <n x="104"/>
        <n x="496"/>
      </t>
    </mdx>
    <mdx n="508" f="v">
      <t c="3" si="4">
        <n x="509"/>
        <n x="362"/>
        <n x="497"/>
      </t>
    </mdx>
    <mdx n="508" f="v">
      <t c="3" si="4">
        <n x="509"/>
        <n x="207"/>
        <n x="497"/>
      </t>
    </mdx>
    <mdx n="508" f="v">
      <t c="3" si="4">
        <n x="509"/>
        <n x="24"/>
        <n x="498"/>
      </t>
    </mdx>
    <mdx n="508" f="v">
      <t c="3" si="4">
        <n x="509"/>
        <n x="391"/>
        <n x="496"/>
      </t>
    </mdx>
    <mdx n="508" f="v">
      <t c="3" si="4">
        <n x="509"/>
        <n x="79"/>
        <n x="496"/>
      </t>
    </mdx>
    <mdx n="508" f="v">
      <t c="3" si="4">
        <n x="509"/>
        <n x="308"/>
        <n x="496"/>
      </t>
    </mdx>
    <mdx n="508" f="v">
      <t c="3" si="4">
        <n x="509"/>
        <n x="249"/>
        <n x="496"/>
      </t>
    </mdx>
    <mdx n="508" f="v">
      <t c="3" si="4">
        <n x="509"/>
        <n x="359"/>
        <n x="497"/>
      </t>
    </mdx>
    <mdx n="508" f="v">
      <t c="3" si="4">
        <n x="509"/>
        <n x="191"/>
        <n x="497"/>
      </t>
    </mdx>
    <mdx n="508" f="v">
      <t c="3" si="4">
        <n x="509"/>
        <n x="290"/>
        <n x="499"/>
      </t>
    </mdx>
    <mdx n="508" f="v">
      <t c="3" si="4">
        <n x="509"/>
        <n x="319"/>
        <n x="496"/>
      </t>
    </mdx>
    <mdx n="508" f="v">
      <t c="3" si="4">
        <n x="509"/>
        <n x="147"/>
        <n x="496"/>
      </t>
    </mdx>
    <mdx n="508" f="v">
      <t c="3" si="4">
        <n x="509"/>
        <n x="29"/>
        <n x="496"/>
      </t>
    </mdx>
    <mdx n="508" f="v">
      <t c="3" si="4">
        <n x="509"/>
        <n x="317"/>
        <n x="496"/>
      </t>
    </mdx>
    <mdx n="508" f="v">
      <t c="3" si="4">
        <n x="509"/>
        <n x="362"/>
        <n x="496"/>
      </t>
    </mdx>
    <mdx n="508" f="v">
      <t c="3" si="4">
        <n x="509"/>
        <n x="47"/>
        <n x="497"/>
      </t>
    </mdx>
    <mdx n="508" f="v">
      <t c="3" si="4">
        <n x="509"/>
        <n x="109"/>
        <n x="497"/>
      </t>
    </mdx>
    <mdx n="508" f="v">
      <t c="3" si="4">
        <n x="509"/>
        <n x="397"/>
        <n x="498"/>
      </t>
    </mdx>
    <mdx n="508" f="v">
      <t c="3" si="475">
        <n x="509"/>
        <n x="155"/>
        <n x="474"/>
      </t>
    </mdx>
    <mdx n="508" f="v">
      <t c="3" si="4">
        <n x="509"/>
        <n x="90"/>
        <n x="5"/>
      </t>
    </mdx>
    <mdx n="508" f="v">
      <t c="3" si="4">
        <n x="509"/>
        <n x="30"/>
        <n x="496"/>
      </t>
    </mdx>
    <mdx n="508" f="v">
      <t c="3" si="4">
        <n x="509"/>
        <n x="418"/>
        <n x="496"/>
      </t>
    </mdx>
    <mdx n="508" f="v">
      <t c="3" si="4">
        <n x="509"/>
        <n x="361"/>
        <n x="496"/>
      </t>
    </mdx>
    <mdx n="508" f="v">
      <t c="3" si="4">
        <n x="509"/>
        <n x="298"/>
        <n x="496"/>
      </t>
    </mdx>
    <mdx n="508" f="v">
      <t c="3" si="4">
        <n x="509"/>
        <n x="90"/>
        <n x="496"/>
      </t>
    </mdx>
    <mdx n="508" f="v">
      <t c="3" si="4">
        <n x="509"/>
        <n x="27"/>
        <n x="497"/>
      </t>
    </mdx>
    <mdx n="508" f="v">
      <t c="3" si="4">
        <n x="509"/>
        <n x="253"/>
        <n x="498"/>
      </t>
    </mdx>
    <mdx n="508" f="v">
      <t c="3" si="4">
        <n x="509"/>
        <n x="182"/>
        <n x="5"/>
      </t>
    </mdx>
    <mdx n="508" f="v">
      <t c="3" si="4">
        <n x="509"/>
        <n x="158"/>
        <n x="496"/>
      </t>
    </mdx>
    <mdx n="508" f="v">
      <t c="3" si="4">
        <n x="509"/>
        <n x="99"/>
        <n x="496"/>
      </t>
    </mdx>
    <mdx n="508" f="v">
      <t c="3" si="4">
        <n x="509"/>
        <n x="355"/>
        <n x="496"/>
      </t>
    </mdx>
    <mdx n="508" f="v">
      <t c="3" si="4">
        <n x="509"/>
        <n x="6"/>
        <n x="496"/>
      </t>
    </mdx>
    <mdx n="508" f="v">
      <t c="3" si="4">
        <n x="509"/>
        <n x="239"/>
        <n x="496"/>
      </t>
    </mdx>
    <mdx n="508" f="v">
      <t c="3" si="4">
        <n x="509"/>
        <n x="283"/>
        <n x="497"/>
      </t>
    </mdx>
    <mdx n="508" f="v">
      <t c="3" si="4">
        <n x="509"/>
        <n x="227"/>
        <n x="497"/>
      </t>
    </mdx>
    <mdx n="508" f="v">
      <t c="3" si="4">
        <n x="509"/>
        <n x="88"/>
        <n x="500"/>
      </t>
    </mdx>
    <mdx n="508" f="v">
      <t c="3" si="4">
        <n x="509"/>
        <n x="183"/>
        <n x="496"/>
      </t>
    </mdx>
    <mdx n="508" f="v">
      <t c="3" si="4">
        <n x="509"/>
        <n x="305"/>
        <n x="496"/>
      </t>
    </mdx>
    <mdx n="508" f="v">
      <t c="3" si="4">
        <n x="509"/>
        <n x="314"/>
        <n x="496"/>
      </t>
    </mdx>
    <mdx n="508" f="v">
      <t c="3" si="4">
        <n x="509"/>
        <n x="356"/>
        <n x="496"/>
      </t>
    </mdx>
    <mdx n="508" f="v">
      <t c="3" si="4">
        <n x="509"/>
        <n x="272"/>
        <n x="496"/>
      </t>
    </mdx>
    <mdx n="508" f="v">
      <t c="3" si="4">
        <n x="509"/>
        <n x="187"/>
        <n x="497"/>
      </t>
    </mdx>
    <mdx n="508" f="v">
      <t c="3" si="4">
        <n x="509"/>
        <n x="157"/>
        <n x="497"/>
      </t>
    </mdx>
    <mdx n="508" f="v">
      <t c="3" si="4">
        <n x="509"/>
        <n x="291"/>
        <n x="498"/>
      </t>
    </mdx>
    <mdx n="508" f="v">
      <t c="3" si="4">
        <n x="509"/>
        <n x="275"/>
        <n x="498"/>
      </t>
    </mdx>
  </mdxMetadata>
  <valueMetadata count="2024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  <bk>
      <rc t="1" v="2497"/>
    </bk>
    <bk>
      <rc t="1" v="2498"/>
    </bk>
    <bk>
      <rc t="1" v="2499"/>
    </bk>
    <bk>
      <rc t="1" v="2500"/>
    </bk>
    <bk>
      <rc t="1" v="2501"/>
    </bk>
    <bk>
      <rc t="1" v="2502"/>
    </bk>
    <bk>
      <rc t="1" v="2503"/>
    </bk>
    <bk>
      <rc t="1" v="2504"/>
    </bk>
    <bk>
      <rc t="1" v="2505"/>
    </bk>
    <bk>
      <rc t="1" v="2506"/>
    </bk>
    <bk>
      <rc t="1" v="2507"/>
    </bk>
    <bk>
      <rc t="1" v="2508"/>
    </bk>
    <bk>
      <rc t="1" v="2509"/>
    </bk>
    <bk>
      <rc t="1" v="2510"/>
    </bk>
    <bk>
      <rc t="1" v="2511"/>
    </bk>
    <bk>
      <rc t="1" v="2512"/>
    </bk>
    <bk>
      <rc t="1" v="2513"/>
    </bk>
    <bk>
      <rc t="1" v="2514"/>
    </bk>
    <bk>
      <rc t="1" v="2515"/>
    </bk>
    <bk>
      <rc t="1" v="2516"/>
    </bk>
    <bk>
      <rc t="1" v="2517"/>
    </bk>
    <bk>
      <rc t="1" v="2518"/>
    </bk>
    <bk>
      <rc t="1" v="2519"/>
    </bk>
    <bk>
      <rc t="1" v="2520"/>
    </bk>
    <bk>
      <rc t="1" v="2521"/>
    </bk>
    <bk>
      <rc t="1" v="2522"/>
    </bk>
    <bk>
      <rc t="1" v="2523"/>
    </bk>
    <bk>
      <rc t="1" v="2524"/>
    </bk>
    <bk>
      <rc t="1" v="2525"/>
    </bk>
    <bk>
      <rc t="1" v="2526"/>
    </bk>
    <bk>
      <rc t="1" v="2527"/>
    </bk>
    <bk>
      <rc t="1" v="2528"/>
    </bk>
    <bk>
      <rc t="1" v="2529"/>
    </bk>
    <bk>
      <rc t="1" v="2530"/>
    </bk>
    <bk>
      <rc t="1" v="2531"/>
    </bk>
    <bk>
      <rc t="1" v="2532"/>
    </bk>
    <bk>
      <rc t="1" v="2533"/>
    </bk>
    <bk>
      <rc t="1" v="2534"/>
    </bk>
    <bk>
      <rc t="1" v="2535"/>
    </bk>
    <bk>
      <rc t="1" v="2536"/>
    </bk>
    <bk>
      <rc t="1" v="2537"/>
    </bk>
    <bk>
      <rc t="1" v="2538"/>
    </bk>
    <bk>
      <rc t="1" v="2539"/>
    </bk>
    <bk>
      <rc t="1" v="2540"/>
    </bk>
    <bk>
      <rc t="1" v="2541"/>
    </bk>
    <bk>
      <rc t="1" v="2542"/>
    </bk>
    <bk>
      <rc t="1" v="2543"/>
    </bk>
    <bk>
      <rc t="1" v="2544"/>
    </bk>
    <bk>
      <rc t="1" v="2545"/>
    </bk>
    <bk>
      <rc t="1" v="2546"/>
    </bk>
    <bk>
      <rc t="1" v="2547"/>
    </bk>
    <bk>
      <rc t="1" v="2548"/>
    </bk>
    <bk>
      <rc t="1" v="2549"/>
    </bk>
    <bk>
      <rc t="1" v="2550"/>
    </bk>
    <bk>
      <rc t="1" v="2551"/>
    </bk>
    <bk>
      <rc t="1" v="2552"/>
    </bk>
    <bk>
      <rc t="1" v="2553"/>
    </bk>
    <bk>
      <rc t="1" v="2554"/>
    </bk>
    <bk>
      <rc t="1" v="2555"/>
    </bk>
    <bk>
      <rc t="1" v="2556"/>
    </bk>
    <bk>
      <rc t="1" v="2557"/>
    </bk>
    <bk>
      <rc t="1" v="2558"/>
    </bk>
    <bk>
      <rc t="1" v="2559"/>
    </bk>
    <bk>
      <rc t="1" v="2560"/>
    </bk>
    <bk>
      <rc t="1" v="2561"/>
    </bk>
    <bk>
      <rc t="1" v="2562"/>
    </bk>
    <bk>
      <rc t="1" v="2563"/>
    </bk>
    <bk>
      <rc t="1" v="2564"/>
    </bk>
    <bk>
      <rc t="1" v="2565"/>
    </bk>
    <bk>
      <rc t="1" v="2566"/>
    </bk>
    <bk>
      <rc t="1" v="2567"/>
    </bk>
    <bk>
      <rc t="1" v="2568"/>
    </bk>
    <bk>
      <rc t="1" v="2569"/>
    </bk>
    <bk>
      <rc t="1" v="2570"/>
    </bk>
    <bk>
      <rc t="1" v="2571"/>
    </bk>
    <bk>
      <rc t="1" v="2572"/>
    </bk>
    <bk>
      <rc t="1" v="2573"/>
    </bk>
    <bk>
      <rc t="1" v="2574"/>
    </bk>
    <bk>
      <rc t="1" v="2575"/>
    </bk>
    <bk>
      <rc t="1" v="2576"/>
    </bk>
    <bk>
      <rc t="1" v="2577"/>
    </bk>
    <bk>
      <rc t="1" v="2578"/>
    </bk>
    <bk>
      <rc t="1" v="2579"/>
    </bk>
    <bk>
      <rc t="1" v="2580"/>
    </bk>
    <bk>
      <rc t="1" v="2581"/>
    </bk>
    <bk>
      <rc t="1" v="2582"/>
    </bk>
    <bk>
      <rc t="1" v="2583"/>
    </bk>
    <bk>
      <rc t="1" v="2584"/>
    </bk>
    <bk>
      <rc t="1" v="2585"/>
    </bk>
    <bk>
      <rc t="1" v="2586"/>
    </bk>
    <bk>
      <rc t="1" v="2587"/>
    </bk>
    <bk>
      <rc t="1" v="2588"/>
    </bk>
    <bk>
      <rc t="1" v="2589"/>
    </bk>
    <bk>
      <rc t="1" v="2590"/>
    </bk>
    <bk>
      <rc t="1" v="2591"/>
    </bk>
    <bk>
      <rc t="1" v="2592"/>
    </bk>
    <bk>
      <rc t="1" v="2593"/>
    </bk>
    <bk>
      <rc t="1" v="2594"/>
    </bk>
    <bk>
      <rc t="1" v="2595"/>
    </bk>
    <bk>
      <rc t="1" v="2596"/>
    </bk>
    <bk>
      <rc t="1" v="2597"/>
    </bk>
    <bk>
      <rc t="1" v="2598"/>
    </bk>
    <bk>
      <rc t="1" v="2599"/>
    </bk>
    <bk>
      <rc t="1" v="2600"/>
    </bk>
    <bk>
      <rc t="1" v="2601"/>
    </bk>
    <bk>
      <rc t="1" v="2602"/>
    </bk>
    <bk>
      <rc t="1" v="2603"/>
    </bk>
    <bk>
      <rc t="1" v="2604"/>
    </bk>
    <bk>
      <rc t="1" v="2605"/>
    </bk>
    <bk>
      <rc t="1" v="2606"/>
    </bk>
    <bk>
      <rc t="1" v="2607"/>
    </bk>
    <bk>
      <rc t="1" v="2608"/>
    </bk>
    <bk>
      <rc t="1" v="2609"/>
    </bk>
    <bk>
      <rc t="1" v="2610"/>
    </bk>
    <bk>
      <rc t="1" v="2611"/>
    </bk>
    <bk>
      <rc t="1" v="2612"/>
    </bk>
    <bk>
      <rc t="1" v="2613"/>
    </bk>
    <bk>
      <rc t="1" v="2614"/>
    </bk>
    <bk>
      <rc t="1" v="2615"/>
    </bk>
    <bk>
      <rc t="1" v="2616"/>
    </bk>
    <bk>
      <rc t="1" v="2617"/>
    </bk>
    <bk>
      <rc t="1" v="2618"/>
    </bk>
    <bk>
      <rc t="1" v="2619"/>
    </bk>
    <bk>
      <rc t="1" v="2620"/>
    </bk>
    <bk>
      <rc t="1" v="2621"/>
    </bk>
    <bk>
      <rc t="1" v="2622"/>
    </bk>
    <bk>
      <rc t="1" v="2623"/>
    </bk>
    <bk>
      <rc t="1" v="2624"/>
    </bk>
    <bk>
      <rc t="1" v="2625"/>
    </bk>
    <bk>
      <rc t="1" v="2626"/>
    </bk>
    <bk>
      <rc t="1" v="2627"/>
    </bk>
    <bk>
      <rc t="1" v="2628"/>
    </bk>
    <bk>
      <rc t="1" v="2629"/>
    </bk>
    <bk>
      <rc t="1" v="2630"/>
    </bk>
    <bk>
      <rc t="1" v="2631"/>
    </bk>
    <bk>
      <rc t="1" v="2632"/>
    </bk>
    <bk>
      <rc t="1" v="2633"/>
    </bk>
    <bk>
      <rc t="1" v="2634"/>
    </bk>
    <bk>
      <rc t="1" v="2635"/>
    </bk>
    <bk>
      <rc t="1" v="2636"/>
    </bk>
    <bk>
      <rc t="1" v="2637"/>
    </bk>
    <bk>
      <rc t="1" v="2638"/>
    </bk>
    <bk>
      <rc t="1" v="2639"/>
    </bk>
    <bk>
      <rc t="1" v="2640"/>
    </bk>
    <bk>
      <rc t="1" v="2641"/>
    </bk>
    <bk>
      <rc t="1" v="2642"/>
    </bk>
    <bk>
      <rc t="1" v="2643"/>
    </bk>
    <bk>
      <rc t="1" v="2644"/>
    </bk>
    <bk>
      <rc t="1" v="2645"/>
    </bk>
    <bk>
      <rc t="1" v="2646"/>
    </bk>
    <bk>
      <rc t="1" v="2647"/>
    </bk>
    <bk>
      <rc t="1" v="2648"/>
    </bk>
    <bk>
      <rc t="1" v="2649"/>
    </bk>
    <bk>
      <rc t="1" v="2650"/>
    </bk>
    <bk>
      <rc t="1" v="2651"/>
    </bk>
    <bk>
      <rc t="1" v="2652"/>
    </bk>
    <bk>
      <rc t="1" v="2653"/>
    </bk>
    <bk>
      <rc t="1" v="2654"/>
    </bk>
    <bk>
      <rc t="1" v="2655"/>
    </bk>
    <bk>
      <rc t="1" v="2656"/>
    </bk>
    <bk>
      <rc t="1" v="2657"/>
    </bk>
    <bk>
      <rc t="1" v="2658"/>
    </bk>
    <bk>
      <rc t="1" v="2659"/>
    </bk>
    <bk>
      <rc t="1" v="2660"/>
    </bk>
    <bk>
      <rc t="1" v="2661"/>
    </bk>
    <bk>
      <rc t="1" v="2662"/>
    </bk>
    <bk>
      <rc t="1" v="2663"/>
    </bk>
    <bk>
      <rc t="1" v="2664"/>
    </bk>
    <bk>
      <rc t="1" v="2665"/>
    </bk>
    <bk>
      <rc t="1" v="2666"/>
    </bk>
    <bk>
      <rc t="1" v="2667"/>
    </bk>
    <bk>
      <rc t="1" v="2668"/>
    </bk>
    <bk>
      <rc t="1" v="2669"/>
    </bk>
    <bk>
      <rc t="1" v="2670"/>
    </bk>
    <bk>
      <rc t="1" v="2671"/>
    </bk>
    <bk>
      <rc t="1" v="2672"/>
    </bk>
    <bk>
      <rc t="1" v="2673"/>
    </bk>
    <bk>
      <rc t="1" v="2674"/>
    </bk>
    <bk>
      <rc t="1" v="2675"/>
    </bk>
    <bk>
      <rc t="1" v="2676"/>
    </bk>
    <bk>
      <rc t="1" v="2677"/>
    </bk>
    <bk>
      <rc t="1" v="2678"/>
    </bk>
    <bk>
      <rc t="1" v="2679"/>
    </bk>
    <bk>
      <rc t="1" v="2680"/>
    </bk>
    <bk>
      <rc t="1" v="2681"/>
    </bk>
    <bk>
      <rc t="1" v="2682"/>
    </bk>
    <bk>
      <rc t="1" v="2683"/>
    </bk>
    <bk>
      <rc t="1" v="2684"/>
    </bk>
    <bk>
      <rc t="1" v="2685"/>
    </bk>
    <bk>
      <rc t="1" v="2686"/>
    </bk>
    <bk>
      <rc t="1" v="2687"/>
    </bk>
    <bk>
      <rc t="1" v="2688"/>
    </bk>
    <bk>
      <rc t="1" v="2689"/>
    </bk>
    <bk>
      <rc t="1" v="2690"/>
    </bk>
    <bk>
      <rc t="1" v="2691"/>
    </bk>
    <bk>
      <rc t="1" v="2692"/>
    </bk>
    <bk>
      <rc t="1" v="2693"/>
    </bk>
    <bk>
      <rc t="1" v="2694"/>
    </bk>
    <bk>
      <rc t="1" v="2695"/>
    </bk>
    <bk>
      <rc t="1" v="2696"/>
    </bk>
    <bk>
      <rc t="1" v="2697"/>
    </bk>
    <bk>
      <rc t="1" v="2698"/>
    </bk>
    <bk>
      <rc t="1" v="2699"/>
    </bk>
    <bk>
      <rc t="1" v="2700"/>
    </bk>
    <bk>
      <rc t="1" v="2701"/>
    </bk>
    <bk>
      <rc t="1" v="2702"/>
    </bk>
    <bk>
      <rc t="1" v="2703"/>
    </bk>
    <bk>
      <rc t="1" v="2704"/>
    </bk>
    <bk>
      <rc t="1" v="2705"/>
    </bk>
    <bk>
      <rc t="1" v="2706"/>
    </bk>
    <bk>
      <rc t="1" v="2707"/>
    </bk>
    <bk>
      <rc t="1" v="2708"/>
    </bk>
    <bk>
      <rc t="1" v="2709"/>
    </bk>
    <bk>
      <rc t="1" v="2710"/>
    </bk>
    <bk>
      <rc t="1" v="2711"/>
    </bk>
    <bk>
      <rc t="1" v="2712"/>
    </bk>
    <bk>
      <rc t="1" v="2713"/>
    </bk>
    <bk>
      <rc t="1" v="2714"/>
    </bk>
    <bk>
      <rc t="1" v="2715"/>
    </bk>
    <bk>
      <rc t="1" v="2716"/>
    </bk>
    <bk>
      <rc t="1" v="2717"/>
    </bk>
    <bk>
      <rc t="1" v="2718"/>
    </bk>
    <bk>
      <rc t="1" v="2719"/>
    </bk>
    <bk>
      <rc t="1" v="2720"/>
    </bk>
    <bk>
      <rc t="1" v="2721"/>
    </bk>
    <bk>
      <rc t="1" v="2722"/>
    </bk>
    <bk>
      <rc t="1" v="2723"/>
    </bk>
    <bk>
      <rc t="1" v="2724"/>
    </bk>
    <bk>
      <rc t="1" v="2725"/>
    </bk>
    <bk>
      <rc t="1" v="2726"/>
    </bk>
    <bk>
      <rc t="1" v="2727"/>
    </bk>
    <bk>
      <rc t="1" v="2728"/>
    </bk>
    <bk>
      <rc t="1" v="2729"/>
    </bk>
    <bk>
      <rc t="1" v="2730"/>
    </bk>
    <bk>
      <rc t="1" v="2731"/>
    </bk>
    <bk>
      <rc t="1" v="2732"/>
    </bk>
    <bk>
      <rc t="1" v="2733"/>
    </bk>
    <bk>
      <rc t="1" v="2734"/>
    </bk>
    <bk>
      <rc t="1" v="2735"/>
    </bk>
    <bk>
      <rc t="1" v="2736"/>
    </bk>
    <bk>
      <rc t="1" v="2737"/>
    </bk>
    <bk>
      <rc t="1" v="2738"/>
    </bk>
    <bk>
      <rc t="1" v="2739"/>
    </bk>
    <bk>
      <rc t="1" v="2740"/>
    </bk>
    <bk>
      <rc t="1" v="2741"/>
    </bk>
    <bk>
      <rc t="1" v="2742"/>
    </bk>
    <bk>
      <rc t="1" v="2743"/>
    </bk>
    <bk>
      <rc t="1" v="2744"/>
    </bk>
    <bk>
      <rc t="1" v="2745"/>
    </bk>
    <bk>
      <rc t="1" v="2746"/>
    </bk>
    <bk>
      <rc t="1" v="2747"/>
    </bk>
    <bk>
      <rc t="1" v="2748"/>
    </bk>
    <bk>
      <rc t="1" v="2749"/>
    </bk>
    <bk>
      <rc t="1" v="2750"/>
    </bk>
    <bk>
      <rc t="1" v="2751"/>
    </bk>
    <bk>
      <rc t="1" v="2752"/>
    </bk>
    <bk>
      <rc t="1" v="2753"/>
    </bk>
    <bk>
      <rc t="1" v="2754"/>
    </bk>
    <bk>
      <rc t="1" v="2755"/>
    </bk>
    <bk>
      <rc t="1" v="2756"/>
    </bk>
    <bk>
      <rc t="1" v="2757"/>
    </bk>
    <bk>
      <rc t="1" v="2758"/>
    </bk>
    <bk>
      <rc t="1" v="2759"/>
    </bk>
    <bk>
      <rc t="1" v="2760"/>
    </bk>
    <bk>
      <rc t="1" v="2761"/>
    </bk>
    <bk>
      <rc t="1" v="2762"/>
    </bk>
    <bk>
      <rc t="1" v="2763"/>
    </bk>
    <bk>
      <rc t="1" v="2764"/>
    </bk>
    <bk>
      <rc t="1" v="2765"/>
    </bk>
    <bk>
      <rc t="1" v="2766"/>
    </bk>
    <bk>
      <rc t="1" v="2767"/>
    </bk>
    <bk>
      <rc t="1" v="2768"/>
    </bk>
    <bk>
      <rc t="1" v="2769"/>
    </bk>
    <bk>
      <rc t="1" v="2770"/>
    </bk>
    <bk>
      <rc t="1" v="2771"/>
    </bk>
    <bk>
      <rc t="1" v="2772"/>
    </bk>
    <bk>
      <rc t="1" v="2773"/>
    </bk>
    <bk>
      <rc t="1" v="2774"/>
    </bk>
    <bk>
      <rc t="1" v="2775"/>
    </bk>
    <bk>
      <rc t="1" v="2776"/>
    </bk>
    <bk>
      <rc t="1" v="2777"/>
    </bk>
    <bk>
      <rc t="1" v="2778"/>
    </bk>
    <bk>
      <rc t="1" v="2779"/>
    </bk>
    <bk>
      <rc t="1" v="2780"/>
    </bk>
    <bk>
      <rc t="1" v="2781"/>
    </bk>
    <bk>
      <rc t="1" v="2782"/>
    </bk>
    <bk>
      <rc t="1" v="2783"/>
    </bk>
    <bk>
      <rc t="1" v="2784"/>
    </bk>
    <bk>
      <rc t="1" v="2785"/>
    </bk>
    <bk>
      <rc t="1" v="2786"/>
    </bk>
    <bk>
      <rc t="1" v="2787"/>
    </bk>
    <bk>
      <rc t="1" v="2788"/>
    </bk>
    <bk>
      <rc t="1" v="2789"/>
    </bk>
    <bk>
      <rc t="1" v="2790"/>
    </bk>
    <bk>
      <rc t="1" v="2791"/>
    </bk>
    <bk>
      <rc t="1" v="2792"/>
    </bk>
    <bk>
      <rc t="1" v="2793"/>
    </bk>
    <bk>
      <rc t="1" v="2794"/>
    </bk>
    <bk>
      <rc t="1" v="2795"/>
    </bk>
    <bk>
      <rc t="1" v="2796"/>
    </bk>
    <bk>
      <rc t="1" v="2797"/>
    </bk>
    <bk>
      <rc t="1" v="2798"/>
    </bk>
    <bk>
      <rc t="1" v="2799"/>
    </bk>
    <bk>
      <rc t="1" v="2800"/>
    </bk>
    <bk>
      <rc t="1" v="2801"/>
    </bk>
    <bk>
      <rc t="1" v="2802"/>
    </bk>
    <bk>
      <rc t="1" v="2803"/>
    </bk>
    <bk>
      <rc t="1" v="2804"/>
    </bk>
    <bk>
      <rc t="1" v="2805"/>
    </bk>
    <bk>
      <rc t="1" v="2806"/>
    </bk>
    <bk>
      <rc t="1" v="2807"/>
    </bk>
    <bk>
      <rc t="1" v="2808"/>
    </bk>
    <bk>
      <rc t="1" v="2809"/>
    </bk>
    <bk>
      <rc t="1" v="2810"/>
    </bk>
    <bk>
      <rc t="1" v="2811"/>
    </bk>
    <bk>
      <rc t="1" v="2812"/>
    </bk>
    <bk>
      <rc t="1" v="2813"/>
    </bk>
    <bk>
      <rc t="1" v="2814"/>
    </bk>
    <bk>
      <rc t="1" v="2815"/>
    </bk>
    <bk>
      <rc t="1" v="2816"/>
    </bk>
    <bk>
      <rc t="1" v="2817"/>
    </bk>
    <bk>
      <rc t="1" v="2818"/>
    </bk>
    <bk>
      <rc t="1" v="2819"/>
    </bk>
    <bk>
      <rc t="1" v="2820"/>
    </bk>
    <bk>
      <rc t="1" v="2821"/>
    </bk>
    <bk>
      <rc t="1" v="2822"/>
    </bk>
    <bk>
      <rc t="1" v="2823"/>
    </bk>
    <bk>
      <rc t="1" v="2824"/>
    </bk>
    <bk>
      <rc t="1" v="2825"/>
    </bk>
    <bk>
      <rc t="1" v="2826"/>
    </bk>
    <bk>
      <rc t="1" v="2827"/>
    </bk>
    <bk>
      <rc t="1" v="2828"/>
    </bk>
    <bk>
      <rc t="1" v="2829"/>
    </bk>
    <bk>
      <rc t="1" v="2830"/>
    </bk>
    <bk>
      <rc t="1" v="2831"/>
    </bk>
    <bk>
      <rc t="1" v="2832"/>
    </bk>
    <bk>
      <rc t="1" v="2833"/>
    </bk>
    <bk>
      <rc t="1" v="2834"/>
    </bk>
    <bk>
      <rc t="1" v="2835"/>
    </bk>
    <bk>
      <rc t="1" v="2836"/>
    </bk>
    <bk>
      <rc t="1" v="2837"/>
    </bk>
    <bk>
      <rc t="1" v="2838"/>
    </bk>
    <bk>
      <rc t="1" v="2839"/>
    </bk>
    <bk>
      <rc t="1" v="2840"/>
    </bk>
    <bk>
      <rc t="1" v="2841"/>
    </bk>
    <bk>
      <rc t="1" v="2842"/>
    </bk>
    <bk>
      <rc t="1" v="2843"/>
    </bk>
    <bk>
      <rc t="1" v="2844"/>
    </bk>
    <bk>
      <rc t="1" v="2845"/>
    </bk>
    <bk>
      <rc t="1" v="2846"/>
    </bk>
    <bk>
      <rc t="1" v="2847"/>
    </bk>
    <bk>
      <rc t="1" v="2848"/>
    </bk>
    <bk>
      <rc t="1" v="2849"/>
    </bk>
    <bk>
      <rc t="1" v="2850"/>
    </bk>
    <bk>
      <rc t="1" v="2851"/>
    </bk>
    <bk>
      <rc t="1" v="2852"/>
    </bk>
    <bk>
      <rc t="1" v="2853"/>
    </bk>
    <bk>
      <rc t="1" v="2854"/>
    </bk>
    <bk>
      <rc t="1" v="2855"/>
    </bk>
    <bk>
      <rc t="1" v="2856"/>
    </bk>
    <bk>
      <rc t="1" v="2857"/>
    </bk>
    <bk>
      <rc t="1" v="2858"/>
    </bk>
    <bk>
      <rc t="1" v="2859"/>
    </bk>
    <bk>
      <rc t="1" v="2860"/>
    </bk>
    <bk>
      <rc t="1" v="2861"/>
    </bk>
    <bk>
      <rc t="1" v="2862"/>
    </bk>
    <bk>
      <rc t="1" v="2863"/>
    </bk>
    <bk>
      <rc t="1" v="2864"/>
    </bk>
    <bk>
      <rc t="1" v="2865"/>
    </bk>
    <bk>
      <rc t="1" v="2866"/>
    </bk>
    <bk>
      <rc t="1" v="2867"/>
    </bk>
    <bk>
      <rc t="1" v="2868"/>
    </bk>
    <bk>
      <rc t="1" v="2869"/>
    </bk>
    <bk>
      <rc t="1" v="2870"/>
    </bk>
    <bk>
      <rc t="1" v="2871"/>
    </bk>
    <bk>
      <rc t="1" v="2872"/>
    </bk>
    <bk>
      <rc t="1" v="2873"/>
    </bk>
    <bk>
      <rc t="1" v="2874"/>
    </bk>
    <bk>
      <rc t="1" v="2875"/>
    </bk>
    <bk>
      <rc t="1" v="2876"/>
    </bk>
    <bk>
      <rc t="1" v="2877"/>
    </bk>
    <bk>
      <rc t="1" v="2878"/>
    </bk>
    <bk>
      <rc t="1" v="2879"/>
    </bk>
    <bk>
      <rc t="1" v="2880"/>
    </bk>
    <bk>
      <rc t="1" v="2881"/>
    </bk>
    <bk>
      <rc t="1" v="2882"/>
    </bk>
    <bk>
      <rc t="1" v="2883"/>
    </bk>
    <bk>
      <rc t="1" v="2884"/>
    </bk>
    <bk>
      <rc t="1" v="2885"/>
    </bk>
    <bk>
      <rc t="1" v="2886"/>
    </bk>
    <bk>
      <rc t="1" v="2887"/>
    </bk>
    <bk>
      <rc t="1" v="2888"/>
    </bk>
    <bk>
      <rc t="1" v="2889"/>
    </bk>
    <bk>
      <rc t="1" v="2890"/>
    </bk>
    <bk>
      <rc t="1" v="2891"/>
    </bk>
    <bk>
      <rc t="1" v="2892"/>
    </bk>
    <bk>
      <rc t="1" v="2893"/>
    </bk>
    <bk>
      <rc t="1" v="2894"/>
    </bk>
    <bk>
      <rc t="1" v="2895"/>
    </bk>
    <bk>
      <rc t="1" v="2896"/>
    </bk>
    <bk>
      <rc t="1" v="2897"/>
    </bk>
    <bk>
      <rc t="1" v="2898"/>
    </bk>
    <bk>
      <rc t="1" v="2899"/>
    </bk>
    <bk>
      <rc t="1" v="2900"/>
    </bk>
    <bk>
      <rc t="1" v="2901"/>
    </bk>
    <bk>
      <rc t="1" v="2902"/>
    </bk>
    <bk>
      <rc t="1" v="2903"/>
    </bk>
    <bk>
      <rc t="1" v="2904"/>
    </bk>
    <bk>
      <rc t="1" v="2905"/>
    </bk>
    <bk>
      <rc t="1" v="2906"/>
    </bk>
    <bk>
      <rc t="1" v="2907"/>
    </bk>
    <bk>
      <rc t="1" v="2908"/>
    </bk>
    <bk>
      <rc t="1" v="2909"/>
    </bk>
    <bk>
      <rc t="1" v="2910"/>
    </bk>
    <bk>
      <rc t="1" v="2911"/>
    </bk>
    <bk>
      <rc t="1" v="2912"/>
    </bk>
    <bk>
      <rc t="1" v="2913"/>
    </bk>
    <bk>
      <rc t="1" v="2914"/>
    </bk>
    <bk>
      <rc t="1" v="2915"/>
    </bk>
    <bk>
      <rc t="1" v="2916"/>
    </bk>
    <bk>
      <rc t="1" v="2917"/>
    </bk>
    <bk>
      <rc t="1" v="2918"/>
    </bk>
    <bk>
      <rc t="1" v="2919"/>
    </bk>
    <bk>
      <rc t="1" v="2920"/>
    </bk>
    <bk>
      <rc t="1" v="2921"/>
    </bk>
    <bk>
      <rc t="1" v="2922"/>
    </bk>
    <bk>
      <rc t="1" v="2923"/>
    </bk>
    <bk>
      <rc t="1" v="2924"/>
    </bk>
    <bk>
      <rc t="1" v="2925"/>
    </bk>
    <bk>
      <rc t="1" v="2926"/>
    </bk>
    <bk>
      <rc t="1" v="2927"/>
    </bk>
    <bk>
      <rc t="1" v="2928"/>
    </bk>
    <bk>
      <rc t="1" v="2929"/>
    </bk>
    <bk>
      <rc t="1" v="2930"/>
    </bk>
    <bk>
      <rc t="1" v="2931"/>
    </bk>
    <bk>
      <rc t="1" v="2932"/>
    </bk>
    <bk>
      <rc t="1" v="2933"/>
    </bk>
    <bk>
      <rc t="1" v="2934"/>
    </bk>
    <bk>
      <rc t="1" v="2935"/>
    </bk>
    <bk>
      <rc t="1" v="2936"/>
    </bk>
    <bk>
      <rc t="1" v="2937"/>
    </bk>
    <bk>
      <rc t="1" v="2938"/>
    </bk>
    <bk>
      <rc t="1" v="2939"/>
    </bk>
    <bk>
      <rc t="1" v="2940"/>
    </bk>
    <bk>
      <rc t="1" v="2941"/>
    </bk>
    <bk>
      <rc t="1" v="2942"/>
    </bk>
    <bk>
      <rc t="1" v="2943"/>
    </bk>
    <bk>
      <rc t="1" v="2944"/>
    </bk>
    <bk>
      <rc t="1" v="2945"/>
    </bk>
    <bk>
      <rc t="1" v="2946"/>
    </bk>
    <bk>
      <rc t="1" v="2947"/>
    </bk>
    <bk>
      <rc t="1" v="2948"/>
    </bk>
    <bk>
      <rc t="1" v="2949"/>
    </bk>
    <bk>
      <rc t="1" v="2950"/>
    </bk>
    <bk>
      <rc t="1" v="2951"/>
    </bk>
    <bk>
      <rc t="1" v="2952"/>
    </bk>
    <bk>
      <rc t="1" v="2953"/>
    </bk>
    <bk>
      <rc t="1" v="2954"/>
    </bk>
    <bk>
      <rc t="1" v="2955"/>
    </bk>
    <bk>
      <rc t="1" v="2956"/>
    </bk>
    <bk>
      <rc t="1" v="2957"/>
    </bk>
    <bk>
      <rc t="1" v="2958"/>
    </bk>
    <bk>
      <rc t="1" v="2959"/>
    </bk>
    <bk>
      <rc t="1" v="2960"/>
    </bk>
    <bk>
      <rc t="1" v="2961"/>
    </bk>
    <bk>
      <rc t="1" v="2962"/>
    </bk>
    <bk>
      <rc t="1" v="2963"/>
    </bk>
    <bk>
      <rc t="1" v="2964"/>
    </bk>
    <bk>
      <rc t="1" v="2965"/>
    </bk>
    <bk>
      <rc t="1" v="2966"/>
    </bk>
    <bk>
      <rc t="1" v="2967"/>
    </bk>
    <bk>
      <rc t="1" v="2968"/>
    </bk>
    <bk>
      <rc t="1" v="2969"/>
    </bk>
    <bk>
      <rc t="1" v="2970"/>
    </bk>
    <bk>
      <rc t="1" v="2971"/>
    </bk>
    <bk>
      <rc t="1" v="2972"/>
    </bk>
    <bk>
      <rc t="1" v="2973"/>
    </bk>
    <bk>
      <rc t="1" v="2974"/>
    </bk>
    <bk>
      <rc t="1" v="2975"/>
    </bk>
    <bk>
      <rc t="1" v="2976"/>
    </bk>
    <bk>
      <rc t="1" v="2977"/>
    </bk>
    <bk>
      <rc t="1" v="2978"/>
    </bk>
    <bk>
      <rc t="1" v="2979"/>
    </bk>
    <bk>
      <rc t="1" v="2980"/>
    </bk>
    <bk>
      <rc t="1" v="2981"/>
    </bk>
    <bk>
      <rc t="1" v="2982"/>
    </bk>
    <bk>
      <rc t="1" v="2983"/>
    </bk>
    <bk>
      <rc t="1" v="2984"/>
    </bk>
    <bk>
      <rc t="1" v="2985"/>
    </bk>
    <bk>
      <rc t="1" v="2986"/>
    </bk>
    <bk>
      <rc t="1" v="2987"/>
    </bk>
    <bk>
      <rc t="1" v="2988"/>
    </bk>
    <bk>
      <rc t="1" v="2989"/>
    </bk>
    <bk>
      <rc t="1" v="2990"/>
    </bk>
    <bk>
      <rc t="1" v="2991"/>
    </bk>
    <bk>
      <rc t="1" v="2992"/>
    </bk>
    <bk>
      <rc t="1" v="2993"/>
    </bk>
    <bk>
      <rc t="1" v="2994"/>
    </bk>
    <bk>
      <rc t="1" v="2995"/>
    </bk>
    <bk>
      <rc t="1" v="2996"/>
    </bk>
    <bk>
      <rc t="1" v="2997"/>
    </bk>
    <bk>
      <rc t="1" v="2998"/>
    </bk>
    <bk>
      <rc t="1" v="2999"/>
    </bk>
    <bk>
      <rc t="1" v="3000"/>
    </bk>
    <bk>
      <rc t="1" v="3001"/>
    </bk>
    <bk>
      <rc t="1" v="3002"/>
    </bk>
    <bk>
      <rc t="1" v="3003"/>
    </bk>
    <bk>
      <rc t="1" v="3004"/>
    </bk>
    <bk>
      <rc t="1" v="3005"/>
    </bk>
    <bk>
      <rc t="1" v="3006"/>
    </bk>
    <bk>
      <rc t="1" v="3007"/>
    </bk>
    <bk>
      <rc t="1" v="3008"/>
    </bk>
    <bk>
      <rc t="1" v="3009"/>
    </bk>
    <bk>
      <rc t="1" v="3010"/>
    </bk>
    <bk>
      <rc t="1" v="3011"/>
    </bk>
    <bk>
      <rc t="1" v="3012"/>
    </bk>
    <bk>
      <rc t="1" v="3013"/>
    </bk>
    <bk>
      <rc t="1" v="3014"/>
    </bk>
    <bk>
      <rc t="1" v="3015"/>
    </bk>
    <bk>
      <rc t="1" v="3016"/>
    </bk>
    <bk>
      <rc t="1" v="3017"/>
    </bk>
    <bk>
      <rc t="1" v="3018"/>
    </bk>
    <bk>
      <rc t="1" v="3019"/>
    </bk>
    <bk>
      <rc t="1" v="3020"/>
    </bk>
    <bk>
      <rc t="1" v="3021"/>
    </bk>
    <bk>
      <rc t="1" v="3022"/>
    </bk>
    <bk>
      <rc t="1" v="3023"/>
    </bk>
    <bk>
      <rc t="1" v="3024"/>
    </bk>
    <bk>
      <rc t="1" v="3025"/>
    </bk>
    <bk>
      <rc t="1" v="3026"/>
    </bk>
    <bk>
      <rc t="1" v="3027"/>
    </bk>
    <bk>
      <rc t="1" v="3028"/>
    </bk>
    <bk>
      <rc t="1" v="3029"/>
    </bk>
    <bk>
      <rc t="1" v="3030"/>
    </bk>
    <bk>
      <rc t="1" v="3031"/>
    </bk>
    <bk>
      <rc t="1" v="3032"/>
    </bk>
    <bk>
      <rc t="1" v="3033"/>
    </bk>
    <bk>
      <rc t="1" v="3034"/>
    </bk>
    <bk>
      <rc t="1" v="3035"/>
    </bk>
    <bk>
      <rc t="1" v="3036"/>
    </bk>
    <bk>
      <rc t="1" v="3037"/>
    </bk>
    <bk>
      <rc t="1" v="3038"/>
    </bk>
    <bk>
      <rc t="1" v="3039"/>
    </bk>
    <bk>
      <rc t="1" v="3040"/>
    </bk>
    <bk>
      <rc t="1" v="3041"/>
    </bk>
    <bk>
      <rc t="1" v="3042"/>
    </bk>
    <bk>
      <rc t="1" v="3043"/>
    </bk>
    <bk>
      <rc t="1" v="3044"/>
    </bk>
    <bk>
      <rc t="1" v="3045"/>
    </bk>
    <bk>
      <rc t="1" v="3046"/>
    </bk>
    <bk>
      <rc t="1" v="3047"/>
    </bk>
    <bk>
      <rc t="1" v="3048"/>
    </bk>
    <bk>
      <rc t="1" v="3049"/>
    </bk>
    <bk>
      <rc t="1" v="3050"/>
    </bk>
    <bk>
      <rc t="1" v="3051"/>
    </bk>
    <bk>
      <rc t="1" v="3052"/>
    </bk>
    <bk>
      <rc t="1" v="3053"/>
    </bk>
    <bk>
      <rc t="1" v="3054"/>
    </bk>
    <bk>
      <rc t="1" v="3055"/>
    </bk>
    <bk>
      <rc t="1" v="3056"/>
    </bk>
    <bk>
      <rc t="1" v="3057"/>
    </bk>
    <bk>
      <rc t="1" v="3058"/>
    </bk>
    <bk>
      <rc t="1" v="3059"/>
    </bk>
    <bk>
      <rc t="1" v="3060"/>
    </bk>
    <bk>
      <rc t="1" v="3061"/>
    </bk>
    <bk>
      <rc t="1" v="3062"/>
    </bk>
    <bk>
      <rc t="1" v="3063"/>
    </bk>
    <bk>
      <rc t="1" v="3064"/>
    </bk>
    <bk>
      <rc t="1" v="3065"/>
    </bk>
    <bk>
      <rc t="1" v="3066"/>
    </bk>
    <bk>
      <rc t="1" v="3067"/>
    </bk>
    <bk>
      <rc t="1" v="3068"/>
    </bk>
    <bk>
      <rc t="1" v="3069"/>
    </bk>
    <bk>
      <rc t="1" v="3070"/>
    </bk>
    <bk>
      <rc t="1" v="3071"/>
    </bk>
    <bk>
      <rc t="1" v="3072"/>
    </bk>
    <bk>
      <rc t="1" v="3073"/>
    </bk>
    <bk>
      <rc t="1" v="3074"/>
    </bk>
    <bk>
      <rc t="1" v="3075"/>
    </bk>
    <bk>
      <rc t="1" v="3076"/>
    </bk>
    <bk>
      <rc t="1" v="3077"/>
    </bk>
    <bk>
      <rc t="1" v="3078"/>
    </bk>
    <bk>
      <rc t="1" v="3079"/>
    </bk>
    <bk>
      <rc t="1" v="3080"/>
    </bk>
    <bk>
      <rc t="1" v="3081"/>
    </bk>
    <bk>
      <rc t="1" v="3082"/>
    </bk>
    <bk>
      <rc t="1" v="3083"/>
    </bk>
    <bk>
      <rc t="1" v="3084"/>
    </bk>
    <bk>
      <rc t="1" v="3085"/>
    </bk>
    <bk>
      <rc t="1" v="3086"/>
    </bk>
    <bk>
      <rc t="1" v="3087"/>
    </bk>
    <bk>
      <rc t="1" v="3088"/>
    </bk>
    <bk>
      <rc t="1" v="3089"/>
    </bk>
    <bk>
      <rc t="1" v="3090"/>
    </bk>
    <bk>
      <rc t="1" v="3091"/>
    </bk>
    <bk>
      <rc t="1" v="3092"/>
    </bk>
    <bk>
      <rc t="1" v="3093"/>
    </bk>
    <bk>
      <rc t="1" v="3094"/>
    </bk>
    <bk>
      <rc t="1" v="3095"/>
    </bk>
    <bk>
      <rc t="1" v="3096"/>
    </bk>
    <bk>
      <rc t="1" v="3097"/>
    </bk>
    <bk>
      <rc t="1" v="3098"/>
    </bk>
    <bk>
      <rc t="1" v="3099"/>
    </bk>
    <bk>
      <rc t="1" v="3100"/>
    </bk>
    <bk>
      <rc t="1" v="3101"/>
    </bk>
    <bk>
      <rc t="1" v="3102"/>
    </bk>
    <bk>
      <rc t="1" v="3103"/>
    </bk>
    <bk>
      <rc t="1" v="3104"/>
    </bk>
    <bk>
      <rc t="1" v="3105"/>
    </bk>
    <bk>
      <rc t="1" v="3106"/>
    </bk>
    <bk>
      <rc t="1" v="3107"/>
    </bk>
    <bk>
      <rc t="1" v="3108"/>
    </bk>
    <bk>
      <rc t="1" v="3109"/>
    </bk>
    <bk>
      <rc t="1" v="3110"/>
    </bk>
    <bk>
      <rc t="1" v="3111"/>
    </bk>
    <bk>
      <rc t="1" v="3112"/>
    </bk>
    <bk>
      <rc t="1" v="3113"/>
    </bk>
    <bk>
      <rc t="1" v="3114"/>
    </bk>
    <bk>
      <rc t="1" v="3115"/>
    </bk>
    <bk>
      <rc t="1" v="3116"/>
    </bk>
    <bk>
      <rc t="1" v="3117"/>
    </bk>
    <bk>
      <rc t="1" v="3118"/>
    </bk>
    <bk>
      <rc t="1" v="3119"/>
    </bk>
    <bk>
      <rc t="1" v="3120"/>
    </bk>
    <bk>
      <rc t="1" v="3121"/>
    </bk>
    <bk>
      <rc t="1" v="3122"/>
    </bk>
    <bk>
      <rc t="1" v="3123"/>
    </bk>
    <bk>
      <rc t="1" v="3124"/>
    </bk>
    <bk>
      <rc t="1" v="3125"/>
    </bk>
    <bk>
      <rc t="1" v="3126"/>
    </bk>
    <bk>
      <rc t="1" v="3127"/>
    </bk>
    <bk>
      <rc t="1" v="3128"/>
    </bk>
    <bk>
      <rc t="1" v="3129"/>
    </bk>
    <bk>
      <rc t="1" v="3130"/>
    </bk>
    <bk>
      <rc t="1" v="3131"/>
    </bk>
    <bk>
      <rc t="1" v="3132"/>
    </bk>
    <bk>
      <rc t="1" v="3133"/>
    </bk>
    <bk>
      <rc t="1" v="3134"/>
    </bk>
    <bk>
      <rc t="1" v="3135"/>
    </bk>
    <bk>
      <rc t="1" v="3136"/>
    </bk>
    <bk>
      <rc t="1" v="3137"/>
    </bk>
    <bk>
      <rc t="1" v="3138"/>
    </bk>
    <bk>
      <rc t="1" v="3139"/>
    </bk>
    <bk>
      <rc t="1" v="3140"/>
    </bk>
    <bk>
      <rc t="1" v="3141"/>
    </bk>
    <bk>
      <rc t="1" v="3142"/>
    </bk>
    <bk>
      <rc t="1" v="3143"/>
    </bk>
    <bk>
      <rc t="1" v="3144"/>
    </bk>
    <bk>
      <rc t="1" v="3145"/>
    </bk>
    <bk>
      <rc t="1" v="3146"/>
    </bk>
    <bk>
      <rc t="1" v="3147"/>
    </bk>
    <bk>
      <rc t="1" v="3148"/>
    </bk>
    <bk>
      <rc t="1" v="3149"/>
    </bk>
    <bk>
      <rc t="1" v="3150"/>
    </bk>
    <bk>
      <rc t="1" v="3151"/>
    </bk>
    <bk>
      <rc t="1" v="3152"/>
    </bk>
    <bk>
      <rc t="1" v="3153"/>
    </bk>
    <bk>
      <rc t="1" v="3154"/>
    </bk>
    <bk>
      <rc t="1" v="3155"/>
    </bk>
    <bk>
      <rc t="1" v="3156"/>
    </bk>
    <bk>
      <rc t="1" v="3157"/>
    </bk>
    <bk>
      <rc t="1" v="3158"/>
    </bk>
    <bk>
      <rc t="1" v="3159"/>
    </bk>
    <bk>
      <rc t="1" v="3160"/>
    </bk>
    <bk>
      <rc t="1" v="3161"/>
    </bk>
    <bk>
      <rc t="1" v="3162"/>
    </bk>
    <bk>
      <rc t="1" v="3163"/>
    </bk>
    <bk>
      <rc t="1" v="3164"/>
    </bk>
    <bk>
      <rc t="1" v="3165"/>
    </bk>
    <bk>
      <rc t="1" v="3166"/>
    </bk>
    <bk>
      <rc t="1" v="3167"/>
    </bk>
    <bk>
      <rc t="1" v="3168"/>
    </bk>
    <bk>
      <rc t="1" v="3169"/>
    </bk>
    <bk>
      <rc t="1" v="3170"/>
    </bk>
    <bk>
      <rc t="1" v="3171"/>
    </bk>
    <bk>
      <rc t="1" v="3172"/>
    </bk>
    <bk>
      <rc t="1" v="3173"/>
    </bk>
    <bk>
      <rc t="1" v="3174"/>
    </bk>
    <bk>
      <rc t="1" v="3175"/>
    </bk>
    <bk>
      <rc t="1" v="3176"/>
    </bk>
    <bk>
      <rc t="1" v="3177"/>
    </bk>
    <bk>
      <rc t="1" v="3178"/>
    </bk>
    <bk>
      <rc t="1" v="3179"/>
    </bk>
    <bk>
      <rc t="1" v="3180"/>
    </bk>
    <bk>
      <rc t="1" v="3181"/>
    </bk>
    <bk>
      <rc t="1" v="3182"/>
    </bk>
    <bk>
      <rc t="1" v="3183"/>
    </bk>
    <bk>
      <rc t="1" v="3184"/>
    </bk>
    <bk>
      <rc t="1" v="3185"/>
    </bk>
    <bk>
      <rc t="1" v="3186"/>
    </bk>
    <bk>
      <rc t="1" v="3187"/>
    </bk>
    <bk>
      <rc t="1" v="3188"/>
    </bk>
    <bk>
      <rc t="1" v="3189"/>
    </bk>
    <bk>
      <rc t="1" v="3190"/>
    </bk>
    <bk>
      <rc t="1" v="3191"/>
    </bk>
    <bk>
      <rc t="1" v="3192"/>
    </bk>
    <bk>
      <rc t="1" v="3193"/>
    </bk>
    <bk>
      <rc t="1" v="3194"/>
    </bk>
    <bk>
      <rc t="1" v="3195"/>
    </bk>
    <bk>
      <rc t="1" v="3196"/>
    </bk>
    <bk>
      <rc t="1" v="3197"/>
    </bk>
    <bk>
      <rc t="1" v="3198"/>
    </bk>
    <bk>
      <rc t="1" v="3199"/>
    </bk>
    <bk>
      <rc t="1" v="3200"/>
    </bk>
    <bk>
      <rc t="1" v="3201"/>
    </bk>
    <bk>
      <rc t="1" v="3202"/>
    </bk>
    <bk>
      <rc t="1" v="3203"/>
    </bk>
    <bk>
      <rc t="1" v="3204"/>
    </bk>
    <bk>
      <rc t="1" v="3205"/>
    </bk>
    <bk>
      <rc t="1" v="3206"/>
    </bk>
    <bk>
      <rc t="1" v="3207"/>
    </bk>
    <bk>
      <rc t="1" v="3208"/>
    </bk>
    <bk>
      <rc t="1" v="3209"/>
    </bk>
    <bk>
      <rc t="1" v="3210"/>
    </bk>
    <bk>
      <rc t="1" v="3211"/>
    </bk>
    <bk>
      <rc t="1" v="3212"/>
    </bk>
    <bk>
      <rc t="1" v="3213"/>
    </bk>
    <bk>
      <rc t="1" v="3214"/>
    </bk>
    <bk>
      <rc t="1" v="3215"/>
    </bk>
    <bk>
      <rc t="1" v="3216"/>
    </bk>
    <bk>
      <rc t="1" v="3217"/>
    </bk>
    <bk>
      <rc t="1" v="3218"/>
    </bk>
    <bk>
      <rc t="1" v="3219"/>
    </bk>
    <bk>
      <rc t="1" v="3220"/>
    </bk>
    <bk>
      <rc t="1" v="3221"/>
    </bk>
    <bk>
      <rc t="1" v="3222"/>
    </bk>
    <bk>
      <rc t="1" v="3223"/>
    </bk>
    <bk>
      <rc t="1" v="3224"/>
    </bk>
    <bk>
      <rc t="1" v="3225"/>
    </bk>
    <bk>
      <rc t="1" v="3226"/>
    </bk>
    <bk>
      <rc t="1" v="3227"/>
    </bk>
    <bk>
      <rc t="1" v="3228"/>
    </bk>
    <bk>
      <rc t="1" v="3229"/>
    </bk>
    <bk>
      <rc t="1" v="3230"/>
    </bk>
    <bk>
      <rc t="1" v="3231"/>
    </bk>
    <bk>
      <rc t="1" v="3232"/>
    </bk>
    <bk>
      <rc t="1" v="3233"/>
    </bk>
    <bk>
      <rc t="1" v="3234"/>
    </bk>
    <bk>
      <rc t="1" v="3235"/>
    </bk>
    <bk>
      <rc t="1" v="3236"/>
    </bk>
    <bk>
      <rc t="1" v="3237"/>
    </bk>
    <bk>
      <rc t="1" v="3238"/>
    </bk>
    <bk>
      <rc t="1" v="3239"/>
    </bk>
    <bk>
      <rc t="1" v="3240"/>
    </bk>
    <bk>
      <rc t="1" v="3241"/>
    </bk>
    <bk>
      <rc t="1" v="3242"/>
    </bk>
    <bk>
      <rc t="1" v="3243"/>
    </bk>
    <bk>
      <rc t="1" v="3244"/>
    </bk>
    <bk>
      <rc t="1" v="3245"/>
    </bk>
    <bk>
      <rc t="1" v="3246"/>
    </bk>
    <bk>
      <rc t="1" v="3247"/>
    </bk>
    <bk>
      <rc t="1" v="3248"/>
    </bk>
    <bk>
      <rc t="1" v="3249"/>
    </bk>
    <bk>
      <rc t="1" v="3250"/>
    </bk>
    <bk>
      <rc t="1" v="3251"/>
    </bk>
    <bk>
      <rc t="1" v="3252"/>
    </bk>
    <bk>
      <rc t="1" v="3253"/>
    </bk>
    <bk>
      <rc t="1" v="3254"/>
    </bk>
    <bk>
      <rc t="1" v="3255"/>
    </bk>
    <bk>
      <rc t="1" v="3256"/>
    </bk>
    <bk>
      <rc t="1" v="3257"/>
    </bk>
    <bk>
      <rc t="1" v="3258"/>
    </bk>
    <bk>
      <rc t="1" v="3259"/>
    </bk>
    <bk>
      <rc t="1" v="3260"/>
    </bk>
    <bk>
      <rc t="1" v="3261"/>
    </bk>
    <bk>
      <rc t="1" v="3262"/>
    </bk>
    <bk>
      <rc t="1" v="3263"/>
    </bk>
    <bk>
      <rc t="1" v="3264"/>
    </bk>
    <bk>
      <rc t="1" v="3265"/>
    </bk>
    <bk>
      <rc t="1" v="3266"/>
    </bk>
    <bk>
      <rc t="1" v="3267"/>
    </bk>
    <bk>
      <rc t="1" v="3268"/>
    </bk>
    <bk>
      <rc t="1" v="3269"/>
    </bk>
    <bk>
      <rc t="1" v="3270"/>
    </bk>
    <bk>
      <rc t="1" v="3271"/>
    </bk>
    <bk>
      <rc t="1" v="3272"/>
    </bk>
    <bk>
      <rc t="1" v="3273"/>
    </bk>
    <bk>
      <rc t="1" v="3274"/>
    </bk>
    <bk>
      <rc t="1" v="3275"/>
    </bk>
    <bk>
      <rc t="1" v="3276"/>
    </bk>
    <bk>
      <rc t="1" v="3277"/>
    </bk>
    <bk>
      <rc t="1" v="3278"/>
    </bk>
    <bk>
      <rc t="1" v="3279"/>
    </bk>
    <bk>
      <rc t="1" v="3280"/>
    </bk>
    <bk>
      <rc t="1" v="3281"/>
    </bk>
    <bk>
      <rc t="1" v="3282"/>
    </bk>
    <bk>
      <rc t="1" v="3283"/>
    </bk>
    <bk>
      <rc t="1" v="3284"/>
    </bk>
    <bk>
      <rc t="1" v="3285"/>
    </bk>
    <bk>
      <rc t="1" v="3286"/>
    </bk>
    <bk>
      <rc t="1" v="3287"/>
    </bk>
    <bk>
      <rc t="1" v="3288"/>
    </bk>
    <bk>
      <rc t="1" v="3289"/>
    </bk>
    <bk>
      <rc t="1" v="3290"/>
    </bk>
    <bk>
      <rc t="1" v="3291"/>
    </bk>
    <bk>
      <rc t="1" v="3292"/>
    </bk>
    <bk>
      <rc t="1" v="3293"/>
    </bk>
    <bk>
      <rc t="1" v="3294"/>
    </bk>
    <bk>
      <rc t="1" v="3295"/>
    </bk>
    <bk>
      <rc t="1" v="3296"/>
    </bk>
    <bk>
      <rc t="1" v="3297"/>
    </bk>
    <bk>
      <rc t="1" v="3298"/>
    </bk>
    <bk>
      <rc t="1" v="3299"/>
    </bk>
    <bk>
      <rc t="1" v="3300"/>
    </bk>
    <bk>
      <rc t="1" v="3301"/>
    </bk>
    <bk>
      <rc t="1" v="3302"/>
    </bk>
    <bk>
      <rc t="1" v="3303"/>
    </bk>
    <bk>
      <rc t="1" v="3304"/>
    </bk>
    <bk>
      <rc t="1" v="3305"/>
    </bk>
    <bk>
      <rc t="1" v="3306"/>
    </bk>
    <bk>
      <rc t="1" v="3307"/>
    </bk>
    <bk>
      <rc t="1" v="3308"/>
    </bk>
    <bk>
      <rc t="1" v="3309"/>
    </bk>
    <bk>
      <rc t="1" v="3310"/>
    </bk>
    <bk>
      <rc t="1" v="3311"/>
    </bk>
    <bk>
      <rc t="1" v="3312"/>
    </bk>
    <bk>
      <rc t="1" v="3313"/>
    </bk>
    <bk>
      <rc t="1" v="3314"/>
    </bk>
    <bk>
      <rc t="1" v="3315"/>
    </bk>
    <bk>
      <rc t="1" v="3316"/>
    </bk>
    <bk>
      <rc t="1" v="3317"/>
    </bk>
    <bk>
      <rc t="1" v="3318"/>
    </bk>
    <bk>
      <rc t="1" v="3319"/>
    </bk>
    <bk>
      <rc t="1" v="3320"/>
    </bk>
    <bk>
      <rc t="1" v="3321"/>
    </bk>
    <bk>
      <rc t="1" v="3322"/>
    </bk>
    <bk>
      <rc t="1" v="3323"/>
    </bk>
    <bk>
      <rc t="1" v="3324"/>
    </bk>
    <bk>
      <rc t="1" v="3325"/>
    </bk>
    <bk>
      <rc t="1" v="3326"/>
    </bk>
    <bk>
      <rc t="1" v="3327"/>
    </bk>
    <bk>
      <rc t="1" v="3328"/>
    </bk>
    <bk>
      <rc t="1" v="3329"/>
    </bk>
    <bk>
      <rc t="1" v="3330"/>
    </bk>
    <bk>
      <rc t="1" v="3331"/>
    </bk>
    <bk>
      <rc t="1" v="3332"/>
    </bk>
    <bk>
      <rc t="1" v="3333"/>
    </bk>
    <bk>
      <rc t="1" v="3334"/>
    </bk>
    <bk>
      <rc t="1" v="3335"/>
    </bk>
    <bk>
      <rc t="1" v="3336"/>
    </bk>
    <bk>
      <rc t="1" v="3337"/>
    </bk>
    <bk>
      <rc t="1" v="3338"/>
    </bk>
    <bk>
      <rc t="1" v="3339"/>
    </bk>
    <bk>
      <rc t="1" v="3340"/>
    </bk>
    <bk>
      <rc t="1" v="3341"/>
    </bk>
    <bk>
      <rc t="1" v="3342"/>
    </bk>
    <bk>
      <rc t="1" v="3343"/>
    </bk>
    <bk>
      <rc t="1" v="3344"/>
    </bk>
    <bk>
      <rc t="1" v="3345"/>
    </bk>
    <bk>
      <rc t="1" v="3346"/>
    </bk>
    <bk>
      <rc t="1" v="3347"/>
    </bk>
    <bk>
      <rc t="1" v="3348"/>
    </bk>
    <bk>
      <rc t="1" v="3349"/>
    </bk>
    <bk>
      <rc t="1" v="3350"/>
    </bk>
    <bk>
      <rc t="1" v="3351"/>
    </bk>
    <bk>
      <rc t="1" v="3352"/>
    </bk>
    <bk>
      <rc t="1" v="3353"/>
    </bk>
    <bk>
      <rc t="1" v="3354"/>
    </bk>
    <bk>
      <rc t="1" v="3355"/>
    </bk>
    <bk>
      <rc t="1" v="3356"/>
    </bk>
    <bk>
      <rc t="1" v="3357"/>
    </bk>
    <bk>
      <rc t="1" v="3358"/>
    </bk>
    <bk>
      <rc t="1" v="3359"/>
    </bk>
    <bk>
      <rc t="1" v="3360"/>
    </bk>
    <bk>
      <rc t="1" v="3361"/>
    </bk>
    <bk>
      <rc t="1" v="3362"/>
    </bk>
    <bk>
      <rc t="1" v="3363"/>
    </bk>
    <bk>
      <rc t="1" v="3364"/>
    </bk>
    <bk>
      <rc t="1" v="3365"/>
    </bk>
    <bk>
      <rc t="1" v="3366"/>
    </bk>
    <bk>
      <rc t="1" v="3367"/>
    </bk>
    <bk>
      <rc t="1" v="3368"/>
    </bk>
    <bk>
      <rc t="1" v="3369"/>
    </bk>
    <bk>
      <rc t="1" v="3370"/>
    </bk>
    <bk>
      <rc t="1" v="3371"/>
    </bk>
    <bk>
      <rc t="1" v="3372"/>
    </bk>
    <bk>
      <rc t="1" v="3373"/>
    </bk>
    <bk>
      <rc t="1" v="3374"/>
    </bk>
    <bk>
      <rc t="1" v="3375"/>
    </bk>
    <bk>
      <rc t="1" v="3376"/>
    </bk>
    <bk>
      <rc t="1" v="3377"/>
    </bk>
    <bk>
      <rc t="1" v="3378"/>
    </bk>
    <bk>
      <rc t="1" v="3379"/>
    </bk>
    <bk>
      <rc t="1" v="3380"/>
    </bk>
    <bk>
      <rc t="1" v="3381"/>
    </bk>
    <bk>
      <rc t="1" v="3382"/>
    </bk>
    <bk>
      <rc t="1" v="3383"/>
    </bk>
    <bk>
      <rc t="1" v="3384"/>
    </bk>
    <bk>
      <rc t="1" v="3385"/>
    </bk>
    <bk>
      <rc t="1" v="3386"/>
    </bk>
    <bk>
      <rc t="1" v="3387"/>
    </bk>
    <bk>
      <rc t="1" v="3388"/>
    </bk>
    <bk>
      <rc t="1" v="3389"/>
    </bk>
    <bk>
      <rc t="1" v="3390"/>
    </bk>
    <bk>
      <rc t="1" v="3391"/>
    </bk>
    <bk>
      <rc t="1" v="3392"/>
    </bk>
    <bk>
      <rc t="1" v="3393"/>
    </bk>
    <bk>
      <rc t="1" v="3394"/>
    </bk>
    <bk>
      <rc t="1" v="3395"/>
    </bk>
    <bk>
      <rc t="1" v="3396"/>
    </bk>
    <bk>
      <rc t="1" v="3397"/>
    </bk>
    <bk>
      <rc t="1" v="3398"/>
    </bk>
    <bk>
      <rc t="1" v="3399"/>
    </bk>
    <bk>
      <rc t="1" v="3400"/>
    </bk>
    <bk>
      <rc t="1" v="3401"/>
    </bk>
    <bk>
      <rc t="1" v="3402"/>
    </bk>
    <bk>
      <rc t="1" v="3403"/>
    </bk>
    <bk>
      <rc t="1" v="3404"/>
    </bk>
    <bk>
      <rc t="1" v="3405"/>
    </bk>
    <bk>
      <rc t="1" v="3406"/>
    </bk>
    <bk>
      <rc t="1" v="3407"/>
    </bk>
    <bk>
      <rc t="1" v="3408"/>
    </bk>
    <bk>
      <rc t="1" v="3409"/>
    </bk>
    <bk>
      <rc t="1" v="3410"/>
    </bk>
    <bk>
      <rc t="1" v="3411"/>
    </bk>
    <bk>
      <rc t="1" v="3412"/>
    </bk>
    <bk>
      <rc t="1" v="3413"/>
    </bk>
    <bk>
      <rc t="1" v="3414"/>
    </bk>
    <bk>
      <rc t="1" v="3415"/>
    </bk>
    <bk>
      <rc t="1" v="3416"/>
    </bk>
    <bk>
      <rc t="1" v="3417"/>
    </bk>
    <bk>
      <rc t="1" v="3418"/>
    </bk>
    <bk>
      <rc t="1" v="3419"/>
    </bk>
    <bk>
      <rc t="1" v="3420"/>
    </bk>
    <bk>
      <rc t="1" v="3421"/>
    </bk>
    <bk>
      <rc t="1" v="3422"/>
    </bk>
    <bk>
      <rc t="1" v="3423"/>
    </bk>
    <bk>
      <rc t="1" v="3424"/>
    </bk>
    <bk>
      <rc t="1" v="3425"/>
    </bk>
    <bk>
      <rc t="1" v="3426"/>
    </bk>
    <bk>
      <rc t="1" v="3427"/>
    </bk>
    <bk>
      <rc t="1" v="3428"/>
    </bk>
    <bk>
      <rc t="1" v="3429"/>
    </bk>
    <bk>
      <rc t="1" v="3430"/>
    </bk>
    <bk>
      <rc t="1" v="3431"/>
    </bk>
    <bk>
      <rc t="1" v="3432"/>
    </bk>
    <bk>
      <rc t="1" v="3433"/>
    </bk>
    <bk>
      <rc t="1" v="3434"/>
    </bk>
    <bk>
      <rc t="1" v="3435"/>
    </bk>
    <bk>
      <rc t="1" v="3436"/>
    </bk>
    <bk>
      <rc t="1" v="3437"/>
    </bk>
    <bk>
      <rc t="1" v="3438"/>
    </bk>
    <bk>
      <rc t="1" v="3439"/>
    </bk>
    <bk>
      <rc t="1" v="3440"/>
    </bk>
    <bk>
      <rc t="1" v="3441"/>
    </bk>
    <bk>
      <rc t="1" v="3442"/>
    </bk>
    <bk>
      <rc t="1" v="3443"/>
    </bk>
    <bk>
      <rc t="1" v="3444"/>
    </bk>
    <bk>
      <rc t="1" v="3445"/>
    </bk>
    <bk>
      <rc t="1" v="3446"/>
    </bk>
    <bk>
      <rc t="1" v="3447"/>
    </bk>
    <bk>
      <rc t="1" v="3448"/>
    </bk>
    <bk>
      <rc t="1" v="3449"/>
    </bk>
    <bk>
      <rc t="1" v="3450"/>
    </bk>
    <bk>
      <rc t="1" v="3451"/>
    </bk>
    <bk>
      <rc t="1" v="3452"/>
    </bk>
    <bk>
      <rc t="1" v="3453"/>
    </bk>
    <bk>
      <rc t="1" v="3454"/>
    </bk>
    <bk>
      <rc t="1" v="3455"/>
    </bk>
    <bk>
      <rc t="1" v="3456"/>
    </bk>
    <bk>
      <rc t="1" v="3457"/>
    </bk>
    <bk>
      <rc t="1" v="3458"/>
    </bk>
    <bk>
      <rc t="1" v="3459"/>
    </bk>
    <bk>
      <rc t="1" v="3460"/>
    </bk>
    <bk>
      <rc t="1" v="3461"/>
    </bk>
    <bk>
      <rc t="1" v="3462"/>
    </bk>
    <bk>
      <rc t="1" v="3463"/>
    </bk>
    <bk>
      <rc t="1" v="3464"/>
    </bk>
    <bk>
      <rc t="1" v="3465"/>
    </bk>
    <bk>
      <rc t="1" v="3466"/>
    </bk>
    <bk>
      <rc t="1" v="3467"/>
    </bk>
    <bk>
      <rc t="1" v="3468"/>
    </bk>
    <bk>
      <rc t="1" v="3469"/>
    </bk>
    <bk>
      <rc t="1" v="3470"/>
    </bk>
    <bk>
      <rc t="1" v="3471"/>
    </bk>
    <bk>
      <rc t="1" v="3472"/>
    </bk>
    <bk>
      <rc t="1" v="3473"/>
    </bk>
    <bk>
      <rc t="1" v="3474"/>
    </bk>
    <bk>
      <rc t="1" v="3475"/>
    </bk>
    <bk>
      <rc t="1" v="3476"/>
    </bk>
    <bk>
      <rc t="1" v="3477"/>
    </bk>
    <bk>
      <rc t="1" v="3478"/>
    </bk>
    <bk>
      <rc t="1" v="3479"/>
    </bk>
    <bk>
      <rc t="1" v="3480"/>
    </bk>
    <bk>
      <rc t="1" v="3481"/>
    </bk>
    <bk>
      <rc t="1" v="3482"/>
    </bk>
    <bk>
      <rc t="1" v="3483"/>
    </bk>
    <bk>
      <rc t="1" v="3484"/>
    </bk>
    <bk>
      <rc t="1" v="3485"/>
    </bk>
    <bk>
      <rc t="1" v="3486"/>
    </bk>
    <bk>
      <rc t="1" v="3487"/>
    </bk>
    <bk>
      <rc t="1" v="3488"/>
    </bk>
    <bk>
      <rc t="1" v="3489"/>
    </bk>
    <bk>
      <rc t="1" v="3490"/>
    </bk>
    <bk>
      <rc t="1" v="3491"/>
    </bk>
    <bk>
      <rc t="1" v="3492"/>
    </bk>
    <bk>
      <rc t="1" v="3493"/>
    </bk>
    <bk>
      <rc t="1" v="3494"/>
    </bk>
    <bk>
      <rc t="1" v="3495"/>
    </bk>
    <bk>
      <rc t="1" v="3496"/>
    </bk>
    <bk>
      <rc t="1" v="3497"/>
    </bk>
    <bk>
      <rc t="1" v="3498"/>
    </bk>
    <bk>
      <rc t="1" v="3499"/>
    </bk>
    <bk>
      <rc t="1" v="3500"/>
    </bk>
    <bk>
      <rc t="1" v="3501"/>
    </bk>
    <bk>
      <rc t="1" v="3502"/>
    </bk>
    <bk>
      <rc t="1" v="3503"/>
    </bk>
    <bk>
      <rc t="1" v="3504"/>
    </bk>
    <bk>
      <rc t="1" v="3505"/>
    </bk>
    <bk>
      <rc t="1" v="3506"/>
    </bk>
    <bk>
      <rc t="1" v="3507"/>
    </bk>
    <bk>
      <rc t="1" v="3508"/>
    </bk>
    <bk>
      <rc t="1" v="3509"/>
    </bk>
    <bk>
      <rc t="1" v="3510"/>
    </bk>
    <bk>
      <rc t="1" v="3511"/>
    </bk>
    <bk>
      <rc t="1" v="3512"/>
    </bk>
    <bk>
      <rc t="1" v="3513"/>
    </bk>
    <bk>
      <rc t="1" v="3514"/>
    </bk>
    <bk>
      <rc t="1" v="3515"/>
    </bk>
    <bk>
      <rc t="1" v="3516"/>
    </bk>
    <bk>
      <rc t="1" v="3517"/>
    </bk>
    <bk>
      <rc t="1" v="3518"/>
    </bk>
    <bk>
      <rc t="1" v="3519"/>
    </bk>
    <bk>
      <rc t="1" v="3520"/>
    </bk>
    <bk>
      <rc t="1" v="3521"/>
    </bk>
    <bk>
      <rc t="1" v="3522"/>
    </bk>
    <bk>
      <rc t="1" v="3523"/>
    </bk>
    <bk>
      <rc t="1" v="3524"/>
    </bk>
    <bk>
      <rc t="1" v="3525"/>
    </bk>
    <bk>
      <rc t="1" v="3526"/>
    </bk>
    <bk>
      <rc t="1" v="3527"/>
    </bk>
    <bk>
      <rc t="1" v="3528"/>
    </bk>
    <bk>
      <rc t="1" v="3529"/>
    </bk>
    <bk>
      <rc t="1" v="3530"/>
    </bk>
    <bk>
      <rc t="1" v="3531"/>
    </bk>
    <bk>
      <rc t="1" v="3532"/>
    </bk>
    <bk>
      <rc t="1" v="3533"/>
    </bk>
    <bk>
      <rc t="1" v="3534"/>
    </bk>
    <bk>
      <rc t="1" v="3535"/>
    </bk>
    <bk>
      <rc t="1" v="3536"/>
    </bk>
    <bk>
      <rc t="1" v="3537"/>
    </bk>
    <bk>
      <rc t="1" v="3538"/>
    </bk>
    <bk>
      <rc t="1" v="3539"/>
    </bk>
    <bk>
      <rc t="1" v="3540"/>
    </bk>
    <bk>
      <rc t="1" v="3541"/>
    </bk>
    <bk>
      <rc t="1" v="3542"/>
    </bk>
    <bk>
      <rc t="1" v="3543"/>
    </bk>
    <bk>
      <rc t="1" v="3544"/>
    </bk>
    <bk>
      <rc t="1" v="3545"/>
    </bk>
    <bk>
      <rc t="1" v="3546"/>
    </bk>
    <bk>
      <rc t="1" v="3547"/>
    </bk>
    <bk>
      <rc t="1" v="3548"/>
    </bk>
    <bk>
      <rc t="1" v="3549"/>
    </bk>
    <bk>
      <rc t="1" v="3550"/>
    </bk>
    <bk>
      <rc t="1" v="3551"/>
    </bk>
    <bk>
      <rc t="1" v="3552"/>
    </bk>
    <bk>
      <rc t="1" v="3553"/>
    </bk>
    <bk>
      <rc t="1" v="3554"/>
    </bk>
    <bk>
      <rc t="1" v="3555"/>
    </bk>
    <bk>
      <rc t="1" v="3556"/>
    </bk>
    <bk>
      <rc t="1" v="3557"/>
    </bk>
    <bk>
      <rc t="1" v="3558"/>
    </bk>
    <bk>
      <rc t="1" v="3559"/>
    </bk>
    <bk>
      <rc t="1" v="3560"/>
    </bk>
    <bk>
      <rc t="1" v="3561"/>
    </bk>
    <bk>
      <rc t="1" v="3562"/>
    </bk>
    <bk>
      <rc t="1" v="3563"/>
    </bk>
    <bk>
      <rc t="1" v="3564"/>
    </bk>
    <bk>
      <rc t="1" v="3565"/>
    </bk>
    <bk>
      <rc t="1" v="3566"/>
    </bk>
    <bk>
      <rc t="1" v="3567"/>
    </bk>
    <bk>
      <rc t="1" v="3568"/>
    </bk>
    <bk>
      <rc t="1" v="3569"/>
    </bk>
    <bk>
      <rc t="1" v="3570"/>
    </bk>
    <bk>
      <rc t="1" v="3571"/>
    </bk>
    <bk>
      <rc t="1" v="3572"/>
    </bk>
    <bk>
      <rc t="1" v="3573"/>
    </bk>
    <bk>
      <rc t="1" v="3574"/>
    </bk>
    <bk>
      <rc t="1" v="3575"/>
    </bk>
    <bk>
      <rc t="1" v="3576"/>
    </bk>
    <bk>
      <rc t="1" v="3577"/>
    </bk>
    <bk>
      <rc t="1" v="3578"/>
    </bk>
    <bk>
      <rc t="1" v="3579"/>
    </bk>
    <bk>
      <rc t="1" v="3580"/>
    </bk>
    <bk>
      <rc t="1" v="3581"/>
    </bk>
    <bk>
      <rc t="1" v="3582"/>
    </bk>
    <bk>
      <rc t="1" v="3583"/>
    </bk>
    <bk>
      <rc t="1" v="3584"/>
    </bk>
    <bk>
      <rc t="1" v="3585"/>
    </bk>
    <bk>
      <rc t="1" v="3586"/>
    </bk>
    <bk>
      <rc t="1" v="3587"/>
    </bk>
    <bk>
      <rc t="1" v="3588"/>
    </bk>
    <bk>
      <rc t="1" v="3589"/>
    </bk>
    <bk>
      <rc t="1" v="3590"/>
    </bk>
    <bk>
      <rc t="1" v="3591"/>
    </bk>
    <bk>
      <rc t="1" v="3592"/>
    </bk>
    <bk>
      <rc t="1" v="3593"/>
    </bk>
    <bk>
      <rc t="1" v="3594"/>
    </bk>
    <bk>
      <rc t="1" v="3595"/>
    </bk>
    <bk>
      <rc t="1" v="3596"/>
    </bk>
    <bk>
      <rc t="1" v="3597"/>
    </bk>
    <bk>
      <rc t="1" v="3598"/>
    </bk>
    <bk>
      <rc t="1" v="3599"/>
    </bk>
    <bk>
      <rc t="1" v="3600"/>
    </bk>
    <bk>
      <rc t="1" v="3601"/>
    </bk>
    <bk>
      <rc t="1" v="3602"/>
    </bk>
    <bk>
      <rc t="1" v="3603"/>
    </bk>
    <bk>
      <rc t="1" v="3604"/>
    </bk>
    <bk>
      <rc t="1" v="3605"/>
    </bk>
    <bk>
      <rc t="1" v="3606"/>
    </bk>
    <bk>
      <rc t="1" v="3607"/>
    </bk>
    <bk>
      <rc t="1" v="3608"/>
    </bk>
    <bk>
      <rc t="1" v="3609"/>
    </bk>
    <bk>
      <rc t="1" v="3610"/>
    </bk>
    <bk>
      <rc t="1" v="3611"/>
    </bk>
    <bk>
      <rc t="1" v="3612"/>
    </bk>
    <bk>
      <rc t="1" v="3613"/>
    </bk>
    <bk>
      <rc t="1" v="3614"/>
    </bk>
    <bk>
      <rc t="1" v="3615"/>
    </bk>
    <bk>
      <rc t="1" v="3616"/>
    </bk>
    <bk>
      <rc t="1" v="3617"/>
    </bk>
    <bk>
      <rc t="1" v="3618"/>
    </bk>
    <bk>
      <rc t="1" v="3619"/>
    </bk>
    <bk>
      <rc t="1" v="3620"/>
    </bk>
    <bk>
      <rc t="1" v="3621"/>
    </bk>
    <bk>
      <rc t="1" v="3622"/>
    </bk>
    <bk>
      <rc t="1" v="3623"/>
    </bk>
    <bk>
      <rc t="1" v="3624"/>
    </bk>
    <bk>
      <rc t="1" v="3625"/>
    </bk>
    <bk>
      <rc t="1" v="3626"/>
    </bk>
    <bk>
      <rc t="1" v="3627"/>
    </bk>
    <bk>
      <rc t="1" v="3628"/>
    </bk>
    <bk>
      <rc t="1" v="3629"/>
    </bk>
    <bk>
      <rc t="1" v="3630"/>
    </bk>
    <bk>
      <rc t="1" v="3631"/>
    </bk>
    <bk>
      <rc t="1" v="3632"/>
    </bk>
    <bk>
      <rc t="1" v="3633"/>
    </bk>
    <bk>
      <rc t="1" v="3634"/>
    </bk>
    <bk>
      <rc t="1" v="3635"/>
    </bk>
    <bk>
      <rc t="1" v="3636"/>
    </bk>
    <bk>
      <rc t="1" v="3637"/>
    </bk>
    <bk>
      <rc t="1" v="3638"/>
    </bk>
    <bk>
      <rc t="1" v="3639"/>
    </bk>
    <bk>
      <rc t="1" v="3640"/>
    </bk>
    <bk>
      <rc t="1" v="3641"/>
    </bk>
    <bk>
      <rc t="1" v="3642"/>
    </bk>
    <bk>
      <rc t="1" v="3643"/>
    </bk>
    <bk>
      <rc t="1" v="3644"/>
    </bk>
    <bk>
      <rc t="1" v="3645"/>
    </bk>
    <bk>
      <rc t="1" v="3646"/>
    </bk>
    <bk>
      <rc t="1" v="3647"/>
    </bk>
    <bk>
      <rc t="1" v="3648"/>
    </bk>
    <bk>
      <rc t="1" v="3649"/>
    </bk>
    <bk>
      <rc t="1" v="3650"/>
    </bk>
    <bk>
      <rc t="1" v="3651"/>
    </bk>
    <bk>
      <rc t="1" v="3652"/>
    </bk>
    <bk>
      <rc t="1" v="3653"/>
    </bk>
    <bk>
      <rc t="1" v="3654"/>
    </bk>
    <bk>
      <rc t="1" v="3655"/>
    </bk>
    <bk>
      <rc t="1" v="3656"/>
    </bk>
    <bk>
      <rc t="1" v="3657"/>
    </bk>
    <bk>
      <rc t="1" v="3658"/>
    </bk>
    <bk>
      <rc t="1" v="3659"/>
    </bk>
    <bk>
      <rc t="1" v="3660"/>
    </bk>
    <bk>
      <rc t="1" v="3661"/>
    </bk>
    <bk>
      <rc t="1" v="3662"/>
    </bk>
    <bk>
      <rc t="1" v="3663"/>
    </bk>
    <bk>
      <rc t="1" v="3664"/>
    </bk>
    <bk>
      <rc t="1" v="3665"/>
    </bk>
    <bk>
      <rc t="1" v="3666"/>
    </bk>
    <bk>
      <rc t="1" v="3667"/>
    </bk>
    <bk>
      <rc t="1" v="3668"/>
    </bk>
    <bk>
      <rc t="1" v="3669"/>
    </bk>
    <bk>
      <rc t="1" v="3670"/>
    </bk>
    <bk>
      <rc t="1" v="3671"/>
    </bk>
    <bk>
      <rc t="1" v="3672"/>
    </bk>
    <bk>
      <rc t="1" v="3673"/>
    </bk>
    <bk>
      <rc t="1" v="3674"/>
    </bk>
    <bk>
      <rc t="1" v="3675"/>
    </bk>
    <bk>
      <rc t="1" v="3676"/>
    </bk>
    <bk>
      <rc t="1" v="3677"/>
    </bk>
    <bk>
      <rc t="1" v="3678"/>
    </bk>
    <bk>
      <rc t="1" v="3679"/>
    </bk>
    <bk>
      <rc t="1" v="3680"/>
    </bk>
    <bk>
      <rc t="1" v="3681"/>
    </bk>
    <bk>
      <rc t="1" v="3682"/>
    </bk>
    <bk>
      <rc t="1" v="3683"/>
    </bk>
    <bk>
      <rc t="1" v="3684"/>
    </bk>
    <bk>
      <rc t="1" v="3685"/>
    </bk>
    <bk>
      <rc t="1" v="3686"/>
    </bk>
    <bk>
      <rc t="1" v="3687"/>
    </bk>
    <bk>
      <rc t="1" v="3688"/>
    </bk>
    <bk>
      <rc t="1" v="3689"/>
    </bk>
    <bk>
      <rc t="1" v="3690"/>
    </bk>
    <bk>
      <rc t="1" v="3691"/>
    </bk>
    <bk>
      <rc t="1" v="3692"/>
    </bk>
    <bk>
      <rc t="1" v="3693"/>
    </bk>
    <bk>
      <rc t="1" v="3694"/>
    </bk>
    <bk>
      <rc t="1" v="3695"/>
    </bk>
    <bk>
      <rc t="1" v="3696"/>
    </bk>
    <bk>
      <rc t="1" v="3697"/>
    </bk>
    <bk>
      <rc t="1" v="3698"/>
    </bk>
    <bk>
      <rc t="1" v="3699"/>
    </bk>
    <bk>
      <rc t="1" v="3700"/>
    </bk>
    <bk>
      <rc t="1" v="3701"/>
    </bk>
    <bk>
      <rc t="1" v="3702"/>
    </bk>
    <bk>
      <rc t="1" v="3703"/>
    </bk>
    <bk>
      <rc t="1" v="3704"/>
    </bk>
    <bk>
      <rc t="1" v="3705"/>
    </bk>
    <bk>
      <rc t="1" v="3706"/>
    </bk>
    <bk>
      <rc t="1" v="3707"/>
    </bk>
    <bk>
      <rc t="1" v="3708"/>
    </bk>
    <bk>
      <rc t="1" v="3709"/>
    </bk>
    <bk>
      <rc t="1" v="3710"/>
    </bk>
    <bk>
      <rc t="1" v="3711"/>
    </bk>
    <bk>
      <rc t="1" v="3712"/>
    </bk>
    <bk>
      <rc t="1" v="3713"/>
    </bk>
    <bk>
      <rc t="1" v="3714"/>
    </bk>
    <bk>
      <rc t="1" v="3715"/>
    </bk>
    <bk>
      <rc t="1" v="3716"/>
    </bk>
    <bk>
      <rc t="1" v="3717"/>
    </bk>
    <bk>
      <rc t="1" v="3718"/>
    </bk>
    <bk>
      <rc t="1" v="3719"/>
    </bk>
    <bk>
      <rc t="1" v="3720"/>
    </bk>
    <bk>
      <rc t="1" v="3721"/>
    </bk>
    <bk>
      <rc t="1" v="3722"/>
    </bk>
    <bk>
      <rc t="1" v="3723"/>
    </bk>
    <bk>
      <rc t="1" v="3724"/>
    </bk>
    <bk>
      <rc t="1" v="3725"/>
    </bk>
    <bk>
      <rc t="1" v="3726"/>
    </bk>
    <bk>
      <rc t="1" v="3727"/>
    </bk>
    <bk>
      <rc t="1" v="3728"/>
    </bk>
    <bk>
      <rc t="1" v="3729"/>
    </bk>
    <bk>
      <rc t="1" v="3730"/>
    </bk>
    <bk>
      <rc t="1" v="3731"/>
    </bk>
    <bk>
      <rc t="1" v="3732"/>
    </bk>
    <bk>
      <rc t="1" v="3733"/>
    </bk>
    <bk>
      <rc t="1" v="3734"/>
    </bk>
    <bk>
      <rc t="1" v="3735"/>
    </bk>
    <bk>
      <rc t="1" v="3736"/>
    </bk>
    <bk>
      <rc t="1" v="3737"/>
    </bk>
    <bk>
      <rc t="1" v="3738"/>
    </bk>
    <bk>
      <rc t="1" v="3739"/>
    </bk>
    <bk>
      <rc t="1" v="3740"/>
    </bk>
    <bk>
      <rc t="1" v="3741"/>
    </bk>
    <bk>
      <rc t="1" v="3742"/>
    </bk>
    <bk>
      <rc t="1" v="3743"/>
    </bk>
    <bk>
      <rc t="1" v="3744"/>
    </bk>
    <bk>
      <rc t="1" v="3745"/>
    </bk>
    <bk>
      <rc t="1" v="3746"/>
    </bk>
    <bk>
      <rc t="1" v="3747"/>
    </bk>
    <bk>
      <rc t="1" v="3748"/>
    </bk>
    <bk>
      <rc t="1" v="3749"/>
    </bk>
    <bk>
      <rc t="1" v="3750"/>
    </bk>
    <bk>
      <rc t="1" v="3751"/>
    </bk>
    <bk>
      <rc t="1" v="3752"/>
    </bk>
    <bk>
      <rc t="1" v="3753"/>
    </bk>
    <bk>
      <rc t="1" v="3754"/>
    </bk>
    <bk>
      <rc t="1" v="3755"/>
    </bk>
    <bk>
      <rc t="1" v="3756"/>
    </bk>
    <bk>
      <rc t="1" v="3757"/>
    </bk>
    <bk>
      <rc t="1" v="3758"/>
    </bk>
    <bk>
      <rc t="1" v="3759"/>
    </bk>
    <bk>
      <rc t="1" v="3760"/>
    </bk>
    <bk>
      <rc t="1" v="3761"/>
    </bk>
    <bk>
      <rc t="1" v="3762"/>
    </bk>
    <bk>
      <rc t="1" v="3763"/>
    </bk>
    <bk>
      <rc t="1" v="3764"/>
    </bk>
    <bk>
      <rc t="1" v="3765"/>
    </bk>
    <bk>
      <rc t="1" v="3766"/>
    </bk>
    <bk>
      <rc t="1" v="3767"/>
    </bk>
    <bk>
      <rc t="1" v="3768"/>
    </bk>
    <bk>
      <rc t="1" v="3769"/>
    </bk>
    <bk>
      <rc t="1" v="3770"/>
    </bk>
    <bk>
      <rc t="1" v="3771"/>
    </bk>
    <bk>
      <rc t="1" v="3772"/>
    </bk>
    <bk>
      <rc t="1" v="3773"/>
    </bk>
    <bk>
      <rc t="1" v="3774"/>
    </bk>
    <bk>
      <rc t="1" v="3775"/>
    </bk>
    <bk>
      <rc t="1" v="3776"/>
    </bk>
    <bk>
      <rc t="1" v="3777"/>
    </bk>
    <bk>
      <rc t="1" v="3778"/>
    </bk>
    <bk>
      <rc t="1" v="3779"/>
    </bk>
    <bk>
      <rc t="1" v="3780"/>
    </bk>
    <bk>
      <rc t="1" v="3781"/>
    </bk>
    <bk>
      <rc t="1" v="3782"/>
    </bk>
    <bk>
      <rc t="1" v="3783"/>
    </bk>
    <bk>
      <rc t="1" v="3784"/>
    </bk>
    <bk>
      <rc t="1" v="3785"/>
    </bk>
    <bk>
      <rc t="1" v="3786"/>
    </bk>
    <bk>
      <rc t="1" v="3787"/>
    </bk>
    <bk>
      <rc t="1" v="3788"/>
    </bk>
    <bk>
      <rc t="1" v="3789"/>
    </bk>
    <bk>
      <rc t="1" v="3790"/>
    </bk>
    <bk>
      <rc t="1" v="3791"/>
    </bk>
    <bk>
      <rc t="1" v="3792"/>
    </bk>
    <bk>
      <rc t="1" v="3793"/>
    </bk>
    <bk>
      <rc t="1" v="3794"/>
    </bk>
    <bk>
      <rc t="1" v="3795"/>
    </bk>
    <bk>
      <rc t="1" v="3796"/>
    </bk>
    <bk>
      <rc t="1" v="3797"/>
    </bk>
    <bk>
      <rc t="1" v="3798"/>
    </bk>
    <bk>
      <rc t="1" v="3799"/>
    </bk>
    <bk>
      <rc t="1" v="3800"/>
    </bk>
    <bk>
      <rc t="1" v="3801"/>
    </bk>
    <bk>
      <rc t="1" v="3802"/>
    </bk>
    <bk>
      <rc t="1" v="3803"/>
    </bk>
    <bk>
      <rc t="1" v="3804"/>
    </bk>
    <bk>
      <rc t="1" v="3805"/>
    </bk>
    <bk>
      <rc t="1" v="3806"/>
    </bk>
    <bk>
      <rc t="1" v="3807"/>
    </bk>
    <bk>
      <rc t="1" v="3808"/>
    </bk>
    <bk>
      <rc t="1" v="3809"/>
    </bk>
    <bk>
      <rc t="1" v="3810"/>
    </bk>
    <bk>
      <rc t="1" v="3811"/>
    </bk>
    <bk>
      <rc t="1" v="3812"/>
    </bk>
    <bk>
      <rc t="1" v="3813"/>
    </bk>
    <bk>
      <rc t="1" v="3814"/>
    </bk>
    <bk>
      <rc t="1" v="3815"/>
    </bk>
    <bk>
      <rc t="1" v="3816"/>
    </bk>
    <bk>
      <rc t="1" v="3817"/>
    </bk>
    <bk>
      <rc t="1" v="3818"/>
    </bk>
    <bk>
      <rc t="1" v="3819"/>
    </bk>
    <bk>
      <rc t="1" v="3820"/>
    </bk>
    <bk>
      <rc t="1" v="3821"/>
    </bk>
    <bk>
      <rc t="1" v="3822"/>
    </bk>
    <bk>
      <rc t="1" v="3823"/>
    </bk>
    <bk>
      <rc t="1" v="3824"/>
    </bk>
    <bk>
      <rc t="1" v="3825"/>
    </bk>
    <bk>
      <rc t="1" v="3826"/>
    </bk>
    <bk>
      <rc t="1" v="3827"/>
    </bk>
    <bk>
      <rc t="1" v="3828"/>
    </bk>
    <bk>
      <rc t="1" v="3829"/>
    </bk>
    <bk>
      <rc t="1" v="3830"/>
    </bk>
    <bk>
      <rc t="1" v="3831"/>
    </bk>
    <bk>
      <rc t="1" v="3832"/>
    </bk>
    <bk>
      <rc t="1" v="3833"/>
    </bk>
    <bk>
      <rc t="1" v="3834"/>
    </bk>
    <bk>
      <rc t="1" v="3835"/>
    </bk>
    <bk>
      <rc t="1" v="3836"/>
    </bk>
    <bk>
      <rc t="1" v="3837"/>
    </bk>
    <bk>
      <rc t="1" v="3838"/>
    </bk>
    <bk>
      <rc t="1" v="3839"/>
    </bk>
    <bk>
      <rc t="1" v="3840"/>
    </bk>
    <bk>
      <rc t="1" v="3841"/>
    </bk>
    <bk>
      <rc t="1" v="3842"/>
    </bk>
    <bk>
      <rc t="1" v="3843"/>
    </bk>
    <bk>
      <rc t="1" v="3844"/>
    </bk>
    <bk>
      <rc t="1" v="3845"/>
    </bk>
    <bk>
      <rc t="1" v="3846"/>
    </bk>
    <bk>
      <rc t="1" v="3847"/>
    </bk>
    <bk>
      <rc t="1" v="3848"/>
    </bk>
    <bk>
      <rc t="1" v="3849"/>
    </bk>
    <bk>
      <rc t="1" v="3850"/>
    </bk>
    <bk>
      <rc t="1" v="3851"/>
    </bk>
    <bk>
      <rc t="1" v="3852"/>
    </bk>
    <bk>
      <rc t="1" v="3853"/>
    </bk>
    <bk>
      <rc t="1" v="3854"/>
    </bk>
    <bk>
      <rc t="1" v="3855"/>
    </bk>
    <bk>
      <rc t="1" v="3856"/>
    </bk>
    <bk>
      <rc t="1" v="3857"/>
    </bk>
    <bk>
      <rc t="1" v="3858"/>
    </bk>
    <bk>
      <rc t="1" v="3859"/>
    </bk>
    <bk>
      <rc t="1" v="3860"/>
    </bk>
    <bk>
      <rc t="1" v="3861"/>
    </bk>
    <bk>
      <rc t="1" v="3862"/>
    </bk>
    <bk>
      <rc t="1" v="3863"/>
    </bk>
    <bk>
      <rc t="1" v="3864"/>
    </bk>
    <bk>
      <rc t="1" v="3865"/>
    </bk>
    <bk>
      <rc t="1" v="3866"/>
    </bk>
    <bk>
      <rc t="1" v="3867"/>
    </bk>
    <bk>
      <rc t="1" v="3868"/>
    </bk>
    <bk>
      <rc t="1" v="3869"/>
    </bk>
    <bk>
      <rc t="1" v="3870"/>
    </bk>
    <bk>
      <rc t="1" v="3871"/>
    </bk>
    <bk>
      <rc t="1" v="3872"/>
    </bk>
    <bk>
      <rc t="1" v="3873"/>
    </bk>
    <bk>
      <rc t="1" v="3874"/>
    </bk>
    <bk>
      <rc t="1" v="3875"/>
    </bk>
    <bk>
      <rc t="1" v="3876"/>
    </bk>
    <bk>
      <rc t="1" v="3877"/>
    </bk>
    <bk>
      <rc t="1" v="3878"/>
    </bk>
    <bk>
      <rc t="1" v="3879"/>
    </bk>
    <bk>
      <rc t="1" v="3880"/>
    </bk>
    <bk>
      <rc t="1" v="3881"/>
    </bk>
    <bk>
      <rc t="1" v="3882"/>
    </bk>
    <bk>
      <rc t="1" v="3883"/>
    </bk>
    <bk>
      <rc t="1" v="3884"/>
    </bk>
    <bk>
      <rc t="1" v="3885"/>
    </bk>
    <bk>
      <rc t="1" v="3886"/>
    </bk>
    <bk>
      <rc t="1" v="3887"/>
    </bk>
    <bk>
      <rc t="1" v="3888"/>
    </bk>
    <bk>
      <rc t="1" v="3889"/>
    </bk>
    <bk>
      <rc t="1" v="3890"/>
    </bk>
    <bk>
      <rc t="1" v="3891"/>
    </bk>
    <bk>
      <rc t="1" v="3892"/>
    </bk>
    <bk>
      <rc t="1" v="3893"/>
    </bk>
    <bk>
      <rc t="1" v="3894"/>
    </bk>
    <bk>
      <rc t="1" v="3895"/>
    </bk>
    <bk>
      <rc t="1" v="3896"/>
    </bk>
    <bk>
      <rc t="1" v="3897"/>
    </bk>
    <bk>
      <rc t="1" v="3898"/>
    </bk>
    <bk>
      <rc t="1" v="3899"/>
    </bk>
    <bk>
      <rc t="1" v="3900"/>
    </bk>
    <bk>
      <rc t="1" v="3901"/>
    </bk>
    <bk>
      <rc t="1" v="3902"/>
    </bk>
    <bk>
      <rc t="1" v="3903"/>
    </bk>
    <bk>
      <rc t="1" v="3904"/>
    </bk>
    <bk>
      <rc t="1" v="3905"/>
    </bk>
    <bk>
      <rc t="1" v="3906"/>
    </bk>
    <bk>
      <rc t="1" v="3907"/>
    </bk>
    <bk>
      <rc t="1" v="3908"/>
    </bk>
    <bk>
      <rc t="1" v="3909"/>
    </bk>
    <bk>
      <rc t="1" v="3910"/>
    </bk>
    <bk>
      <rc t="1" v="3911"/>
    </bk>
    <bk>
      <rc t="1" v="3912"/>
    </bk>
    <bk>
      <rc t="1" v="3913"/>
    </bk>
    <bk>
      <rc t="1" v="3914"/>
    </bk>
    <bk>
      <rc t="1" v="3915"/>
    </bk>
    <bk>
      <rc t="1" v="3916"/>
    </bk>
    <bk>
      <rc t="1" v="3917"/>
    </bk>
    <bk>
      <rc t="1" v="3918"/>
    </bk>
    <bk>
      <rc t="1" v="3919"/>
    </bk>
    <bk>
      <rc t="1" v="3920"/>
    </bk>
    <bk>
      <rc t="1" v="3921"/>
    </bk>
    <bk>
      <rc t="1" v="3922"/>
    </bk>
    <bk>
      <rc t="1" v="3923"/>
    </bk>
    <bk>
      <rc t="1" v="3924"/>
    </bk>
    <bk>
      <rc t="1" v="3925"/>
    </bk>
    <bk>
      <rc t="1" v="3926"/>
    </bk>
    <bk>
      <rc t="1" v="3927"/>
    </bk>
    <bk>
      <rc t="1" v="3928"/>
    </bk>
    <bk>
      <rc t="1" v="3929"/>
    </bk>
    <bk>
      <rc t="1" v="3930"/>
    </bk>
    <bk>
      <rc t="1" v="3931"/>
    </bk>
    <bk>
      <rc t="1" v="3932"/>
    </bk>
    <bk>
      <rc t="1" v="3933"/>
    </bk>
    <bk>
      <rc t="1" v="3934"/>
    </bk>
    <bk>
      <rc t="1" v="3935"/>
    </bk>
    <bk>
      <rc t="1" v="3936"/>
    </bk>
    <bk>
      <rc t="1" v="3937"/>
    </bk>
    <bk>
      <rc t="1" v="3938"/>
    </bk>
    <bk>
      <rc t="1" v="3939"/>
    </bk>
    <bk>
      <rc t="1" v="3940"/>
    </bk>
    <bk>
      <rc t="1" v="3941"/>
    </bk>
    <bk>
      <rc t="1" v="3942"/>
    </bk>
    <bk>
      <rc t="1" v="3943"/>
    </bk>
    <bk>
      <rc t="1" v="3944"/>
    </bk>
    <bk>
      <rc t="1" v="3945"/>
    </bk>
    <bk>
      <rc t="1" v="3946"/>
    </bk>
    <bk>
      <rc t="1" v="3947"/>
    </bk>
    <bk>
      <rc t="1" v="3948"/>
    </bk>
    <bk>
      <rc t="1" v="3949"/>
    </bk>
    <bk>
      <rc t="1" v="3950"/>
    </bk>
    <bk>
      <rc t="1" v="3951"/>
    </bk>
    <bk>
      <rc t="1" v="3952"/>
    </bk>
    <bk>
      <rc t="1" v="3953"/>
    </bk>
    <bk>
      <rc t="1" v="3954"/>
    </bk>
    <bk>
      <rc t="1" v="3955"/>
    </bk>
    <bk>
      <rc t="1" v="3956"/>
    </bk>
    <bk>
      <rc t="1" v="3957"/>
    </bk>
    <bk>
      <rc t="1" v="3958"/>
    </bk>
    <bk>
      <rc t="1" v="3959"/>
    </bk>
    <bk>
      <rc t="1" v="3960"/>
    </bk>
    <bk>
      <rc t="1" v="3961"/>
    </bk>
    <bk>
      <rc t="1" v="3962"/>
    </bk>
    <bk>
      <rc t="1" v="3963"/>
    </bk>
    <bk>
      <rc t="1" v="3964"/>
    </bk>
    <bk>
      <rc t="1" v="3965"/>
    </bk>
    <bk>
      <rc t="1" v="3966"/>
    </bk>
    <bk>
      <rc t="1" v="3967"/>
    </bk>
    <bk>
      <rc t="1" v="3968"/>
    </bk>
    <bk>
      <rc t="1" v="3969"/>
    </bk>
    <bk>
      <rc t="1" v="3970"/>
    </bk>
    <bk>
      <rc t="1" v="3971"/>
    </bk>
    <bk>
      <rc t="1" v="3972"/>
    </bk>
    <bk>
      <rc t="1" v="3973"/>
    </bk>
    <bk>
      <rc t="1" v="3974"/>
    </bk>
    <bk>
      <rc t="1" v="3975"/>
    </bk>
    <bk>
      <rc t="1" v="3976"/>
    </bk>
    <bk>
      <rc t="1" v="3977"/>
    </bk>
    <bk>
      <rc t="1" v="3978"/>
    </bk>
    <bk>
      <rc t="1" v="3979"/>
    </bk>
    <bk>
      <rc t="1" v="3980"/>
    </bk>
    <bk>
      <rc t="1" v="3981"/>
    </bk>
    <bk>
      <rc t="1" v="3982"/>
    </bk>
    <bk>
      <rc t="1" v="3983"/>
    </bk>
    <bk>
      <rc t="1" v="3984"/>
    </bk>
    <bk>
      <rc t="1" v="3985"/>
    </bk>
    <bk>
      <rc t="1" v="3986"/>
    </bk>
    <bk>
      <rc t="1" v="3987"/>
    </bk>
    <bk>
      <rc t="1" v="3988"/>
    </bk>
    <bk>
      <rc t="1" v="3989"/>
    </bk>
    <bk>
      <rc t="1" v="3990"/>
    </bk>
    <bk>
      <rc t="1" v="3991"/>
    </bk>
    <bk>
      <rc t="1" v="3992"/>
    </bk>
    <bk>
      <rc t="1" v="3993"/>
    </bk>
    <bk>
      <rc t="1" v="3994"/>
    </bk>
    <bk>
      <rc t="1" v="3995"/>
    </bk>
    <bk>
      <rc t="1" v="3996"/>
    </bk>
    <bk>
      <rc t="1" v="3997"/>
    </bk>
    <bk>
      <rc t="1" v="3998"/>
    </bk>
    <bk>
      <rc t="1" v="3999"/>
    </bk>
    <bk>
      <rc t="1" v="4000"/>
    </bk>
    <bk>
      <rc t="1" v="4001"/>
    </bk>
    <bk>
      <rc t="1" v="4002"/>
    </bk>
    <bk>
      <rc t="1" v="4003"/>
    </bk>
    <bk>
      <rc t="1" v="4004"/>
    </bk>
    <bk>
      <rc t="1" v="4005"/>
    </bk>
    <bk>
      <rc t="1" v="4006"/>
    </bk>
    <bk>
      <rc t="1" v="4007"/>
    </bk>
    <bk>
      <rc t="1" v="4008"/>
    </bk>
    <bk>
      <rc t="1" v="4009"/>
    </bk>
    <bk>
      <rc t="1" v="4010"/>
    </bk>
    <bk>
      <rc t="1" v="4011"/>
    </bk>
    <bk>
      <rc t="1" v="4012"/>
    </bk>
    <bk>
      <rc t="1" v="4013"/>
    </bk>
    <bk>
      <rc t="1" v="4014"/>
    </bk>
    <bk>
      <rc t="1" v="4015"/>
    </bk>
    <bk>
      <rc t="1" v="4016"/>
    </bk>
    <bk>
      <rc t="1" v="4017"/>
    </bk>
    <bk>
      <rc t="1" v="4018"/>
    </bk>
    <bk>
      <rc t="1" v="4019"/>
    </bk>
    <bk>
      <rc t="1" v="4020"/>
    </bk>
    <bk>
      <rc t="1" v="4021"/>
    </bk>
    <bk>
      <rc t="1" v="4022"/>
    </bk>
    <bk>
      <rc t="1" v="4023"/>
    </bk>
    <bk>
      <rc t="1" v="4024"/>
    </bk>
    <bk>
      <rc t="1" v="4025"/>
    </bk>
    <bk>
      <rc t="1" v="4026"/>
    </bk>
    <bk>
      <rc t="1" v="4027"/>
    </bk>
    <bk>
      <rc t="1" v="4028"/>
    </bk>
    <bk>
      <rc t="1" v="4029"/>
    </bk>
    <bk>
      <rc t="1" v="4030"/>
    </bk>
    <bk>
      <rc t="1" v="4031"/>
    </bk>
    <bk>
      <rc t="1" v="4032"/>
    </bk>
    <bk>
      <rc t="1" v="4033"/>
    </bk>
    <bk>
      <rc t="1" v="4034"/>
    </bk>
    <bk>
      <rc t="1" v="4035"/>
    </bk>
    <bk>
      <rc t="1" v="4036"/>
    </bk>
    <bk>
      <rc t="1" v="4037"/>
    </bk>
    <bk>
      <rc t="1" v="4038"/>
    </bk>
    <bk>
      <rc t="1" v="4039"/>
    </bk>
    <bk>
      <rc t="1" v="4040"/>
    </bk>
    <bk>
      <rc t="1" v="4041"/>
    </bk>
    <bk>
      <rc t="1" v="4042"/>
    </bk>
    <bk>
      <rc t="1" v="4043"/>
    </bk>
    <bk>
      <rc t="1" v="4044"/>
    </bk>
    <bk>
      <rc t="1" v="4045"/>
    </bk>
    <bk>
      <rc t="1" v="4046"/>
    </bk>
    <bk>
      <rc t="1" v="4047"/>
    </bk>
    <bk>
      <rc t="1" v="4048"/>
    </bk>
    <bk>
      <rc t="1" v="4049"/>
    </bk>
    <bk>
      <rc t="1" v="4050"/>
    </bk>
    <bk>
      <rc t="1" v="4051"/>
    </bk>
    <bk>
      <rc t="1" v="4052"/>
    </bk>
    <bk>
      <rc t="1" v="4053"/>
    </bk>
    <bk>
      <rc t="1" v="4054"/>
    </bk>
    <bk>
      <rc t="1" v="4055"/>
    </bk>
    <bk>
      <rc t="1" v="4056"/>
    </bk>
    <bk>
      <rc t="1" v="4057"/>
    </bk>
    <bk>
      <rc t="1" v="4058"/>
    </bk>
    <bk>
      <rc t="1" v="4059"/>
    </bk>
    <bk>
      <rc t="1" v="4060"/>
    </bk>
    <bk>
      <rc t="1" v="4061"/>
    </bk>
    <bk>
      <rc t="1" v="4062"/>
    </bk>
    <bk>
      <rc t="1" v="4063"/>
    </bk>
    <bk>
      <rc t="1" v="4064"/>
    </bk>
    <bk>
      <rc t="1" v="4065"/>
    </bk>
    <bk>
      <rc t="1" v="4066"/>
    </bk>
    <bk>
      <rc t="1" v="4067"/>
    </bk>
    <bk>
      <rc t="1" v="4068"/>
    </bk>
    <bk>
      <rc t="1" v="4069"/>
    </bk>
    <bk>
      <rc t="1" v="4070"/>
    </bk>
    <bk>
      <rc t="1" v="4071"/>
    </bk>
    <bk>
      <rc t="1" v="4072"/>
    </bk>
    <bk>
      <rc t="1" v="4073"/>
    </bk>
    <bk>
      <rc t="1" v="4074"/>
    </bk>
    <bk>
      <rc t="1" v="4075"/>
    </bk>
    <bk>
      <rc t="1" v="4076"/>
    </bk>
    <bk>
      <rc t="1" v="4077"/>
    </bk>
    <bk>
      <rc t="1" v="4078"/>
    </bk>
    <bk>
      <rc t="1" v="4079"/>
    </bk>
    <bk>
      <rc t="1" v="4080"/>
    </bk>
    <bk>
      <rc t="1" v="4081"/>
    </bk>
    <bk>
      <rc t="1" v="4082"/>
    </bk>
    <bk>
      <rc t="1" v="4083"/>
    </bk>
    <bk>
      <rc t="1" v="4084"/>
    </bk>
    <bk>
      <rc t="1" v="4085"/>
    </bk>
    <bk>
      <rc t="1" v="4086"/>
    </bk>
    <bk>
      <rc t="1" v="4087"/>
    </bk>
    <bk>
      <rc t="1" v="4088"/>
    </bk>
    <bk>
      <rc t="1" v="4089"/>
    </bk>
    <bk>
      <rc t="1" v="4090"/>
    </bk>
    <bk>
      <rc t="1" v="4091"/>
    </bk>
    <bk>
      <rc t="1" v="4092"/>
    </bk>
    <bk>
      <rc t="1" v="4093"/>
    </bk>
    <bk>
      <rc t="1" v="4094"/>
    </bk>
    <bk>
      <rc t="1" v="4095"/>
    </bk>
    <bk>
      <rc t="1" v="4096"/>
    </bk>
    <bk>
      <rc t="1" v="4097"/>
    </bk>
    <bk>
      <rc t="1" v="4098"/>
    </bk>
    <bk>
      <rc t="1" v="4099"/>
    </bk>
    <bk>
      <rc t="1" v="4100"/>
    </bk>
    <bk>
      <rc t="1" v="4101"/>
    </bk>
    <bk>
      <rc t="1" v="4102"/>
    </bk>
    <bk>
      <rc t="1" v="4103"/>
    </bk>
    <bk>
      <rc t="1" v="4104"/>
    </bk>
    <bk>
      <rc t="1" v="4105"/>
    </bk>
    <bk>
      <rc t="1" v="4106"/>
    </bk>
    <bk>
      <rc t="1" v="4107"/>
    </bk>
    <bk>
      <rc t="1" v="4108"/>
    </bk>
    <bk>
      <rc t="1" v="4109"/>
    </bk>
    <bk>
      <rc t="1" v="4110"/>
    </bk>
    <bk>
      <rc t="1" v="4111"/>
    </bk>
    <bk>
      <rc t="1" v="4112"/>
    </bk>
    <bk>
      <rc t="1" v="4113"/>
    </bk>
    <bk>
      <rc t="1" v="4114"/>
    </bk>
    <bk>
      <rc t="1" v="4115"/>
    </bk>
    <bk>
      <rc t="1" v="4116"/>
    </bk>
    <bk>
      <rc t="1" v="4117"/>
    </bk>
    <bk>
      <rc t="1" v="4118"/>
    </bk>
    <bk>
      <rc t="1" v="4119"/>
    </bk>
    <bk>
      <rc t="1" v="4120"/>
    </bk>
    <bk>
      <rc t="1" v="4121"/>
    </bk>
    <bk>
      <rc t="1" v="4122"/>
    </bk>
    <bk>
      <rc t="1" v="4123"/>
    </bk>
    <bk>
      <rc t="1" v="4124"/>
    </bk>
    <bk>
      <rc t="1" v="4125"/>
    </bk>
    <bk>
      <rc t="1" v="4126"/>
    </bk>
    <bk>
      <rc t="1" v="4127"/>
    </bk>
    <bk>
      <rc t="1" v="4128"/>
    </bk>
    <bk>
      <rc t="1" v="4129"/>
    </bk>
    <bk>
      <rc t="1" v="4130"/>
    </bk>
    <bk>
      <rc t="1" v="4131"/>
    </bk>
    <bk>
      <rc t="1" v="4132"/>
    </bk>
    <bk>
      <rc t="1" v="4133"/>
    </bk>
    <bk>
      <rc t="1" v="4134"/>
    </bk>
    <bk>
      <rc t="1" v="4135"/>
    </bk>
    <bk>
      <rc t="1" v="4136"/>
    </bk>
    <bk>
      <rc t="1" v="4137"/>
    </bk>
    <bk>
      <rc t="1" v="4138"/>
    </bk>
    <bk>
      <rc t="1" v="4139"/>
    </bk>
    <bk>
      <rc t="1" v="4140"/>
    </bk>
    <bk>
      <rc t="1" v="4141"/>
    </bk>
    <bk>
      <rc t="1" v="4142"/>
    </bk>
    <bk>
      <rc t="1" v="4143"/>
    </bk>
    <bk>
      <rc t="1" v="4144"/>
    </bk>
    <bk>
      <rc t="1" v="4145"/>
    </bk>
    <bk>
      <rc t="1" v="4146"/>
    </bk>
    <bk>
      <rc t="1" v="4147"/>
    </bk>
    <bk>
      <rc t="1" v="4148"/>
    </bk>
    <bk>
      <rc t="1" v="4149"/>
    </bk>
    <bk>
      <rc t="1" v="4150"/>
    </bk>
    <bk>
      <rc t="1" v="4151"/>
    </bk>
    <bk>
      <rc t="1" v="4152"/>
    </bk>
    <bk>
      <rc t="1" v="4153"/>
    </bk>
    <bk>
      <rc t="1" v="4154"/>
    </bk>
    <bk>
      <rc t="1" v="4155"/>
    </bk>
    <bk>
      <rc t="1" v="4156"/>
    </bk>
    <bk>
      <rc t="1" v="4157"/>
    </bk>
    <bk>
      <rc t="1" v="4158"/>
    </bk>
    <bk>
      <rc t="1" v="4159"/>
    </bk>
    <bk>
      <rc t="1" v="4160"/>
    </bk>
    <bk>
      <rc t="1" v="4161"/>
    </bk>
    <bk>
      <rc t="1" v="4162"/>
    </bk>
    <bk>
      <rc t="1" v="4163"/>
    </bk>
    <bk>
      <rc t="1" v="4164"/>
    </bk>
    <bk>
      <rc t="1" v="4165"/>
    </bk>
    <bk>
      <rc t="1" v="4166"/>
    </bk>
    <bk>
      <rc t="1" v="4167"/>
    </bk>
    <bk>
      <rc t="1" v="4168"/>
    </bk>
    <bk>
      <rc t="1" v="4169"/>
    </bk>
    <bk>
      <rc t="1" v="4170"/>
    </bk>
    <bk>
      <rc t="1" v="4171"/>
    </bk>
    <bk>
      <rc t="1" v="4172"/>
    </bk>
    <bk>
      <rc t="1" v="4173"/>
    </bk>
    <bk>
      <rc t="1" v="4174"/>
    </bk>
    <bk>
      <rc t="1" v="4175"/>
    </bk>
    <bk>
      <rc t="1" v="4176"/>
    </bk>
    <bk>
      <rc t="1" v="4177"/>
    </bk>
    <bk>
      <rc t="1" v="4178"/>
    </bk>
    <bk>
      <rc t="1" v="4179"/>
    </bk>
    <bk>
      <rc t="1" v="4180"/>
    </bk>
    <bk>
      <rc t="1" v="4181"/>
    </bk>
    <bk>
      <rc t="1" v="4182"/>
    </bk>
    <bk>
      <rc t="1" v="4183"/>
    </bk>
    <bk>
      <rc t="1" v="4184"/>
    </bk>
    <bk>
      <rc t="1" v="4185"/>
    </bk>
    <bk>
      <rc t="1" v="4186"/>
    </bk>
    <bk>
      <rc t="1" v="4187"/>
    </bk>
    <bk>
      <rc t="1" v="4188"/>
    </bk>
    <bk>
      <rc t="1" v="4189"/>
    </bk>
    <bk>
      <rc t="1" v="4190"/>
    </bk>
    <bk>
      <rc t="1" v="4191"/>
    </bk>
    <bk>
      <rc t="1" v="4192"/>
    </bk>
    <bk>
      <rc t="1" v="4193"/>
    </bk>
    <bk>
      <rc t="1" v="4194"/>
    </bk>
    <bk>
      <rc t="1" v="4195"/>
    </bk>
    <bk>
      <rc t="1" v="4196"/>
    </bk>
    <bk>
      <rc t="1" v="4197"/>
    </bk>
    <bk>
      <rc t="1" v="4198"/>
    </bk>
    <bk>
      <rc t="1" v="4199"/>
    </bk>
    <bk>
      <rc t="1" v="4200"/>
    </bk>
    <bk>
      <rc t="1" v="4201"/>
    </bk>
    <bk>
      <rc t="1" v="4202"/>
    </bk>
    <bk>
      <rc t="1" v="4203"/>
    </bk>
    <bk>
      <rc t="1" v="4204"/>
    </bk>
    <bk>
      <rc t="1" v="4205"/>
    </bk>
    <bk>
      <rc t="1" v="4206"/>
    </bk>
    <bk>
      <rc t="1" v="4207"/>
    </bk>
    <bk>
      <rc t="1" v="4208"/>
    </bk>
    <bk>
      <rc t="1" v="4209"/>
    </bk>
    <bk>
      <rc t="1" v="4210"/>
    </bk>
    <bk>
      <rc t="1" v="4211"/>
    </bk>
    <bk>
      <rc t="1" v="4212"/>
    </bk>
    <bk>
      <rc t="1" v="4213"/>
    </bk>
    <bk>
      <rc t="1" v="4214"/>
    </bk>
    <bk>
      <rc t="1" v="4215"/>
    </bk>
    <bk>
      <rc t="1" v="4216"/>
    </bk>
    <bk>
      <rc t="1" v="4217"/>
    </bk>
    <bk>
      <rc t="1" v="4218"/>
    </bk>
    <bk>
      <rc t="1" v="4219"/>
    </bk>
    <bk>
      <rc t="1" v="4220"/>
    </bk>
    <bk>
      <rc t="1" v="4221"/>
    </bk>
    <bk>
      <rc t="1" v="4222"/>
    </bk>
    <bk>
      <rc t="1" v="4223"/>
    </bk>
    <bk>
      <rc t="1" v="4224"/>
    </bk>
    <bk>
      <rc t="1" v="4225"/>
    </bk>
    <bk>
      <rc t="1" v="4226"/>
    </bk>
    <bk>
      <rc t="1" v="4227"/>
    </bk>
    <bk>
      <rc t="1" v="4228"/>
    </bk>
    <bk>
      <rc t="1" v="4229"/>
    </bk>
    <bk>
      <rc t="1" v="4230"/>
    </bk>
    <bk>
      <rc t="1" v="4231"/>
    </bk>
    <bk>
      <rc t="1" v="4232"/>
    </bk>
    <bk>
      <rc t="1" v="4233"/>
    </bk>
    <bk>
      <rc t="1" v="4234"/>
    </bk>
    <bk>
      <rc t="1" v="4235"/>
    </bk>
    <bk>
      <rc t="1" v="4236"/>
    </bk>
    <bk>
      <rc t="1" v="4237"/>
    </bk>
    <bk>
      <rc t="1" v="4238"/>
    </bk>
    <bk>
      <rc t="1" v="4239"/>
    </bk>
    <bk>
      <rc t="1" v="4240"/>
    </bk>
    <bk>
      <rc t="1" v="4241"/>
    </bk>
    <bk>
      <rc t="1" v="4242"/>
    </bk>
    <bk>
      <rc t="1" v="4243"/>
    </bk>
    <bk>
      <rc t="1" v="4244"/>
    </bk>
    <bk>
      <rc t="1" v="4245"/>
    </bk>
    <bk>
      <rc t="1" v="4246"/>
    </bk>
    <bk>
      <rc t="1" v="4247"/>
    </bk>
    <bk>
      <rc t="1" v="4248"/>
    </bk>
    <bk>
      <rc t="1" v="4249"/>
    </bk>
    <bk>
      <rc t="1" v="4250"/>
    </bk>
    <bk>
      <rc t="1" v="4251"/>
    </bk>
    <bk>
      <rc t="1" v="4252"/>
    </bk>
    <bk>
      <rc t="1" v="4253"/>
    </bk>
    <bk>
      <rc t="1" v="4254"/>
    </bk>
    <bk>
      <rc t="1" v="4255"/>
    </bk>
    <bk>
      <rc t="1" v="4256"/>
    </bk>
    <bk>
      <rc t="1" v="4257"/>
    </bk>
    <bk>
      <rc t="1" v="4258"/>
    </bk>
    <bk>
      <rc t="1" v="4259"/>
    </bk>
    <bk>
      <rc t="1" v="4260"/>
    </bk>
    <bk>
      <rc t="1" v="4261"/>
    </bk>
    <bk>
      <rc t="1" v="4262"/>
    </bk>
    <bk>
      <rc t="1" v="4263"/>
    </bk>
    <bk>
      <rc t="1" v="4264"/>
    </bk>
    <bk>
      <rc t="1" v="4265"/>
    </bk>
    <bk>
      <rc t="1" v="4266"/>
    </bk>
    <bk>
      <rc t="1" v="4267"/>
    </bk>
    <bk>
      <rc t="1" v="4268"/>
    </bk>
    <bk>
      <rc t="1" v="4269"/>
    </bk>
    <bk>
      <rc t="1" v="4270"/>
    </bk>
    <bk>
      <rc t="1" v="4271"/>
    </bk>
    <bk>
      <rc t="1" v="4272"/>
    </bk>
    <bk>
      <rc t="1" v="4273"/>
    </bk>
    <bk>
      <rc t="1" v="4274"/>
    </bk>
    <bk>
      <rc t="1" v="4275"/>
    </bk>
    <bk>
      <rc t="1" v="4276"/>
    </bk>
    <bk>
      <rc t="1" v="4277"/>
    </bk>
    <bk>
      <rc t="1" v="4278"/>
    </bk>
    <bk>
      <rc t="1" v="4279"/>
    </bk>
    <bk>
      <rc t="1" v="4280"/>
    </bk>
    <bk>
      <rc t="1" v="4281"/>
    </bk>
    <bk>
      <rc t="1" v="4282"/>
    </bk>
    <bk>
      <rc t="1" v="4283"/>
    </bk>
    <bk>
      <rc t="1" v="4284"/>
    </bk>
    <bk>
      <rc t="1" v="4285"/>
    </bk>
    <bk>
      <rc t="1" v="4286"/>
    </bk>
    <bk>
      <rc t="1" v="4287"/>
    </bk>
    <bk>
      <rc t="1" v="4288"/>
    </bk>
    <bk>
      <rc t="1" v="4289"/>
    </bk>
    <bk>
      <rc t="1" v="4290"/>
    </bk>
    <bk>
      <rc t="1" v="4291"/>
    </bk>
    <bk>
      <rc t="1" v="4292"/>
    </bk>
    <bk>
      <rc t="1" v="4293"/>
    </bk>
    <bk>
      <rc t="1" v="4294"/>
    </bk>
    <bk>
      <rc t="1" v="4295"/>
    </bk>
    <bk>
      <rc t="1" v="4296"/>
    </bk>
    <bk>
      <rc t="1" v="4297"/>
    </bk>
    <bk>
      <rc t="1" v="4298"/>
    </bk>
    <bk>
      <rc t="1" v="4299"/>
    </bk>
    <bk>
      <rc t="1" v="4300"/>
    </bk>
    <bk>
      <rc t="1" v="4301"/>
    </bk>
    <bk>
      <rc t="1" v="4302"/>
    </bk>
    <bk>
      <rc t="1" v="4303"/>
    </bk>
    <bk>
      <rc t="1" v="4304"/>
    </bk>
    <bk>
      <rc t="1" v="4305"/>
    </bk>
    <bk>
      <rc t="1" v="4306"/>
    </bk>
    <bk>
      <rc t="1" v="4307"/>
    </bk>
    <bk>
      <rc t="1" v="4308"/>
    </bk>
    <bk>
      <rc t="1" v="4309"/>
    </bk>
    <bk>
      <rc t="1" v="4310"/>
    </bk>
    <bk>
      <rc t="1" v="4311"/>
    </bk>
    <bk>
      <rc t="1" v="4312"/>
    </bk>
    <bk>
      <rc t="1" v="4313"/>
    </bk>
    <bk>
      <rc t="1" v="4314"/>
    </bk>
    <bk>
      <rc t="1" v="4315"/>
    </bk>
    <bk>
      <rc t="1" v="4316"/>
    </bk>
    <bk>
      <rc t="1" v="4317"/>
    </bk>
    <bk>
      <rc t="1" v="4318"/>
    </bk>
    <bk>
      <rc t="1" v="4319"/>
    </bk>
    <bk>
      <rc t="1" v="4320"/>
    </bk>
    <bk>
      <rc t="1" v="4321"/>
    </bk>
    <bk>
      <rc t="1" v="4322"/>
    </bk>
    <bk>
      <rc t="1" v="4323"/>
    </bk>
    <bk>
      <rc t="1" v="4324"/>
    </bk>
    <bk>
      <rc t="1" v="4325"/>
    </bk>
    <bk>
      <rc t="1" v="4326"/>
    </bk>
    <bk>
      <rc t="1" v="4327"/>
    </bk>
    <bk>
      <rc t="1" v="4328"/>
    </bk>
    <bk>
      <rc t="1" v="4329"/>
    </bk>
    <bk>
      <rc t="1" v="4330"/>
    </bk>
    <bk>
      <rc t="1" v="4331"/>
    </bk>
    <bk>
      <rc t="1" v="4332"/>
    </bk>
    <bk>
      <rc t="1" v="4333"/>
    </bk>
    <bk>
      <rc t="1" v="4334"/>
    </bk>
    <bk>
      <rc t="1" v="4335"/>
    </bk>
    <bk>
      <rc t="1" v="4336"/>
    </bk>
    <bk>
      <rc t="1" v="4337"/>
    </bk>
    <bk>
      <rc t="1" v="4338"/>
    </bk>
    <bk>
      <rc t="1" v="4339"/>
    </bk>
    <bk>
      <rc t="1" v="4340"/>
    </bk>
    <bk>
      <rc t="1" v="4341"/>
    </bk>
    <bk>
      <rc t="1" v="4342"/>
    </bk>
    <bk>
      <rc t="1" v="4343"/>
    </bk>
    <bk>
      <rc t="1" v="4344"/>
    </bk>
    <bk>
      <rc t="1" v="4345"/>
    </bk>
    <bk>
      <rc t="1" v="4346"/>
    </bk>
    <bk>
      <rc t="1" v="4347"/>
    </bk>
    <bk>
      <rc t="1" v="4348"/>
    </bk>
    <bk>
      <rc t="1" v="4349"/>
    </bk>
    <bk>
      <rc t="1" v="4350"/>
    </bk>
    <bk>
      <rc t="1" v="4351"/>
    </bk>
    <bk>
      <rc t="1" v="4352"/>
    </bk>
    <bk>
      <rc t="1" v="4353"/>
    </bk>
    <bk>
      <rc t="1" v="4354"/>
    </bk>
    <bk>
      <rc t="1" v="4355"/>
    </bk>
    <bk>
      <rc t="1" v="4356"/>
    </bk>
    <bk>
      <rc t="1" v="4357"/>
    </bk>
    <bk>
      <rc t="1" v="4358"/>
    </bk>
    <bk>
      <rc t="1" v="4359"/>
    </bk>
    <bk>
      <rc t="1" v="4360"/>
    </bk>
    <bk>
      <rc t="1" v="4361"/>
    </bk>
    <bk>
      <rc t="1" v="4362"/>
    </bk>
    <bk>
      <rc t="1" v="4363"/>
    </bk>
    <bk>
      <rc t="1" v="4364"/>
    </bk>
    <bk>
      <rc t="1" v="4365"/>
    </bk>
    <bk>
      <rc t="1" v="4366"/>
    </bk>
    <bk>
      <rc t="1" v="4367"/>
    </bk>
    <bk>
      <rc t="1" v="4368"/>
    </bk>
    <bk>
      <rc t="1" v="4369"/>
    </bk>
    <bk>
      <rc t="1" v="4370"/>
    </bk>
    <bk>
      <rc t="1" v="4371"/>
    </bk>
    <bk>
      <rc t="1" v="4372"/>
    </bk>
    <bk>
      <rc t="1" v="4373"/>
    </bk>
    <bk>
      <rc t="1" v="4374"/>
    </bk>
    <bk>
      <rc t="1" v="4375"/>
    </bk>
    <bk>
      <rc t="1" v="4376"/>
    </bk>
    <bk>
      <rc t="1" v="4377"/>
    </bk>
    <bk>
      <rc t="1" v="4378"/>
    </bk>
    <bk>
      <rc t="1" v="4379"/>
    </bk>
    <bk>
      <rc t="1" v="4380"/>
    </bk>
    <bk>
      <rc t="1" v="4381"/>
    </bk>
    <bk>
      <rc t="1" v="4382"/>
    </bk>
    <bk>
      <rc t="1" v="4383"/>
    </bk>
    <bk>
      <rc t="1" v="4384"/>
    </bk>
    <bk>
      <rc t="1" v="4385"/>
    </bk>
    <bk>
      <rc t="1" v="4386"/>
    </bk>
    <bk>
      <rc t="1" v="4387"/>
    </bk>
    <bk>
      <rc t="1" v="4388"/>
    </bk>
    <bk>
      <rc t="1" v="4389"/>
    </bk>
    <bk>
      <rc t="1" v="4390"/>
    </bk>
    <bk>
      <rc t="1" v="4391"/>
    </bk>
    <bk>
      <rc t="1" v="4392"/>
    </bk>
    <bk>
      <rc t="1" v="4393"/>
    </bk>
    <bk>
      <rc t="1" v="4394"/>
    </bk>
    <bk>
      <rc t="1" v="4395"/>
    </bk>
    <bk>
      <rc t="1" v="4396"/>
    </bk>
    <bk>
      <rc t="1" v="4397"/>
    </bk>
    <bk>
      <rc t="1" v="4398"/>
    </bk>
    <bk>
      <rc t="1" v="4399"/>
    </bk>
    <bk>
      <rc t="1" v="4400"/>
    </bk>
    <bk>
      <rc t="1" v="4401"/>
    </bk>
    <bk>
      <rc t="1" v="4402"/>
    </bk>
    <bk>
      <rc t="1" v="4403"/>
    </bk>
    <bk>
      <rc t="1" v="4404"/>
    </bk>
    <bk>
      <rc t="1" v="4405"/>
    </bk>
    <bk>
      <rc t="1" v="4406"/>
    </bk>
    <bk>
      <rc t="1" v="4407"/>
    </bk>
    <bk>
      <rc t="1" v="4408"/>
    </bk>
    <bk>
      <rc t="1" v="4409"/>
    </bk>
    <bk>
      <rc t="1" v="4410"/>
    </bk>
    <bk>
      <rc t="1" v="4411"/>
    </bk>
    <bk>
      <rc t="1" v="4412"/>
    </bk>
    <bk>
      <rc t="1" v="4413"/>
    </bk>
    <bk>
      <rc t="1" v="4414"/>
    </bk>
    <bk>
      <rc t="1" v="4415"/>
    </bk>
    <bk>
      <rc t="1" v="4416"/>
    </bk>
    <bk>
      <rc t="1" v="4417"/>
    </bk>
    <bk>
      <rc t="1" v="4418"/>
    </bk>
    <bk>
      <rc t="1" v="4419"/>
    </bk>
    <bk>
      <rc t="1" v="4420"/>
    </bk>
    <bk>
      <rc t="1" v="4421"/>
    </bk>
    <bk>
      <rc t="1" v="4422"/>
    </bk>
    <bk>
      <rc t="1" v="4423"/>
    </bk>
    <bk>
      <rc t="1" v="4424"/>
    </bk>
    <bk>
      <rc t="1" v="4425"/>
    </bk>
    <bk>
      <rc t="1" v="4426"/>
    </bk>
    <bk>
      <rc t="1" v="4427"/>
    </bk>
    <bk>
      <rc t="1" v="4428"/>
    </bk>
    <bk>
      <rc t="1" v="4429"/>
    </bk>
    <bk>
      <rc t="1" v="4430"/>
    </bk>
    <bk>
      <rc t="1" v="4431"/>
    </bk>
    <bk>
      <rc t="1" v="4432"/>
    </bk>
    <bk>
      <rc t="1" v="4433"/>
    </bk>
    <bk>
      <rc t="1" v="4434"/>
    </bk>
    <bk>
      <rc t="1" v="4435"/>
    </bk>
    <bk>
      <rc t="1" v="4436"/>
    </bk>
    <bk>
      <rc t="1" v="4437"/>
    </bk>
    <bk>
      <rc t="1" v="4438"/>
    </bk>
    <bk>
      <rc t="1" v="4439"/>
    </bk>
    <bk>
      <rc t="1" v="4440"/>
    </bk>
    <bk>
      <rc t="1" v="4441"/>
    </bk>
    <bk>
      <rc t="1" v="4442"/>
    </bk>
    <bk>
      <rc t="1" v="4443"/>
    </bk>
    <bk>
      <rc t="1" v="4444"/>
    </bk>
    <bk>
      <rc t="1" v="4445"/>
    </bk>
    <bk>
      <rc t="1" v="4446"/>
    </bk>
    <bk>
      <rc t="1" v="4447"/>
    </bk>
    <bk>
      <rc t="1" v="4448"/>
    </bk>
    <bk>
      <rc t="1" v="4449"/>
    </bk>
    <bk>
      <rc t="1" v="4450"/>
    </bk>
    <bk>
      <rc t="1" v="4451"/>
    </bk>
    <bk>
      <rc t="1" v="4452"/>
    </bk>
    <bk>
      <rc t="1" v="4453"/>
    </bk>
    <bk>
      <rc t="1" v="4454"/>
    </bk>
    <bk>
      <rc t="1" v="4455"/>
    </bk>
    <bk>
      <rc t="1" v="4456"/>
    </bk>
    <bk>
      <rc t="1" v="4457"/>
    </bk>
    <bk>
      <rc t="1" v="4458"/>
    </bk>
    <bk>
      <rc t="1" v="4459"/>
    </bk>
    <bk>
      <rc t="1" v="4460"/>
    </bk>
    <bk>
      <rc t="1" v="4461"/>
    </bk>
    <bk>
      <rc t="1" v="4462"/>
    </bk>
    <bk>
      <rc t="1" v="4463"/>
    </bk>
    <bk>
      <rc t="1" v="4464"/>
    </bk>
    <bk>
      <rc t="1" v="4465"/>
    </bk>
    <bk>
      <rc t="1" v="4466"/>
    </bk>
    <bk>
      <rc t="1" v="4467"/>
    </bk>
    <bk>
      <rc t="1" v="4468"/>
    </bk>
    <bk>
      <rc t="1" v="4469"/>
    </bk>
    <bk>
      <rc t="1" v="4470"/>
    </bk>
    <bk>
      <rc t="1" v="4471"/>
    </bk>
    <bk>
      <rc t="1" v="4472"/>
    </bk>
    <bk>
      <rc t="1" v="4473"/>
    </bk>
    <bk>
      <rc t="1" v="4474"/>
    </bk>
    <bk>
      <rc t="1" v="4475"/>
    </bk>
    <bk>
      <rc t="1" v="4476"/>
    </bk>
    <bk>
      <rc t="1" v="4477"/>
    </bk>
    <bk>
      <rc t="1" v="4478"/>
    </bk>
    <bk>
      <rc t="1" v="4479"/>
    </bk>
    <bk>
      <rc t="1" v="4480"/>
    </bk>
    <bk>
      <rc t="1" v="4481"/>
    </bk>
    <bk>
      <rc t="1" v="4482"/>
    </bk>
    <bk>
      <rc t="1" v="4483"/>
    </bk>
    <bk>
      <rc t="1" v="4484"/>
    </bk>
    <bk>
      <rc t="1" v="4485"/>
    </bk>
    <bk>
      <rc t="1" v="4486"/>
    </bk>
    <bk>
      <rc t="1" v="4487"/>
    </bk>
    <bk>
      <rc t="1" v="4488"/>
    </bk>
    <bk>
      <rc t="1" v="4489"/>
    </bk>
    <bk>
      <rc t="1" v="4490"/>
    </bk>
    <bk>
      <rc t="1" v="4491"/>
    </bk>
    <bk>
      <rc t="1" v="4492"/>
    </bk>
    <bk>
      <rc t="1" v="4493"/>
    </bk>
    <bk>
      <rc t="1" v="4494"/>
    </bk>
    <bk>
      <rc t="1" v="4495"/>
    </bk>
    <bk>
      <rc t="1" v="4496"/>
    </bk>
    <bk>
      <rc t="1" v="4497"/>
    </bk>
    <bk>
      <rc t="1" v="4498"/>
    </bk>
    <bk>
      <rc t="1" v="4499"/>
    </bk>
    <bk>
      <rc t="1" v="4500"/>
    </bk>
    <bk>
      <rc t="1" v="4501"/>
    </bk>
    <bk>
      <rc t="1" v="4502"/>
    </bk>
    <bk>
      <rc t="1" v="4503"/>
    </bk>
    <bk>
      <rc t="1" v="4504"/>
    </bk>
    <bk>
      <rc t="1" v="4505"/>
    </bk>
    <bk>
      <rc t="1" v="4506"/>
    </bk>
    <bk>
      <rc t="1" v="4507"/>
    </bk>
    <bk>
      <rc t="1" v="4508"/>
    </bk>
    <bk>
      <rc t="1" v="4509"/>
    </bk>
    <bk>
      <rc t="1" v="4510"/>
    </bk>
    <bk>
      <rc t="1" v="4511"/>
    </bk>
    <bk>
      <rc t="1" v="4512"/>
    </bk>
    <bk>
      <rc t="1" v="4513"/>
    </bk>
    <bk>
      <rc t="1" v="4514"/>
    </bk>
    <bk>
      <rc t="1" v="4515"/>
    </bk>
    <bk>
      <rc t="1" v="4516"/>
    </bk>
    <bk>
      <rc t="1" v="4517"/>
    </bk>
    <bk>
      <rc t="1" v="4518"/>
    </bk>
    <bk>
      <rc t="1" v="4519"/>
    </bk>
    <bk>
      <rc t="1" v="4520"/>
    </bk>
    <bk>
      <rc t="1" v="4521"/>
    </bk>
    <bk>
      <rc t="1" v="4522"/>
    </bk>
    <bk>
      <rc t="1" v="4523"/>
    </bk>
    <bk>
      <rc t="1" v="4524"/>
    </bk>
    <bk>
      <rc t="1" v="4525"/>
    </bk>
    <bk>
      <rc t="1" v="4526"/>
    </bk>
    <bk>
      <rc t="1" v="4527"/>
    </bk>
    <bk>
      <rc t="1" v="4528"/>
    </bk>
    <bk>
      <rc t="1" v="4529"/>
    </bk>
    <bk>
      <rc t="1" v="4530"/>
    </bk>
    <bk>
      <rc t="1" v="4531"/>
    </bk>
    <bk>
      <rc t="1" v="4532"/>
    </bk>
    <bk>
      <rc t="1" v="4533"/>
    </bk>
    <bk>
      <rc t="1" v="4534"/>
    </bk>
    <bk>
      <rc t="1" v="4535"/>
    </bk>
    <bk>
      <rc t="1" v="4536"/>
    </bk>
    <bk>
      <rc t="1" v="4537"/>
    </bk>
    <bk>
      <rc t="1" v="4538"/>
    </bk>
    <bk>
      <rc t="1" v="4539"/>
    </bk>
    <bk>
      <rc t="1" v="4540"/>
    </bk>
    <bk>
      <rc t="1" v="4541"/>
    </bk>
    <bk>
      <rc t="1" v="4542"/>
    </bk>
    <bk>
      <rc t="1" v="4543"/>
    </bk>
    <bk>
      <rc t="1" v="4544"/>
    </bk>
    <bk>
      <rc t="1" v="4545"/>
    </bk>
    <bk>
      <rc t="1" v="4546"/>
    </bk>
    <bk>
      <rc t="1" v="4547"/>
    </bk>
    <bk>
      <rc t="1" v="4548"/>
    </bk>
    <bk>
      <rc t="1" v="4549"/>
    </bk>
    <bk>
      <rc t="1" v="4550"/>
    </bk>
    <bk>
      <rc t="1" v="4551"/>
    </bk>
    <bk>
      <rc t="1" v="4552"/>
    </bk>
    <bk>
      <rc t="1" v="4553"/>
    </bk>
    <bk>
      <rc t="1" v="4554"/>
    </bk>
    <bk>
      <rc t="1" v="4555"/>
    </bk>
    <bk>
      <rc t="1" v="4556"/>
    </bk>
    <bk>
      <rc t="1" v="4557"/>
    </bk>
    <bk>
      <rc t="1" v="4558"/>
    </bk>
    <bk>
      <rc t="1" v="4559"/>
    </bk>
    <bk>
      <rc t="1" v="4560"/>
    </bk>
    <bk>
      <rc t="1" v="4561"/>
    </bk>
    <bk>
      <rc t="1" v="4562"/>
    </bk>
    <bk>
      <rc t="1" v="4563"/>
    </bk>
    <bk>
      <rc t="1" v="4564"/>
    </bk>
    <bk>
      <rc t="1" v="4565"/>
    </bk>
    <bk>
      <rc t="1" v="4566"/>
    </bk>
    <bk>
      <rc t="1" v="4567"/>
    </bk>
    <bk>
      <rc t="1" v="4568"/>
    </bk>
    <bk>
      <rc t="1" v="4569"/>
    </bk>
    <bk>
      <rc t="1" v="4570"/>
    </bk>
    <bk>
      <rc t="1" v="4571"/>
    </bk>
    <bk>
      <rc t="1" v="4572"/>
    </bk>
    <bk>
      <rc t="1" v="4573"/>
    </bk>
    <bk>
      <rc t="1" v="4574"/>
    </bk>
    <bk>
      <rc t="1" v="4575"/>
    </bk>
    <bk>
      <rc t="1" v="4576"/>
    </bk>
    <bk>
      <rc t="1" v="4577"/>
    </bk>
    <bk>
      <rc t="1" v="4578"/>
    </bk>
    <bk>
      <rc t="1" v="4579"/>
    </bk>
    <bk>
      <rc t="1" v="4580"/>
    </bk>
    <bk>
      <rc t="1" v="4581"/>
    </bk>
    <bk>
      <rc t="1" v="4582"/>
    </bk>
    <bk>
      <rc t="1" v="4583"/>
    </bk>
    <bk>
      <rc t="1" v="4584"/>
    </bk>
    <bk>
      <rc t="1" v="4585"/>
    </bk>
    <bk>
      <rc t="1" v="4586"/>
    </bk>
    <bk>
      <rc t="1" v="4587"/>
    </bk>
    <bk>
      <rc t="1" v="4588"/>
    </bk>
    <bk>
      <rc t="1" v="4589"/>
    </bk>
    <bk>
      <rc t="1" v="4590"/>
    </bk>
    <bk>
      <rc t="1" v="4591"/>
    </bk>
    <bk>
      <rc t="1" v="4592"/>
    </bk>
    <bk>
      <rc t="1" v="4593"/>
    </bk>
    <bk>
      <rc t="1" v="4594"/>
    </bk>
    <bk>
      <rc t="1" v="4595"/>
    </bk>
    <bk>
      <rc t="1" v="4596"/>
    </bk>
    <bk>
      <rc t="1" v="4597"/>
    </bk>
    <bk>
      <rc t="1" v="4598"/>
    </bk>
    <bk>
      <rc t="1" v="4599"/>
    </bk>
    <bk>
      <rc t="1" v="4600"/>
    </bk>
    <bk>
      <rc t="1" v="4601"/>
    </bk>
    <bk>
      <rc t="1" v="4602"/>
    </bk>
    <bk>
      <rc t="1" v="4603"/>
    </bk>
    <bk>
      <rc t="1" v="4604"/>
    </bk>
    <bk>
      <rc t="1" v="4605"/>
    </bk>
    <bk>
      <rc t="1" v="4606"/>
    </bk>
    <bk>
      <rc t="1" v="4607"/>
    </bk>
    <bk>
      <rc t="1" v="4608"/>
    </bk>
    <bk>
      <rc t="1" v="4609"/>
    </bk>
    <bk>
      <rc t="1" v="4610"/>
    </bk>
    <bk>
      <rc t="1" v="4611"/>
    </bk>
    <bk>
      <rc t="1" v="4612"/>
    </bk>
    <bk>
      <rc t="1" v="4613"/>
    </bk>
    <bk>
      <rc t="1" v="4614"/>
    </bk>
    <bk>
      <rc t="1" v="4615"/>
    </bk>
    <bk>
      <rc t="1" v="4616"/>
    </bk>
    <bk>
      <rc t="1" v="4617"/>
    </bk>
    <bk>
      <rc t="1" v="4618"/>
    </bk>
    <bk>
      <rc t="1" v="4619"/>
    </bk>
    <bk>
      <rc t="1" v="4620"/>
    </bk>
    <bk>
      <rc t="1" v="4621"/>
    </bk>
    <bk>
      <rc t="1" v="4622"/>
    </bk>
    <bk>
      <rc t="1" v="4623"/>
    </bk>
    <bk>
      <rc t="1" v="4624"/>
    </bk>
    <bk>
      <rc t="1" v="4625"/>
    </bk>
    <bk>
      <rc t="1" v="4626"/>
    </bk>
    <bk>
      <rc t="1" v="4627"/>
    </bk>
    <bk>
      <rc t="1" v="4628"/>
    </bk>
    <bk>
      <rc t="1" v="4629"/>
    </bk>
    <bk>
      <rc t="1" v="4630"/>
    </bk>
    <bk>
      <rc t="1" v="4631"/>
    </bk>
    <bk>
      <rc t="1" v="4632"/>
    </bk>
    <bk>
      <rc t="1" v="4633"/>
    </bk>
    <bk>
      <rc t="1" v="4634"/>
    </bk>
    <bk>
      <rc t="1" v="4635"/>
    </bk>
    <bk>
      <rc t="1" v="4636"/>
    </bk>
    <bk>
      <rc t="1" v="4637"/>
    </bk>
    <bk>
      <rc t="1" v="4638"/>
    </bk>
    <bk>
      <rc t="1" v="4639"/>
    </bk>
    <bk>
      <rc t="1" v="4640"/>
    </bk>
    <bk>
      <rc t="1" v="4641"/>
    </bk>
    <bk>
      <rc t="1" v="4642"/>
    </bk>
    <bk>
      <rc t="1" v="4643"/>
    </bk>
    <bk>
      <rc t="1" v="4644"/>
    </bk>
    <bk>
      <rc t="1" v="4645"/>
    </bk>
    <bk>
      <rc t="1" v="4646"/>
    </bk>
    <bk>
      <rc t="1" v="4647"/>
    </bk>
    <bk>
      <rc t="1" v="4648"/>
    </bk>
    <bk>
      <rc t="1" v="4649"/>
    </bk>
    <bk>
      <rc t="1" v="4650"/>
    </bk>
    <bk>
      <rc t="1" v="4651"/>
    </bk>
    <bk>
      <rc t="1" v="4652"/>
    </bk>
    <bk>
      <rc t="1" v="4653"/>
    </bk>
    <bk>
      <rc t="1" v="4654"/>
    </bk>
    <bk>
      <rc t="1" v="4655"/>
    </bk>
    <bk>
      <rc t="1" v="4656"/>
    </bk>
    <bk>
      <rc t="1" v="4657"/>
    </bk>
    <bk>
      <rc t="1" v="4658"/>
    </bk>
    <bk>
      <rc t="1" v="4659"/>
    </bk>
    <bk>
      <rc t="1" v="4660"/>
    </bk>
    <bk>
      <rc t="1" v="4661"/>
    </bk>
    <bk>
      <rc t="1" v="4662"/>
    </bk>
    <bk>
      <rc t="1" v="4663"/>
    </bk>
    <bk>
      <rc t="1" v="4664"/>
    </bk>
    <bk>
      <rc t="1" v="4665"/>
    </bk>
    <bk>
      <rc t="1" v="4666"/>
    </bk>
    <bk>
      <rc t="1" v="4667"/>
    </bk>
    <bk>
      <rc t="1" v="4668"/>
    </bk>
    <bk>
      <rc t="1" v="4669"/>
    </bk>
    <bk>
      <rc t="1" v="4670"/>
    </bk>
    <bk>
      <rc t="1" v="4671"/>
    </bk>
    <bk>
      <rc t="1" v="4672"/>
    </bk>
    <bk>
      <rc t="1" v="4673"/>
    </bk>
    <bk>
      <rc t="1" v="4674"/>
    </bk>
    <bk>
      <rc t="1" v="4675"/>
    </bk>
    <bk>
      <rc t="1" v="4676"/>
    </bk>
    <bk>
      <rc t="1" v="4677"/>
    </bk>
    <bk>
      <rc t="1" v="4678"/>
    </bk>
    <bk>
      <rc t="1" v="4679"/>
    </bk>
    <bk>
      <rc t="1" v="4680"/>
    </bk>
    <bk>
      <rc t="1" v="4681"/>
    </bk>
    <bk>
      <rc t="1" v="4682"/>
    </bk>
    <bk>
      <rc t="1" v="4683"/>
    </bk>
    <bk>
      <rc t="1" v="4684"/>
    </bk>
    <bk>
      <rc t="1" v="4685"/>
    </bk>
    <bk>
      <rc t="1" v="4686"/>
    </bk>
    <bk>
      <rc t="1" v="4687"/>
    </bk>
    <bk>
      <rc t="1" v="4688"/>
    </bk>
    <bk>
      <rc t="1" v="4689"/>
    </bk>
    <bk>
      <rc t="1" v="4690"/>
    </bk>
    <bk>
      <rc t="1" v="4691"/>
    </bk>
    <bk>
      <rc t="1" v="4692"/>
    </bk>
    <bk>
      <rc t="1" v="4693"/>
    </bk>
    <bk>
      <rc t="1" v="4694"/>
    </bk>
    <bk>
      <rc t="1" v="4695"/>
    </bk>
    <bk>
      <rc t="1" v="4696"/>
    </bk>
    <bk>
      <rc t="1" v="4697"/>
    </bk>
    <bk>
      <rc t="1" v="4698"/>
    </bk>
    <bk>
      <rc t="1" v="4699"/>
    </bk>
    <bk>
      <rc t="1" v="4700"/>
    </bk>
    <bk>
      <rc t="1" v="4701"/>
    </bk>
    <bk>
      <rc t="1" v="4702"/>
    </bk>
    <bk>
      <rc t="1" v="4703"/>
    </bk>
    <bk>
      <rc t="1" v="4704"/>
    </bk>
    <bk>
      <rc t="1" v="4705"/>
    </bk>
    <bk>
      <rc t="1" v="4706"/>
    </bk>
    <bk>
      <rc t="1" v="4707"/>
    </bk>
    <bk>
      <rc t="1" v="4708"/>
    </bk>
    <bk>
      <rc t="1" v="4709"/>
    </bk>
    <bk>
      <rc t="1" v="4710"/>
    </bk>
    <bk>
      <rc t="1" v="4711"/>
    </bk>
    <bk>
      <rc t="1" v="4712"/>
    </bk>
    <bk>
      <rc t="1" v="4713"/>
    </bk>
    <bk>
      <rc t="1" v="4714"/>
    </bk>
    <bk>
      <rc t="1" v="4715"/>
    </bk>
    <bk>
      <rc t="1" v="4716"/>
    </bk>
    <bk>
      <rc t="1" v="4717"/>
    </bk>
    <bk>
      <rc t="1" v="4718"/>
    </bk>
    <bk>
      <rc t="1" v="4719"/>
    </bk>
    <bk>
      <rc t="1" v="4720"/>
    </bk>
    <bk>
      <rc t="1" v="4721"/>
    </bk>
    <bk>
      <rc t="1" v="4722"/>
    </bk>
    <bk>
      <rc t="1" v="4723"/>
    </bk>
    <bk>
      <rc t="1" v="4724"/>
    </bk>
    <bk>
      <rc t="1" v="4725"/>
    </bk>
    <bk>
      <rc t="1" v="4726"/>
    </bk>
    <bk>
      <rc t="1" v="4727"/>
    </bk>
    <bk>
      <rc t="1" v="4728"/>
    </bk>
    <bk>
      <rc t="1" v="4729"/>
    </bk>
    <bk>
      <rc t="1" v="4730"/>
    </bk>
    <bk>
      <rc t="1" v="4731"/>
    </bk>
    <bk>
      <rc t="1" v="4732"/>
    </bk>
    <bk>
      <rc t="1" v="4733"/>
    </bk>
    <bk>
      <rc t="1" v="4734"/>
    </bk>
    <bk>
      <rc t="1" v="4735"/>
    </bk>
    <bk>
      <rc t="1" v="4736"/>
    </bk>
    <bk>
      <rc t="1" v="4737"/>
    </bk>
    <bk>
      <rc t="1" v="4738"/>
    </bk>
    <bk>
      <rc t="1" v="4739"/>
    </bk>
    <bk>
      <rc t="1" v="4740"/>
    </bk>
    <bk>
      <rc t="1" v="4741"/>
    </bk>
    <bk>
      <rc t="1" v="4742"/>
    </bk>
    <bk>
      <rc t="1" v="4743"/>
    </bk>
    <bk>
      <rc t="1" v="4744"/>
    </bk>
    <bk>
      <rc t="1" v="4745"/>
    </bk>
    <bk>
      <rc t="1" v="4746"/>
    </bk>
    <bk>
      <rc t="1" v="4747"/>
    </bk>
    <bk>
      <rc t="1" v="4748"/>
    </bk>
    <bk>
      <rc t="1" v="4749"/>
    </bk>
    <bk>
      <rc t="1" v="4750"/>
    </bk>
    <bk>
      <rc t="1" v="4751"/>
    </bk>
    <bk>
      <rc t="1" v="4752"/>
    </bk>
    <bk>
      <rc t="1" v="4753"/>
    </bk>
    <bk>
      <rc t="1" v="4754"/>
    </bk>
    <bk>
      <rc t="1" v="4755"/>
    </bk>
    <bk>
      <rc t="1" v="4756"/>
    </bk>
    <bk>
      <rc t="1" v="4757"/>
    </bk>
    <bk>
      <rc t="1" v="4758"/>
    </bk>
    <bk>
      <rc t="1" v="4759"/>
    </bk>
    <bk>
      <rc t="1" v="4760"/>
    </bk>
    <bk>
      <rc t="1" v="4761"/>
    </bk>
    <bk>
      <rc t="1" v="4762"/>
    </bk>
    <bk>
      <rc t="1" v="4763"/>
    </bk>
    <bk>
      <rc t="1" v="4764"/>
    </bk>
    <bk>
      <rc t="1" v="4765"/>
    </bk>
    <bk>
      <rc t="1" v="4766"/>
    </bk>
    <bk>
      <rc t="1" v="4767"/>
    </bk>
    <bk>
      <rc t="1" v="4768"/>
    </bk>
    <bk>
      <rc t="1" v="4769"/>
    </bk>
    <bk>
      <rc t="1" v="4770"/>
    </bk>
    <bk>
      <rc t="1" v="4771"/>
    </bk>
    <bk>
      <rc t="1" v="4772"/>
    </bk>
    <bk>
      <rc t="1" v="4773"/>
    </bk>
    <bk>
      <rc t="1" v="4774"/>
    </bk>
    <bk>
      <rc t="1" v="4775"/>
    </bk>
    <bk>
      <rc t="1" v="4776"/>
    </bk>
    <bk>
      <rc t="1" v="4777"/>
    </bk>
    <bk>
      <rc t="1" v="4778"/>
    </bk>
    <bk>
      <rc t="1" v="4779"/>
    </bk>
    <bk>
      <rc t="1" v="4780"/>
    </bk>
    <bk>
      <rc t="1" v="4781"/>
    </bk>
    <bk>
      <rc t="1" v="4782"/>
    </bk>
    <bk>
      <rc t="1" v="4783"/>
    </bk>
    <bk>
      <rc t="1" v="4784"/>
    </bk>
    <bk>
      <rc t="1" v="4785"/>
    </bk>
    <bk>
      <rc t="1" v="4786"/>
    </bk>
    <bk>
      <rc t="1" v="4787"/>
    </bk>
    <bk>
      <rc t="1" v="4788"/>
    </bk>
    <bk>
      <rc t="1" v="4789"/>
    </bk>
    <bk>
      <rc t="1" v="4790"/>
    </bk>
    <bk>
      <rc t="1" v="4791"/>
    </bk>
    <bk>
      <rc t="1" v="4792"/>
    </bk>
    <bk>
      <rc t="1" v="4793"/>
    </bk>
    <bk>
      <rc t="1" v="4794"/>
    </bk>
    <bk>
      <rc t="1" v="4795"/>
    </bk>
    <bk>
      <rc t="1" v="4796"/>
    </bk>
    <bk>
      <rc t="1" v="4797"/>
    </bk>
    <bk>
      <rc t="1" v="4798"/>
    </bk>
    <bk>
      <rc t="1" v="4799"/>
    </bk>
    <bk>
      <rc t="1" v="4800"/>
    </bk>
    <bk>
      <rc t="1" v="4801"/>
    </bk>
    <bk>
      <rc t="1" v="4802"/>
    </bk>
    <bk>
      <rc t="1" v="4803"/>
    </bk>
    <bk>
      <rc t="1" v="4804"/>
    </bk>
    <bk>
      <rc t="1" v="4805"/>
    </bk>
    <bk>
      <rc t="1" v="4806"/>
    </bk>
    <bk>
      <rc t="1" v="4807"/>
    </bk>
    <bk>
      <rc t="1" v="4808"/>
    </bk>
    <bk>
      <rc t="1" v="4809"/>
    </bk>
    <bk>
      <rc t="1" v="4810"/>
    </bk>
    <bk>
      <rc t="1" v="4811"/>
    </bk>
    <bk>
      <rc t="1" v="4812"/>
    </bk>
    <bk>
      <rc t="1" v="4813"/>
    </bk>
    <bk>
      <rc t="1" v="4814"/>
    </bk>
    <bk>
      <rc t="1" v="4815"/>
    </bk>
    <bk>
      <rc t="1" v="4816"/>
    </bk>
    <bk>
      <rc t="1" v="4817"/>
    </bk>
    <bk>
      <rc t="1" v="4818"/>
    </bk>
    <bk>
      <rc t="1" v="4819"/>
    </bk>
    <bk>
      <rc t="1" v="4820"/>
    </bk>
    <bk>
      <rc t="1" v="4821"/>
    </bk>
    <bk>
      <rc t="1" v="4822"/>
    </bk>
    <bk>
      <rc t="1" v="4823"/>
    </bk>
    <bk>
      <rc t="1" v="4824"/>
    </bk>
    <bk>
      <rc t="1" v="4825"/>
    </bk>
    <bk>
      <rc t="1" v="4826"/>
    </bk>
    <bk>
      <rc t="1" v="4827"/>
    </bk>
    <bk>
      <rc t="1" v="4828"/>
    </bk>
    <bk>
      <rc t="1" v="4829"/>
    </bk>
    <bk>
      <rc t="1" v="4830"/>
    </bk>
    <bk>
      <rc t="1" v="4831"/>
    </bk>
    <bk>
      <rc t="1" v="4832"/>
    </bk>
    <bk>
      <rc t="1" v="4833"/>
    </bk>
    <bk>
      <rc t="1" v="4834"/>
    </bk>
    <bk>
      <rc t="1" v="4835"/>
    </bk>
    <bk>
      <rc t="1" v="4836"/>
    </bk>
    <bk>
      <rc t="1" v="4837"/>
    </bk>
    <bk>
      <rc t="1" v="4838"/>
    </bk>
    <bk>
      <rc t="1" v="4839"/>
    </bk>
    <bk>
      <rc t="1" v="4840"/>
    </bk>
    <bk>
      <rc t="1" v="4841"/>
    </bk>
    <bk>
      <rc t="1" v="4842"/>
    </bk>
    <bk>
      <rc t="1" v="4843"/>
    </bk>
    <bk>
      <rc t="1" v="4844"/>
    </bk>
    <bk>
      <rc t="1" v="4845"/>
    </bk>
    <bk>
      <rc t="1" v="4846"/>
    </bk>
    <bk>
      <rc t="1" v="4847"/>
    </bk>
    <bk>
      <rc t="1" v="4848"/>
    </bk>
    <bk>
      <rc t="1" v="4849"/>
    </bk>
    <bk>
      <rc t="1" v="4850"/>
    </bk>
    <bk>
      <rc t="1" v="4851"/>
    </bk>
    <bk>
      <rc t="1" v="4852"/>
    </bk>
    <bk>
      <rc t="1" v="4853"/>
    </bk>
    <bk>
      <rc t="1" v="4854"/>
    </bk>
    <bk>
      <rc t="1" v="4855"/>
    </bk>
    <bk>
      <rc t="1" v="4856"/>
    </bk>
    <bk>
      <rc t="1" v="4857"/>
    </bk>
    <bk>
      <rc t="1" v="4858"/>
    </bk>
    <bk>
      <rc t="1" v="4859"/>
    </bk>
    <bk>
      <rc t="1" v="4860"/>
    </bk>
    <bk>
      <rc t="1" v="4861"/>
    </bk>
    <bk>
      <rc t="1" v="4862"/>
    </bk>
    <bk>
      <rc t="1" v="4863"/>
    </bk>
    <bk>
      <rc t="1" v="4864"/>
    </bk>
    <bk>
      <rc t="1" v="4865"/>
    </bk>
    <bk>
      <rc t="1" v="4866"/>
    </bk>
    <bk>
      <rc t="1" v="4867"/>
    </bk>
    <bk>
      <rc t="1" v="4868"/>
    </bk>
    <bk>
      <rc t="1" v="4869"/>
    </bk>
    <bk>
      <rc t="1" v="4870"/>
    </bk>
    <bk>
      <rc t="1" v="4871"/>
    </bk>
    <bk>
      <rc t="1" v="4872"/>
    </bk>
    <bk>
      <rc t="1" v="4873"/>
    </bk>
    <bk>
      <rc t="1" v="4874"/>
    </bk>
    <bk>
      <rc t="1" v="4875"/>
    </bk>
    <bk>
      <rc t="1" v="4876"/>
    </bk>
    <bk>
      <rc t="1" v="4877"/>
    </bk>
    <bk>
      <rc t="1" v="4878"/>
    </bk>
    <bk>
      <rc t="1" v="4879"/>
    </bk>
    <bk>
      <rc t="1" v="4880"/>
    </bk>
    <bk>
      <rc t="1" v="4881"/>
    </bk>
    <bk>
      <rc t="1" v="4882"/>
    </bk>
    <bk>
      <rc t="1" v="4883"/>
    </bk>
    <bk>
      <rc t="1" v="4884"/>
    </bk>
    <bk>
      <rc t="1" v="4885"/>
    </bk>
    <bk>
      <rc t="1" v="4886"/>
    </bk>
    <bk>
      <rc t="1" v="4887"/>
    </bk>
    <bk>
      <rc t="1" v="4888"/>
    </bk>
    <bk>
      <rc t="1" v="4889"/>
    </bk>
    <bk>
      <rc t="1" v="4890"/>
    </bk>
    <bk>
      <rc t="1" v="4891"/>
    </bk>
    <bk>
      <rc t="1" v="4892"/>
    </bk>
    <bk>
      <rc t="1" v="4893"/>
    </bk>
    <bk>
      <rc t="1" v="4894"/>
    </bk>
    <bk>
      <rc t="1" v="4895"/>
    </bk>
    <bk>
      <rc t="1" v="4896"/>
    </bk>
    <bk>
      <rc t="1" v="4897"/>
    </bk>
    <bk>
      <rc t="1" v="4898"/>
    </bk>
    <bk>
      <rc t="1" v="4899"/>
    </bk>
    <bk>
      <rc t="1" v="4900"/>
    </bk>
    <bk>
      <rc t="1" v="4901"/>
    </bk>
    <bk>
      <rc t="1" v="4902"/>
    </bk>
    <bk>
      <rc t="1" v="4903"/>
    </bk>
    <bk>
      <rc t="1" v="4904"/>
    </bk>
    <bk>
      <rc t="1" v="4905"/>
    </bk>
    <bk>
      <rc t="1" v="4906"/>
    </bk>
    <bk>
      <rc t="1" v="4907"/>
    </bk>
    <bk>
      <rc t="1" v="4908"/>
    </bk>
    <bk>
      <rc t="1" v="4909"/>
    </bk>
    <bk>
      <rc t="1" v="4910"/>
    </bk>
    <bk>
      <rc t="1" v="4911"/>
    </bk>
    <bk>
      <rc t="1" v="4912"/>
    </bk>
    <bk>
      <rc t="1" v="4913"/>
    </bk>
    <bk>
      <rc t="1" v="4914"/>
    </bk>
    <bk>
      <rc t="1" v="4915"/>
    </bk>
    <bk>
      <rc t="1" v="4916"/>
    </bk>
    <bk>
      <rc t="1" v="4917"/>
    </bk>
    <bk>
      <rc t="1" v="4918"/>
    </bk>
    <bk>
      <rc t="1" v="4919"/>
    </bk>
    <bk>
      <rc t="1" v="4920"/>
    </bk>
    <bk>
      <rc t="1" v="4921"/>
    </bk>
    <bk>
      <rc t="1" v="4922"/>
    </bk>
    <bk>
      <rc t="1" v="4923"/>
    </bk>
    <bk>
      <rc t="1" v="4924"/>
    </bk>
    <bk>
      <rc t="1" v="4925"/>
    </bk>
    <bk>
      <rc t="1" v="4926"/>
    </bk>
    <bk>
      <rc t="1" v="4927"/>
    </bk>
    <bk>
      <rc t="1" v="4928"/>
    </bk>
    <bk>
      <rc t="1" v="4929"/>
    </bk>
    <bk>
      <rc t="1" v="4930"/>
    </bk>
    <bk>
      <rc t="1" v="4931"/>
    </bk>
    <bk>
      <rc t="1" v="4932"/>
    </bk>
    <bk>
      <rc t="1" v="4933"/>
    </bk>
    <bk>
      <rc t="1" v="4934"/>
    </bk>
    <bk>
      <rc t="1" v="4935"/>
    </bk>
    <bk>
      <rc t="1" v="4936"/>
    </bk>
    <bk>
      <rc t="1" v="4937"/>
    </bk>
    <bk>
      <rc t="1" v="4938"/>
    </bk>
    <bk>
      <rc t="1" v="4939"/>
    </bk>
    <bk>
      <rc t="1" v="4940"/>
    </bk>
    <bk>
      <rc t="1" v="4941"/>
    </bk>
    <bk>
      <rc t="1" v="4942"/>
    </bk>
    <bk>
      <rc t="1" v="4943"/>
    </bk>
    <bk>
      <rc t="1" v="4944"/>
    </bk>
    <bk>
      <rc t="1" v="4945"/>
    </bk>
    <bk>
      <rc t="1" v="4946"/>
    </bk>
    <bk>
      <rc t="1" v="4947"/>
    </bk>
    <bk>
      <rc t="1" v="4948"/>
    </bk>
    <bk>
      <rc t="1" v="4949"/>
    </bk>
    <bk>
      <rc t="1" v="4950"/>
    </bk>
    <bk>
      <rc t="1" v="4951"/>
    </bk>
    <bk>
      <rc t="1" v="4952"/>
    </bk>
    <bk>
      <rc t="1" v="4953"/>
    </bk>
    <bk>
      <rc t="1" v="4954"/>
    </bk>
    <bk>
      <rc t="1" v="4955"/>
    </bk>
    <bk>
      <rc t="1" v="4956"/>
    </bk>
    <bk>
      <rc t="1" v="4957"/>
    </bk>
    <bk>
      <rc t="1" v="4958"/>
    </bk>
    <bk>
      <rc t="1" v="4959"/>
    </bk>
    <bk>
      <rc t="1" v="4960"/>
    </bk>
    <bk>
      <rc t="1" v="4961"/>
    </bk>
    <bk>
      <rc t="1" v="4962"/>
    </bk>
    <bk>
      <rc t="1" v="4963"/>
    </bk>
    <bk>
      <rc t="1" v="4964"/>
    </bk>
    <bk>
      <rc t="1" v="4965"/>
    </bk>
    <bk>
      <rc t="1" v="4966"/>
    </bk>
    <bk>
      <rc t="1" v="4967"/>
    </bk>
    <bk>
      <rc t="1" v="4968"/>
    </bk>
    <bk>
      <rc t="1" v="4969"/>
    </bk>
    <bk>
      <rc t="1" v="4970"/>
    </bk>
    <bk>
      <rc t="1" v="4971"/>
    </bk>
    <bk>
      <rc t="1" v="4972"/>
    </bk>
    <bk>
      <rc t="1" v="4973"/>
    </bk>
    <bk>
      <rc t="1" v="4974"/>
    </bk>
    <bk>
      <rc t="1" v="4975"/>
    </bk>
    <bk>
      <rc t="1" v="4976"/>
    </bk>
    <bk>
      <rc t="1" v="4977"/>
    </bk>
    <bk>
      <rc t="1" v="4978"/>
    </bk>
    <bk>
      <rc t="1" v="4979"/>
    </bk>
    <bk>
      <rc t="1" v="4980"/>
    </bk>
    <bk>
      <rc t="1" v="4981"/>
    </bk>
    <bk>
      <rc t="1" v="4982"/>
    </bk>
    <bk>
      <rc t="1" v="4983"/>
    </bk>
    <bk>
      <rc t="1" v="4984"/>
    </bk>
    <bk>
      <rc t="1" v="4985"/>
    </bk>
    <bk>
      <rc t="1" v="4986"/>
    </bk>
    <bk>
      <rc t="1" v="4987"/>
    </bk>
    <bk>
      <rc t="1" v="4988"/>
    </bk>
    <bk>
      <rc t="1" v="4989"/>
    </bk>
    <bk>
      <rc t="1" v="4990"/>
    </bk>
    <bk>
      <rc t="1" v="4991"/>
    </bk>
    <bk>
      <rc t="1" v="4992"/>
    </bk>
    <bk>
      <rc t="1" v="4993"/>
    </bk>
    <bk>
      <rc t="1" v="4994"/>
    </bk>
    <bk>
      <rc t="1" v="4995"/>
    </bk>
    <bk>
      <rc t="1" v="4996"/>
    </bk>
    <bk>
      <rc t="1" v="4997"/>
    </bk>
    <bk>
      <rc t="1" v="4998"/>
    </bk>
    <bk>
      <rc t="1" v="4999"/>
    </bk>
    <bk>
      <rc t="1" v="5000"/>
    </bk>
    <bk>
      <rc t="1" v="5001"/>
    </bk>
    <bk>
      <rc t="1" v="5002"/>
    </bk>
    <bk>
      <rc t="1" v="5003"/>
    </bk>
    <bk>
      <rc t="1" v="5004"/>
    </bk>
    <bk>
      <rc t="1" v="5005"/>
    </bk>
    <bk>
      <rc t="1" v="5006"/>
    </bk>
    <bk>
      <rc t="1" v="5007"/>
    </bk>
    <bk>
      <rc t="1" v="5008"/>
    </bk>
    <bk>
      <rc t="1" v="5009"/>
    </bk>
    <bk>
      <rc t="1" v="5010"/>
    </bk>
    <bk>
      <rc t="1" v="5011"/>
    </bk>
    <bk>
      <rc t="1" v="5012"/>
    </bk>
    <bk>
      <rc t="1" v="5013"/>
    </bk>
    <bk>
      <rc t="1" v="5014"/>
    </bk>
    <bk>
      <rc t="1" v="5015"/>
    </bk>
    <bk>
      <rc t="1" v="5016"/>
    </bk>
    <bk>
      <rc t="1" v="5017"/>
    </bk>
    <bk>
      <rc t="1" v="5018"/>
    </bk>
    <bk>
      <rc t="1" v="5019"/>
    </bk>
    <bk>
      <rc t="1" v="5020"/>
    </bk>
    <bk>
      <rc t="1" v="5021"/>
    </bk>
    <bk>
      <rc t="1" v="5022"/>
    </bk>
    <bk>
      <rc t="1" v="5023"/>
    </bk>
    <bk>
      <rc t="1" v="5024"/>
    </bk>
    <bk>
      <rc t="1" v="5025"/>
    </bk>
    <bk>
      <rc t="1" v="5026"/>
    </bk>
    <bk>
      <rc t="1" v="5027"/>
    </bk>
    <bk>
      <rc t="1" v="5028"/>
    </bk>
    <bk>
      <rc t="1" v="5029"/>
    </bk>
    <bk>
      <rc t="1" v="5030"/>
    </bk>
    <bk>
      <rc t="1" v="5031"/>
    </bk>
    <bk>
      <rc t="1" v="5032"/>
    </bk>
    <bk>
      <rc t="1" v="5033"/>
    </bk>
    <bk>
      <rc t="1" v="5034"/>
    </bk>
    <bk>
      <rc t="1" v="5035"/>
    </bk>
    <bk>
      <rc t="1" v="5036"/>
    </bk>
    <bk>
      <rc t="1" v="5037"/>
    </bk>
    <bk>
      <rc t="1" v="5038"/>
    </bk>
    <bk>
      <rc t="1" v="5039"/>
    </bk>
    <bk>
      <rc t="1" v="5040"/>
    </bk>
    <bk>
      <rc t="1" v="5041"/>
    </bk>
    <bk>
      <rc t="1" v="5042"/>
    </bk>
    <bk>
      <rc t="1" v="5043"/>
    </bk>
    <bk>
      <rc t="1" v="5044"/>
    </bk>
    <bk>
      <rc t="1" v="5045"/>
    </bk>
    <bk>
      <rc t="1" v="5046"/>
    </bk>
    <bk>
      <rc t="1" v="5047"/>
    </bk>
    <bk>
      <rc t="1" v="5048"/>
    </bk>
    <bk>
      <rc t="1" v="5049"/>
    </bk>
    <bk>
      <rc t="1" v="5050"/>
    </bk>
    <bk>
      <rc t="1" v="5051"/>
    </bk>
    <bk>
      <rc t="1" v="5052"/>
    </bk>
    <bk>
      <rc t="1" v="5053"/>
    </bk>
    <bk>
      <rc t="1" v="5054"/>
    </bk>
    <bk>
      <rc t="1" v="5055"/>
    </bk>
    <bk>
      <rc t="1" v="5056"/>
    </bk>
    <bk>
      <rc t="1" v="5057"/>
    </bk>
    <bk>
      <rc t="1" v="5058"/>
    </bk>
    <bk>
      <rc t="1" v="5059"/>
    </bk>
    <bk>
      <rc t="1" v="5060"/>
    </bk>
    <bk>
      <rc t="1" v="5061"/>
    </bk>
    <bk>
      <rc t="1" v="5062"/>
    </bk>
    <bk>
      <rc t="1" v="5063"/>
    </bk>
    <bk>
      <rc t="1" v="5064"/>
    </bk>
    <bk>
      <rc t="1" v="5065"/>
    </bk>
    <bk>
      <rc t="1" v="5066"/>
    </bk>
    <bk>
      <rc t="1" v="5067"/>
    </bk>
    <bk>
      <rc t="1" v="5068"/>
    </bk>
    <bk>
      <rc t="1" v="5069"/>
    </bk>
    <bk>
      <rc t="1" v="5070"/>
    </bk>
    <bk>
      <rc t="1" v="5071"/>
    </bk>
    <bk>
      <rc t="1" v="5072"/>
    </bk>
    <bk>
      <rc t="1" v="5073"/>
    </bk>
    <bk>
      <rc t="1" v="5074"/>
    </bk>
    <bk>
      <rc t="1" v="5075"/>
    </bk>
    <bk>
      <rc t="1" v="5076"/>
    </bk>
    <bk>
      <rc t="1" v="5077"/>
    </bk>
    <bk>
      <rc t="1" v="5078"/>
    </bk>
    <bk>
      <rc t="1" v="5079"/>
    </bk>
    <bk>
      <rc t="1" v="5080"/>
    </bk>
    <bk>
      <rc t="1" v="5081"/>
    </bk>
    <bk>
      <rc t="1" v="5082"/>
    </bk>
    <bk>
      <rc t="1" v="5083"/>
    </bk>
    <bk>
      <rc t="1" v="5084"/>
    </bk>
    <bk>
      <rc t="1" v="5085"/>
    </bk>
    <bk>
      <rc t="1" v="5086"/>
    </bk>
    <bk>
      <rc t="1" v="5087"/>
    </bk>
    <bk>
      <rc t="1" v="5088"/>
    </bk>
    <bk>
      <rc t="1" v="5089"/>
    </bk>
    <bk>
      <rc t="1" v="5090"/>
    </bk>
    <bk>
      <rc t="1" v="5091"/>
    </bk>
    <bk>
      <rc t="1" v="5092"/>
    </bk>
    <bk>
      <rc t="1" v="5093"/>
    </bk>
    <bk>
      <rc t="1" v="5094"/>
    </bk>
    <bk>
      <rc t="1" v="5095"/>
    </bk>
    <bk>
      <rc t="1" v="5096"/>
    </bk>
    <bk>
      <rc t="1" v="5097"/>
    </bk>
    <bk>
      <rc t="1" v="5098"/>
    </bk>
    <bk>
      <rc t="1" v="5099"/>
    </bk>
    <bk>
      <rc t="1" v="5100"/>
    </bk>
    <bk>
      <rc t="1" v="5101"/>
    </bk>
    <bk>
      <rc t="1" v="5102"/>
    </bk>
    <bk>
      <rc t="1" v="5103"/>
    </bk>
    <bk>
      <rc t="1" v="5104"/>
    </bk>
    <bk>
      <rc t="1" v="5105"/>
    </bk>
    <bk>
      <rc t="1" v="5106"/>
    </bk>
    <bk>
      <rc t="1" v="5107"/>
    </bk>
    <bk>
      <rc t="1" v="5108"/>
    </bk>
    <bk>
      <rc t="1" v="5109"/>
    </bk>
    <bk>
      <rc t="1" v="5110"/>
    </bk>
    <bk>
      <rc t="1" v="5111"/>
    </bk>
    <bk>
      <rc t="1" v="5112"/>
    </bk>
    <bk>
      <rc t="1" v="5113"/>
    </bk>
    <bk>
      <rc t="1" v="5114"/>
    </bk>
    <bk>
      <rc t="1" v="5115"/>
    </bk>
    <bk>
      <rc t="1" v="5116"/>
    </bk>
    <bk>
      <rc t="1" v="5117"/>
    </bk>
    <bk>
      <rc t="1" v="5118"/>
    </bk>
    <bk>
      <rc t="1" v="5119"/>
    </bk>
    <bk>
      <rc t="1" v="5120"/>
    </bk>
    <bk>
      <rc t="1" v="5121"/>
    </bk>
    <bk>
      <rc t="1" v="5122"/>
    </bk>
    <bk>
      <rc t="1" v="5123"/>
    </bk>
    <bk>
      <rc t="1" v="5124"/>
    </bk>
    <bk>
      <rc t="1" v="5125"/>
    </bk>
    <bk>
      <rc t="1" v="5126"/>
    </bk>
    <bk>
      <rc t="1" v="5127"/>
    </bk>
    <bk>
      <rc t="1" v="5128"/>
    </bk>
    <bk>
      <rc t="1" v="5129"/>
    </bk>
    <bk>
      <rc t="1" v="5130"/>
    </bk>
    <bk>
      <rc t="1" v="5131"/>
    </bk>
    <bk>
      <rc t="1" v="5132"/>
    </bk>
    <bk>
      <rc t="1" v="5133"/>
    </bk>
    <bk>
      <rc t="1" v="5134"/>
    </bk>
    <bk>
      <rc t="1" v="5135"/>
    </bk>
    <bk>
      <rc t="1" v="5136"/>
    </bk>
    <bk>
      <rc t="1" v="5137"/>
    </bk>
    <bk>
      <rc t="1" v="5138"/>
    </bk>
    <bk>
      <rc t="1" v="5139"/>
    </bk>
    <bk>
      <rc t="1" v="5140"/>
    </bk>
    <bk>
      <rc t="1" v="5141"/>
    </bk>
    <bk>
      <rc t="1" v="5142"/>
    </bk>
    <bk>
      <rc t="1" v="5143"/>
    </bk>
    <bk>
      <rc t="1" v="5144"/>
    </bk>
    <bk>
      <rc t="1" v="5145"/>
    </bk>
    <bk>
      <rc t="1" v="5146"/>
    </bk>
    <bk>
      <rc t="1" v="5147"/>
    </bk>
    <bk>
      <rc t="1" v="5148"/>
    </bk>
    <bk>
      <rc t="1" v="5149"/>
    </bk>
    <bk>
      <rc t="1" v="5150"/>
    </bk>
    <bk>
      <rc t="1" v="5151"/>
    </bk>
    <bk>
      <rc t="1" v="5152"/>
    </bk>
    <bk>
      <rc t="1" v="5153"/>
    </bk>
    <bk>
      <rc t="1" v="5154"/>
    </bk>
    <bk>
      <rc t="1" v="5155"/>
    </bk>
    <bk>
      <rc t="1" v="5156"/>
    </bk>
    <bk>
      <rc t="1" v="5157"/>
    </bk>
    <bk>
      <rc t="1" v="5158"/>
    </bk>
    <bk>
      <rc t="1" v="5159"/>
    </bk>
    <bk>
      <rc t="1" v="5160"/>
    </bk>
    <bk>
      <rc t="1" v="5161"/>
    </bk>
    <bk>
      <rc t="1" v="5162"/>
    </bk>
    <bk>
      <rc t="1" v="5163"/>
    </bk>
    <bk>
      <rc t="1" v="5164"/>
    </bk>
    <bk>
      <rc t="1" v="5165"/>
    </bk>
    <bk>
      <rc t="1" v="5166"/>
    </bk>
    <bk>
      <rc t="1" v="5167"/>
    </bk>
    <bk>
      <rc t="1" v="5168"/>
    </bk>
    <bk>
      <rc t="1" v="5169"/>
    </bk>
    <bk>
      <rc t="1" v="5170"/>
    </bk>
    <bk>
      <rc t="1" v="5171"/>
    </bk>
    <bk>
      <rc t="1" v="5172"/>
    </bk>
    <bk>
      <rc t="1" v="5173"/>
    </bk>
    <bk>
      <rc t="1" v="5174"/>
    </bk>
    <bk>
      <rc t="1" v="5175"/>
    </bk>
    <bk>
      <rc t="1" v="5176"/>
    </bk>
    <bk>
      <rc t="1" v="5177"/>
    </bk>
    <bk>
      <rc t="1" v="5178"/>
    </bk>
    <bk>
      <rc t="1" v="5179"/>
    </bk>
    <bk>
      <rc t="1" v="5180"/>
    </bk>
    <bk>
      <rc t="1" v="5181"/>
    </bk>
    <bk>
      <rc t="1" v="5182"/>
    </bk>
    <bk>
      <rc t="1" v="5183"/>
    </bk>
    <bk>
      <rc t="1" v="5184"/>
    </bk>
    <bk>
      <rc t="1" v="5185"/>
    </bk>
    <bk>
      <rc t="1" v="5186"/>
    </bk>
    <bk>
      <rc t="1" v="5187"/>
    </bk>
    <bk>
      <rc t="1" v="5188"/>
    </bk>
    <bk>
      <rc t="1" v="5189"/>
    </bk>
    <bk>
      <rc t="1" v="5190"/>
    </bk>
    <bk>
      <rc t="1" v="5191"/>
    </bk>
    <bk>
      <rc t="1" v="5192"/>
    </bk>
    <bk>
      <rc t="1" v="5193"/>
    </bk>
    <bk>
      <rc t="1" v="5194"/>
    </bk>
    <bk>
      <rc t="1" v="5195"/>
    </bk>
    <bk>
      <rc t="1" v="5196"/>
    </bk>
    <bk>
      <rc t="1" v="5197"/>
    </bk>
    <bk>
      <rc t="1" v="5198"/>
    </bk>
    <bk>
      <rc t="1" v="5199"/>
    </bk>
    <bk>
      <rc t="1" v="5200"/>
    </bk>
    <bk>
      <rc t="1" v="5201"/>
    </bk>
    <bk>
      <rc t="1" v="5202"/>
    </bk>
    <bk>
      <rc t="1" v="5203"/>
    </bk>
    <bk>
      <rc t="1" v="5204"/>
    </bk>
    <bk>
      <rc t="1" v="5205"/>
    </bk>
    <bk>
      <rc t="1" v="5206"/>
    </bk>
    <bk>
      <rc t="1" v="5207"/>
    </bk>
    <bk>
      <rc t="1" v="5208"/>
    </bk>
    <bk>
      <rc t="1" v="5209"/>
    </bk>
    <bk>
      <rc t="1" v="5210"/>
    </bk>
    <bk>
      <rc t="1" v="5211"/>
    </bk>
    <bk>
      <rc t="1" v="5212"/>
    </bk>
    <bk>
      <rc t="1" v="5213"/>
    </bk>
    <bk>
      <rc t="1" v="5214"/>
    </bk>
    <bk>
      <rc t="1" v="5215"/>
    </bk>
    <bk>
      <rc t="1" v="5216"/>
    </bk>
    <bk>
      <rc t="1" v="5217"/>
    </bk>
    <bk>
      <rc t="1" v="5218"/>
    </bk>
    <bk>
      <rc t="1" v="5219"/>
    </bk>
    <bk>
      <rc t="1" v="5220"/>
    </bk>
    <bk>
      <rc t="1" v="5221"/>
    </bk>
    <bk>
      <rc t="1" v="5222"/>
    </bk>
    <bk>
      <rc t="1" v="5223"/>
    </bk>
    <bk>
      <rc t="1" v="5224"/>
    </bk>
    <bk>
      <rc t="1" v="5225"/>
    </bk>
    <bk>
      <rc t="1" v="5226"/>
    </bk>
    <bk>
      <rc t="1" v="5227"/>
    </bk>
    <bk>
      <rc t="1" v="5228"/>
    </bk>
    <bk>
      <rc t="1" v="5229"/>
    </bk>
    <bk>
      <rc t="1" v="5230"/>
    </bk>
    <bk>
      <rc t="1" v="5231"/>
    </bk>
    <bk>
      <rc t="1" v="5232"/>
    </bk>
    <bk>
      <rc t="1" v="5233"/>
    </bk>
    <bk>
      <rc t="1" v="5234"/>
    </bk>
    <bk>
      <rc t="1" v="5235"/>
    </bk>
    <bk>
      <rc t="1" v="5236"/>
    </bk>
    <bk>
      <rc t="1" v="5237"/>
    </bk>
    <bk>
      <rc t="1" v="5238"/>
    </bk>
    <bk>
      <rc t="1" v="5239"/>
    </bk>
    <bk>
      <rc t="1" v="5240"/>
    </bk>
    <bk>
      <rc t="1" v="5241"/>
    </bk>
    <bk>
      <rc t="1" v="5242"/>
    </bk>
    <bk>
      <rc t="1" v="5243"/>
    </bk>
    <bk>
      <rc t="1" v="5244"/>
    </bk>
    <bk>
      <rc t="1" v="5245"/>
    </bk>
    <bk>
      <rc t="1" v="5246"/>
    </bk>
    <bk>
      <rc t="1" v="5247"/>
    </bk>
    <bk>
      <rc t="1" v="5248"/>
    </bk>
    <bk>
      <rc t="1" v="5249"/>
    </bk>
    <bk>
      <rc t="1" v="5250"/>
    </bk>
    <bk>
      <rc t="1" v="5251"/>
    </bk>
    <bk>
      <rc t="1" v="5252"/>
    </bk>
    <bk>
      <rc t="1" v="5253"/>
    </bk>
    <bk>
      <rc t="1" v="5254"/>
    </bk>
    <bk>
      <rc t="1" v="5255"/>
    </bk>
    <bk>
      <rc t="1" v="5256"/>
    </bk>
    <bk>
      <rc t="1" v="5257"/>
    </bk>
    <bk>
      <rc t="1" v="5258"/>
    </bk>
    <bk>
      <rc t="1" v="5259"/>
    </bk>
    <bk>
      <rc t="1" v="5260"/>
    </bk>
    <bk>
      <rc t="1" v="5261"/>
    </bk>
    <bk>
      <rc t="1" v="5262"/>
    </bk>
    <bk>
      <rc t="1" v="5263"/>
    </bk>
    <bk>
      <rc t="1" v="5264"/>
    </bk>
    <bk>
      <rc t="1" v="5265"/>
    </bk>
    <bk>
      <rc t="1" v="5266"/>
    </bk>
    <bk>
      <rc t="1" v="5267"/>
    </bk>
    <bk>
      <rc t="1" v="5268"/>
    </bk>
    <bk>
      <rc t="1" v="5269"/>
    </bk>
    <bk>
      <rc t="1" v="5270"/>
    </bk>
    <bk>
      <rc t="1" v="5271"/>
    </bk>
    <bk>
      <rc t="1" v="5272"/>
    </bk>
    <bk>
      <rc t="1" v="5273"/>
    </bk>
    <bk>
      <rc t="1" v="5274"/>
    </bk>
    <bk>
      <rc t="1" v="5275"/>
    </bk>
    <bk>
      <rc t="1" v="5276"/>
    </bk>
    <bk>
      <rc t="1" v="5277"/>
    </bk>
    <bk>
      <rc t="1" v="5278"/>
    </bk>
    <bk>
      <rc t="1" v="5279"/>
    </bk>
    <bk>
      <rc t="1" v="5280"/>
    </bk>
    <bk>
      <rc t="1" v="5281"/>
    </bk>
    <bk>
      <rc t="1" v="5282"/>
    </bk>
    <bk>
      <rc t="1" v="5283"/>
    </bk>
    <bk>
      <rc t="1" v="5284"/>
    </bk>
    <bk>
      <rc t="1" v="5285"/>
    </bk>
    <bk>
      <rc t="1" v="5286"/>
    </bk>
    <bk>
      <rc t="1" v="5287"/>
    </bk>
    <bk>
      <rc t="1" v="5288"/>
    </bk>
    <bk>
      <rc t="1" v="5289"/>
    </bk>
    <bk>
      <rc t="1" v="5290"/>
    </bk>
    <bk>
      <rc t="1" v="5291"/>
    </bk>
    <bk>
      <rc t="1" v="5292"/>
    </bk>
    <bk>
      <rc t="1" v="5293"/>
    </bk>
    <bk>
      <rc t="1" v="5294"/>
    </bk>
    <bk>
      <rc t="1" v="5295"/>
    </bk>
    <bk>
      <rc t="1" v="5296"/>
    </bk>
    <bk>
      <rc t="1" v="5297"/>
    </bk>
    <bk>
      <rc t="1" v="5298"/>
    </bk>
    <bk>
      <rc t="1" v="5299"/>
    </bk>
    <bk>
      <rc t="1" v="5300"/>
    </bk>
    <bk>
      <rc t="1" v="5301"/>
    </bk>
    <bk>
      <rc t="1" v="5302"/>
    </bk>
    <bk>
      <rc t="1" v="5303"/>
    </bk>
    <bk>
      <rc t="1" v="5304"/>
    </bk>
    <bk>
      <rc t="1" v="5305"/>
    </bk>
    <bk>
      <rc t="1" v="5306"/>
    </bk>
    <bk>
      <rc t="1" v="5307"/>
    </bk>
    <bk>
      <rc t="1" v="5308"/>
    </bk>
    <bk>
      <rc t="1" v="5309"/>
    </bk>
    <bk>
      <rc t="1" v="5310"/>
    </bk>
    <bk>
      <rc t="1" v="5311"/>
    </bk>
    <bk>
      <rc t="1" v="5312"/>
    </bk>
    <bk>
      <rc t="1" v="5313"/>
    </bk>
    <bk>
      <rc t="1" v="5314"/>
    </bk>
    <bk>
      <rc t="1" v="5315"/>
    </bk>
    <bk>
      <rc t="1" v="5316"/>
    </bk>
    <bk>
      <rc t="1" v="5317"/>
    </bk>
    <bk>
      <rc t="1" v="5318"/>
    </bk>
    <bk>
      <rc t="1" v="5319"/>
    </bk>
    <bk>
      <rc t="1" v="5320"/>
    </bk>
    <bk>
      <rc t="1" v="5321"/>
    </bk>
    <bk>
      <rc t="1" v="5322"/>
    </bk>
    <bk>
      <rc t="1" v="5323"/>
    </bk>
    <bk>
      <rc t="1" v="5324"/>
    </bk>
    <bk>
      <rc t="1" v="5325"/>
    </bk>
    <bk>
      <rc t="1" v="5326"/>
    </bk>
    <bk>
      <rc t="1" v="5327"/>
    </bk>
    <bk>
      <rc t="1" v="5328"/>
    </bk>
    <bk>
      <rc t="1" v="5329"/>
    </bk>
    <bk>
      <rc t="1" v="5330"/>
    </bk>
    <bk>
      <rc t="1" v="5331"/>
    </bk>
    <bk>
      <rc t="1" v="5332"/>
    </bk>
    <bk>
      <rc t="1" v="5333"/>
    </bk>
    <bk>
      <rc t="1" v="5334"/>
    </bk>
    <bk>
      <rc t="1" v="5335"/>
    </bk>
    <bk>
      <rc t="1" v="5336"/>
    </bk>
    <bk>
      <rc t="1" v="5337"/>
    </bk>
    <bk>
      <rc t="1" v="5338"/>
    </bk>
    <bk>
      <rc t="1" v="5339"/>
    </bk>
    <bk>
      <rc t="1" v="5340"/>
    </bk>
    <bk>
      <rc t="1" v="5341"/>
    </bk>
    <bk>
      <rc t="1" v="5342"/>
    </bk>
    <bk>
      <rc t="1" v="5343"/>
    </bk>
    <bk>
      <rc t="1" v="5344"/>
    </bk>
    <bk>
      <rc t="1" v="5345"/>
    </bk>
    <bk>
      <rc t="1" v="5346"/>
    </bk>
    <bk>
      <rc t="1" v="5347"/>
    </bk>
    <bk>
      <rc t="1" v="5348"/>
    </bk>
    <bk>
      <rc t="1" v="5349"/>
    </bk>
    <bk>
      <rc t="1" v="5350"/>
    </bk>
    <bk>
      <rc t="1" v="5351"/>
    </bk>
    <bk>
      <rc t="1" v="5352"/>
    </bk>
    <bk>
      <rc t="1" v="5353"/>
    </bk>
    <bk>
      <rc t="1" v="5354"/>
    </bk>
    <bk>
      <rc t="1" v="5355"/>
    </bk>
    <bk>
      <rc t="1" v="5356"/>
    </bk>
    <bk>
      <rc t="1" v="5357"/>
    </bk>
    <bk>
      <rc t="1" v="5358"/>
    </bk>
    <bk>
      <rc t="1" v="5359"/>
    </bk>
    <bk>
      <rc t="1" v="5360"/>
    </bk>
    <bk>
      <rc t="1" v="5361"/>
    </bk>
    <bk>
      <rc t="1" v="5362"/>
    </bk>
    <bk>
      <rc t="1" v="5363"/>
    </bk>
    <bk>
      <rc t="1" v="5364"/>
    </bk>
    <bk>
      <rc t="1" v="5365"/>
    </bk>
    <bk>
      <rc t="1" v="5366"/>
    </bk>
    <bk>
      <rc t="1" v="5367"/>
    </bk>
    <bk>
      <rc t="1" v="5368"/>
    </bk>
    <bk>
      <rc t="1" v="5369"/>
    </bk>
    <bk>
      <rc t="1" v="5370"/>
    </bk>
    <bk>
      <rc t="1" v="5371"/>
    </bk>
    <bk>
      <rc t="1" v="5372"/>
    </bk>
    <bk>
      <rc t="1" v="5373"/>
    </bk>
    <bk>
      <rc t="1" v="5374"/>
    </bk>
    <bk>
      <rc t="1" v="5375"/>
    </bk>
    <bk>
      <rc t="1" v="5376"/>
    </bk>
    <bk>
      <rc t="1" v="5377"/>
    </bk>
    <bk>
      <rc t="1" v="5378"/>
    </bk>
    <bk>
      <rc t="1" v="5379"/>
    </bk>
    <bk>
      <rc t="1" v="5380"/>
    </bk>
    <bk>
      <rc t="1" v="5381"/>
    </bk>
    <bk>
      <rc t="1" v="5382"/>
    </bk>
    <bk>
      <rc t="1" v="5383"/>
    </bk>
    <bk>
      <rc t="1" v="5384"/>
    </bk>
    <bk>
      <rc t="1" v="5385"/>
    </bk>
    <bk>
      <rc t="1" v="5386"/>
    </bk>
    <bk>
      <rc t="1" v="5387"/>
    </bk>
    <bk>
      <rc t="1" v="5388"/>
    </bk>
    <bk>
      <rc t="1" v="5389"/>
    </bk>
    <bk>
      <rc t="1" v="5390"/>
    </bk>
    <bk>
      <rc t="1" v="5391"/>
    </bk>
    <bk>
      <rc t="1" v="5392"/>
    </bk>
    <bk>
      <rc t="1" v="5393"/>
    </bk>
    <bk>
      <rc t="1" v="5394"/>
    </bk>
    <bk>
      <rc t="1" v="5395"/>
    </bk>
    <bk>
      <rc t="1" v="5396"/>
    </bk>
    <bk>
      <rc t="1" v="5397"/>
    </bk>
    <bk>
      <rc t="1" v="5398"/>
    </bk>
    <bk>
      <rc t="1" v="5399"/>
    </bk>
    <bk>
      <rc t="1" v="5400"/>
    </bk>
    <bk>
      <rc t="1" v="5401"/>
    </bk>
    <bk>
      <rc t="1" v="5402"/>
    </bk>
    <bk>
      <rc t="1" v="5403"/>
    </bk>
    <bk>
      <rc t="1" v="5404"/>
    </bk>
    <bk>
      <rc t="1" v="5405"/>
    </bk>
    <bk>
      <rc t="1" v="5406"/>
    </bk>
    <bk>
      <rc t="1" v="5407"/>
    </bk>
    <bk>
      <rc t="1" v="5408"/>
    </bk>
    <bk>
      <rc t="1" v="5409"/>
    </bk>
    <bk>
      <rc t="1" v="5410"/>
    </bk>
    <bk>
      <rc t="1" v="5411"/>
    </bk>
    <bk>
      <rc t="1" v="5412"/>
    </bk>
    <bk>
      <rc t="1" v="5413"/>
    </bk>
    <bk>
      <rc t="1" v="5414"/>
    </bk>
    <bk>
      <rc t="1" v="5415"/>
    </bk>
    <bk>
      <rc t="1" v="5416"/>
    </bk>
    <bk>
      <rc t="1" v="5417"/>
    </bk>
    <bk>
      <rc t="1" v="5418"/>
    </bk>
    <bk>
      <rc t="1" v="5419"/>
    </bk>
    <bk>
      <rc t="1" v="5420"/>
    </bk>
    <bk>
      <rc t="1" v="5421"/>
    </bk>
    <bk>
      <rc t="1" v="5422"/>
    </bk>
    <bk>
      <rc t="1" v="5423"/>
    </bk>
    <bk>
      <rc t="1" v="5424"/>
    </bk>
    <bk>
      <rc t="1" v="5425"/>
    </bk>
    <bk>
      <rc t="1" v="5426"/>
    </bk>
    <bk>
      <rc t="1" v="5427"/>
    </bk>
    <bk>
      <rc t="1" v="5428"/>
    </bk>
    <bk>
      <rc t="1" v="5429"/>
    </bk>
    <bk>
      <rc t="1" v="5430"/>
    </bk>
    <bk>
      <rc t="1" v="5431"/>
    </bk>
    <bk>
      <rc t="1" v="5432"/>
    </bk>
    <bk>
      <rc t="1" v="5433"/>
    </bk>
    <bk>
      <rc t="1" v="5434"/>
    </bk>
    <bk>
      <rc t="1" v="5435"/>
    </bk>
    <bk>
      <rc t="1" v="5436"/>
    </bk>
    <bk>
      <rc t="1" v="5437"/>
    </bk>
    <bk>
      <rc t="1" v="5438"/>
    </bk>
    <bk>
      <rc t="1" v="5439"/>
    </bk>
    <bk>
      <rc t="1" v="5440"/>
    </bk>
    <bk>
      <rc t="1" v="5441"/>
    </bk>
    <bk>
      <rc t="1" v="5442"/>
    </bk>
    <bk>
      <rc t="1" v="5443"/>
    </bk>
    <bk>
      <rc t="1" v="5444"/>
    </bk>
    <bk>
      <rc t="1" v="5445"/>
    </bk>
    <bk>
      <rc t="1" v="5446"/>
    </bk>
    <bk>
      <rc t="1" v="5447"/>
    </bk>
    <bk>
      <rc t="1" v="5448"/>
    </bk>
    <bk>
      <rc t="1" v="5449"/>
    </bk>
    <bk>
      <rc t="1" v="5450"/>
    </bk>
    <bk>
      <rc t="1" v="5451"/>
    </bk>
    <bk>
      <rc t="1" v="5452"/>
    </bk>
    <bk>
      <rc t="1" v="5453"/>
    </bk>
    <bk>
      <rc t="1" v="5454"/>
    </bk>
    <bk>
      <rc t="1" v="5455"/>
    </bk>
    <bk>
      <rc t="1" v="5456"/>
    </bk>
    <bk>
      <rc t="1" v="5457"/>
    </bk>
    <bk>
      <rc t="1" v="5458"/>
    </bk>
    <bk>
      <rc t="1" v="5459"/>
    </bk>
    <bk>
      <rc t="1" v="5460"/>
    </bk>
    <bk>
      <rc t="1" v="5461"/>
    </bk>
    <bk>
      <rc t="1" v="5462"/>
    </bk>
    <bk>
      <rc t="1" v="5463"/>
    </bk>
    <bk>
      <rc t="1" v="5464"/>
    </bk>
    <bk>
      <rc t="1" v="5465"/>
    </bk>
    <bk>
      <rc t="1" v="5466"/>
    </bk>
    <bk>
      <rc t="1" v="5467"/>
    </bk>
    <bk>
      <rc t="1" v="5468"/>
    </bk>
    <bk>
      <rc t="1" v="5469"/>
    </bk>
    <bk>
      <rc t="1" v="5470"/>
    </bk>
    <bk>
      <rc t="1" v="5471"/>
    </bk>
    <bk>
      <rc t="1" v="5472"/>
    </bk>
    <bk>
      <rc t="1" v="5473"/>
    </bk>
    <bk>
      <rc t="1" v="5474"/>
    </bk>
    <bk>
      <rc t="1" v="5475"/>
    </bk>
    <bk>
      <rc t="1" v="5476"/>
    </bk>
    <bk>
      <rc t="1" v="5477"/>
    </bk>
    <bk>
      <rc t="1" v="5478"/>
    </bk>
    <bk>
      <rc t="1" v="5479"/>
    </bk>
    <bk>
      <rc t="1" v="5480"/>
    </bk>
    <bk>
      <rc t="1" v="5481"/>
    </bk>
    <bk>
      <rc t="1" v="5482"/>
    </bk>
    <bk>
      <rc t="1" v="5483"/>
    </bk>
    <bk>
      <rc t="1" v="5484"/>
    </bk>
    <bk>
      <rc t="1" v="5485"/>
    </bk>
    <bk>
      <rc t="1" v="5486"/>
    </bk>
    <bk>
      <rc t="1" v="5487"/>
    </bk>
    <bk>
      <rc t="1" v="5488"/>
    </bk>
    <bk>
      <rc t="1" v="5489"/>
    </bk>
    <bk>
      <rc t="1" v="5490"/>
    </bk>
    <bk>
      <rc t="1" v="5491"/>
    </bk>
    <bk>
      <rc t="1" v="5492"/>
    </bk>
    <bk>
      <rc t="1" v="5493"/>
    </bk>
    <bk>
      <rc t="1" v="5494"/>
    </bk>
    <bk>
      <rc t="1" v="5495"/>
    </bk>
    <bk>
      <rc t="1" v="5496"/>
    </bk>
    <bk>
      <rc t="1" v="5497"/>
    </bk>
    <bk>
      <rc t="1" v="5498"/>
    </bk>
    <bk>
      <rc t="1" v="5499"/>
    </bk>
    <bk>
      <rc t="1" v="5500"/>
    </bk>
    <bk>
      <rc t="1" v="5501"/>
    </bk>
    <bk>
      <rc t="1" v="5502"/>
    </bk>
    <bk>
      <rc t="1" v="5503"/>
    </bk>
    <bk>
      <rc t="1" v="5504"/>
    </bk>
    <bk>
      <rc t="1" v="5505"/>
    </bk>
    <bk>
      <rc t="1" v="5506"/>
    </bk>
    <bk>
      <rc t="1" v="5507"/>
    </bk>
    <bk>
      <rc t="1" v="5508"/>
    </bk>
    <bk>
      <rc t="1" v="5509"/>
    </bk>
    <bk>
      <rc t="1" v="5510"/>
    </bk>
    <bk>
      <rc t="1" v="5511"/>
    </bk>
    <bk>
      <rc t="1" v="5512"/>
    </bk>
    <bk>
      <rc t="1" v="5513"/>
    </bk>
    <bk>
      <rc t="1" v="5514"/>
    </bk>
    <bk>
      <rc t="1" v="5515"/>
    </bk>
    <bk>
      <rc t="1" v="5516"/>
    </bk>
    <bk>
      <rc t="1" v="5517"/>
    </bk>
    <bk>
      <rc t="1" v="5518"/>
    </bk>
    <bk>
      <rc t="1" v="5519"/>
    </bk>
    <bk>
      <rc t="1" v="5520"/>
    </bk>
    <bk>
      <rc t="1" v="5521"/>
    </bk>
    <bk>
      <rc t="1" v="5522"/>
    </bk>
    <bk>
      <rc t="1" v="5523"/>
    </bk>
    <bk>
      <rc t="1" v="5524"/>
    </bk>
    <bk>
      <rc t="1" v="5525"/>
    </bk>
    <bk>
      <rc t="1" v="5526"/>
    </bk>
    <bk>
      <rc t="1" v="5527"/>
    </bk>
    <bk>
      <rc t="1" v="5528"/>
    </bk>
    <bk>
      <rc t="1" v="5529"/>
    </bk>
    <bk>
      <rc t="1" v="5530"/>
    </bk>
    <bk>
      <rc t="1" v="5531"/>
    </bk>
    <bk>
      <rc t="1" v="5532"/>
    </bk>
    <bk>
      <rc t="1" v="5533"/>
    </bk>
    <bk>
      <rc t="1" v="5534"/>
    </bk>
    <bk>
      <rc t="1" v="5535"/>
    </bk>
    <bk>
      <rc t="1" v="5536"/>
    </bk>
    <bk>
      <rc t="1" v="5537"/>
    </bk>
    <bk>
      <rc t="1" v="5538"/>
    </bk>
    <bk>
      <rc t="1" v="5539"/>
    </bk>
    <bk>
      <rc t="1" v="5540"/>
    </bk>
    <bk>
      <rc t="1" v="5541"/>
    </bk>
    <bk>
      <rc t="1" v="5542"/>
    </bk>
    <bk>
      <rc t="1" v="5543"/>
    </bk>
    <bk>
      <rc t="1" v="5544"/>
    </bk>
    <bk>
      <rc t="1" v="5545"/>
    </bk>
    <bk>
      <rc t="1" v="5546"/>
    </bk>
    <bk>
      <rc t="1" v="5547"/>
    </bk>
    <bk>
      <rc t="1" v="5548"/>
    </bk>
    <bk>
      <rc t="1" v="5549"/>
    </bk>
    <bk>
      <rc t="1" v="5550"/>
    </bk>
    <bk>
      <rc t="1" v="5551"/>
    </bk>
    <bk>
      <rc t="1" v="5552"/>
    </bk>
    <bk>
      <rc t="1" v="5553"/>
    </bk>
    <bk>
      <rc t="1" v="5554"/>
    </bk>
    <bk>
      <rc t="1" v="5555"/>
    </bk>
    <bk>
      <rc t="1" v="5556"/>
    </bk>
    <bk>
      <rc t="1" v="5557"/>
    </bk>
    <bk>
      <rc t="1" v="5558"/>
    </bk>
    <bk>
      <rc t="1" v="5559"/>
    </bk>
    <bk>
      <rc t="1" v="5560"/>
    </bk>
    <bk>
      <rc t="1" v="5561"/>
    </bk>
    <bk>
      <rc t="1" v="5562"/>
    </bk>
    <bk>
      <rc t="1" v="5563"/>
    </bk>
    <bk>
      <rc t="1" v="5564"/>
    </bk>
    <bk>
      <rc t="1" v="5565"/>
    </bk>
    <bk>
      <rc t="1" v="5566"/>
    </bk>
    <bk>
      <rc t="1" v="5567"/>
    </bk>
    <bk>
      <rc t="1" v="5568"/>
    </bk>
    <bk>
      <rc t="1" v="5569"/>
    </bk>
    <bk>
      <rc t="1" v="5570"/>
    </bk>
    <bk>
      <rc t="1" v="5571"/>
    </bk>
    <bk>
      <rc t="1" v="5572"/>
    </bk>
    <bk>
      <rc t="1" v="5573"/>
    </bk>
    <bk>
      <rc t="1" v="5574"/>
    </bk>
    <bk>
      <rc t="1" v="5575"/>
    </bk>
    <bk>
      <rc t="1" v="5576"/>
    </bk>
    <bk>
      <rc t="1" v="5577"/>
    </bk>
    <bk>
      <rc t="1" v="5578"/>
    </bk>
    <bk>
      <rc t="1" v="5579"/>
    </bk>
    <bk>
      <rc t="1" v="5580"/>
    </bk>
    <bk>
      <rc t="1" v="5581"/>
    </bk>
    <bk>
      <rc t="1" v="5582"/>
    </bk>
    <bk>
      <rc t="1" v="5583"/>
    </bk>
    <bk>
      <rc t="1" v="5584"/>
    </bk>
    <bk>
      <rc t="1" v="5585"/>
    </bk>
    <bk>
      <rc t="1" v="5586"/>
    </bk>
    <bk>
      <rc t="1" v="5587"/>
    </bk>
    <bk>
      <rc t="1" v="5588"/>
    </bk>
    <bk>
      <rc t="1" v="5589"/>
    </bk>
    <bk>
      <rc t="1" v="5590"/>
    </bk>
    <bk>
      <rc t="1" v="5591"/>
    </bk>
    <bk>
      <rc t="1" v="5592"/>
    </bk>
    <bk>
      <rc t="1" v="5593"/>
    </bk>
    <bk>
      <rc t="1" v="5594"/>
    </bk>
    <bk>
      <rc t="1" v="5595"/>
    </bk>
    <bk>
      <rc t="1" v="5596"/>
    </bk>
    <bk>
      <rc t="1" v="5597"/>
    </bk>
    <bk>
      <rc t="1" v="5598"/>
    </bk>
    <bk>
      <rc t="1" v="5599"/>
    </bk>
    <bk>
      <rc t="1" v="5600"/>
    </bk>
    <bk>
      <rc t="1" v="5601"/>
    </bk>
    <bk>
      <rc t="1" v="5602"/>
    </bk>
    <bk>
      <rc t="1" v="5603"/>
    </bk>
    <bk>
      <rc t="1" v="5604"/>
    </bk>
    <bk>
      <rc t="1" v="5605"/>
    </bk>
    <bk>
      <rc t="1" v="5606"/>
    </bk>
    <bk>
      <rc t="1" v="5607"/>
    </bk>
    <bk>
      <rc t="1" v="5608"/>
    </bk>
    <bk>
      <rc t="1" v="5609"/>
    </bk>
    <bk>
      <rc t="1" v="5610"/>
    </bk>
    <bk>
      <rc t="1" v="5611"/>
    </bk>
    <bk>
      <rc t="1" v="5612"/>
    </bk>
    <bk>
      <rc t="1" v="5613"/>
    </bk>
    <bk>
      <rc t="1" v="5614"/>
    </bk>
    <bk>
      <rc t="1" v="5615"/>
    </bk>
    <bk>
      <rc t="1" v="5616"/>
    </bk>
    <bk>
      <rc t="1" v="5617"/>
    </bk>
    <bk>
      <rc t="1" v="5618"/>
    </bk>
    <bk>
      <rc t="1" v="5619"/>
    </bk>
    <bk>
      <rc t="1" v="5620"/>
    </bk>
    <bk>
      <rc t="1" v="5621"/>
    </bk>
    <bk>
      <rc t="1" v="5622"/>
    </bk>
    <bk>
      <rc t="1" v="5623"/>
    </bk>
    <bk>
      <rc t="1" v="5624"/>
    </bk>
    <bk>
      <rc t="1" v="5625"/>
    </bk>
    <bk>
      <rc t="1" v="5626"/>
    </bk>
    <bk>
      <rc t="1" v="5627"/>
    </bk>
    <bk>
      <rc t="1" v="5628"/>
    </bk>
    <bk>
      <rc t="1" v="5629"/>
    </bk>
    <bk>
      <rc t="1" v="5630"/>
    </bk>
    <bk>
      <rc t="1" v="5631"/>
    </bk>
    <bk>
      <rc t="1" v="5632"/>
    </bk>
    <bk>
      <rc t="1" v="5633"/>
    </bk>
    <bk>
      <rc t="1" v="5634"/>
    </bk>
    <bk>
      <rc t="1" v="5635"/>
    </bk>
    <bk>
      <rc t="1" v="5636"/>
    </bk>
    <bk>
      <rc t="1" v="5637"/>
    </bk>
    <bk>
      <rc t="1" v="5638"/>
    </bk>
    <bk>
      <rc t="1" v="5639"/>
    </bk>
    <bk>
      <rc t="1" v="5640"/>
    </bk>
    <bk>
      <rc t="1" v="5641"/>
    </bk>
    <bk>
      <rc t="1" v="5642"/>
    </bk>
    <bk>
      <rc t="1" v="5643"/>
    </bk>
    <bk>
      <rc t="1" v="5644"/>
    </bk>
    <bk>
      <rc t="1" v="5645"/>
    </bk>
    <bk>
      <rc t="1" v="5646"/>
    </bk>
    <bk>
      <rc t="1" v="5647"/>
    </bk>
    <bk>
      <rc t="1" v="5648"/>
    </bk>
    <bk>
      <rc t="1" v="5649"/>
    </bk>
    <bk>
      <rc t="1" v="5650"/>
    </bk>
    <bk>
      <rc t="1" v="5651"/>
    </bk>
    <bk>
      <rc t="1" v="5652"/>
    </bk>
    <bk>
      <rc t="1" v="5653"/>
    </bk>
    <bk>
      <rc t="1" v="5654"/>
    </bk>
    <bk>
      <rc t="1" v="5655"/>
    </bk>
    <bk>
      <rc t="1" v="5656"/>
    </bk>
    <bk>
      <rc t="1" v="5657"/>
    </bk>
    <bk>
      <rc t="1" v="5658"/>
    </bk>
    <bk>
      <rc t="1" v="5659"/>
    </bk>
    <bk>
      <rc t="1" v="5660"/>
    </bk>
    <bk>
      <rc t="1" v="5661"/>
    </bk>
    <bk>
      <rc t="1" v="5662"/>
    </bk>
    <bk>
      <rc t="1" v="5663"/>
    </bk>
    <bk>
      <rc t="1" v="5664"/>
    </bk>
    <bk>
      <rc t="1" v="5665"/>
    </bk>
    <bk>
      <rc t="1" v="5666"/>
    </bk>
    <bk>
      <rc t="1" v="5667"/>
    </bk>
    <bk>
      <rc t="1" v="5668"/>
    </bk>
    <bk>
      <rc t="1" v="5669"/>
    </bk>
    <bk>
      <rc t="1" v="5670"/>
    </bk>
    <bk>
      <rc t="1" v="5671"/>
    </bk>
    <bk>
      <rc t="1" v="5672"/>
    </bk>
    <bk>
      <rc t="1" v="5673"/>
    </bk>
    <bk>
      <rc t="1" v="5674"/>
    </bk>
    <bk>
      <rc t="1" v="5675"/>
    </bk>
    <bk>
      <rc t="1" v="5676"/>
    </bk>
    <bk>
      <rc t="1" v="5677"/>
    </bk>
    <bk>
      <rc t="1" v="5678"/>
    </bk>
    <bk>
      <rc t="1" v="5679"/>
    </bk>
    <bk>
      <rc t="1" v="5680"/>
    </bk>
    <bk>
      <rc t="1" v="5681"/>
    </bk>
    <bk>
      <rc t="1" v="5682"/>
    </bk>
    <bk>
      <rc t="1" v="5683"/>
    </bk>
    <bk>
      <rc t="1" v="5684"/>
    </bk>
    <bk>
      <rc t="1" v="5685"/>
    </bk>
    <bk>
      <rc t="1" v="5686"/>
    </bk>
    <bk>
      <rc t="1" v="5687"/>
    </bk>
    <bk>
      <rc t="1" v="5688"/>
    </bk>
    <bk>
      <rc t="1" v="5689"/>
    </bk>
    <bk>
      <rc t="1" v="5690"/>
    </bk>
    <bk>
      <rc t="1" v="5691"/>
    </bk>
    <bk>
      <rc t="1" v="5692"/>
    </bk>
    <bk>
      <rc t="1" v="5693"/>
    </bk>
    <bk>
      <rc t="1" v="5694"/>
    </bk>
    <bk>
      <rc t="1" v="5695"/>
    </bk>
    <bk>
      <rc t="1" v="5696"/>
    </bk>
    <bk>
      <rc t="1" v="5697"/>
    </bk>
    <bk>
      <rc t="1" v="5698"/>
    </bk>
    <bk>
      <rc t="1" v="5699"/>
    </bk>
    <bk>
      <rc t="1" v="5700"/>
    </bk>
    <bk>
      <rc t="1" v="5701"/>
    </bk>
    <bk>
      <rc t="1" v="5702"/>
    </bk>
    <bk>
      <rc t="1" v="5703"/>
    </bk>
    <bk>
      <rc t="1" v="5704"/>
    </bk>
    <bk>
      <rc t="1" v="5705"/>
    </bk>
    <bk>
      <rc t="1" v="5706"/>
    </bk>
    <bk>
      <rc t="1" v="5707"/>
    </bk>
    <bk>
      <rc t="1" v="5708"/>
    </bk>
    <bk>
      <rc t="1" v="5709"/>
    </bk>
    <bk>
      <rc t="1" v="5710"/>
    </bk>
    <bk>
      <rc t="1" v="5711"/>
    </bk>
    <bk>
      <rc t="1" v="5712"/>
    </bk>
    <bk>
      <rc t="1" v="5713"/>
    </bk>
    <bk>
      <rc t="1" v="5714"/>
    </bk>
    <bk>
      <rc t="1" v="5715"/>
    </bk>
    <bk>
      <rc t="1" v="5716"/>
    </bk>
    <bk>
      <rc t="1" v="5717"/>
    </bk>
    <bk>
      <rc t="1" v="5718"/>
    </bk>
    <bk>
      <rc t="1" v="5719"/>
    </bk>
    <bk>
      <rc t="1" v="5720"/>
    </bk>
    <bk>
      <rc t="1" v="5721"/>
    </bk>
    <bk>
      <rc t="1" v="5722"/>
    </bk>
    <bk>
      <rc t="1" v="5723"/>
    </bk>
    <bk>
      <rc t="1" v="5724"/>
    </bk>
    <bk>
      <rc t="1" v="5725"/>
    </bk>
    <bk>
      <rc t="1" v="5726"/>
    </bk>
    <bk>
      <rc t="1" v="5727"/>
    </bk>
    <bk>
      <rc t="1" v="5728"/>
    </bk>
    <bk>
      <rc t="1" v="5729"/>
    </bk>
    <bk>
      <rc t="1" v="5730"/>
    </bk>
    <bk>
      <rc t="1" v="5731"/>
    </bk>
    <bk>
      <rc t="1" v="5732"/>
    </bk>
    <bk>
      <rc t="1" v="5733"/>
    </bk>
    <bk>
      <rc t="1" v="5734"/>
    </bk>
    <bk>
      <rc t="1" v="5735"/>
    </bk>
    <bk>
      <rc t="1" v="5736"/>
    </bk>
    <bk>
      <rc t="1" v="5737"/>
    </bk>
    <bk>
      <rc t="1" v="5738"/>
    </bk>
    <bk>
      <rc t="1" v="5739"/>
    </bk>
    <bk>
      <rc t="1" v="5740"/>
    </bk>
    <bk>
      <rc t="1" v="5741"/>
    </bk>
    <bk>
      <rc t="1" v="5742"/>
    </bk>
    <bk>
      <rc t="1" v="5743"/>
    </bk>
    <bk>
      <rc t="1" v="5744"/>
    </bk>
    <bk>
      <rc t="1" v="5745"/>
    </bk>
    <bk>
      <rc t="1" v="5746"/>
    </bk>
    <bk>
      <rc t="1" v="5747"/>
    </bk>
    <bk>
      <rc t="1" v="5748"/>
    </bk>
    <bk>
      <rc t="1" v="5749"/>
    </bk>
    <bk>
      <rc t="1" v="5750"/>
    </bk>
    <bk>
      <rc t="1" v="5751"/>
    </bk>
    <bk>
      <rc t="1" v="5752"/>
    </bk>
    <bk>
      <rc t="1" v="5753"/>
    </bk>
    <bk>
      <rc t="1" v="5754"/>
    </bk>
    <bk>
      <rc t="1" v="5755"/>
    </bk>
    <bk>
      <rc t="1" v="5756"/>
    </bk>
    <bk>
      <rc t="1" v="5757"/>
    </bk>
    <bk>
      <rc t="1" v="5758"/>
    </bk>
    <bk>
      <rc t="1" v="5759"/>
    </bk>
    <bk>
      <rc t="1" v="5760"/>
    </bk>
    <bk>
      <rc t="1" v="5761"/>
    </bk>
    <bk>
      <rc t="1" v="5762"/>
    </bk>
    <bk>
      <rc t="1" v="5763"/>
    </bk>
    <bk>
      <rc t="1" v="5764"/>
    </bk>
    <bk>
      <rc t="1" v="5765"/>
    </bk>
    <bk>
      <rc t="1" v="5766"/>
    </bk>
    <bk>
      <rc t="1" v="5767"/>
    </bk>
    <bk>
      <rc t="1" v="5768"/>
    </bk>
    <bk>
      <rc t="1" v="5769"/>
    </bk>
    <bk>
      <rc t="1" v="5770"/>
    </bk>
    <bk>
      <rc t="1" v="5771"/>
    </bk>
    <bk>
      <rc t="1" v="5772"/>
    </bk>
    <bk>
      <rc t="1" v="5773"/>
    </bk>
    <bk>
      <rc t="1" v="5774"/>
    </bk>
    <bk>
      <rc t="1" v="5775"/>
    </bk>
    <bk>
      <rc t="1" v="5776"/>
    </bk>
    <bk>
      <rc t="1" v="5777"/>
    </bk>
    <bk>
      <rc t="1" v="5778"/>
    </bk>
    <bk>
      <rc t="1" v="5779"/>
    </bk>
    <bk>
      <rc t="1" v="5780"/>
    </bk>
    <bk>
      <rc t="1" v="5781"/>
    </bk>
    <bk>
      <rc t="1" v="5782"/>
    </bk>
    <bk>
      <rc t="1" v="5783"/>
    </bk>
    <bk>
      <rc t="1" v="5784"/>
    </bk>
    <bk>
      <rc t="1" v="5785"/>
    </bk>
    <bk>
      <rc t="1" v="5786"/>
    </bk>
    <bk>
      <rc t="1" v="5787"/>
    </bk>
    <bk>
      <rc t="1" v="5788"/>
    </bk>
    <bk>
      <rc t="1" v="5789"/>
    </bk>
    <bk>
      <rc t="1" v="5790"/>
    </bk>
    <bk>
      <rc t="1" v="5791"/>
    </bk>
    <bk>
      <rc t="1" v="5792"/>
    </bk>
    <bk>
      <rc t="1" v="5793"/>
    </bk>
    <bk>
      <rc t="1" v="5794"/>
    </bk>
    <bk>
      <rc t="1" v="5795"/>
    </bk>
    <bk>
      <rc t="1" v="5796"/>
    </bk>
    <bk>
      <rc t="1" v="5797"/>
    </bk>
    <bk>
      <rc t="1" v="5798"/>
    </bk>
    <bk>
      <rc t="1" v="5799"/>
    </bk>
    <bk>
      <rc t="1" v="5800"/>
    </bk>
    <bk>
      <rc t="1" v="5801"/>
    </bk>
    <bk>
      <rc t="1" v="5802"/>
    </bk>
    <bk>
      <rc t="1" v="5803"/>
    </bk>
    <bk>
      <rc t="1" v="5804"/>
    </bk>
    <bk>
      <rc t="1" v="5805"/>
    </bk>
    <bk>
      <rc t="1" v="5806"/>
    </bk>
    <bk>
      <rc t="1" v="5807"/>
    </bk>
    <bk>
      <rc t="1" v="5808"/>
    </bk>
    <bk>
      <rc t="1" v="5809"/>
    </bk>
    <bk>
      <rc t="1" v="5810"/>
    </bk>
    <bk>
      <rc t="1" v="5811"/>
    </bk>
    <bk>
      <rc t="1" v="5812"/>
    </bk>
    <bk>
      <rc t="1" v="5813"/>
    </bk>
    <bk>
      <rc t="1" v="5814"/>
    </bk>
    <bk>
      <rc t="1" v="5815"/>
    </bk>
    <bk>
      <rc t="1" v="5816"/>
    </bk>
    <bk>
      <rc t="1" v="5817"/>
    </bk>
    <bk>
      <rc t="1" v="5818"/>
    </bk>
    <bk>
      <rc t="1" v="5819"/>
    </bk>
    <bk>
      <rc t="1" v="5820"/>
    </bk>
    <bk>
      <rc t="1" v="5821"/>
    </bk>
    <bk>
      <rc t="1" v="5822"/>
    </bk>
    <bk>
      <rc t="1" v="5823"/>
    </bk>
    <bk>
      <rc t="1" v="5824"/>
    </bk>
    <bk>
      <rc t="1" v="5825"/>
    </bk>
    <bk>
      <rc t="1" v="5826"/>
    </bk>
    <bk>
      <rc t="1" v="5827"/>
    </bk>
    <bk>
      <rc t="1" v="5828"/>
    </bk>
    <bk>
      <rc t="1" v="5829"/>
    </bk>
    <bk>
      <rc t="1" v="5830"/>
    </bk>
    <bk>
      <rc t="1" v="5831"/>
    </bk>
    <bk>
      <rc t="1" v="5832"/>
    </bk>
    <bk>
      <rc t="1" v="5833"/>
    </bk>
    <bk>
      <rc t="1" v="5834"/>
    </bk>
    <bk>
      <rc t="1" v="5835"/>
    </bk>
    <bk>
      <rc t="1" v="5836"/>
    </bk>
    <bk>
      <rc t="1" v="5837"/>
    </bk>
    <bk>
      <rc t="1" v="5838"/>
    </bk>
    <bk>
      <rc t="1" v="5839"/>
    </bk>
    <bk>
      <rc t="1" v="5840"/>
    </bk>
    <bk>
      <rc t="1" v="5841"/>
    </bk>
    <bk>
      <rc t="1" v="5842"/>
    </bk>
    <bk>
      <rc t="1" v="5843"/>
    </bk>
    <bk>
      <rc t="1" v="5844"/>
    </bk>
    <bk>
      <rc t="1" v="5845"/>
    </bk>
    <bk>
      <rc t="1" v="5846"/>
    </bk>
    <bk>
      <rc t="1" v="5847"/>
    </bk>
    <bk>
      <rc t="1" v="5848"/>
    </bk>
    <bk>
      <rc t="1" v="5849"/>
    </bk>
    <bk>
      <rc t="1" v="5850"/>
    </bk>
    <bk>
      <rc t="1" v="5851"/>
    </bk>
    <bk>
      <rc t="1" v="5852"/>
    </bk>
    <bk>
      <rc t="1" v="5853"/>
    </bk>
    <bk>
      <rc t="1" v="5854"/>
    </bk>
    <bk>
      <rc t="1" v="5855"/>
    </bk>
    <bk>
      <rc t="1" v="5856"/>
    </bk>
    <bk>
      <rc t="1" v="5857"/>
    </bk>
    <bk>
      <rc t="1" v="5858"/>
    </bk>
    <bk>
      <rc t="1" v="5859"/>
    </bk>
    <bk>
      <rc t="1" v="5860"/>
    </bk>
    <bk>
      <rc t="1" v="5861"/>
    </bk>
    <bk>
      <rc t="1" v="5862"/>
    </bk>
    <bk>
      <rc t="1" v="5863"/>
    </bk>
    <bk>
      <rc t="1" v="5864"/>
    </bk>
    <bk>
      <rc t="1" v="5865"/>
    </bk>
    <bk>
      <rc t="1" v="5866"/>
    </bk>
    <bk>
      <rc t="1" v="5867"/>
    </bk>
    <bk>
      <rc t="1" v="5868"/>
    </bk>
    <bk>
      <rc t="1" v="5869"/>
    </bk>
    <bk>
      <rc t="1" v="5870"/>
    </bk>
    <bk>
      <rc t="1" v="5871"/>
    </bk>
    <bk>
      <rc t="1" v="5872"/>
    </bk>
    <bk>
      <rc t="1" v="5873"/>
    </bk>
    <bk>
      <rc t="1" v="5874"/>
    </bk>
    <bk>
      <rc t="1" v="5875"/>
    </bk>
    <bk>
      <rc t="1" v="5876"/>
    </bk>
    <bk>
      <rc t="1" v="5877"/>
    </bk>
    <bk>
      <rc t="1" v="5878"/>
    </bk>
    <bk>
      <rc t="1" v="5879"/>
    </bk>
    <bk>
      <rc t="1" v="5880"/>
    </bk>
    <bk>
      <rc t="1" v="5881"/>
    </bk>
    <bk>
      <rc t="1" v="5882"/>
    </bk>
    <bk>
      <rc t="1" v="5883"/>
    </bk>
    <bk>
      <rc t="1" v="5884"/>
    </bk>
    <bk>
      <rc t="1" v="5885"/>
    </bk>
    <bk>
      <rc t="1" v="5886"/>
    </bk>
    <bk>
      <rc t="1" v="5887"/>
    </bk>
    <bk>
      <rc t="1" v="5888"/>
    </bk>
    <bk>
      <rc t="1" v="5889"/>
    </bk>
    <bk>
      <rc t="1" v="5890"/>
    </bk>
    <bk>
      <rc t="1" v="5891"/>
    </bk>
    <bk>
      <rc t="1" v="5892"/>
    </bk>
    <bk>
      <rc t="1" v="5893"/>
    </bk>
    <bk>
      <rc t="1" v="5894"/>
    </bk>
    <bk>
      <rc t="1" v="5895"/>
    </bk>
    <bk>
      <rc t="1" v="5896"/>
    </bk>
    <bk>
      <rc t="1" v="5897"/>
    </bk>
    <bk>
      <rc t="1" v="5898"/>
    </bk>
    <bk>
      <rc t="1" v="5899"/>
    </bk>
    <bk>
      <rc t="1" v="5900"/>
    </bk>
    <bk>
      <rc t="1" v="5901"/>
    </bk>
    <bk>
      <rc t="1" v="5902"/>
    </bk>
    <bk>
      <rc t="1" v="5903"/>
    </bk>
    <bk>
      <rc t="1" v="5904"/>
    </bk>
    <bk>
      <rc t="1" v="5905"/>
    </bk>
    <bk>
      <rc t="1" v="5906"/>
    </bk>
    <bk>
      <rc t="1" v="5907"/>
    </bk>
    <bk>
      <rc t="1" v="5908"/>
    </bk>
    <bk>
      <rc t="1" v="5909"/>
    </bk>
    <bk>
      <rc t="1" v="5910"/>
    </bk>
    <bk>
      <rc t="1" v="5911"/>
    </bk>
    <bk>
      <rc t="1" v="5912"/>
    </bk>
    <bk>
      <rc t="1" v="5913"/>
    </bk>
    <bk>
      <rc t="1" v="5914"/>
    </bk>
    <bk>
      <rc t="1" v="5915"/>
    </bk>
    <bk>
      <rc t="1" v="5916"/>
    </bk>
    <bk>
      <rc t="1" v="5917"/>
    </bk>
    <bk>
      <rc t="1" v="5918"/>
    </bk>
    <bk>
      <rc t="1" v="5919"/>
    </bk>
    <bk>
      <rc t="1" v="5920"/>
    </bk>
    <bk>
      <rc t="1" v="5921"/>
    </bk>
    <bk>
      <rc t="1" v="5922"/>
    </bk>
    <bk>
      <rc t="1" v="5923"/>
    </bk>
    <bk>
      <rc t="1" v="5924"/>
    </bk>
    <bk>
      <rc t="1" v="5925"/>
    </bk>
    <bk>
      <rc t="1" v="5926"/>
    </bk>
    <bk>
      <rc t="1" v="5927"/>
    </bk>
    <bk>
      <rc t="1" v="5928"/>
    </bk>
    <bk>
      <rc t="1" v="5929"/>
    </bk>
    <bk>
      <rc t="1" v="5930"/>
    </bk>
    <bk>
      <rc t="1" v="5931"/>
    </bk>
    <bk>
      <rc t="1" v="5932"/>
    </bk>
    <bk>
      <rc t="1" v="5933"/>
    </bk>
    <bk>
      <rc t="1" v="5934"/>
    </bk>
    <bk>
      <rc t="1" v="5935"/>
    </bk>
    <bk>
      <rc t="1" v="5936"/>
    </bk>
    <bk>
      <rc t="1" v="5937"/>
    </bk>
    <bk>
      <rc t="1" v="5938"/>
    </bk>
    <bk>
      <rc t="1" v="5939"/>
    </bk>
    <bk>
      <rc t="1" v="5940"/>
    </bk>
    <bk>
      <rc t="1" v="5941"/>
    </bk>
    <bk>
      <rc t="1" v="5942"/>
    </bk>
    <bk>
      <rc t="1" v="5943"/>
    </bk>
    <bk>
      <rc t="1" v="5944"/>
    </bk>
    <bk>
      <rc t="1" v="5945"/>
    </bk>
    <bk>
      <rc t="1" v="5946"/>
    </bk>
    <bk>
      <rc t="1" v="5947"/>
    </bk>
    <bk>
      <rc t="1" v="5948"/>
    </bk>
    <bk>
      <rc t="1" v="5949"/>
    </bk>
    <bk>
      <rc t="1" v="5950"/>
    </bk>
    <bk>
      <rc t="1" v="5951"/>
    </bk>
    <bk>
      <rc t="1" v="5952"/>
    </bk>
    <bk>
      <rc t="1" v="5953"/>
    </bk>
    <bk>
      <rc t="1" v="5954"/>
    </bk>
    <bk>
      <rc t="1" v="5955"/>
    </bk>
    <bk>
      <rc t="1" v="5956"/>
    </bk>
    <bk>
      <rc t="1" v="5957"/>
    </bk>
    <bk>
      <rc t="1" v="5958"/>
    </bk>
    <bk>
      <rc t="1" v="5959"/>
    </bk>
    <bk>
      <rc t="1" v="5960"/>
    </bk>
    <bk>
      <rc t="1" v="5961"/>
    </bk>
    <bk>
      <rc t="1" v="5962"/>
    </bk>
    <bk>
      <rc t="1" v="5963"/>
    </bk>
    <bk>
      <rc t="1" v="5964"/>
    </bk>
    <bk>
      <rc t="1" v="5965"/>
    </bk>
    <bk>
      <rc t="1" v="5966"/>
    </bk>
    <bk>
      <rc t="1" v="5967"/>
    </bk>
    <bk>
      <rc t="1" v="5968"/>
    </bk>
    <bk>
      <rc t="1" v="5969"/>
    </bk>
    <bk>
      <rc t="1" v="5970"/>
    </bk>
    <bk>
      <rc t="1" v="5971"/>
    </bk>
    <bk>
      <rc t="1" v="5972"/>
    </bk>
    <bk>
      <rc t="1" v="5973"/>
    </bk>
    <bk>
      <rc t="1" v="5974"/>
    </bk>
    <bk>
      <rc t="1" v="5975"/>
    </bk>
    <bk>
      <rc t="1" v="5976"/>
    </bk>
    <bk>
      <rc t="1" v="5977"/>
    </bk>
    <bk>
      <rc t="1" v="5978"/>
    </bk>
    <bk>
      <rc t="1" v="5979"/>
    </bk>
    <bk>
      <rc t="1" v="5980"/>
    </bk>
    <bk>
      <rc t="1" v="5981"/>
    </bk>
    <bk>
      <rc t="1" v="5982"/>
    </bk>
    <bk>
      <rc t="1" v="5983"/>
    </bk>
    <bk>
      <rc t="1" v="5984"/>
    </bk>
    <bk>
      <rc t="1" v="5985"/>
    </bk>
    <bk>
      <rc t="1" v="5986"/>
    </bk>
    <bk>
      <rc t="1" v="5987"/>
    </bk>
    <bk>
      <rc t="1" v="5988"/>
    </bk>
    <bk>
      <rc t="1" v="5989"/>
    </bk>
    <bk>
      <rc t="1" v="5990"/>
    </bk>
    <bk>
      <rc t="1" v="5991"/>
    </bk>
    <bk>
      <rc t="1" v="5992"/>
    </bk>
    <bk>
      <rc t="1" v="5993"/>
    </bk>
    <bk>
      <rc t="1" v="5994"/>
    </bk>
    <bk>
      <rc t="1" v="5995"/>
    </bk>
    <bk>
      <rc t="1" v="5996"/>
    </bk>
    <bk>
      <rc t="1" v="5997"/>
    </bk>
    <bk>
      <rc t="1" v="5998"/>
    </bk>
    <bk>
      <rc t="1" v="5999"/>
    </bk>
    <bk>
      <rc t="1" v="6000"/>
    </bk>
    <bk>
      <rc t="1" v="6001"/>
    </bk>
    <bk>
      <rc t="1" v="6002"/>
    </bk>
    <bk>
      <rc t="1" v="6003"/>
    </bk>
    <bk>
      <rc t="1" v="6004"/>
    </bk>
    <bk>
      <rc t="1" v="6005"/>
    </bk>
    <bk>
      <rc t="1" v="6006"/>
    </bk>
    <bk>
      <rc t="1" v="6007"/>
    </bk>
    <bk>
      <rc t="1" v="6008"/>
    </bk>
    <bk>
      <rc t="1" v="6009"/>
    </bk>
    <bk>
      <rc t="1" v="6010"/>
    </bk>
    <bk>
      <rc t="1" v="6011"/>
    </bk>
    <bk>
      <rc t="1" v="6012"/>
    </bk>
    <bk>
      <rc t="1" v="6013"/>
    </bk>
    <bk>
      <rc t="1" v="6014"/>
    </bk>
    <bk>
      <rc t="1" v="6015"/>
    </bk>
    <bk>
      <rc t="1" v="6016"/>
    </bk>
    <bk>
      <rc t="1" v="6017"/>
    </bk>
    <bk>
      <rc t="1" v="6018"/>
    </bk>
    <bk>
      <rc t="1" v="6019"/>
    </bk>
    <bk>
      <rc t="1" v="6020"/>
    </bk>
    <bk>
      <rc t="1" v="6021"/>
    </bk>
    <bk>
      <rc t="1" v="6022"/>
    </bk>
    <bk>
      <rc t="1" v="6023"/>
    </bk>
    <bk>
      <rc t="1" v="6024"/>
    </bk>
    <bk>
      <rc t="1" v="6025"/>
    </bk>
    <bk>
      <rc t="1" v="6026"/>
    </bk>
    <bk>
      <rc t="1" v="6027"/>
    </bk>
    <bk>
      <rc t="1" v="6028"/>
    </bk>
    <bk>
      <rc t="1" v="6029"/>
    </bk>
    <bk>
      <rc t="1" v="6030"/>
    </bk>
    <bk>
      <rc t="1" v="6031"/>
    </bk>
    <bk>
      <rc t="1" v="6032"/>
    </bk>
    <bk>
      <rc t="1" v="6033"/>
    </bk>
    <bk>
      <rc t="1" v="6034"/>
    </bk>
    <bk>
      <rc t="1" v="6035"/>
    </bk>
    <bk>
      <rc t="1" v="6036"/>
    </bk>
    <bk>
      <rc t="1" v="6037"/>
    </bk>
    <bk>
      <rc t="1" v="6038"/>
    </bk>
    <bk>
      <rc t="1" v="6039"/>
    </bk>
    <bk>
      <rc t="1" v="6040"/>
    </bk>
    <bk>
      <rc t="1" v="6041"/>
    </bk>
    <bk>
      <rc t="1" v="6042"/>
    </bk>
    <bk>
      <rc t="1" v="6043"/>
    </bk>
    <bk>
      <rc t="1" v="6044"/>
    </bk>
    <bk>
      <rc t="1" v="6045"/>
    </bk>
    <bk>
      <rc t="1" v="6046"/>
    </bk>
    <bk>
      <rc t="1" v="6047"/>
    </bk>
    <bk>
      <rc t="1" v="6048"/>
    </bk>
    <bk>
      <rc t="1" v="6049"/>
    </bk>
    <bk>
      <rc t="1" v="6050"/>
    </bk>
    <bk>
      <rc t="1" v="6051"/>
    </bk>
    <bk>
      <rc t="1" v="6052"/>
    </bk>
    <bk>
      <rc t="1" v="6053"/>
    </bk>
    <bk>
      <rc t="1" v="6054"/>
    </bk>
    <bk>
      <rc t="1" v="6055"/>
    </bk>
    <bk>
      <rc t="1" v="6056"/>
    </bk>
    <bk>
      <rc t="1" v="6057"/>
    </bk>
    <bk>
      <rc t="1" v="6058"/>
    </bk>
    <bk>
      <rc t="1" v="6059"/>
    </bk>
    <bk>
      <rc t="1" v="6060"/>
    </bk>
    <bk>
      <rc t="1" v="6061"/>
    </bk>
    <bk>
      <rc t="1" v="6062"/>
    </bk>
    <bk>
      <rc t="1" v="6063"/>
    </bk>
    <bk>
      <rc t="1" v="6064"/>
    </bk>
    <bk>
      <rc t="1" v="6065"/>
    </bk>
    <bk>
      <rc t="1" v="6066"/>
    </bk>
    <bk>
      <rc t="1" v="6067"/>
    </bk>
    <bk>
      <rc t="1" v="6068"/>
    </bk>
    <bk>
      <rc t="1" v="6069"/>
    </bk>
    <bk>
      <rc t="1" v="6070"/>
    </bk>
    <bk>
      <rc t="1" v="6071"/>
    </bk>
    <bk>
      <rc t="1" v="6072"/>
    </bk>
    <bk>
      <rc t="1" v="6073"/>
    </bk>
    <bk>
      <rc t="1" v="6074"/>
    </bk>
    <bk>
      <rc t="1" v="6075"/>
    </bk>
    <bk>
      <rc t="1" v="6076"/>
    </bk>
    <bk>
      <rc t="1" v="6077"/>
    </bk>
    <bk>
      <rc t="1" v="6078"/>
    </bk>
    <bk>
      <rc t="1" v="6079"/>
    </bk>
    <bk>
      <rc t="1" v="6080"/>
    </bk>
    <bk>
      <rc t="1" v="6081"/>
    </bk>
    <bk>
      <rc t="1" v="6082"/>
    </bk>
    <bk>
      <rc t="1" v="6083"/>
    </bk>
    <bk>
      <rc t="1" v="6084"/>
    </bk>
    <bk>
      <rc t="1" v="6085"/>
    </bk>
    <bk>
      <rc t="1" v="6086"/>
    </bk>
    <bk>
      <rc t="1" v="6087"/>
    </bk>
    <bk>
      <rc t="1" v="6088"/>
    </bk>
    <bk>
      <rc t="1" v="6089"/>
    </bk>
    <bk>
      <rc t="1" v="6090"/>
    </bk>
    <bk>
      <rc t="1" v="6091"/>
    </bk>
    <bk>
      <rc t="1" v="6092"/>
    </bk>
    <bk>
      <rc t="1" v="6093"/>
    </bk>
    <bk>
      <rc t="1" v="6094"/>
    </bk>
    <bk>
      <rc t="1" v="6095"/>
    </bk>
    <bk>
      <rc t="1" v="6096"/>
    </bk>
    <bk>
      <rc t="1" v="6097"/>
    </bk>
    <bk>
      <rc t="1" v="6098"/>
    </bk>
    <bk>
      <rc t="1" v="6099"/>
    </bk>
    <bk>
      <rc t="1" v="6100"/>
    </bk>
    <bk>
      <rc t="1" v="6101"/>
    </bk>
    <bk>
      <rc t="1" v="6102"/>
    </bk>
    <bk>
      <rc t="1" v="6103"/>
    </bk>
    <bk>
      <rc t="1" v="6104"/>
    </bk>
    <bk>
      <rc t="1" v="6105"/>
    </bk>
    <bk>
      <rc t="1" v="6106"/>
    </bk>
    <bk>
      <rc t="1" v="6107"/>
    </bk>
    <bk>
      <rc t="1" v="6108"/>
    </bk>
    <bk>
      <rc t="1" v="6109"/>
    </bk>
    <bk>
      <rc t="1" v="6110"/>
    </bk>
    <bk>
      <rc t="1" v="6111"/>
    </bk>
    <bk>
      <rc t="1" v="6112"/>
    </bk>
    <bk>
      <rc t="1" v="6113"/>
    </bk>
    <bk>
      <rc t="1" v="6114"/>
    </bk>
    <bk>
      <rc t="1" v="6115"/>
    </bk>
    <bk>
      <rc t="1" v="6116"/>
    </bk>
    <bk>
      <rc t="1" v="6117"/>
    </bk>
    <bk>
      <rc t="1" v="6118"/>
    </bk>
    <bk>
      <rc t="1" v="6119"/>
    </bk>
    <bk>
      <rc t="1" v="6120"/>
    </bk>
    <bk>
      <rc t="1" v="6121"/>
    </bk>
    <bk>
      <rc t="1" v="6122"/>
    </bk>
    <bk>
      <rc t="1" v="6123"/>
    </bk>
    <bk>
      <rc t="1" v="6124"/>
    </bk>
    <bk>
      <rc t="1" v="6125"/>
    </bk>
    <bk>
      <rc t="1" v="6126"/>
    </bk>
    <bk>
      <rc t="1" v="6127"/>
    </bk>
    <bk>
      <rc t="1" v="6128"/>
    </bk>
    <bk>
      <rc t="1" v="6129"/>
    </bk>
    <bk>
      <rc t="1" v="6130"/>
    </bk>
    <bk>
      <rc t="1" v="6131"/>
    </bk>
    <bk>
      <rc t="1" v="6132"/>
    </bk>
    <bk>
      <rc t="1" v="6133"/>
    </bk>
    <bk>
      <rc t="1" v="6134"/>
    </bk>
    <bk>
      <rc t="1" v="6135"/>
    </bk>
    <bk>
      <rc t="1" v="6136"/>
    </bk>
    <bk>
      <rc t="1" v="6137"/>
    </bk>
    <bk>
      <rc t="1" v="6138"/>
    </bk>
    <bk>
      <rc t="1" v="6139"/>
    </bk>
    <bk>
      <rc t="1" v="6140"/>
    </bk>
    <bk>
      <rc t="1" v="6141"/>
    </bk>
    <bk>
      <rc t="1" v="6142"/>
    </bk>
    <bk>
      <rc t="1" v="6143"/>
    </bk>
    <bk>
      <rc t="1" v="6144"/>
    </bk>
    <bk>
      <rc t="1" v="6145"/>
    </bk>
    <bk>
      <rc t="1" v="6146"/>
    </bk>
    <bk>
      <rc t="1" v="6147"/>
    </bk>
    <bk>
      <rc t="1" v="6148"/>
    </bk>
    <bk>
      <rc t="1" v="6149"/>
    </bk>
    <bk>
      <rc t="1" v="6150"/>
    </bk>
    <bk>
      <rc t="1" v="6151"/>
    </bk>
    <bk>
      <rc t="1" v="6152"/>
    </bk>
    <bk>
      <rc t="1" v="6153"/>
    </bk>
    <bk>
      <rc t="1" v="6154"/>
    </bk>
    <bk>
      <rc t="1" v="6155"/>
    </bk>
    <bk>
      <rc t="1" v="6156"/>
    </bk>
    <bk>
      <rc t="1" v="6157"/>
    </bk>
    <bk>
      <rc t="1" v="6158"/>
    </bk>
    <bk>
      <rc t="1" v="6159"/>
    </bk>
    <bk>
      <rc t="1" v="6160"/>
    </bk>
    <bk>
      <rc t="1" v="6161"/>
    </bk>
    <bk>
      <rc t="1" v="6162"/>
    </bk>
    <bk>
      <rc t="1" v="6163"/>
    </bk>
    <bk>
      <rc t="1" v="6164"/>
    </bk>
    <bk>
      <rc t="1" v="6165"/>
    </bk>
    <bk>
      <rc t="1" v="6166"/>
    </bk>
    <bk>
      <rc t="1" v="6167"/>
    </bk>
    <bk>
      <rc t="1" v="6168"/>
    </bk>
    <bk>
      <rc t="1" v="6169"/>
    </bk>
    <bk>
      <rc t="1" v="6170"/>
    </bk>
    <bk>
      <rc t="1" v="6171"/>
    </bk>
    <bk>
      <rc t="1" v="6172"/>
    </bk>
    <bk>
      <rc t="1" v="6173"/>
    </bk>
    <bk>
      <rc t="1" v="6174"/>
    </bk>
    <bk>
      <rc t="1" v="6175"/>
    </bk>
    <bk>
      <rc t="1" v="6176"/>
    </bk>
    <bk>
      <rc t="1" v="6177"/>
    </bk>
    <bk>
      <rc t="1" v="6178"/>
    </bk>
    <bk>
      <rc t="1" v="6179"/>
    </bk>
    <bk>
      <rc t="1" v="6180"/>
    </bk>
    <bk>
      <rc t="1" v="6181"/>
    </bk>
    <bk>
      <rc t="1" v="6182"/>
    </bk>
    <bk>
      <rc t="1" v="6183"/>
    </bk>
    <bk>
      <rc t="1" v="6184"/>
    </bk>
    <bk>
      <rc t="1" v="6185"/>
    </bk>
    <bk>
      <rc t="1" v="6186"/>
    </bk>
    <bk>
      <rc t="1" v="6187"/>
    </bk>
    <bk>
      <rc t="1" v="6188"/>
    </bk>
    <bk>
      <rc t="1" v="6189"/>
    </bk>
    <bk>
      <rc t="1" v="6190"/>
    </bk>
    <bk>
      <rc t="1" v="6191"/>
    </bk>
    <bk>
      <rc t="1" v="6192"/>
    </bk>
    <bk>
      <rc t="1" v="6193"/>
    </bk>
    <bk>
      <rc t="1" v="6194"/>
    </bk>
    <bk>
      <rc t="1" v="6195"/>
    </bk>
    <bk>
      <rc t="1" v="6196"/>
    </bk>
    <bk>
      <rc t="1" v="6197"/>
    </bk>
    <bk>
      <rc t="1" v="6198"/>
    </bk>
    <bk>
      <rc t="1" v="6199"/>
    </bk>
    <bk>
      <rc t="1" v="6200"/>
    </bk>
    <bk>
      <rc t="1" v="6201"/>
    </bk>
    <bk>
      <rc t="1" v="6202"/>
    </bk>
    <bk>
      <rc t="1" v="6203"/>
    </bk>
    <bk>
      <rc t="1" v="6204"/>
    </bk>
    <bk>
      <rc t="1" v="6205"/>
    </bk>
    <bk>
      <rc t="1" v="6206"/>
    </bk>
    <bk>
      <rc t="1" v="6207"/>
    </bk>
    <bk>
      <rc t="1" v="6208"/>
    </bk>
    <bk>
      <rc t="1" v="6209"/>
    </bk>
    <bk>
      <rc t="1" v="6210"/>
    </bk>
    <bk>
      <rc t="1" v="6211"/>
    </bk>
    <bk>
      <rc t="1" v="6212"/>
    </bk>
    <bk>
      <rc t="1" v="6213"/>
    </bk>
    <bk>
      <rc t="1" v="6214"/>
    </bk>
    <bk>
      <rc t="1" v="6215"/>
    </bk>
    <bk>
      <rc t="1" v="6216"/>
    </bk>
    <bk>
      <rc t="1" v="6217"/>
    </bk>
    <bk>
      <rc t="1" v="6218"/>
    </bk>
    <bk>
      <rc t="1" v="6219"/>
    </bk>
    <bk>
      <rc t="1" v="6220"/>
    </bk>
    <bk>
      <rc t="1" v="6221"/>
    </bk>
    <bk>
      <rc t="1" v="6222"/>
    </bk>
    <bk>
      <rc t="1" v="6223"/>
    </bk>
    <bk>
      <rc t="1" v="6224"/>
    </bk>
    <bk>
      <rc t="1" v="6225"/>
    </bk>
    <bk>
      <rc t="1" v="6226"/>
    </bk>
    <bk>
      <rc t="1" v="6227"/>
    </bk>
    <bk>
      <rc t="1" v="6228"/>
    </bk>
    <bk>
      <rc t="1" v="6229"/>
    </bk>
    <bk>
      <rc t="1" v="6230"/>
    </bk>
    <bk>
      <rc t="1" v="6231"/>
    </bk>
    <bk>
      <rc t="1" v="6232"/>
    </bk>
    <bk>
      <rc t="1" v="6233"/>
    </bk>
    <bk>
      <rc t="1" v="6234"/>
    </bk>
    <bk>
      <rc t="1" v="6235"/>
    </bk>
    <bk>
      <rc t="1" v="6236"/>
    </bk>
    <bk>
      <rc t="1" v="6237"/>
    </bk>
    <bk>
      <rc t="1" v="6238"/>
    </bk>
    <bk>
      <rc t="1" v="6239"/>
    </bk>
    <bk>
      <rc t="1" v="6240"/>
    </bk>
    <bk>
      <rc t="1" v="6241"/>
    </bk>
    <bk>
      <rc t="1" v="6242"/>
    </bk>
    <bk>
      <rc t="1" v="6243"/>
    </bk>
    <bk>
      <rc t="1" v="6244"/>
    </bk>
    <bk>
      <rc t="1" v="6245"/>
    </bk>
    <bk>
      <rc t="1" v="6246"/>
    </bk>
    <bk>
      <rc t="1" v="6247"/>
    </bk>
    <bk>
      <rc t="1" v="6248"/>
    </bk>
    <bk>
      <rc t="1" v="6249"/>
    </bk>
    <bk>
      <rc t="1" v="6250"/>
    </bk>
    <bk>
      <rc t="1" v="6251"/>
    </bk>
    <bk>
      <rc t="1" v="6252"/>
    </bk>
    <bk>
      <rc t="1" v="6253"/>
    </bk>
    <bk>
      <rc t="1" v="6254"/>
    </bk>
    <bk>
      <rc t="1" v="6255"/>
    </bk>
    <bk>
      <rc t="1" v="6256"/>
    </bk>
    <bk>
      <rc t="1" v="6257"/>
    </bk>
    <bk>
      <rc t="1" v="6258"/>
    </bk>
    <bk>
      <rc t="1" v="6259"/>
    </bk>
    <bk>
      <rc t="1" v="6260"/>
    </bk>
    <bk>
      <rc t="1" v="6261"/>
    </bk>
    <bk>
      <rc t="1" v="6262"/>
    </bk>
    <bk>
      <rc t="1" v="6263"/>
    </bk>
    <bk>
      <rc t="1" v="6264"/>
    </bk>
    <bk>
      <rc t="1" v="6265"/>
    </bk>
    <bk>
      <rc t="1" v="6266"/>
    </bk>
    <bk>
      <rc t="1" v="6267"/>
    </bk>
    <bk>
      <rc t="1" v="6268"/>
    </bk>
    <bk>
      <rc t="1" v="6269"/>
    </bk>
    <bk>
      <rc t="1" v="6270"/>
    </bk>
    <bk>
      <rc t="1" v="6271"/>
    </bk>
    <bk>
      <rc t="1" v="6272"/>
    </bk>
    <bk>
      <rc t="1" v="6273"/>
    </bk>
    <bk>
      <rc t="1" v="6274"/>
    </bk>
    <bk>
      <rc t="1" v="6275"/>
    </bk>
    <bk>
      <rc t="1" v="6276"/>
    </bk>
    <bk>
      <rc t="1" v="6277"/>
    </bk>
    <bk>
      <rc t="1" v="6278"/>
    </bk>
    <bk>
      <rc t="1" v="6279"/>
    </bk>
    <bk>
      <rc t="1" v="6280"/>
    </bk>
    <bk>
      <rc t="1" v="6281"/>
    </bk>
    <bk>
      <rc t="1" v="6282"/>
    </bk>
    <bk>
      <rc t="1" v="6283"/>
    </bk>
    <bk>
      <rc t="1" v="6284"/>
    </bk>
    <bk>
      <rc t="1" v="6285"/>
    </bk>
    <bk>
      <rc t="1" v="6286"/>
    </bk>
    <bk>
      <rc t="1" v="6287"/>
    </bk>
    <bk>
      <rc t="1" v="6288"/>
    </bk>
    <bk>
      <rc t="1" v="6289"/>
    </bk>
    <bk>
      <rc t="1" v="6290"/>
    </bk>
    <bk>
      <rc t="1" v="6291"/>
    </bk>
    <bk>
      <rc t="1" v="6292"/>
    </bk>
    <bk>
      <rc t="1" v="6293"/>
    </bk>
    <bk>
      <rc t="1" v="6294"/>
    </bk>
    <bk>
      <rc t="1" v="6295"/>
    </bk>
    <bk>
      <rc t="1" v="6296"/>
    </bk>
    <bk>
      <rc t="1" v="6297"/>
    </bk>
    <bk>
      <rc t="1" v="6298"/>
    </bk>
    <bk>
      <rc t="1" v="6299"/>
    </bk>
    <bk>
      <rc t="1" v="6300"/>
    </bk>
    <bk>
      <rc t="1" v="6301"/>
    </bk>
    <bk>
      <rc t="1" v="6302"/>
    </bk>
    <bk>
      <rc t="1" v="6303"/>
    </bk>
    <bk>
      <rc t="1" v="6304"/>
    </bk>
    <bk>
      <rc t="1" v="6305"/>
    </bk>
    <bk>
      <rc t="1" v="6306"/>
    </bk>
    <bk>
      <rc t="1" v="6307"/>
    </bk>
    <bk>
      <rc t="1" v="6308"/>
    </bk>
    <bk>
      <rc t="1" v="6309"/>
    </bk>
    <bk>
      <rc t="1" v="6310"/>
    </bk>
    <bk>
      <rc t="1" v="6311"/>
    </bk>
    <bk>
      <rc t="1" v="6312"/>
    </bk>
    <bk>
      <rc t="1" v="6313"/>
    </bk>
    <bk>
      <rc t="1" v="6314"/>
    </bk>
    <bk>
      <rc t="1" v="6315"/>
    </bk>
    <bk>
      <rc t="1" v="6316"/>
    </bk>
    <bk>
      <rc t="1" v="6317"/>
    </bk>
    <bk>
      <rc t="1" v="6318"/>
    </bk>
    <bk>
      <rc t="1" v="6319"/>
    </bk>
    <bk>
      <rc t="1" v="6320"/>
    </bk>
    <bk>
      <rc t="1" v="6321"/>
    </bk>
    <bk>
      <rc t="1" v="6322"/>
    </bk>
    <bk>
      <rc t="1" v="6323"/>
    </bk>
    <bk>
      <rc t="1" v="6324"/>
    </bk>
    <bk>
      <rc t="1" v="6325"/>
    </bk>
    <bk>
      <rc t="1" v="6326"/>
    </bk>
    <bk>
      <rc t="1" v="6327"/>
    </bk>
    <bk>
      <rc t="1" v="6328"/>
    </bk>
    <bk>
      <rc t="1" v="6329"/>
    </bk>
    <bk>
      <rc t="1" v="6330"/>
    </bk>
    <bk>
      <rc t="1" v="6331"/>
    </bk>
    <bk>
      <rc t="1" v="6332"/>
    </bk>
    <bk>
      <rc t="1" v="6333"/>
    </bk>
    <bk>
      <rc t="1" v="6334"/>
    </bk>
    <bk>
      <rc t="1" v="6335"/>
    </bk>
    <bk>
      <rc t="1" v="6336"/>
    </bk>
    <bk>
      <rc t="1" v="6337"/>
    </bk>
    <bk>
      <rc t="1" v="6338"/>
    </bk>
    <bk>
      <rc t="1" v="6339"/>
    </bk>
    <bk>
      <rc t="1" v="6340"/>
    </bk>
    <bk>
      <rc t="1" v="6341"/>
    </bk>
    <bk>
      <rc t="1" v="6342"/>
    </bk>
    <bk>
      <rc t="1" v="6343"/>
    </bk>
    <bk>
      <rc t="1" v="6344"/>
    </bk>
    <bk>
      <rc t="1" v="6345"/>
    </bk>
    <bk>
      <rc t="1" v="6346"/>
    </bk>
    <bk>
      <rc t="1" v="6347"/>
    </bk>
    <bk>
      <rc t="1" v="6348"/>
    </bk>
    <bk>
      <rc t="1" v="6349"/>
    </bk>
    <bk>
      <rc t="1" v="6350"/>
    </bk>
    <bk>
      <rc t="1" v="6351"/>
    </bk>
    <bk>
      <rc t="1" v="6352"/>
    </bk>
    <bk>
      <rc t="1" v="6353"/>
    </bk>
    <bk>
      <rc t="1" v="6354"/>
    </bk>
    <bk>
      <rc t="1" v="6355"/>
    </bk>
    <bk>
      <rc t="1" v="6356"/>
    </bk>
    <bk>
      <rc t="1" v="6357"/>
    </bk>
    <bk>
      <rc t="1" v="6358"/>
    </bk>
    <bk>
      <rc t="1" v="6359"/>
    </bk>
    <bk>
      <rc t="1" v="6360"/>
    </bk>
    <bk>
      <rc t="1" v="6361"/>
    </bk>
    <bk>
      <rc t="1" v="6362"/>
    </bk>
    <bk>
      <rc t="1" v="6363"/>
    </bk>
    <bk>
      <rc t="1" v="6364"/>
    </bk>
    <bk>
      <rc t="1" v="6365"/>
    </bk>
    <bk>
      <rc t="1" v="6366"/>
    </bk>
    <bk>
      <rc t="1" v="6367"/>
    </bk>
    <bk>
      <rc t="1" v="6368"/>
    </bk>
    <bk>
      <rc t="1" v="6369"/>
    </bk>
    <bk>
      <rc t="1" v="6370"/>
    </bk>
    <bk>
      <rc t="1" v="6371"/>
    </bk>
    <bk>
      <rc t="1" v="6372"/>
    </bk>
    <bk>
      <rc t="1" v="6373"/>
    </bk>
    <bk>
      <rc t="1" v="6374"/>
    </bk>
    <bk>
      <rc t="1" v="6375"/>
    </bk>
    <bk>
      <rc t="1" v="6376"/>
    </bk>
    <bk>
      <rc t="1" v="6377"/>
    </bk>
    <bk>
      <rc t="1" v="6378"/>
    </bk>
    <bk>
      <rc t="1" v="6379"/>
    </bk>
    <bk>
      <rc t="1" v="6380"/>
    </bk>
    <bk>
      <rc t="1" v="6381"/>
    </bk>
    <bk>
      <rc t="1" v="6382"/>
    </bk>
    <bk>
      <rc t="1" v="6383"/>
    </bk>
    <bk>
      <rc t="1" v="6384"/>
    </bk>
    <bk>
      <rc t="1" v="6385"/>
    </bk>
    <bk>
      <rc t="1" v="6386"/>
    </bk>
    <bk>
      <rc t="1" v="6387"/>
    </bk>
    <bk>
      <rc t="1" v="6388"/>
    </bk>
    <bk>
      <rc t="1" v="6389"/>
    </bk>
    <bk>
      <rc t="1" v="6390"/>
    </bk>
    <bk>
      <rc t="1" v="6391"/>
    </bk>
    <bk>
      <rc t="1" v="6392"/>
    </bk>
    <bk>
      <rc t="1" v="6393"/>
    </bk>
    <bk>
      <rc t="1" v="6394"/>
    </bk>
    <bk>
      <rc t="1" v="6395"/>
    </bk>
    <bk>
      <rc t="1" v="6396"/>
    </bk>
    <bk>
      <rc t="1" v="6397"/>
    </bk>
    <bk>
      <rc t="1" v="6398"/>
    </bk>
    <bk>
      <rc t="1" v="6399"/>
    </bk>
    <bk>
      <rc t="1" v="6400"/>
    </bk>
    <bk>
      <rc t="1" v="6401"/>
    </bk>
    <bk>
      <rc t="1" v="6402"/>
    </bk>
    <bk>
      <rc t="1" v="6403"/>
    </bk>
    <bk>
      <rc t="1" v="6404"/>
    </bk>
    <bk>
      <rc t="1" v="6405"/>
    </bk>
    <bk>
      <rc t="1" v="6406"/>
    </bk>
    <bk>
      <rc t="1" v="6407"/>
    </bk>
    <bk>
      <rc t="1" v="6408"/>
    </bk>
    <bk>
      <rc t="1" v="6409"/>
    </bk>
    <bk>
      <rc t="1" v="6410"/>
    </bk>
    <bk>
      <rc t="1" v="6411"/>
    </bk>
    <bk>
      <rc t="1" v="6412"/>
    </bk>
    <bk>
      <rc t="1" v="6413"/>
    </bk>
    <bk>
      <rc t="1" v="6414"/>
    </bk>
    <bk>
      <rc t="1" v="6415"/>
    </bk>
    <bk>
      <rc t="1" v="6416"/>
    </bk>
    <bk>
      <rc t="1" v="6417"/>
    </bk>
    <bk>
      <rc t="1" v="6418"/>
    </bk>
    <bk>
      <rc t="1" v="6419"/>
    </bk>
    <bk>
      <rc t="1" v="6420"/>
    </bk>
    <bk>
      <rc t="1" v="6421"/>
    </bk>
    <bk>
      <rc t="1" v="6422"/>
    </bk>
    <bk>
      <rc t="1" v="6423"/>
    </bk>
    <bk>
      <rc t="1" v="6424"/>
    </bk>
    <bk>
      <rc t="1" v="6425"/>
    </bk>
    <bk>
      <rc t="1" v="6426"/>
    </bk>
    <bk>
      <rc t="1" v="6427"/>
    </bk>
    <bk>
      <rc t="1" v="6428"/>
    </bk>
    <bk>
      <rc t="1" v="6429"/>
    </bk>
    <bk>
      <rc t="1" v="6430"/>
    </bk>
    <bk>
      <rc t="1" v="6431"/>
    </bk>
    <bk>
      <rc t="1" v="6432"/>
    </bk>
    <bk>
      <rc t="1" v="6433"/>
    </bk>
    <bk>
      <rc t="1" v="6434"/>
    </bk>
    <bk>
      <rc t="1" v="6435"/>
    </bk>
    <bk>
      <rc t="1" v="6436"/>
    </bk>
    <bk>
      <rc t="1" v="6437"/>
    </bk>
    <bk>
      <rc t="1" v="6438"/>
    </bk>
    <bk>
      <rc t="1" v="6439"/>
    </bk>
    <bk>
      <rc t="1" v="6440"/>
    </bk>
    <bk>
      <rc t="1" v="6441"/>
    </bk>
    <bk>
      <rc t="1" v="6442"/>
    </bk>
    <bk>
      <rc t="1" v="6443"/>
    </bk>
    <bk>
      <rc t="1" v="6444"/>
    </bk>
    <bk>
      <rc t="1" v="6445"/>
    </bk>
    <bk>
      <rc t="1" v="6446"/>
    </bk>
    <bk>
      <rc t="1" v="6447"/>
    </bk>
    <bk>
      <rc t="1" v="6448"/>
    </bk>
    <bk>
      <rc t="1" v="6449"/>
    </bk>
    <bk>
      <rc t="1" v="6450"/>
    </bk>
    <bk>
      <rc t="1" v="6451"/>
    </bk>
    <bk>
      <rc t="1" v="6452"/>
    </bk>
    <bk>
      <rc t="1" v="6453"/>
    </bk>
    <bk>
      <rc t="1" v="6454"/>
    </bk>
    <bk>
      <rc t="1" v="6455"/>
    </bk>
    <bk>
      <rc t="1" v="6456"/>
    </bk>
    <bk>
      <rc t="1" v="6457"/>
    </bk>
    <bk>
      <rc t="1" v="6458"/>
    </bk>
    <bk>
      <rc t="1" v="6459"/>
    </bk>
    <bk>
      <rc t="1" v="6460"/>
    </bk>
    <bk>
      <rc t="1" v="6461"/>
    </bk>
    <bk>
      <rc t="1" v="6462"/>
    </bk>
    <bk>
      <rc t="1" v="6463"/>
    </bk>
    <bk>
      <rc t="1" v="6464"/>
    </bk>
    <bk>
      <rc t="1" v="6465"/>
    </bk>
    <bk>
      <rc t="1" v="6466"/>
    </bk>
    <bk>
      <rc t="1" v="6467"/>
    </bk>
    <bk>
      <rc t="1" v="6468"/>
    </bk>
    <bk>
      <rc t="1" v="6469"/>
    </bk>
    <bk>
      <rc t="1" v="6470"/>
    </bk>
    <bk>
      <rc t="1" v="6471"/>
    </bk>
    <bk>
      <rc t="1" v="6472"/>
    </bk>
    <bk>
      <rc t="1" v="6473"/>
    </bk>
    <bk>
      <rc t="1" v="6474"/>
    </bk>
    <bk>
      <rc t="1" v="6475"/>
    </bk>
    <bk>
      <rc t="1" v="6476"/>
    </bk>
    <bk>
      <rc t="1" v="6477"/>
    </bk>
    <bk>
      <rc t="1" v="6478"/>
    </bk>
    <bk>
      <rc t="1" v="6479"/>
    </bk>
    <bk>
      <rc t="1" v="6480"/>
    </bk>
    <bk>
      <rc t="1" v="6481"/>
    </bk>
    <bk>
      <rc t="1" v="6482"/>
    </bk>
    <bk>
      <rc t="1" v="6483"/>
    </bk>
    <bk>
      <rc t="1" v="6484"/>
    </bk>
    <bk>
      <rc t="1" v="6485"/>
    </bk>
    <bk>
      <rc t="1" v="6486"/>
    </bk>
    <bk>
      <rc t="1" v="6487"/>
    </bk>
    <bk>
      <rc t="1" v="6488"/>
    </bk>
    <bk>
      <rc t="1" v="6489"/>
    </bk>
    <bk>
      <rc t="1" v="6490"/>
    </bk>
    <bk>
      <rc t="1" v="6491"/>
    </bk>
    <bk>
      <rc t="1" v="6492"/>
    </bk>
    <bk>
      <rc t="1" v="6493"/>
    </bk>
    <bk>
      <rc t="1" v="6494"/>
    </bk>
    <bk>
      <rc t="1" v="6495"/>
    </bk>
    <bk>
      <rc t="1" v="6496"/>
    </bk>
    <bk>
      <rc t="1" v="6497"/>
    </bk>
    <bk>
      <rc t="1" v="6498"/>
    </bk>
    <bk>
      <rc t="1" v="6499"/>
    </bk>
    <bk>
      <rc t="1" v="6500"/>
    </bk>
    <bk>
      <rc t="1" v="6501"/>
    </bk>
    <bk>
      <rc t="1" v="6502"/>
    </bk>
    <bk>
      <rc t="1" v="6503"/>
    </bk>
    <bk>
      <rc t="1" v="6504"/>
    </bk>
    <bk>
      <rc t="1" v="6505"/>
    </bk>
    <bk>
      <rc t="1" v="6506"/>
    </bk>
    <bk>
      <rc t="1" v="6507"/>
    </bk>
    <bk>
      <rc t="1" v="6508"/>
    </bk>
    <bk>
      <rc t="1" v="6509"/>
    </bk>
    <bk>
      <rc t="1" v="6510"/>
    </bk>
    <bk>
      <rc t="1" v="6511"/>
    </bk>
    <bk>
      <rc t="1" v="6512"/>
    </bk>
    <bk>
      <rc t="1" v="6513"/>
    </bk>
    <bk>
      <rc t="1" v="6514"/>
    </bk>
    <bk>
      <rc t="1" v="6515"/>
    </bk>
    <bk>
      <rc t="1" v="6516"/>
    </bk>
    <bk>
      <rc t="1" v="6517"/>
    </bk>
    <bk>
      <rc t="1" v="6518"/>
    </bk>
    <bk>
      <rc t="1" v="6519"/>
    </bk>
    <bk>
      <rc t="1" v="6520"/>
    </bk>
    <bk>
      <rc t="1" v="6521"/>
    </bk>
    <bk>
      <rc t="1" v="6522"/>
    </bk>
    <bk>
      <rc t="1" v="6523"/>
    </bk>
    <bk>
      <rc t="1" v="6524"/>
    </bk>
    <bk>
      <rc t="1" v="6525"/>
    </bk>
    <bk>
      <rc t="1" v="6526"/>
    </bk>
    <bk>
      <rc t="1" v="6527"/>
    </bk>
    <bk>
      <rc t="1" v="6528"/>
    </bk>
    <bk>
      <rc t="1" v="6529"/>
    </bk>
    <bk>
      <rc t="1" v="6530"/>
    </bk>
    <bk>
      <rc t="1" v="6531"/>
    </bk>
    <bk>
      <rc t="1" v="6532"/>
    </bk>
    <bk>
      <rc t="1" v="6533"/>
    </bk>
    <bk>
      <rc t="1" v="6534"/>
    </bk>
    <bk>
      <rc t="1" v="6535"/>
    </bk>
    <bk>
      <rc t="1" v="6536"/>
    </bk>
    <bk>
      <rc t="1" v="6537"/>
    </bk>
    <bk>
      <rc t="1" v="6538"/>
    </bk>
    <bk>
      <rc t="1" v="6539"/>
    </bk>
    <bk>
      <rc t="1" v="6540"/>
    </bk>
    <bk>
      <rc t="1" v="6541"/>
    </bk>
    <bk>
      <rc t="1" v="6542"/>
    </bk>
    <bk>
      <rc t="1" v="6543"/>
    </bk>
    <bk>
      <rc t="1" v="6544"/>
    </bk>
    <bk>
      <rc t="1" v="6545"/>
    </bk>
    <bk>
      <rc t="1" v="6546"/>
    </bk>
    <bk>
      <rc t="1" v="6547"/>
    </bk>
    <bk>
      <rc t="1" v="6548"/>
    </bk>
    <bk>
      <rc t="1" v="6549"/>
    </bk>
    <bk>
      <rc t="1" v="6550"/>
    </bk>
    <bk>
      <rc t="1" v="6551"/>
    </bk>
    <bk>
      <rc t="1" v="6552"/>
    </bk>
    <bk>
      <rc t="1" v="6553"/>
    </bk>
    <bk>
      <rc t="1" v="6554"/>
    </bk>
    <bk>
      <rc t="1" v="6555"/>
    </bk>
    <bk>
      <rc t="1" v="6556"/>
    </bk>
    <bk>
      <rc t="1" v="6557"/>
    </bk>
    <bk>
      <rc t="1" v="6558"/>
    </bk>
    <bk>
      <rc t="1" v="6559"/>
    </bk>
    <bk>
      <rc t="1" v="6560"/>
    </bk>
    <bk>
      <rc t="1" v="6561"/>
    </bk>
    <bk>
      <rc t="1" v="6562"/>
    </bk>
    <bk>
      <rc t="1" v="6563"/>
    </bk>
    <bk>
      <rc t="1" v="6564"/>
    </bk>
    <bk>
      <rc t="1" v="6565"/>
    </bk>
    <bk>
      <rc t="1" v="6566"/>
    </bk>
    <bk>
      <rc t="1" v="6567"/>
    </bk>
    <bk>
      <rc t="1" v="6568"/>
    </bk>
    <bk>
      <rc t="1" v="6569"/>
    </bk>
    <bk>
      <rc t="1" v="6570"/>
    </bk>
    <bk>
      <rc t="1" v="6571"/>
    </bk>
    <bk>
      <rc t="1" v="6572"/>
    </bk>
    <bk>
      <rc t="1" v="6573"/>
    </bk>
    <bk>
      <rc t="1" v="6574"/>
    </bk>
    <bk>
      <rc t="1" v="6575"/>
    </bk>
    <bk>
      <rc t="1" v="6576"/>
    </bk>
    <bk>
      <rc t="1" v="6577"/>
    </bk>
    <bk>
      <rc t="1" v="6578"/>
    </bk>
    <bk>
      <rc t="1" v="6579"/>
    </bk>
    <bk>
      <rc t="1" v="6580"/>
    </bk>
    <bk>
      <rc t="1" v="6581"/>
    </bk>
    <bk>
      <rc t="1" v="6582"/>
    </bk>
    <bk>
      <rc t="1" v="6583"/>
    </bk>
    <bk>
      <rc t="1" v="6584"/>
    </bk>
    <bk>
      <rc t="1" v="6585"/>
    </bk>
    <bk>
      <rc t="1" v="6586"/>
    </bk>
    <bk>
      <rc t="1" v="6587"/>
    </bk>
    <bk>
      <rc t="1" v="6588"/>
    </bk>
    <bk>
      <rc t="1" v="6589"/>
    </bk>
    <bk>
      <rc t="1" v="6590"/>
    </bk>
    <bk>
      <rc t="1" v="6591"/>
    </bk>
    <bk>
      <rc t="1" v="6592"/>
    </bk>
    <bk>
      <rc t="1" v="6593"/>
    </bk>
    <bk>
      <rc t="1" v="6594"/>
    </bk>
    <bk>
      <rc t="1" v="6595"/>
    </bk>
    <bk>
      <rc t="1" v="6596"/>
    </bk>
    <bk>
      <rc t="1" v="6597"/>
    </bk>
    <bk>
      <rc t="1" v="6598"/>
    </bk>
    <bk>
      <rc t="1" v="6599"/>
    </bk>
    <bk>
      <rc t="1" v="6600"/>
    </bk>
    <bk>
      <rc t="1" v="6601"/>
    </bk>
    <bk>
      <rc t="1" v="6602"/>
    </bk>
    <bk>
      <rc t="1" v="6603"/>
    </bk>
    <bk>
      <rc t="1" v="6604"/>
    </bk>
    <bk>
      <rc t="1" v="6605"/>
    </bk>
    <bk>
      <rc t="1" v="6606"/>
    </bk>
    <bk>
      <rc t="1" v="6607"/>
    </bk>
    <bk>
      <rc t="1" v="6608"/>
    </bk>
    <bk>
      <rc t="1" v="6609"/>
    </bk>
    <bk>
      <rc t="1" v="6610"/>
    </bk>
    <bk>
      <rc t="1" v="6611"/>
    </bk>
    <bk>
      <rc t="1" v="6612"/>
    </bk>
    <bk>
      <rc t="1" v="6613"/>
    </bk>
    <bk>
      <rc t="1" v="6614"/>
    </bk>
    <bk>
      <rc t="1" v="6615"/>
    </bk>
    <bk>
      <rc t="1" v="6616"/>
    </bk>
    <bk>
      <rc t="1" v="6617"/>
    </bk>
    <bk>
      <rc t="1" v="6618"/>
    </bk>
    <bk>
      <rc t="1" v="6619"/>
    </bk>
    <bk>
      <rc t="1" v="6620"/>
    </bk>
    <bk>
      <rc t="1" v="6621"/>
    </bk>
    <bk>
      <rc t="1" v="6622"/>
    </bk>
    <bk>
      <rc t="1" v="6623"/>
    </bk>
    <bk>
      <rc t="1" v="6624"/>
    </bk>
    <bk>
      <rc t="1" v="6625"/>
    </bk>
    <bk>
      <rc t="1" v="6626"/>
    </bk>
    <bk>
      <rc t="1" v="6627"/>
    </bk>
    <bk>
      <rc t="1" v="6628"/>
    </bk>
    <bk>
      <rc t="1" v="6629"/>
    </bk>
    <bk>
      <rc t="1" v="6630"/>
    </bk>
    <bk>
      <rc t="1" v="6631"/>
    </bk>
    <bk>
      <rc t="1" v="6632"/>
    </bk>
    <bk>
      <rc t="1" v="6633"/>
    </bk>
    <bk>
      <rc t="1" v="6634"/>
    </bk>
    <bk>
      <rc t="1" v="6635"/>
    </bk>
    <bk>
      <rc t="1" v="6636"/>
    </bk>
    <bk>
      <rc t="1" v="6637"/>
    </bk>
    <bk>
      <rc t="1" v="6638"/>
    </bk>
    <bk>
      <rc t="1" v="6639"/>
    </bk>
    <bk>
      <rc t="1" v="6640"/>
    </bk>
    <bk>
      <rc t="1" v="6641"/>
    </bk>
    <bk>
      <rc t="1" v="6642"/>
    </bk>
    <bk>
      <rc t="1" v="6643"/>
    </bk>
    <bk>
      <rc t="1" v="6644"/>
    </bk>
    <bk>
      <rc t="1" v="6645"/>
    </bk>
    <bk>
      <rc t="1" v="6646"/>
    </bk>
    <bk>
      <rc t="1" v="6647"/>
    </bk>
    <bk>
      <rc t="1" v="6648"/>
    </bk>
    <bk>
      <rc t="1" v="6649"/>
    </bk>
    <bk>
      <rc t="1" v="6650"/>
    </bk>
    <bk>
      <rc t="1" v="6651"/>
    </bk>
    <bk>
      <rc t="1" v="6652"/>
    </bk>
    <bk>
      <rc t="1" v="6653"/>
    </bk>
    <bk>
      <rc t="1" v="6654"/>
    </bk>
    <bk>
      <rc t="1" v="6655"/>
    </bk>
    <bk>
      <rc t="1" v="6656"/>
    </bk>
    <bk>
      <rc t="1" v="6657"/>
    </bk>
    <bk>
      <rc t="1" v="6658"/>
    </bk>
    <bk>
      <rc t="1" v="6659"/>
    </bk>
    <bk>
      <rc t="1" v="6660"/>
    </bk>
    <bk>
      <rc t="1" v="6661"/>
    </bk>
    <bk>
      <rc t="1" v="6662"/>
    </bk>
    <bk>
      <rc t="1" v="6663"/>
    </bk>
    <bk>
      <rc t="1" v="6664"/>
    </bk>
    <bk>
      <rc t="1" v="6665"/>
    </bk>
    <bk>
      <rc t="1" v="6666"/>
    </bk>
    <bk>
      <rc t="1" v="6667"/>
    </bk>
    <bk>
      <rc t="1" v="6668"/>
    </bk>
    <bk>
      <rc t="1" v="6669"/>
    </bk>
    <bk>
      <rc t="1" v="6670"/>
    </bk>
    <bk>
      <rc t="1" v="6671"/>
    </bk>
    <bk>
      <rc t="1" v="6672"/>
    </bk>
    <bk>
      <rc t="1" v="6673"/>
    </bk>
    <bk>
      <rc t="1" v="6674"/>
    </bk>
    <bk>
      <rc t="1" v="6675"/>
    </bk>
    <bk>
      <rc t="1" v="6676"/>
    </bk>
    <bk>
      <rc t="1" v="6677"/>
    </bk>
    <bk>
      <rc t="1" v="6678"/>
    </bk>
    <bk>
      <rc t="1" v="6679"/>
    </bk>
    <bk>
      <rc t="1" v="6680"/>
    </bk>
    <bk>
      <rc t="1" v="6681"/>
    </bk>
    <bk>
      <rc t="1" v="6682"/>
    </bk>
    <bk>
      <rc t="1" v="6683"/>
    </bk>
    <bk>
      <rc t="1" v="6684"/>
    </bk>
    <bk>
      <rc t="1" v="6685"/>
    </bk>
    <bk>
      <rc t="1" v="6686"/>
    </bk>
    <bk>
      <rc t="1" v="6687"/>
    </bk>
    <bk>
      <rc t="1" v="6688"/>
    </bk>
    <bk>
      <rc t="1" v="6689"/>
    </bk>
    <bk>
      <rc t="1" v="6690"/>
    </bk>
    <bk>
      <rc t="1" v="6691"/>
    </bk>
    <bk>
      <rc t="1" v="6692"/>
    </bk>
    <bk>
      <rc t="1" v="6693"/>
    </bk>
    <bk>
      <rc t="1" v="6694"/>
    </bk>
    <bk>
      <rc t="1" v="6695"/>
    </bk>
    <bk>
      <rc t="1" v="6696"/>
    </bk>
    <bk>
      <rc t="1" v="6697"/>
    </bk>
    <bk>
      <rc t="1" v="6698"/>
    </bk>
    <bk>
      <rc t="1" v="6699"/>
    </bk>
    <bk>
      <rc t="1" v="6700"/>
    </bk>
    <bk>
      <rc t="1" v="6701"/>
    </bk>
    <bk>
      <rc t="1" v="6702"/>
    </bk>
    <bk>
      <rc t="1" v="6703"/>
    </bk>
    <bk>
      <rc t="1" v="6704"/>
    </bk>
    <bk>
      <rc t="1" v="6705"/>
    </bk>
    <bk>
      <rc t="1" v="6706"/>
    </bk>
    <bk>
      <rc t="1" v="6707"/>
    </bk>
    <bk>
      <rc t="1" v="6708"/>
    </bk>
    <bk>
      <rc t="1" v="6709"/>
    </bk>
    <bk>
      <rc t="1" v="6710"/>
    </bk>
    <bk>
      <rc t="1" v="6711"/>
    </bk>
    <bk>
      <rc t="1" v="6712"/>
    </bk>
    <bk>
      <rc t="1" v="6713"/>
    </bk>
    <bk>
      <rc t="1" v="6714"/>
    </bk>
    <bk>
      <rc t="1" v="6715"/>
    </bk>
    <bk>
      <rc t="1" v="6716"/>
    </bk>
    <bk>
      <rc t="1" v="6717"/>
    </bk>
    <bk>
      <rc t="1" v="6718"/>
    </bk>
    <bk>
      <rc t="1" v="6719"/>
    </bk>
    <bk>
      <rc t="1" v="6720"/>
    </bk>
    <bk>
      <rc t="1" v="6721"/>
    </bk>
    <bk>
      <rc t="1" v="6722"/>
    </bk>
    <bk>
      <rc t="1" v="6723"/>
    </bk>
    <bk>
      <rc t="1" v="6724"/>
    </bk>
    <bk>
      <rc t="1" v="6725"/>
    </bk>
    <bk>
      <rc t="1" v="6726"/>
    </bk>
    <bk>
      <rc t="1" v="6727"/>
    </bk>
    <bk>
      <rc t="1" v="6728"/>
    </bk>
    <bk>
      <rc t="1" v="6729"/>
    </bk>
    <bk>
      <rc t="1" v="6730"/>
    </bk>
    <bk>
      <rc t="1" v="6731"/>
    </bk>
    <bk>
      <rc t="1" v="6732"/>
    </bk>
    <bk>
      <rc t="1" v="6733"/>
    </bk>
    <bk>
      <rc t="1" v="6734"/>
    </bk>
    <bk>
      <rc t="1" v="6735"/>
    </bk>
    <bk>
      <rc t="1" v="6736"/>
    </bk>
    <bk>
      <rc t="1" v="6737"/>
    </bk>
    <bk>
      <rc t="1" v="6738"/>
    </bk>
    <bk>
      <rc t="1" v="6739"/>
    </bk>
    <bk>
      <rc t="1" v="6740"/>
    </bk>
    <bk>
      <rc t="1" v="6741"/>
    </bk>
    <bk>
      <rc t="1" v="6742"/>
    </bk>
    <bk>
      <rc t="1" v="6743"/>
    </bk>
    <bk>
      <rc t="1" v="6744"/>
    </bk>
    <bk>
      <rc t="1" v="6745"/>
    </bk>
    <bk>
      <rc t="1" v="6746"/>
    </bk>
    <bk>
      <rc t="1" v="6747"/>
    </bk>
    <bk>
      <rc t="1" v="6748"/>
    </bk>
    <bk>
      <rc t="1" v="6749"/>
    </bk>
    <bk>
      <rc t="1" v="6750"/>
    </bk>
    <bk>
      <rc t="1" v="6751"/>
    </bk>
    <bk>
      <rc t="1" v="6752"/>
    </bk>
    <bk>
      <rc t="1" v="6753"/>
    </bk>
    <bk>
      <rc t="1" v="6754"/>
    </bk>
    <bk>
      <rc t="1" v="6755"/>
    </bk>
    <bk>
      <rc t="1" v="6756"/>
    </bk>
    <bk>
      <rc t="1" v="6757"/>
    </bk>
    <bk>
      <rc t="1" v="6758"/>
    </bk>
    <bk>
      <rc t="1" v="6759"/>
    </bk>
    <bk>
      <rc t="1" v="6760"/>
    </bk>
    <bk>
      <rc t="1" v="6761"/>
    </bk>
    <bk>
      <rc t="1" v="6762"/>
    </bk>
    <bk>
      <rc t="1" v="6763"/>
    </bk>
    <bk>
      <rc t="1" v="6764"/>
    </bk>
    <bk>
      <rc t="1" v="6765"/>
    </bk>
    <bk>
      <rc t="1" v="6766"/>
    </bk>
    <bk>
      <rc t="1" v="6767"/>
    </bk>
    <bk>
      <rc t="1" v="6768"/>
    </bk>
    <bk>
      <rc t="1" v="6769"/>
    </bk>
    <bk>
      <rc t="1" v="6770"/>
    </bk>
    <bk>
      <rc t="1" v="6771"/>
    </bk>
    <bk>
      <rc t="1" v="6772"/>
    </bk>
    <bk>
      <rc t="1" v="6773"/>
    </bk>
    <bk>
      <rc t="1" v="6774"/>
    </bk>
    <bk>
      <rc t="1" v="6775"/>
    </bk>
    <bk>
      <rc t="1" v="6776"/>
    </bk>
    <bk>
      <rc t="1" v="6777"/>
    </bk>
    <bk>
      <rc t="1" v="6778"/>
    </bk>
    <bk>
      <rc t="1" v="6779"/>
    </bk>
    <bk>
      <rc t="1" v="6780"/>
    </bk>
    <bk>
      <rc t="1" v="6781"/>
    </bk>
    <bk>
      <rc t="1" v="6782"/>
    </bk>
    <bk>
      <rc t="1" v="6783"/>
    </bk>
    <bk>
      <rc t="1" v="6784"/>
    </bk>
    <bk>
      <rc t="1" v="6785"/>
    </bk>
    <bk>
      <rc t="1" v="6786"/>
    </bk>
    <bk>
      <rc t="1" v="6787"/>
    </bk>
    <bk>
      <rc t="1" v="6788"/>
    </bk>
    <bk>
      <rc t="1" v="6789"/>
    </bk>
    <bk>
      <rc t="1" v="6790"/>
    </bk>
    <bk>
      <rc t="1" v="6791"/>
    </bk>
    <bk>
      <rc t="1" v="6792"/>
    </bk>
    <bk>
      <rc t="1" v="6793"/>
    </bk>
    <bk>
      <rc t="1" v="6794"/>
    </bk>
    <bk>
      <rc t="1" v="6795"/>
    </bk>
    <bk>
      <rc t="1" v="6796"/>
    </bk>
    <bk>
      <rc t="1" v="6797"/>
    </bk>
    <bk>
      <rc t="1" v="6798"/>
    </bk>
    <bk>
      <rc t="1" v="6799"/>
    </bk>
    <bk>
      <rc t="1" v="6800"/>
    </bk>
    <bk>
      <rc t="1" v="6801"/>
    </bk>
    <bk>
      <rc t="1" v="6802"/>
    </bk>
    <bk>
      <rc t="1" v="6803"/>
    </bk>
    <bk>
      <rc t="1" v="6804"/>
    </bk>
    <bk>
      <rc t="1" v="6805"/>
    </bk>
    <bk>
      <rc t="1" v="6806"/>
    </bk>
    <bk>
      <rc t="1" v="6807"/>
    </bk>
    <bk>
      <rc t="1" v="6808"/>
    </bk>
    <bk>
      <rc t="1" v="6809"/>
    </bk>
    <bk>
      <rc t="1" v="6810"/>
    </bk>
    <bk>
      <rc t="1" v="6811"/>
    </bk>
    <bk>
      <rc t="1" v="6812"/>
    </bk>
    <bk>
      <rc t="1" v="6813"/>
    </bk>
    <bk>
      <rc t="1" v="6814"/>
    </bk>
    <bk>
      <rc t="1" v="6815"/>
    </bk>
    <bk>
      <rc t="1" v="6816"/>
    </bk>
    <bk>
      <rc t="1" v="6817"/>
    </bk>
    <bk>
      <rc t="1" v="6818"/>
    </bk>
    <bk>
      <rc t="1" v="6819"/>
    </bk>
    <bk>
      <rc t="1" v="6820"/>
    </bk>
    <bk>
      <rc t="1" v="6821"/>
    </bk>
    <bk>
      <rc t="1" v="6822"/>
    </bk>
    <bk>
      <rc t="1" v="6823"/>
    </bk>
    <bk>
      <rc t="1" v="6824"/>
    </bk>
    <bk>
      <rc t="1" v="6825"/>
    </bk>
    <bk>
      <rc t="1" v="6826"/>
    </bk>
    <bk>
      <rc t="1" v="6827"/>
    </bk>
    <bk>
      <rc t="1" v="6828"/>
    </bk>
    <bk>
      <rc t="1" v="6829"/>
    </bk>
    <bk>
      <rc t="1" v="6830"/>
    </bk>
    <bk>
      <rc t="1" v="6831"/>
    </bk>
    <bk>
      <rc t="1" v="6832"/>
    </bk>
    <bk>
      <rc t="1" v="6833"/>
    </bk>
    <bk>
      <rc t="1" v="6834"/>
    </bk>
    <bk>
      <rc t="1" v="6835"/>
    </bk>
    <bk>
      <rc t="1" v="6836"/>
    </bk>
    <bk>
      <rc t="1" v="6837"/>
    </bk>
    <bk>
      <rc t="1" v="6838"/>
    </bk>
    <bk>
      <rc t="1" v="6839"/>
    </bk>
    <bk>
      <rc t="1" v="6840"/>
    </bk>
    <bk>
      <rc t="1" v="6841"/>
    </bk>
    <bk>
      <rc t="1" v="6842"/>
    </bk>
    <bk>
      <rc t="1" v="6843"/>
    </bk>
    <bk>
      <rc t="1" v="6844"/>
    </bk>
    <bk>
      <rc t="1" v="6845"/>
    </bk>
    <bk>
      <rc t="1" v="6846"/>
    </bk>
    <bk>
      <rc t="1" v="6847"/>
    </bk>
    <bk>
      <rc t="1" v="6848"/>
    </bk>
    <bk>
      <rc t="1" v="6849"/>
    </bk>
    <bk>
      <rc t="1" v="6850"/>
    </bk>
    <bk>
      <rc t="1" v="6851"/>
    </bk>
    <bk>
      <rc t="1" v="6852"/>
    </bk>
    <bk>
      <rc t="1" v="6853"/>
    </bk>
    <bk>
      <rc t="1" v="6854"/>
    </bk>
    <bk>
      <rc t="1" v="6855"/>
    </bk>
    <bk>
      <rc t="1" v="6856"/>
    </bk>
    <bk>
      <rc t="1" v="6857"/>
    </bk>
    <bk>
      <rc t="1" v="6858"/>
    </bk>
    <bk>
      <rc t="1" v="6859"/>
    </bk>
    <bk>
      <rc t="1" v="6860"/>
    </bk>
    <bk>
      <rc t="1" v="6861"/>
    </bk>
    <bk>
      <rc t="1" v="6862"/>
    </bk>
    <bk>
      <rc t="1" v="6863"/>
    </bk>
    <bk>
      <rc t="1" v="6864"/>
    </bk>
    <bk>
      <rc t="1" v="6865"/>
    </bk>
    <bk>
      <rc t="1" v="6866"/>
    </bk>
    <bk>
      <rc t="1" v="6867"/>
    </bk>
    <bk>
      <rc t="1" v="6868"/>
    </bk>
    <bk>
      <rc t="1" v="6869"/>
    </bk>
    <bk>
      <rc t="1" v="6870"/>
    </bk>
    <bk>
      <rc t="1" v="6871"/>
    </bk>
    <bk>
      <rc t="1" v="6872"/>
    </bk>
    <bk>
      <rc t="1" v="6873"/>
    </bk>
    <bk>
      <rc t="1" v="6874"/>
    </bk>
    <bk>
      <rc t="1" v="6875"/>
    </bk>
    <bk>
      <rc t="1" v="6876"/>
    </bk>
    <bk>
      <rc t="1" v="6877"/>
    </bk>
    <bk>
      <rc t="1" v="6878"/>
    </bk>
    <bk>
      <rc t="1" v="6879"/>
    </bk>
    <bk>
      <rc t="1" v="6880"/>
    </bk>
    <bk>
      <rc t="1" v="6881"/>
    </bk>
    <bk>
      <rc t="1" v="6882"/>
    </bk>
    <bk>
      <rc t="1" v="6883"/>
    </bk>
    <bk>
      <rc t="1" v="6884"/>
    </bk>
    <bk>
      <rc t="1" v="6885"/>
    </bk>
    <bk>
      <rc t="1" v="6886"/>
    </bk>
    <bk>
      <rc t="1" v="6887"/>
    </bk>
    <bk>
      <rc t="1" v="6888"/>
    </bk>
    <bk>
      <rc t="1" v="6889"/>
    </bk>
    <bk>
      <rc t="1" v="6890"/>
    </bk>
    <bk>
      <rc t="1" v="6891"/>
    </bk>
    <bk>
      <rc t="1" v="6892"/>
    </bk>
    <bk>
      <rc t="1" v="6893"/>
    </bk>
    <bk>
      <rc t="1" v="6894"/>
    </bk>
    <bk>
      <rc t="1" v="6895"/>
    </bk>
    <bk>
      <rc t="1" v="6896"/>
    </bk>
    <bk>
      <rc t="1" v="6897"/>
    </bk>
    <bk>
      <rc t="1" v="6898"/>
    </bk>
    <bk>
      <rc t="1" v="6899"/>
    </bk>
    <bk>
      <rc t="1" v="6900"/>
    </bk>
    <bk>
      <rc t="1" v="6901"/>
    </bk>
    <bk>
      <rc t="1" v="6902"/>
    </bk>
    <bk>
      <rc t="1" v="6903"/>
    </bk>
    <bk>
      <rc t="1" v="6904"/>
    </bk>
    <bk>
      <rc t="1" v="6905"/>
    </bk>
    <bk>
      <rc t="1" v="6906"/>
    </bk>
    <bk>
      <rc t="1" v="6907"/>
    </bk>
    <bk>
      <rc t="1" v="6908"/>
    </bk>
    <bk>
      <rc t="1" v="6909"/>
    </bk>
    <bk>
      <rc t="1" v="6910"/>
    </bk>
    <bk>
      <rc t="1" v="6911"/>
    </bk>
    <bk>
      <rc t="1" v="6912"/>
    </bk>
    <bk>
      <rc t="1" v="6913"/>
    </bk>
    <bk>
      <rc t="1" v="6914"/>
    </bk>
    <bk>
      <rc t="1" v="6915"/>
    </bk>
    <bk>
      <rc t="1" v="6916"/>
    </bk>
    <bk>
      <rc t="1" v="6917"/>
    </bk>
    <bk>
      <rc t="1" v="6918"/>
    </bk>
    <bk>
      <rc t="1" v="6919"/>
    </bk>
    <bk>
      <rc t="1" v="6920"/>
    </bk>
    <bk>
      <rc t="1" v="6921"/>
    </bk>
    <bk>
      <rc t="1" v="6922"/>
    </bk>
    <bk>
      <rc t="1" v="6923"/>
    </bk>
    <bk>
      <rc t="1" v="6924"/>
    </bk>
    <bk>
      <rc t="1" v="6925"/>
    </bk>
    <bk>
      <rc t="1" v="6926"/>
    </bk>
    <bk>
      <rc t="1" v="6927"/>
    </bk>
    <bk>
      <rc t="1" v="6928"/>
    </bk>
    <bk>
      <rc t="1" v="6929"/>
    </bk>
    <bk>
      <rc t="1" v="6930"/>
    </bk>
    <bk>
      <rc t="1" v="6931"/>
    </bk>
    <bk>
      <rc t="1" v="6932"/>
    </bk>
    <bk>
      <rc t="1" v="6933"/>
    </bk>
    <bk>
      <rc t="1" v="6934"/>
    </bk>
    <bk>
      <rc t="1" v="6935"/>
    </bk>
    <bk>
      <rc t="1" v="6936"/>
    </bk>
    <bk>
      <rc t="1" v="6937"/>
    </bk>
    <bk>
      <rc t="1" v="6938"/>
    </bk>
    <bk>
      <rc t="1" v="6939"/>
    </bk>
    <bk>
      <rc t="1" v="6940"/>
    </bk>
    <bk>
      <rc t="1" v="6941"/>
    </bk>
    <bk>
      <rc t="1" v="6942"/>
    </bk>
    <bk>
      <rc t="1" v="6943"/>
    </bk>
    <bk>
      <rc t="1" v="6944"/>
    </bk>
    <bk>
      <rc t="1" v="6945"/>
    </bk>
    <bk>
      <rc t="1" v="6946"/>
    </bk>
    <bk>
      <rc t="1" v="6947"/>
    </bk>
    <bk>
      <rc t="1" v="6948"/>
    </bk>
    <bk>
      <rc t="1" v="6949"/>
    </bk>
    <bk>
      <rc t="1" v="6950"/>
    </bk>
    <bk>
      <rc t="1" v="6951"/>
    </bk>
    <bk>
      <rc t="1" v="6952"/>
    </bk>
    <bk>
      <rc t="1" v="6953"/>
    </bk>
    <bk>
      <rc t="1" v="6954"/>
    </bk>
    <bk>
      <rc t="1" v="6955"/>
    </bk>
    <bk>
      <rc t="1" v="6956"/>
    </bk>
    <bk>
      <rc t="1" v="6957"/>
    </bk>
    <bk>
      <rc t="1" v="6958"/>
    </bk>
    <bk>
      <rc t="1" v="6959"/>
    </bk>
    <bk>
      <rc t="1" v="6960"/>
    </bk>
    <bk>
      <rc t="1" v="6961"/>
    </bk>
    <bk>
      <rc t="1" v="6962"/>
    </bk>
    <bk>
      <rc t="1" v="6963"/>
    </bk>
    <bk>
      <rc t="1" v="6964"/>
    </bk>
    <bk>
      <rc t="1" v="6965"/>
    </bk>
    <bk>
      <rc t="1" v="6966"/>
    </bk>
    <bk>
      <rc t="1" v="6967"/>
    </bk>
    <bk>
      <rc t="1" v="6968"/>
    </bk>
    <bk>
      <rc t="1" v="6969"/>
    </bk>
    <bk>
      <rc t="1" v="6970"/>
    </bk>
    <bk>
      <rc t="1" v="6971"/>
    </bk>
    <bk>
      <rc t="1" v="6972"/>
    </bk>
    <bk>
      <rc t="1" v="6973"/>
    </bk>
    <bk>
      <rc t="1" v="6974"/>
    </bk>
    <bk>
      <rc t="1" v="6975"/>
    </bk>
    <bk>
      <rc t="1" v="6976"/>
    </bk>
    <bk>
      <rc t="1" v="6977"/>
    </bk>
    <bk>
      <rc t="1" v="6978"/>
    </bk>
    <bk>
      <rc t="1" v="6979"/>
    </bk>
    <bk>
      <rc t="1" v="6980"/>
    </bk>
    <bk>
      <rc t="1" v="6981"/>
    </bk>
    <bk>
      <rc t="1" v="6982"/>
    </bk>
    <bk>
      <rc t="1" v="6983"/>
    </bk>
    <bk>
      <rc t="1" v="6984"/>
    </bk>
    <bk>
      <rc t="1" v="6985"/>
    </bk>
    <bk>
      <rc t="1" v="6986"/>
    </bk>
    <bk>
      <rc t="1" v="6987"/>
    </bk>
    <bk>
      <rc t="1" v="6988"/>
    </bk>
    <bk>
      <rc t="1" v="6989"/>
    </bk>
    <bk>
      <rc t="1" v="6990"/>
    </bk>
    <bk>
      <rc t="1" v="6991"/>
    </bk>
    <bk>
      <rc t="1" v="6992"/>
    </bk>
    <bk>
      <rc t="1" v="6993"/>
    </bk>
    <bk>
      <rc t="1" v="6994"/>
    </bk>
    <bk>
      <rc t="1" v="6995"/>
    </bk>
    <bk>
      <rc t="1" v="6996"/>
    </bk>
    <bk>
      <rc t="1" v="6997"/>
    </bk>
    <bk>
      <rc t="1" v="6998"/>
    </bk>
    <bk>
      <rc t="1" v="6999"/>
    </bk>
    <bk>
      <rc t="1" v="7000"/>
    </bk>
    <bk>
      <rc t="1" v="7001"/>
    </bk>
    <bk>
      <rc t="1" v="7002"/>
    </bk>
    <bk>
      <rc t="1" v="7003"/>
    </bk>
    <bk>
      <rc t="1" v="7004"/>
    </bk>
    <bk>
      <rc t="1" v="7005"/>
    </bk>
    <bk>
      <rc t="1" v="7006"/>
    </bk>
    <bk>
      <rc t="1" v="7007"/>
    </bk>
    <bk>
      <rc t="1" v="7008"/>
    </bk>
    <bk>
      <rc t="1" v="7009"/>
    </bk>
    <bk>
      <rc t="1" v="7010"/>
    </bk>
    <bk>
      <rc t="1" v="7011"/>
    </bk>
    <bk>
      <rc t="1" v="7012"/>
    </bk>
    <bk>
      <rc t="1" v="7013"/>
    </bk>
    <bk>
      <rc t="1" v="7014"/>
    </bk>
    <bk>
      <rc t="1" v="7015"/>
    </bk>
    <bk>
      <rc t="1" v="7016"/>
    </bk>
    <bk>
      <rc t="1" v="7017"/>
    </bk>
    <bk>
      <rc t="1" v="7018"/>
    </bk>
    <bk>
      <rc t="1" v="7019"/>
    </bk>
    <bk>
      <rc t="1" v="7020"/>
    </bk>
    <bk>
      <rc t="1" v="7021"/>
    </bk>
    <bk>
      <rc t="1" v="7022"/>
    </bk>
    <bk>
      <rc t="1" v="7023"/>
    </bk>
    <bk>
      <rc t="1" v="7024"/>
    </bk>
    <bk>
      <rc t="1" v="7025"/>
    </bk>
    <bk>
      <rc t="1" v="7026"/>
    </bk>
    <bk>
      <rc t="1" v="7027"/>
    </bk>
    <bk>
      <rc t="1" v="7028"/>
    </bk>
    <bk>
      <rc t="1" v="7029"/>
    </bk>
    <bk>
      <rc t="1" v="7030"/>
    </bk>
    <bk>
      <rc t="1" v="7031"/>
    </bk>
    <bk>
      <rc t="1" v="7032"/>
    </bk>
    <bk>
      <rc t="1" v="7033"/>
    </bk>
    <bk>
      <rc t="1" v="7034"/>
    </bk>
    <bk>
      <rc t="1" v="7035"/>
    </bk>
    <bk>
      <rc t="1" v="7036"/>
    </bk>
    <bk>
      <rc t="1" v="7037"/>
    </bk>
    <bk>
      <rc t="1" v="7038"/>
    </bk>
    <bk>
      <rc t="1" v="7039"/>
    </bk>
    <bk>
      <rc t="1" v="7040"/>
    </bk>
    <bk>
      <rc t="1" v="7041"/>
    </bk>
    <bk>
      <rc t="1" v="7042"/>
    </bk>
    <bk>
      <rc t="1" v="7043"/>
    </bk>
    <bk>
      <rc t="1" v="7044"/>
    </bk>
    <bk>
      <rc t="1" v="7045"/>
    </bk>
    <bk>
      <rc t="1" v="7046"/>
    </bk>
    <bk>
      <rc t="1" v="7047"/>
    </bk>
    <bk>
      <rc t="1" v="7048"/>
    </bk>
    <bk>
      <rc t="1" v="7049"/>
    </bk>
    <bk>
      <rc t="1" v="7050"/>
    </bk>
    <bk>
      <rc t="1" v="7051"/>
    </bk>
    <bk>
      <rc t="1" v="7052"/>
    </bk>
    <bk>
      <rc t="1" v="7053"/>
    </bk>
    <bk>
      <rc t="1" v="7054"/>
    </bk>
    <bk>
      <rc t="1" v="7055"/>
    </bk>
    <bk>
      <rc t="1" v="7056"/>
    </bk>
    <bk>
      <rc t="1" v="7057"/>
    </bk>
    <bk>
      <rc t="1" v="7058"/>
    </bk>
    <bk>
      <rc t="1" v="7059"/>
    </bk>
    <bk>
      <rc t="1" v="7060"/>
    </bk>
    <bk>
      <rc t="1" v="7061"/>
    </bk>
    <bk>
      <rc t="1" v="7062"/>
    </bk>
    <bk>
      <rc t="1" v="7063"/>
    </bk>
    <bk>
      <rc t="1" v="7064"/>
    </bk>
    <bk>
      <rc t="1" v="7065"/>
    </bk>
    <bk>
      <rc t="1" v="7066"/>
    </bk>
    <bk>
      <rc t="1" v="7067"/>
    </bk>
    <bk>
      <rc t="1" v="7068"/>
    </bk>
    <bk>
      <rc t="1" v="7069"/>
    </bk>
    <bk>
      <rc t="1" v="7070"/>
    </bk>
    <bk>
      <rc t="1" v="7071"/>
    </bk>
    <bk>
      <rc t="1" v="7072"/>
    </bk>
    <bk>
      <rc t="1" v="7073"/>
    </bk>
    <bk>
      <rc t="1" v="7074"/>
    </bk>
    <bk>
      <rc t="1" v="7075"/>
    </bk>
    <bk>
      <rc t="1" v="7076"/>
    </bk>
    <bk>
      <rc t="1" v="7077"/>
    </bk>
    <bk>
      <rc t="1" v="7078"/>
    </bk>
    <bk>
      <rc t="1" v="7079"/>
    </bk>
    <bk>
      <rc t="1" v="7080"/>
    </bk>
    <bk>
      <rc t="1" v="7081"/>
    </bk>
    <bk>
      <rc t="1" v="7082"/>
    </bk>
    <bk>
      <rc t="1" v="7083"/>
    </bk>
    <bk>
      <rc t="1" v="7084"/>
    </bk>
    <bk>
      <rc t="1" v="7085"/>
    </bk>
    <bk>
      <rc t="1" v="7086"/>
    </bk>
    <bk>
      <rc t="1" v="7087"/>
    </bk>
    <bk>
      <rc t="1" v="7088"/>
    </bk>
    <bk>
      <rc t="1" v="7089"/>
    </bk>
    <bk>
      <rc t="1" v="7090"/>
    </bk>
    <bk>
      <rc t="1" v="7091"/>
    </bk>
    <bk>
      <rc t="1" v="7092"/>
    </bk>
    <bk>
      <rc t="1" v="7093"/>
    </bk>
    <bk>
      <rc t="1" v="7094"/>
    </bk>
    <bk>
      <rc t="1" v="7095"/>
    </bk>
    <bk>
      <rc t="1" v="7096"/>
    </bk>
    <bk>
      <rc t="1" v="7097"/>
    </bk>
    <bk>
      <rc t="1" v="7098"/>
    </bk>
    <bk>
      <rc t="1" v="7099"/>
    </bk>
    <bk>
      <rc t="1" v="7100"/>
    </bk>
    <bk>
      <rc t="1" v="7101"/>
    </bk>
    <bk>
      <rc t="1" v="7102"/>
    </bk>
    <bk>
      <rc t="1" v="7103"/>
    </bk>
    <bk>
      <rc t="1" v="7104"/>
    </bk>
    <bk>
      <rc t="1" v="7105"/>
    </bk>
    <bk>
      <rc t="1" v="7106"/>
    </bk>
    <bk>
      <rc t="1" v="7107"/>
    </bk>
    <bk>
      <rc t="1" v="7108"/>
    </bk>
    <bk>
      <rc t="1" v="7109"/>
    </bk>
    <bk>
      <rc t="1" v="7110"/>
    </bk>
    <bk>
      <rc t="1" v="7111"/>
    </bk>
    <bk>
      <rc t="1" v="7112"/>
    </bk>
    <bk>
      <rc t="1" v="7113"/>
    </bk>
    <bk>
      <rc t="1" v="7114"/>
    </bk>
    <bk>
      <rc t="1" v="7115"/>
    </bk>
    <bk>
      <rc t="1" v="7116"/>
    </bk>
    <bk>
      <rc t="1" v="7117"/>
    </bk>
    <bk>
      <rc t="1" v="7118"/>
    </bk>
    <bk>
      <rc t="1" v="7119"/>
    </bk>
    <bk>
      <rc t="1" v="7120"/>
    </bk>
    <bk>
      <rc t="1" v="7121"/>
    </bk>
    <bk>
      <rc t="1" v="7122"/>
    </bk>
    <bk>
      <rc t="1" v="7123"/>
    </bk>
    <bk>
      <rc t="1" v="7124"/>
    </bk>
    <bk>
      <rc t="1" v="7125"/>
    </bk>
    <bk>
      <rc t="1" v="7126"/>
    </bk>
    <bk>
      <rc t="1" v="7127"/>
    </bk>
    <bk>
      <rc t="1" v="7128"/>
    </bk>
    <bk>
      <rc t="1" v="7129"/>
    </bk>
    <bk>
      <rc t="1" v="7130"/>
    </bk>
    <bk>
      <rc t="1" v="7131"/>
    </bk>
    <bk>
      <rc t="1" v="7132"/>
    </bk>
    <bk>
      <rc t="1" v="7133"/>
    </bk>
    <bk>
      <rc t="1" v="7134"/>
    </bk>
    <bk>
      <rc t="1" v="7135"/>
    </bk>
    <bk>
      <rc t="1" v="7136"/>
    </bk>
    <bk>
      <rc t="1" v="7137"/>
    </bk>
    <bk>
      <rc t="1" v="7138"/>
    </bk>
    <bk>
      <rc t="1" v="7139"/>
    </bk>
    <bk>
      <rc t="1" v="7140"/>
    </bk>
    <bk>
      <rc t="1" v="7141"/>
    </bk>
    <bk>
      <rc t="1" v="7142"/>
    </bk>
    <bk>
      <rc t="1" v="7143"/>
    </bk>
    <bk>
      <rc t="1" v="7144"/>
    </bk>
    <bk>
      <rc t="1" v="7145"/>
    </bk>
    <bk>
      <rc t="1" v="7146"/>
    </bk>
    <bk>
      <rc t="1" v="7147"/>
    </bk>
    <bk>
      <rc t="1" v="7148"/>
    </bk>
    <bk>
      <rc t="1" v="7149"/>
    </bk>
    <bk>
      <rc t="1" v="7150"/>
    </bk>
    <bk>
      <rc t="1" v="7151"/>
    </bk>
    <bk>
      <rc t="1" v="7152"/>
    </bk>
    <bk>
      <rc t="1" v="7153"/>
    </bk>
    <bk>
      <rc t="1" v="7154"/>
    </bk>
    <bk>
      <rc t="1" v="7155"/>
    </bk>
    <bk>
      <rc t="1" v="7156"/>
    </bk>
    <bk>
      <rc t="1" v="7157"/>
    </bk>
    <bk>
      <rc t="1" v="7158"/>
    </bk>
    <bk>
      <rc t="1" v="7159"/>
    </bk>
    <bk>
      <rc t="1" v="7160"/>
    </bk>
    <bk>
      <rc t="1" v="7161"/>
    </bk>
    <bk>
      <rc t="1" v="7162"/>
    </bk>
    <bk>
      <rc t="1" v="7163"/>
    </bk>
    <bk>
      <rc t="1" v="7164"/>
    </bk>
    <bk>
      <rc t="1" v="7165"/>
    </bk>
    <bk>
      <rc t="1" v="7166"/>
    </bk>
    <bk>
      <rc t="1" v="7167"/>
    </bk>
    <bk>
      <rc t="1" v="7168"/>
    </bk>
    <bk>
      <rc t="1" v="7169"/>
    </bk>
    <bk>
      <rc t="1" v="7170"/>
    </bk>
    <bk>
      <rc t="1" v="7171"/>
    </bk>
    <bk>
      <rc t="1" v="7172"/>
    </bk>
    <bk>
      <rc t="1" v="7173"/>
    </bk>
    <bk>
      <rc t="1" v="7174"/>
    </bk>
    <bk>
      <rc t="1" v="7175"/>
    </bk>
    <bk>
      <rc t="1" v="7176"/>
    </bk>
    <bk>
      <rc t="1" v="7177"/>
    </bk>
    <bk>
      <rc t="1" v="7178"/>
    </bk>
    <bk>
      <rc t="1" v="7179"/>
    </bk>
    <bk>
      <rc t="1" v="7180"/>
    </bk>
    <bk>
      <rc t="1" v="7181"/>
    </bk>
    <bk>
      <rc t="1" v="7182"/>
    </bk>
    <bk>
      <rc t="1" v="7183"/>
    </bk>
    <bk>
      <rc t="1" v="7184"/>
    </bk>
    <bk>
      <rc t="1" v="7185"/>
    </bk>
    <bk>
      <rc t="1" v="7186"/>
    </bk>
    <bk>
      <rc t="1" v="7187"/>
    </bk>
    <bk>
      <rc t="1" v="7188"/>
    </bk>
    <bk>
      <rc t="1" v="7189"/>
    </bk>
    <bk>
      <rc t="1" v="7190"/>
    </bk>
    <bk>
      <rc t="1" v="7191"/>
    </bk>
    <bk>
      <rc t="1" v="7192"/>
    </bk>
    <bk>
      <rc t="1" v="7193"/>
    </bk>
    <bk>
      <rc t="1" v="7194"/>
    </bk>
    <bk>
      <rc t="1" v="7195"/>
    </bk>
    <bk>
      <rc t="1" v="7196"/>
    </bk>
    <bk>
      <rc t="1" v="7197"/>
    </bk>
    <bk>
      <rc t="1" v="7198"/>
    </bk>
    <bk>
      <rc t="1" v="7199"/>
    </bk>
    <bk>
      <rc t="1" v="7200"/>
    </bk>
    <bk>
      <rc t="1" v="7201"/>
    </bk>
    <bk>
      <rc t="1" v="7202"/>
    </bk>
    <bk>
      <rc t="1" v="7203"/>
    </bk>
    <bk>
      <rc t="1" v="7204"/>
    </bk>
    <bk>
      <rc t="1" v="7205"/>
    </bk>
    <bk>
      <rc t="1" v="7206"/>
    </bk>
    <bk>
      <rc t="1" v="7207"/>
    </bk>
    <bk>
      <rc t="1" v="7208"/>
    </bk>
    <bk>
      <rc t="1" v="7209"/>
    </bk>
    <bk>
      <rc t="1" v="7210"/>
    </bk>
    <bk>
      <rc t="1" v="7211"/>
    </bk>
    <bk>
      <rc t="1" v="7212"/>
    </bk>
    <bk>
      <rc t="1" v="7213"/>
    </bk>
    <bk>
      <rc t="1" v="7214"/>
    </bk>
    <bk>
      <rc t="1" v="7215"/>
    </bk>
    <bk>
      <rc t="1" v="7216"/>
    </bk>
    <bk>
      <rc t="1" v="7217"/>
    </bk>
    <bk>
      <rc t="1" v="7218"/>
    </bk>
    <bk>
      <rc t="1" v="7219"/>
    </bk>
    <bk>
      <rc t="1" v="7220"/>
    </bk>
    <bk>
      <rc t="1" v="7221"/>
    </bk>
    <bk>
      <rc t="1" v="7222"/>
    </bk>
    <bk>
      <rc t="1" v="7223"/>
    </bk>
    <bk>
      <rc t="1" v="7224"/>
    </bk>
    <bk>
      <rc t="1" v="7225"/>
    </bk>
    <bk>
      <rc t="1" v="7226"/>
    </bk>
    <bk>
      <rc t="1" v="7227"/>
    </bk>
    <bk>
      <rc t="1" v="7228"/>
    </bk>
    <bk>
      <rc t="1" v="7229"/>
    </bk>
    <bk>
      <rc t="1" v="7230"/>
    </bk>
    <bk>
      <rc t="1" v="7231"/>
    </bk>
    <bk>
      <rc t="1" v="7232"/>
    </bk>
    <bk>
      <rc t="1" v="7233"/>
    </bk>
    <bk>
      <rc t="1" v="7234"/>
    </bk>
    <bk>
      <rc t="1" v="7235"/>
    </bk>
    <bk>
      <rc t="1" v="7236"/>
    </bk>
    <bk>
      <rc t="1" v="7237"/>
    </bk>
    <bk>
      <rc t="1" v="7238"/>
    </bk>
    <bk>
      <rc t="1" v="7239"/>
    </bk>
    <bk>
      <rc t="1" v="7240"/>
    </bk>
    <bk>
      <rc t="1" v="7241"/>
    </bk>
    <bk>
      <rc t="1" v="7242"/>
    </bk>
    <bk>
      <rc t="1" v="7243"/>
    </bk>
    <bk>
      <rc t="1" v="7244"/>
    </bk>
    <bk>
      <rc t="1" v="7245"/>
    </bk>
    <bk>
      <rc t="1" v="7246"/>
    </bk>
    <bk>
      <rc t="1" v="7247"/>
    </bk>
    <bk>
      <rc t="1" v="7248"/>
    </bk>
    <bk>
      <rc t="1" v="7249"/>
    </bk>
    <bk>
      <rc t="1" v="7250"/>
    </bk>
    <bk>
      <rc t="1" v="7251"/>
    </bk>
    <bk>
      <rc t="1" v="7252"/>
    </bk>
    <bk>
      <rc t="1" v="7253"/>
    </bk>
    <bk>
      <rc t="1" v="7254"/>
    </bk>
    <bk>
      <rc t="1" v="7255"/>
    </bk>
    <bk>
      <rc t="1" v="7256"/>
    </bk>
    <bk>
      <rc t="1" v="7257"/>
    </bk>
    <bk>
      <rc t="1" v="7258"/>
    </bk>
    <bk>
      <rc t="1" v="7259"/>
    </bk>
    <bk>
      <rc t="1" v="7260"/>
    </bk>
    <bk>
      <rc t="1" v="7261"/>
    </bk>
    <bk>
      <rc t="1" v="7262"/>
    </bk>
    <bk>
      <rc t="1" v="7263"/>
    </bk>
    <bk>
      <rc t="1" v="7264"/>
    </bk>
    <bk>
      <rc t="1" v="7265"/>
    </bk>
    <bk>
      <rc t="1" v="7266"/>
    </bk>
    <bk>
      <rc t="1" v="7267"/>
    </bk>
    <bk>
      <rc t="1" v="7268"/>
    </bk>
    <bk>
      <rc t="1" v="7269"/>
    </bk>
    <bk>
      <rc t="1" v="7270"/>
    </bk>
    <bk>
      <rc t="1" v="7271"/>
    </bk>
    <bk>
      <rc t="1" v="7272"/>
    </bk>
    <bk>
      <rc t="1" v="7273"/>
    </bk>
    <bk>
      <rc t="1" v="7274"/>
    </bk>
    <bk>
      <rc t="1" v="7275"/>
    </bk>
    <bk>
      <rc t="1" v="7276"/>
    </bk>
    <bk>
      <rc t="1" v="7277"/>
    </bk>
    <bk>
      <rc t="1" v="7278"/>
    </bk>
    <bk>
      <rc t="1" v="7279"/>
    </bk>
    <bk>
      <rc t="1" v="7280"/>
    </bk>
    <bk>
      <rc t="1" v="7281"/>
    </bk>
    <bk>
      <rc t="1" v="7282"/>
    </bk>
    <bk>
      <rc t="1" v="7283"/>
    </bk>
    <bk>
      <rc t="1" v="7284"/>
    </bk>
    <bk>
      <rc t="1" v="7285"/>
    </bk>
    <bk>
      <rc t="1" v="7286"/>
    </bk>
    <bk>
      <rc t="1" v="7287"/>
    </bk>
    <bk>
      <rc t="1" v="7288"/>
    </bk>
    <bk>
      <rc t="1" v="7289"/>
    </bk>
    <bk>
      <rc t="1" v="7290"/>
    </bk>
    <bk>
      <rc t="1" v="7291"/>
    </bk>
    <bk>
      <rc t="1" v="7292"/>
    </bk>
    <bk>
      <rc t="1" v="7293"/>
    </bk>
    <bk>
      <rc t="1" v="7294"/>
    </bk>
    <bk>
      <rc t="1" v="7295"/>
    </bk>
    <bk>
      <rc t="1" v="7296"/>
    </bk>
    <bk>
      <rc t="1" v="7297"/>
    </bk>
    <bk>
      <rc t="1" v="7298"/>
    </bk>
    <bk>
      <rc t="1" v="7299"/>
    </bk>
    <bk>
      <rc t="1" v="7300"/>
    </bk>
    <bk>
      <rc t="1" v="7301"/>
    </bk>
    <bk>
      <rc t="1" v="7302"/>
    </bk>
    <bk>
      <rc t="1" v="7303"/>
    </bk>
    <bk>
      <rc t="1" v="7304"/>
    </bk>
    <bk>
      <rc t="1" v="7305"/>
    </bk>
    <bk>
      <rc t="1" v="7306"/>
    </bk>
    <bk>
      <rc t="1" v="7307"/>
    </bk>
    <bk>
      <rc t="1" v="7308"/>
    </bk>
    <bk>
      <rc t="1" v="7309"/>
    </bk>
    <bk>
      <rc t="1" v="7310"/>
    </bk>
    <bk>
      <rc t="1" v="7311"/>
    </bk>
    <bk>
      <rc t="1" v="7312"/>
    </bk>
    <bk>
      <rc t="1" v="7313"/>
    </bk>
    <bk>
      <rc t="1" v="7314"/>
    </bk>
    <bk>
      <rc t="1" v="7315"/>
    </bk>
    <bk>
      <rc t="1" v="7316"/>
    </bk>
    <bk>
      <rc t="1" v="7317"/>
    </bk>
    <bk>
      <rc t="1" v="7318"/>
    </bk>
    <bk>
      <rc t="1" v="7319"/>
    </bk>
    <bk>
      <rc t="1" v="7320"/>
    </bk>
    <bk>
      <rc t="1" v="7321"/>
    </bk>
    <bk>
      <rc t="1" v="7322"/>
    </bk>
    <bk>
      <rc t="1" v="7323"/>
    </bk>
    <bk>
      <rc t="1" v="7324"/>
    </bk>
    <bk>
      <rc t="1" v="7325"/>
    </bk>
    <bk>
      <rc t="1" v="7326"/>
    </bk>
    <bk>
      <rc t="1" v="7327"/>
    </bk>
    <bk>
      <rc t="1" v="7328"/>
    </bk>
    <bk>
      <rc t="1" v="7329"/>
    </bk>
    <bk>
      <rc t="1" v="7330"/>
    </bk>
    <bk>
      <rc t="1" v="7331"/>
    </bk>
    <bk>
      <rc t="1" v="7332"/>
    </bk>
    <bk>
      <rc t="1" v="7333"/>
    </bk>
    <bk>
      <rc t="1" v="7334"/>
    </bk>
    <bk>
      <rc t="1" v="7335"/>
    </bk>
    <bk>
      <rc t="1" v="7336"/>
    </bk>
    <bk>
      <rc t="1" v="7337"/>
    </bk>
    <bk>
      <rc t="1" v="7338"/>
    </bk>
    <bk>
      <rc t="1" v="7339"/>
    </bk>
    <bk>
      <rc t="1" v="7340"/>
    </bk>
    <bk>
      <rc t="1" v="7341"/>
    </bk>
    <bk>
      <rc t="1" v="7342"/>
    </bk>
    <bk>
      <rc t="1" v="7343"/>
    </bk>
    <bk>
      <rc t="1" v="7344"/>
    </bk>
    <bk>
      <rc t="1" v="7345"/>
    </bk>
    <bk>
      <rc t="1" v="7346"/>
    </bk>
    <bk>
      <rc t="1" v="7347"/>
    </bk>
    <bk>
      <rc t="1" v="7348"/>
    </bk>
    <bk>
      <rc t="1" v="7349"/>
    </bk>
    <bk>
      <rc t="1" v="7350"/>
    </bk>
    <bk>
      <rc t="1" v="7351"/>
    </bk>
    <bk>
      <rc t="1" v="7352"/>
    </bk>
    <bk>
      <rc t="1" v="7353"/>
    </bk>
    <bk>
      <rc t="1" v="7354"/>
    </bk>
    <bk>
      <rc t="1" v="7355"/>
    </bk>
    <bk>
      <rc t="1" v="7356"/>
    </bk>
    <bk>
      <rc t="1" v="7357"/>
    </bk>
    <bk>
      <rc t="1" v="7358"/>
    </bk>
    <bk>
      <rc t="1" v="7359"/>
    </bk>
    <bk>
      <rc t="1" v="7360"/>
    </bk>
    <bk>
      <rc t="1" v="7361"/>
    </bk>
    <bk>
      <rc t="1" v="7362"/>
    </bk>
    <bk>
      <rc t="1" v="7363"/>
    </bk>
    <bk>
      <rc t="1" v="7364"/>
    </bk>
    <bk>
      <rc t="1" v="7365"/>
    </bk>
    <bk>
      <rc t="1" v="7366"/>
    </bk>
    <bk>
      <rc t="1" v="7367"/>
    </bk>
    <bk>
      <rc t="1" v="7368"/>
    </bk>
    <bk>
      <rc t="1" v="7369"/>
    </bk>
    <bk>
      <rc t="1" v="7370"/>
    </bk>
    <bk>
      <rc t="1" v="7371"/>
    </bk>
    <bk>
      <rc t="1" v="7372"/>
    </bk>
    <bk>
      <rc t="1" v="7373"/>
    </bk>
    <bk>
      <rc t="1" v="7374"/>
    </bk>
    <bk>
      <rc t="1" v="7375"/>
    </bk>
    <bk>
      <rc t="1" v="7376"/>
    </bk>
    <bk>
      <rc t="1" v="7377"/>
    </bk>
    <bk>
      <rc t="1" v="7378"/>
    </bk>
    <bk>
      <rc t="1" v="7379"/>
    </bk>
    <bk>
      <rc t="1" v="7380"/>
    </bk>
    <bk>
      <rc t="1" v="7381"/>
    </bk>
    <bk>
      <rc t="1" v="7382"/>
    </bk>
    <bk>
      <rc t="1" v="7383"/>
    </bk>
    <bk>
      <rc t="1" v="7384"/>
    </bk>
    <bk>
      <rc t="1" v="7385"/>
    </bk>
    <bk>
      <rc t="1" v="7386"/>
    </bk>
    <bk>
      <rc t="1" v="7387"/>
    </bk>
    <bk>
      <rc t="1" v="7388"/>
    </bk>
    <bk>
      <rc t="1" v="7389"/>
    </bk>
    <bk>
      <rc t="1" v="7390"/>
    </bk>
    <bk>
      <rc t="1" v="7391"/>
    </bk>
    <bk>
      <rc t="1" v="7392"/>
    </bk>
    <bk>
      <rc t="1" v="7393"/>
    </bk>
    <bk>
      <rc t="1" v="7394"/>
    </bk>
    <bk>
      <rc t="1" v="7395"/>
    </bk>
    <bk>
      <rc t="1" v="7396"/>
    </bk>
    <bk>
      <rc t="1" v="7397"/>
    </bk>
    <bk>
      <rc t="1" v="7398"/>
    </bk>
    <bk>
      <rc t="1" v="7399"/>
    </bk>
    <bk>
      <rc t="1" v="7400"/>
    </bk>
    <bk>
      <rc t="1" v="7401"/>
    </bk>
    <bk>
      <rc t="1" v="7402"/>
    </bk>
    <bk>
      <rc t="1" v="7403"/>
    </bk>
    <bk>
      <rc t="1" v="7404"/>
    </bk>
    <bk>
      <rc t="1" v="7405"/>
    </bk>
    <bk>
      <rc t="1" v="7406"/>
    </bk>
    <bk>
      <rc t="1" v="7407"/>
    </bk>
    <bk>
      <rc t="1" v="7408"/>
    </bk>
    <bk>
      <rc t="1" v="7409"/>
    </bk>
    <bk>
      <rc t="1" v="7410"/>
    </bk>
    <bk>
      <rc t="1" v="7411"/>
    </bk>
    <bk>
      <rc t="1" v="7412"/>
    </bk>
    <bk>
      <rc t="1" v="7413"/>
    </bk>
    <bk>
      <rc t="1" v="7414"/>
    </bk>
    <bk>
      <rc t="1" v="7415"/>
    </bk>
    <bk>
      <rc t="1" v="7416"/>
    </bk>
    <bk>
      <rc t="1" v="7417"/>
    </bk>
    <bk>
      <rc t="1" v="7418"/>
    </bk>
    <bk>
      <rc t="1" v="7419"/>
    </bk>
    <bk>
      <rc t="1" v="7420"/>
    </bk>
    <bk>
      <rc t="1" v="7421"/>
    </bk>
    <bk>
      <rc t="1" v="7422"/>
    </bk>
    <bk>
      <rc t="1" v="7423"/>
    </bk>
    <bk>
      <rc t="1" v="7424"/>
    </bk>
    <bk>
      <rc t="1" v="7425"/>
    </bk>
    <bk>
      <rc t="1" v="7426"/>
    </bk>
    <bk>
      <rc t="1" v="7427"/>
    </bk>
    <bk>
      <rc t="1" v="7428"/>
    </bk>
    <bk>
      <rc t="1" v="7429"/>
    </bk>
    <bk>
      <rc t="1" v="7430"/>
    </bk>
    <bk>
      <rc t="1" v="7431"/>
    </bk>
    <bk>
      <rc t="1" v="7432"/>
    </bk>
    <bk>
      <rc t="1" v="7433"/>
    </bk>
    <bk>
      <rc t="1" v="7434"/>
    </bk>
    <bk>
      <rc t="1" v="7435"/>
    </bk>
    <bk>
      <rc t="1" v="7436"/>
    </bk>
    <bk>
      <rc t="1" v="7437"/>
    </bk>
    <bk>
      <rc t="1" v="7438"/>
    </bk>
    <bk>
      <rc t="1" v="7439"/>
    </bk>
    <bk>
      <rc t="1" v="7440"/>
    </bk>
    <bk>
      <rc t="1" v="7441"/>
    </bk>
    <bk>
      <rc t="1" v="7442"/>
    </bk>
    <bk>
      <rc t="1" v="7443"/>
    </bk>
    <bk>
      <rc t="1" v="7444"/>
    </bk>
    <bk>
      <rc t="1" v="7445"/>
    </bk>
    <bk>
      <rc t="1" v="7446"/>
    </bk>
    <bk>
      <rc t="1" v="7447"/>
    </bk>
    <bk>
      <rc t="1" v="7448"/>
    </bk>
    <bk>
      <rc t="1" v="7449"/>
    </bk>
    <bk>
      <rc t="1" v="7450"/>
    </bk>
    <bk>
      <rc t="1" v="7451"/>
    </bk>
    <bk>
      <rc t="1" v="7452"/>
    </bk>
    <bk>
      <rc t="1" v="7453"/>
    </bk>
    <bk>
      <rc t="1" v="7454"/>
    </bk>
    <bk>
      <rc t="1" v="7455"/>
    </bk>
    <bk>
      <rc t="1" v="7456"/>
    </bk>
    <bk>
      <rc t="1" v="7457"/>
    </bk>
    <bk>
      <rc t="1" v="7458"/>
    </bk>
    <bk>
      <rc t="1" v="7459"/>
    </bk>
    <bk>
      <rc t="1" v="7460"/>
    </bk>
    <bk>
      <rc t="1" v="7461"/>
    </bk>
    <bk>
      <rc t="1" v="7462"/>
    </bk>
    <bk>
      <rc t="1" v="7463"/>
    </bk>
    <bk>
      <rc t="1" v="7464"/>
    </bk>
    <bk>
      <rc t="1" v="7465"/>
    </bk>
    <bk>
      <rc t="1" v="7466"/>
    </bk>
    <bk>
      <rc t="1" v="7467"/>
    </bk>
    <bk>
      <rc t="1" v="7468"/>
    </bk>
    <bk>
      <rc t="1" v="7469"/>
    </bk>
    <bk>
      <rc t="1" v="7470"/>
    </bk>
    <bk>
      <rc t="1" v="7471"/>
    </bk>
    <bk>
      <rc t="1" v="7472"/>
    </bk>
    <bk>
      <rc t="1" v="7473"/>
    </bk>
    <bk>
      <rc t="1" v="7474"/>
    </bk>
    <bk>
      <rc t="1" v="7475"/>
    </bk>
    <bk>
      <rc t="1" v="7476"/>
    </bk>
    <bk>
      <rc t="1" v="7477"/>
    </bk>
    <bk>
      <rc t="1" v="7478"/>
    </bk>
    <bk>
      <rc t="1" v="7479"/>
    </bk>
    <bk>
      <rc t="1" v="7480"/>
    </bk>
    <bk>
      <rc t="1" v="7481"/>
    </bk>
    <bk>
      <rc t="1" v="7482"/>
    </bk>
    <bk>
      <rc t="1" v="7483"/>
    </bk>
    <bk>
      <rc t="1" v="7484"/>
    </bk>
    <bk>
      <rc t="1" v="7485"/>
    </bk>
    <bk>
      <rc t="1" v="7486"/>
    </bk>
    <bk>
      <rc t="1" v="7487"/>
    </bk>
    <bk>
      <rc t="1" v="7488"/>
    </bk>
    <bk>
      <rc t="1" v="7489"/>
    </bk>
    <bk>
      <rc t="1" v="7490"/>
    </bk>
    <bk>
      <rc t="1" v="7491"/>
    </bk>
    <bk>
      <rc t="1" v="7492"/>
    </bk>
    <bk>
      <rc t="1" v="7493"/>
    </bk>
    <bk>
      <rc t="1" v="7494"/>
    </bk>
    <bk>
      <rc t="1" v="7495"/>
    </bk>
    <bk>
      <rc t="1" v="7496"/>
    </bk>
    <bk>
      <rc t="1" v="7497"/>
    </bk>
    <bk>
      <rc t="1" v="7498"/>
    </bk>
    <bk>
      <rc t="1" v="7499"/>
    </bk>
    <bk>
      <rc t="1" v="7500"/>
    </bk>
    <bk>
      <rc t="1" v="7501"/>
    </bk>
    <bk>
      <rc t="1" v="7502"/>
    </bk>
    <bk>
      <rc t="1" v="7503"/>
    </bk>
    <bk>
      <rc t="1" v="7504"/>
    </bk>
    <bk>
      <rc t="1" v="7505"/>
    </bk>
    <bk>
      <rc t="1" v="7506"/>
    </bk>
    <bk>
      <rc t="1" v="7507"/>
    </bk>
    <bk>
      <rc t="1" v="7508"/>
    </bk>
    <bk>
      <rc t="1" v="7509"/>
    </bk>
    <bk>
      <rc t="1" v="7510"/>
    </bk>
    <bk>
      <rc t="1" v="7511"/>
    </bk>
    <bk>
      <rc t="1" v="7512"/>
    </bk>
    <bk>
      <rc t="1" v="7513"/>
    </bk>
    <bk>
      <rc t="1" v="7514"/>
    </bk>
    <bk>
      <rc t="1" v="7515"/>
    </bk>
    <bk>
      <rc t="1" v="7516"/>
    </bk>
    <bk>
      <rc t="1" v="7517"/>
    </bk>
    <bk>
      <rc t="1" v="7518"/>
    </bk>
    <bk>
      <rc t="1" v="7519"/>
    </bk>
    <bk>
      <rc t="1" v="7520"/>
    </bk>
    <bk>
      <rc t="1" v="7521"/>
    </bk>
    <bk>
      <rc t="1" v="7522"/>
    </bk>
    <bk>
      <rc t="1" v="7523"/>
    </bk>
    <bk>
      <rc t="1" v="7524"/>
    </bk>
    <bk>
      <rc t="1" v="7525"/>
    </bk>
    <bk>
      <rc t="1" v="7526"/>
    </bk>
    <bk>
      <rc t="1" v="7527"/>
    </bk>
    <bk>
      <rc t="1" v="7528"/>
    </bk>
    <bk>
      <rc t="1" v="7529"/>
    </bk>
    <bk>
      <rc t="1" v="7530"/>
    </bk>
    <bk>
      <rc t="1" v="7531"/>
    </bk>
    <bk>
      <rc t="1" v="7532"/>
    </bk>
    <bk>
      <rc t="1" v="7533"/>
    </bk>
    <bk>
      <rc t="1" v="7534"/>
    </bk>
    <bk>
      <rc t="1" v="7535"/>
    </bk>
    <bk>
      <rc t="1" v="7536"/>
    </bk>
    <bk>
      <rc t="1" v="7537"/>
    </bk>
    <bk>
      <rc t="1" v="7538"/>
    </bk>
    <bk>
      <rc t="1" v="7539"/>
    </bk>
    <bk>
      <rc t="1" v="7540"/>
    </bk>
    <bk>
      <rc t="1" v="7541"/>
    </bk>
    <bk>
      <rc t="1" v="7542"/>
    </bk>
    <bk>
      <rc t="1" v="7543"/>
    </bk>
    <bk>
      <rc t="1" v="7544"/>
    </bk>
    <bk>
      <rc t="1" v="7545"/>
    </bk>
    <bk>
      <rc t="1" v="7546"/>
    </bk>
    <bk>
      <rc t="1" v="7547"/>
    </bk>
    <bk>
      <rc t="1" v="7548"/>
    </bk>
    <bk>
      <rc t="1" v="7549"/>
    </bk>
    <bk>
      <rc t="1" v="7550"/>
    </bk>
    <bk>
      <rc t="1" v="7551"/>
    </bk>
    <bk>
      <rc t="1" v="7552"/>
    </bk>
    <bk>
      <rc t="1" v="7553"/>
    </bk>
    <bk>
      <rc t="1" v="7554"/>
    </bk>
    <bk>
      <rc t="1" v="7555"/>
    </bk>
    <bk>
      <rc t="1" v="7556"/>
    </bk>
    <bk>
      <rc t="1" v="7557"/>
    </bk>
    <bk>
      <rc t="1" v="7558"/>
    </bk>
    <bk>
      <rc t="1" v="7559"/>
    </bk>
    <bk>
      <rc t="1" v="7560"/>
    </bk>
    <bk>
      <rc t="1" v="7561"/>
    </bk>
    <bk>
      <rc t="1" v="7562"/>
    </bk>
    <bk>
      <rc t="1" v="7563"/>
    </bk>
    <bk>
      <rc t="1" v="7564"/>
    </bk>
    <bk>
      <rc t="1" v="7565"/>
    </bk>
    <bk>
      <rc t="1" v="7566"/>
    </bk>
    <bk>
      <rc t="1" v="7567"/>
    </bk>
    <bk>
      <rc t="1" v="7568"/>
    </bk>
    <bk>
      <rc t="1" v="7569"/>
    </bk>
    <bk>
      <rc t="1" v="7570"/>
    </bk>
    <bk>
      <rc t="1" v="7571"/>
    </bk>
    <bk>
      <rc t="1" v="7572"/>
    </bk>
    <bk>
      <rc t="1" v="7573"/>
    </bk>
    <bk>
      <rc t="1" v="7574"/>
    </bk>
    <bk>
      <rc t="1" v="7575"/>
    </bk>
    <bk>
      <rc t="1" v="7576"/>
    </bk>
    <bk>
      <rc t="1" v="7577"/>
    </bk>
    <bk>
      <rc t="1" v="7578"/>
    </bk>
    <bk>
      <rc t="1" v="7579"/>
    </bk>
    <bk>
      <rc t="1" v="7580"/>
    </bk>
    <bk>
      <rc t="1" v="7581"/>
    </bk>
    <bk>
      <rc t="1" v="7582"/>
    </bk>
    <bk>
      <rc t="1" v="7583"/>
    </bk>
    <bk>
      <rc t="1" v="7584"/>
    </bk>
    <bk>
      <rc t="1" v="7585"/>
    </bk>
    <bk>
      <rc t="1" v="7586"/>
    </bk>
    <bk>
      <rc t="1" v="7587"/>
    </bk>
    <bk>
      <rc t="1" v="7588"/>
    </bk>
    <bk>
      <rc t="1" v="7589"/>
    </bk>
    <bk>
      <rc t="1" v="7590"/>
    </bk>
    <bk>
      <rc t="1" v="7591"/>
    </bk>
    <bk>
      <rc t="1" v="7592"/>
    </bk>
    <bk>
      <rc t="1" v="7593"/>
    </bk>
    <bk>
      <rc t="1" v="7594"/>
    </bk>
    <bk>
      <rc t="1" v="7595"/>
    </bk>
    <bk>
      <rc t="1" v="7596"/>
    </bk>
    <bk>
      <rc t="1" v="7597"/>
    </bk>
    <bk>
      <rc t="1" v="7598"/>
    </bk>
    <bk>
      <rc t="1" v="7599"/>
    </bk>
    <bk>
      <rc t="1" v="7600"/>
    </bk>
    <bk>
      <rc t="1" v="7601"/>
    </bk>
    <bk>
      <rc t="1" v="7602"/>
    </bk>
    <bk>
      <rc t="1" v="7603"/>
    </bk>
    <bk>
      <rc t="1" v="7604"/>
    </bk>
    <bk>
      <rc t="1" v="7605"/>
    </bk>
    <bk>
      <rc t="1" v="7606"/>
    </bk>
    <bk>
      <rc t="1" v="7607"/>
    </bk>
    <bk>
      <rc t="1" v="7608"/>
    </bk>
    <bk>
      <rc t="1" v="7609"/>
    </bk>
    <bk>
      <rc t="1" v="7610"/>
    </bk>
    <bk>
      <rc t="1" v="7611"/>
    </bk>
    <bk>
      <rc t="1" v="7612"/>
    </bk>
    <bk>
      <rc t="1" v="7613"/>
    </bk>
    <bk>
      <rc t="1" v="7614"/>
    </bk>
    <bk>
      <rc t="1" v="7615"/>
    </bk>
    <bk>
      <rc t="1" v="7616"/>
    </bk>
    <bk>
      <rc t="1" v="7617"/>
    </bk>
    <bk>
      <rc t="1" v="7618"/>
    </bk>
    <bk>
      <rc t="1" v="7619"/>
    </bk>
    <bk>
      <rc t="1" v="7620"/>
    </bk>
    <bk>
      <rc t="1" v="7621"/>
    </bk>
    <bk>
      <rc t="1" v="7622"/>
    </bk>
    <bk>
      <rc t="1" v="7623"/>
    </bk>
    <bk>
      <rc t="1" v="7624"/>
    </bk>
    <bk>
      <rc t="1" v="7625"/>
    </bk>
    <bk>
      <rc t="1" v="7626"/>
    </bk>
    <bk>
      <rc t="1" v="7627"/>
    </bk>
    <bk>
      <rc t="1" v="7628"/>
    </bk>
    <bk>
      <rc t="1" v="7629"/>
    </bk>
    <bk>
      <rc t="1" v="7630"/>
    </bk>
    <bk>
      <rc t="1" v="7631"/>
    </bk>
    <bk>
      <rc t="1" v="7632"/>
    </bk>
    <bk>
      <rc t="1" v="7633"/>
    </bk>
    <bk>
      <rc t="1" v="7634"/>
    </bk>
    <bk>
      <rc t="1" v="7635"/>
    </bk>
    <bk>
      <rc t="1" v="7636"/>
    </bk>
    <bk>
      <rc t="1" v="7637"/>
    </bk>
    <bk>
      <rc t="1" v="7638"/>
    </bk>
    <bk>
      <rc t="1" v="7639"/>
    </bk>
    <bk>
      <rc t="1" v="7640"/>
    </bk>
    <bk>
      <rc t="1" v="7641"/>
    </bk>
    <bk>
      <rc t="1" v="7642"/>
    </bk>
    <bk>
      <rc t="1" v="7643"/>
    </bk>
    <bk>
      <rc t="1" v="7644"/>
    </bk>
    <bk>
      <rc t="1" v="7645"/>
    </bk>
    <bk>
      <rc t="1" v="7646"/>
    </bk>
    <bk>
      <rc t="1" v="7647"/>
    </bk>
    <bk>
      <rc t="1" v="7648"/>
    </bk>
    <bk>
      <rc t="1" v="7649"/>
    </bk>
    <bk>
      <rc t="1" v="7650"/>
    </bk>
    <bk>
      <rc t="1" v="7651"/>
    </bk>
    <bk>
      <rc t="1" v="7652"/>
    </bk>
    <bk>
      <rc t="1" v="7653"/>
    </bk>
    <bk>
      <rc t="1" v="7654"/>
    </bk>
    <bk>
      <rc t="1" v="7655"/>
    </bk>
    <bk>
      <rc t="1" v="7656"/>
    </bk>
    <bk>
      <rc t="1" v="7657"/>
    </bk>
    <bk>
      <rc t="1" v="7658"/>
    </bk>
    <bk>
      <rc t="1" v="7659"/>
    </bk>
    <bk>
      <rc t="1" v="7660"/>
    </bk>
    <bk>
      <rc t="1" v="7661"/>
    </bk>
    <bk>
      <rc t="1" v="7662"/>
    </bk>
    <bk>
      <rc t="1" v="7663"/>
    </bk>
    <bk>
      <rc t="1" v="7664"/>
    </bk>
    <bk>
      <rc t="1" v="7665"/>
    </bk>
    <bk>
      <rc t="1" v="7666"/>
    </bk>
    <bk>
      <rc t="1" v="7667"/>
    </bk>
    <bk>
      <rc t="1" v="7668"/>
    </bk>
    <bk>
      <rc t="1" v="7669"/>
    </bk>
    <bk>
      <rc t="1" v="7670"/>
    </bk>
    <bk>
      <rc t="1" v="7671"/>
    </bk>
    <bk>
      <rc t="1" v="7672"/>
    </bk>
    <bk>
      <rc t="1" v="7673"/>
    </bk>
    <bk>
      <rc t="1" v="7674"/>
    </bk>
    <bk>
      <rc t="1" v="7675"/>
    </bk>
    <bk>
      <rc t="1" v="7676"/>
    </bk>
    <bk>
      <rc t="1" v="7677"/>
    </bk>
    <bk>
      <rc t="1" v="7678"/>
    </bk>
    <bk>
      <rc t="1" v="7679"/>
    </bk>
    <bk>
      <rc t="1" v="7680"/>
    </bk>
    <bk>
      <rc t="1" v="7681"/>
    </bk>
    <bk>
      <rc t="1" v="7682"/>
    </bk>
    <bk>
      <rc t="1" v="7683"/>
    </bk>
    <bk>
      <rc t="1" v="7684"/>
    </bk>
    <bk>
      <rc t="1" v="7685"/>
    </bk>
    <bk>
      <rc t="1" v="7686"/>
    </bk>
    <bk>
      <rc t="1" v="7687"/>
    </bk>
    <bk>
      <rc t="1" v="7688"/>
    </bk>
    <bk>
      <rc t="1" v="7689"/>
    </bk>
    <bk>
      <rc t="1" v="7690"/>
    </bk>
    <bk>
      <rc t="1" v="7691"/>
    </bk>
    <bk>
      <rc t="1" v="7692"/>
    </bk>
    <bk>
      <rc t="1" v="7693"/>
    </bk>
    <bk>
      <rc t="1" v="7694"/>
    </bk>
    <bk>
      <rc t="1" v="7695"/>
    </bk>
    <bk>
      <rc t="1" v="7696"/>
    </bk>
    <bk>
      <rc t="1" v="7697"/>
    </bk>
    <bk>
      <rc t="1" v="7698"/>
    </bk>
    <bk>
      <rc t="1" v="7699"/>
    </bk>
    <bk>
      <rc t="1" v="7700"/>
    </bk>
    <bk>
      <rc t="1" v="7701"/>
    </bk>
    <bk>
      <rc t="1" v="7702"/>
    </bk>
    <bk>
      <rc t="1" v="7703"/>
    </bk>
    <bk>
      <rc t="1" v="7704"/>
    </bk>
    <bk>
      <rc t="1" v="7705"/>
    </bk>
    <bk>
      <rc t="1" v="7706"/>
    </bk>
    <bk>
      <rc t="1" v="7707"/>
    </bk>
    <bk>
      <rc t="1" v="7708"/>
    </bk>
    <bk>
      <rc t="1" v="7709"/>
    </bk>
    <bk>
      <rc t="1" v="7710"/>
    </bk>
    <bk>
      <rc t="1" v="7711"/>
    </bk>
    <bk>
      <rc t="1" v="7712"/>
    </bk>
    <bk>
      <rc t="1" v="7713"/>
    </bk>
    <bk>
      <rc t="1" v="7714"/>
    </bk>
    <bk>
      <rc t="1" v="7715"/>
    </bk>
    <bk>
      <rc t="1" v="7716"/>
    </bk>
    <bk>
      <rc t="1" v="7717"/>
    </bk>
    <bk>
      <rc t="1" v="7718"/>
    </bk>
    <bk>
      <rc t="1" v="7719"/>
    </bk>
    <bk>
      <rc t="1" v="7720"/>
    </bk>
    <bk>
      <rc t="1" v="7721"/>
    </bk>
    <bk>
      <rc t="1" v="7722"/>
    </bk>
    <bk>
      <rc t="1" v="7723"/>
    </bk>
    <bk>
      <rc t="1" v="7724"/>
    </bk>
    <bk>
      <rc t="1" v="7725"/>
    </bk>
    <bk>
      <rc t="1" v="7726"/>
    </bk>
    <bk>
      <rc t="1" v="7727"/>
    </bk>
    <bk>
      <rc t="1" v="7728"/>
    </bk>
    <bk>
      <rc t="1" v="7729"/>
    </bk>
    <bk>
      <rc t="1" v="7730"/>
    </bk>
    <bk>
      <rc t="1" v="7731"/>
    </bk>
    <bk>
      <rc t="1" v="7732"/>
    </bk>
    <bk>
      <rc t="1" v="7733"/>
    </bk>
    <bk>
      <rc t="1" v="7734"/>
    </bk>
    <bk>
      <rc t="1" v="7735"/>
    </bk>
    <bk>
      <rc t="1" v="7736"/>
    </bk>
    <bk>
      <rc t="1" v="7737"/>
    </bk>
    <bk>
      <rc t="1" v="7738"/>
    </bk>
    <bk>
      <rc t="1" v="7739"/>
    </bk>
    <bk>
      <rc t="1" v="7740"/>
    </bk>
    <bk>
      <rc t="1" v="7741"/>
    </bk>
    <bk>
      <rc t="1" v="7742"/>
    </bk>
    <bk>
      <rc t="1" v="7743"/>
    </bk>
    <bk>
      <rc t="1" v="7744"/>
    </bk>
    <bk>
      <rc t="1" v="7745"/>
    </bk>
    <bk>
      <rc t="1" v="7746"/>
    </bk>
    <bk>
      <rc t="1" v="7747"/>
    </bk>
    <bk>
      <rc t="1" v="7748"/>
    </bk>
    <bk>
      <rc t="1" v="7749"/>
    </bk>
    <bk>
      <rc t="1" v="7750"/>
    </bk>
    <bk>
      <rc t="1" v="7751"/>
    </bk>
    <bk>
      <rc t="1" v="7752"/>
    </bk>
    <bk>
      <rc t="1" v="7753"/>
    </bk>
    <bk>
      <rc t="1" v="7754"/>
    </bk>
    <bk>
      <rc t="1" v="7755"/>
    </bk>
    <bk>
      <rc t="1" v="7756"/>
    </bk>
    <bk>
      <rc t="1" v="7757"/>
    </bk>
    <bk>
      <rc t="1" v="7758"/>
    </bk>
    <bk>
      <rc t="1" v="7759"/>
    </bk>
    <bk>
      <rc t="1" v="7760"/>
    </bk>
    <bk>
      <rc t="1" v="7761"/>
    </bk>
    <bk>
      <rc t="1" v="7762"/>
    </bk>
    <bk>
      <rc t="1" v="7763"/>
    </bk>
    <bk>
      <rc t="1" v="7764"/>
    </bk>
    <bk>
      <rc t="1" v="7765"/>
    </bk>
    <bk>
      <rc t="1" v="7766"/>
    </bk>
    <bk>
      <rc t="1" v="7767"/>
    </bk>
    <bk>
      <rc t="1" v="7768"/>
    </bk>
    <bk>
      <rc t="1" v="7769"/>
    </bk>
    <bk>
      <rc t="1" v="7770"/>
    </bk>
    <bk>
      <rc t="1" v="7771"/>
    </bk>
    <bk>
      <rc t="1" v="7772"/>
    </bk>
    <bk>
      <rc t="1" v="7773"/>
    </bk>
    <bk>
      <rc t="1" v="7774"/>
    </bk>
    <bk>
      <rc t="1" v="7775"/>
    </bk>
    <bk>
      <rc t="1" v="7776"/>
    </bk>
    <bk>
      <rc t="1" v="7777"/>
    </bk>
    <bk>
      <rc t="1" v="7778"/>
    </bk>
    <bk>
      <rc t="1" v="7779"/>
    </bk>
    <bk>
      <rc t="1" v="7780"/>
    </bk>
    <bk>
      <rc t="1" v="7781"/>
    </bk>
    <bk>
      <rc t="1" v="7782"/>
    </bk>
    <bk>
      <rc t="1" v="7783"/>
    </bk>
    <bk>
      <rc t="1" v="7784"/>
    </bk>
    <bk>
      <rc t="1" v="7785"/>
    </bk>
    <bk>
      <rc t="1" v="7786"/>
    </bk>
    <bk>
      <rc t="1" v="7787"/>
    </bk>
    <bk>
      <rc t="1" v="7788"/>
    </bk>
    <bk>
      <rc t="1" v="7789"/>
    </bk>
    <bk>
      <rc t="1" v="7790"/>
    </bk>
    <bk>
      <rc t="1" v="7791"/>
    </bk>
    <bk>
      <rc t="1" v="7792"/>
    </bk>
    <bk>
      <rc t="1" v="7793"/>
    </bk>
    <bk>
      <rc t="1" v="7794"/>
    </bk>
    <bk>
      <rc t="1" v="7795"/>
    </bk>
    <bk>
      <rc t="1" v="7796"/>
    </bk>
    <bk>
      <rc t="1" v="7797"/>
    </bk>
    <bk>
      <rc t="1" v="7798"/>
    </bk>
    <bk>
      <rc t="1" v="7799"/>
    </bk>
    <bk>
      <rc t="1" v="7800"/>
    </bk>
    <bk>
      <rc t="1" v="7801"/>
    </bk>
    <bk>
      <rc t="1" v="7802"/>
    </bk>
    <bk>
      <rc t="1" v="7803"/>
    </bk>
    <bk>
      <rc t="1" v="7804"/>
    </bk>
    <bk>
      <rc t="1" v="7805"/>
    </bk>
    <bk>
      <rc t="1" v="7806"/>
    </bk>
    <bk>
      <rc t="1" v="7807"/>
    </bk>
    <bk>
      <rc t="1" v="7808"/>
    </bk>
    <bk>
      <rc t="1" v="7809"/>
    </bk>
    <bk>
      <rc t="1" v="7810"/>
    </bk>
    <bk>
      <rc t="1" v="7811"/>
    </bk>
    <bk>
      <rc t="1" v="7812"/>
    </bk>
    <bk>
      <rc t="1" v="7813"/>
    </bk>
    <bk>
      <rc t="1" v="7814"/>
    </bk>
    <bk>
      <rc t="1" v="7815"/>
    </bk>
    <bk>
      <rc t="1" v="7816"/>
    </bk>
    <bk>
      <rc t="1" v="7817"/>
    </bk>
    <bk>
      <rc t="1" v="7818"/>
    </bk>
    <bk>
      <rc t="1" v="7819"/>
    </bk>
    <bk>
      <rc t="1" v="7820"/>
    </bk>
    <bk>
      <rc t="1" v="7821"/>
    </bk>
    <bk>
      <rc t="1" v="7822"/>
    </bk>
    <bk>
      <rc t="1" v="7823"/>
    </bk>
    <bk>
      <rc t="1" v="7824"/>
    </bk>
    <bk>
      <rc t="1" v="7825"/>
    </bk>
    <bk>
      <rc t="1" v="7826"/>
    </bk>
    <bk>
      <rc t="1" v="7827"/>
    </bk>
    <bk>
      <rc t="1" v="7828"/>
    </bk>
    <bk>
      <rc t="1" v="7829"/>
    </bk>
    <bk>
      <rc t="1" v="7830"/>
    </bk>
    <bk>
      <rc t="1" v="7831"/>
    </bk>
    <bk>
      <rc t="1" v="7832"/>
    </bk>
    <bk>
      <rc t="1" v="7833"/>
    </bk>
    <bk>
      <rc t="1" v="7834"/>
    </bk>
    <bk>
      <rc t="1" v="7835"/>
    </bk>
    <bk>
      <rc t="1" v="7836"/>
    </bk>
    <bk>
      <rc t="1" v="7837"/>
    </bk>
    <bk>
      <rc t="1" v="7838"/>
    </bk>
    <bk>
      <rc t="1" v="7839"/>
    </bk>
    <bk>
      <rc t="1" v="7840"/>
    </bk>
    <bk>
      <rc t="1" v="7841"/>
    </bk>
    <bk>
      <rc t="1" v="7842"/>
    </bk>
    <bk>
      <rc t="1" v="7843"/>
    </bk>
    <bk>
      <rc t="1" v="7844"/>
    </bk>
    <bk>
      <rc t="1" v="7845"/>
    </bk>
    <bk>
      <rc t="1" v="7846"/>
    </bk>
    <bk>
      <rc t="1" v="7847"/>
    </bk>
    <bk>
      <rc t="1" v="7848"/>
    </bk>
    <bk>
      <rc t="1" v="7849"/>
    </bk>
    <bk>
      <rc t="1" v="7850"/>
    </bk>
    <bk>
      <rc t="1" v="7851"/>
    </bk>
    <bk>
      <rc t="1" v="7852"/>
    </bk>
    <bk>
      <rc t="1" v="7853"/>
    </bk>
    <bk>
      <rc t="1" v="7854"/>
    </bk>
    <bk>
      <rc t="1" v="7855"/>
    </bk>
    <bk>
      <rc t="1" v="7856"/>
    </bk>
    <bk>
      <rc t="1" v="7857"/>
    </bk>
    <bk>
      <rc t="1" v="7858"/>
    </bk>
    <bk>
      <rc t="1" v="7859"/>
    </bk>
    <bk>
      <rc t="1" v="7860"/>
    </bk>
    <bk>
      <rc t="1" v="7861"/>
    </bk>
    <bk>
      <rc t="1" v="7862"/>
    </bk>
    <bk>
      <rc t="1" v="7863"/>
    </bk>
    <bk>
      <rc t="1" v="7864"/>
    </bk>
    <bk>
      <rc t="1" v="7865"/>
    </bk>
    <bk>
      <rc t="1" v="7866"/>
    </bk>
    <bk>
      <rc t="1" v="7867"/>
    </bk>
    <bk>
      <rc t="1" v="7868"/>
    </bk>
    <bk>
      <rc t="1" v="7869"/>
    </bk>
    <bk>
      <rc t="1" v="7870"/>
    </bk>
    <bk>
      <rc t="1" v="7871"/>
    </bk>
    <bk>
      <rc t="1" v="7872"/>
    </bk>
    <bk>
      <rc t="1" v="7873"/>
    </bk>
    <bk>
      <rc t="1" v="7874"/>
    </bk>
    <bk>
      <rc t="1" v="7875"/>
    </bk>
    <bk>
      <rc t="1" v="7876"/>
    </bk>
    <bk>
      <rc t="1" v="7877"/>
    </bk>
    <bk>
      <rc t="1" v="7878"/>
    </bk>
    <bk>
      <rc t="1" v="7879"/>
    </bk>
    <bk>
      <rc t="1" v="7880"/>
    </bk>
    <bk>
      <rc t="1" v="7881"/>
    </bk>
    <bk>
      <rc t="1" v="7882"/>
    </bk>
    <bk>
      <rc t="1" v="7883"/>
    </bk>
    <bk>
      <rc t="1" v="7884"/>
    </bk>
    <bk>
      <rc t="1" v="7885"/>
    </bk>
    <bk>
      <rc t="1" v="7886"/>
    </bk>
    <bk>
      <rc t="1" v="7887"/>
    </bk>
    <bk>
      <rc t="1" v="7888"/>
    </bk>
    <bk>
      <rc t="1" v="7889"/>
    </bk>
    <bk>
      <rc t="1" v="7890"/>
    </bk>
    <bk>
      <rc t="1" v="7891"/>
    </bk>
    <bk>
      <rc t="1" v="7892"/>
    </bk>
    <bk>
      <rc t="1" v="7893"/>
    </bk>
    <bk>
      <rc t="1" v="7894"/>
    </bk>
    <bk>
      <rc t="1" v="7895"/>
    </bk>
    <bk>
      <rc t="1" v="7896"/>
    </bk>
    <bk>
      <rc t="1" v="7897"/>
    </bk>
    <bk>
      <rc t="1" v="7898"/>
    </bk>
    <bk>
      <rc t="1" v="7899"/>
    </bk>
    <bk>
      <rc t="1" v="7900"/>
    </bk>
    <bk>
      <rc t="1" v="7901"/>
    </bk>
    <bk>
      <rc t="1" v="7902"/>
    </bk>
    <bk>
      <rc t="1" v="7903"/>
    </bk>
    <bk>
      <rc t="1" v="7904"/>
    </bk>
    <bk>
      <rc t="1" v="7905"/>
    </bk>
    <bk>
      <rc t="1" v="7906"/>
    </bk>
    <bk>
      <rc t="1" v="7907"/>
    </bk>
    <bk>
      <rc t="1" v="7908"/>
    </bk>
    <bk>
      <rc t="1" v="7909"/>
    </bk>
    <bk>
      <rc t="1" v="7910"/>
    </bk>
    <bk>
      <rc t="1" v="7911"/>
    </bk>
    <bk>
      <rc t="1" v="7912"/>
    </bk>
    <bk>
      <rc t="1" v="7913"/>
    </bk>
    <bk>
      <rc t="1" v="7914"/>
    </bk>
    <bk>
      <rc t="1" v="7915"/>
    </bk>
    <bk>
      <rc t="1" v="7916"/>
    </bk>
    <bk>
      <rc t="1" v="7917"/>
    </bk>
    <bk>
      <rc t="1" v="7918"/>
    </bk>
    <bk>
      <rc t="1" v="7919"/>
    </bk>
    <bk>
      <rc t="1" v="7920"/>
    </bk>
    <bk>
      <rc t="1" v="7921"/>
    </bk>
    <bk>
      <rc t="1" v="7922"/>
    </bk>
    <bk>
      <rc t="1" v="7923"/>
    </bk>
    <bk>
      <rc t="1" v="7924"/>
    </bk>
    <bk>
      <rc t="1" v="7925"/>
    </bk>
    <bk>
      <rc t="1" v="7926"/>
    </bk>
    <bk>
      <rc t="1" v="7927"/>
    </bk>
    <bk>
      <rc t="1" v="7928"/>
    </bk>
    <bk>
      <rc t="1" v="7929"/>
    </bk>
    <bk>
      <rc t="1" v="7930"/>
    </bk>
    <bk>
      <rc t="1" v="7931"/>
    </bk>
    <bk>
      <rc t="1" v="7932"/>
    </bk>
    <bk>
      <rc t="1" v="7933"/>
    </bk>
    <bk>
      <rc t="1" v="7934"/>
    </bk>
    <bk>
      <rc t="1" v="7935"/>
    </bk>
    <bk>
      <rc t="1" v="7936"/>
    </bk>
    <bk>
      <rc t="1" v="7937"/>
    </bk>
    <bk>
      <rc t="1" v="7938"/>
    </bk>
    <bk>
      <rc t="1" v="7939"/>
    </bk>
    <bk>
      <rc t="1" v="7940"/>
    </bk>
    <bk>
      <rc t="1" v="7941"/>
    </bk>
    <bk>
      <rc t="1" v="7942"/>
    </bk>
    <bk>
      <rc t="1" v="7943"/>
    </bk>
    <bk>
      <rc t="1" v="7944"/>
    </bk>
    <bk>
      <rc t="1" v="7945"/>
    </bk>
    <bk>
      <rc t="1" v="7946"/>
    </bk>
    <bk>
      <rc t="1" v="7947"/>
    </bk>
    <bk>
      <rc t="1" v="7948"/>
    </bk>
    <bk>
      <rc t="1" v="7949"/>
    </bk>
    <bk>
      <rc t="1" v="7950"/>
    </bk>
    <bk>
      <rc t="1" v="7951"/>
    </bk>
    <bk>
      <rc t="1" v="7952"/>
    </bk>
    <bk>
      <rc t="1" v="7953"/>
    </bk>
    <bk>
      <rc t="1" v="7954"/>
    </bk>
    <bk>
      <rc t="1" v="7955"/>
    </bk>
    <bk>
      <rc t="1" v="7956"/>
    </bk>
    <bk>
      <rc t="1" v="7957"/>
    </bk>
    <bk>
      <rc t="1" v="7958"/>
    </bk>
    <bk>
      <rc t="1" v="7959"/>
    </bk>
    <bk>
      <rc t="1" v="7960"/>
    </bk>
    <bk>
      <rc t="1" v="7961"/>
    </bk>
    <bk>
      <rc t="1" v="7962"/>
    </bk>
    <bk>
      <rc t="1" v="7963"/>
    </bk>
    <bk>
      <rc t="1" v="7964"/>
    </bk>
    <bk>
      <rc t="1" v="7965"/>
    </bk>
    <bk>
      <rc t="1" v="7966"/>
    </bk>
    <bk>
      <rc t="1" v="7967"/>
    </bk>
    <bk>
      <rc t="1" v="7968"/>
    </bk>
    <bk>
      <rc t="1" v="7969"/>
    </bk>
    <bk>
      <rc t="1" v="7970"/>
    </bk>
    <bk>
      <rc t="1" v="7971"/>
    </bk>
    <bk>
      <rc t="1" v="7972"/>
    </bk>
    <bk>
      <rc t="1" v="7973"/>
    </bk>
    <bk>
      <rc t="1" v="7974"/>
    </bk>
    <bk>
      <rc t="1" v="7975"/>
    </bk>
    <bk>
      <rc t="1" v="7976"/>
    </bk>
    <bk>
      <rc t="1" v="7977"/>
    </bk>
    <bk>
      <rc t="1" v="7978"/>
    </bk>
    <bk>
      <rc t="1" v="7979"/>
    </bk>
    <bk>
      <rc t="1" v="7980"/>
    </bk>
    <bk>
      <rc t="1" v="7981"/>
    </bk>
    <bk>
      <rc t="1" v="7982"/>
    </bk>
    <bk>
      <rc t="1" v="7983"/>
    </bk>
    <bk>
      <rc t="1" v="7984"/>
    </bk>
    <bk>
      <rc t="1" v="7985"/>
    </bk>
    <bk>
      <rc t="1" v="7986"/>
    </bk>
    <bk>
      <rc t="1" v="7987"/>
    </bk>
    <bk>
      <rc t="1" v="7988"/>
    </bk>
    <bk>
      <rc t="1" v="7989"/>
    </bk>
    <bk>
      <rc t="1" v="7990"/>
    </bk>
    <bk>
      <rc t="1" v="7991"/>
    </bk>
    <bk>
      <rc t="1" v="7992"/>
    </bk>
    <bk>
      <rc t="1" v="7993"/>
    </bk>
    <bk>
      <rc t="1" v="7994"/>
    </bk>
    <bk>
      <rc t="1" v="7995"/>
    </bk>
    <bk>
      <rc t="1" v="7996"/>
    </bk>
    <bk>
      <rc t="1" v="7997"/>
    </bk>
    <bk>
      <rc t="1" v="7998"/>
    </bk>
    <bk>
      <rc t="1" v="7999"/>
    </bk>
    <bk>
      <rc t="1" v="8000"/>
    </bk>
    <bk>
      <rc t="1" v="8001"/>
    </bk>
    <bk>
      <rc t="1" v="8002"/>
    </bk>
    <bk>
      <rc t="1" v="8003"/>
    </bk>
    <bk>
      <rc t="1" v="8004"/>
    </bk>
    <bk>
      <rc t="1" v="8005"/>
    </bk>
    <bk>
      <rc t="1" v="8006"/>
    </bk>
    <bk>
      <rc t="1" v="8007"/>
    </bk>
    <bk>
      <rc t="1" v="8008"/>
    </bk>
    <bk>
      <rc t="1" v="8009"/>
    </bk>
    <bk>
      <rc t="1" v="8010"/>
    </bk>
    <bk>
      <rc t="1" v="8011"/>
    </bk>
    <bk>
      <rc t="1" v="8012"/>
    </bk>
    <bk>
      <rc t="1" v="8013"/>
    </bk>
    <bk>
      <rc t="1" v="8014"/>
    </bk>
    <bk>
      <rc t="1" v="8015"/>
    </bk>
    <bk>
      <rc t="1" v="8016"/>
    </bk>
    <bk>
      <rc t="1" v="8017"/>
    </bk>
    <bk>
      <rc t="1" v="8018"/>
    </bk>
    <bk>
      <rc t="1" v="8019"/>
    </bk>
    <bk>
      <rc t="1" v="8020"/>
    </bk>
    <bk>
      <rc t="1" v="8021"/>
    </bk>
    <bk>
      <rc t="1" v="8022"/>
    </bk>
    <bk>
      <rc t="1" v="8023"/>
    </bk>
    <bk>
      <rc t="1" v="8024"/>
    </bk>
    <bk>
      <rc t="1" v="8025"/>
    </bk>
    <bk>
      <rc t="1" v="8026"/>
    </bk>
    <bk>
      <rc t="1" v="8027"/>
    </bk>
    <bk>
      <rc t="1" v="8028"/>
    </bk>
    <bk>
      <rc t="1" v="8029"/>
    </bk>
    <bk>
      <rc t="1" v="8030"/>
    </bk>
    <bk>
      <rc t="1" v="8031"/>
    </bk>
    <bk>
      <rc t="1" v="8032"/>
    </bk>
    <bk>
      <rc t="1" v="8033"/>
    </bk>
    <bk>
      <rc t="1" v="8034"/>
    </bk>
    <bk>
      <rc t="1" v="8035"/>
    </bk>
    <bk>
      <rc t="1" v="8036"/>
    </bk>
    <bk>
      <rc t="1" v="8037"/>
    </bk>
    <bk>
      <rc t="1" v="8038"/>
    </bk>
    <bk>
      <rc t="1" v="8039"/>
    </bk>
    <bk>
      <rc t="1" v="8040"/>
    </bk>
    <bk>
      <rc t="1" v="8041"/>
    </bk>
    <bk>
      <rc t="1" v="8042"/>
    </bk>
    <bk>
      <rc t="1" v="8043"/>
    </bk>
    <bk>
      <rc t="1" v="8044"/>
    </bk>
    <bk>
      <rc t="1" v="8045"/>
    </bk>
    <bk>
      <rc t="1" v="8046"/>
    </bk>
    <bk>
      <rc t="1" v="8047"/>
    </bk>
    <bk>
      <rc t="1" v="8048"/>
    </bk>
    <bk>
      <rc t="1" v="8049"/>
    </bk>
    <bk>
      <rc t="1" v="8050"/>
    </bk>
    <bk>
      <rc t="1" v="8051"/>
    </bk>
    <bk>
      <rc t="1" v="8052"/>
    </bk>
    <bk>
      <rc t="1" v="8053"/>
    </bk>
    <bk>
      <rc t="1" v="8054"/>
    </bk>
    <bk>
      <rc t="1" v="8055"/>
    </bk>
    <bk>
      <rc t="1" v="8056"/>
    </bk>
    <bk>
      <rc t="1" v="8057"/>
    </bk>
    <bk>
      <rc t="1" v="8058"/>
    </bk>
    <bk>
      <rc t="1" v="8059"/>
    </bk>
    <bk>
      <rc t="1" v="8060"/>
    </bk>
    <bk>
      <rc t="1" v="8061"/>
    </bk>
    <bk>
      <rc t="1" v="8062"/>
    </bk>
    <bk>
      <rc t="1" v="8063"/>
    </bk>
    <bk>
      <rc t="1" v="8064"/>
    </bk>
    <bk>
      <rc t="1" v="8065"/>
    </bk>
    <bk>
      <rc t="1" v="8066"/>
    </bk>
    <bk>
      <rc t="1" v="8067"/>
    </bk>
    <bk>
      <rc t="1" v="8068"/>
    </bk>
    <bk>
      <rc t="1" v="8069"/>
    </bk>
    <bk>
      <rc t="1" v="8070"/>
    </bk>
    <bk>
      <rc t="1" v="8071"/>
    </bk>
    <bk>
      <rc t="1" v="8072"/>
    </bk>
    <bk>
      <rc t="1" v="8073"/>
    </bk>
    <bk>
      <rc t="1" v="8074"/>
    </bk>
    <bk>
      <rc t="1" v="8075"/>
    </bk>
    <bk>
      <rc t="1" v="8076"/>
    </bk>
    <bk>
      <rc t="1" v="8077"/>
    </bk>
    <bk>
      <rc t="1" v="8078"/>
    </bk>
    <bk>
      <rc t="1" v="8079"/>
    </bk>
    <bk>
      <rc t="1" v="8080"/>
    </bk>
    <bk>
      <rc t="1" v="8081"/>
    </bk>
    <bk>
      <rc t="1" v="8082"/>
    </bk>
    <bk>
      <rc t="1" v="8083"/>
    </bk>
    <bk>
      <rc t="1" v="8084"/>
    </bk>
    <bk>
      <rc t="1" v="8085"/>
    </bk>
    <bk>
      <rc t="1" v="8086"/>
    </bk>
    <bk>
      <rc t="1" v="8087"/>
    </bk>
    <bk>
      <rc t="1" v="8088"/>
    </bk>
    <bk>
      <rc t="1" v="8089"/>
    </bk>
    <bk>
      <rc t="1" v="8090"/>
    </bk>
    <bk>
      <rc t="1" v="8091"/>
    </bk>
    <bk>
      <rc t="1" v="8092"/>
    </bk>
    <bk>
      <rc t="1" v="8093"/>
    </bk>
    <bk>
      <rc t="1" v="8094"/>
    </bk>
    <bk>
      <rc t="1" v="8095"/>
    </bk>
    <bk>
      <rc t="1" v="8096"/>
    </bk>
    <bk>
      <rc t="1" v="8097"/>
    </bk>
    <bk>
      <rc t="1" v="8098"/>
    </bk>
    <bk>
      <rc t="1" v="8099"/>
    </bk>
    <bk>
      <rc t="1" v="8100"/>
    </bk>
    <bk>
      <rc t="1" v="8101"/>
    </bk>
    <bk>
      <rc t="1" v="8102"/>
    </bk>
    <bk>
      <rc t="1" v="8103"/>
    </bk>
    <bk>
      <rc t="1" v="8104"/>
    </bk>
    <bk>
      <rc t="1" v="8105"/>
    </bk>
    <bk>
      <rc t="1" v="8106"/>
    </bk>
    <bk>
      <rc t="1" v="8107"/>
    </bk>
    <bk>
      <rc t="1" v="8108"/>
    </bk>
    <bk>
      <rc t="1" v="8109"/>
    </bk>
    <bk>
      <rc t="1" v="8110"/>
    </bk>
    <bk>
      <rc t="1" v="8111"/>
    </bk>
    <bk>
      <rc t="1" v="8112"/>
    </bk>
    <bk>
      <rc t="1" v="8113"/>
    </bk>
    <bk>
      <rc t="1" v="8114"/>
    </bk>
    <bk>
      <rc t="1" v="8115"/>
    </bk>
    <bk>
      <rc t="1" v="8116"/>
    </bk>
    <bk>
      <rc t="1" v="8117"/>
    </bk>
    <bk>
      <rc t="1" v="8118"/>
    </bk>
    <bk>
      <rc t="1" v="8119"/>
    </bk>
    <bk>
      <rc t="1" v="8120"/>
    </bk>
    <bk>
      <rc t="1" v="8121"/>
    </bk>
    <bk>
      <rc t="1" v="8122"/>
    </bk>
    <bk>
      <rc t="1" v="8123"/>
    </bk>
    <bk>
      <rc t="1" v="8124"/>
    </bk>
    <bk>
      <rc t="1" v="8125"/>
    </bk>
    <bk>
      <rc t="1" v="8126"/>
    </bk>
    <bk>
      <rc t="1" v="8127"/>
    </bk>
    <bk>
      <rc t="1" v="8128"/>
    </bk>
    <bk>
      <rc t="1" v="8129"/>
    </bk>
    <bk>
      <rc t="1" v="8130"/>
    </bk>
    <bk>
      <rc t="1" v="8131"/>
    </bk>
    <bk>
      <rc t="1" v="8132"/>
    </bk>
    <bk>
      <rc t="1" v="8133"/>
    </bk>
    <bk>
      <rc t="1" v="8134"/>
    </bk>
    <bk>
      <rc t="1" v="8135"/>
    </bk>
    <bk>
      <rc t="1" v="8136"/>
    </bk>
    <bk>
      <rc t="1" v="8137"/>
    </bk>
    <bk>
      <rc t="1" v="8138"/>
    </bk>
    <bk>
      <rc t="1" v="8139"/>
    </bk>
    <bk>
      <rc t="1" v="8140"/>
    </bk>
    <bk>
      <rc t="1" v="8141"/>
    </bk>
    <bk>
      <rc t="1" v="8142"/>
    </bk>
    <bk>
      <rc t="1" v="8143"/>
    </bk>
    <bk>
      <rc t="1" v="8144"/>
    </bk>
    <bk>
      <rc t="1" v="8145"/>
    </bk>
    <bk>
      <rc t="1" v="8146"/>
    </bk>
    <bk>
      <rc t="1" v="8147"/>
    </bk>
    <bk>
      <rc t="1" v="8148"/>
    </bk>
    <bk>
      <rc t="1" v="8149"/>
    </bk>
    <bk>
      <rc t="1" v="8150"/>
    </bk>
    <bk>
      <rc t="1" v="8151"/>
    </bk>
    <bk>
      <rc t="1" v="8152"/>
    </bk>
    <bk>
      <rc t="1" v="8153"/>
    </bk>
    <bk>
      <rc t="1" v="8154"/>
    </bk>
    <bk>
      <rc t="1" v="8155"/>
    </bk>
    <bk>
      <rc t="1" v="8156"/>
    </bk>
    <bk>
      <rc t="1" v="8157"/>
    </bk>
    <bk>
      <rc t="1" v="8158"/>
    </bk>
    <bk>
      <rc t="1" v="8159"/>
    </bk>
    <bk>
      <rc t="1" v="8160"/>
    </bk>
    <bk>
      <rc t="1" v="8161"/>
    </bk>
    <bk>
      <rc t="1" v="8162"/>
    </bk>
    <bk>
      <rc t="1" v="8163"/>
    </bk>
    <bk>
      <rc t="1" v="8164"/>
    </bk>
    <bk>
      <rc t="1" v="8165"/>
    </bk>
    <bk>
      <rc t="1" v="8166"/>
    </bk>
    <bk>
      <rc t="1" v="8167"/>
    </bk>
    <bk>
      <rc t="1" v="8168"/>
    </bk>
    <bk>
      <rc t="1" v="8169"/>
    </bk>
    <bk>
      <rc t="1" v="8170"/>
    </bk>
    <bk>
      <rc t="1" v="8171"/>
    </bk>
    <bk>
      <rc t="1" v="8172"/>
    </bk>
    <bk>
      <rc t="1" v="8173"/>
    </bk>
    <bk>
      <rc t="1" v="8174"/>
    </bk>
    <bk>
      <rc t="1" v="8175"/>
    </bk>
    <bk>
      <rc t="1" v="8176"/>
    </bk>
    <bk>
      <rc t="1" v="8177"/>
    </bk>
    <bk>
      <rc t="1" v="8178"/>
    </bk>
    <bk>
      <rc t="1" v="8179"/>
    </bk>
    <bk>
      <rc t="1" v="8180"/>
    </bk>
    <bk>
      <rc t="1" v="8181"/>
    </bk>
    <bk>
      <rc t="1" v="8182"/>
    </bk>
    <bk>
      <rc t="1" v="8183"/>
    </bk>
    <bk>
      <rc t="1" v="8184"/>
    </bk>
    <bk>
      <rc t="1" v="8185"/>
    </bk>
    <bk>
      <rc t="1" v="8186"/>
    </bk>
    <bk>
      <rc t="1" v="8187"/>
    </bk>
    <bk>
      <rc t="1" v="8188"/>
    </bk>
    <bk>
      <rc t="1" v="8189"/>
    </bk>
    <bk>
      <rc t="1" v="8190"/>
    </bk>
    <bk>
      <rc t="1" v="8191"/>
    </bk>
    <bk>
      <rc t="1" v="8192"/>
    </bk>
    <bk>
      <rc t="1" v="8193"/>
    </bk>
    <bk>
      <rc t="1" v="8194"/>
    </bk>
    <bk>
      <rc t="1" v="8195"/>
    </bk>
    <bk>
      <rc t="1" v="8196"/>
    </bk>
    <bk>
      <rc t="1" v="8197"/>
    </bk>
    <bk>
      <rc t="1" v="8198"/>
    </bk>
    <bk>
      <rc t="1" v="8199"/>
    </bk>
    <bk>
      <rc t="1" v="8200"/>
    </bk>
    <bk>
      <rc t="1" v="8201"/>
    </bk>
    <bk>
      <rc t="1" v="8202"/>
    </bk>
    <bk>
      <rc t="1" v="8203"/>
    </bk>
    <bk>
      <rc t="1" v="8204"/>
    </bk>
    <bk>
      <rc t="1" v="8205"/>
    </bk>
    <bk>
      <rc t="1" v="8206"/>
    </bk>
    <bk>
      <rc t="1" v="8207"/>
    </bk>
    <bk>
      <rc t="1" v="8208"/>
    </bk>
    <bk>
      <rc t="1" v="8209"/>
    </bk>
    <bk>
      <rc t="1" v="8210"/>
    </bk>
    <bk>
      <rc t="1" v="8211"/>
    </bk>
    <bk>
      <rc t="1" v="8212"/>
    </bk>
    <bk>
      <rc t="1" v="8213"/>
    </bk>
    <bk>
      <rc t="1" v="8214"/>
    </bk>
    <bk>
      <rc t="1" v="8215"/>
    </bk>
    <bk>
      <rc t="1" v="8216"/>
    </bk>
    <bk>
      <rc t="1" v="8217"/>
    </bk>
    <bk>
      <rc t="1" v="8218"/>
    </bk>
    <bk>
      <rc t="1" v="8219"/>
    </bk>
    <bk>
      <rc t="1" v="8220"/>
    </bk>
    <bk>
      <rc t="1" v="8221"/>
    </bk>
    <bk>
      <rc t="1" v="8222"/>
    </bk>
    <bk>
      <rc t="1" v="8223"/>
    </bk>
    <bk>
      <rc t="1" v="8224"/>
    </bk>
    <bk>
      <rc t="1" v="8225"/>
    </bk>
    <bk>
      <rc t="1" v="8226"/>
    </bk>
    <bk>
      <rc t="1" v="8227"/>
    </bk>
    <bk>
      <rc t="1" v="8228"/>
    </bk>
    <bk>
      <rc t="1" v="8229"/>
    </bk>
    <bk>
      <rc t="1" v="8230"/>
    </bk>
    <bk>
      <rc t="1" v="8231"/>
    </bk>
    <bk>
      <rc t="1" v="8232"/>
    </bk>
    <bk>
      <rc t="1" v="8233"/>
    </bk>
    <bk>
      <rc t="1" v="8234"/>
    </bk>
    <bk>
      <rc t="1" v="8235"/>
    </bk>
    <bk>
      <rc t="1" v="8236"/>
    </bk>
    <bk>
      <rc t="1" v="8237"/>
    </bk>
    <bk>
      <rc t="1" v="8238"/>
    </bk>
    <bk>
      <rc t="1" v="8239"/>
    </bk>
    <bk>
      <rc t="1" v="8240"/>
    </bk>
    <bk>
      <rc t="1" v="8241"/>
    </bk>
    <bk>
      <rc t="1" v="8242"/>
    </bk>
    <bk>
      <rc t="1" v="8243"/>
    </bk>
    <bk>
      <rc t="1" v="8244"/>
    </bk>
    <bk>
      <rc t="1" v="8245"/>
    </bk>
    <bk>
      <rc t="1" v="8246"/>
    </bk>
    <bk>
      <rc t="1" v="8247"/>
    </bk>
    <bk>
      <rc t="1" v="8248"/>
    </bk>
    <bk>
      <rc t="1" v="8249"/>
    </bk>
    <bk>
      <rc t="1" v="8250"/>
    </bk>
    <bk>
      <rc t="1" v="8251"/>
    </bk>
    <bk>
      <rc t="1" v="8252"/>
    </bk>
    <bk>
      <rc t="1" v="8253"/>
    </bk>
    <bk>
      <rc t="1" v="8254"/>
    </bk>
    <bk>
      <rc t="1" v="8255"/>
    </bk>
    <bk>
      <rc t="1" v="8256"/>
    </bk>
    <bk>
      <rc t="1" v="8257"/>
    </bk>
    <bk>
      <rc t="1" v="8258"/>
    </bk>
    <bk>
      <rc t="1" v="8259"/>
    </bk>
    <bk>
      <rc t="1" v="8260"/>
    </bk>
    <bk>
      <rc t="1" v="8261"/>
    </bk>
    <bk>
      <rc t="1" v="8262"/>
    </bk>
    <bk>
      <rc t="1" v="8263"/>
    </bk>
    <bk>
      <rc t="1" v="8264"/>
    </bk>
    <bk>
      <rc t="1" v="8265"/>
    </bk>
    <bk>
      <rc t="1" v="8266"/>
    </bk>
    <bk>
      <rc t="1" v="8267"/>
    </bk>
    <bk>
      <rc t="1" v="8268"/>
    </bk>
    <bk>
      <rc t="1" v="8269"/>
    </bk>
    <bk>
      <rc t="1" v="8270"/>
    </bk>
    <bk>
      <rc t="1" v="8271"/>
    </bk>
    <bk>
      <rc t="1" v="8272"/>
    </bk>
    <bk>
      <rc t="1" v="8273"/>
    </bk>
    <bk>
      <rc t="1" v="8274"/>
    </bk>
    <bk>
      <rc t="1" v="8275"/>
    </bk>
    <bk>
      <rc t="1" v="8276"/>
    </bk>
    <bk>
      <rc t="1" v="8277"/>
    </bk>
    <bk>
      <rc t="1" v="8278"/>
    </bk>
    <bk>
      <rc t="1" v="8279"/>
    </bk>
    <bk>
      <rc t="1" v="8280"/>
    </bk>
    <bk>
      <rc t="1" v="8281"/>
    </bk>
    <bk>
      <rc t="1" v="8282"/>
    </bk>
    <bk>
      <rc t="1" v="8283"/>
    </bk>
    <bk>
      <rc t="1" v="8284"/>
    </bk>
    <bk>
      <rc t="1" v="8285"/>
    </bk>
    <bk>
      <rc t="1" v="8286"/>
    </bk>
    <bk>
      <rc t="1" v="8287"/>
    </bk>
    <bk>
      <rc t="1" v="8288"/>
    </bk>
    <bk>
      <rc t="1" v="8289"/>
    </bk>
    <bk>
      <rc t="1" v="8290"/>
    </bk>
    <bk>
      <rc t="1" v="8291"/>
    </bk>
    <bk>
      <rc t="1" v="8292"/>
    </bk>
    <bk>
      <rc t="1" v="8293"/>
    </bk>
    <bk>
      <rc t="1" v="8294"/>
    </bk>
    <bk>
      <rc t="1" v="8295"/>
    </bk>
    <bk>
      <rc t="1" v="8296"/>
    </bk>
    <bk>
      <rc t="1" v="8297"/>
    </bk>
    <bk>
      <rc t="1" v="8298"/>
    </bk>
    <bk>
      <rc t="1" v="8299"/>
    </bk>
    <bk>
      <rc t="1" v="8300"/>
    </bk>
    <bk>
      <rc t="1" v="8301"/>
    </bk>
    <bk>
      <rc t="1" v="8302"/>
    </bk>
    <bk>
      <rc t="1" v="8303"/>
    </bk>
    <bk>
      <rc t="1" v="8304"/>
    </bk>
    <bk>
      <rc t="1" v="8305"/>
    </bk>
    <bk>
      <rc t="1" v="8306"/>
    </bk>
    <bk>
      <rc t="1" v="8307"/>
    </bk>
    <bk>
      <rc t="1" v="8308"/>
    </bk>
    <bk>
      <rc t="1" v="8309"/>
    </bk>
    <bk>
      <rc t="1" v="8310"/>
    </bk>
    <bk>
      <rc t="1" v="8311"/>
    </bk>
    <bk>
      <rc t="1" v="8312"/>
    </bk>
    <bk>
      <rc t="1" v="8313"/>
    </bk>
    <bk>
      <rc t="1" v="8314"/>
    </bk>
    <bk>
      <rc t="1" v="8315"/>
    </bk>
    <bk>
      <rc t="1" v="8316"/>
    </bk>
    <bk>
      <rc t="1" v="8317"/>
    </bk>
    <bk>
      <rc t="1" v="8318"/>
    </bk>
    <bk>
      <rc t="1" v="8319"/>
    </bk>
    <bk>
      <rc t="1" v="8320"/>
    </bk>
    <bk>
      <rc t="1" v="8321"/>
    </bk>
    <bk>
      <rc t="1" v="8322"/>
    </bk>
    <bk>
      <rc t="1" v="8323"/>
    </bk>
    <bk>
      <rc t="1" v="8324"/>
    </bk>
    <bk>
      <rc t="1" v="8325"/>
    </bk>
    <bk>
      <rc t="1" v="8326"/>
    </bk>
    <bk>
      <rc t="1" v="8327"/>
    </bk>
    <bk>
      <rc t="1" v="8328"/>
    </bk>
    <bk>
      <rc t="1" v="8329"/>
    </bk>
    <bk>
      <rc t="1" v="8330"/>
    </bk>
    <bk>
      <rc t="1" v="8331"/>
    </bk>
    <bk>
      <rc t="1" v="8332"/>
    </bk>
    <bk>
      <rc t="1" v="8333"/>
    </bk>
    <bk>
      <rc t="1" v="8334"/>
    </bk>
    <bk>
      <rc t="1" v="8335"/>
    </bk>
    <bk>
      <rc t="1" v="8336"/>
    </bk>
    <bk>
      <rc t="1" v="8337"/>
    </bk>
    <bk>
      <rc t="1" v="8338"/>
    </bk>
    <bk>
      <rc t="1" v="8339"/>
    </bk>
    <bk>
      <rc t="1" v="8340"/>
    </bk>
    <bk>
      <rc t="1" v="8341"/>
    </bk>
    <bk>
      <rc t="1" v="8342"/>
    </bk>
    <bk>
      <rc t="1" v="8343"/>
    </bk>
    <bk>
      <rc t="1" v="8344"/>
    </bk>
    <bk>
      <rc t="1" v="8345"/>
    </bk>
    <bk>
      <rc t="1" v="8346"/>
    </bk>
    <bk>
      <rc t="1" v="8347"/>
    </bk>
    <bk>
      <rc t="1" v="8348"/>
    </bk>
    <bk>
      <rc t="1" v="8349"/>
    </bk>
    <bk>
      <rc t="1" v="8350"/>
    </bk>
    <bk>
      <rc t="1" v="8351"/>
    </bk>
    <bk>
      <rc t="1" v="8352"/>
    </bk>
    <bk>
      <rc t="1" v="8353"/>
    </bk>
    <bk>
      <rc t="1" v="8354"/>
    </bk>
    <bk>
      <rc t="1" v="8355"/>
    </bk>
    <bk>
      <rc t="1" v="8356"/>
    </bk>
    <bk>
      <rc t="1" v="8357"/>
    </bk>
    <bk>
      <rc t="1" v="8358"/>
    </bk>
    <bk>
      <rc t="1" v="8359"/>
    </bk>
    <bk>
      <rc t="1" v="8360"/>
    </bk>
    <bk>
      <rc t="1" v="8361"/>
    </bk>
    <bk>
      <rc t="1" v="8362"/>
    </bk>
    <bk>
      <rc t="1" v="8363"/>
    </bk>
    <bk>
      <rc t="1" v="8364"/>
    </bk>
    <bk>
      <rc t="1" v="8365"/>
    </bk>
    <bk>
      <rc t="1" v="8366"/>
    </bk>
    <bk>
      <rc t="1" v="8367"/>
    </bk>
    <bk>
      <rc t="1" v="8368"/>
    </bk>
    <bk>
      <rc t="1" v="8369"/>
    </bk>
    <bk>
      <rc t="1" v="8370"/>
    </bk>
    <bk>
      <rc t="1" v="8371"/>
    </bk>
    <bk>
      <rc t="1" v="8372"/>
    </bk>
    <bk>
      <rc t="1" v="8373"/>
    </bk>
    <bk>
      <rc t="1" v="8374"/>
    </bk>
    <bk>
      <rc t="1" v="8375"/>
    </bk>
    <bk>
      <rc t="1" v="8376"/>
    </bk>
    <bk>
      <rc t="1" v="8377"/>
    </bk>
    <bk>
      <rc t="1" v="8378"/>
    </bk>
    <bk>
      <rc t="1" v="8379"/>
    </bk>
    <bk>
      <rc t="1" v="8380"/>
    </bk>
    <bk>
      <rc t="1" v="8381"/>
    </bk>
    <bk>
      <rc t="1" v="8382"/>
    </bk>
    <bk>
      <rc t="1" v="8383"/>
    </bk>
    <bk>
      <rc t="1" v="8384"/>
    </bk>
    <bk>
      <rc t="1" v="8385"/>
    </bk>
    <bk>
      <rc t="1" v="8386"/>
    </bk>
    <bk>
      <rc t="1" v="8387"/>
    </bk>
    <bk>
      <rc t="1" v="8388"/>
    </bk>
    <bk>
      <rc t="1" v="8389"/>
    </bk>
    <bk>
      <rc t="1" v="8390"/>
    </bk>
    <bk>
      <rc t="1" v="8391"/>
    </bk>
    <bk>
      <rc t="1" v="8392"/>
    </bk>
    <bk>
      <rc t="1" v="8393"/>
    </bk>
    <bk>
      <rc t="1" v="8394"/>
    </bk>
    <bk>
      <rc t="1" v="8395"/>
    </bk>
    <bk>
      <rc t="1" v="8396"/>
    </bk>
    <bk>
      <rc t="1" v="8397"/>
    </bk>
    <bk>
      <rc t="1" v="8398"/>
    </bk>
    <bk>
      <rc t="1" v="8399"/>
    </bk>
    <bk>
      <rc t="1" v="8400"/>
    </bk>
    <bk>
      <rc t="1" v="8401"/>
    </bk>
    <bk>
      <rc t="1" v="8402"/>
    </bk>
    <bk>
      <rc t="1" v="8403"/>
    </bk>
    <bk>
      <rc t="1" v="8404"/>
    </bk>
    <bk>
      <rc t="1" v="8405"/>
    </bk>
    <bk>
      <rc t="1" v="8406"/>
    </bk>
    <bk>
      <rc t="1" v="8407"/>
    </bk>
    <bk>
      <rc t="1" v="8408"/>
    </bk>
    <bk>
      <rc t="1" v="8409"/>
    </bk>
    <bk>
      <rc t="1" v="8410"/>
    </bk>
    <bk>
      <rc t="1" v="8411"/>
    </bk>
    <bk>
      <rc t="1" v="8412"/>
    </bk>
    <bk>
      <rc t="1" v="8413"/>
    </bk>
    <bk>
      <rc t="1" v="8414"/>
    </bk>
    <bk>
      <rc t="1" v="8415"/>
    </bk>
    <bk>
      <rc t="1" v="8416"/>
    </bk>
    <bk>
      <rc t="1" v="8417"/>
    </bk>
    <bk>
      <rc t="1" v="8418"/>
    </bk>
    <bk>
      <rc t="1" v="8419"/>
    </bk>
    <bk>
      <rc t="1" v="8420"/>
    </bk>
    <bk>
      <rc t="1" v="8421"/>
    </bk>
    <bk>
      <rc t="1" v="8422"/>
    </bk>
    <bk>
      <rc t="1" v="8423"/>
    </bk>
    <bk>
      <rc t="1" v="8424"/>
    </bk>
    <bk>
      <rc t="1" v="8425"/>
    </bk>
    <bk>
      <rc t="1" v="8426"/>
    </bk>
    <bk>
      <rc t="1" v="8427"/>
    </bk>
    <bk>
      <rc t="1" v="8428"/>
    </bk>
    <bk>
      <rc t="1" v="8429"/>
    </bk>
    <bk>
      <rc t="1" v="8430"/>
    </bk>
    <bk>
      <rc t="1" v="8431"/>
    </bk>
    <bk>
      <rc t="1" v="8432"/>
    </bk>
    <bk>
      <rc t="1" v="8433"/>
    </bk>
    <bk>
      <rc t="1" v="8434"/>
    </bk>
    <bk>
      <rc t="1" v="8435"/>
    </bk>
    <bk>
      <rc t="1" v="8436"/>
    </bk>
    <bk>
      <rc t="1" v="8437"/>
    </bk>
    <bk>
      <rc t="1" v="8438"/>
    </bk>
    <bk>
      <rc t="1" v="8439"/>
    </bk>
    <bk>
      <rc t="1" v="8440"/>
    </bk>
    <bk>
      <rc t="1" v="8441"/>
    </bk>
    <bk>
      <rc t="1" v="8442"/>
    </bk>
    <bk>
      <rc t="1" v="8443"/>
    </bk>
    <bk>
      <rc t="1" v="8444"/>
    </bk>
    <bk>
      <rc t="1" v="8445"/>
    </bk>
    <bk>
      <rc t="1" v="8446"/>
    </bk>
    <bk>
      <rc t="1" v="8447"/>
    </bk>
    <bk>
      <rc t="1" v="8448"/>
    </bk>
    <bk>
      <rc t="1" v="8449"/>
    </bk>
    <bk>
      <rc t="1" v="8450"/>
    </bk>
    <bk>
      <rc t="1" v="8451"/>
    </bk>
    <bk>
      <rc t="1" v="8452"/>
    </bk>
    <bk>
      <rc t="1" v="8453"/>
    </bk>
    <bk>
      <rc t="1" v="8454"/>
    </bk>
    <bk>
      <rc t="1" v="8455"/>
    </bk>
    <bk>
      <rc t="1" v="8456"/>
    </bk>
    <bk>
      <rc t="1" v="8457"/>
    </bk>
    <bk>
      <rc t="1" v="8458"/>
    </bk>
    <bk>
      <rc t="1" v="8459"/>
    </bk>
    <bk>
      <rc t="1" v="8460"/>
    </bk>
    <bk>
      <rc t="1" v="8461"/>
    </bk>
    <bk>
      <rc t="1" v="8462"/>
    </bk>
    <bk>
      <rc t="1" v="8463"/>
    </bk>
    <bk>
      <rc t="1" v="8464"/>
    </bk>
    <bk>
      <rc t="1" v="8465"/>
    </bk>
    <bk>
      <rc t="1" v="8466"/>
    </bk>
    <bk>
      <rc t="1" v="8467"/>
    </bk>
    <bk>
      <rc t="1" v="8468"/>
    </bk>
    <bk>
      <rc t="1" v="8469"/>
    </bk>
    <bk>
      <rc t="1" v="8470"/>
    </bk>
    <bk>
      <rc t="1" v="8471"/>
    </bk>
    <bk>
      <rc t="1" v="8472"/>
    </bk>
    <bk>
      <rc t="1" v="8473"/>
    </bk>
    <bk>
      <rc t="1" v="8474"/>
    </bk>
    <bk>
      <rc t="1" v="8475"/>
    </bk>
    <bk>
      <rc t="1" v="8476"/>
    </bk>
    <bk>
      <rc t="1" v="8477"/>
    </bk>
    <bk>
      <rc t="1" v="8478"/>
    </bk>
    <bk>
      <rc t="1" v="8479"/>
    </bk>
    <bk>
      <rc t="1" v="8480"/>
    </bk>
    <bk>
      <rc t="1" v="8481"/>
    </bk>
    <bk>
      <rc t="1" v="8482"/>
    </bk>
    <bk>
      <rc t="1" v="8483"/>
    </bk>
    <bk>
      <rc t="1" v="8484"/>
    </bk>
    <bk>
      <rc t="1" v="8485"/>
    </bk>
    <bk>
      <rc t="1" v="8486"/>
    </bk>
    <bk>
      <rc t="1" v="8487"/>
    </bk>
    <bk>
      <rc t="1" v="8488"/>
    </bk>
    <bk>
      <rc t="1" v="8489"/>
    </bk>
    <bk>
      <rc t="1" v="8490"/>
    </bk>
    <bk>
      <rc t="1" v="8491"/>
    </bk>
    <bk>
      <rc t="1" v="8492"/>
    </bk>
    <bk>
      <rc t="1" v="8493"/>
    </bk>
    <bk>
      <rc t="1" v="8494"/>
    </bk>
    <bk>
      <rc t="1" v="8495"/>
    </bk>
    <bk>
      <rc t="1" v="8496"/>
    </bk>
    <bk>
      <rc t="1" v="8497"/>
    </bk>
    <bk>
      <rc t="1" v="8498"/>
    </bk>
    <bk>
      <rc t="1" v="8499"/>
    </bk>
    <bk>
      <rc t="1" v="8500"/>
    </bk>
    <bk>
      <rc t="1" v="8501"/>
    </bk>
    <bk>
      <rc t="1" v="8502"/>
    </bk>
    <bk>
      <rc t="1" v="8503"/>
    </bk>
    <bk>
      <rc t="1" v="8504"/>
    </bk>
    <bk>
      <rc t="1" v="8505"/>
    </bk>
    <bk>
      <rc t="1" v="8506"/>
    </bk>
    <bk>
      <rc t="1" v="8507"/>
    </bk>
    <bk>
      <rc t="1" v="8508"/>
    </bk>
    <bk>
      <rc t="1" v="8509"/>
    </bk>
    <bk>
      <rc t="1" v="8510"/>
    </bk>
    <bk>
      <rc t="1" v="8511"/>
    </bk>
    <bk>
      <rc t="1" v="8512"/>
    </bk>
    <bk>
      <rc t="1" v="8513"/>
    </bk>
    <bk>
      <rc t="1" v="8514"/>
    </bk>
    <bk>
      <rc t="1" v="8515"/>
    </bk>
    <bk>
      <rc t="1" v="8516"/>
    </bk>
    <bk>
      <rc t="1" v="8517"/>
    </bk>
    <bk>
      <rc t="1" v="8518"/>
    </bk>
    <bk>
      <rc t="1" v="8519"/>
    </bk>
    <bk>
      <rc t="1" v="8520"/>
    </bk>
    <bk>
      <rc t="1" v="8521"/>
    </bk>
    <bk>
      <rc t="1" v="8522"/>
    </bk>
    <bk>
      <rc t="1" v="8523"/>
    </bk>
    <bk>
      <rc t="1" v="8524"/>
    </bk>
    <bk>
      <rc t="1" v="8525"/>
    </bk>
    <bk>
      <rc t="1" v="8526"/>
    </bk>
    <bk>
      <rc t="1" v="8527"/>
    </bk>
    <bk>
      <rc t="1" v="8528"/>
    </bk>
    <bk>
      <rc t="1" v="8529"/>
    </bk>
    <bk>
      <rc t="1" v="8530"/>
    </bk>
    <bk>
      <rc t="1" v="8531"/>
    </bk>
    <bk>
      <rc t="1" v="8532"/>
    </bk>
    <bk>
      <rc t="1" v="8533"/>
    </bk>
    <bk>
      <rc t="1" v="8534"/>
    </bk>
    <bk>
      <rc t="1" v="8535"/>
    </bk>
    <bk>
      <rc t="1" v="8536"/>
    </bk>
    <bk>
      <rc t="1" v="8537"/>
    </bk>
    <bk>
      <rc t="1" v="8538"/>
    </bk>
    <bk>
      <rc t="1" v="8539"/>
    </bk>
    <bk>
      <rc t="1" v="8540"/>
    </bk>
    <bk>
      <rc t="1" v="8541"/>
    </bk>
    <bk>
      <rc t="1" v="8542"/>
    </bk>
    <bk>
      <rc t="1" v="8543"/>
    </bk>
    <bk>
      <rc t="1" v="8544"/>
    </bk>
    <bk>
      <rc t="1" v="8545"/>
    </bk>
    <bk>
      <rc t="1" v="8546"/>
    </bk>
    <bk>
      <rc t="1" v="8547"/>
    </bk>
    <bk>
      <rc t="1" v="8548"/>
    </bk>
    <bk>
      <rc t="1" v="8549"/>
    </bk>
    <bk>
      <rc t="1" v="8550"/>
    </bk>
    <bk>
      <rc t="1" v="8551"/>
    </bk>
    <bk>
      <rc t="1" v="8552"/>
    </bk>
    <bk>
      <rc t="1" v="8553"/>
    </bk>
    <bk>
      <rc t="1" v="8554"/>
    </bk>
    <bk>
      <rc t="1" v="8555"/>
    </bk>
    <bk>
      <rc t="1" v="8556"/>
    </bk>
    <bk>
      <rc t="1" v="8557"/>
    </bk>
    <bk>
      <rc t="1" v="8558"/>
    </bk>
    <bk>
      <rc t="1" v="8559"/>
    </bk>
    <bk>
      <rc t="1" v="8560"/>
    </bk>
    <bk>
      <rc t="1" v="8561"/>
    </bk>
    <bk>
      <rc t="1" v="8562"/>
    </bk>
    <bk>
      <rc t="1" v="8563"/>
    </bk>
    <bk>
      <rc t="1" v="8564"/>
    </bk>
    <bk>
      <rc t="1" v="8565"/>
    </bk>
    <bk>
      <rc t="1" v="8566"/>
    </bk>
    <bk>
      <rc t="1" v="8567"/>
    </bk>
    <bk>
      <rc t="1" v="8568"/>
    </bk>
    <bk>
      <rc t="1" v="8569"/>
    </bk>
    <bk>
      <rc t="1" v="8570"/>
    </bk>
    <bk>
      <rc t="1" v="8571"/>
    </bk>
    <bk>
      <rc t="1" v="8572"/>
    </bk>
    <bk>
      <rc t="1" v="8573"/>
    </bk>
    <bk>
      <rc t="1" v="8574"/>
    </bk>
    <bk>
      <rc t="1" v="8575"/>
    </bk>
    <bk>
      <rc t="1" v="8576"/>
    </bk>
    <bk>
      <rc t="1" v="8577"/>
    </bk>
    <bk>
      <rc t="1" v="8578"/>
    </bk>
    <bk>
      <rc t="1" v="8579"/>
    </bk>
    <bk>
      <rc t="1" v="8580"/>
    </bk>
    <bk>
      <rc t="1" v="8581"/>
    </bk>
    <bk>
      <rc t="1" v="8582"/>
    </bk>
    <bk>
      <rc t="1" v="8583"/>
    </bk>
    <bk>
      <rc t="1" v="8584"/>
    </bk>
    <bk>
      <rc t="1" v="8585"/>
    </bk>
    <bk>
      <rc t="1" v="8586"/>
    </bk>
    <bk>
      <rc t="1" v="8587"/>
    </bk>
    <bk>
      <rc t="1" v="8588"/>
    </bk>
    <bk>
      <rc t="1" v="8589"/>
    </bk>
    <bk>
      <rc t="1" v="8590"/>
    </bk>
    <bk>
      <rc t="1" v="8591"/>
    </bk>
    <bk>
      <rc t="1" v="8592"/>
    </bk>
    <bk>
      <rc t="1" v="8593"/>
    </bk>
    <bk>
      <rc t="1" v="8594"/>
    </bk>
    <bk>
      <rc t="1" v="8595"/>
    </bk>
    <bk>
      <rc t="1" v="8596"/>
    </bk>
    <bk>
      <rc t="1" v="8597"/>
    </bk>
    <bk>
      <rc t="1" v="8598"/>
    </bk>
    <bk>
      <rc t="1" v="8599"/>
    </bk>
    <bk>
      <rc t="1" v="8600"/>
    </bk>
    <bk>
      <rc t="1" v="8601"/>
    </bk>
    <bk>
      <rc t="1" v="8602"/>
    </bk>
    <bk>
      <rc t="1" v="8603"/>
    </bk>
    <bk>
      <rc t="1" v="8604"/>
    </bk>
    <bk>
      <rc t="1" v="8605"/>
    </bk>
    <bk>
      <rc t="1" v="8606"/>
    </bk>
    <bk>
      <rc t="1" v="8607"/>
    </bk>
    <bk>
      <rc t="1" v="8608"/>
    </bk>
    <bk>
      <rc t="1" v="8609"/>
    </bk>
    <bk>
      <rc t="1" v="8610"/>
    </bk>
    <bk>
      <rc t="1" v="8611"/>
    </bk>
    <bk>
      <rc t="1" v="8612"/>
    </bk>
    <bk>
      <rc t="1" v="8613"/>
    </bk>
    <bk>
      <rc t="1" v="8614"/>
    </bk>
    <bk>
      <rc t="1" v="8615"/>
    </bk>
    <bk>
      <rc t="1" v="8616"/>
    </bk>
    <bk>
      <rc t="1" v="8617"/>
    </bk>
    <bk>
      <rc t="1" v="8618"/>
    </bk>
    <bk>
      <rc t="1" v="8619"/>
    </bk>
    <bk>
      <rc t="1" v="8620"/>
    </bk>
    <bk>
      <rc t="1" v="8621"/>
    </bk>
    <bk>
      <rc t="1" v="8622"/>
    </bk>
    <bk>
      <rc t="1" v="8623"/>
    </bk>
    <bk>
      <rc t="1" v="8624"/>
    </bk>
    <bk>
      <rc t="1" v="8625"/>
    </bk>
    <bk>
      <rc t="1" v="8626"/>
    </bk>
    <bk>
      <rc t="1" v="8627"/>
    </bk>
    <bk>
      <rc t="1" v="8628"/>
    </bk>
    <bk>
      <rc t="1" v="8629"/>
    </bk>
    <bk>
      <rc t="1" v="8630"/>
    </bk>
    <bk>
      <rc t="1" v="8631"/>
    </bk>
    <bk>
      <rc t="1" v="8632"/>
    </bk>
    <bk>
      <rc t="1" v="8633"/>
    </bk>
    <bk>
      <rc t="1" v="8634"/>
    </bk>
    <bk>
      <rc t="1" v="8635"/>
    </bk>
    <bk>
      <rc t="1" v="8636"/>
    </bk>
    <bk>
      <rc t="1" v="8637"/>
    </bk>
    <bk>
      <rc t="1" v="8638"/>
    </bk>
    <bk>
      <rc t="1" v="8639"/>
    </bk>
    <bk>
      <rc t="1" v="8640"/>
    </bk>
    <bk>
      <rc t="1" v="8641"/>
    </bk>
    <bk>
      <rc t="1" v="8642"/>
    </bk>
    <bk>
      <rc t="1" v="8643"/>
    </bk>
    <bk>
      <rc t="1" v="8644"/>
    </bk>
    <bk>
      <rc t="1" v="8645"/>
    </bk>
    <bk>
      <rc t="1" v="8646"/>
    </bk>
    <bk>
      <rc t="1" v="8647"/>
    </bk>
    <bk>
      <rc t="1" v="8648"/>
    </bk>
    <bk>
      <rc t="1" v="8649"/>
    </bk>
    <bk>
      <rc t="1" v="8650"/>
    </bk>
    <bk>
      <rc t="1" v="8651"/>
    </bk>
    <bk>
      <rc t="1" v="8652"/>
    </bk>
    <bk>
      <rc t="1" v="8653"/>
    </bk>
    <bk>
      <rc t="1" v="8654"/>
    </bk>
    <bk>
      <rc t="1" v="8655"/>
    </bk>
    <bk>
      <rc t="1" v="8656"/>
    </bk>
    <bk>
      <rc t="1" v="8657"/>
    </bk>
    <bk>
      <rc t="1" v="8658"/>
    </bk>
    <bk>
      <rc t="1" v="8659"/>
    </bk>
    <bk>
      <rc t="1" v="8660"/>
    </bk>
    <bk>
      <rc t="1" v="8661"/>
    </bk>
    <bk>
      <rc t="1" v="8662"/>
    </bk>
    <bk>
      <rc t="1" v="8663"/>
    </bk>
    <bk>
      <rc t="1" v="8664"/>
    </bk>
    <bk>
      <rc t="1" v="8665"/>
    </bk>
    <bk>
      <rc t="1" v="8666"/>
    </bk>
    <bk>
      <rc t="1" v="8667"/>
    </bk>
    <bk>
      <rc t="1" v="8668"/>
    </bk>
    <bk>
      <rc t="1" v="8669"/>
    </bk>
    <bk>
      <rc t="1" v="8670"/>
    </bk>
    <bk>
      <rc t="1" v="8671"/>
    </bk>
    <bk>
      <rc t="1" v="8672"/>
    </bk>
    <bk>
      <rc t="1" v="8673"/>
    </bk>
    <bk>
      <rc t="1" v="8674"/>
    </bk>
    <bk>
      <rc t="1" v="8675"/>
    </bk>
    <bk>
      <rc t="1" v="8676"/>
    </bk>
    <bk>
      <rc t="1" v="8677"/>
    </bk>
    <bk>
      <rc t="1" v="8678"/>
    </bk>
    <bk>
      <rc t="1" v="8679"/>
    </bk>
    <bk>
      <rc t="1" v="8680"/>
    </bk>
    <bk>
      <rc t="1" v="8681"/>
    </bk>
    <bk>
      <rc t="1" v="8682"/>
    </bk>
    <bk>
      <rc t="1" v="8683"/>
    </bk>
    <bk>
      <rc t="1" v="8684"/>
    </bk>
    <bk>
      <rc t="1" v="8685"/>
    </bk>
    <bk>
      <rc t="1" v="8686"/>
    </bk>
    <bk>
      <rc t="1" v="8687"/>
    </bk>
    <bk>
      <rc t="1" v="8688"/>
    </bk>
    <bk>
      <rc t="1" v="8689"/>
    </bk>
    <bk>
      <rc t="1" v="8690"/>
    </bk>
    <bk>
      <rc t="1" v="8691"/>
    </bk>
    <bk>
      <rc t="1" v="8692"/>
    </bk>
    <bk>
      <rc t="1" v="8693"/>
    </bk>
    <bk>
      <rc t="1" v="8694"/>
    </bk>
    <bk>
      <rc t="1" v="8695"/>
    </bk>
    <bk>
      <rc t="1" v="8696"/>
    </bk>
    <bk>
      <rc t="1" v="8697"/>
    </bk>
    <bk>
      <rc t="1" v="8698"/>
    </bk>
    <bk>
      <rc t="1" v="8699"/>
    </bk>
    <bk>
      <rc t="1" v="8700"/>
    </bk>
    <bk>
      <rc t="1" v="8701"/>
    </bk>
    <bk>
      <rc t="1" v="8702"/>
    </bk>
    <bk>
      <rc t="1" v="8703"/>
    </bk>
    <bk>
      <rc t="1" v="8704"/>
    </bk>
    <bk>
      <rc t="1" v="8705"/>
    </bk>
    <bk>
      <rc t="1" v="8706"/>
    </bk>
    <bk>
      <rc t="1" v="8707"/>
    </bk>
    <bk>
      <rc t="1" v="8708"/>
    </bk>
    <bk>
      <rc t="1" v="8709"/>
    </bk>
    <bk>
      <rc t="1" v="8710"/>
    </bk>
    <bk>
      <rc t="1" v="8711"/>
    </bk>
    <bk>
      <rc t="1" v="8712"/>
    </bk>
    <bk>
      <rc t="1" v="8713"/>
    </bk>
    <bk>
      <rc t="1" v="8714"/>
    </bk>
    <bk>
      <rc t="1" v="8715"/>
    </bk>
    <bk>
      <rc t="1" v="8716"/>
    </bk>
    <bk>
      <rc t="1" v="8717"/>
    </bk>
    <bk>
      <rc t="1" v="8718"/>
    </bk>
    <bk>
      <rc t="1" v="8719"/>
    </bk>
    <bk>
      <rc t="1" v="8720"/>
    </bk>
    <bk>
      <rc t="1" v="8721"/>
    </bk>
    <bk>
      <rc t="1" v="8722"/>
    </bk>
    <bk>
      <rc t="1" v="8723"/>
    </bk>
    <bk>
      <rc t="1" v="8724"/>
    </bk>
    <bk>
      <rc t="1" v="8725"/>
    </bk>
    <bk>
      <rc t="1" v="8726"/>
    </bk>
    <bk>
      <rc t="1" v="8727"/>
    </bk>
    <bk>
      <rc t="1" v="8728"/>
    </bk>
    <bk>
      <rc t="1" v="8729"/>
    </bk>
    <bk>
      <rc t="1" v="8730"/>
    </bk>
    <bk>
      <rc t="1" v="8731"/>
    </bk>
    <bk>
      <rc t="1" v="8732"/>
    </bk>
    <bk>
      <rc t="1" v="8733"/>
    </bk>
    <bk>
      <rc t="1" v="8734"/>
    </bk>
    <bk>
      <rc t="1" v="8735"/>
    </bk>
    <bk>
      <rc t="1" v="8736"/>
    </bk>
    <bk>
      <rc t="1" v="8737"/>
    </bk>
    <bk>
      <rc t="1" v="8738"/>
    </bk>
    <bk>
      <rc t="1" v="8739"/>
    </bk>
    <bk>
      <rc t="1" v="8740"/>
    </bk>
    <bk>
      <rc t="1" v="8741"/>
    </bk>
    <bk>
      <rc t="1" v="8742"/>
    </bk>
    <bk>
      <rc t="1" v="8743"/>
    </bk>
    <bk>
      <rc t="1" v="8744"/>
    </bk>
    <bk>
      <rc t="1" v="8745"/>
    </bk>
    <bk>
      <rc t="1" v="8746"/>
    </bk>
    <bk>
      <rc t="1" v="8747"/>
    </bk>
    <bk>
      <rc t="1" v="8748"/>
    </bk>
    <bk>
      <rc t="1" v="8749"/>
    </bk>
    <bk>
      <rc t="1" v="8750"/>
    </bk>
    <bk>
      <rc t="1" v="8751"/>
    </bk>
    <bk>
      <rc t="1" v="8752"/>
    </bk>
    <bk>
      <rc t="1" v="8753"/>
    </bk>
    <bk>
      <rc t="1" v="8754"/>
    </bk>
    <bk>
      <rc t="1" v="8755"/>
    </bk>
    <bk>
      <rc t="1" v="8756"/>
    </bk>
    <bk>
      <rc t="1" v="8757"/>
    </bk>
    <bk>
      <rc t="1" v="8758"/>
    </bk>
    <bk>
      <rc t="1" v="8759"/>
    </bk>
    <bk>
      <rc t="1" v="8760"/>
    </bk>
    <bk>
      <rc t="1" v="8761"/>
    </bk>
    <bk>
      <rc t="1" v="8762"/>
    </bk>
    <bk>
      <rc t="1" v="8763"/>
    </bk>
    <bk>
      <rc t="1" v="8764"/>
    </bk>
    <bk>
      <rc t="1" v="8765"/>
    </bk>
    <bk>
      <rc t="1" v="8766"/>
    </bk>
    <bk>
      <rc t="1" v="8767"/>
    </bk>
    <bk>
      <rc t="1" v="8768"/>
    </bk>
    <bk>
      <rc t="1" v="8769"/>
    </bk>
    <bk>
      <rc t="1" v="8770"/>
    </bk>
    <bk>
      <rc t="1" v="8771"/>
    </bk>
    <bk>
      <rc t="1" v="8772"/>
    </bk>
    <bk>
      <rc t="1" v="8773"/>
    </bk>
    <bk>
      <rc t="1" v="8774"/>
    </bk>
    <bk>
      <rc t="1" v="8775"/>
    </bk>
    <bk>
      <rc t="1" v="8776"/>
    </bk>
    <bk>
      <rc t="1" v="8777"/>
    </bk>
    <bk>
      <rc t="1" v="8778"/>
    </bk>
    <bk>
      <rc t="1" v="8779"/>
    </bk>
    <bk>
      <rc t="1" v="8780"/>
    </bk>
    <bk>
      <rc t="1" v="8781"/>
    </bk>
    <bk>
      <rc t="1" v="8782"/>
    </bk>
    <bk>
      <rc t="1" v="8783"/>
    </bk>
    <bk>
      <rc t="1" v="8784"/>
    </bk>
    <bk>
      <rc t="1" v="8785"/>
    </bk>
    <bk>
      <rc t="1" v="8786"/>
    </bk>
    <bk>
      <rc t="1" v="8787"/>
    </bk>
    <bk>
      <rc t="1" v="8788"/>
    </bk>
    <bk>
      <rc t="1" v="8789"/>
    </bk>
    <bk>
      <rc t="1" v="8790"/>
    </bk>
    <bk>
      <rc t="1" v="8791"/>
    </bk>
    <bk>
      <rc t="1" v="8792"/>
    </bk>
    <bk>
      <rc t="1" v="8793"/>
    </bk>
    <bk>
      <rc t="1" v="8794"/>
    </bk>
    <bk>
      <rc t="1" v="8795"/>
    </bk>
    <bk>
      <rc t="1" v="8796"/>
    </bk>
    <bk>
      <rc t="1" v="8797"/>
    </bk>
    <bk>
      <rc t="1" v="8798"/>
    </bk>
    <bk>
      <rc t="1" v="8799"/>
    </bk>
    <bk>
      <rc t="1" v="8800"/>
    </bk>
    <bk>
      <rc t="1" v="8801"/>
    </bk>
    <bk>
      <rc t="1" v="8802"/>
    </bk>
    <bk>
      <rc t="1" v="8803"/>
    </bk>
    <bk>
      <rc t="1" v="8804"/>
    </bk>
    <bk>
      <rc t="1" v="8805"/>
    </bk>
    <bk>
      <rc t="1" v="8806"/>
    </bk>
    <bk>
      <rc t="1" v="8807"/>
    </bk>
    <bk>
      <rc t="1" v="8808"/>
    </bk>
    <bk>
      <rc t="1" v="8809"/>
    </bk>
    <bk>
      <rc t="1" v="8810"/>
    </bk>
    <bk>
      <rc t="1" v="8811"/>
    </bk>
    <bk>
      <rc t="1" v="8812"/>
    </bk>
    <bk>
      <rc t="1" v="8813"/>
    </bk>
    <bk>
      <rc t="1" v="8814"/>
    </bk>
    <bk>
      <rc t="1" v="8815"/>
    </bk>
    <bk>
      <rc t="1" v="8816"/>
    </bk>
    <bk>
      <rc t="1" v="8817"/>
    </bk>
    <bk>
      <rc t="1" v="8818"/>
    </bk>
    <bk>
      <rc t="1" v="8819"/>
    </bk>
    <bk>
      <rc t="1" v="8820"/>
    </bk>
    <bk>
      <rc t="1" v="8821"/>
    </bk>
    <bk>
      <rc t="1" v="8822"/>
    </bk>
    <bk>
      <rc t="1" v="8823"/>
    </bk>
    <bk>
      <rc t="1" v="8824"/>
    </bk>
    <bk>
      <rc t="1" v="8825"/>
    </bk>
    <bk>
      <rc t="1" v="8826"/>
    </bk>
    <bk>
      <rc t="1" v="8827"/>
    </bk>
    <bk>
      <rc t="1" v="8828"/>
    </bk>
    <bk>
      <rc t="1" v="8829"/>
    </bk>
    <bk>
      <rc t="1" v="8830"/>
    </bk>
    <bk>
      <rc t="1" v="8831"/>
    </bk>
    <bk>
      <rc t="1" v="8832"/>
    </bk>
    <bk>
      <rc t="1" v="8833"/>
    </bk>
    <bk>
      <rc t="1" v="8834"/>
    </bk>
    <bk>
      <rc t="1" v="8835"/>
    </bk>
    <bk>
      <rc t="1" v="8836"/>
    </bk>
    <bk>
      <rc t="1" v="8837"/>
    </bk>
    <bk>
      <rc t="1" v="8838"/>
    </bk>
    <bk>
      <rc t="1" v="8839"/>
    </bk>
    <bk>
      <rc t="1" v="8840"/>
    </bk>
    <bk>
      <rc t="1" v="8841"/>
    </bk>
    <bk>
      <rc t="1" v="8842"/>
    </bk>
    <bk>
      <rc t="1" v="8843"/>
    </bk>
    <bk>
      <rc t="1" v="8844"/>
    </bk>
    <bk>
      <rc t="1" v="8845"/>
    </bk>
    <bk>
      <rc t="1" v="8846"/>
    </bk>
    <bk>
      <rc t="1" v="8847"/>
    </bk>
    <bk>
      <rc t="1" v="8848"/>
    </bk>
    <bk>
      <rc t="1" v="8849"/>
    </bk>
    <bk>
      <rc t="1" v="8850"/>
    </bk>
    <bk>
      <rc t="1" v="8851"/>
    </bk>
    <bk>
      <rc t="1" v="8852"/>
    </bk>
    <bk>
      <rc t="1" v="8853"/>
    </bk>
    <bk>
      <rc t="1" v="8854"/>
    </bk>
    <bk>
      <rc t="1" v="8855"/>
    </bk>
    <bk>
      <rc t="1" v="8856"/>
    </bk>
    <bk>
      <rc t="1" v="8857"/>
    </bk>
    <bk>
      <rc t="1" v="8858"/>
    </bk>
    <bk>
      <rc t="1" v="8859"/>
    </bk>
    <bk>
      <rc t="1" v="8860"/>
    </bk>
    <bk>
      <rc t="1" v="8861"/>
    </bk>
    <bk>
      <rc t="1" v="8862"/>
    </bk>
    <bk>
      <rc t="1" v="8863"/>
    </bk>
    <bk>
      <rc t="1" v="8864"/>
    </bk>
    <bk>
      <rc t="1" v="8865"/>
    </bk>
    <bk>
      <rc t="1" v="8866"/>
    </bk>
    <bk>
      <rc t="1" v="8867"/>
    </bk>
    <bk>
      <rc t="1" v="8868"/>
    </bk>
    <bk>
      <rc t="1" v="8869"/>
    </bk>
    <bk>
      <rc t="1" v="8870"/>
    </bk>
    <bk>
      <rc t="1" v="8871"/>
    </bk>
    <bk>
      <rc t="1" v="8872"/>
    </bk>
    <bk>
      <rc t="1" v="8873"/>
    </bk>
    <bk>
      <rc t="1" v="8874"/>
    </bk>
    <bk>
      <rc t="1" v="8875"/>
    </bk>
    <bk>
      <rc t="1" v="8876"/>
    </bk>
    <bk>
      <rc t="1" v="8877"/>
    </bk>
    <bk>
      <rc t="1" v="8878"/>
    </bk>
    <bk>
      <rc t="1" v="8879"/>
    </bk>
    <bk>
      <rc t="1" v="8880"/>
    </bk>
    <bk>
      <rc t="1" v="8881"/>
    </bk>
    <bk>
      <rc t="1" v="8882"/>
    </bk>
    <bk>
      <rc t="1" v="8883"/>
    </bk>
    <bk>
      <rc t="1" v="8884"/>
    </bk>
    <bk>
      <rc t="1" v="8885"/>
    </bk>
    <bk>
      <rc t="1" v="8886"/>
    </bk>
    <bk>
      <rc t="1" v="8887"/>
    </bk>
    <bk>
      <rc t="1" v="8888"/>
    </bk>
    <bk>
      <rc t="1" v="8889"/>
    </bk>
    <bk>
      <rc t="1" v="8890"/>
    </bk>
    <bk>
      <rc t="1" v="8891"/>
    </bk>
    <bk>
      <rc t="1" v="8892"/>
    </bk>
    <bk>
      <rc t="1" v="8893"/>
    </bk>
    <bk>
      <rc t="1" v="8894"/>
    </bk>
    <bk>
      <rc t="1" v="8895"/>
    </bk>
    <bk>
      <rc t="1" v="8896"/>
    </bk>
    <bk>
      <rc t="1" v="8897"/>
    </bk>
    <bk>
      <rc t="1" v="8898"/>
    </bk>
    <bk>
      <rc t="1" v="8899"/>
    </bk>
    <bk>
      <rc t="1" v="8900"/>
    </bk>
    <bk>
      <rc t="1" v="8901"/>
    </bk>
    <bk>
      <rc t="1" v="8902"/>
    </bk>
    <bk>
      <rc t="1" v="8903"/>
    </bk>
    <bk>
      <rc t="1" v="8904"/>
    </bk>
    <bk>
      <rc t="1" v="8905"/>
    </bk>
    <bk>
      <rc t="1" v="8906"/>
    </bk>
    <bk>
      <rc t="1" v="8907"/>
    </bk>
    <bk>
      <rc t="1" v="8908"/>
    </bk>
    <bk>
      <rc t="1" v="8909"/>
    </bk>
    <bk>
      <rc t="1" v="8910"/>
    </bk>
    <bk>
      <rc t="1" v="8911"/>
    </bk>
    <bk>
      <rc t="1" v="8912"/>
    </bk>
    <bk>
      <rc t="1" v="8913"/>
    </bk>
    <bk>
      <rc t="1" v="8914"/>
    </bk>
    <bk>
      <rc t="1" v="8915"/>
    </bk>
    <bk>
      <rc t="1" v="8916"/>
    </bk>
    <bk>
      <rc t="1" v="8917"/>
    </bk>
    <bk>
      <rc t="1" v="8918"/>
    </bk>
    <bk>
      <rc t="1" v="8919"/>
    </bk>
    <bk>
      <rc t="1" v="8920"/>
    </bk>
    <bk>
      <rc t="1" v="8921"/>
    </bk>
    <bk>
      <rc t="1" v="8922"/>
    </bk>
    <bk>
      <rc t="1" v="8923"/>
    </bk>
    <bk>
      <rc t="1" v="8924"/>
    </bk>
    <bk>
      <rc t="1" v="8925"/>
    </bk>
    <bk>
      <rc t="1" v="8926"/>
    </bk>
    <bk>
      <rc t="1" v="8927"/>
    </bk>
    <bk>
      <rc t="1" v="8928"/>
    </bk>
    <bk>
      <rc t="1" v="8929"/>
    </bk>
    <bk>
      <rc t="1" v="8930"/>
    </bk>
    <bk>
      <rc t="1" v="8931"/>
    </bk>
    <bk>
      <rc t="1" v="8932"/>
    </bk>
    <bk>
      <rc t="1" v="8933"/>
    </bk>
    <bk>
      <rc t="1" v="8934"/>
    </bk>
    <bk>
      <rc t="1" v="8935"/>
    </bk>
    <bk>
      <rc t="1" v="8936"/>
    </bk>
    <bk>
      <rc t="1" v="8937"/>
    </bk>
    <bk>
      <rc t="1" v="8938"/>
    </bk>
    <bk>
      <rc t="1" v="8939"/>
    </bk>
    <bk>
      <rc t="1" v="8940"/>
    </bk>
    <bk>
      <rc t="1" v="8941"/>
    </bk>
    <bk>
      <rc t="1" v="8942"/>
    </bk>
    <bk>
      <rc t="1" v="8943"/>
    </bk>
    <bk>
      <rc t="1" v="8944"/>
    </bk>
    <bk>
      <rc t="1" v="8945"/>
    </bk>
    <bk>
      <rc t="1" v="8946"/>
    </bk>
    <bk>
      <rc t="1" v="8947"/>
    </bk>
    <bk>
      <rc t="1" v="8948"/>
    </bk>
    <bk>
      <rc t="1" v="8949"/>
    </bk>
    <bk>
      <rc t="1" v="8950"/>
    </bk>
    <bk>
      <rc t="1" v="8951"/>
    </bk>
    <bk>
      <rc t="1" v="8952"/>
    </bk>
    <bk>
      <rc t="1" v="8953"/>
    </bk>
    <bk>
      <rc t="1" v="8954"/>
    </bk>
    <bk>
      <rc t="1" v="8955"/>
    </bk>
    <bk>
      <rc t="1" v="8956"/>
    </bk>
    <bk>
      <rc t="1" v="8957"/>
    </bk>
    <bk>
      <rc t="1" v="8958"/>
    </bk>
    <bk>
      <rc t="1" v="8959"/>
    </bk>
    <bk>
      <rc t="1" v="8960"/>
    </bk>
    <bk>
      <rc t="1" v="8961"/>
    </bk>
    <bk>
      <rc t="1" v="8962"/>
    </bk>
    <bk>
      <rc t="1" v="8963"/>
    </bk>
    <bk>
      <rc t="1" v="8964"/>
    </bk>
    <bk>
      <rc t="1" v="8965"/>
    </bk>
    <bk>
      <rc t="1" v="8966"/>
    </bk>
    <bk>
      <rc t="1" v="8967"/>
    </bk>
    <bk>
      <rc t="1" v="8968"/>
    </bk>
    <bk>
      <rc t="1" v="8969"/>
    </bk>
    <bk>
      <rc t="1" v="8970"/>
    </bk>
    <bk>
      <rc t="1" v="8971"/>
    </bk>
    <bk>
      <rc t="1" v="8972"/>
    </bk>
    <bk>
      <rc t="1" v="8973"/>
    </bk>
    <bk>
      <rc t="1" v="8974"/>
    </bk>
    <bk>
      <rc t="1" v="8975"/>
    </bk>
    <bk>
      <rc t="1" v="8976"/>
    </bk>
    <bk>
      <rc t="1" v="8977"/>
    </bk>
    <bk>
      <rc t="1" v="8978"/>
    </bk>
    <bk>
      <rc t="1" v="8979"/>
    </bk>
    <bk>
      <rc t="1" v="8980"/>
    </bk>
    <bk>
      <rc t="1" v="8981"/>
    </bk>
    <bk>
      <rc t="1" v="8982"/>
    </bk>
    <bk>
      <rc t="1" v="8983"/>
    </bk>
    <bk>
      <rc t="1" v="8984"/>
    </bk>
    <bk>
      <rc t="1" v="8985"/>
    </bk>
    <bk>
      <rc t="1" v="8986"/>
    </bk>
    <bk>
      <rc t="1" v="8987"/>
    </bk>
    <bk>
      <rc t="1" v="8988"/>
    </bk>
    <bk>
      <rc t="1" v="8989"/>
    </bk>
    <bk>
      <rc t="1" v="8990"/>
    </bk>
    <bk>
      <rc t="1" v="8991"/>
    </bk>
    <bk>
      <rc t="1" v="8992"/>
    </bk>
    <bk>
      <rc t="1" v="8993"/>
    </bk>
    <bk>
      <rc t="1" v="8994"/>
    </bk>
    <bk>
      <rc t="1" v="8995"/>
    </bk>
    <bk>
      <rc t="1" v="8996"/>
    </bk>
    <bk>
      <rc t="1" v="8997"/>
    </bk>
    <bk>
      <rc t="1" v="8998"/>
    </bk>
    <bk>
      <rc t="1" v="8999"/>
    </bk>
    <bk>
      <rc t="1" v="9000"/>
    </bk>
    <bk>
      <rc t="1" v="9001"/>
    </bk>
    <bk>
      <rc t="1" v="9002"/>
    </bk>
    <bk>
      <rc t="1" v="9003"/>
    </bk>
    <bk>
      <rc t="1" v="9004"/>
    </bk>
    <bk>
      <rc t="1" v="9005"/>
    </bk>
    <bk>
      <rc t="1" v="9006"/>
    </bk>
    <bk>
      <rc t="1" v="9007"/>
    </bk>
    <bk>
      <rc t="1" v="9008"/>
    </bk>
    <bk>
      <rc t="1" v="9009"/>
    </bk>
    <bk>
      <rc t="1" v="9010"/>
    </bk>
    <bk>
      <rc t="1" v="9011"/>
    </bk>
    <bk>
      <rc t="1" v="9012"/>
    </bk>
    <bk>
      <rc t="1" v="9013"/>
    </bk>
    <bk>
      <rc t="1" v="9014"/>
    </bk>
    <bk>
      <rc t="1" v="9015"/>
    </bk>
    <bk>
      <rc t="1" v="9016"/>
    </bk>
    <bk>
      <rc t="1" v="9017"/>
    </bk>
    <bk>
      <rc t="1" v="9018"/>
    </bk>
    <bk>
      <rc t="1" v="9019"/>
    </bk>
    <bk>
      <rc t="1" v="9020"/>
    </bk>
    <bk>
      <rc t="1" v="9021"/>
    </bk>
    <bk>
      <rc t="1" v="9022"/>
    </bk>
    <bk>
      <rc t="1" v="9023"/>
    </bk>
    <bk>
      <rc t="1" v="9024"/>
    </bk>
    <bk>
      <rc t="1" v="9025"/>
    </bk>
    <bk>
      <rc t="1" v="9026"/>
    </bk>
    <bk>
      <rc t="1" v="9027"/>
    </bk>
    <bk>
      <rc t="1" v="9028"/>
    </bk>
    <bk>
      <rc t="1" v="9029"/>
    </bk>
    <bk>
      <rc t="1" v="9030"/>
    </bk>
    <bk>
      <rc t="1" v="9031"/>
    </bk>
    <bk>
      <rc t="1" v="9032"/>
    </bk>
    <bk>
      <rc t="1" v="9033"/>
    </bk>
    <bk>
      <rc t="1" v="9034"/>
    </bk>
    <bk>
      <rc t="1" v="9035"/>
    </bk>
    <bk>
      <rc t="1" v="9036"/>
    </bk>
    <bk>
      <rc t="1" v="9037"/>
    </bk>
    <bk>
      <rc t="1" v="9038"/>
    </bk>
    <bk>
      <rc t="1" v="9039"/>
    </bk>
    <bk>
      <rc t="1" v="9040"/>
    </bk>
    <bk>
      <rc t="1" v="9041"/>
    </bk>
    <bk>
      <rc t="1" v="9042"/>
    </bk>
    <bk>
      <rc t="1" v="9043"/>
    </bk>
    <bk>
      <rc t="1" v="9044"/>
    </bk>
    <bk>
      <rc t="1" v="9045"/>
    </bk>
    <bk>
      <rc t="1" v="9046"/>
    </bk>
    <bk>
      <rc t="1" v="9047"/>
    </bk>
    <bk>
      <rc t="1" v="9048"/>
    </bk>
    <bk>
      <rc t="1" v="9049"/>
    </bk>
    <bk>
      <rc t="1" v="9050"/>
    </bk>
    <bk>
      <rc t="1" v="9051"/>
    </bk>
    <bk>
      <rc t="1" v="9052"/>
    </bk>
    <bk>
      <rc t="1" v="9053"/>
    </bk>
    <bk>
      <rc t="1" v="9054"/>
    </bk>
    <bk>
      <rc t="1" v="9055"/>
    </bk>
    <bk>
      <rc t="1" v="9056"/>
    </bk>
    <bk>
      <rc t="1" v="9057"/>
    </bk>
    <bk>
      <rc t="1" v="9058"/>
    </bk>
    <bk>
      <rc t="1" v="9059"/>
    </bk>
    <bk>
      <rc t="1" v="9060"/>
    </bk>
    <bk>
      <rc t="1" v="9061"/>
    </bk>
    <bk>
      <rc t="1" v="9062"/>
    </bk>
    <bk>
      <rc t="1" v="9063"/>
    </bk>
    <bk>
      <rc t="1" v="9064"/>
    </bk>
    <bk>
      <rc t="1" v="9065"/>
    </bk>
    <bk>
      <rc t="1" v="9066"/>
    </bk>
    <bk>
      <rc t="1" v="9067"/>
    </bk>
    <bk>
      <rc t="1" v="9068"/>
    </bk>
    <bk>
      <rc t="1" v="9069"/>
    </bk>
    <bk>
      <rc t="1" v="9070"/>
    </bk>
    <bk>
      <rc t="1" v="9071"/>
    </bk>
    <bk>
      <rc t="1" v="9072"/>
    </bk>
    <bk>
      <rc t="1" v="9073"/>
    </bk>
    <bk>
      <rc t="1" v="9074"/>
    </bk>
    <bk>
      <rc t="1" v="9075"/>
    </bk>
    <bk>
      <rc t="1" v="9076"/>
    </bk>
    <bk>
      <rc t="1" v="9077"/>
    </bk>
    <bk>
      <rc t="1" v="9078"/>
    </bk>
    <bk>
      <rc t="1" v="9079"/>
    </bk>
    <bk>
      <rc t="1" v="9080"/>
    </bk>
    <bk>
      <rc t="1" v="9081"/>
    </bk>
    <bk>
      <rc t="1" v="9082"/>
    </bk>
    <bk>
      <rc t="1" v="9083"/>
    </bk>
    <bk>
      <rc t="1" v="9084"/>
    </bk>
    <bk>
      <rc t="1" v="9085"/>
    </bk>
    <bk>
      <rc t="1" v="9086"/>
    </bk>
    <bk>
      <rc t="1" v="9087"/>
    </bk>
    <bk>
      <rc t="1" v="9088"/>
    </bk>
    <bk>
      <rc t="1" v="9089"/>
    </bk>
    <bk>
      <rc t="1" v="9090"/>
    </bk>
    <bk>
      <rc t="1" v="9091"/>
    </bk>
    <bk>
      <rc t="1" v="9092"/>
    </bk>
    <bk>
      <rc t="1" v="9093"/>
    </bk>
    <bk>
      <rc t="1" v="9094"/>
    </bk>
    <bk>
      <rc t="1" v="9095"/>
    </bk>
    <bk>
      <rc t="1" v="9096"/>
    </bk>
    <bk>
      <rc t="1" v="9097"/>
    </bk>
    <bk>
      <rc t="1" v="9098"/>
    </bk>
    <bk>
      <rc t="1" v="9099"/>
    </bk>
    <bk>
      <rc t="1" v="9100"/>
    </bk>
    <bk>
      <rc t="1" v="9101"/>
    </bk>
    <bk>
      <rc t="1" v="9102"/>
    </bk>
    <bk>
      <rc t="1" v="9103"/>
    </bk>
    <bk>
      <rc t="1" v="9104"/>
    </bk>
    <bk>
      <rc t="1" v="9105"/>
    </bk>
    <bk>
      <rc t="1" v="9106"/>
    </bk>
    <bk>
      <rc t="1" v="9107"/>
    </bk>
    <bk>
      <rc t="1" v="9108"/>
    </bk>
    <bk>
      <rc t="1" v="9109"/>
    </bk>
    <bk>
      <rc t="1" v="9110"/>
    </bk>
    <bk>
      <rc t="1" v="9111"/>
    </bk>
    <bk>
      <rc t="1" v="9112"/>
    </bk>
    <bk>
      <rc t="1" v="9113"/>
    </bk>
    <bk>
      <rc t="1" v="9114"/>
    </bk>
    <bk>
      <rc t="1" v="9115"/>
    </bk>
    <bk>
      <rc t="1" v="9116"/>
    </bk>
    <bk>
      <rc t="1" v="9117"/>
    </bk>
    <bk>
      <rc t="1" v="9118"/>
    </bk>
    <bk>
      <rc t="1" v="9119"/>
    </bk>
    <bk>
      <rc t="1" v="9120"/>
    </bk>
    <bk>
      <rc t="1" v="9121"/>
    </bk>
    <bk>
      <rc t="1" v="9122"/>
    </bk>
    <bk>
      <rc t="1" v="9123"/>
    </bk>
    <bk>
      <rc t="1" v="9124"/>
    </bk>
    <bk>
      <rc t="1" v="9125"/>
    </bk>
    <bk>
      <rc t="1" v="9126"/>
    </bk>
    <bk>
      <rc t="1" v="9127"/>
    </bk>
    <bk>
      <rc t="1" v="9128"/>
    </bk>
    <bk>
      <rc t="1" v="9129"/>
    </bk>
    <bk>
      <rc t="1" v="9130"/>
    </bk>
    <bk>
      <rc t="1" v="9131"/>
    </bk>
    <bk>
      <rc t="1" v="9132"/>
    </bk>
    <bk>
      <rc t="1" v="9133"/>
    </bk>
    <bk>
      <rc t="1" v="9134"/>
    </bk>
    <bk>
      <rc t="1" v="9135"/>
    </bk>
    <bk>
      <rc t="1" v="9136"/>
    </bk>
    <bk>
      <rc t="1" v="9137"/>
    </bk>
    <bk>
      <rc t="1" v="9138"/>
    </bk>
    <bk>
      <rc t="1" v="9139"/>
    </bk>
    <bk>
      <rc t="1" v="9140"/>
    </bk>
    <bk>
      <rc t="1" v="9141"/>
    </bk>
    <bk>
      <rc t="1" v="9142"/>
    </bk>
    <bk>
      <rc t="1" v="9143"/>
    </bk>
    <bk>
      <rc t="1" v="9144"/>
    </bk>
    <bk>
      <rc t="1" v="9145"/>
    </bk>
    <bk>
      <rc t="1" v="9146"/>
    </bk>
    <bk>
      <rc t="1" v="9147"/>
    </bk>
    <bk>
      <rc t="1" v="9148"/>
    </bk>
    <bk>
      <rc t="1" v="9149"/>
    </bk>
    <bk>
      <rc t="1" v="9150"/>
    </bk>
    <bk>
      <rc t="1" v="9151"/>
    </bk>
    <bk>
      <rc t="1" v="9152"/>
    </bk>
    <bk>
      <rc t="1" v="9153"/>
    </bk>
    <bk>
      <rc t="1" v="9154"/>
    </bk>
    <bk>
      <rc t="1" v="9155"/>
    </bk>
    <bk>
      <rc t="1" v="9156"/>
    </bk>
    <bk>
      <rc t="1" v="9157"/>
    </bk>
    <bk>
      <rc t="1" v="9158"/>
    </bk>
    <bk>
      <rc t="1" v="9159"/>
    </bk>
    <bk>
      <rc t="1" v="9160"/>
    </bk>
    <bk>
      <rc t="1" v="9161"/>
    </bk>
    <bk>
      <rc t="1" v="9162"/>
    </bk>
    <bk>
      <rc t="1" v="9163"/>
    </bk>
    <bk>
      <rc t="1" v="9164"/>
    </bk>
    <bk>
      <rc t="1" v="9165"/>
    </bk>
    <bk>
      <rc t="1" v="9166"/>
    </bk>
    <bk>
      <rc t="1" v="9167"/>
    </bk>
    <bk>
      <rc t="1" v="9168"/>
    </bk>
    <bk>
      <rc t="1" v="9169"/>
    </bk>
    <bk>
      <rc t="1" v="9170"/>
    </bk>
    <bk>
      <rc t="1" v="9171"/>
    </bk>
    <bk>
      <rc t="1" v="9172"/>
    </bk>
    <bk>
      <rc t="1" v="9173"/>
    </bk>
    <bk>
      <rc t="1" v="9174"/>
    </bk>
    <bk>
      <rc t="1" v="9175"/>
    </bk>
    <bk>
      <rc t="1" v="9176"/>
    </bk>
    <bk>
      <rc t="1" v="9177"/>
    </bk>
    <bk>
      <rc t="1" v="9178"/>
    </bk>
    <bk>
      <rc t="1" v="9179"/>
    </bk>
    <bk>
      <rc t="1" v="9180"/>
    </bk>
    <bk>
      <rc t="1" v="9181"/>
    </bk>
    <bk>
      <rc t="1" v="9182"/>
    </bk>
    <bk>
      <rc t="1" v="9183"/>
    </bk>
    <bk>
      <rc t="1" v="9184"/>
    </bk>
    <bk>
      <rc t="1" v="9185"/>
    </bk>
    <bk>
      <rc t="1" v="9186"/>
    </bk>
    <bk>
      <rc t="1" v="9187"/>
    </bk>
    <bk>
      <rc t="1" v="9188"/>
    </bk>
    <bk>
      <rc t="1" v="9189"/>
    </bk>
    <bk>
      <rc t="1" v="9190"/>
    </bk>
    <bk>
      <rc t="1" v="9191"/>
    </bk>
    <bk>
      <rc t="1" v="9192"/>
    </bk>
    <bk>
      <rc t="1" v="9193"/>
    </bk>
    <bk>
      <rc t="1" v="9194"/>
    </bk>
    <bk>
      <rc t="1" v="9195"/>
    </bk>
    <bk>
      <rc t="1" v="9196"/>
    </bk>
    <bk>
      <rc t="1" v="9197"/>
    </bk>
    <bk>
      <rc t="1" v="9198"/>
    </bk>
    <bk>
      <rc t="1" v="9199"/>
    </bk>
    <bk>
      <rc t="1" v="9200"/>
    </bk>
    <bk>
      <rc t="1" v="9201"/>
    </bk>
    <bk>
      <rc t="1" v="9202"/>
    </bk>
    <bk>
      <rc t="1" v="9203"/>
    </bk>
    <bk>
      <rc t="1" v="9204"/>
    </bk>
    <bk>
      <rc t="1" v="9205"/>
    </bk>
    <bk>
      <rc t="1" v="9206"/>
    </bk>
    <bk>
      <rc t="1" v="9207"/>
    </bk>
    <bk>
      <rc t="1" v="9208"/>
    </bk>
    <bk>
      <rc t="1" v="9209"/>
    </bk>
    <bk>
      <rc t="1" v="9210"/>
    </bk>
    <bk>
      <rc t="1" v="9211"/>
    </bk>
    <bk>
      <rc t="1" v="9212"/>
    </bk>
    <bk>
      <rc t="1" v="9213"/>
    </bk>
    <bk>
      <rc t="1" v="9214"/>
    </bk>
    <bk>
      <rc t="1" v="9215"/>
    </bk>
    <bk>
      <rc t="1" v="9216"/>
    </bk>
    <bk>
      <rc t="1" v="9217"/>
    </bk>
    <bk>
      <rc t="1" v="9218"/>
    </bk>
    <bk>
      <rc t="1" v="9219"/>
    </bk>
    <bk>
      <rc t="1" v="9220"/>
    </bk>
    <bk>
      <rc t="1" v="9221"/>
    </bk>
    <bk>
      <rc t="1" v="9222"/>
    </bk>
    <bk>
      <rc t="1" v="9223"/>
    </bk>
    <bk>
      <rc t="1" v="9224"/>
    </bk>
    <bk>
      <rc t="1" v="9225"/>
    </bk>
    <bk>
      <rc t="1" v="9226"/>
    </bk>
    <bk>
      <rc t="1" v="9227"/>
    </bk>
    <bk>
      <rc t="1" v="9228"/>
    </bk>
    <bk>
      <rc t="1" v="9229"/>
    </bk>
    <bk>
      <rc t="1" v="9230"/>
    </bk>
    <bk>
      <rc t="1" v="9231"/>
    </bk>
    <bk>
      <rc t="1" v="9232"/>
    </bk>
    <bk>
      <rc t="1" v="9233"/>
    </bk>
    <bk>
      <rc t="1" v="9234"/>
    </bk>
    <bk>
      <rc t="1" v="9235"/>
    </bk>
    <bk>
      <rc t="1" v="9236"/>
    </bk>
    <bk>
      <rc t="1" v="9237"/>
    </bk>
    <bk>
      <rc t="1" v="9238"/>
    </bk>
    <bk>
      <rc t="1" v="9239"/>
    </bk>
    <bk>
      <rc t="1" v="9240"/>
    </bk>
    <bk>
      <rc t="1" v="9241"/>
    </bk>
    <bk>
      <rc t="1" v="9242"/>
    </bk>
    <bk>
      <rc t="1" v="9243"/>
    </bk>
    <bk>
      <rc t="1" v="9244"/>
    </bk>
    <bk>
      <rc t="1" v="9245"/>
    </bk>
    <bk>
      <rc t="1" v="9246"/>
    </bk>
    <bk>
      <rc t="1" v="9247"/>
    </bk>
    <bk>
      <rc t="1" v="9248"/>
    </bk>
    <bk>
      <rc t="1" v="9249"/>
    </bk>
    <bk>
      <rc t="1" v="9250"/>
    </bk>
    <bk>
      <rc t="1" v="9251"/>
    </bk>
    <bk>
      <rc t="1" v="9252"/>
    </bk>
    <bk>
      <rc t="1" v="9253"/>
    </bk>
    <bk>
      <rc t="1" v="9254"/>
    </bk>
    <bk>
      <rc t="1" v="9255"/>
    </bk>
    <bk>
      <rc t="1" v="9256"/>
    </bk>
    <bk>
      <rc t="1" v="9257"/>
    </bk>
    <bk>
      <rc t="1" v="9258"/>
    </bk>
    <bk>
      <rc t="1" v="9259"/>
    </bk>
    <bk>
      <rc t="1" v="9260"/>
    </bk>
    <bk>
      <rc t="1" v="9261"/>
    </bk>
    <bk>
      <rc t="1" v="9262"/>
    </bk>
    <bk>
      <rc t="1" v="9263"/>
    </bk>
    <bk>
      <rc t="1" v="9264"/>
    </bk>
    <bk>
      <rc t="1" v="9265"/>
    </bk>
    <bk>
      <rc t="1" v="9266"/>
    </bk>
    <bk>
      <rc t="1" v="9267"/>
    </bk>
    <bk>
      <rc t="1" v="9268"/>
    </bk>
    <bk>
      <rc t="1" v="9269"/>
    </bk>
    <bk>
      <rc t="1" v="9270"/>
    </bk>
    <bk>
      <rc t="1" v="9271"/>
    </bk>
    <bk>
      <rc t="1" v="9272"/>
    </bk>
    <bk>
      <rc t="1" v="9273"/>
    </bk>
    <bk>
      <rc t="1" v="9274"/>
    </bk>
    <bk>
      <rc t="1" v="9275"/>
    </bk>
    <bk>
      <rc t="1" v="9276"/>
    </bk>
    <bk>
      <rc t="1" v="9277"/>
    </bk>
    <bk>
      <rc t="1" v="9278"/>
    </bk>
    <bk>
      <rc t="1" v="9279"/>
    </bk>
    <bk>
      <rc t="1" v="9280"/>
    </bk>
    <bk>
      <rc t="1" v="9281"/>
    </bk>
    <bk>
      <rc t="1" v="9282"/>
    </bk>
    <bk>
      <rc t="1" v="9283"/>
    </bk>
    <bk>
      <rc t="1" v="9284"/>
    </bk>
    <bk>
      <rc t="1" v="9285"/>
    </bk>
    <bk>
      <rc t="1" v="9286"/>
    </bk>
    <bk>
      <rc t="1" v="9287"/>
    </bk>
    <bk>
      <rc t="1" v="9288"/>
    </bk>
    <bk>
      <rc t="1" v="9289"/>
    </bk>
    <bk>
      <rc t="1" v="9290"/>
    </bk>
    <bk>
      <rc t="1" v="9291"/>
    </bk>
    <bk>
      <rc t="1" v="9292"/>
    </bk>
    <bk>
      <rc t="1" v="9293"/>
    </bk>
    <bk>
      <rc t="1" v="9294"/>
    </bk>
    <bk>
      <rc t="1" v="9295"/>
    </bk>
    <bk>
      <rc t="1" v="9296"/>
    </bk>
    <bk>
      <rc t="1" v="9297"/>
    </bk>
    <bk>
      <rc t="1" v="9298"/>
    </bk>
    <bk>
      <rc t="1" v="9299"/>
    </bk>
    <bk>
      <rc t="1" v="9300"/>
    </bk>
    <bk>
      <rc t="1" v="9301"/>
    </bk>
    <bk>
      <rc t="1" v="9302"/>
    </bk>
    <bk>
      <rc t="1" v="9303"/>
    </bk>
    <bk>
      <rc t="1" v="9304"/>
    </bk>
    <bk>
      <rc t="1" v="9305"/>
    </bk>
    <bk>
      <rc t="1" v="9306"/>
    </bk>
    <bk>
      <rc t="1" v="9307"/>
    </bk>
    <bk>
      <rc t="1" v="9308"/>
    </bk>
    <bk>
      <rc t="1" v="9309"/>
    </bk>
    <bk>
      <rc t="1" v="9310"/>
    </bk>
    <bk>
      <rc t="1" v="9311"/>
    </bk>
    <bk>
      <rc t="1" v="9312"/>
    </bk>
    <bk>
      <rc t="1" v="9313"/>
    </bk>
    <bk>
      <rc t="1" v="9314"/>
    </bk>
    <bk>
      <rc t="1" v="9315"/>
    </bk>
    <bk>
      <rc t="1" v="9316"/>
    </bk>
    <bk>
      <rc t="1" v="9317"/>
    </bk>
    <bk>
      <rc t="1" v="9318"/>
    </bk>
    <bk>
      <rc t="1" v="9319"/>
    </bk>
    <bk>
      <rc t="1" v="9320"/>
    </bk>
    <bk>
      <rc t="1" v="9321"/>
    </bk>
    <bk>
      <rc t="1" v="9322"/>
    </bk>
    <bk>
      <rc t="1" v="9323"/>
    </bk>
    <bk>
      <rc t="1" v="9324"/>
    </bk>
    <bk>
      <rc t="1" v="9325"/>
    </bk>
    <bk>
      <rc t="1" v="9326"/>
    </bk>
    <bk>
      <rc t="1" v="9327"/>
    </bk>
    <bk>
      <rc t="1" v="9328"/>
    </bk>
    <bk>
      <rc t="1" v="9329"/>
    </bk>
    <bk>
      <rc t="1" v="9330"/>
    </bk>
    <bk>
      <rc t="1" v="9331"/>
    </bk>
    <bk>
      <rc t="1" v="9332"/>
    </bk>
    <bk>
      <rc t="1" v="9333"/>
    </bk>
    <bk>
      <rc t="1" v="9334"/>
    </bk>
    <bk>
      <rc t="1" v="9335"/>
    </bk>
    <bk>
      <rc t="1" v="9336"/>
    </bk>
    <bk>
      <rc t="1" v="9337"/>
    </bk>
    <bk>
      <rc t="1" v="9338"/>
    </bk>
    <bk>
      <rc t="1" v="9339"/>
    </bk>
    <bk>
      <rc t="1" v="9340"/>
    </bk>
    <bk>
      <rc t="1" v="9341"/>
    </bk>
    <bk>
      <rc t="1" v="9342"/>
    </bk>
    <bk>
      <rc t="1" v="9343"/>
    </bk>
    <bk>
      <rc t="1" v="9344"/>
    </bk>
    <bk>
      <rc t="1" v="9345"/>
    </bk>
    <bk>
      <rc t="1" v="9346"/>
    </bk>
    <bk>
      <rc t="1" v="9347"/>
    </bk>
    <bk>
      <rc t="1" v="9348"/>
    </bk>
    <bk>
      <rc t="1" v="9349"/>
    </bk>
    <bk>
      <rc t="1" v="9350"/>
    </bk>
    <bk>
      <rc t="1" v="9351"/>
    </bk>
    <bk>
      <rc t="1" v="9352"/>
    </bk>
    <bk>
      <rc t="1" v="9353"/>
    </bk>
    <bk>
      <rc t="1" v="9354"/>
    </bk>
    <bk>
      <rc t="1" v="9355"/>
    </bk>
    <bk>
      <rc t="1" v="9356"/>
    </bk>
    <bk>
      <rc t="1" v="9357"/>
    </bk>
    <bk>
      <rc t="1" v="9358"/>
    </bk>
    <bk>
      <rc t="1" v="9359"/>
    </bk>
    <bk>
      <rc t="1" v="9360"/>
    </bk>
    <bk>
      <rc t="1" v="9361"/>
    </bk>
    <bk>
      <rc t="1" v="9362"/>
    </bk>
    <bk>
      <rc t="1" v="9363"/>
    </bk>
    <bk>
      <rc t="1" v="9364"/>
    </bk>
    <bk>
      <rc t="1" v="9365"/>
    </bk>
    <bk>
      <rc t="1" v="9366"/>
    </bk>
    <bk>
      <rc t="1" v="9367"/>
    </bk>
    <bk>
      <rc t="1" v="9368"/>
    </bk>
    <bk>
      <rc t="1" v="9369"/>
    </bk>
    <bk>
      <rc t="1" v="9370"/>
    </bk>
    <bk>
      <rc t="1" v="9371"/>
    </bk>
    <bk>
      <rc t="1" v="9372"/>
    </bk>
    <bk>
      <rc t="1" v="9373"/>
    </bk>
    <bk>
      <rc t="1" v="9374"/>
    </bk>
    <bk>
      <rc t="1" v="9375"/>
    </bk>
    <bk>
      <rc t="1" v="9376"/>
    </bk>
    <bk>
      <rc t="1" v="9377"/>
    </bk>
    <bk>
      <rc t="1" v="9378"/>
    </bk>
    <bk>
      <rc t="1" v="9379"/>
    </bk>
    <bk>
      <rc t="1" v="9380"/>
    </bk>
    <bk>
      <rc t="1" v="9381"/>
    </bk>
    <bk>
      <rc t="1" v="9382"/>
    </bk>
    <bk>
      <rc t="1" v="9383"/>
    </bk>
    <bk>
      <rc t="1" v="9384"/>
    </bk>
    <bk>
      <rc t="1" v="9385"/>
    </bk>
    <bk>
      <rc t="1" v="9386"/>
    </bk>
    <bk>
      <rc t="1" v="9387"/>
    </bk>
    <bk>
      <rc t="1" v="9388"/>
    </bk>
    <bk>
      <rc t="1" v="9389"/>
    </bk>
    <bk>
      <rc t="1" v="9390"/>
    </bk>
    <bk>
      <rc t="1" v="9391"/>
    </bk>
    <bk>
      <rc t="1" v="9392"/>
    </bk>
    <bk>
      <rc t="1" v="9393"/>
    </bk>
    <bk>
      <rc t="1" v="9394"/>
    </bk>
    <bk>
      <rc t="1" v="9395"/>
    </bk>
    <bk>
      <rc t="1" v="9396"/>
    </bk>
    <bk>
      <rc t="1" v="9397"/>
    </bk>
    <bk>
      <rc t="1" v="9398"/>
    </bk>
    <bk>
      <rc t="1" v="9399"/>
    </bk>
    <bk>
      <rc t="1" v="9400"/>
    </bk>
    <bk>
      <rc t="1" v="9401"/>
    </bk>
    <bk>
      <rc t="1" v="9402"/>
    </bk>
    <bk>
      <rc t="1" v="9403"/>
    </bk>
    <bk>
      <rc t="1" v="9404"/>
    </bk>
    <bk>
      <rc t="1" v="9405"/>
    </bk>
    <bk>
      <rc t="1" v="9406"/>
    </bk>
    <bk>
      <rc t="1" v="9407"/>
    </bk>
    <bk>
      <rc t="1" v="9408"/>
    </bk>
    <bk>
      <rc t="1" v="9409"/>
    </bk>
    <bk>
      <rc t="1" v="9410"/>
    </bk>
    <bk>
      <rc t="1" v="9411"/>
    </bk>
    <bk>
      <rc t="1" v="9412"/>
    </bk>
    <bk>
      <rc t="1" v="9413"/>
    </bk>
    <bk>
      <rc t="1" v="9414"/>
    </bk>
    <bk>
      <rc t="1" v="9415"/>
    </bk>
    <bk>
      <rc t="1" v="9416"/>
    </bk>
    <bk>
      <rc t="1" v="9417"/>
    </bk>
    <bk>
      <rc t="1" v="9418"/>
    </bk>
    <bk>
      <rc t="1" v="9419"/>
    </bk>
    <bk>
      <rc t="1" v="9420"/>
    </bk>
    <bk>
      <rc t="1" v="9421"/>
    </bk>
    <bk>
      <rc t="1" v="9422"/>
    </bk>
    <bk>
      <rc t="1" v="9423"/>
    </bk>
    <bk>
      <rc t="1" v="9424"/>
    </bk>
    <bk>
      <rc t="1" v="9425"/>
    </bk>
    <bk>
      <rc t="1" v="9426"/>
    </bk>
    <bk>
      <rc t="1" v="9427"/>
    </bk>
    <bk>
      <rc t="1" v="9428"/>
    </bk>
    <bk>
      <rc t="1" v="9429"/>
    </bk>
    <bk>
      <rc t="1" v="9430"/>
    </bk>
    <bk>
      <rc t="1" v="9431"/>
    </bk>
    <bk>
      <rc t="1" v="9432"/>
    </bk>
    <bk>
      <rc t="1" v="9433"/>
    </bk>
    <bk>
      <rc t="1" v="9434"/>
    </bk>
    <bk>
      <rc t="1" v="9435"/>
    </bk>
    <bk>
      <rc t="1" v="9436"/>
    </bk>
    <bk>
      <rc t="1" v="9437"/>
    </bk>
    <bk>
      <rc t="1" v="9438"/>
    </bk>
    <bk>
      <rc t="1" v="9439"/>
    </bk>
    <bk>
      <rc t="1" v="9440"/>
    </bk>
    <bk>
      <rc t="1" v="9441"/>
    </bk>
    <bk>
      <rc t="1" v="9442"/>
    </bk>
    <bk>
      <rc t="1" v="9443"/>
    </bk>
    <bk>
      <rc t="1" v="9444"/>
    </bk>
    <bk>
      <rc t="1" v="9445"/>
    </bk>
    <bk>
      <rc t="1" v="9446"/>
    </bk>
    <bk>
      <rc t="1" v="9447"/>
    </bk>
    <bk>
      <rc t="1" v="9448"/>
    </bk>
    <bk>
      <rc t="1" v="9449"/>
    </bk>
    <bk>
      <rc t="1" v="9450"/>
    </bk>
    <bk>
      <rc t="1" v="9451"/>
    </bk>
    <bk>
      <rc t="1" v="9452"/>
    </bk>
    <bk>
      <rc t="1" v="9453"/>
    </bk>
    <bk>
      <rc t="1" v="9454"/>
    </bk>
    <bk>
      <rc t="1" v="9455"/>
    </bk>
    <bk>
      <rc t="1" v="9456"/>
    </bk>
    <bk>
      <rc t="1" v="9457"/>
    </bk>
    <bk>
      <rc t="1" v="9458"/>
    </bk>
    <bk>
      <rc t="1" v="9459"/>
    </bk>
    <bk>
      <rc t="1" v="9460"/>
    </bk>
    <bk>
      <rc t="1" v="9461"/>
    </bk>
    <bk>
      <rc t="1" v="9462"/>
    </bk>
    <bk>
      <rc t="1" v="9463"/>
    </bk>
    <bk>
      <rc t="1" v="9464"/>
    </bk>
    <bk>
      <rc t="1" v="9465"/>
    </bk>
    <bk>
      <rc t="1" v="9466"/>
    </bk>
    <bk>
      <rc t="1" v="9467"/>
    </bk>
    <bk>
      <rc t="1" v="9468"/>
    </bk>
    <bk>
      <rc t="1" v="9469"/>
    </bk>
    <bk>
      <rc t="1" v="9470"/>
    </bk>
    <bk>
      <rc t="1" v="9471"/>
    </bk>
    <bk>
      <rc t="1" v="9472"/>
    </bk>
    <bk>
      <rc t="1" v="9473"/>
    </bk>
    <bk>
      <rc t="1" v="9474"/>
    </bk>
    <bk>
      <rc t="1" v="9475"/>
    </bk>
    <bk>
      <rc t="1" v="9476"/>
    </bk>
    <bk>
      <rc t="1" v="9477"/>
    </bk>
    <bk>
      <rc t="1" v="9478"/>
    </bk>
    <bk>
      <rc t="1" v="9479"/>
    </bk>
    <bk>
      <rc t="1" v="9480"/>
    </bk>
    <bk>
      <rc t="1" v="9481"/>
    </bk>
    <bk>
      <rc t="1" v="9482"/>
    </bk>
    <bk>
      <rc t="1" v="9483"/>
    </bk>
    <bk>
      <rc t="1" v="9484"/>
    </bk>
    <bk>
      <rc t="1" v="9485"/>
    </bk>
    <bk>
      <rc t="1" v="9486"/>
    </bk>
    <bk>
      <rc t="1" v="9487"/>
    </bk>
    <bk>
      <rc t="1" v="9488"/>
    </bk>
    <bk>
      <rc t="1" v="9489"/>
    </bk>
    <bk>
      <rc t="1" v="9490"/>
    </bk>
    <bk>
      <rc t="1" v="9491"/>
    </bk>
    <bk>
      <rc t="1" v="9492"/>
    </bk>
    <bk>
      <rc t="1" v="9493"/>
    </bk>
    <bk>
      <rc t="1" v="9494"/>
    </bk>
    <bk>
      <rc t="1" v="9495"/>
    </bk>
    <bk>
      <rc t="1" v="9496"/>
    </bk>
    <bk>
      <rc t="1" v="9497"/>
    </bk>
    <bk>
      <rc t="1" v="9498"/>
    </bk>
    <bk>
      <rc t="1" v="9499"/>
    </bk>
    <bk>
      <rc t="1" v="9500"/>
    </bk>
    <bk>
      <rc t="1" v="9501"/>
    </bk>
    <bk>
      <rc t="1" v="9502"/>
    </bk>
    <bk>
      <rc t="1" v="9503"/>
    </bk>
    <bk>
      <rc t="1" v="9504"/>
    </bk>
    <bk>
      <rc t="1" v="9505"/>
    </bk>
    <bk>
      <rc t="1" v="9506"/>
    </bk>
    <bk>
      <rc t="1" v="9507"/>
    </bk>
    <bk>
      <rc t="1" v="9508"/>
    </bk>
    <bk>
      <rc t="1" v="9509"/>
    </bk>
    <bk>
      <rc t="1" v="9510"/>
    </bk>
    <bk>
      <rc t="1" v="9511"/>
    </bk>
    <bk>
      <rc t="1" v="9512"/>
    </bk>
    <bk>
      <rc t="1" v="9513"/>
    </bk>
    <bk>
      <rc t="1" v="9514"/>
    </bk>
    <bk>
      <rc t="1" v="9515"/>
    </bk>
    <bk>
      <rc t="1" v="9516"/>
    </bk>
    <bk>
      <rc t="1" v="9517"/>
    </bk>
    <bk>
      <rc t="1" v="9518"/>
    </bk>
    <bk>
      <rc t="1" v="9519"/>
    </bk>
    <bk>
      <rc t="1" v="9520"/>
    </bk>
    <bk>
      <rc t="1" v="9521"/>
    </bk>
    <bk>
      <rc t="1" v="9522"/>
    </bk>
    <bk>
      <rc t="1" v="9523"/>
    </bk>
    <bk>
      <rc t="1" v="9524"/>
    </bk>
    <bk>
      <rc t="1" v="9525"/>
    </bk>
    <bk>
      <rc t="1" v="9526"/>
    </bk>
    <bk>
      <rc t="1" v="9527"/>
    </bk>
    <bk>
      <rc t="1" v="9528"/>
    </bk>
    <bk>
      <rc t="1" v="9529"/>
    </bk>
    <bk>
      <rc t="1" v="9530"/>
    </bk>
    <bk>
      <rc t="1" v="9531"/>
    </bk>
    <bk>
      <rc t="1" v="9532"/>
    </bk>
    <bk>
      <rc t="1" v="9533"/>
    </bk>
    <bk>
      <rc t="1" v="9534"/>
    </bk>
    <bk>
      <rc t="1" v="9535"/>
    </bk>
    <bk>
      <rc t="1" v="9536"/>
    </bk>
    <bk>
      <rc t="1" v="9537"/>
    </bk>
    <bk>
      <rc t="1" v="9538"/>
    </bk>
    <bk>
      <rc t="1" v="9539"/>
    </bk>
    <bk>
      <rc t="1" v="9540"/>
    </bk>
    <bk>
      <rc t="1" v="9541"/>
    </bk>
    <bk>
      <rc t="1" v="9542"/>
    </bk>
    <bk>
      <rc t="1" v="9543"/>
    </bk>
    <bk>
      <rc t="1" v="9544"/>
    </bk>
    <bk>
      <rc t="1" v="9545"/>
    </bk>
    <bk>
      <rc t="1" v="9546"/>
    </bk>
    <bk>
      <rc t="1" v="9547"/>
    </bk>
    <bk>
      <rc t="1" v="9548"/>
    </bk>
    <bk>
      <rc t="1" v="9549"/>
    </bk>
    <bk>
      <rc t="1" v="9550"/>
    </bk>
    <bk>
      <rc t="1" v="9551"/>
    </bk>
    <bk>
      <rc t="1" v="9552"/>
    </bk>
    <bk>
      <rc t="1" v="9553"/>
    </bk>
    <bk>
      <rc t="1" v="9554"/>
    </bk>
    <bk>
      <rc t="1" v="9555"/>
    </bk>
    <bk>
      <rc t="1" v="9556"/>
    </bk>
    <bk>
      <rc t="1" v="9557"/>
    </bk>
    <bk>
      <rc t="1" v="9558"/>
    </bk>
    <bk>
      <rc t="1" v="9559"/>
    </bk>
    <bk>
      <rc t="1" v="9560"/>
    </bk>
    <bk>
      <rc t="1" v="9561"/>
    </bk>
    <bk>
      <rc t="1" v="9562"/>
    </bk>
    <bk>
      <rc t="1" v="9563"/>
    </bk>
    <bk>
      <rc t="1" v="9564"/>
    </bk>
    <bk>
      <rc t="1" v="9565"/>
    </bk>
    <bk>
      <rc t="1" v="9566"/>
    </bk>
    <bk>
      <rc t="1" v="9567"/>
    </bk>
    <bk>
      <rc t="1" v="9568"/>
    </bk>
    <bk>
      <rc t="1" v="9569"/>
    </bk>
    <bk>
      <rc t="1" v="9570"/>
    </bk>
    <bk>
      <rc t="1" v="9571"/>
    </bk>
    <bk>
      <rc t="1" v="9572"/>
    </bk>
    <bk>
      <rc t="1" v="9573"/>
    </bk>
    <bk>
      <rc t="1" v="9574"/>
    </bk>
    <bk>
      <rc t="1" v="9575"/>
    </bk>
    <bk>
      <rc t="1" v="9576"/>
    </bk>
    <bk>
      <rc t="1" v="9577"/>
    </bk>
    <bk>
      <rc t="1" v="9578"/>
    </bk>
    <bk>
      <rc t="1" v="9579"/>
    </bk>
    <bk>
      <rc t="1" v="9580"/>
    </bk>
    <bk>
      <rc t="1" v="9581"/>
    </bk>
    <bk>
      <rc t="1" v="9582"/>
    </bk>
    <bk>
      <rc t="1" v="9583"/>
    </bk>
    <bk>
      <rc t="1" v="9584"/>
    </bk>
    <bk>
      <rc t="1" v="9585"/>
    </bk>
    <bk>
      <rc t="1" v="9586"/>
    </bk>
    <bk>
      <rc t="1" v="9587"/>
    </bk>
    <bk>
      <rc t="1" v="9588"/>
    </bk>
    <bk>
      <rc t="1" v="9589"/>
    </bk>
    <bk>
      <rc t="1" v="9590"/>
    </bk>
    <bk>
      <rc t="1" v="9591"/>
    </bk>
    <bk>
      <rc t="1" v="9592"/>
    </bk>
    <bk>
      <rc t="1" v="9593"/>
    </bk>
    <bk>
      <rc t="1" v="9594"/>
    </bk>
    <bk>
      <rc t="1" v="9595"/>
    </bk>
    <bk>
      <rc t="1" v="9596"/>
    </bk>
    <bk>
      <rc t="1" v="9597"/>
    </bk>
    <bk>
      <rc t="1" v="9598"/>
    </bk>
    <bk>
      <rc t="1" v="9599"/>
    </bk>
    <bk>
      <rc t="1" v="9600"/>
    </bk>
    <bk>
      <rc t="1" v="9601"/>
    </bk>
    <bk>
      <rc t="1" v="9602"/>
    </bk>
    <bk>
      <rc t="1" v="9603"/>
    </bk>
    <bk>
      <rc t="1" v="9604"/>
    </bk>
    <bk>
      <rc t="1" v="9605"/>
    </bk>
    <bk>
      <rc t="1" v="9606"/>
    </bk>
    <bk>
      <rc t="1" v="9607"/>
    </bk>
    <bk>
      <rc t="1" v="9608"/>
    </bk>
    <bk>
      <rc t="1" v="9609"/>
    </bk>
    <bk>
      <rc t="1" v="9610"/>
    </bk>
    <bk>
      <rc t="1" v="9611"/>
    </bk>
    <bk>
      <rc t="1" v="9612"/>
    </bk>
    <bk>
      <rc t="1" v="9613"/>
    </bk>
    <bk>
      <rc t="1" v="9614"/>
    </bk>
    <bk>
      <rc t="1" v="9615"/>
    </bk>
    <bk>
      <rc t="1" v="9616"/>
    </bk>
    <bk>
      <rc t="1" v="9617"/>
    </bk>
    <bk>
      <rc t="1" v="9618"/>
    </bk>
    <bk>
      <rc t="1" v="9619"/>
    </bk>
    <bk>
      <rc t="1" v="9620"/>
    </bk>
    <bk>
      <rc t="1" v="9621"/>
    </bk>
    <bk>
      <rc t="1" v="9622"/>
    </bk>
    <bk>
      <rc t="1" v="9623"/>
    </bk>
    <bk>
      <rc t="1" v="9624"/>
    </bk>
    <bk>
      <rc t="1" v="9625"/>
    </bk>
    <bk>
      <rc t="1" v="9626"/>
    </bk>
    <bk>
      <rc t="1" v="9627"/>
    </bk>
    <bk>
      <rc t="1" v="9628"/>
    </bk>
    <bk>
      <rc t="1" v="9629"/>
    </bk>
    <bk>
      <rc t="1" v="9630"/>
    </bk>
    <bk>
      <rc t="1" v="9631"/>
    </bk>
    <bk>
      <rc t="1" v="9632"/>
    </bk>
    <bk>
      <rc t="1" v="9633"/>
    </bk>
    <bk>
      <rc t="1" v="9634"/>
    </bk>
    <bk>
      <rc t="1" v="9635"/>
    </bk>
    <bk>
      <rc t="1" v="9636"/>
    </bk>
    <bk>
      <rc t="1" v="9637"/>
    </bk>
    <bk>
      <rc t="1" v="9638"/>
    </bk>
    <bk>
      <rc t="1" v="9639"/>
    </bk>
    <bk>
      <rc t="1" v="9640"/>
    </bk>
    <bk>
      <rc t="1" v="9641"/>
    </bk>
    <bk>
      <rc t="1" v="9642"/>
    </bk>
    <bk>
      <rc t="1" v="9643"/>
    </bk>
    <bk>
      <rc t="1" v="9644"/>
    </bk>
    <bk>
      <rc t="1" v="9645"/>
    </bk>
    <bk>
      <rc t="1" v="9646"/>
    </bk>
    <bk>
      <rc t="1" v="9647"/>
    </bk>
    <bk>
      <rc t="1" v="9648"/>
    </bk>
    <bk>
      <rc t="1" v="9649"/>
    </bk>
    <bk>
      <rc t="1" v="9650"/>
    </bk>
    <bk>
      <rc t="1" v="9651"/>
    </bk>
    <bk>
      <rc t="1" v="9652"/>
    </bk>
    <bk>
      <rc t="1" v="9653"/>
    </bk>
    <bk>
      <rc t="1" v="9654"/>
    </bk>
    <bk>
      <rc t="1" v="9655"/>
    </bk>
    <bk>
      <rc t="1" v="9656"/>
    </bk>
    <bk>
      <rc t="1" v="9657"/>
    </bk>
    <bk>
      <rc t="1" v="9658"/>
    </bk>
    <bk>
      <rc t="1" v="9659"/>
    </bk>
    <bk>
      <rc t="1" v="9660"/>
    </bk>
    <bk>
      <rc t="1" v="9661"/>
    </bk>
    <bk>
      <rc t="1" v="9662"/>
    </bk>
    <bk>
      <rc t="1" v="9663"/>
    </bk>
    <bk>
      <rc t="1" v="9664"/>
    </bk>
    <bk>
      <rc t="1" v="9665"/>
    </bk>
    <bk>
      <rc t="1" v="9666"/>
    </bk>
    <bk>
      <rc t="1" v="9667"/>
    </bk>
    <bk>
      <rc t="1" v="9668"/>
    </bk>
    <bk>
      <rc t="1" v="9669"/>
    </bk>
    <bk>
      <rc t="1" v="9670"/>
    </bk>
    <bk>
      <rc t="1" v="9671"/>
    </bk>
    <bk>
      <rc t="1" v="9672"/>
    </bk>
    <bk>
      <rc t="1" v="9673"/>
    </bk>
    <bk>
      <rc t="1" v="9674"/>
    </bk>
    <bk>
      <rc t="1" v="9675"/>
    </bk>
    <bk>
      <rc t="1" v="9676"/>
    </bk>
    <bk>
      <rc t="1" v="9677"/>
    </bk>
    <bk>
      <rc t="1" v="9678"/>
    </bk>
    <bk>
      <rc t="1" v="9679"/>
    </bk>
    <bk>
      <rc t="1" v="9680"/>
    </bk>
    <bk>
      <rc t="1" v="9681"/>
    </bk>
    <bk>
      <rc t="1" v="9682"/>
    </bk>
    <bk>
      <rc t="1" v="9683"/>
    </bk>
    <bk>
      <rc t="1" v="9684"/>
    </bk>
    <bk>
      <rc t="1" v="9685"/>
    </bk>
    <bk>
      <rc t="1" v="9686"/>
    </bk>
    <bk>
      <rc t="1" v="9687"/>
    </bk>
    <bk>
      <rc t="1" v="9688"/>
    </bk>
    <bk>
      <rc t="1" v="9689"/>
    </bk>
    <bk>
      <rc t="1" v="9690"/>
    </bk>
    <bk>
      <rc t="1" v="9691"/>
    </bk>
    <bk>
      <rc t="1" v="9692"/>
    </bk>
    <bk>
      <rc t="1" v="9693"/>
    </bk>
    <bk>
      <rc t="1" v="9694"/>
    </bk>
    <bk>
      <rc t="1" v="9695"/>
    </bk>
    <bk>
      <rc t="1" v="9696"/>
    </bk>
    <bk>
      <rc t="1" v="9697"/>
    </bk>
    <bk>
      <rc t="1" v="9698"/>
    </bk>
    <bk>
      <rc t="1" v="9699"/>
    </bk>
    <bk>
      <rc t="1" v="9700"/>
    </bk>
    <bk>
      <rc t="1" v="9701"/>
    </bk>
    <bk>
      <rc t="1" v="9702"/>
    </bk>
    <bk>
      <rc t="1" v="9703"/>
    </bk>
    <bk>
      <rc t="1" v="9704"/>
    </bk>
    <bk>
      <rc t="1" v="9705"/>
    </bk>
    <bk>
      <rc t="1" v="9706"/>
    </bk>
    <bk>
      <rc t="1" v="9707"/>
    </bk>
    <bk>
      <rc t="1" v="9708"/>
    </bk>
    <bk>
      <rc t="1" v="9709"/>
    </bk>
    <bk>
      <rc t="1" v="9710"/>
    </bk>
    <bk>
      <rc t="1" v="9711"/>
    </bk>
    <bk>
      <rc t="1" v="9712"/>
    </bk>
    <bk>
      <rc t="1" v="9713"/>
    </bk>
    <bk>
      <rc t="1" v="9714"/>
    </bk>
    <bk>
      <rc t="1" v="9715"/>
    </bk>
    <bk>
      <rc t="1" v="9716"/>
    </bk>
    <bk>
      <rc t="1" v="9717"/>
    </bk>
    <bk>
      <rc t="1" v="9718"/>
    </bk>
    <bk>
      <rc t="1" v="9719"/>
    </bk>
    <bk>
      <rc t="1" v="9720"/>
    </bk>
    <bk>
      <rc t="1" v="9721"/>
    </bk>
    <bk>
      <rc t="1" v="9722"/>
    </bk>
    <bk>
      <rc t="1" v="9723"/>
    </bk>
    <bk>
      <rc t="1" v="9724"/>
    </bk>
    <bk>
      <rc t="1" v="9725"/>
    </bk>
    <bk>
      <rc t="1" v="9726"/>
    </bk>
    <bk>
      <rc t="1" v="9727"/>
    </bk>
    <bk>
      <rc t="1" v="9728"/>
    </bk>
    <bk>
      <rc t="1" v="9729"/>
    </bk>
    <bk>
      <rc t="1" v="9730"/>
    </bk>
    <bk>
      <rc t="1" v="9731"/>
    </bk>
    <bk>
      <rc t="1" v="9732"/>
    </bk>
    <bk>
      <rc t="1" v="9733"/>
    </bk>
    <bk>
      <rc t="1" v="9734"/>
    </bk>
    <bk>
      <rc t="1" v="9735"/>
    </bk>
    <bk>
      <rc t="1" v="9736"/>
    </bk>
    <bk>
      <rc t="1" v="9737"/>
    </bk>
    <bk>
      <rc t="1" v="9738"/>
    </bk>
    <bk>
      <rc t="1" v="9739"/>
    </bk>
    <bk>
      <rc t="1" v="9740"/>
    </bk>
    <bk>
      <rc t="1" v="9741"/>
    </bk>
    <bk>
      <rc t="1" v="9742"/>
    </bk>
    <bk>
      <rc t="1" v="9743"/>
    </bk>
    <bk>
      <rc t="1" v="9744"/>
    </bk>
    <bk>
      <rc t="1" v="9745"/>
    </bk>
    <bk>
      <rc t="1" v="9746"/>
    </bk>
    <bk>
      <rc t="1" v="9747"/>
    </bk>
    <bk>
      <rc t="1" v="9748"/>
    </bk>
    <bk>
      <rc t="1" v="9749"/>
    </bk>
    <bk>
      <rc t="1" v="9750"/>
    </bk>
    <bk>
      <rc t="1" v="9751"/>
    </bk>
    <bk>
      <rc t="1" v="9752"/>
    </bk>
    <bk>
      <rc t="1" v="9753"/>
    </bk>
    <bk>
      <rc t="1" v="9754"/>
    </bk>
    <bk>
      <rc t="1" v="9755"/>
    </bk>
    <bk>
      <rc t="1" v="9756"/>
    </bk>
    <bk>
      <rc t="1" v="9757"/>
    </bk>
    <bk>
      <rc t="1" v="9758"/>
    </bk>
    <bk>
      <rc t="1" v="9759"/>
    </bk>
    <bk>
      <rc t="1" v="9760"/>
    </bk>
    <bk>
      <rc t="1" v="9761"/>
    </bk>
    <bk>
      <rc t="1" v="9762"/>
    </bk>
    <bk>
      <rc t="1" v="9763"/>
    </bk>
    <bk>
      <rc t="1" v="9764"/>
    </bk>
    <bk>
      <rc t="1" v="9765"/>
    </bk>
    <bk>
      <rc t="1" v="9766"/>
    </bk>
    <bk>
      <rc t="1" v="9767"/>
    </bk>
    <bk>
      <rc t="1" v="9768"/>
    </bk>
    <bk>
      <rc t="1" v="9769"/>
    </bk>
    <bk>
      <rc t="1" v="9770"/>
    </bk>
    <bk>
      <rc t="1" v="9771"/>
    </bk>
    <bk>
      <rc t="1" v="9772"/>
    </bk>
    <bk>
      <rc t="1" v="9773"/>
    </bk>
    <bk>
      <rc t="1" v="9774"/>
    </bk>
    <bk>
      <rc t="1" v="9775"/>
    </bk>
    <bk>
      <rc t="1" v="9776"/>
    </bk>
    <bk>
      <rc t="1" v="9777"/>
    </bk>
    <bk>
      <rc t="1" v="9778"/>
    </bk>
    <bk>
      <rc t="1" v="9779"/>
    </bk>
    <bk>
      <rc t="1" v="9780"/>
    </bk>
    <bk>
      <rc t="1" v="9781"/>
    </bk>
    <bk>
      <rc t="1" v="9782"/>
    </bk>
    <bk>
      <rc t="1" v="9783"/>
    </bk>
    <bk>
      <rc t="1" v="9784"/>
    </bk>
    <bk>
      <rc t="1" v="9785"/>
    </bk>
    <bk>
      <rc t="1" v="9786"/>
    </bk>
    <bk>
      <rc t="1" v="9787"/>
    </bk>
    <bk>
      <rc t="1" v="9788"/>
    </bk>
    <bk>
      <rc t="1" v="9789"/>
    </bk>
    <bk>
      <rc t="1" v="9790"/>
    </bk>
    <bk>
      <rc t="1" v="9791"/>
    </bk>
    <bk>
      <rc t="1" v="9792"/>
    </bk>
    <bk>
      <rc t="1" v="9793"/>
    </bk>
    <bk>
      <rc t="1" v="9794"/>
    </bk>
    <bk>
      <rc t="1" v="9795"/>
    </bk>
    <bk>
      <rc t="1" v="9796"/>
    </bk>
    <bk>
      <rc t="1" v="9797"/>
    </bk>
    <bk>
      <rc t="1" v="9798"/>
    </bk>
    <bk>
      <rc t="1" v="9799"/>
    </bk>
    <bk>
      <rc t="1" v="9800"/>
    </bk>
    <bk>
      <rc t="1" v="9801"/>
    </bk>
    <bk>
      <rc t="1" v="9802"/>
    </bk>
    <bk>
      <rc t="1" v="9803"/>
    </bk>
    <bk>
      <rc t="1" v="9804"/>
    </bk>
    <bk>
      <rc t="1" v="9805"/>
    </bk>
    <bk>
      <rc t="1" v="9806"/>
    </bk>
    <bk>
      <rc t="1" v="9807"/>
    </bk>
    <bk>
      <rc t="1" v="9808"/>
    </bk>
    <bk>
      <rc t="1" v="9809"/>
    </bk>
    <bk>
      <rc t="1" v="9810"/>
    </bk>
    <bk>
      <rc t="1" v="9811"/>
    </bk>
    <bk>
      <rc t="1" v="9812"/>
    </bk>
    <bk>
      <rc t="1" v="9813"/>
    </bk>
    <bk>
      <rc t="1" v="9814"/>
    </bk>
    <bk>
      <rc t="1" v="9815"/>
    </bk>
    <bk>
      <rc t="1" v="9816"/>
    </bk>
    <bk>
      <rc t="1" v="9817"/>
    </bk>
    <bk>
      <rc t="1" v="9818"/>
    </bk>
    <bk>
      <rc t="1" v="9819"/>
    </bk>
    <bk>
      <rc t="1" v="9820"/>
    </bk>
    <bk>
      <rc t="1" v="9821"/>
    </bk>
    <bk>
      <rc t="1" v="9822"/>
    </bk>
    <bk>
      <rc t="1" v="9823"/>
    </bk>
    <bk>
      <rc t="1" v="9824"/>
    </bk>
    <bk>
      <rc t="1" v="9825"/>
    </bk>
    <bk>
      <rc t="1" v="9826"/>
    </bk>
    <bk>
      <rc t="1" v="9827"/>
    </bk>
    <bk>
      <rc t="1" v="9828"/>
    </bk>
    <bk>
      <rc t="1" v="9829"/>
    </bk>
    <bk>
      <rc t="1" v="9830"/>
    </bk>
    <bk>
      <rc t="1" v="9831"/>
    </bk>
    <bk>
      <rc t="1" v="9832"/>
    </bk>
    <bk>
      <rc t="1" v="9833"/>
    </bk>
    <bk>
      <rc t="1" v="9834"/>
    </bk>
    <bk>
      <rc t="1" v="9835"/>
    </bk>
    <bk>
      <rc t="1" v="9836"/>
    </bk>
    <bk>
      <rc t="1" v="9837"/>
    </bk>
    <bk>
      <rc t="1" v="9838"/>
    </bk>
    <bk>
      <rc t="1" v="9839"/>
    </bk>
    <bk>
      <rc t="1" v="9840"/>
    </bk>
    <bk>
      <rc t="1" v="9841"/>
    </bk>
    <bk>
      <rc t="1" v="9842"/>
    </bk>
    <bk>
      <rc t="1" v="9843"/>
    </bk>
    <bk>
      <rc t="1" v="9844"/>
    </bk>
    <bk>
      <rc t="1" v="9845"/>
    </bk>
    <bk>
      <rc t="1" v="9846"/>
    </bk>
    <bk>
      <rc t="1" v="9847"/>
    </bk>
    <bk>
      <rc t="1" v="9848"/>
    </bk>
    <bk>
      <rc t="1" v="9849"/>
    </bk>
    <bk>
      <rc t="1" v="9850"/>
    </bk>
    <bk>
      <rc t="1" v="9851"/>
    </bk>
    <bk>
      <rc t="1" v="9852"/>
    </bk>
    <bk>
      <rc t="1" v="9853"/>
    </bk>
    <bk>
      <rc t="1" v="9854"/>
    </bk>
    <bk>
      <rc t="1" v="9855"/>
    </bk>
    <bk>
      <rc t="1" v="9856"/>
    </bk>
    <bk>
      <rc t="1" v="9857"/>
    </bk>
    <bk>
      <rc t="1" v="9858"/>
    </bk>
    <bk>
      <rc t="1" v="9859"/>
    </bk>
    <bk>
      <rc t="1" v="9860"/>
    </bk>
    <bk>
      <rc t="1" v="9861"/>
    </bk>
    <bk>
      <rc t="1" v="9862"/>
    </bk>
    <bk>
      <rc t="1" v="9863"/>
    </bk>
    <bk>
      <rc t="1" v="9864"/>
    </bk>
    <bk>
      <rc t="1" v="9865"/>
    </bk>
    <bk>
      <rc t="1" v="9866"/>
    </bk>
    <bk>
      <rc t="1" v="9867"/>
    </bk>
    <bk>
      <rc t="1" v="9868"/>
    </bk>
    <bk>
      <rc t="1" v="9869"/>
    </bk>
    <bk>
      <rc t="1" v="9870"/>
    </bk>
    <bk>
      <rc t="1" v="9871"/>
    </bk>
    <bk>
      <rc t="1" v="9872"/>
    </bk>
    <bk>
      <rc t="1" v="9873"/>
    </bk>
    <bk>
      <rc t="1" v="9874"/>
    </bk>
    <bk>
      <rc t="1" v="9875"/>
    </bk>
    <bk>
      <rc t="1" v="9876"/>
    </bk>
    <bk>
      <rc t="1" v="9877"/>
    </bk>
    <bk>
      <rc t="1" v="9878"/>
    </bk>
    <bk>
      <rc t="1" v="9879"/>
    </bk>
    <bk>
      <rc t="1" v="9880"/>
    </bk>
    <bk>
      <rc t="1" v="9881"/>
    </bk>
    <bk>
      <rc t="1" v="9882"/>
    </bk>
    <bk>
      <rc t="1" v="9883"/>
    </bk>
    <bk>
      <rc t="1" v="9884"/>
    </bk>
    <bk>
      <rc t="1" v="9885"/>
    </bk>
    <bk>
      <rc t="1" v="9886"/>
    </bk>
    <bk>
      <rc t="1" v="9887"/>
    </bk>
    <bk>
      <rc t="1" v="9888"/>
    </bk>
    <bk>
      <rc t="1" v="9889"/>
    </bk>
    <bk>
      <rc t="1" v="9890"/>
    </bk>
    <bk>
      <rc t="1" v="9891"/>
    </bk>
    <bk>
      <rc t="1" v="9892"/>
    </bk>
    <bk>
      <rc t="1" v="9893"/>
    </bk>
    <bk>
      <rc t="1" v="9894"/>
    </bk>
    <bk>
      <rc t="1" v="9895"/>
    </bk>
    <bk>
      <rc t="1" v="9896"/>
    </bk>
    <bk>
      <rc t="1" v="9897"/>
    </bk>
    <bk>
      <rc t="1" v="9898"/>
    </bk>
    <bk>
      <rc t="1" v="9899"/>
    </bk>
    <bk>
      <rc t="1" v="9900"/>
    </bk>
    <bk>
      <rc t="1" v="9901"/>
    </bk>
    <bk>
      <rc t="1" v="9902"/>
    </bk>
    <bk>
      <rc t="1" v="9903"/>
    </bk>
    <bk>
      <rc t="1" v="9904"/>
    </bk>
    <bk>
      <rc t="1" v="9905"/>
    </bk>
    <bk>
      <rc t="1" v="9906"/>
    </bk>
    <bk>
      <rc t="1" v="9907"/>
    </bk>
    <bk>
      <rc t="1" v="9908"/>
    </bk>
    <bk>
      <rc t="1" v="9909"/>
    </bk>
    <bk>
      <rc t="1" v="9910"/>
    </bk>
    <bk>
      <rc t="1" v="9911"/>
    </bk>
    <bk>
      <rc t="1" v="9912"/>
    </bk>
    <bk>
      <rc t="1" v="9913"/>
    </bk>
    <bk>
      <rc t="1" v="9914"/>
    </bk>
    <bk>
      <rc t="1" v="9915"/>
    </bk>
    <bk>
      <rc t="1" v="9916"/>
    </bk>
    <bk>
      <rc t="1" v="9917"/>
    </bk>
    <bk>
      <rc t="1" v="9918"/>
    </bk>
    <bk>
      <rc t="1" v="9919"/>
    </bk>
    <bk>
      <rc t="1" v="9920"/>
    </bk>
    <bk>
      <rc t="1" v="9921"/>
    </bk>
    <bk>
      <rc t="1" v="9922"/>
    </bk>
    <bk>
      <rc t="1" v="9923"/>
    </bk>
    <bk>
      <rc t="1" v="9924"/>
    </bk>
    <bk>
      <rc t="1" v="9925"/>
    </bk>
    <bk>
      <rc t="1" v="9926"/>
    </bk>
    <bk>
      <rc t="1" v="9927"/>
    </bk>
    <bk>
      <rc t="1" v="9928"/>
    </bk>
    <bk>
      <rc t="1" v="9929"/>
    </bk>
    <bk>
      <rc t="1" v="9930"/>
    </bk>
    <bk>
      <rc t="1" v="9931"/>
    </bk>
    <bk>
      <rc t="1" v="9932"/>
    </bk>
    <bk>
      <rc t="1" v="9933"/>
    </bk>
    <bk>
      <rc t="1" v="9934"/>
    </bk>
    <bk>
      <rc t="1" v="9935"/>
    </bk>
    <bk>
      <rc t="1" v="9936"/>
    </bk>
    <bk>
      <rc t="1" v="9937"/>
    </bk>
    <bk>
      <rc t="1" v="9938"/>
    </bk>
    <bk>
      <rc t="1" v="9939"/>
    </bk>
    <bk>
      <rc t="1" v="9940"/>
    </bk>
    <bk>
      <rc t="1" v="9941"/>
    </bk>
    <bk>
      <rc t="1" v="9942"/>
    </bk>
    <bk>
      <rc t="1" v="9943"/>
    </bk>
    <bk>
      <rc t="1" v="9944"/>
    </bk>
    <bk>
      <rc t="1" v="9945"/>
    </bk>
    <bk>
      <rc t="1" v="9946"/>
    </bk>
    <bk>
      <rc t="1" v="9947"/>
    </bk>
    <bk>
      <rc t="1" v="9948"/>
    </bk>
    <bk>
      <rc t="1" v="9949"/>
    </bk>
    <bk>
      <rc t="1" v="9950"/>
    </bk>
    <bk>
      <rc t="1" v="9951"/>
    </bk>
    <bk>
      <rc t="1" v="9952"/>
    </bk>
    <bk>
      <rc t="1" v="9953"/>
    </bk>
    <bk>
      <rc t="1" v="9954"/>
    </bk>
    <bk>
      <rc t="1" v="9955"/>
    </bk>
    <bk>
      <rc t="1" v="9956"/>
    </bk>
    <bk>
      <rc t="1" v="9957"/>
    </bk>
    <bk>
      <rc t="1" v="9958"/>
    </bk>
    <bk>
      <rc t="1" v="9959"/>
    </bk>
    <bk>
      <rc t="1" v="9960"/>
    </bk>
    <bk>
      <rc t="1" v="9961"/>
    </bk>
    <bk>
      <rc t="1" v="9962"/>
    </bk>
    <bk>
      <rc t="1" v="9963"/>
    </bk>
    <bk>
      <rc t="1" v="9964"/>
    </bk>
    <bk>
      <rc t="1" v="9965"/>
    </bk>
    <bk>
      <rc t="1" v="9966"/>
    </bk>
    <bk>
      <rc t="1" v="9967"/>
    </bk>
    <bk>
      <rc t="1" v="9968"/>
    </bk>
    <bk>
      <rc t="1" v="9969"/>
    </bk>
    <bk>
      <rc t="1" v="9970"/>
    </bk>
    <bk>
      <rc t="1" v="9971"/>
    </bk>
    <bk>
      <rc t="1" v="9972"/>
    </bk>
    <bk>
      <rc t="1" v="9973"/>
    </bk>
    <bk>
      <rc t="1" v="9974"/>
    </bk>
    <bk>
      <rc t="1" v="9975"/>
    </bk>
    <bk>
      <rc t="1" v="9976"/>
    </bk>
    <bk>
      <rc t="1" v="9977"/>
    </bk>
    <bk>
      <rc t="1" v="9978"/>
    </bk>
    <bk>
      <rc t="1" v="9979"/>
    </bk>
    <bk>
      <rc t="1" v="9980"/>
    </bk>
    <bk>
      <rc t="1" v="9981"/>
    </bk>
    <bk>
      <rc t="1" v="9982"/>
    </bk>
    <bk>
      <rc t="1" v="9983"/>
    </bk>
    <bk>
      <rc t="1" v="9984"/>
    </bk>
    <bk>
      <rc t="1" v="9985"/>
    </bk>
    <bk>
      <rc t="1" v="9986"/>
    </bk>
    <bk>
      <rc t="1" v="9987"/>
    </bk>
    <bk>
      <rc t="1" v="9988"/>
    </bk>
    <bk>
      <rc t="1" v="9989"/>
    </bk>
    <bk>
      <rc t="1" v="9990"/>
    </bk>
    <bk>
      <rc t="1" v="9991"/>
    </bk>
    <bk>
      <rc t="1" v="9992"/>
    </bk>
    <bk>
      <rc t="1" v="9993"/>
    </bk>
    <bk>
      <rc t="1" v="9994"/>
    </bk>
    <bk>
      <rc t="1" v="9995"/>
    </bk>
    <bk>
      <rc t="1" v="9996"/>
    </bk>
    <bk>
      <rc t="1" v="9997"/>
    </bk>
    <bk>
      <rc t="1" v="9998"/>
    </bk>
    <bk>
      <rc t="1" v="9999"/>
    </bk>
    <bk>
      <rc t="1" v="10000"/>
    </bk>
    <bk>
      <rc t="1" v="10001"/>
    </bk>
    <bk>
      <rc t="1" v="10002"/>
    </bk>
    <bk>
      <rc t="1" v="10003"/>
    </bk>
    <bk>
      <rc t="1" v="10004"/>
    </bk>
    <bk>
      <rc t="1" v="10005"/>
    </bk>
    <bk>
      <rc t="1" v="10006"/>
    </bk>
    <bk>
      <rc t="1" v="10007"/>
    </bk>
    <bk>
      <rc t="1" v="10008"/>
    </bk>
    <bk>
      <rc t="1" v="10009"/>
    </bk>
    <bk>
      <rc t="1" v="10010"/>
    </bk>
    <bk>
      <rc t="1" v="10011"/>
    </bk>
    <bk>
      <rc t="1" v="10012"/>
    </bk>
    <bk>
      <rc t="1" v="10013"/>
    </bk>
    <bk>
      <rc t="1" v="10014"/>
    </bk>
    <bk>
      <rc t="1" v="10015"/>
    </bk>
    <bk>
      <rc t="1" v="10016"/>
    </bk>
    <bk>
      <rc t="1" v="10017"/>
    </bk>
    <bk>
      <rc t="1" v="10018"/>
    </bk>
    <bk>
      <rc t="1" v="10019"/>
    </bk>
    <bk>
      <rc t="1" v="10020"/>
    </bk>
    <bk>
      <rc t="1" v="10021"/>
    </bk>
    <bk>
      <rc t="1" v="10022"/>
    </bk>
    <bk>
      <rc t="1" v="10023"/>
    </bk>
    <bk>
      <rc t="1" v="10024"/>
    </bk>
    <bk>
      <rc t="1" v="10025"/>
    </bk>
    <bk>
      <rc t="1" v="10026"/>
    </bk>
    <bk>
      <rc t="1" v="10027"/>
    </bk>
    <bk>
      <rc t="1" v="10028"/>
    </bk>
    <bk>
      <rc t="1" v="10029"/>
    </bk>
    <bk>
      <rc t="1" v="10030"/>
    </bk>
    <bk>
      <rc t="1" v="10031"/>
    </bk>
    <bk>
      <rc t="1" v="10032"/>
    </bk>
    <bk>
      <rc t="1" v="10033"/>
    </bk>
    <bk>
      <rc t="1" v="10034"/>
    </bk>
    <bk>
      <rc t="1" v="10035"/>
    </bk>
    <bk>
      <rc t="1" v="10036"/>
    </bk>
    <bk>
      <rc t="1" v="10037"/>
    </bk>
    <bk>
      <rc t="1" v="10038"/>
    </bk>
    <bk>
      <rc t="1" v="10039"/>
    </bk>
    <bk>
      <rc t="1" v="10040"/>
    </bk>
    <bk>
      <rc t="1" v="10041"/>
    </bk>
    <bk>
      <rc t="1" v="10042"/>
    </bk>
    <bk>
      <rc t="1" v="10043"/>
    </bk>
    <bk>
      <rc t="1" v="10044"/>
    </bk>
    <bk>
      <rc t="1" v="10045"/>
    </bk>
    <bk>
      <rc t="1" v="10046"/>
    </bk>
    <bk>
      <rc t="1" v="10047"/>
    </bk>
    <bk>
      <rc t="1" v="10048"/>
    </bk>
    <bk>
      <rc t="1" v="10049"/>
    </bk>
    <bk>
      <rc t="1" v="10050"/>
    </bk>
    <bk>
      <rc t="1" v="10051"/>
    </bk>
    <bk>
      <rc t="1" v="10052"/>
    </bk>
    <bk>
      <rc t="1" v="10053"/>
    </bk>
    <bk>
      <rc t="1" v="10054"/>
    </bk>
    <bk>
      <rc t="1" v="10055"/>
    </bk>
    <bk>
      <rc t="1" v="10056"/>
    </bk>
    <bk>
      <rc t="1" v="10057"/>
    </bk>
    <bk>
      <rc t="1" v="10058"/>
    </bk>
    <bk>
      <rc t="1" v="10059"/>
    </bk>
    <bk>
      <rc t="1" v="10060"/>
    </bk>
    <bk>
      <rc t="1" v="10061"/>
    </bk>
    <bk>
      <rc t="1" v="10062"/>
    </bk>
    <bk>
      <rc t="1" v="10063"/>
    </bk>
    <bk>
      <rc t="1" v="10064"/>
    </bk>
    <bk>
      <rc t="1" v="10065"/>
    </bk>
    <bk>
      <rc t="1" v="10066"/>
    </bk>
    <bk>
      <rc t="1" v="10067"/>
    </bk>
    <bk>
      <rc t="1" v="10068"/>
    </bk>
    <bk>
      <rc t="1" v="10069"/>
    </bk>
    <bk>
      <rc t="1" v="10070"/>
    </bk>
    <bk>
      <rc t="1" v="10071"/>
    </bk>
    <bk>
      <rc t="1" v="10072"/>
    </bk>
    <bk>
      <rc t="1" v="10073"/>
    </bk>
    <bk>
      <rc t="1" v="10074"/>
    </bk>
    <bk>
      <rc t="1" v="10075"/>
    </bk>
    <bk>
      <rc t="1" v="10076"/>
    </bk>
    <bk>
      <rc t="1" v="10077"/>
    </bk>
    <bk>
      <rc t="1" v="10078"/>
    </bk>
    <bk>
      <rc t="1" v="10079"/>
    </bk>
    <bk>
      <rc t="1" v="10080"/>
    </bk>
    <bk>
      <rc t="1" v="10081"/>
    </bk>
    <bk>
      <rc t="1" v="10082"/>
    </bk>
    <bk>
      <rc t="1" v="10083"/>
    </bk>
    <bk>
      <rc t="1" v="10084"/>
    </bk>
    <bk>
      <rc t="1" v="10085"/>
    </bk>
    <bk>
      <rc t="1" v="10086"/>
    </bk>
    <bk>
      <rc t="1" v="10087"/>
    </bk>
    <bk>
      <rc t="1" v="10088"/>
    </bk>
    <bk>
      <rc t="1" v="10089"/>
    </bk>
    <bk>
      <rc t="1" v="10090"/>
    </bk>
    <bk>
      <rc t="1" v="10091"/>
    </bk>
    <bk>
      <rc t="1" v="10092"/>
    </bk>
    <bk>
      <rc t="1" v="10093"/>
    </bk>
    <bk>
      <rc t="1" v="10094"/>
    </bk>
    <bk>
      <rc t="1" v="10095"/>
    </bk>
    <bk>
      <rc t="1" v="10096"/>
    </bk>
    <bk>
      <rc t="1" v="10097"/>
    </bk>
    <bk>
      <rc t="1" v="10098"/>
    </bk>
    <bk>
      <rc t="1" v="10099"/>
    </bk>
    <bk>
      <rc t="1" v="10100"/>
    </bk>
    <bk>
      <rc t="1" v="10101"/>
    </bk>
    <bk>
      <rc t="1" v="10102"/>
    </bk>
    <bk>
      <rc t="1" v="10103"/>
    </bk>
    <bk>
      <rc t="1" v="10104"/>
    </bk>
    <bk>
      <rc t="1" v="10105"/>
    </bk>
    <bk>
      <rc t="1" v="10106"/>
    </bk>
    <bk>
      <rc t="1" v="10107"/>
    </bk>
    <bk>
      <rc t="1" v="10108"/>
    </bk>
    <bk>
      <rc t="1" v="10109"/>
    </bk>
    <bk>
      <rc t="1" v="10110"/>
    </bk>
    <bk>
      <rc t="1" v="10111"/>
    </bk>
    <bk>
      <rc t="1" v="10112"/>
    </bk>
    <bk>
      <rc t="1" v="10113"/>
    </bk>
    <bk>
      <rc t="1" v="10114"/>
    </bk>
    <bk>
      <rc t="1" v="10115"/>
    </bk>
    <bk>
      <rc t="1" v="10116"/>
    </bk>
    <bk>
      <rc t="1" v="10117"/>
    </bk>
    <bk>
      <rc t="1" v="10118"/>
    </bk>
    <bk>
      <rc t="1" v="10119"/>
    </bk>
    <bk>
      <rc t="1" v="10120"/>
    </bk>
    <bk>
      <rc t="1" v="10121"/>
    </bk>
    <bk>
      <rc t="1" v="10122"/>
    </bk>
    <bk>
      <rc t="1" v="10123"/>
    </bk>
    <bk>
      <rc t="1" v="10124"/>
    </bk>
    <bk>
      <rc t="1" v="10125"/>
    </bk>
    <bk>
      <rc t="1" v="10126"/>
    </bk>
    <bk>
      <rc t="1" v="10127"/>
    </bk>
    <bk>
      <rc t="1" v="10128"/>
    </bk>
    <bk>
      <rc t="1" v="10129"/>
    </bk>
    <bk>
      <rc t="1" v="10130"/>
    </bk>
    <bk>
      <rc t="1" v="10131"/>
    </bk>
    <bk>
      <rc t="1" v="10132"/>
    </bk>
    <bk>
      <rc t="1" v="10133"/>
    </bk>
    <bk>
      <rc t="1" v="10134"/>
    </bk>
    <bk>
      <rc t="1" v="10135"/>
    </bk>
    <bk>
      <rc t="1" v="10136"/>
    </bk>
    <bk>
      <rc t="1" v="10137"/>
    </bk>
    <bk>
      <rc t="1" v="10138"/>
    </bk>
    <bk>
      <rc t="1" v="10139"/>
    </bk>
    <bk>
      <rc t="1" v="10140"/>
    </bk>
    <bk>
      <rc t="1" v="10141"/>
    </bk>
    <bk>
      <rc t="1" v="10142"/>
    </bk>
    <bk>
      <rc t="1" v="10143"/>
    </bk>
    <bk>
      <rc t="1" v="10144"/>
    </bk>
    <bk>
      <rc t="1" v="10145"/>
    </bk>
    <bk>
      <rc t="1" v="10146"/>
    </bk>
    <bk>
      <rc t="1" v="10147"/>
    </bk>
    <bk>
      <rc t="1" v="10148"/>
    </bk>
    <bk>
      <rc t="1" v="10149"/>
    </bk>
    <bk>
      <rc t="1" v="10150"/>
    </bk>
    <bk>
      <rc t="1" v="10151"/>
    </bk>
    <bk>
      <rc t="1" v="10152"/>
    </bk>
    <bk>
      <rc t="1" v="10153"/>
    </bk>
    <bk>
      <rc t="1" v="10154"/>
    </bk>
    <bk>
      <rc t="1" v="10155"/>
    </bk>
    <bk>
      <rc t="1" v="10156"/>
    </bk>
    <bk>
      <rc t="1" v="10157"/>
    </bk>
    <bk>
      <rc t="1" v="10158"/>
    </bk>
    <bk>
      <rc t="1" v="10159"/>
    </bk>
    <bk>
      <rc t="1" v="10160"/>
    </bk>
    <bk>
      <rc t="1" v="10161"/>
    </bk>
    <bk>
      <rc t="1" v="10162"/>
    </bk>
    <bk>
      <rc t="1" v="10163"/>
    </bk>
    <bk>
      <rc t="1" v="10164"/>
    </bk>
    <bk>
      <rc t="1" v="10165"/>
    </bk>
    <bk>
      <rc t="1" v="10166"/>
    </bk>
    <bk>
      <rc t="1" v="10167"/>
    </bk>
    <bk>
      <rc t="1" v="10168"/>
    </bk>
    <bk>
      <rc t="1" v="10169"/>
    </bk>
    <bk>
      <rc t="1" v="10170"/>
    </bk>
    <bk>
      <rc t="1" v="10171"/>
    </bk>
    <bk>
      <rc t="1" v="10172"/>
    </bk>
    <bk>
      <rc t="1" v="10173"/>
    </bk>
    <bk>
      <rc t="1" v="10174"/>
    </bk>
    <bk>
      <rc t="1" v="10175"/>
    </bk>
    <bk>
      <rc t="1" v="10176"/>
    </bk>
    <bk>
      <rc t="1" v="10177"/>
    </bk>
    <bk>
      <rc t="1" v="10178"/>
    </bk>
    <bk>
      <rc t="1" v="10179"/>
    </bk>
    <bk>
      <rc t="1" v="10180"/>
    </bk>
    <bk>
      <rc t="1" v="10181"/>
    </bk>
    <bk>
      <rc t="1" v="10182"/>
    </bk>
    <bk>
      <rc t="1" v="10183"/>
    </bk>
    <bk>
      <rc t="1" v="10184"/>
    </bk>
    <bk>
      <rc t="1" v="10185"/>
    </bk>
    <bk>
      <rc t="1" v="10186"/>
    </bk>
    <bk>
      <rc t="1" v="10187"/>
    </bk>
    <bk>
      <rc t="1" v="10188"/>
    </bk>
    <bk>
      <rc t="1" v="10189"/>
    </bk>
    <bk>
      <rc t="1" v="10190"/>
    </bk>
    <bk>
      <rc t="1" v="10191"/>
    </bk>
    <bk>
      <rc t="1" v="10192"/>
    </bk>
    <bk>
      <rc t="1" v="10193"/>
    </bk>
    <bk>
      <rc t="1" v="10194"/>
    </bk>
    <bk>
      <rc t="1" v="10195"/>
    </bk>
    <bk>
      <rc t="1" v="10196"/>
    </bk>
    <bk>
      <rc t="1" v="10197"/>
    </bk>
    <bk>
      <rc t="1" v="10198"/>
    </bk>
    <bk>
      <rc t="1" v="10199"/>
    </bk>
    <bk>
      <rc t="1" v="10200"/>
    </bk>
    <bk>
      <rc t="1" v="10201"/>
    </bk>
    <bk>
      <rc t="1" v="10202"/>
    </bk>
    <bk>
      <rc t="1" v="10203"/>
    </bk>
    <bk>
      <rc t="1" v="10204"/>
    </bk>
    <bk>
      <rc t="1" v="10205"/>
    </bk>
    <bk>
      <rc t="1" v="10206"/>
    </bk>
    <bk>
      <rc t="1" v="10207"/>
    </bk>
    <bk>
      <rc t="1" v="10208"/>
    </bk>
    <bk>
      <rc t="1" v="10209"/>
    </bk>
    <bk>
      <rc t="1" v="10210"/>
    </bk>
    <bk>
      <rc t="1" v="10211"/>
    </bk>
    <bk>
      <rc t="1" v="10212"/>
    </bk>
    <bk>
      <rc t="1" v="10213"/>
    </bk>
    <bk>
      <rc t="1" v="10214"/>
    </bk>
    <bk>
      <rc t="1" v="10215"/>
    </bk>
    <bk>
      <rc t="1" v="10216"/>
    </bk>
    <bk>
      <rc t="1" v="10217"/>
    </bk>
    <bk>
      <rc t="1" v="10218"/>
    </bk>
    <bk>
      <rc t="1" v="10219"/>
    </bk>
    <bk>
      <rc t="1" v="10220"/>
    </bk>
    <bk>
      <rc t="1" v="10221"/>
    </bk>
    <bk>
      <rc t="1" v="10222"/>
    </bk>
    <bk>
      <rc t="1" v="10223"/>
    </bk>
    <bk>
      <rc t="1" v="10224"/>
    </bk>
    <bk>
      <rc t="1" v="10225"/>
    </bk>
    <bk>
      <rc t="1" v="10226"/>
    </bk>
    <bk>
      <rc t="1" v="10227"/>
    </bk>
    <bk>
      <rc t="1" v="10228"/>
    </bk>
    <bk>
      <rc t="1" v="10229"/>
    </bk>
    <bk>
      <rc t="1" v="10230"/>
    </bk>
    <bk>
      <rc t="1" v="10231"/>
    </bk>
    <bk>
      <rc t="1" v="10232"/>
    </bk>
    <bk>
      <rc t="1" v="10233"/>
    </bk>
    <bk>
      <rc t="1" v="10234"/>
    </bk>
    <bk>
      <rc t="1" v="10235"/>
    </bk>
    <bk>
      <rc t="1" v="10236"/>
    </bk>
    <bk>
      <rc t="1" v="10237"/>
    </bk>
    <bk>
      <rc t="1" v="10238"/>
    </bk>
    <bk>
      <rc t="1" v="10239"/>
    </bk>
    <bk>
      <rc t="1" v="10240"/>
    </bk>
    <bk>
      <rc t="1" v="10241"/>
    </bk>
    <bk>
      <rc t="1" v="10242"/>
    </bk>
    <bk>
      <rc t="1" v="10243"/>
    </bk>
    <bk>
      <rc t="1" v="10244"/>
    </bk>
    <bk>
      <rc t="1" v="10245"/>
    </bk>
    <bk>
      <rc t="1" v="10246"/>
    </bk>
    <bk>
      <rc t="1" v="10247"/>
    </bk>
    <bk>
      <rc t="1" v="10248"/>
    </bk>
    <bk>
      <rc t="1" v="10249"/>
    </bk>
    <bk>
      <rc t="1" v="10250"/>
    </bk>
    <bk>
      <rc t="1" v="10251"/>
    </bk>
    <bk>
      <rc t="1" v="10252"/>
    </bk>
    <bk>
      <rc t="1" v="10253"/>
    </bk>
    <bk>
      <rc t="1" v="10254"/>
    </bk>
    <bk>
      <rc t="1" v="10255"/>
    </bk>
    <bk>
      <rc t="1" v="10256"/>
    </bk>
    <bk>
      <rc t="1" v="10257"/>
    </bk>
    <bk>
      <rc t="1" v="10258"/>
    </bk>
    <bk>
      <rc t="1" v="10259"/>
    </bk>
    <bk>
      <rc t="1" v="10260"/>
    </bk>
    <bk>
      <rc t="1" v="10261"/>
    </bk>
    <bk>
      <rc t="1" v="10262"/>
    </bk>
    <bk>
      <rc t="1" v="10263"/>
    </bk>
    <bk>
      <rc t="1" v="10264"/>
    </bk>
    <bk>
      <rc t="1" v="10265"/>
    </bk>
    <bk>
      <rc t="1" v="10266"/>
    </bk>
    <bk>
      <rc t="1" v="10267"/>
    </bk>
    <bk>
      <rc t="1" v="10268"/>
    </bk>
    <bk>
      <rc t="1" v="10269"/>
    </bk>
    <bk>
      <rc t="1" v="10270"/>
    </bk>
    <bk>
      <rc t="1" v="10271"/>
    </bk>
    <bk>
      <rc t="1" v="10272"/>
    </bk>
    <bk>
      <rc t="1" v="10273"/>
    </bk>
    <bk>
      <rc t="1" v="10274"/>
    </bk>
    <bk>
      <rc t="1" v="10275"/>
    </bk>
    <bk>
      <rc t="1" v="10276"/>
    </bk>
    <bk>
      <rc t="1" v="10277"/>
    </bk>
    <bk>
      <rc t="1" v="10278"/>
    </bk>
    <bk>
      <rc t="1" v="10279"/>
    </bk>
    <bk>
      <rc t="1" v="10280"/>
    </bk>
    <bk>
      <rc t="1" v="10281"/>
    </bk>
    <bk>
      <rc t="1" v="10282"/>
    </bk>
    <bk>
      <rc t="1" v="10283"/>
    </bk>
    <bk>
      <rc t="1" v="10284"/>
    </bk>
    <bk>
      <rc t="1" v="10285"/>
    </bk>
    <bk>
      <rc t="1" v="10286"/>
    </bk>
    <bk>
      <rc t="1" v="10287"/>
    </bk>
    <bk>
      <rc t="1" v="10288"/>
    </bk>
    <bk>
      <rc t="1" v="10289"/>
    </bk>
    <bk>
      <rc t="1" v="10290"/>
    </bk>
    <bk>
      <rc t="1" v="10291"/>
    </bk>
    <bk>
      <rc t="1" v="10292"/>
    </bk>
    <bk>
      <rc t="1" v="10293"/>
    </bk>
    <bk>
      <rc t="1" v="10294"/>
    </bk>
    <bk>
      <rc t="1" v="10295"/>
    </bk>
    <bk>
      <rc t="1" v="10296"/>
    </bk>
    <bk>
      <rc t="1" v="10297"/>
    </bk>
    <bk>
      <rc t="1" v="10298"/>
    </bk>
    <bk>
      <rc t="1" v="10299"/>
    </bk>
    <bk>
      <rc t="1" v="10300"/>
    </bk>
    <bk>
      <rc t="1" v="10301"/>
    </bk>
    <bk>
      <rc t="1" v="10302"/>
    </bk>
    <bk>
      <rc t="1" v="10303"/>
    </bk>
    <bk>
      <rc t="1" v="10304"/>
    </bk>
    <bk>
      <rc t="1" v="10305"/>
    </bk>
    <bk>
      <rc t="1" v="10306"/>
    </bk>
    <bk>
      <rc t="1" v="10307"/>
    </bk>
    <bk>
      <rc t="1" v="10308"/>
    </bk>
    <bk>
      <rc t="1" v="10309"/>
    </bk>
    <bk>
      <rc t="1" v="10310"/>
    </bk>
    <bk>
      <rc t="1" v="10311"/>
    </bk>
    <bk>
      <rc t="1" v="10312"/>
    </bk>
    <bk>
      <rc t="1" v="10313"/>
    </bk>
    <bk>
      <rc t="1" v="10314"/>
    </bk>
    <bk>
      <rc t="1" v="10315"/>
    </bk>
    <bk>
      <rc t="1" v="10316"/>
    </bk>
    <bk>
      <rc t="1" v="10317"/>
    </bk>
    <bk>
      <rc t="1" v="10318"/>
    </bk>
    <bk>
      <rc t="1" v="10319"/>
    </bk>
    <bk>
      <rc t="1" v="10320"/>
    </bk>
    <bk>
      <rc t="1" v="10321"/>
    </bk>
    <bk>
      <rc t="1" v="10322"/>
    </bk>
    <bk>
      <rc t="1" v="10323"/>
    </bk>
    <bk>
      <rc t="1" v="10324"/>
    </bk>
    <bk>
      <rc t="1" v="10325"/>
    </bk>
    <bk>
      <rc t="1" v="10326"/>
    </bk>
    <bk>
      <rc t="1" v="10327"/>
    </bk>
    <bk>
      <rc t="1" v="10328"/>
    </bk>
    <bk>
      <rc t="1" v="10329"/>
    </bk>
    <bk>
      <rc t="1" v="10330"/>
    </bk>
    <bk>
      <rc t="1" v="10331"/>
    </bk>
    <bk>
      <rc t="1" v="10332"/>
    </bk>
    <bk>
      <rc t="1" v="10333"/>
    </bk>
    <bk>
      <rc t="1" v="10334"/>
    </bk>
    <bk>
      <rc t="1" v="10335"/>
    </bk>
    <bk>
      <rc t="1" v="10336"/>
    </bk>
    <bk>
      <rc t="1" v="10337"/>
    </bk>
    <bk>
      <rc t="1" v="10338"/>
    </bk>
    <bk>
      <rc t="1" v="10339"/>
    </bk>
    <bk>
      <rc t="1" v="10340"/>
    </bk>
    <bk>
      <rc t="1" v="10341"/>
    </bk>
    <bk>
      <rc t="1" v="10342"/>
    </bk>
    <bk>
      <rc t="1" v="10343"/>
    </bk>
    <bk>
      <rc t="1" v="10344"/>
    </bk>
    <bk>
      <rc t="1" v="10345"/>
    </bk>
    <bk>
      <rc t="1" v="10346"/>
    </bk>
    <bk>
      <rc t="1" v="10347"/>
    </bk>
    <bk>
      <rc t="1" v="10348"/>
    </bk>
    <bk>
      <rc t="1" v="10349"/>
    </bk>
    <bk>
      <rc t="1" v="10350"/>
    </bk>
    <bk>
      <rc t="1" v="10351"/>
    </bk>
    <bk>
      <rc t="1" v="10352"/>
    </bk>
    <bk>
      <rc t="1" v="10353"/>
    </bk>
    <bk>
      <rc t="1" v="10354"/>
    </bk>
    <bk>
      <rc t="1" v="10355"/>
    </bk>
    <bk>
      <rc t="1" v="10356"/>
    </bk>
    <bk>
      <rc t="1" v="10357"/>
    </bk>
    <bk>
      <rc t="1" v="10358"/>
    </bk>
    <bk>
      <rc t="1" v="10359"/>
    </bk>
    <bk>
      <rc t="1" v="10360"/>
    </bk>
    <bk>
      <rc t="1" v="10361"/>
    </bk>
    <bk>
      <rc t="1" v="10362"/>
    </bk>
    <bk>
      <rc t="1" v="10363"/>
    </bk>
    <bk>
      <rc t="1" v="10364"/>
    </bk>
    <bk>
      <rc t="1" v="10365"/>
    </bk>
    <bk>
      <rc t="1" v="10366"/>
    </bk>
    <bk>
      <rc t="1" v="10367"/>
    </bk>
    <bk>
      <rc t="1" v="10368"/>
    </bk>
    <bk>
      <rc t="1" v="10369"/>
    </bk>
    <bk>
      <rc t="1" v="10370"/>
    </bk>
    <bk>
      <rc t="1" v="10371"/>
    </bk>
    <bk>
      <rc t="1" v="10372"/>
    </bk>
    <bk>
      <rc t="1" v="10373"/>
    </bk>
    <bk>
      <rc t="1" v="10374"/>
    </bk>
    <bk>
      <rc t="1" v="10375"/>
    </bk>
    <bk>
      <rc t="1" v="10376"/>
    </bk>
    <bk>
      <rc t="1" v="10377"/>
    </bk>
    <bk>
      <rc t="1" v="10378"/>
    </bk>
    <bk>
      <rc t="1" v="10379"/>
    </bk>
    <bk>
      <rc t="1" v="10380"/>
    </bk>
    <bk>
      <rc t="1" v="10381"/>
    </bk>
    <bk>
      <rc t="1" v="10382"/>
    </bk>
    <bk>
      <rc t="1" v="10383"/>
    </bk>
    <bk>
      <rc t="1" v="10384"/>
    </bk>
    <bk>
      <rc t="1" v="10385"/>
    </bk>
    <bk>
      <rc t="1" v="10386"/>
    </bk>
    <bk>
      <rc t="1" v="10387"/>
    </bk>
    <bk>
      <rc t="1" v="10388"/>
    </bk>
    <bk>
      <rc t="1" v="10389"/>
    </bk>
    <bk>
      <rc t="1" v="10390"/>
    </bk>
    <bk>
      <rc t="1" v="10391"/>
    </bk>
    <bk>
      <rc t="1" v="10392"/>
    </bk>
    <bk>
      <rc t="1" v="10393"/>
    </bk>
    <bk>
      <rc t="1" v="10394"/>
    </bk>
    <bk>
      <rc t="1" v="10395"/>
    </bk>
    <bk>
      <rc t="1" v="10396"/>
    </bk>
    <bk>
      <rc t="1" v="10397"/>
    </bk>
    <bk>
      <rc t="1" v="10398"/>
    </bk>
    <bk>
      <rc t="1" v="10399"/>
    </bk>
    <bk>
      <rc t="1" v="10400"/>
    </bk>
    <bk>
      <rc t="1" v="10401"/>
    </bk>
    <bk>
      <rc t="1" v="10402"/>
    </bk>
    <bk>
      <rc t="1" v="10403"/>
    </bk>
    <bk>
      <rc t="1" v="10404"/>
    </bk>
    <bk>
      <rc t="1" v="10405"/>
    </bk>
    <bk>
      <rc t="1" v="10406"/>
    </bk>
    <bk>
      <rc t="1" v="10407"/>
    </bk>
    <bk>
      <rc t="1" v="10408"/>
    </bk>
    <bk>
      <rc t="1" v="10409"/>
    </bk>
    <bk>
      <rc t="1" v="10410"/>
    </bk>
    <bk>
      <rc t="1" v="10411"/>
    </bk>
    <bk>
      <rc t="1" v="10412"/>
    </bk>
    <bk>
      <rc t="1" v="10413"/>
    </bk>
    <bk>
      <rc t="1" v="10414"/>
    </bk>
    <bk>
      <rc t="1" v="10415"/>
    </bk>
    <bk>
      <rc t="1" v="10416"/>
    </bk>
    <bk>
      <rc t="1" v="10417"/>
    </bk>
    <bk>
      <rc t="1" v="10418"/>
    </bk>
    <bk>
      <rc t="1" v="10419"/>
    </bk>
    <bk>
      <rc t="1" v="10420"/>
    </bk>
    <bk>
      <rc t="1" v="10421"/>
    </bk>
    <bk>
      <rc t="1" v="10422"/>
    </bk>
    <bk>
      <rc t="1" v="10423"/>
    </bk>
    <bk>
      <rc t="1" v="10424"/>
    </bk>
    <bk>
      <rc t="1" v="10425"/>
    </bk>
    <bk>
      <rc t="1" v="10426"/>
    </bk>
    <bk>
      <rc t="1" v="10427"/>
    </bk>
    <bk>
      <rc t="1" v="10428"/>
    </bk>
    <bk>
      <rc t="1" v="10429"/>
    </bk>
    <bk>
      <rc t="1" v="10430"/>
    </bk>
    <bk>
      <rc t="1" v="10431"/>
    </bk>
    <bk>
      <rc t="1" v="10432"/>
    </bk>
    <bk>
      <rc t="1" v="10433"/>
    </bk>
    <bk>
      <rc t="1" v="10434"/>
    </bk>
    <bk>
      <rc t="1" v="10435"/>
    </bk>
    <bk>
      <rc t="1" v="10436"/>
    </bk>
    <bk>
      <rc t="1" v="10437"/>
    </bk>
    <bk>
      <rc t="1" v="10438"/>
    </bk>
    <bk>
      <rc t="1" v="10439"/>
    </bk>
    <bk>
      <rc t="1" v="10440"/>
    </bk>
    <bk>
      <rc t="1" v="10441"/>
    </bk>
    <bk>
      <rc t="1" v="10442"/>
    </bk>
    <bk>
      <rc t="1" v="10443"/>
    </bk>
    <bk>
      <rc t="1" v="10444"/>
    </bk>
    <bk>
      <rc t="1" v="10445"/>
    </bk>
    <bk>
      <rc t="1" v="10446"/>
    </bk>
    <bk>
      <rc t="1" v="10447"/>
    </bk>
    <bk>
      <rc t="1" v="10448"/>
    </bk>
    <bk>
      <rc t="1" v="10449"/>
    </bk>
    <bk>
      <rc t="1" v="10450"/>
    </bk>
    <bk>
      <rc t="1" v="10451"/>
    </bk>
    <bk>
      <rc t="1" v="10452"/>
    </bk>
    <bk>
      <rc t="1" v="10453"/>
    </bk>
    <bk>
      <rc t="1" v="10454"/>
    </bk>
    <bk>
      <rc t="1" v="10455"/>
    </bk>
    <bk>
      <rc t="1" v="10456"/>
    </bk>
    <bk>
      <rc t="1" v="10457"/>
    </bk>
    <bk>
      <rc t="1" v="10458"/>
    </bk>
    <bk>
      <rc t="1" v="10459"/>
    </bk>
    <bk>
      <rc t="1" v="10460"/>
    </bk>
    <bk>
      <rc t="1" v="10461"/>
    </bk>
    <bk>
      <rc t="1" v="10462"/>
    </bk>
    <bk>
      <rc t="1" v="10463"/>
    </bk>
    <bk>
      <rc t="1" v="10464"/>
    </bk>
    <bk>
      <rc t="1" v="10465"/>
    </bk>
    <bk>
      <rc t="1" v="10466"/>
    </bk>
    <bk>
      <rc t="1" v="10467"/>
    </bk>
    <bk>
      <rc t="1" v="10468"/>
    </bk>
    <bk>
      <rc t="1" v="10469"/>
    </bk>
    <bk>
      <rc t="1" v="10470"/>
    </bk>
    <bk>
      <rc t="1" v="10471"/>
    </bk>
    <bk>
      <rc t="1" v="10472"/>
    </bk>
    <bk>
      <rc t="1" v="10473"/>
    </bk>
    <bk>
      <rc t="1" v="10474"/>
    </bk>
    <bk>
      <rc t="1" v="10475"/>
    </bk>
    <bk>
      <rc t="1" v="10476"/>
    </bk>
    <bk>
      <rc t="1" v="10477"/>
    </bk>
    <bk>
      <rc t="1" v="10478"/>
    </bk>
    <bk>
      <rc t="1" v="10479"/>
    </bk>
    <bk>
      <rc t="1" v="10480"/>
    </bk>
    <bk>
      <rc t="1" v="10481"/>
    </bk>
    <bk>
      <rc t="1" v="10482"/>
    </bk>
    <bk>
      <rc t="1" v="10483"/>
    </bk>
    <bk>
      <rc t="1" v="10484"/>
    </bk>
    <bk>
      <rc t="1" v="10485"/>
    </bk>
    <bk>
      <rc t="1" v="10486"/>
    </bk>
    <bk>
      <rc t="1" v="10487"/>
    </bk>
    <bk>
      <rc t="1" v="10488"/>
    </bk>
    <bk>
      <rc t="1" v="10489"/>
    </bk>
    <bk>
      <rc t="1" v="10490"/>
    </bk>
    <bk>
      <rc t="1" v="10491"/>
    </bk>
    <bk>
      <rc t="1" v="10492"/>
    </bk>
    <bk>
      <rc t="1" v="10493"/>
    </bk>
    <bk>
      <rc t="1" v="10494"/>
    </bk>
    <bk>
      <rc t="1" v="10495"/>
    </bk>
    <bk>
      <rc t="1" v="10496"/>
    </bk>
    <bk>
      <rc t="1" v="10497"/>
    </bk>
    <bk>
      <rc t="1" v="10498"/>
    </bk>
    <bk>
      <rc t="1" v="10499"/>
    </bk>
    <bk>
      <rc t="1" v="10500"/>
    </bk>
    <bk>
      <rc t="1" v="10501"/>
    </bk>
    <bk>
      <rc t="1" v="10502"/>
    </bk>
    <bk>
      <rc t="1" v="10503"/>
    </bk>
    <bk>
      <rc t="1" v="10504"/>
    </bk>
    <bk>
      <rc t="1" v="10505"/>
    </bk>
    <bk>
      <rc t="1" v="10506"/>
    </bk>
    <bk>
      <rc t="1" v="10507"/>
    </bk>
    <bk>
      <rc t="1" v="10508"/>
    </bk>
    <bk>
      <rc t="1" v="10509"/>
    </bk>
    <bk>
      <rc t="1" v="10510"/>
    </bk>
    <bk>
      <rc t="1" v="10511"/>
    </bk>
    <bk>
      <rc t="1" v="10512"/>
    </bk>
    <bk>
      <rc t="1" v="10513"/>
    </bk>
    <bk>
      <rc t="1" v="10514"/>
    </bk>
    <bk>
      <rc t="1" v="10515"/>
    </bk>
    <bk>
      <rc t="1" v="10516"/>
    </bk>
    <bk>
      <rc t="1" v="10517"/>
    </bk>
    <bk>
      <rc t="1" v="10518"/>
    </bk>
    <bk>
      <rc t="1" v="10519"/>
    </bk>
    <bk>
      <rc t="1" v="10520"/>
    </bk>
    <bk>
      <rc t="1" v="10521"/>
    </bk>
    <bk>
      <rc t="1" v="10522"/>
    </bk>
    <bk>
      <rc t="1" v="10523"/>
    </bk>
    <bk>
      <rc t="1" v="10524"/>
    </bk>
    <bk>
      <rc t="1" v="10525"/>
    </bk>
    <bk>
      <rc t="1" v="10526"/>
    </bk>
    <bk>
      <rc t="1" v="10527"/>
    </bk>
    <bk>
      <rc t="1" v="10528"/>
    </bk>
    <bk>
      <rc t="1" v="10529"/>
    </bk>
    <bk>
      <rc t="1" v="10530"/>
    </bk>
    <bk>
      <rc t="1" v="10531"/>
    </bk>
    <bk>
      <rc t="1" v="10532"/>
    </bk>
    <bk>
      <rc t="1" v="10533"/>
    </bk>
    <bk>
      <rc t="1" v="10534"/>
    </bk>
    <bk>
      <rc t="1" v="10535"/>
    </bk>
    <bk>
      <rc t="1" v="10536"/>
    </bk>
    <bk>
      <rc t="1" v="10537"/>
    </bk>
    <bk>
      <rc t="1" v="10538"/>
    </bk>
    <bk>
      <rc t="1" v="10539"/>
    </bk>
    <bk>
      <rc t="1" v="10540"/>
    </bk>
    <bk>
      <rc t="1" v="10541"/>
    </bk>
    <bk>
      <rc t="1" v="10542"/>
    </bk>
    <bk>
      <rc t="1" v="10543"/>
    </bk>
    <bk>
      <rc t="1" v="10544"/>
    </bk>
    <bk>
      <rc t="1" v="10545"/>
    </bk>
    <bk>
      <rc t="1" v="10546"/>
    </bk>
    <bk>
      <rc t="1" v="10547"/>
    </bk>
    <bk>
      <rc t="1" v="10548"/>
    </bk>
    <bk>
      <rc t="1" v="10549"/>
    </bk>
    <bk>
      <rc t="1" v="10550"/>
    </bk>
    <bk>
      <rc t="1" v="10551"/>
    </bk>
    <bk>
      <rc t="1" v="10552"/>
    </bk>
    <bk>
      <rc t="1" v="10553"/>
    </bk>
    <bk>
      <rc t="1" v="10554"/>
    </bk>
    <bk>
      <rc t="1" v="10555"/>
    </bk>
    <bk>
      <rc t="1" v="10556"/>
    </bk>
    <bk>
      <rc t="1" v="10557"/>
    </bk>
    <bk>
      <rc t="1" v="10558"/>
    </bk>
    <bk>
      <rc t="1" v="10559"/>
    </bk>
    <bk>
      <rc t="1" v="10560"/>
    </bk>
    <bk>
      <rc t="1" v="10561"/>
    </bk>
    <bk>
      <rc t="1" v="10562"/>
    </bk>
    <bk>
      <rc t="1" v="10563"/>
    </bk>
    <bk>
      <rc t="1" v="10564"/>
    </bk>
    <bk>
      <rc t="1" v="10565"/>
    </bk>
    <bk>
      <rc t="1" v="10566"/>
    </bk>
    <bk>
      <rc t="1" v="10567"/>
    </bk>
    <bk>
      <rc t="1" v="10568"/>
    </bk>
    <bk>
      <rc t="1" v="10569"/>
    </bk>
    <bk>
      <rc t="1" v="10570"/>
    </bk>
    <bk>
      <rc t="1" v="10571"/>
    </bk>
    <bk>
      <rc t="1" v="10572"/>
    </bk>
    <bk>
      <rc t="1" v="10573"/>
    </bk>
    <bk>
      <rc t="1" v="10574"/>
    </bk>
    <bk>
      <rc t="1" v="10575"/>
    </bk>
    <bk>
      <rc t="1" v="10576"/>
    </bk>
    <bk>
      <rc t="1" v="10577"/>
    </bk>
    <bk>
      <rc t="1" v="10578"/>
    </bk>
    <bk>
      <rc t="1" v="10579"/>
    </bk>
    <bk>
      <rc t="1" v="10580"/>
    </bk>
    <bk>
      <rc t="1" v="10581"/>
    </bk>
    <bk>
      <rc t="1" v="10582"/>
    </bk>
    <bk>
      <rc t="1" v="10583"/>
    </bk>
    <bk>
      <rc t="1" v="10584"/>
    </bk>
    <bk>
      <rc t="1" v="10585"/>
    </bk>
    <bk>
      <rc t="1" v="10586"/>
    </bk>
    <bk>
      <rc t="1" v="10587"/>
    </bk>
    <bk>
      <rc t="1" v="10588"/>
    </bk>
    <bk>
      <rc t="1" v="10589"/>
    </bk>
    <bk>
      <rc t="1" v="10590"/>
    </bk>
    <bk>
      <rc t="1" v="10591"/>
    </bk>
    <bk>
      <rc t="1" v="10592"/>
    </bk>
    <bk>
      <rc t="1" v="10593"/>
    </bk>
    <bk>
      <rc t="1" v="10594"/>
    </bk>
    <bk>
      <rc t="1" v="10595"/>
    </bk>
    <bk>
      <rc t="1" v="10596"/>
    </bk>
    <bk>
      <rc t="1" v="10597"/>
    </bk>
    <bk>
      <rc t="1" v="10598"/>
    </bk>
    <bk>
      <rc t="1" v="10599"/>
    </bk>
    <bk>
      <rc t="1" v="10600"/>
    </bk>
    <bk>
      <rc t="1" v="10601"/>
    </bk>
    <bk>
      <rc t="1" v="10602"/>
    </bk>
    <bk>
      <rc t="1" v="10603"/>
    </bk>
    <bk>
      <rc t="1" v="10604"/>
    </bk>
    <bk>
      <rc t="1" v="10605"/>
    </bk>
    <bk>
      <rc t="1" v="10606"/>
    </bk>
    <bk>
      <rc t="1" v="10607"/>
    </bk>
    <bk>
      <rc t="1" v="10608"/>
    </bk>
    <bk>
      <rc t="1" v="10609"/>
    </bk>
    <bk>
      <rc t="1" v="10610"/>
    </bk>
    <bk>
      <rc t="1" v="10611"/>
    </bk>
    <bk>
      <rc t="1" v="10612"/>
    </bk>
    <bk>
      <rc t="1" v="10613"/>
    </bk>
    <bk>
      <rc t="1" v="10614"/>
    </bk>
    <bk>
      <rc t="1" v="10615"/>
    </bk>
    <bk>
      <rc t="1" v="10616"/>
    </bk>
    <bk>
      <rc t="1" v="10617"/>
    </bk>
    <bk>
      <rc t="1" v="10618"/>
    </bk>
    <bk>
      <rc t="1" v="10619"/>
    </bk>
    <bk>
      <rc t="1" v="10620"/>
    </bk>
    <bk>
      <rc t="1" v="10621"/>
    </bk>
    <bk>
      <rc t="1" v="10622"/>
    </bk>
    <bk>
      <rc t="1" v="10623"/>
    </bk>
    <bk>
      <rc t="1" v="10624"/>
    </bk>
    <bk>
      <rc t="1" v="10625"/>
    </bk>
    <bk>
      <rc t="1" v="10626"/>
    </bk>
    <bk>
      <rc t="1" v="10627"/>
    </bk>
    <bk>
      <rc t="1" v="10628"/>
    </bk>
    <bk>
      <rc t="1" v="10629"/>
    </bk>
    <bk>
      <rc t="1" v="10630"/>
    </bk>
    <bk>
      <rc t="1" v="10631"/>
    </bk>
    <bk>
      <rc t="1" v="10632"/>
    </bk>
    <bk>
      <rc t="1" v="10633"/>
    </bk>
    <bk>
      <rc t="1" v="10634"/>
    </bk>
    <bk>
      <rc t="1" v="10635"/>
    </bk>
    <bk>
      <rc t="1" v="10636"/>
    </bk>
    <bk>
      <rc t="1" v="10637"/>
    </bk>
    <bk>
      <rc t="1" v="10638"/>
    </bk>
    <bk>
      <rc t="1" v="10639"/>
    </bk>
    <bk>
      <rc t="1" v="10640"/>
    </bk>
    <bk>
      <rc t="1" v="10641"/>
    </bk>
    <bk>
      <rc t="1" v="10642"/>
    </bk>
    <bk>
      <rc t="1" v="10643"/>
    </bk>
    <bk>
      <rc t="1" v="10644"/>
    </bk>
    <bk>
      <rc t="1" v="10645"/>
    </bk>
    <bk>
      <rc t="1" v="10646"/>
    </bk>
    <bk>
      <rc t="1" v="10647"/>
    </bk>
    <bk>
      <rc t="1" v="10648"/>
    </bk>
    <bk>
      <rc t="1" v="10649"/>
    </bk>
    <bk>
      <rc t="1" v="10650"/>
    </bk>
    <bk>
      <rc t="1" v="10651"/>
    </bk>
    <bk>
      <rc t="1" v="10652"/>
    </bk>
    <bk>
      <rc t="1" v="10653"/>
    </bk>
    <bk>
      <rc t="1" v="10654"/>
    </bk>
    <bk>
      <rc t="1" v="10655"/>
    </bk>
    <bk>
      <rc t="1" v="10656"/>
    </bk>
    <bk>
      <rc t="1" v="10657"/>
    </bk>
    <bk>
      <rc t="1" v="10658"/>
    </bk>
    <bk>
      <rc t="1" v="10659"/>
    </bk>
    <bk>
      <rc t="1" v="10660"/>
    </bk>
    <bk>
      <rc t="1" v="10661"/>
    </bk>
    <bk>
      <rc t="1" v="10662"/>
    </bk>
    <bk>
      <rc t="1" v="10663"/>
    </bk>
    <bk>
      <rc t="1" v="10664"/>
    </bk>
    <bk>
      <rc t="1" v="10665"/>
    </bk>
    <bk>
      <rc t="1" v="10666"/>
    </bk>
    <bk>
      <rc t="1" v="10667"/>
    </bk>
    <bk>
      <rc t="1" v="10668"/>
    </bk>
    <bk>
      <rc t="1" v="10669"/>
    </bk>
    <bk>
      <rc t="1" v="10670"/>
    </bk>
    <bk>
      <rc t="1" v="10671"/>
    </bk>
    <bk>
      <rc t="1" v="10672"/>
    </bk>
    <bk>
      <rc t="1" v="10673"/>
    </bk>
    <bk>
      <rc t="1" v="10674"/>
    </bk>
    <bk>
      <rc t="1" v="10675"/>
    </bk>
    <bk>
      <rc t="1" v="10676"/>
    </bk>
    <bk>
      <rc t="1" v="10677"/>
    </bk>
    <bk>
      <rc t="1" v="10678"/>
    </bk>
    <bk>
      <rc t="1" v="10679"/>
    </bk>
    <bk>
      <rc t="1" v="10680"/>
    </bk>
    <bk>
      <rc t="1" v="10681"/>
    </bk>
    <bk>
      <rc t="1" v="10682"/>
    </bk>
    <bk>
      <rc t="1" v="10683"/>
    </bk>
    <bk>
      <rc t="1" v="10684"/>
    </bk>
    <bk>
      <rc t="1" v="10685"/>
    </bk>
    <bk>
      <rc t="1" v="10686"/>
    </bk>
    <bk>
      <rc t="1" v="10687"/>
    </bk>
    <bk>
      <rc t="1" v="10688"/>
    </bk>
    <bk>
      <rc t="1" v="10689"/>
    </bk>
    <bk>
      <rc t="1" v="10690"/>
    </bk>
    <bk>
      <rc t="1" v="10691"/>
    </bk>
    <bk>
      <rc t="1" v="10692"/>
    </bk>
    <bk>
      <rc t="1" v="10693"/>
    </bk>
    <bk>
      <rc t="1" v="10694"/>
    </bk>
    <bk>
      <rc t="1" v="10695"/>
    </bk>
    <bk>
      <rc t="1" v="10696"/>
    </bk>
    <bk>
      <rc t="1" v="10697"/>
    </bk>
    <bk>
      <rc t="1" v="10698"/>
    </bk>
    <bk>
      <rc t="1" v="10699"/>
    </bk>
    <bk>
      <rc t="1" v="10700"/>
    </bk>
    <bk>
      <rc t="1" v="10701"/>
    </bk>
    <bk>
      <rc t="1" v="10702"/>
    </bk>
    <bk>
      <rc t="1" v="10703"/>
    </bk>
    <bk>
      <rc t="1" v="10704"/>
    </bk>
    <bk>
      <rc t="1" v="10705"/>
    </bk>
    <bk>
      <rc t="1" v="10706"/>
    </bk>
    <bk>
      <rc t="1" v="10707"/>
    </bk>
    <bk>
      <rc t="1" v="10708"/>
    </bk>
    <bk>
      <rc t="1" v="10709"/>
    </bk>
    <bk>
      <rc t="1" v="10710"/>
    </bk>
    <bk>
      <rc t="1" v="10711"/>
    </bk>
    <bk>
      <rc t="1" v="10712"/>
    </bk>
    <bk>
      <rc t="1" v="10713"/>
    </bk>
    <bk>
      <rc t="1" v="10714"/>
    </bk>
    <bk>
      <rc t="1" v="10715"/>
    </bk>
    <bk>
      <rc t="1" v="10716"/>
    </bk>
    <bk>
      <rc t="1" v="10717"/>
    </bk>
    <bk>
      <rc t="1" v="10718"/>
    </bk>
    <bk>
      <rc t="1" v="10719"/>
    </bk>
    <bk>
      <rc t="1" v="10720"/>
    </bk>
    <bk>
      <rc t="1" v="10721"/>
    </bk>
    <bk>
      <rc t="1" v="10722"/>
    </bk>
    <bk>
      <rc t="1" v="10723"/>
    </bk>
    <bk>
      <rc t="1" v="10724"/>
    </bk>
    <bk>
      <rc t="1" v="10725"/>
    </bk>
    <bk>
      <rc t="1" v="10726"/>
    </bk>
    <bk>
      <rc t="1" v="10727"/>
    </bk>
    <bk>
      <rc t="1" v="10728"/>
    </bk>
    <bk>
      <rc t="1" v="10729"/>
    </bk>
    <bk>
      <rc t="1" v="10730"/>
    </bk>
    <bk>
      <rc t="1" v="10731"/>
    </bk>
    <bk>
      <rc t="1" v="10732"/>
    </bk>
    <bk>
      <rc t="1" v="10733"/>
    </bk>
    <bk>
      <rc t="1" v="10734"/>
    </bk>
    <bk>
      <rc t="1" v="10735"/>
    </bk>
    <bk>
      <rc t="1" v="10736"/>
    </bk>
    <bk>
      <rc t="1" v="10737"/>
    </bk>
    <bk>
      <rc t="1" v="10738"/>
    </bk>
    <bk>
      <rc t="1" v="10739"/>
    </bk>
    <bk>
      <rc t="1" v="10740"/>
    </bk>
    <bk>
      <rc t="1" v="10741"/>
    </bk>
    <bk>
      <rc t="1" v="10742"/>
    </bk>
    <bk>
      <rc t="1" v="10743"/>
    </bk>
    <bk>
      <rc t="1" v="10744"/>
    </bk>
    <bk>
      <rc t="1" v="10745"/>
    </bk>
    <bk>
      <rc t="1" v="10746"/>
    </bk>
    <bk>
      <rc t="1" v="10747"/>
    </bk>
    <bk>
      <rc t="1" v="10748"/>
    </bk>
    <bk>
      <rc t="1" v="10749"/>
    </bk>
    <bk>
      <rc t="1" v="10750"/>
    </bk>
    <bk>
      <rc t="1" v="10751"/>
    </bk>
    <bk>
      <rc t="1" v="10752"/>
    </bk>
    <bk>
      <rc t="1" v="10753"/>
    </bk>
    <bk>
      <rc t="1" v="10754"/>
    </bk>
    <bk>
      <rc t="1" v="10755"/>
    </bk>
    <bk>
      <rc t="1" v="10756"/>
    </bk>
    <bk>
      <rc t="1" v="10757"/>
    </bk>
    <bk>
      <rc t="1" v="10758"/>
    </bk>
    <bk>
      <rc t="1" v="10759"/>
    </bk>
    <bk>
      <rc t="1" v="10760"/>
    </bk>
    <bk>
      <rc t="1" v="10761"/>
    </bk>
    <bk>
      <rc t="1" v="10762"/>
    </bk>
    <bk>
      <rc t="1" v="10763"/>
    </bk>
    <bk>
      <rc t="1" v="10764"/>
    </bk>
    <bk>
      <rc t="1" v="10765"/>
    </bk>
    <bk>
      <rc t="1" v="10766"/>
    </bk>
    <bk>
      <rc t="1" v="10767"/>
    </bk>
    <bk>
      <rc t="1" v="10768"/>
    </bk>
    <bk>
      <rc t="1" v="10769"/>
    </bk>
    <bk>
      <rc t="1" v="10770"/>
    </bk>
    <bk>
      <rc t="1" v="10771"/>
    </bk>
    <bk>
      <rc t="1" v="10772"/>
    </bk>
    <bk>
      <rc t="1" v="10773"/>
    </bk>
    <bk>
      <rc t="1" v="10774"/>
    </bk>
    <bk>
      <rc t="1" v="10775"/>
    </bk>
    <bk>
      <rc t="1" v="10776"/>
    </bk>
    <bk>
      <rc t="1" v="10777"/>
    </bk>
    <bk>
      <rc t="1" v="10778"/>
    </bk>
    <bk>
      <rc t="1" v="10779"/>
    </bk>
    <bk>
      <rc t="1" v="10780"/>
    </bk>
    <bk>
      <rc t="1" v="10781"/>
    </bk>
    <bk>
      <rc t="1" v="10782"/>
    </bk>
    <bk>
      <rc t="1" v="10783"/>
    </bk>
    <bk>
      <rc t="1" v="10784"/>
    </bk>
    <bk>
      <rc t="1" v="10785"/>
    </bk>
    <bk>
      <rc t="1" v="10786"/>
    </bk>
    <bk>
      <rc t="1" v="10787"/>
    </bk>
    <bk>
      <rc t="1" v="10788"/>
    </bk>
    <bk>
      <rc t="1" v="10789"/>
    </bk>
    <bk>
      <rc t="1" v="10790"/>
    </bk>
    <bk>
      <rc t="1" v="10791"/>
    </bk>
    <bk>
      <rc t="1" v="10792"/>
    </bk>
    <bk>
      <rc t="1" v="10793"/>
    </bk>
    <bk>
      <rc t="1" v="10794"/>
    </bk>
    <bk>
      <rc t="1" v="10795"/>
    </bk>
    <bk>
      <rc t="1" v="10796"/>
    </bk>
    <bk>
      <rc t="1" v="10797"/>
    </bk>
    <bk>
      <rc t="1" v="10798"/>
    </bk>
    <bk>
      <rc t="1" v="10799"/>
    </bk>
    <bk>
      <rc t="1" v="10800"/>
    </bk>
    <bk>
      <rc t="1" v="10801"/>
    </bk>
    <bk>
      <rc t="1" v="10802"/>
    </bk>
    <bk>
      <rc t="1" v="10803"/>
    </bk>
    <bk>
      <rc t="1" v="10804"/>
    </bk>
    <bk>
      <rc t="1" v="10805"/>
    </bk>
    <bk>
      <rc t="1" v="10806"/>
    </bk>
    <bk>
      <rc t="1" v="10807"/>
    </bk>
    <bk>
      <rc t="1" v="10808"/>
    </bk>
    <bk>
      <rc t="1" v="10809"/>
    </bk>
    <bk>
      <rc t="1" v="10810"/>
    </bk>
    <bk>
      <rc t="1" v="10811"/>
    </bk>
    <bk>
      <rc t="1" v="10812"/>
    </bk>
    <bk>
      <rc t="1" v="10813"/>
    </bk>
    <bk>
      <rc t="1" v="10814"/>
    </bk>
    <bk>
      <rc t="1" v="10815"/>
    </bk>
    <bk>
      <rc t="1" v="10816"/>
    </bk>
    <bk>
      <rc t="1" v="10817"/>
    </bk>
    <bk>
      <rc t="1" v="10818"/>
    </bk>
    <bk>
      <rc t="1" v="10819"/>
    </bk>
    <bk>
      <rc t="1" v="10820"/>
    </bk>
    <bk>
      <rc t="1" v="10821"/>
    </bk>
    <bk>
      <rc t="1" v="10822"/>
    </bk>
    <bk>
      <rc t="1" v="10823"/>
    </bk>
    <bk>
      <rc t="1" v="10824"/>
    </bk>
    <bk>
      <rc t="1" v="10825"/>
    </bk>
    <bk>
      <rc t="1" v="10826"/>
    </bk>
    <bk>
      <rc t="1" v="10827"/>
    </bk>
    <bk>
      <rc t="1" v="10828"/>
    </bk>
    <bk>
      <rc t="1" v="10829"/>
    </bk>
    <bk>
      <rc t="1" v="10830"/>
    </bk>
    <bk>
      <rc t="1" v="10831"/>
    </bk>
    <bk>
      <rc t="1" v="10832"/>
    </bk>
    <bk>
      <rc t="1" v="10833"/>
    </bk>
    <bk>
      <rc t="1" v="10834"/>
    </bk>
    <bk>
      <rc t="1" v="10835"/>
    </bk>
    <bk>
      <rc t="1" v="10836"/>
    </bk>
    <bk>
      <rc t="1" v="10837"/>
    </bk>
    <bk>
      <rc t="1" v="10838"/>
    </bk>
    <bk>
      <rc t="1" v="10839"/>
    </bk>
    <bk>
      <rc t="1" v="10840"/>
    </bk>
    <bk>
      <rc t="1" v="10841"/>
    </bk>
    <bk>
      <rc t="1" v="10842"/>
    </bk>
    <bk>
      <rc t="1" v="10843"/>
    </bk>
    <bk>
      <rc t="1" v="10844"/>
    </bk>
    <bk>
      <rc t="1" v="10845"/>
    </bk>
    <bk>
      <rc t="1" v="10846"/>
    </bk>
    <bk>
      <rc t="1" v="10847"/>
    </bk>
    <bk>
      <rc t="1" v="10848"/>
    </bk>
    <bk>
      <rc t="1" v="10849"/>
    </bk>
    <bk>
      <rc t="1" v="10850"/>
    </bk>
    <bk>
      <rc t="1" v="10851"/>
    </bk>
    <bk>
      <rc t="1" v="10852"/>
    </bk>
    <bk>
      <rc t="1" v="10853"/>
    </bk>
    <bk>
      <rc t="1" v="10854"/>
    </bk>
    <bk>
      <rc t="1" v="10855"/>
    </bk>
    <bk>
      <rc t="1" v="10856"/>
    </bk>
    <bk>
      <rc t="1" v="10857"/>
    </bk>
    <bk>
      <rc t="1" v="10858"/>
    </bk>
    <bk>
      <rc t="1" v="10859"/>
    </bk>
    <bk>
      <rc t="1" v="10860"/>
    </bk>
    <bk>
      <rc t="1" v="10861"/>
    </bk>
    <bk>
      <rc t="1" v="10862"/>
    </bk>
    <bk>
      <rc t="1" v="10863"/>
    </bk>
    <bk>
      <rc t="1" v="10864"/>
    </bk>
    <bk>
      <rc t="1" v="10865"/>
    </bk>
    <bk>
      <rc t="1" v="10866"/>
    </bk>
    <bk>
      <rc t="1" v="10867"/>
    </bk>
    <bk>
      <rc t="1" v="10868"/>
    </bk>
    <bk>
      <rc t="1" v="10869"/>
    </bk>
    <bk>
      <rc t="1" v="10870"/>
    </bk>
    <bk>
      <rc t="1" v="10871"/>
    </bk>
    <bk>
      <rc t="1" v="10872"/>
    </bk>
    <bk>
      <rc t="1" v="10873"/>
    </bk>
    <bk>
      <rc t="1" v="10874"/>
    </bk>
    <bk>
      <rc t="1" v="10875"/>
    </bk>
    <bk>
      <rc t="1" v="10876"/>
    </bk>
    <bk>
      <rc t="1" v="10877"/>
    </bk>
    <bk>
      <rc t="1" v="10878"/>
    </bk>
    <bk>
      <rc t="1" v="10879"/>
    </bk>
    <bk>
      <rc t="1" v="10880"/>
    </bk>
    <bk>
      <rc t="1" v="10881"/>
    </bk>
    <bk>
      <rc t="1" v="10882"/>
    </bk>
    <bk>
      <rc t="1" v="10883"/>
    </bk>
    <bk>
      <rc t="1" v="10884"/>
    </bk>
    <bk>
      <rc t="1" v="10885"/>
    </bk>
    <bk>
      <rc t="1" v="10886"/>
    </bk>
    <bk>
      <rc t="1" v="10887"/>
    </bk>
    <bk>
      <rc t="1" v="10888"/>
    </bk>
    <bk>
      <rc t="1" v="10889"/>
    </bk>
    <bk>
      <rc t="1" v="10890"/>
    </bk>
    <bk>
      <rc t="1" v="10891"/>
    </bk>
    <bk>
      <rc t="1" v="10892"/>
    </bk>
    <bk>
      <rc t="1" v="10893"/>
    </bk>
    <bk>
      <rc t="1" v="10894"/>
    </bk>
    <bk>
      <rc t="1" v="10895"/>
    </bk>
    <bk>
      <rc t="1" v="10896"/>
    </bk>
    <bk>
      <rc t="1" v="10897"/>
    </bk>
    <bk>
      <rc t="1" v="10898"/>
    </bk>
    <bk>
      <rc t="1" v="10899"/>
    </bk>
    <bk>
      <rc t="1" v="10900"/>
    </bk>
    <bk>
      <rc t="1" v="10901"/>
    </bk>
    <bk>
      <rc t="1" v="10902"/>
    </bk>
    <bk>
      <rc t="1" v="10903"/>
    </bk>
    <bk>
      <rc t="1" v="10904"/>
    </bk>
    <bk>
      <rc t="1" v="10905"/>
    </bk>
    <bk>
      <rc t="1" v="10906"/>
    </bk>
    <bk>
      <rc t="1" v="10907"/>
    </bk>
    <bk>
      <rc t="1" v="10908"/>
    </bk>
    <bk>
      <rc t="1" v="10909"/>
    </bk>
    <bk>
      <rc t="1" v="10910"/>
    </bk>
    <bk>
      <rc t="1" v="10911"/>
    </bk>
    <bk>
      <rc t="1" v="10912"/>
    </bk>
    <bk>
      <rc t="1" v="10913"/>
    </bk>
    <bk>
      <rc t="1" v="10914"/>
    </bk>
    <bk>
      <rc t="1" v="10915"/>
    </bk>
    <bk>
      <rc t="1" v="10916"/>
    </bk>
    <bk>
      <rc t="1" v="10917"/>
    </bk>
    <bk>
      <rc t="1" v="10918"/>
    </bk>
    <bk>
      <rc t="1" v="10919"/>
    </bk>
    <bk>
      <rc t="1" v="10920"/>
    </bk>
    <bk>
      <rc t="1" v="10921"/>
    </bk>
    <bk>
      <rc t="1" v="10922"/>
    </bk>
    <bk>
      <rc t="1" v="10923"/>
    </bk>
    <bk>
      <rc t="1" v="10924"/>
    </bk>
    <bk>
      <rc t="1" v="10925"/>
    </bk>
    <bk>
      <rc t="1" v="10926"/>
    </bk>
    <bk>
      <rc t="1" v="10927"/>
    </bk>
    <bk>
      <rc t="1" v="10928"/>
    </bk>
    <bk>
      <rc t="1" v="10929"/>
    </bk>
    <bk>
      <rc t="1" v="10930"/>
    </bk>
    <bk>
      <rc t="1" v="10931"/>
    </bk>
    <bk>
      <rc t="1" v="10932"/>
    </bk>
    <bk>
      <rc t="1" v="10933"/>
    </bk>
    <bk>
      <rc t="1" v="10934"/>
    </bk>
    <bk>
      <rc t="1" v="10935"/>
    </bk>
    <bk>
      <rc t="1" v="10936"/>
    </bk>
    <bk>
      <rc t="1" v="10937"/>
    </bk>
    <bk>
      <rc t="1" v="10938"/>
    </bk>
    <bk>
      <rc t="1" v="10939"/>
    </bk>
    <bk>
      <rc t="1" v="10940"/>
    </bk>
    <bk>
      <rc t="1" v="10941"/>
    </bk>
    <bk>
      <rc t="1" v="10942"/>
    </bk>
    <bk>
      <rc t="1" v="10943"/>
    </bk>
    <bk>
      <rc t="1" v="10944"/>
    </bk>
    <bk>
      <rc t="1" v="10945"/>
    </bk>
    <bk>
      <rc t="1" v="10946"/>
    </bk>
    <bk>
      <rc t="1" v="10947"/>
    </bk>
    <bk>
      <rc t="1" v="10948"/>
    </bk>
    <bk>
      <rc t="1" v="10949"/>
    </bk>
    <bk>
      <rc t="1" v="10950"/>
    </bk>
    <bk>
      <rc t="1" v="10951"/>
    </bk>
    <bk>
      <rc t="1" v="10952"/>
    </bk>
    <bk>
      <rc t="1" v="10953"/>
    </bk>
    <bk>
      <rc t="1" v="10954"/>
    </bk>
    <bk>
      <rc t="1" v="10955"/>
    </bk>
    <bk>
      <rc t="1" v="10956"/>
    </bk>
    <bk>
      <rc t="1" v="10957"/>
    </bk>
    <bk>
      <rc t="1" v="10958"/>
    </bk>
    <bk>
      <rc t="1" v="10959"/>
    </bk>
    <bk>
      <rc t="1" v="10960"/>
    </bk>
    <bk>
      <rc t="1" v="10961"/>
    </bk>
    <bk>
      <rc t="1" v="10962"/>
    </bk>
    <bk>
      <rc t="1" v="10963"/>
    </bk>
    <bk>
      <rc t="1" v="10964"/>
    </bk>
    <bk>
      <rc t="1" v="10965"/>
    </bk>
    <bk>
      <rc t="1" v="10966"/>
    </bk>
    <bk>
      <rc t="1" v="10967"/>
    </bk>
    <bk>
      <rc t="1" v="10968"/>
    </bk>
    <bk>
      <rc t="1" v="10969"/>
    </bk>
    <bk>
      <rc t="1" v="10970"/>
    </bk>
    <bk>
      <rc t="1" v="10971"/>
    </bk>
    <bk>
      <rc t="1" v="10972"/>
    </bk>
    <bk>
      <rc t="1" v="10973"/>
    </bk>
    <bk>
      <rc t="1" v="10974"/>
    </bk>
    <bk>
      <rc t="1" v="10975"/>
    </bk>
    <bk>
      <rc t="1" v="10976"/>
    </bk>
    <bk>
      <rc t="1" v="10977"/>
    </bk>
    <bk>
      <rc t="1" v="10978"/>
    </bk>
    <bk>
      <rc t="1" v="10979"/>
    </bk>
    <bk>
      <rc t="1" v="10980"/>
    </bk>
    <bk>
      <rc t="1" v="10981"/>
    </bk>
    <bk>
      <rc t="1" v="10982"/>
    </bk>
    <bk>
      <rc t="1" v="10983"/>
    </bk>
    <bk>
      <rc t="1" v="10984"/>
    </bk>
    <bk>
      <rc t="1" v="10985"/>
    </bk>
    <bk>
      <rc t="1" v="10986"/>
    </bk>
    <bk>
      <rc t="1" v="10987"/>
    </bk>
    <bk>
      <rc t="1" v="10988"/>
    </bk>
    <bk>
      <rc t="1" v="10989"/>
    </bk>
    <bk>
      <rc t="1" v="10990"/>
    </bk>
    <bk>
      <rc t="1" v="10991"/>
    </bk>
    <bk>
      <rc t="1" v="10992"/>
    </bk>
    <bk>
      <rc t="1" v="10993"/>
    </bk>
    <bk>
      <rc t="1" v="10994"/>
    </bk>
    <bk>
      <rc t="1" v="10995"/>
    </bk>
    <bk>
      <rc t="1" v="10996"/>
    </bk>
    <bk>
      <rc t="1" v="10997"/>
    </bk>
    <bk>
      <rc t="1" v="10998"/>
    </bk>
    <bk>
      <rc t="1" v="10999"/>
    </bk>
    <bk>
      <rc t="1" v="11000"/>
    </bk>
    <bk>
      <rc t="1" v="11001"/>
    </bk>
    <bk>
      <rc t="1" v="11002"/>
    </bk>
    <bk>
      <rc t="1" v="11003"/>
    </bk>
    <bk>
      <rc t="1" v="11004"/>
    </bk>
    <bk>
      <rc t="1" v="11005"/>
    </bk>
    <bk>
      <rc t="1" v="11006"/>
    </bk>
    <bk>
      <rc t="1" v="11007"/>
    </bk>
    <bk>
      <rc t="1" v="11008"/>
    </bk>
    <bk>
      <rc t="1" v="11009"/>
    </bk>
    <bk>
      <rc t="1" v="11010"/>
    </bk>
    <bk>
      <rc t="1" v="11011"/>
    </bk>
    <bk>
      <rc t="1" v="11012"/>
    </bk>
    <bk>
      <rc t="1" v="11013"/>
    </bk>
    <bk>
      <rc t="1" v="11014"/>
    </bk>
    <bk>
      <rc t="1" v="11015"/>
    </bk>
    <bk>
      <rc t="1" v="11016"/>
    </bk>
    <bk>
      <rc t="1" v="11017"/>
    </bk>
    <bk>
      <rc t="1" v="11018"/>
    </bk>
    <bk>
      <rc t="1" v="11019"/>
    </bk>
    <bk>
      <rc t="1" v="11020"/>
    </bk>
    <bk>
      <rc t="1" v="11021"/>
    </bk>
    <bk>
      <rc t="1" v="11022"/>
    </bk>
    <bk>
      <rc t="1" v="11023"/>
    </bk>
    <bk>
      <rc t="1" v="11024"/>
    </bk>
    <bk>
      <rc t="1" v="11025"/>
    </bk>
    <bk>
      <rc t="1" v="11026"/>
    </bk>
    <bk>
      <rc t="1" v="11027"/>
    </bk>
    <bk>
      <rc t="1" v="11028"/>
    </bk>
    <bk>
      <rc t="1" v="11029"/>
    </bk>
    <bk>
      <rc t="1" v="11030"/>
    </bk>
    <bk>
      <rc t="1" v="11031"/>
    </bk>
    <bk>
      <rc t="1" v="11032"/>
    </bk>
    <bk>
      <rc t="1" v="11033"/>
    </bk>
    <bk>
      <rc t="1" v="11034"/>
    </bk>
    <bk>
      <rc t="1" v="11035"/>
    </bk>
    <bk>
      <rc t="1" v="11036"/>
    </bk>
    <bk>
      <rc t="1" v="11037"/>
    </bk>
    <bk>
      <rc t="1" v="11038"/>
    </bk>
    <bk>
      <rc t="1" v="11039"/>
    </bk>
    <bk>
      <rc t="1" v="11040"/>
    </bk>
    <bk>
      <rc t="1" v="11041"/>
    </bk>
    <bk>
      <rc t="1" v="11042"/>
    </bk>
    <bk>
      <rc t="1" v="11043"/>
    </bk>
    <bk>
      <rc t="1" v="11044"/>
    </bk>
    <bk>
      <rc t="1" v="11045"/>
    </bk>
    <bk>
      <rc t="1" v="11046"/>
    </bk>
    <bk>
      <rc t="1" v="11047"/>
    </bk>
    <bk>
      <rc t="1" v="11048"/>
    </bk>
    <bk>
      <rc t="1" v="11049"/>
    </bk>
    <bk>
      <rc t="1" v="11050"/>
    </bk>
    <bk>
      <rc t="1" v="11051"/>
    </bk>
    <bk>
      <rc t="1" v="11052"/>
    </bk>
    <bk>
      <rc t="1" v="11053"/>
    </bk>
    <bk>
      <rc t="1" v="11054"/>
    </bk>
    <bk>
      <rc t="1" v="11055"/>
    </bk>
    <bk>
      <rc t="1" v="11056"/>
    </bk>
    <bk>
      <rc t="1" v="11057"/>
    </bk>
    <bk>
      <rc t="1" v="11058"/>
    </bk>
    <bk>
      <rc t="1" v="11059"/>
    </bk>
    <bk>
      <rc t="1" v="11060"/>
    </bk>
    <bk>
      <rc t="1" v="11061"/>
    </bk>
    <bk>
      <rc t="1" v="11062"/>
    </bk>
    <bk>
      <rc t="1" v="11063"/>
    </bk>
    <bk>
      <rc t="1" v="11064"/>
    </bk>
    <bk>
      <rc t="1" v="11065"/>
    </bk>
    <bk>
      <rc t="1" v="11066"/>
    </bk>
    <bk>
      <rc t="1" v="11067"/>
    </bk>
    <bk>
      <rc t="1" v="11068"/>
    </bk>
    <bk>
      <rc t="1" v="11069"/>
    </bk>
    <bk>
      <rc t="1" v="11070"/>
    </bk>
    <bk>
      <rc t="1" v="11071"/>
    </bk>
    <bk>
      <rc t="1" v="11072"/>
    </bk>
    <bk>
      <rc t="1" v="11073"/>
    </bk>
    <bk>
      <rc t="1" v="11074"/>
    </bk>
    <bk>
      <rc t="1" v="11075"/>
    </bk>
    <bk>
      <rc t="1" v="11076"/>
    </bk>
    <bk>
      <rc t="1" v="11077"/>
    </bk>
    <bk>
      <rc t="1" v="11078"/>
    </bk>
    <bk>
      <rc t="1" v="11079"/>
    </bk>
    <bk>
      <rc t="1" v="11080"/>
    </bk>
    <bk>
      <rc t="1" v="11081"/>
    </bk>
    <bk>
      <rc t="1" v="11082"/>
    </bk>
    <bk>
      <rc t="1" v="11083"/>
    </bk>
    <bk>
      <rc t="1" v="11084"/>
    </bk>
    <bk>
      <rc t="1" v="11085"/>
    </bk>
    <bk>
      <rc t="1" v="11086"/>
    </bk>
    <bk>
      <rc t="1" v="11087"/>
    </bk>
    <bk>
      <rc t="1" v="11088"/>
    </bk>
    <bk>
      <rc t="1" v="11089"/>
    </bk>
    <bk>
      <rc t="1" v="11090"/>
    </bk>
    <bk>
      <rc t="1" v="11091"/>
    </bk>
    <bk>
      <rc t="1" v="11092"/>
    </bk>
    <bk>
      <rc t="1" v="11093"/>
    </bk>
    <bk>
      <rc t="1" v="11094"/>
    </bk>
    <bk>
      <rc t="1" v="11095"/>
    </bk>
    <bk>
      <rc t="1" v="11096"/>
    </bk>
    <bk>
      <rc t="1" v="11097"/>
    </bk>
    <bk>
      <rc t="1" v="11098"/>
    </bk>
    <bk>
      <rc t="1" v="11099"/>
    </bk>
    <bk>
      <rc t="1" v="11100"/>
    </bk>
    <bk>
      <rc t="1" v="11101"/>
    </bk>
    <bk>
      <rc t="1" v="11102"/>
    </bk>
    <bk>
      <rc t="1" v="11103"/>
    </bk>
    <bk>
      <rc t="1" v="11104"/>
    </bk>
    <bk>
      <rc t="1" v="11105"/>
    </bk>
    <bk>
      <rc t="1" v="11106"/>
    </bk>
    <bk>
      <rc t="1" v="11107"/>
    </bk>
    <bk>
      <rc t="1" v="11108"/>
    </bk>
    <bk>
      <rc t="1" v="11109"/>
    </bk>
    <bk>
      <rc t="1" v="11110"/>
    </bk>
    <bk>
      <rc t="1" v="11111"/>
    </bk>
    <bk>
      <rc t="1" v="11112"/>
    </bk>
    <bk>
      <rc t="1" v="11113"/>
    </bk>
    <bk>
      <rc t="1" v="11114"/>
    </bk>
    <bk>
      <rc t="1" v="11115"/>
    </bk>
    <bk>
      <rc t="1" v="11116"/>
    </bk>
    <bk>
      <rc t="1" v="11117"/>
    </bk>
    <bk>
      <rc t="1" v="11118"/>
    </bk>
    <bk>
      <rc t="1" v="11119"/>
    </bk>
    <bk>
      <rc t="1" v="11120"/>
    </bk>
    <bk>
      <rc t="1" v="11121"/>
    </bk>
    <bk>
      <rc t="1" v="11122"/>
    </bk>
    <bk>
      <rc t="1" v="11123"/>
    </bk>
    <bk>
      <rc t="1" v="11124"/>
    </bk>
    <bk>
      <rc t="1" v="11125"/>
    </bk>
    <bk>
      <rc t="1" v="11126"/>
    </bk>
    <bk>
      <rc t="1" v="11127"/>
    </bk>
    <bk>
      <rc t="1" v="11128"/>
    </bk>
    <bk>
      <rc t="1" v="11129"/>
    </bk>
    <bk>
      <rc t="1" v="11130"/>
    </bk>
    <bk>
      <rc t="1" v="11131"/>
    </bk>
    <bk>
      <rc t="1" v="11132"/>
    </bk>
    <bk>
      <rc t="1" v="11133"/>
    </bk>
    <bk>
      <rc t="1" v="11134"/>
    </bk>
    <bk>
      <rc t="1" v="11135"/>
    </bk>
    <bk>
      <rc t="1" v="11136"/>
    </bk>
    <bk>
      <rc t="1" v="11137"/>
    </bk>
    <bk>
      <rc t="1" v="11138"/>
    </bk>
    <bk>
      <rc t="1" v="11139"/>
    </bk>
    <bk>
      <rc t="1" v="11140"/>
    </bk>
    <bk>
      <rc t="1" v="11141"/>
    </bk>
    <bk>
      <rc t="1" v="11142"/>
    </bk>
    <bk>
      <rc t="1" v="11143"/>
    </bk>
    <bk>
      <rc t="1" v="11144"/>
    </bk>
    <bk>
      <rc t="1" v="11145"/>
    </bk>
    <bk>
      <rc t="1" v="11146"/>
    </bk>
    <bk>
      <rc t="1" v="11147"/>
    </bk>
    <bk>
      <rc t="1" v="11148"/>
    </bk>
    <bk>
      <rc t="1" v="11149"/>
    </bk>
    <bk>
      <rc t="1" v="11150"/>
    </bk>
    <bk>
      <rc t="1" v="11151"/>
    </bk>
    <bk>
      <rc t="1" v="11152"/>
    </bk>
    <bk>
      <rc t="1" v="11153"/>
    </bk>
    <bk>
      <rc t="1" v="11154"/>
    </bk>
    <bk>
      <rc t="1" v="11155"/>
    </bk>
    <bk>
      <rc t="1" v="11156"/>
    </bk>
    <bk>
      <rc t="1" v="11157"/>
    </bk>
    <bk>
      <rc t="1" v="11158"/>
    </bk>
    <bk>
      <rc t="1" v="11159"/>
    </bk>
    <bk>
      <rc t="1" v="11160"/>
    </bk>
    <bk>
      <rc t="1" v="11161"/>
    </bk>
    <bk>
      <rc t="1" v="11162"/>
    </bk>
    <bk>
      <rc t="1" v="11163"/>
    </bk>
    <bk>
      <rc t="1" v="11164"/>
    </bk>
    <bk>
      <rc t="1" v="11165"/>
    </bk>
    <bk>
      <rc t="1" v="11166"/>
    </bk>
    <bk>
      <rc t="1" v="11167"/>
    </bk>
    <bk>
      <rc t="1" v="11168"/>
    </bk>
    <bk>
      <rc t="1" v="11169"/>
    </bk>
    <bk>
      <rc t="1" v="11170"/>
    </bk>
    <bk>
      <rc t="1" v="11171"/>
    </bk>
    <bk>
      <rc t="1" v="11172"/>
    </bk>
    <bk>
      <rc t="1" v="11173"/>
    </bk>
    <bk>
      <rc t="1" v="11174"/>
    </bk>
    <bk>
      <rc t="1" v="11175"/>
    </bk>
    <bk>
      <rc t="1" v="11176"/>
    </bk>
    <bk>
      <rc t="1" v="11177"/>
    </bk>
    <bk>
      <rc t="1" v="11178"/>
    </bk>
    <bk>
      <rc t="1" v="11179"/>
    </bk>
    <bk>
      <rc t="1" v="11180"/>
    </bk>
    <bk>
      <rc t="1" v="11181"/>
    </bk>
    <bk>
      <rc t="1" v="11182"/>
    </bk>
    <bk>
      <rc t="1" v="11183"/>
    </bk>
    <bk>
      <rc t="1" v="11184"/>
    </bk>
    <bk>
      <rc t="1" v="11185"/>
    </bk>
    <bk>
      <rc t="1" v="11186"/>
    </bk>
    <bk>
      <rc t="1" v="11187"/>
    </bk>
    <bk>
      <rc t="1" v="11188"/>
    </bk>
    <bk>
      <rc t="1" v="11189"/>
    </bk>
    <bk>
      <rc t="1" v="11190"/>
    </bk>
    <bk>
      <rc t="1" v="11191"/>
    </bk>
    <bk>
      <rc t="1" v="11192"/>
    </bk>
    <bk>
      <rc t="1" v="11193"/>
    </bk>
    <bk>
      <rc t="1" v="11194"/>
    </bk>
    <bk>
      <rc t="1" v="11195"/>
    </bk>
    <bk>
      <rc t="1" v="11196"/>
    </bk>
    <bk>
      <rc t="1" v="11197"/>
    </bk>
    <bk>
      <rc t="1" v="11198"/>
    </bk>
    <bk>
      <rc t="1" v="11199"/>
    </bk>
    <bk>
      <rc t="1" v="11200"/>
    </bk>
    <bk>
      <rc t="1" v="11201"/>
    </bk>
    <bk>
      <rc t="1" v="11202"/>
    </bk>
    <bk>
      <rc t="1" v="11203"/>
    </bk>
    <bk>
      <rc t="1" v="11204"/>
    </bk>
    <bk>
      <rc t="1" v="11205"/>
    </bk>
    <bk>
      <rc t="1" v="11206"/>
    </bk>
    <bk>
      <rc t="1" v="11207"/>
    </bk>
    <bk>
      <rc t="1" v="11208"/>
    </bk>
    <bk>
      <rc t="1" v="11209"/>
    </bk>
    <bk>
      <rc t="1" v="11210"/>
    </bk>
    <bk>
      <rc t="1" v="11211"/>
    </bk>
    <bk>
      <rc t="1" v="11212"/>
    </bk>
    <bk>
      <rc t="1" v="11213"/>
    </bk>
    <bk>
      <rc t="1" v="11214"/>
    </bk>
    <bk>
      <rc t="1" v="11215"/>
    </bk>
    <bk>
      <rc t="1" v="11216"/>
    </bk>
    <bk>
      <rc t="1" v="11217"/>
    </bk>
    <bk>
      <rc t="1" v="11218"/>
    </bk>
    <bk>
      <rc t="1" v="11219"/>
    </bk>
    <bk>
      <rc t="1" v="11220"/>
    </bk>
    <bk>
      <rc t="1" v="11221"/>
    </bk>
    <bk>
      <rc t="1" v="11222"/>
    </bk>
    <bk>
      <rc t="1" v="11223"/>
    </bk>
    <bk>
      <rc t="1" v="11224"/>
    </bk>
    <bk>
      <rc t="1" v="11225"/>
    </bk>
    <bk>
      <rc t="1" v="11226"/>
    </bk>
    <bk>
      <rc t="1" v="11227"/>
    </bk>
    <bk>
      <rc t="1" v="11228"/>
    </bk>
    <bk>
      <rc t="1" v="11229"/>
    </bk>
    <bk>
      <rc t="1" v="11230"/>
    </bk>
    <bk>
      <rc t="1" v="11231"/>
    </bk>
    <bk>
      <rc t="1" v="11232"/>
    </bk>
    <bk>
      <rc t="1" v="11233"/>
    </bk>
    <bk>
      <rc t="1" v="11234"/>
    </bk>
    <bk>
      <rc t="1" v="11235"/>
    </bk>
    <bk>
      <rc t="1" v="11236"/>
    </bk>
    <bk>
      <rc t="1" v="11237"/>
    </bk>
    <bk>
      <rc t="1" v="11238"/>
    </bk>
    <bk>
      <rc t="1" v="11239"/>
    </bk>
    <bk>
      <rc t="1" v="11240"/>
    </bk>
    <bk>
      <rc t="1" v="11241"/>
    </bk>
    <bk>
      <rc t="1" v="11242"/>
    </bk>
    <bk>
      <rc t="1" v="11243"/>
    </bk>
    <bk>
      <rc t="1" v="11244"/>
    </bk>
    <bk>
      <rc t="1" v="11245"/>
    </bk>
    <bk>
      <rc t="1" v="11246"/>
    </bk>
    <bk>
      <rc t="1" v="11247"/>
    </bk>
    <bk>
      <rc t="1" v="11248"/>
    </bk>
    <bk>
      <rc t="1" v="11249"/>
    </bk>
    <bk>
      <rc t="1" v="11250"/>
    </bk>
    <bk>
      <rc t="1" v="11251"/>
    </bk>
    <bk>
      <rc t="1" v="11252"/>
    </bk>
    <bk>
      <rc t="1" v="11253"/>
    </bk>
    <bk>
      <rc t="1" v="11254"/>
    </bk>
    <bk>
      <rc t="1" v="11255"/>
    </bk>
    <bk>
      <rc t="1" v="11256"/>
    </bk>
    <bk>
      <rc t="1" v="11257"/>
    </bk>
    <bk>
      <rc t="1" v="11258"/>
    </bk>
    <bk>
      <rc t="1" v="11259"/>
    </bk>
    <bk>
      <rc t="1" v="11260"/>
    </bk>
    <bk>
      <rc t="1" v="11261"/>
    </bk>
    <bk>
      <rc t="1" v="11262"/>
    </bk>
    <bk>
      <rc t="1" v="11263"/>
    </bk>
    <bk>
      <rc t="1" v="11264"/>
    </bk>
    <bk>
      <rc t="1" v="11265"/>
    </bk>
    <bk>
      <rc t="1" v="11266"/>
    </bk>
    <bk>
      <rc t="1" v="11267"/>
    </bk>
    <bk>
      <rc t="1" v="11268"/>
    </bk>
    <bk>
      <rc t="1" v="11269"/>
    </bk>
    <bk>
      <rc t="1" v="11270"/>
    </bk>
    <bk>
      <rc t="1" v="11271"/>
    </bk>
    <bk>
      <rc t="1" v="11272"/>
    </bk>
    <bk>
      <rc t="1" v="11273"/>
    </bk>
    <bk>
      <rc t="1" v="11274"/>
    </bk>
    <bk>
      <rc t="1" v="11275"/>
    </bk>
    <bk>
      <rc t="1" v="11276"/>
    </bk>
    <bk>
      <rc t="1" v="11277"/>
    </bk>
    <bk>
      <rc t="1" v="11278"/>
    </bk>
    <bk>
      <rc t="1" v="11279"/>
    </bk>
    <bk>
      <rc t="1" v="11280"/>
    </bk>
    <bk>
      <rc t="1" v="11281"/>
    </bk>
    <bk>
      <rc t="1" v="11282"/>
    </bk>
    <bk>
      <rc t="1" v="11283"/>
    </bk>
    <bk>
      <rc t="1" v="11284"/>
    </bk>
    <bk>
      <rc t="1" v="11285"/>
    </bk>
    <bk>
      <rc t="1" v="11286"/>
    </bk>
    <bk>
      <rc t="1" v="11287"/>
    </bk>
    <bk>
      <rc t="1" v="11288"/>
    </bk>
    <bk>
      <rc t="1" v="11289"/>
    </bk>
    <bk>
      <rc t="1" v="11290"/>
    </bk>
    <bk>
      <rc t="1" v="11291"/>
    </bk>
    <bk>
      <rc t="1" v="11292"/>
    </bk>
    <bk>
      <rc t="1" v="11293"/>
    </bk>
    <bk>
      <rc t="1" v="11294"/>
    </bk>
    <bk>
      <rc t="1" v="11295"/>
    </bk>
    <bk>
      <rc t="1" v="11296"/>
    </bk>
    <bk>
      <rc t="1" v="11297"/>
    </bk>
    <bk>
      <rc t="1" v="11298"/>
    </bk>
    <bk>
      <rc t="1" v="11299"/>
    </bk>
    <bk>
      <rc t="1" v="11300"/>
    </bk>
    <bk>
      <rc t="1" v="11301"/>
    </bk>
    <bk>
      <rc t="1" v="11302"/>
    </bk>
    <bk>
      <rc t="1" v="11303"/>
    </bk>
    <bk>
      <rc t="1" v="11304"/>
    </bk>
    <bk>
      <rc t="1" v="11305"/>
    </bk>
    <bk>
      <rc t="1" v="11306"/>
    </bk>
    <bk>
      <rc t="1" v="11307"/>
    </bk>
    <bk>
      <rc t="1" v="11308"/>
    </bk>
    <bk>
      <rc t="1" v="11309"/>
    </bk>
    <bk>
      <rc t="1" v="11310"/>
    </bk>
    <bk>
      <rc t="1" v="11311"/>
    </bk>
    <bk>
      <rc t="1" v="11312"/>
    </bk>
    <bk>
      <rc t="1" v="11313"/>
    </bk>
    <bk>
      <rc t="1" v="11314"/>
    </bk>
    <bk>
      <rc t="1" v="11315"/>
    </bk>
    <bk>
      <rc t="1" v="11316"/>
    </bk>
    <bk>
      <rc t="1" v="11317"/>
    </bk>
    <bk>
      <rc t="1" v="11318"/>
    </bk>
    <bk>
      <rc t="1" v="11319"/>
    </bk>
    <bk>
      <rc t="1" v="11320"/>
    </bk>
    <bk>
      <rc t="1" v="11321"/>
    </bk>
    <bk>
      <rc t="1" v="11322"/>
    </bk>
    <bk>
      <rc t="1" v="11323"/>
    </bk>
    <bk>
      <rc t="1" v="11324"/>
    </bk>
    <bk>
      <rc t="1" v="11325"/>
    </bk>
    <bk>
      <rc t="1" v="11326"/>
    </bk>
    <bk>
      <rc t="1" v="11327"/>
    </bk>
    <bk>
      <rc t="1" v="11328"/>
    </bk>
    <bk>
      <rc t="1" v="11329"/>
    </bk>
    <bk>
      <rc t="1" v="11330"/>
    </bk>
    <bk>
      <rc t="1" v="11331"/>
    </bk>
    <bk>
      <rc t="1" v="11332"/>
    </bk>
    <bk>
      <rc t="1" v="11333"/>
    </bk>
    <bk>
      <rc t="1" v="11334"/>
    </bk>
    <bk>
      <rc t="1" v="11335"/>
    </bk>
    <bk>
      <rc t="1" v="11336"/>
    </bk>
    <bk>
      <rc t="1" v="11337"/>
    </bk>
    <bk>
      <rc t="1" v="11338"/>
    </bk>
    <bk>
      <rc t="1" v="11339"/>
    </bk>
    <bk>
      <rc t="1" v="11340"/>
    </bk>
    <bk>
      <rc t="1" v="11341"/>
    </bk>
    <bk>
      <rc t="1" v="11342"/>
    </bk>
    <bk>
      <rc t="1" v="11343"/>
    </bk>
    <bk>
      <rc t="1" v="11344"/>
    </bk>
    <bk>
      <rc t="1" v="11345"/>
    </bk>
    <bk>
      <rc t="1" v="11346"/>
    </bk>
    <bk>
      <rc t="1" v="11347"/>
    </bk>
    <bk>
      <rc t="1" v="11348"/>
    </bk>
    <bk>
      <rc t="1" v="11349"/>
    </bk>
    <bk>
      <rc t="1" v="11350"/>
    </bk>
    <bk>
      <rc t="1" v="11351"/>
    </bk>
    <bk>
      <rc t="1" v="11352"/>
    </bk>
    <bk>
      <rc t="1" v="11353"/>
    </bk>
    <bk>
      <rc t="1" v="11354"/>
    </bk>
    <bk>
      <rc t="1" v="11355"/>
    </bk>
    <bk>
      <rc t="1" v="11356"/>
    </bk>
    <bk>
      <rc t="1" v="11357"/>
    </bk>
    <bk>
      <rc t="1" v="11358"/>
    </bk>
    <bk>
      <rc t="1" v="11359"/>
    </bk>
    <bk>
      <rc t="1" v="11360"/>
    </bk>
    <bk>
      <rc t="1" v="11361"/>
    </bk>
    <bk>
      <rc t="1" v="11362"/>
    </bk>
    <bk>
      <rc t="1" v="11363"/>
    </bk>
    <bk>
      <rc t="1" v="11364"/>
    </bk>
    <bk>
      <rc t="1" v="11365"/>
    </bk>
    <bk>
      <rc t="1" v="11366"/>
    </bk>
    <bk>
      <rc t="1" v="11367"/>
    </bk>
    <bk>
      <rc t="1" v="11368"/>
    </bk>
    <bk>
      <rc t="1" v="11369"/>
    </bk>
    <bk>
      <rc t="1" v="11370"/>
    </bk>
    <bk>
      <rc t="1" v="11371"/>
    </bk>
    <bk>
      <rc t="1" v="11372"/>
    </bk>
    <bk>
      <rc t="1" v="11373"/>
    </bk>
    <bk>
      <rc t="1" v="11374"/>
    </bk>
    <bk>
      <rc t="1" v="11375"/>
    </bk>
    <bk>
      <rc t="1" v="11376"/>
    </bk>
    <bk>
      <rc t="1" v="11377"/>
    </bk>
    <bk>
      <rc t="1" v="11378"/>
    </bk>
    <bk>
      <rc t="1" v="11379"/>
    </bk>
    <bk>
      <rc t="1" v="11380"/>
    </bk>
    <bk>
      <rc t="1" v="11381"/>
    </bk>
    <bk>
      <rc t="1" v="11382"/>
    </bk>
    <bk>
      <rc t="1" v="11383"/>
    </bk>
    <bk>
      <rc t="1" v="11384"/>
    </bk>
    <bk>
      <rc t="1" v="11385"/>
    </bk>
    <bk>
      <rc t="1" v="11386"/>
    </bk>
    <bk>
      <rc t="1" v="11387"/>
    </bk>
    <bk>
      <rc t="1" v="11388"/>
    </bk>
    <bk>
      <rc t="1" v="11389"/>
    </bk>
    <bk>
      <rc t="1" v="11390"/>
    </bk>
    <bk>
      <rc t="1" v="11391"/>
    </bk>
    <bk>
      <rc t="1" v="11392"/>
    </bk>
    <bk>
      <rc t="1" v="11393"/>
    </bk>
    <bk>
      <rc t="1" v="11394"/>
    </bk>
    <bk>
      <rc t="1" v="11395"/>
    </bk>
    <bk>
      <rc t="1" v="11396"/>
    </bk>
    <bk>
      <rc t="1" v="11397"/>
    </bk>
    <bk>
      <rc t="1" v="11398"/>
    </bk>
    <bk>
      <rc t="1" v="11399"/>
    </bk>
    <bk>
      <rc t="1" v="11400"/>
    </bk>
    <bk>
      <rc t="1" v="11401"/>
    </bk>
    <bk>
      <rc t="1" v="11402"/>
    </bk>
    <bk>
      <rc t="1" v="11403"/>
    </bk>
    <bk>
      <rc t="1" v="11404"/>
    </bk>
    <bk>
      <rc t="1" v="11405"/>
    </bk>
    <bk>
      <rc t="1" v="11406"/>
    </bk>
    <bk>
      <rc t="1" v="11407"/>
    </bk>
    <bk>
      <rc t="1" v="11408"/>
    </bk>
    <bk>
      <rc t="1" v="11409"/>
    </bk>
    <bk>
      <rc t="1" v="11410"/>
    </bk>
    <bk>
      <rc t="1" v="11411"/>
    </bk>
    <bk>
      <rc t="1" v="11412"/>
    </bk>
    <bk>
      <rc t="1" v="11413"/>
    </bk>
    <bk>
      <rc t="1" v="11414"/>
    </bk>
    <bk>
      <rc t="1" v="11415"/>
    </bk>
    <bk>
      <rc t="1" v="11416"/>
    </bk>
    <bk>
      <rc t="1" v="11417"/>
    </bk>
    <bk>
      <rc t="1" v="11418"/>
    </bk>
    <bk>
      <rc t="1" v="11419"/>
    </bk>
    <bk>
      <rc t="1" v="11420"/>
    </bk>
    <bk>
      <rc t="1" v="11421"/>
    </bk>
    <bk>
      <rc t="1" v="11422"/>
    </bk>
    <bk>
      <rc t="1" v="11423"/>
    </bk>
    <bk>
      <rc t="1" v="11424"/>
    </bk>
    <bk>
      <rc t="1" v="11425"/>
    </bk>
    <bk>
      <rc t="1" v="11426"/>
    </bk>
    <bk>
      <rc t="1" v="11427"/>
    </bk>
    <bk>
      <rc t="1" v="11428"/>
    </bk>
    <bk>
      <rc t="1" v="11429"/>
    </bk>
    <bk>
      <rc t="1" v="11430"/>
    </bk>
    <bk>
      <rc t="1" v="11431"/>
    </bk>
    <bk>
      <rc t="1" v="11432"/>
    </bk>
    <bk>
      <rc t="1" v="11433"/>
    </bk>
    <bk>
      <rc t="1" v="11434"/>
    </bk>
    <bk>
      <rc t="1" v="11435"/>
    </bk>
    <bk>
      <rc t="1" v="11436"/>
    </bk>
    <bk>
      <rc t="1" v="11437"/>
    </bk>
    <bk>
      <rc t="1" v="11438"/>
    </bk>
    <bk>
      <rc t="1" v="11439"/>
    </bk>
    <bk>
      <rc t="1" v="11440"/>
    </bk>
    <bk>
      <rc t="1" v="11441"/>
    </bk>
    <bk>
      <rc t="1" v="11442"/>
    </bk>
    <bk>
      <rc t="1" v="11443"/>
    </bk>
    <bk>
      <rc t="1" v="11444"/>
    </bk>
    <bk>
      <rc t="1" v="11445"/>
    </bk>
    <bk>
      <rc t="1" v="11446"/>
    </bk>
    <bk>
      <rc t="1" v="11447"/>
    </bk>
    <bk>
      <rc t="1" v="11448"/>
    </bk>
    <bk>
      <rc t="1" v="11449"/>
    </bk>
    <bk>
      <rc t="1" v="11450"/>
    </bk>
    <bk>
      <rc t="1" v="11451"/>
    </bk>
    <bk>
      <rc t="1" v="11452"/>
    </bk>
    <bk>
      <rc t="1" v="11453"/>
    </bk>
    <bk>
      <rc t="1" v="11454"/>
    </bk>
    <bk>
      <rc t="1" v="11455"/>
    </bk>
    <bk>
      <rc t="1" v="11456"/>
    </bk>
    <bk>
      <rc t="1" v="11457"/>
    </bk>
    <bk>
      <rc t="1" v="11458"/>
    </bk>
    <bk>
      <rc t="1" v="11459"/>
    </bk>
    <bk>
      <rc t="1" v="11460"/>
    </bk>
    <bk>
      <rc t="1" v="11461"/>
    </bk>
    <bk>
      <rc t="1" v="11462"/>
    </bk>
    <bk>
      <rc t="1" v="11463"/>
    </bk>
    <bk>
      <rc t="1" v="11464"/>
    </bk>
    <bk>
      <rc t="1" v="11465"/>
    </bk>
    <bk>
      <rc t="1" v="11466"/>
    </bk>
    <bk>
      <rc t="1" v="11467"/>
    </bk>
    <bk>
      <rc t="1" v="11468"/>
    </bk>
    <bk>
      <rc t="1" v="11469"/>
    </bk>
    <bk>
      <rc t="1" v="11470"/>
    </bk>
    <bk>
      <rc t="1" v="11471"/>
    </bk>
    <bk>
      <rc t="1" v="11472"/>
    </bk>
    <bk>
      <rc t="1" v="11473"/>
    </bk>
    <bk>
      <rc t="1" v="11474"/>
    </bk>
    <bk>
      <rc t="1" v="11475"/>
    </bk>
    <bk>
      <rc t="1" v="11476"/>
    </bk>
    <bk>
      <rc t="1" v="11477"/>
    </bk>
    <bk>
      <rc t="1" v="11478"/>
    </bk>
    <bk>
      <rc t="1" v="11479"/>
    </bk>
    <bk>
      <rc t="1" v="11480"/>
    </bk>
    <bk>
      <rc t="1" v="11481"/>
    </bk>
    <bk>
      <rc t="1" v="11482"/>
    </bk>
    <bk>
      <rc t="1" v="11483"/>
    </bk>
    <bk>
      <rc t="1" v="11484"/>
    </bk>
    <bk>
      <rc t="1" v="11485"/>
    </bk>
    <bk>
      <rc t="1" v="11486"/>
    </bk>
    <bk>
      <rc t="1" v="11487"/>
    </bk>
    <bk>
      <rc t="1" v="11488"/>
    </bk>
    <bk>
      <rc t="1" v="11489"/>
    </bk>
    <bk>
      <rc t="1" v="11490"/>
    </bk>
    <bk>
      <rc t="1" v="11491"/>
    </bk>
    <bk>
      <rc t="1" v="11492"/>
    </bk>
    <bk>
      <rc t="1" v="11493"/>
    </bk>
    <bk>
      <rc t="1" v="11494"/>
    </bk>
    <bk>
      <rc t="1" v="11495"/>
    </bk>
    <bk>
      <rc t="1" v="11496"/>
    </bk>
    <bk>
      <rc t="1" v="11497"/>
    </bk>
    <bk>
      <rc t="1" v="11498"/>
    </bk>
    <bk>
      <rc t="1" v="11499"/>
    </bk>
    <bk>
      <rc t="1" v="11500"/>
    </bk>
    <bk>
      <rc t="1" v="11501"/>
    </bk>
    <bk>
      <rc t="1" v="11502"/>
    </bk>
    <bk>
      <rc t="1" v="11503"/>
    </bk>
    <bk>
      <rc t="1" v="11504"/>
    </bk>
    <bk>
      <rc t="1" v="11505"/>
    </bk>
    <bk>
      <rc t="1" v="11506"/>
    </bk>
    <bk>
      <rc t="1" v="11507"/>
    </bk>
    <bk>
      <rc t="1" v="11508"/>
    </bk>
    <bk>
      <rc t="1" v="11509"/>
    </bk>
    <bk>
      <rc t="1" v="11510"/>
    </bk>
    <bk>
      <rc t="1" v="11511"/>
    </bk>
    <bk>
      <rc t="1" v="11512"/>
    </bk>
    <bk>
      <rc t="1" v="11513"/>
    </bk>
    <bk>
      <rc t="1" v="11514"/>
    </bk>
    <bk>
      <rc t="1" v="11515"/>
    </bk>
    <bk>
      <rc t="1" v="11516"/>
    </bk>
    <bk>
      <rc t="1" v="11517"/>
    </bk>
    <bk>
      <rc t="1" v="11518"/>
    </bk>
    <bk>
      <rc t="1" v="11519"/>
    </bk>
    <bk>
      <rc t="1" v="11520"/>
    </bk>
    <bk>
      <rc t="1" v="11521"/>
    </bk>
    <bk>
      <rc t="1" v="11522"/>
    </bk>
    <bk>
      <rc t="1" v="11523"/>
    </bk>
    <bk>
      <rc t="1" v="11524"/>
    </bk>
    <bk>
      <rc t="1" v="11525"/>
    </bk>
    <bk>
      <rc t="1" v="11526"/>
    </bk>
    <bk>
      <rc t="1" v="11527"/>
    </bk>
    <bk>
      <rc t="1" v="11528"/>
    </bk>
    <bk>
      <rc t="1" v="11529"/>
    </bk>
    <bk>
      <rc t="1" v="11530"/>
    </bk>
    <bk>
      <rc t="1" v="11531"/>
    </bk>
    <bk>
      <rc t="1" v="11532"/>
    </bk>
    <bk>
      <rc t="1" v="11533"/>
    </bk>
    <bk>
      <rc t="1" v="11534"/>
    </bk>
    <bk>
      <rc t="1" v="11535"/>
    </bk>
    <bk>
      <rc t="1" v="11536"/>
    </bk>
    <bk>
      <rc t="1" v="11537"/>
    </bk>
    <bk>
      <rc t="1" v="11538"/>
    </bk>
    <bk>
      <rc t="1" v="11539"/>
    </bk>
    <bk>
      <rc t="1" v="11540"/>
    </bk>
    <bk>
      <rc t="1" v="11541"/>
    </bk>
    <bk>
      <rc t="1" v="11542"/>
    </bk>
    <bk>
      <rc t="1" v="11543"/>
    </bk>
    <bk>
      <rc t="1" v="11544"/>
    </bk>
    <bk>
      <rc t="1" v="11545"/>
    </bk>
    <bk>
      <rc t="1" v="11546"/>
    </bk>
    <bk>
      <rc t="1" v="11547"/>
    </bk>
    <bk>
      <rc t="1" v="11548"/>
    </bk>
    <bk>
      <rc t="1" v="11549"/>
    </bk>
    <bk>
      <rc t="1" v="11550"/>
    </bk>
    <bk>
      <rc t="1" v="11551"/>
    </bk>
    <bk>
      <rc t="1" v="11552"/>
    </bk>
    <bk>
      <rc t="1" v="11553"/>
    </bk>
    <bk>
      <rc t="1" v="11554"/>
    </bk>
    <bk>
      <rc t="1" v="11555"/>
    </bk>
    <bk>
      <rc t="1" v="11556"/>
    </bk>
    <bk>
      <rc t="1" v="11557"/>
    </bk>
    <bk>
      <rc t="1" v="11558"/>
    </bk>
    <bk>
      <rc t="1" v="11559"/>
    </bk>
    <bk>
      <rc t="1" v="11560"/>
    </bk>
    <bk>
      <rc t="1" v="11561"/>
    </bk>
    <bk>
      <rc t="1" v="11562"/>
    </bk>
    <bk>
      <rc t="1" v="11563"/>
    </bk>
    <bk>
      <rc t="1" v="11564"/>
    </bk>
    <bk>
      <rc t="1" v="11565"/>
    </bk>
    <bk>
      <rc t="1" v="11566"/>
    </bk>
    <bk>
      <rc t="1" v="11567"/>
    </bk>
    <bk>
      <rc t="1" v="11568"/>
    </bk>
    <bk>
      <rc t="1" v="11569"/>
    </bk>
    <bk>
      <rc t="1" v="11570"/>
    </bk>
    <bk>
      <rc t="1" v="11571"/>
    </bk>
    <bk>
      <rc t="1" v="11572"/>
    </bk>
    <bk>
      <rc t="1" v="11573"/>
    </bk>
    <bk>
      <rc t="1" v="11574"/>
    </bk>
    <bk>
      <rc t="1" v="11575"/>
    </bk>
    <bk>
      <rc t="1" v="11576"/>
    </bk>
    <bk>
      <rc t="1" v="11577"/>
    </bk>
    <bk>
      <rc t="1" v="11578"/>
    </bk>
    <bk>
      <rc t="1" v="11579"/>
    </bk>
    <bk>
      <rc t="1" v="11580"/>
    </bk>
    <bk>
      <rc t="1" v="11581"/>
    </bk>
    <bk>
      <rc t="1" v="11582"/>
    </bk>
    <bk>
      <rc t="1" v="11583"/>
    </bk>
    <bk>
      <rc t="1" v="11584"/>
    </bk>
    <bk>
      <rc t="1" v="11585"/>
    </bk>
    <bk>
      <rc t="1" v="11586"/>
    </bk>
    <bk>
      <rc t="1" v="11587"/>
    </bk>
    <bk>
      <rc t="1" v="11588"/>
    </bk>
    <bk>
      <rc t="1" v="11589"/>
    </bk>
    <bk>
      <rc t="1" v="11590"/>
    </bk>
    <bk>
      <rc t="1" v="11591"/>
    </bk>
    <bk>
      <rc t="1" v="11592"/>
    </bk>
    <bk>
      <rc t="1" v="11593"/>
    </bk>
    <bk>
      <rc t="1" v="11594"/>
    </bk>
    <bk>
      <rc t="1" v="11595"/>
    </bk>
    <bk>
      <rc t="1" v="11596"/>
    </bk>
    <bk>
      <rc t="1" v="11597"/>
    </bk>
    <bk>
      <rc t="1" v="11598"/>
    </bk>
    <bk>
      <rc t="1" v="11599"/>
    </bk>
    <bk>
      <rc t="1" v="11600"/>
    </bk>
    <bk>
      <rc t="1" v="11601"/>
    </bk>
    <bk>
      <rc t="1" v="11602"/>
    </bk>
    <bk>
      <rc t="1" v="11603"/>
    </bk>
    <bk>
      <rc t="1" v="11604"/>
    </bk>
    <bk>
      <rc t="1" v="11605"/>
    </bk>
    <bk>
      <rc t="1" v="11606"/>
    </bk>
    <bk>
      <rc t="1" v="11607"/>
    </bk>
    <bk>
      <rc t="1" v="11608"/>
    </bk>
    <bk>
      <rc t="1" v="11609"/>
    </bk>
    <bk>
      <rc t="1" v="11610"/>
    </bk>
    <bk>
      <rc t="1" v="11611"/>
    </bk>
    <bk>
      <rc t="1" v="11612"/>
    </bk>
    <bk>
      <rc t="1" v="11613"/>
    </bk>
    <bk>
      <rc t="1" v="11614"/>
    </bk>
    <bk>
      <rc t="1" v="11615"/>
    </bk>
    <bk>
      <rc t="1" v="11616"/>
    </bk>
    <bk>
      <rc t="1" v="11617"/>
    </bk>
    <bk>
      <rc t="1" v="11618"/>
    </bk>
    <bk>
      <rc t="1" v="11619"/>
    </bk>
    <bk>
      <rc t="1" v="11620"/>
    </bk>
    <bk>
      <rc t="1" v="11621"/>
    </bk>
    <bk>
      <rc t="1" v="11622"/>
    </bk>
    <bk>
      <rc t="1" v="11623"/>
    </bk>
    <bk>
      <rc t="1" v="11624"/>
    </bk>
    <bk>
      <rc t="1" v="11625"/>
    </bk>
    <bk>
      <rc t="1" v="11626"/>
    </bk>
    <bk>
      <rc t="1" v="11627"/>
    </bk>
    <bk>
      <rc t="1" v="11628"/>
    </bk>
    <bk>
      <rc t="1" v="11629"/>
    </bk>
    <bk>
      <rc t="1" v="11630"/>
    </bk>
    <bk>
      <rc t="1" v="11631"/>
    </bk>
    <bk>
      <rc t="1" v="11632"/>
    </bk>
    <bk>
      <rc t="1" v="11633"/>
    </bk>
    <bk>
      <rc t="1" v="11634"/>
    </bk>
    <bk>
      <rc t="1" v="11635"/>
    </bk>
    <bk>
      <rc t="1" v="11636"/>
    </bk>
    <bk>
      <rc t="1" v="11637"/>
    </bk>
    <bk>
      <rc t="1" v="11638"/>
    </bk>
    <bk>
      <rc t="1" v="11639"/>
    </bk>
    <bk>
      <rc t="1" v="11640"/>
    </bk>
    <bk>
      <rc t="1" v="11641"/>
    </bk>
    <bk>
      <rc t="1" v="11642"/>
    </bk>
    <bk>
      <rc t="1" v="11643"/>
    </bk>
    <bk>
      <rc t="1" v="11644"/>
    </bk>
    <bk>
      <rc t="1" v="11645"/>
    </bk>
    <bk>
      <rc t="1" v="11646"/>
    </bk>
    <bk>
      <rc t="1" v="11647"/>
    </bk>
    <bk>
      <rc t="1" v="11648"/>
    </bk>
    <bk>
      <rc t="1" v="11649"/>
    </bk>
    <bk>
      <rc t="1" v="11650"/>
    </bk>
    <bk>
      <rc t="1" v="11651"/>
    </bk>
    <bk>
      <rc t="1" v="11652"/>
    </bk>
    <bk>
      <rc t="1" v="11653"/>
    </bk>
    <bk>
      <rc t="1" v="11654"/>
    </bk>
    <bk>
      <rc t="1" v="11655"/>
    </bk>
    <bk>
      <rc t="1" v="11656"/>
    </bk>
    <bk>
      <rc t="1" v="11657"/>
    </bk>
    <bk>
      <rc t="1" v="11658"/>
    </bk>
    <bk>
      <rc t="1" v="11659"/>
    </bk>
    <bk>
      <rc t="1" v="11660"/>
    </bk>
    <bk>
      <rc t="1" v="11661"/>
    </bk>
    <bk>
      <rc t="1" v="11662"/>
    </bk>
    <bk>
      <rc t="1" v="11663"/>
    </bk>
    <bk>
      <rc t="1" v="11664"/>
    </bk>
    <bk>
      <rc t="1" v="11665"/>
    </bk>
    <bk>
      <rc t="1" v="11666"/>
    </bk>
    <bk>
      <rc t="1" v="11667"/>
    </bk>
    <bk>
      <rc t="1" v="11668"/>
    </bk>
    <bk>
      <rc t="1" v="11669"/>
    </bk>
    <bk>
      <rc t="1" v="11670"/>
    </bk>
    <bk>
      <rc t="1" v="11671"/>
    </bk>
    <bk>
      <rc t="1" v="11672"/>
    </bk>
    <bk>
      <rc t="1" v="11673"/>
    </bk>
    <bk>
      <rc t="1" v="11674"/>
    </bk>
    <bk>
      <rc t="1" v="11675"/>
    </bk>
    <bk>
      <rc t="1" v="11676"/>
    </bk>
    <bk>
      <rc t="1" v="11677"/>
    </bk>
    <bk>
      <rc t="1" v="11678"/>
    </bk>
    <bk>
      <rc t="1" v="11679"/>
    </bk>
    <bk>
      <rc t="1" v="11680"/>
    </bk>
    <bk>
      <rc t="1" v="11681"/>
    </bk>
    <bk>
      <rc t="1" v="11682"/>
    </bk>
    <bk>
      <rc t="1" v="11683"/>
    </bk>
    <bk>
      <rc t="1" v="11684"/>
    </bk>
    <bk>
      <rc t="1" v="11685"/>
    </bk>
    <bk>
      <rc t="1" v="11686"/>
    </bk>
    <bk>
      <rc t="1" v="11687"/>
    </bk>
    <bk>
      <rc t="1" v="11688"/>
    </bk>
    <bk>
      <rc t="1" v="11689"/>
    </bk>
    <bk>
      <rc t="1" v="11690"/>
    </bk>
    <bk>
      <rc t="1" v="11691"/>
    </bk>
    <bk>
      <rc t="1" v="11692"/>
    </bk>
    <bk>
      <rc t="1" v="11693"/>
    </bk>
    <bk>
      <rc t="1" v="11694"/>
    </bk>
    <bk>
      <rc t="1" v="11695"/>
    </bk>
    <bk>
      <rc t="1" v="11696"/>
    </bk>
    <bk>
      <rc t="1" v="11697"/>
    </bk>
    <bk>
      <rc t="1" v="11698"/>
    </bk>
    <bk>
      <rc t="1" v="11699"/>
    </bk>
    <bk>
      <rc t="1" v="11700"/>
    </bk>
    <bk>
      <rc t="1" v="11701"/>
    </bk>
    <bk>
      <rc t="1" v="11702"/>
    </bk>
    <bk>
      <rc t="1" v="11703"/>
    </bk>
    <bk>
      <rc t="1" v="11704"/>
    </bk>
    <bk>
      <rc t="1" v="11705"/>
    </bk>
    <bk>
      <rc t="1" v="11706"/>
    </bk>
    <bk>
      <rc t="1" v="11707"/>
    </bk>
    <bk>
      <rc t="1" v="11708"/>
    </bk>
    <bk>
      <rc t="1" v="11709"/>
    </bk>
    <bk>
      <rc t="1" v="11710"/>
    </bk>
    <bk>
      <rc t="1" v="11711"/>
    </bk>
    <bk>
      <rc t="1" v="11712"/>
    </bk>
    <bk>
      <rc t="1" v="11713"/>
    </bk>
    <bk>
      <rc t="1" v="11714"/>
    </bk>
    <bk>
      <rc t="1" v="11715"/>
    </bk>
    <bk>
      <rc t="1" v="11716"/>
    </bk>
    <bk>
      <rc t="1" v="11717"/>
    </bk>
    <bk>
      <rc t="1" v="11718"/>
    </bk>
    <bk>
      <rc t="1" v="11719"/>
    </bk>
    <bk>
      <rc t="1" v="11720"/>
    </bk>
    <bk>
      <rc t="1" v="11721"/>
    </bk>
    <bk>
      <rc t="1" v="11722"/>
    </bk>
    <bk>
      <rc t="1" v="11723"/>
    </bk>
    <bk>
      <rc t="1" v="11724"/>
    </bk>
    <bk>
      <rc t="1" v="11725"/>
    </bk>
    <bk>
      <rc t="1" v="11726"/>
    </bk>
    <bk>
      <rc t="1" v="11727"/>
    </bk>
    <bk>
      <rc t="1" v="11728"/>
    </bk>
    <bk>
      <rc t="1" v="11729"/>
    </bk>
    <bk>
      <rc t="1" v="11730"/>
    </bk>
    <bk>
      <rc t="1" v="11731"/>
    </bk>
    <bk>
      <rc t="1" v="11732"/>
    </bk>
    <bk>
      <rc t="1" v="11733"/>
    </bk>
    <bk>
      <rc t="1" v="11734"/>
    </bk>
    <bk>
      <rc t="1" v="11735"/>
    </bk>
    <bk>
      <rc t="1" v="11736"/>
    </bk>
    <bk>
      <rc t="1" v="11737"/>
    </bk>
    <bk>
      <rc t="1" v="11738"/>
    </bk>
    <bk>
      <rc t="1" v="11739"/>
    </bk>
    <bk>
      <rc t="1" v="11740"/>
    </bk>
    <bk>
      <rc t="1" v="11741"/>
    </bk>
    <bk>
      <rc t="1" v="11742"/>
    </bk>
    <bk>
      <rc t="1" v="11743"/>
    </bk>
    <bk>
      <rc t="1" v="11744"/>
    </bk>
    <bk>
      <rc t="1" v="11745"/>
    </bk>
    <bk>
      <rc t="1" v="11746"/>
    </bk>
    <bk>
      <rc t="1" v="11747"/>
    </bk>
    <bk>
      <rc t="1" v="11748"/>
    </bk>
    <bk>
      <rc t="1" v="11749"/>
    </bk>
    <bk>
      <rc t="1" v="11750"/>
    </bk>
    <bk>
      <rc t="1" v="11751"/>
    </bk>
    <bk>
      <rc t="1" v="11752"/>
    </bk>
    <bk>
      <rc t="1" v="11753"/>
    </bk>
    <bk>
      <rc t="1" v="11754"/>
    </bk>
    <bk>
      <rc t="1" v="11755"/>
    </bk>
    <bk>
      <rc t="1" v="11756"/>
    </bk>
    <bk>
      <rc t="1" v="11757"/>
    </bk>
    <bk>
      <rc t="1" v="11758"/>
    </bk>
    <bk>
      <rc t="1" v="11759"/>
    </bk>
    <bk>
      <rc t="1" v="11760"/>
    </bk>
    <bk>
      <rc t="1" v="11761"/>
    </bk>
    <bk>
      <rc t="1" v="11762"/>
    </bk>
    <bk>
      <rc t="1" v="11763"/>
    </bk>
    <bk>
      <rc t="1" v="11764"/>
    </bk>
    <bk>
      <rc t="1" v="11765"/>
    </bk>
    <bk>
      <rc t="1" v="11766"/>
    </bk>
    <bk>
      <rc t="1" v="11767"/>
    </bk>
    <bk>
      <rc t="1" v="11768"/>
    </bk>
    <bk>
      <rc t="1" v="11769"/>
    </bk>
    <bk>
      <rc t="1" v="11770"/>
    </bk>
    <bk>
      <rc t="1" v="11771"/>
    </bk>
    <bk>
      <rc t="1" v="11772"/>
    </bk>
    <bk>
      <rc t="1" v="11773"/>
    </bk>
    <bk>
      <rc t="1" v="11774"/>
    </bk>
    <bk>
      <rc t="1" v="11775"/>
    </bk>
    <bk>
      <rc t="1" v="11776"/>
    </bk>
    <bk>
      <rc t="1" v="11777"/>
    </bk>
    <bk>
      <rc t="1" v="11778"/>
    </bk>
    <bk>
      <rc t="1" v="11779"/>
    </bk>
    <bk>
      <rc t="1" v="11780"/>
    </bk>
    <bk>
      <rc t="1" v="11781"/>
    </bk>
    <bk>
      <rc t="1" v="11782"/>
    </bk>
    <bk>
      <rc t="1" v="11783"/>
    </bk>
    <bk>
      <rc t="1" v="11784"/>
    </bk>
    <bk>
      <rc t="1" v="11785"/>
    </bk>
    <bk>
      <rc t="1" v="11786"/>
    </bk>
    <bk>
      <rc t="1" v="11787"/>
    </bk>
    <bk>
      <rc t="1" v="11788"/>
    </bk>
    <bk>
      <rc t="1" v="11789"/>
    </bk>
    <bk>
      <rc t="1" v="11790"/>
    </bk>
    <bk>
      <rc t="1" v="11791"/>
    </bk>
    <bk>
      <rc t="1" v="11792"/>
    </bk>
    <bk>
      <rc t="1" v="11793"/>
    </bk>
    <bk>
      <rc t="1" v="11794"/>
    </bk>
    <bk>
      <rc t="1" v="11795"/>
    </bk>
    <bk>
      <rc t="1" v="11796"/>
    </bk>
    <bk>
      <rc t="1" v="11797"/>
    </bk>
    <bk>
      <rc t="1" v="11798"/>
    </bk>
    <bk>
      <rc t="1" v="11799"/>
    </bk>
    <bk>
      <rc t="1" v="11800"/>
    </bk>
    <bk>
      <rc t="1" v="11801"/>
    </bk>
    <bk>
      <rc t="1" v="11802"/>
    </bk>
    <bk>
      <rc t="1" v="11803"/>
    </bk>
    <bk>
      <rc t="1" v="11804"/>
    </bk>
    <bk>
      <rc t="1" v="11805"/>
    </bk>
    <bk>
      <rc t="1" v="11806"/>
    </bk>
    <bk>
      <rc t="1" v="11807"/>
    </bk>
    <bk>
      <rc t="1" v="11808"/>
    </bk>
    <bk>
      <rc t="1" v="11809"/>
    </bk>
    <bk>
      <rc t="1" v="11810"/>
    </bk>
    <bk>
      <rc t="1" v="11811"/>
    </bk>
    <bk>
      <rc t="1" v="11812"/>
    </bk>
    <bk>
      <rc t="1" v="11813"/>
    </bk>
    <bk>
      <rc t="1" v="11814"/>
    </bk>
    <bk>
      <rc t="1" v="11815"/>
    </bk>
    <bk>
      <rc t="1" v="11816"/>
    </bk>
    <bk>
      <rc t="1" v="11817"/>
    </bk>
    <bk>
      <rc t="1" v="11818"/>
    </bk>
    <bk>
      <rc t="1" v="11819"/>
    </bk>
    <bk>
      <rc t="1" v="11820"/>
    </bk>
    <bk>
      <rc t="1" v="11821"/>
    </bk>
    <bk>
      <rc t="1" v="11822"/>
    </bk>
    <bk>
      <rc t="1" v="11823"/>
    </bk>
    <bk>
      <rc t="1" v="11824"/>
    </bk>
    <bk>
      <rc t="1" v="11825"/>
    </bk>
    <bk>
      <rc t="1" v="11826"/>
    </bk>
    <bk>
      <rc t="1" v="11827"/>
    </bk>
    <bk>
      <rc t="1" v="11828"/>
    </bk>
    <bk>
      <rc t="1" v="11829"/>
    </bk>
    <bk>
      <rc t="1" v="11830"/>
    </bk>
    <bk>
      <rc t="1" v="11831"/>
    </bk>
    <bk>
      <rc t="1" v="11832"/>
    </bk>
    <bk>
      <rc t="1" v="11833"/>
    </bk>
    <bk>
      <rc t="1" v="11834"/>
    </bk>
    <bk>
      <rc t="1" v="11835"/>
    </bk>
    <bk>
      <rc t="1" v="11836"/>
    </bk>
    <bk>
      <rc t="1" v="11837"/>
    </bk>
    <bk>
      <rc t="1" v="11838"/>
    </bk>
    <bk>
      <rc t="1" v="11839"/>
    </bk>
    <bk>
      <rc t="1" v="11840"/>
    </bk>
    <bk>
      <rc t="1" v="11841"/>
    </bk>
    <bk>
      <rc t="1" v="11842"/>
    </bk>
    <bk>
      <rc t="1" v="11843"/>
    </bk>
    <bk>
      <rc t="1" v="11844"/>
    </bk>
    <bk>
      <rc t="1" v="11845"/>
    </bk>
    <bk>
      <rc t="1" v="11846"/>
    </bk>
    <bk>
      <rc t="1" v="11847"/>
    </bk>
    <bk>
      <rc t="1" v="11848"/>
    </bk>
    <bk>
      <rc t="1" v="11849"/>
    </bk>
    <bk>
      <rc t="1" v="11850"/>
    </bk>
    <bk>
      <rc t="1" v="11851"/>
    </bk>
    <bk>
      <rc t="1" v="11852"/>
    </bk>
    <bk>
      <rc t="1" v="11853"/>
    </bk>
    <bk>
      <rc t="1" v="11854"/>
    </bk>
    <bk>
      <rc t="1" v="11855"/>
    </bk>
    <bk>
      <rc t="1" v="11856"/>
    </bk>
    <bk>
      <rc t="1" v="11857"/>
    </bk>
    <bk>
      <rc t="1" v="11858"/>
    </bk>
    <bk>
      <rc t="1" v="11859"/>
    </bk>
    <bk>
      <rc t="1" v="11860"/>
    </bk>
    <bk>
      <rc t="1" v="11861"/>
    </bk>
    <bk>
      <rc t="1" v="11862"/>
    </bk>
    <bk>
      <rc t="1" v="11863"/>
    </bk>
    <bk>
      <rc t="1" v="11864"/>
    </bk>
    <bk>
      <rc t="1" v="11865"/>
    </bk>
    <bk>
      <rc t="1" v="11866"/>
    </bk>
    <bk>
      <rc t="1" v="11867"/>
    </bk>
    <bk>
      <rc t="1" v="11868"/>
    </bk>
    <bk>
      <rc t="1" v="11869"/>
    </bk>
    <bk>
      <rc t="1" v="11870"/>
    </bk>
    <bk>
      <rc t="1" v="11871"/>
    </bk>
    <bk>
      <rc t="1" v="11872"/>
    </bk>
    <bk>
      <rc t="1" v="11873"/>
    </bk>
    <bk>
      <rc t="1" v="11874"/>
    </bk>
    <bk>
      <rc t="1" v="11875"/>
    </bk>
    <bk>
      <rc t="1" v="11876"/>
    </bk>
    <bk>
      <rc t="1" v="11877"/>
    </bk>
    <bk>
      <rc t="1" v="11878"/>
    </bk>
    <bk>
      <rc t="1" v="11879"/>
    </bk>
    <bk>
      <rc t="1" v="11880"/>
    </bk>
    <bk>
      <rc t="1" v="11881"/>
    </bk>
    <bk>
      <rc t="1" v="11882"/>
    </bk>
    <bk>
      <rc t="1" v="11883"/>
    </bk>
    <bk>
      <rc t="1" v="11884"/>
    </bk>
    <bk>
      <rc t="1" v="11885"/>
    </bk>
    <bk>
      <rc t="1" v="11886"/>
    </bk>
    <bk>
      <rc t="1" v="11887"/>
    </bk>
    <bk>
      <rc t="1" v="11888"/>
    </bk>
    <bk>
      <rc t="1" v="11889"/>
    </bk>
    <bk>
      <rc t="1" v="11890"/>
    </bk>
    <bk>
      <rc t="1" v="11891"/>
    </bk>
    <bk>
      <rc t="1" v="11892"/>
    </bk>
    <bk>
      <rc t="1" v="11893"/>
    </bk>
    <bk>
      <rc t="1" v="11894"/>
    </bk>
    <bk>
      <rc t="1" v="11895"/>
    </bk>
    <bk>
      <rc t="1" v="11896"/>
    </bk>
    <bk>
      <rc t="1" v="11897"/>
    </bk>
    <bk>
      <rc t="1" v="11898"/>
    </bk>
    <bk>
      <rc t="1" v="11899"/>
    </bk>
    <bk>
      <rc t="1" v="11900"/>
    </bk>
    <bk>
      <rc t="1" v="11901"/>
    </bk>
    <bk>
      <rc t="1" v="11902"/>
    </bk>
    <bk>
      <rc t="1" v="11903"/>
    </bk>
    <bk>
      <rc t="1" v="11904"/>
    </bk>
    <bk>
      <rc t="1" v="11905"/>
    </bk>
    <bk>
      <rc t="1" v="11906"/>
    </bk>
    <bk>
      <rc t="1" v="11907"/>
    </bk>
    <bk>
      <rc t="1" v="11908"/>
    </bk>
    <bk>
      <rc t="1" v="11909"/>
    </bk>
    <bk>
      <rc t="1" v="11910"/>
    </bk>
    <bk>
      <rc t="1" v="11911"/>
    </bk>
    <bk>
      <rc t="1" v="11912"/>
    </bk>
    <bk>
      <rc t="1" v="11913"/>
    </bk>
    <bk>
      <rc t="1" v="11914"/>
    </bk>
    <bk>
      <rc t="1" v="11915"/>
    </bk>
    <bk>
      <rc t="1" v="11916"/>
    </bk>
    <bk>
      <rc t="1" v="11917"/>
    </bk>
    <bk>
      <rc t="1" v="11918"/>
    </bk>
    <bk>
      <rc t="1" v="11919"/>
    </bk>
    <bk>
      <rc t="1" v="11920"/>
    </bk>
    <bk>
      <rc t="1" v="11921"/>
    </bk>
    <bk>
      <rc t="1" v="11922"/>
    </bk>
    <bk>
      <rc t="1" v="11923"/>
    </bk>
    <bk>
      <rc t="1" v="11924"/>
    </bk>
    <bk>
      <rc t="1" v="11925"/>
    </bk>
    <bk>
      <rc t="1" v="11926"/>
    </bk>
    <bk>
      <rc t="1" v="11927"/>
    </bk>
    <bk>
      <rc t="1" v="11928"/>
    </bk>
    <bk>
      <rc t="1" v="11929"/>
    </bk>
    <bk>
      <rc t="1" v="11930"/>
    </bk>
    <bk>
      <rc t="1" v="11931"/>
    </bk>
    <bk>
      <rc t="1" v="11932"/>
    </bk>
    <bk>
      <rc t="1" v="11933"/>
    </bk>
    <bk>
      <rc t="1" v="11934"/>
    </bk>
    <bk>
      <rc t="1" v="11935"/>
    </bk>
    <bk>
      <rc t="1" v="11936"/>
    </bk>
    <bk>
      <rc t="1" v="11937"/>
    </bk>
    <bk>
      <rc t="1" v="11938"/>
    </bk>
    <bk>
      <rc t="1" v="11939"/>
    </bk>
    <bk>
      <rc t="1" v="11940"/>
    </bk>
    <bk>
      <rc t="1" v="11941"/>
    </bk>
    <bk>
      <rc t="1" v="11942"/>
    </bk>
    <bk>
      <rc t="1" v="11943"/>
    </bk>
    <bk>
      <rc t="1" v="11944"/>
    </bk>
    <bk>
      <rc t="1" v="11945"/>
    </bk>
    <bk>
      <rc t="1" v="11946"/>
    </bk>
    <bk>
      <rc t="1" v="11947"/>
    </bk>
    <bk>
      <rc t="1" v="11948"/>
    </bk>
    <bk>
      <rc t="1" v="11949"/>
    </bk>
    <bk>
      <rc t="1" v="11950"/>
    </bk>
    <bk>
      <rc t="1" v="11951"/>
    </bk>
    <bk>
      <rc t="1" v="11952"/>
    </bk>
    <bk>
      <rc t="1" v="11953"/>
    </bk>
    <bk>
      <rc t="1" v="11954"/>
    </bk>
    <bk>
      <rc t="1" v="11955"/>
    </bk>
    <bk>
      <rc t="1" v="11956"/>
    </bk>
    <bk>
      <rc t="1" v="11957"/>
    </bk>
    <bk>
      <rc t="1" v="11958"/>
    </bk>
    <bk>
      <rc t="1" v="11959"/>
    </bk>
    <bk>
      <rc t="1" v="11960"/>
    </bk>
    <bk>
      <rc t="1" v="11961"/>
    </bk>
    <bk>
      <rc t="1" v="11962"/>
    </bk>
    <bk>
      <rc t="1" v="11963"/>
    </bk>
    <bk>
      <rc t="1" v="11964"/>
    </bk>
    <bk>
      <rc t="1" v="11965"/>
    </bk>
    <bk>
      <rc t="1" v="11966"/>
    </bk>
    <bk>
      <rc t="1" v="11967"/>
    </bk>
    <bk>
      <rc t="1" v="11968"/>
    </bk>
    <bk>
      <rc t="1" v="11969"/>
    </bk>
    <bk>
      <rc t="1" v="11970"/>
    </bk>
    <bk>
      <rc t="1" v="11971"/>
    </bk>
    <bk>
      <rc t="1" v="11972"/>
    </bk>
    <bk>
      <rc t="1" v="11973"/>
    </bk>
    <bk>
      <rc t="1" v="11974"/>
    </bk>
    <bk>
      <rc t="1" v="11975"/>
    </bk>
    <bk>
      <rc t="1" v="11976"/>
    </bk>
    <bk>
      <rc t="1" v="11977"/>
    </bk>
    <bk>
      <rc t="1" v="11978"/>
    </bk>
    <bk>
      <rc t="1" v="11979"/>
    </bk>
    <bk>
      <rc t="1" v="11980"/>
    </bk>
    <bk>
      <rc t="1" v="11981"/>
    </bk>
    <bk>
      <rc t="1" v="11982"/>
    </bk>
    <bk>
      <rc t="1" v="11983"/>
    </bk>
    <bk>
      <rc t="1" v="11984"/>
    </bk>
    <bk>
      <rc t="1" v="11985"/>
    </bk>
    <bk>
      <rc t="1" v="11986"/>
    </bk>
    <bk>
      <rc t="1" v="11987"/>
    </bk>
    <bk>
      <rc t="1" v="11988"/>
    </bk>
    <bk>
      <rc t="1" v="11989"/>
    </bk>
    <bk>
      <rc t="1" v="11990"/>
    </bk>
    <bk>
      <rc t="1" v="11991"/>
    </bk>
    <bk>
      <rc t="1" v="11992"/>
    </bk>
    <bk>
      <rc t="1" v="11993"/>
    </bk>
    <bk>
      <rc t="1" v="11994"/>
    </bk>
    <bk>
      <rc t="1" v="11995"/>
    </bk>
    <bk>
      <rc t="1" v="11996"/>
    </bk>
    <bk>
      <rc t="1" v="11997"/>
    </bk>
    <bk>
      <rc t="1" v="11998"/>
    </bk>
    <bk>
      <rc t="1" v="11999"/>
    </bk>
    <bk>
      <rc t="1" v="12000"/>
    </bk>
    <bk>
      <rc t="1" v="12001"/>
    </bk>
    <bk>
      <rc t="1" v="12002"/>
    </bk>
    <bk>
      <rc t="1" v="12003"/>
    </bk>
    <bk>
      <rc t="1" v="12004"/>
    </bk>
    <bk>
      <rc t="1" v="12005"/>
    </bk>
    <bk>
      <rc t="1" v="12006"/>
    </bk>
    <bk>
      <rc t="1" v="12007"/>
    </bk>
    <bk>
      <rc t="1" v="12008"/>
    </bk>
    <bk>
      <rc t="1" v="12009"/>
    </bk>
    <bk>
      <rc t="1" v="12010"/>
    </bk>
    <bk>
      <rc t="1" v="12011"/>
    </bk>
    <bk>
      <rc t="1" v="12012"/>
    </bk>
    <bk>
      <rc t="1" v="12013"/>
    </bk>
    <bk>
      <rc t="1" v="12014"/>
    </bk>
    <bk>
      <rc t="1" v="12015"/>
    </bk>
    <bk>
      <rc t="1" v="12016"/>
    </bk>
    <bk>
      <rc t="1" v="12017"/>
    </bk>
    <bk>
      <rc t="1" v="12018"/>
    </bk>
    <bk>
      <rc t="1" v="12019"/>
    </bk>
    <bk>
      <rc t="1" v="12020"/>
    </bk>
    <bk>
      <rc t="1" v="12021"/>
    </bk>
    <bk>
      <rc t="1" v="12022"/>
    </bk>
    <bk>
      <rc t="1" v="12023"/>
    </bk>
    <bk>
      <rc t="1" v="12024"/>
    </bk>
    <bk>
      <rc t="1" v="12025"/>
    </bk>
    <bk>
      <rc t="1" v="12026"/>
    </bk>
    <bk>
      <rc t="1" v="12027"/>
    </bk>
    <bk>
      <rc t="1" v="12028"/>
    </bk>
    <bk>
      <rc t="1" v="12029"/>
    </bk>
    <bk>
      <rc t="1" v="12030"/>
    </bk>
    <bk>
      <rc t="1" v="12031"/>
    </bk>
    <bk>
      <rc t="1" v="12032"/>
    </bk>
    <bk>
      <rc t="1" v="12033"/>
    </bk>
    <bk>
      <rc t="1" v="12034"/>
    </bk>
    <bk>
      <rc t="1" v="12035"/>
    </bk>
    <bk>
      <rc t="1" v="12036"/>
    </bk>
    <bk>
      <rc t="1" v="12037"/>
    </bk>
    <bk>
      <rc t="1" v="12038"/>
    </bk>
    <bk>
      <rc t="1" v="12039"/>
    </bk>
    <bk>
      <rc t="1" v="12040"/>
    </bk>
    <bk>
      <rc t="1" v="12041"/>
    </bk>
    <bk>
      <rc t="1" v="12042"/>
    </bk>
    <bk>
      <rc t="1" v="12043"/>
    </bk>
    <bk>
      <rc t="1" v="12044"/>
    </bk>
    <bk>
      <rc t="1" v="12045"/>
    </bk>
    <bk>
      <rc t="1" v="12046"/>
    </bk>
    <bk>
      <rc t="1" v="12047"/>
    </bk>
    <bk>
      <rc t="1" v="12048"/>
    </bk>
    <bk>
      <rc t="1" v="12049"/>
    </bk>
    <bk>
      <rc t="1" v="12050"/>
    </bk>
    <bk>
      <rc t="1" v="12051"/>
    </bk>
    <bk>
      <rc t="1" v="12052"/>
    </bk>
    <bk>
      <rc t="1" v="12053"/>
    </bk>
    <bk>
      <rc t="1" v="12054"/>
    </bk>
    <bk>
      <rc t="1" v="12055"/>
    </bk>
    <bk>
      <rc t="1" v="12056"/>
    </bk>
    <bk>
      <rc t="1" v="12057"/>
    </bk>
    <bk>
      <rc t="1" v="12058"/>
    </bk>
    <bk>
      <rc t="1" v="12059"/>
    </bk>
    <bk>
      <rc t="1" v="12060"/>
    </bk>
    <bk>
      <rc t="1" v="12061"/>
    </bk>
    <bk>
      <rc t="1" v="12062"/>
    </bk>
    <bk>
      <rc t="1" v="12063"/>
    </bk>
    <bk>
      <rc t="1" v="12064"/>
    </bk>
    <bk>
      <rc t="1" v="12065"/>
    </bk>
    <bk>
      <rc t="1" v="12066"/>
    </bk>
    <bk>
      <rc t="1" v="12067"/>
    </bk>
    <bk>
      <rc t="1" v="12068"/>
    </bk>
    <bk>
      <rc t="1" v="12069"/>
    </bk>
    <bk>
      <rc t="1" v="12070"/>
    </bk>
    <bk>
      <rc t="1" v="12071"/>
    </bk>
    <bk>
      <rc t="1" v="12072"/>
    </bk>
    <bk>
      <rc t="1" v="12073"/>
    </bk>
    <bk>
      <rc t="1" v="12074"/>
    </bk>
    <bk>
      <rc t="1" v="12075"/>
    </bk>
    <bk>
      <rc t="1" v="12076"/>
    </bk>
    <bk>
      <rc t="1" v="12077"/>
    </bk>
    <bk>
      <rc t="1" v="12078"/>
    </bk>
    <bk>
      <rc t="1" v="12079"/>
    </bk>
    <bk>
      <rc t="1" v="12080"/>
    </bk>
    <bk>
      <rc t="1" v="12081"/>
    </bk>
    <bk>
      <rc t="1" v="12082"/>
    </bk>
    <bk>
      <rc t="1" v="12083"/>
    </bk>
    <bk>
      <rc t="1" v="12084"/>
    </bk>
    <bk>
      <rc t="1" v="12085"/>
    </bk>
    <bk>
      <rc t="1" v="12086"/>
    </bk>
    <bk>
      <rc t="1" v="12087"/>
    </bk>
    <bk>
      <rc t="1" v="12088"/>
    </bk>
    <bk>
      <rc t="1" v="12089"/>
    </bk>
    <bk>
      <rc t="1" v="12090"/>
    </bk>
    <bk>
      <rc t="1" v="12091"/>
    </bk>
    <bk>
      <rc t="1" v="12092"/>
    </bk>
    <bk>
      <rc t="1" v="12093"/>
    </bk>
    <bk>
      <rc t="1" v="12094"/>
    </bk>
    <bk>
      <rc t="1" v="12095"/>
    </bk>
    <bk>
      <rc t="1" v="12096"/>
    </bk>
    <bk>
      <rc t="1" v="12097"/>
    </bk>
    <bk>
      <rc t="1" v="12098"/>
    </bk>
    <bk>
      <rc t="1" v="12099"/>
    </bk>
    <bk>
      <rc t="1" v="12100"/>
    </bk>
    <bk>
      <rc t="1" v="12101"/>
    </bk>
    <bk>
      <rc t="1" v="12102"/>
    </bk>
    <bk>
      <rc t="1" v="12103"/>
    </bk>
    <bk>
      <rc t="1" v="12104"/>
    </bk>
    <bk>
      <rc t="1" v="12105"/>
    </bk>
    <bk>
      <rc t="1" v="12106"/>
    </bk>
    <bk>
      <rc t="1" v="12107"/>
    </bk>
    <bk>
      <rc t="1" v="12108"/>
    </bk>
    <bk>
      <rc t="1" v="12109"/>
    </bk>
    <bk>
      <rc t="1" v="12110"/>
    </bk>
    <bk>
      <rc t="1" v="12111"/>
    </bk>
    <bk>
      <rc t="1" v="12112"/>
    </bk>
    <bk>
      <rc t="1" v="12113"/>
    </bk>
    <bk>
      <rc t="1" v="12114"/>
    </bk>
    <bk>
      <rc t="1" v="12115"/>
    </bk>
    <bk>
      <rc t="1" v="12116"/>
    </bk>
    <bk>
      <rc t="1" v="12117"/>
    </bk>
    <bk>
      <rc t="1" v="12118"/>
    </bk>
    <bk>
      <rc t="1" v="12119"/>
    </bk>
    <bk>
      <rc t="1" v="12120"/>
    </bk>
    <bk>
      <rc t="1" v="12121"/>
    </bk>
    <bk>
      <rc t="1" v="12122"/>
    </bk>
    <bk>
      <rc t="1" v="12123"/>
    </bk>
    <bk>
      <rc t="1" v="12124"/>
    </bk>
    <bk>
      <rc t="1" v="12125"/>
    </bk>
    <bk>
      <rc t="1" v="12126"/>
    </bk>
    <bk>
      <rc t="1" v="12127"/>
    </bk>
    <bk>
      <rc t="1" v="12128"/>
    </bk>
    <bk>
      <rc t="1" v="12129"/>
    </bk>
    <bk>
      <rc t="1" v="12130"/>
    </bk>
    <bk>
      <rc t="1" v="12131"/>
    </bk>
    <bk>
      <rc t="1" v="12132"/>
    </bk>
    <bk>
      <rc t="1" v="12133"/>
    </bk>
    <bk>
      <rc t="1" v="12134"/>
    </bk>
    <bk>
      <rc t="1" v="12135"/>
    </bk>
    <bk>
      <rc t="1" v="12136"/>
    </bk>
    <bk>
      <rc t="1" v="12137"/>
    </bk>
    <bk>
      <rc t="1" v="12138"/>
    </bk>
    <bk>
      <rc t="1" v="12139"/>
    </bk>
    <bk>
      <rc t="1" v="12140"/>
    </bk>
    <bk>
      <rc t="1" v="12141"/>
    </bk>
    <bk>
      <rc t="1" v="12142"/>
    </bk>
    <bk>
      <rc t="1" v="12143"/>
    </bk>
    <bk>
      <rc t="1" v="12144"/>
    </bk>
    <bk>
      <rc t="1" v="12145"/>
    </bk>
    <bk>
      <rc t="1" v="12146"/>
    </bk>
    <bk>
      <rc t="1" v="12147"/>
    </bk>
    <bk>
      <rc t="1" v="12148"/>
    </bk>
    <bk>
      <rc t="1" v="12149"/>
    </bk>
    <bk>
      <rc t="1" v="12150"/>
    </bk>
    <bk>
      <rc t="1" v="12151"/>
    </bk>
    <bk>
      <rc t="1" v="12152"/>
    </bk>
    <bk>
      <rc t="1" v="12153"/>
    </bk>
    <bk>
      <rc t="1" v="12154"/>
    </bk>
    <bk>
      <rc t="1" v="12155"/>
    </bk>
    <bk>
      <rc t="1" v="12156"/>
    </bk>
    <bk>
      <rc t="1" v="12157"/>
    </bk>
    <bk>
      <rc t="1" v="12158"/>
    </bk>
    <bk>
      <rc t="1" v="12159"/>
    </bk>
    <bk>
      <rc t="1" v="12160"/>
    </bk>
    <bk>
      <rc t="1" v="12161"/>
    </bk>
    <bk>
      <rc t="1" v="12162"/>
    </bk>
    <bk>
      <rc t="1" v="12163"/>
    </bk>
    <bk>
      <rc t="1" v="12164"/>
    </bk>
    <bk>
      <rc t="1" v="12165"/>
    </bk>
    <bk>
      <rc t="1" v="12166"/>
    </bk>
    <bk>
      <rc t="1" v="12167"/>
    </bk>
    <bk>
      <rc t="1" v="12168"/>
    </bk>
    <bk>
      <rc t="1" v="12169"/>
    </bk>
    <bk>
      <rc t="1" v="12170"/>
    </bk>
    <bk>
      <rc t="1" v="12171"/>
    </bk>
    <bk>
      <rc t="1" v="12172"/>
    </bk>
    <bk>
      <rc t="1" v="12173"/>
    </bk>
    <bk>
      <rc t="1" v="12174"/>
    </bk>
    <bk>
      <rc t="1" v="12175"/>
    </bk>
    <bk>
      <rc t="1" v="12176"/>
    </bk>
    <bk>
      <rc t="1" v="12177"/>
    </bk>
    <bk>
      <rc t="1" v="12178"/>
    </bk>
    <bk>
      <rc t="1" v="12179"/>
    </bk>
    <bk>
      <rc t="1" v="12180"/>
    </bk>
    <bk>
      <rc t="1" v="12181"/>
    </bk>
    <bk>
      <rc t="1" v="12182"/>
    </bk>
    <bk>
      <rc t="1" v="12183"/>
    </bk>
    <bk>
      <rc t="1" v="12184"/>
    </bk>
    <bk>
      <rc t="1" v="12185"/>
    </bk>
    <bk>
      <rc t="1" v="12186"/>
    </bk>
    <bk>
      <rc t="1" v="12187"/>
    </bk>
    <bk>
      <rc t="1" v="12188"/>
    </bk>
    <bk>
      <rc t="1" v="12189"/>
    </bk>
    <bk>
      <rc t="1" v="12190"/>
    </bk>
    <bk>
      <rc t="1" v="12191"/>
    </bk>
    <bk>
      <rc t="1" v="12192"/>
    </bk>
    <bk>
      <rc t="1" v="12193"/>
    </bk>
    <bk>
      <rc t="1" v="12194"/>
    </bk>
    <bk>
      <rc t="1" v="12195"/>
    </bk>
    <bk>
      <rc t="1" v="12196"/>
    </bk>
    <bk>
      <rc t="1" v="12197"/>
    </bk>
    <bk>
      <rc t="1" v="12198"/>
    </bk>
    <bk>
      <rc t="1" v="12199"/>
    </bk>
    <bk>
      <rc t="1" v="12200"/>
    </bk>
    <bk>
      <rc t="1" v="12201"/>
    </bk>
    <bk>
      <rc t="1" v="12202"/>
    </bk>
    <bk>
      <rc t="1" v="12203"/>
    </bk>
    <bk>
      <rc t="1" v="12204"/>
    </bk>
    <bk>
      <rc t="1" v="12205"/>
    </bk>
    <bk>
      <rc t="1" v="12206"/>
    </bk>
    <bk>
      <rc t="1" v="12207"/>
    </bk>
    <bk>
      <rc t="1" v="12208"/>
    </bk>
    <bk>
      <rc t="1" v="12209"/>
    </bk>
    <bk>
      <rc t="1" v="12210"/>
    </bk>
    <bk>
      <rc t="1" v="12211"/>
    </bk>
    <bk>
      <rc t="1" v="12212"/>
    </bk>
    <bk>
      <rc t="1" v="12213"/>
    </bk>
    <bk>
      <rc t="1" v="12214"/>
    </bk>
    <bk>
      <rc t="1" v="12215"/>
    </bk>
    <bk>
      <rc t="1" v="12216"/>
    </bk>
    <bk>
      <rc t="1" v="12217"/>
    </bk>
    <bk>
      <rc t="1" v="12218"/>
    </bk>
    <bk>
      <rc t="1" v="12219"/>
    </bk>
    <bk>
      <rc t="1" v="12220"/>
    </bk>
    <bk>
      <rc t="1" v="12221"/>
    </bk>
    <bk>
      <rc t="1" v="12222"/>
    </bk>
    <bk>
      <rc t="1" v="12223"/>
    </bk>
    <bk>
      <rc t="1" v="12224"/>
    </bk>
    <bk>
      <rc t="1" v="12225"/>
    </bk>
    <bk>
      <rc t="1" v="12226"/>
    </bk>
    <bk>
      <rc t="1" v="12227"/>
    </bk>
    <bk>
      <rc t="1" v="12228"/>
    </bk>
    <bk>
      <rc t="1" v="12229"/>
    </bk>
    <bk>
      <rc t="1" v="12230"/>
    </bk>
    <bk>
      <rc t="1" v="12231"/>
    </bk>
    <bk>
      <rc t="1" v="12232"/>
    </bk>
    <bk>
      <rc t="1" v="12233"/>
    </bk>
    <bk>
      <rc t="1" v="12234"/>
    </bk>
    <bk>
      <rc t="1" v="12235"/>
    </bk>
    <bk>
      <rc t="1" v="12236"/>
    </bk>
    <bk>
      <rc t="1" v="12237"/>
    </bk>
    <bk>
      <rc t="1" v="12238"/>
    </bk>
    <bk>
      <rc t="1" v="12239"/>
    </bk>
    <bk>
      <rc t="1" v="12240"/>
    </bk>
    <bk>
      <rc t="1" v="12241"/>
    </bk>
    <bk>
      <rc t="1" v="12242"/>
    </bk>
    <bk>
      <rc t="1" v="12243"/>
    </bk>
    <bk>
      <rc t="1" v="12244"/>
    </bk>
    <bk>
      <rc t="1" v="12245"/>
    </bk>
    <bk>
      <rc t="1" v="12246"/>
    </bk>
    <bk>
      <rc t="1" v="12247"/>
    </bk>
    <bk>
      <rc t="1" v="12248"/>
    </bk>
    <bk>
      <rc t="1" v="12249"/>
    </bk>
    <bk>
      <rc t="1" v="12250"/>
    </bk>
    <bk>
      <rc t="1" v="12251"/>
    </bk>
    <bk>
      <rc t="1" v="12252"/>
    </bk>
    <bk>
      <rc t="1" v="12253"/>
    </bk>
    <bk>
      <rc t="1" v="12254"/>
    </bk>
    <bk>
      <rc t="1" v="12255"/>
    </bk>
    <bk>
      <rc t="1" v="12256"/>
    </bk>
    <bk>
      <rc t="1" v="12257"/>
    </bk>
    <bk>
      <rc t="1" v="12258"/>
    </bk>
    <bk>
      <rc t="1" v="12259"/>
    </bk>
    <bk>
      <rc t="1" v="12260"/>
    </bk>
    <bk>
      <rc t="1" v="12261"/>
    </bk>
    <bk>
      <rc t="1" v="12262"/>
    </bk>
    <bk>
      <rc t="1" v="12263"/>
    </bk>
    <bk>
      <rc t="1" v="12264"/>
    </bk>
    <bk>
      <rc t="1" v="12265"/>
    </bk>
    <bk>
      <rc t="1" v="12266"/>
    </bk>
    <bk>
      <rc t="1" v="12267"/>
    </bk>
    <bk>
      <rc t="1" v="12268"/>
    </bk>
    <bk>
      <rc t="1" v="12269"/>
    </bk>
    <bk>
      <rc t="1" v="12270"/>
    </bk>
    <bk>
      <rc t="1" v="12271"/>
    </bk>
    <bk>
      <rc t="1" v="12272"/>
    </bk>
    <bk>
      <rc t="1" v="12273"/>
    </bk>
    <bk>
      <rc t="1" v="12274"/>
    </bk>
    <bk>
      <rc t="1" v="12275"/>
    </bk>
    <bk>
      <rc t="1" v="12276"/>
    </bk>
    <bk>
      <rc t="1" v="12277"/>
    </bk>
    <bk>
      <rc t="1" v="12278"/>
    </bk>
    <bk>
      <rc t="1" v="12279"/>
    </bk>
    <bk>
      <rc t="1" v="12280"/>
    </bk>
    <bk>
      <rc t="1" v="12281"/>
    </bk>
    <bk>
      <rc t="1" v="12282"/>
    </bk>
    <bk>
      <rc t="1" v="12283"/>
    </bk>
    <bk>
      <rc t="1" v="12284"/>
    </bk>
    <bk>
      <rc t="1" v="12285"/>
    </bk>
    <bk>
      <rc t="1" v="12286"/>
    </bk>
    <bk>
      <rc t="1" v="12287"/>
    </bk>
    <bk>
      <rc t="1" v="12288"/>
    </bk>
    <bk>
      <rc t="1" v="12289"/>
    </bk>
    <bk>
      <rc t="1" v="12290"/>
    </bk>
    <bk>
      <rc t="1" v="12291"/>
    </bk>
    <bk>
      <rc t="1" v="12292"/>
    </bk>
    <bk>
      <rc t="1" v="12293"/>
    </bk>
    <bk>
      <rc t="1" v="12294"/>
    </bk>
    <bk>
      <rc t="1" v="12295"/>
    </bk>
    <bk>
      <rc t="1" v="12296"/>
    </bk>
    <bk>
      <rc t="1" v="12297"/>
    </bk>
    <bk>
      <rc t="1" v="12298"/>
    </bk>
    <bk>
      <rc t="1" v="12299"/>
    </bk>
    <bk>
      <rc t="1" v="12300"/>
    </bk>
    <bk>
      <rc t="1" v="12301"/>
    </bk>
    <bk>
      <rc t="1" v="12302"/>
    </bk>
    <bk>
      <rc t="1" v="12303"/>
    </bk>
    <bk>
      <rc t="1" v="12304"/>
    </bk>
    <bk>
      <rc t="1" v="12305"/>
    </bk>
    <bk>
      <rc t="1" v="12306"/>
    </bk>
    <bk>
      <rc t="1" v="12307"/>
    </bk>
    <bk>
      <rc t="1" v="12308"/>
    </bk>
    <bk>
      <rc t="1" v="12309"/>
    </bk>
    <bk>
      <rc t="1" v="12310"/>
    </bk>
    <bk>
      <rc t="1" v="12311"/>
    </bk>
    <bk>
      <rc t="1" v="12312"/>
    </bk>
    <bk>
      <rc t="1" v="12313"/>
    </bk>
    <bk>
      <rc t="1" v="12314"/>
    </bk>
    <bk>
      <rc t="1" v="12315"/>
    </bk>
    <bk>
      <rc t="1" v="12316"/>
    </bk>
    <bk>
      <rc t="1" v="12317"/>
    </bk>
    <bk>
      <rc t="1" v="12318"/>
    </bk>
    <bk>
      <rc t="1" v="12319"/>
    </bk>
    <bk>
      <rc t="1" v="12320"/>
    </bk>
    <bk>
      <rc t="1" v="12321"/>
    </bk>
    <bk>
      <rc t="1" v="12322"/>
    </bk>
    <bk>
      <rc t="1" v="12323"/>
    </bk>
    <bk>
      <rc t="1" v="12324"/>
    </bk>
    <bk>
      <rc t="1" v="12325"/>
    </bk>
    <bk>
      <rc t="1" v="12326"/>
    </bk>
    <bk>
      <rc t="1" v="12327"/>
    </bk>
    <bk>
      <rc t="1" v="12328"/>
    </bk>
    <bk>
      <rc t="1" v="12329"/>
    </bk>
    <bk>
      <rc t="1" v="12330"/>
    </bk>
    <bk>
      <rc t="1" v="12331"/>
    </bk>
    <bk>
      <rc t="1" v="12332"/>
    </bk>
    <bk>
      <rc t="1" v="12333"/>
    </bk>
    <bk>
      <rc t="1" v="12334"/>
    </bk>
    <bk>
      <rc t="1" v="12335"/>
    </bk>
    <bk>
      <rc t="1" v="12336"/>
    </bk>
    <bk>
      <rc t="1" v="12337"/>
    </bk>
    <bk>
      <rc t="1" v="12338"/>
    </bk>
    <bk>
      <rc t="1" v="12339"/>
    </bk>
    <bk>
      <rc t="1" v="12340"/>
    </bk>
    <bk>
      <rc t="1" v="12341"/>
    </bk>
    <bk>
      <rc t="1" v="12342"/>
    </bk>
    <bk>
      <rc t="1" v="12343"/>
    </bk>
    <bk>
      <rc t="1" v="12344"/>
    </bk>
    <bk>
      <rc t="1" v="12345"/>
    </bk>
    <bk>
      <rc t="1" v="12346"/>
    </bk>
    <bk>
      <rc t="1" v="12347"/>
    </bk>
    <bk>
      <rc t="1" v="12348"/>
    </bk>
    <bk>
      <rc t="1" v="12349"/>
    </bk>
    <bk>
      <rc t="1" v="12350"/>
    </bk>
    <bk>
      <rc t="1" v="12351"/>
    </bk>
    <bk>
      <rc t="1" v="12352"/>
    </bk>
    <bk>
      <rc t="1" v="12353"/>
    </bk>
    <bk>
      <rc t="1" v="12354"/>
    </bk>
    <bk>
      <rc t="1" v="12355"/>
    </bk>
    <bk>
      <rc t="1" v="12356"/>
    </bk>
    <bk>
      <rc t="1" v="12357"/>
    </bk>
    <bk>
      <rc t="1" v="12358"/>
    </bk>
    <bk>
      <rc t="1" v="12359"/>
    </bk>
    <bk>
      <rc t="1" v="12360"/>
    </bk>
    <bk>
      <rc t="1" v="12361"/>
    </bk>
    <bk>
      <rc t="1" v="12362"/>
    </bk>
    <bk>
      <rc t="1" v="12363"/>
    </bk>
    <bk>
      <rc t="1" v="12364"/>
    </bk>
    <bk>
      <rc t="1" v="12365"/>
    </bk>
    <bk>
      <rc t="1" v="12366"/>
    </bk>
    <bk>
      <rc t="1" v="12367"/>
    </bk>
    <bk>
      <rc t="1" v="12368"/>
    </bk>
    <bk>
      <rc t="1" v="12369"/>
    </bk>
    <bk>
      <rc t="1" v="12370"/>
    </bk>
    <bk>
      <rc t="1" v="12371"/>
    </bk>
    <bk>
      <rc t="1" v="12372"/>
    </bk>
    <bk>
      <rc t="1" v="12373"/>
    </bk>
    <bk>
      <rc t="1" v="12374"/>
    </bk>
    <bk>
      <rc t="1" v="12375"/>
    </bk>
    <bk>
      <rc t="1" v="12376"/>
    </bk>
    <bk>
      <rc t="1" v="12377"/>
    </bk>
    <bk>
      <rc t="1" v="12378"/>
    </bk>
    <bk>
      <rc t="1" v="12379"/>
    </bk>
    <bk>
      <rc t="1" v="12380"/>
    </bk>
    <bk>
      <rc t="1" v="12381"/>
    </bk>
    <bk>
      <rc t="1" v="12382"/>
    </bk>
    <bk>
      <rc t="1" v="12383"/>
    </bk>
    <bk>
      <rc t="1" v="12384"/>
    </bk>
    <bk>
      <rc t="1" v="12385"/>
    </bk>
    <bk>
      <rc t="1" v="12386"/>
    </bk>
    <bk>
      <rc t="1" v="12387"/>
    </bk>
    <bk>
      <rc t="1" v="12388"/>
    </bk>
    <bk>
      <rc t="1" v="12389"/>
    </bk>
    <bk>
      <rc t="1" v="12390"/>
    </bk>
    <bk>
      <rc t="1" v="12391"/>
    </bk>
    <bk>
      <rc t="1" v="12392"/>
    </bk>
    <bk>
      <rc t="1" v="12393"/>
    </bk>
    <bk>
      <rc t="1" v="12394"/>
    </bk>
    <bk>
      <rc t="1" v="12395"/>
    </bk>
    <bk>
      <rc t="1" v="12396"/>
    </bk>
    <bk>
      <rc t="1" v="12397"/>
    </bk>
    <bk>
      <rc t="1" v="12398"/>
    </bk>
    <bk>
      <rc t="1" v="12399"/>
    </bk>
    <bk>
      <rc t="1" v="12400"/>
    </bk>
    <bk>
      <rc t="1" v="12401"/>
    </bk>
    <bk>
      <rc t="1" v="12402"/>
    </bk>
    <bk>
      <rc t="1" v="12403"/>
    </bk>
    <bk>
      <rc t="1" v="12404"/>
    </bk>
    <bk>
      <rc t="1" v="12405"/>
    </bk>
    <bk>
      <rc t="1" v="12406"/>
    </bk>
    <bk>
      <rc t="1" v="12407"/>
    </bk>
    <bk>
      <rc t="1" v="12408"/>
    </bk>
    <bk>
      <rc t="1" v="12409"/>
    </bk>
    <bk>
      <rc t="1" v="12410"/>
    </bk>
    <bk>
      <rc t="1" v="12411"/>
    </bk>
    <bk>
      <rc t="1" v="12412"/>
    </bk>
    <bk>
      <rc t="1" v="12413"/>
    </bk>
    <bk>
      <rc t="1" v="12414"/>
    </bk>
    <bk>
      <rc t="1" v="12415"/>
    </bk>
    <bk>
      <rc t="1" v="12416"/>
    </bk>
    <bk>
      <rc t="1" v="12417"/>
    </bk>
    <bk>
      <rc t="1" v="12418"/>
    </bk>
    <bk>
      <rc t="1" v="12419"/>
    </bk>
    <bk>
      <rc t="1" v="12420"/>
    </bk>
    <bk>
      <rc t="1" v="12421"/>
    </bk>
    <bk>
      <rc t="1" v="12422"/>
    </bk>
    <bk>
      <rc t="1" v="12423"/>
    </bk>
    <bk>
      <rc t="1" v="12424"/>
    </bk>
    <bk>
      <rc t="1" v="12425"/>
    </bk>
    <bk>
      <rc t="1" v="12426"/>
    </bk>
    <bk>
      <rc t="1" v="12427"/>
    </bk>
    <bk>
      <rc t="1" v="12428"/>
    </bk>
    <bk>
      <rc t="1" v="12429"/>
    </bk>
    <bk>
      <rc t="1" v="12430"/>
    </bk>
    <bk>
      <rc t="1" v="12431"/>
    </bk>
    <bk>
      <rc t="1" v="12432"/>
    </bk>
    <bk>
      <rc t="1" v="12433"/>
    </bk>
    <bk>
      <rc t="1" v="12434"/>
    </bk>
    <bk>
      <rc t="1" v="12435"/>
    </bk>
    <bk>
      <rc t="1" v="12436"/>
    </bk>
    <bk>
      <rc t="1" v="12437"/>
    </bk>
    <bk>
      <rc t="1" v="12438"/>
    </bk>
    <bk>
      <rc t="1" v="12439"/>
    </bk>
    <bk>
      <rc t="1" v="12440"/>
    </bk>
    <bk>
      <rc t="1" v="12441"/>
    </bk>
    <bk>
      <rc t="1" v="12442"/>
    </bk>
    <bk>
      <rc t="1" v="12443"/>
    </bk>
    <bk>
      <rc t="1" v="12444"/>
    </bk>
    <bk>
      <rc t="1" v="12445"/>
    </bk>
    <bk>
      <rc t="1" v="12446"/>
    </bk>
    <bk>
      <rc t="1" v="12447"/>
    </bk>
    <bk>
      <rc t="1" v="12448"/>
    </bk>
    <bk>
      <rc t="1" v="12449"/>
    </bk>
    <bk>
      <rc t="1" v="12450"/>
    </bk>
    <bk>
      <rc t="1" v="12451"/>
    </bk>
    <bk>
      <rc t="1" v="12452"/>
    </bk>
    <bk>
      <rc t="1" v="12453"/>
    </bk>
    <bk>
      <rc t="1" v="12454"/>
    </bk>
    <bk>
      <rc t="1" v="12455"/>
    </bk>
    <bk>
      <rc t="1" v="12456"/>
    </bk>
    <bk>
      <rc t="1" v="12457"/>
    </bk>
    <bk>
      <rc t="1" v="12458"/>
    </bk>
    <bk>
      <rc t="1" v="12459"/>
    </bk>
    <bk>
      <rc t="1" v="12460"/>
    </bk>
    <bk>
      <rc t="1" v="12461"/>
    </bk>
    <bk>
      <rc t="1" v="12462"/>
    </bk>
    <bk>
      <rc t="1" v="12463"/>
    </bk>
    <bk>
      <rc t="1" v="12464"/>
    </bk>
    <bk>
      <rc t="1" v="12465"/>
    </bk>
    <bk>
      <rc t="1" v="12466"/>
    </bk>
    <bk>
      <rc t="1" v="12467"/>
    </bk>
    <bk>
      <rc t="1" v="12468"/>
    </bk>
    <bk>
      <rc t="1" v="12469"/>
    </bk>
    <bk>
      <rc t="1" v="12470"/>
    </bk>
    <bk>
      <rc t="1" v="12471"/>
    </bk>
    <bk>
      <rc t="1" v="12472"/>
    </bk>
    <bk>
      <rc t="1" v="12473"/>
    </bk>
    <bk>
      <rc t="1" v="12474"/>
    </bk>
    <bk>
      <rc t="1" v="12475"/>
    </bk>
    <bk>
      <rc t="1" v="12476"/>
    </bk>
    <bk>
      <rc t="1" v="12477"/>
    </bk>
    <bk>
      <rc t="1" v="12478"/>
    </bk>
    <bk>
      <rc t="1" v="12479"/>
    </bk>
    <bk>
      <rc t="1" v="12480"/>
    </bk>
    <bk>
      <rc t="1" v="12481"/>
    </bk>
    <bk>
      <rc t="1" v="12482"/>
    </bk>
    <bk>
      <rc t="1" v="12483"/>
    </bk>
    <bk>
      <rc t="1" v="12484"/>
    </bk>
    <bk>
      <rc t="1" v="12485"/>
    </bk>
    <bk>
      <rc t="1" v="12486"/>
    </bk>
    <bk>
      <rc t="1" v="12487"/>
    </bk>
    <bk>
      <rc t="1" v="12488"/>
    </bk>
    <bk>
      <rc t="1" v="12489"/>
    </bk>
    <bk>
      <rc t="1" v="12490"/>
    </bk>
    <bk>
      <rc t="1" v="12491"/>
    </bk>
    <bk>
      <rc t="1" v="12492"/>
    </bk>
    <bk>
      <rc t="1" v="12493"/>
    </bk>
    <bk>
      <rc t="1" v="12494"/>
    </bk>
    <bk>
      <rc t="1" v="12495"/>
    </bk>
    <bk>
      <rc t="1" v="12496"/>
    </bk>
    <bk>
      <rc t="1" v="12497"/>
    </bk>
    <bk>
      <rc t="1" v="12498"/>
    </bk>
    <bk>
      <rc t="1" v="12499"/>
    </bk>
    <bk>
      <rc t="1" v="12500"/>
    </bk>
    <bk>
      <rc t="1" v="12501"/>
    </bk>
    <bk>
      <rc t="1" v="12502"/>
    </bk>
    <bk>
      <rc t="1" v="12503"/>
    </bk>
    <bk>
      <rc t="1" v="12504"/>
    </bk>
    <bk>
      <rc t="1" v="12505"/>
    </bk>
    <bk>
      <rc t="1" v="12506"/>
    </bk>
    <bk>
      <rc t="1" v="12507"/>
    </bk>
    <bk>
      <rc t="1" v="12508"/>
    </bk>
    <bk>
      <rc t="1" v="12509"/>
    </bk>
    <bk>
      <rc t="1" v="12510"/>
    </bk>
    <bk>
      <rc t="1" v="12511"/>
    </bk>
    <bk>
      <rc t="1" v="12512"/>
    </bk>
    <bk>
      <rc t="1" v="12513"/>
    </bk>
    <bk>
      <rc t="1" v="12514"/>
    </bk>
    <bk>
      <rc t="1" v="12515"/>
    </bk>
    <bk>
      <rc t="1" v="12516"/>
    </bk>
    <bk>
      <rc t="1" v="12517"/>
    </bk>
    <bk>
      <rc t="1" v="12518"/>
    </bk>
    <bk>
      <rc t="1" v="12519"/>
    </bk>
    <bk>
      <rc t="1" v="12520"/>
    </bk>
    <bk>
      <rc t="1" v="12521"/>
    </bk>
    <bk>
      <rc t="1" v="12522"/>
    </bk>
    <bk>
      <rc t="1" v="12523"/>
    </bk>
    <bk>
      <rc t="1" v="12524"/>
    </bk>
    <bk>
      <rc t="1" v="12525"/>
    </bk>
    <bk>
      <rc t="1" v="12526"/>
    </bk>
    <bk>
      <rc t="1" v="12527"/>
    </bk>
    <bk>
      <rc t="1" v="12528"/>
    </bk>
    <bk>
      <rc t="1" v="12529"/>
    </bk>
    <bk>
      <rc t="1" v="12530"/>
    </bk>
    <bk>
      <rc t="1" v="12531"/>
    </bk>
    <bk>
      <rc t="1" v="12532"/>
    </bk>
    <bk>
      <rc t="1" v="12533"/>
    </bk>
    <bk>
      <rc t="1" v="12534"/>
    </bk>
    <bk>
      <rc t="1" v="12535"/>
    </bk>
    <bk>
      <rc t="1" v="12536"/>
    </bk>
    <bk>
      <rc t="1" v="12537"/>
    </bk>
    <bk>
      <rc t="1" v="12538"/>
    </bk>
    <bk>
      <rc t="1" v="12539"/>
    </bk>
    <bk>
      <rc t="1" v="12540"/>
    </bk>
    <bk>
      <rc t="1" v="12541"/>
    </bk>
    <bk>
      <rc t="1" v="12542"/>
    </bk>
    <bk>
      <rc t="1" v="12543"/>
    </bk>
    <bk>
      <rc t="1" v="12544"/>
    </bk>
    <bk>
      <rc t="1" v="12545"/>
    </bk>
    <bk>
      <rc t="1" v="12546"/>
    </bk>
    <bk>
      <rc t="1" v="12547"/>
    </bk>
    <bk>
      <rc t="1" v="12548"/>
    </bk>
    <bk>
      <rc t="1" v="12549"/>
    </bk>
    <bk>
      <rc t="1" v="12550"/>
    </bk>
    <bk>
      <rc t="1" v="12551"/>
    </bk>
    <bk>
      <rc t="1" v="12552"/>
    </bk>
    <bk>
      <rc t="1" v="12553"/>
    </bk>
    <bk>
      <rc t="1" v="12554"/>
    </bk>
    <bk>
      <rc t="1" v="12555"/>
    </bk>
    <bk>
      <rc t="1" v="12556"/>
    </bk>
    <bk>
      <rc t="1" v="12557"/>
    </bk>
    <bk>
      <rc t="1" v="12558"/>
    </bk>
    <bk>
      <rc t="1" v="12559"/>
    </bk>
    <bk>
      <rc t="1" v="12560"/>
    </bk>
    <bk>
      <rc t="1" v="12561"/>
    </bk>
    <bk>
      <rc t="1" v="12562"/>
    </bk>
    <bk>
      <rc t="1" v="12563"/>
    </bk>
    <bk>
      <rc t="1" v="12564"/>
    </bk>
    <bk>
      <rc t="1" v="12565"/>
    </bk>
    <bk>
      <rc t="1" v="12566"/>
    </bk>
    <bk>
      <rc t="1" v="12567"/>
    </bk>
    <bk>
      <rc t="1" v="12568"/>
    </bk>
    <bk>
      <rc t="1" v="12569"/>
    </bk>
    <bk>
      <rc t="1" v="12570"/>
    </bk>
    <bk>
      <rc t="1" v="12571"/>
    </bk>
    <bk>
      <rc t="1" v="12572"/>
    </bk>
    <bk>
      <rc t="1" v="12573"/>
    </bk>
    <bk>
      <rc t="1" v="12574"/>
    </bk>
    <bk>
      <rc t="1" v="12575"/>
    </bk>
    <bk>
      <rc t="1" v="12576"/>
    </bk>
    <bk>
      <rc t="1" v="12577"/>
    </bk>
    <bk>
      <rc t="1" v="12578"/>
    </bk>
    <bk>
      <rc t="1" v="12579"/>
    </bk>
    <bk>
      <rc t="1" v="12580"/>
    </bk>
    <bk>
      <rc t="1" v="12581"/>
    </bk>
    <bk>
      <rc t="1" v="12582"/>
    </bk>
    <bk>
      <rc t="1" v="12583"/>
    </bk>
    <bk>
      <rc t="1" v="12584"/>
    </bk>
    <bk>
      <rc t="1" v="12585"/>
    </bk>
    <bk>
      <rc t="1" v="12586"/>
    </bk>
    <bk>
      <rc t="1" v="12587"/>
    </bk>
    <bk>
      <rc t="1" v="12588"/>
    </bk>
    <bk>
      <rc t="1" v="12589"/>
    </bk>
    <bk>
      <rc t="1" v="12590"/>
    </bk>
    <bk>
      <rc t="1" v="12591"/>
    </bk>
    <bk>
      <rc t="1" v="12592"/>
    </bk>
    <bk>
      <rc t="1" v="12593"/>
    </bk>
    <bk>
      <rc t="1" v="12594"/>
    </bk>
    <bk>
      <rc t="1" v="12595"/>
    </bk>
    <bk>
      <rc t="1" v="12596"/>
    </bk>
    <bk>
      <rc t="1" v="12597"/>
    </bk>
    <bk>
      <rc t="1" v="12598"/>
    </bk>
    <bk>
      <rc t="1" v="12599"/>
    </bk>
    <bk>
      <rc t="1" v="12600"/>
    </bk>
    <bk>
      <rc t="1" v="12601"/>
    </bk>
    <bk>
      <rc t="1" v="12602"/>
    </bk>
    <bk>
      <rc t="1" v="12603"/>
    </bk>
    <bk>
      <rc t="1" v="12604"/>
    </bk>
    <bk>
      <rc t="1" v="12605"/>
    </bk>
    <bk>
      <rc t="1" v="12606"/>
    </bk>
    <bk>
      <rc t="1" v="12607"/>
    </bk>
    <bk>
      <rc t="1" v="12608"/>
    </bk>
    <bk>
      <rc t="1" v="12609"/>
    </bk>
    <bk>
      <rc t="1" v="12610"/>
    </bk>
    <bk>
      <rc t="1" v="12611"/>
    </bk>
    <bk>
      <rc t="1" v="12612"/>
    </bk>
    <bk>
      <rc t="1" v="12613"/>
    </bk>
    <bk>
      <rc t="1" v="12614"/>
    </bk>
    <bk>
      <rc t="1" v="12615"/>
    </bk>
    <bk>
      <rc t="1" v="12616"/>
    </bk>
    <bk>
      <rc t="1" v="12617"/>
    </bk>
    <bk>
      <rc t="1" v="12618"/>
    </bk>
    <bk>
      <rc t="1" v="12619"/>
    </bk>
    <bk>
      <rc t="1" v="12620"/>
    </bk>
    <bk>
      <rc t="1" v="12621"/>
    </bk>
    <bk>
      <rc t="1" v="12622"/>
    </bk>
    <bk>
      <rc t="1" v="12623"/>
    </bk>
    <bk>
      <rc t="1" v="12624"/>
    </bk>
    <bk>
      <rc t="1" v="12625"/>
    </bk>
    <bk>
      <rc t="1" v="12626"/>
    </bk>
    <bk>
      <rc t="1" v="12627"/>
    </bk>
    <bk>
      <rc t="1" v="12628"/>
    </bk>
    <bk>
      <rc t="1" v="12629"/>
    </bk>
    <bk>
      <rc t="1" v="12630"/>
    </bk>
    <bk>
      <rc t="1" v="12631"/>
    </bk>
    <bk>
      <rc t="1" v="12632"/>
    </bk>
    <bk>
      <rc t="1" v="12633"/>
    </bk>
    <bk>
      <rc t="1" v="12634"/>
    </bk>
    <bk>
      <rc t="1" v="12635"/>
    </bk>
    <bk>
      <rc t="1" v="12636"/>
    </bk>
    <bk>
      <rc t="1" v="12637"/>
    </bk>
    <bk>
      <rc t="1" v="12638"/>
    </bk>
    <bk>
      <rc t="1" v="12639"/>
    </bk>
    <bk>
      <rc t="1" v="12640"/>
    </bk>
    <bk>
      <rc t="1" v="12641"/>
    </bk>
    <bk>
      <rc t="1" v="12642"/>
    </bk>
    <bk>
      <rc t="1" v="12643"/>
    </bk>
    <bk>
      <rc t="1" v="12644"/>
    </bk>
    <bk>
      <rc t="1" v="12645"/>
    </bk>
    <bk>
      <rc t="1" v="12646"/>
    </bk>
    <bk>
      <rc t="1" v="12647"/>
    </bk>
    <bk>
      <rc t="1" v="12648"/>
    </bk>
    <bk>
      <rc t="1" v="12649"/>
    </bk>
    <bk>
      <rc t="1" v="12650"/>
    </bk>
    <bk>
      <rc t="1" v="12651"/>
    </bk>
    <bk>
      <rc t="1" v="12652"/>
    </bk>
    <bk>
      <rc t="1" v="12653"/>
    </bk>
    <bk>
      <rc t="1" v="12654"/>
    </bk>
    <bk>
      <rc t="1" v="12655"/>
    </bk>
    <bk>
      <rc t="1" v="12656"/>
    </bk>
    <bk>
      <rc t="1" v="12657"/>
    </bk>
    <bk>
      <rc t="1" v="12658"/>
    </bk>
    <bk>
      <rc t="1" v="12659"/>
    </bk>
    <bk>
      <rc t="1" v="12660"/>
    </bk>
    <bk>
      <rc t="1" v="12661"/>
    </bk>
    <bk>
      <rc t="1" v="12662"/>
    </bk>
    <bk>
      <rc t="1" v="12663"/>
    </bk>
    <bk>
      <rc t="1" v="12664"/>
    </bk>
    <bk>
      <rc t="1" v="12665"/>
    </bk>
    <bk>
      <rc t="1" v="12666"/>
    </bk>
    <bk>
      <rc t="1" v="12667"/>
    </bk>
    <bk>
      <rc t="1" v="12668"/>
    </bk>
    <bk>
      <rc t="1" v="12669"/>
    </bk>
    <bk>
      <rc t="1" v="12670"/>
    </bk>
    <bk>
      <rc t="1" v="12671"/>
    </bk>
    <bk>
      <rc t="1" v="12672"/>
    </bk>
    <bk>
      <rc t="1" v="12673"/>
    </bk>
    <bk>
      <rc t="1" v="12674"/>
    </bk>
    <bk>
      <rc t="1" v="12675"/>
    </bk>
    <bk>
      <rc t="1" v="12676"/>
    </bk>
    <bk>
      <rc t="1" v="12677"/>
    </bk>
    <bk>
      <rc t="1" v="12678"/>
    </bk>
    <bk>
      <rc t="1" v="12679"/>
    </bk>
    <bk>
      <rc t="1" v="12680"/>
    </bk>
    <bk>
      <rc t="1" v="12681"/>
    </bk>
    <bk>
      <rc t="1" v="12682"/>
    </bk>
    <bk>
      <rc t="1" v="12683"/>
    </bk>
    <bk>
      <rc t="1" v="12684"/>
    </bk>
    <bk>
      <rc t="1" v="12685"/>
    </bk>
    <bk>
      <rc t="1" v="12686"/>
    </bk>
    <bk>
      <rc t="1" v="12687"/>
    </bk>
    <bk>
      <rc t="1" v="12688"/>
    </bk>
    <bk>
      <rc t="1" v="12689"/>
    </bk>
    <bk>
      <rc t="1" v="12690"/>
    </bk>
    <bk>
      <rc t="1" v="12691"/>
    </bk>
    <bk>
      <rc t="1" v="12692"/>
    </bk>
    <bk>
      <rc t="1" v="12693"/>
    </bk>
    <bk>
      <rc t="1" v="12694"/>
    </bk>
    <bk>
      <rc t="1" v="12695"/>
    </bk>
    <bk>
      <rc t="1" v="12696"/>
    </bk>
    <bk>
      <rc t="1" v="12697"/>
    </bk>
    <bk>
      <rc t="1" v="12698"/>
    </bk>
    <bk>
      <rc t="1" v="12699"/>
    </bk>
    <bk>
      <rc t="1" v="12700"/>
    </bk>
    <bk>
      <rc t="1" v="12701"/>
    </bk>
    <bk>
      <rc t="1" v="12702"/>
    </bk>
    <bk>
      <rc t="1" v="12703"/>
    </bk>
    <bk>
      <rc t="1" v="12704"/>
    </bk>
    <bk>
      <rc t="1" v="12705"/>
    </bk>
    <bk>
      <rc t="1" v="12706"/>
    </bk>
    <bk>
      <rc t="1" v="12707"/>
    </bk>
    <bk>
      <rc t="1" v="12708"/>
    </bk>
    <bk>
      <rc t="1" v="12709"/>
    </bk>
    <bk>
      <rc t="1" v="12710"/>
    </bk>
    <bk>
      <rc t="1" v="12711"/>
    </bk>
    <bk>
      <rc t="1" v="12712"/>
    </bk>
    <bk>
      <rc t="1" v="12713"/>
    </bk>
    <bk>
      <rc t="1" v="12714"/>
    </bk>
    <bk>
      <rc t="1" v="12715"/>
    </bk>
    <bk>
      <rc t="1" v="12716"/>
    </bk>
    <bk>
      <rc t="1" v="12717"/>
    </bk>
    <bk>
      <rc t="1" v="12718"/>
    </bk>
    <bk>
      <rc t="1" v="12719"/>
    </bk>
    <bk>
      <rc t="1" v="12720"/>
    </bk>
    <bk>
      <rc t="1" v="12721"/>
    </bk>
    <bk>
      <rc t="1" v="12722"/>
    </bk>
    <bk>
      <rc t="1" v="12723"/>
    </bk>
    <bk>
      <rc t="1" v="12724"/>
    </bk>
    <bk>
      <rc t="1" v="12725"/>
    </bk>
    <bk>
      <rc t="1" v="12726"/>
    </bk>
    <bk>
      <rc t="1" v="12727"/>
    </bk>
    <bk>
      <rc t="1" v="12728"/>
    </bk>
    <bk>
      <rc t="1" v="12729"/>
    </bk>
    <bk>
      <rc t="1" v="12730"/>
    </bk>
    <bk>
      <rc t="1" v="12731"/>
    </bk>
    <bk>
      <rc t="1" v="12732"/>
    </bk>
    <bk>
      <rc t="1" v="12733"/>
    </bk>
    <bk>
      <rc t="1" v="12734"/>
    </bk>
    <bk>
      <rc t="1" v="12735"/>
    </bk>
    <bk>
      <rc t="1" v="12736"/>
    </bk>
    <bk>
      <rc t="1" v="12737"/>
    </bk>
    <bk>
      <rc t="1" v="12738"/>
    </bk>
    <bk>
      <rc t="1" v="12739"/>
    </bk>
    <bk>
      <rc t="1" v="12740"/>
    </bk>
    <bk>
      <rc t="1" v="12741"/>
    </bk>
    <bk>
      <rc t="1" v="12742"/>
    </bk>
    <bk>
      <rc t="1" v="12743"/>
    </bk>
    <bk>
      <rc t="1" v="12744"/>
    </bk>
    <bk>
      <rc t="1" v="12745"/>
    </bk>
    <bk>
      <rc t="1" v="12746"/>
    </bk>
    <bk>
      <rc t="1" v="12747"/>
    </bk>
    <bk>
      <rc t="1" v="12748"/>
    </bk>
    <bk>
      <rc t="1" v="12749"/>
    </bk>
    <bk>
      <rc t="1" v="12750"/>
    </bk>
    <bk>
      <rc t="1" v="12751"/>
    </bk>
    <bk>
      <rc t="1" v="12752"/>
    </bk>
    <bk>
      <rc t="1" v="12753"/>
    </bk>
    <bk>
      <rc t="1" v="12754"/>
    </bk>
    <bk>
      <rc t="1" v="12755"/>
    </bk>
    <bk>
      <rc t="1" v="12756"/>
    </bk>
    <bk>
      <rc t="1" v="12757"/>
    </bk>
    <bk>
      <rc t="1" v="12758"/>
    </bk>
    <bk>
      <rc t="1" v="12759"/>
    </bk>
    <bk>
      <rc t="1" v="12760"/>
    </bk>
    <bk>
      <rc t="1" v="12761"/>
    </bk>
    <bk>
      <rc t="1" v="12762"/>
    </bk>
    <bk>
      <rc t="1" v="12763"/>
    </bk>
    <bk>
      <rc t="1" v="12764"/>
    </bk>
    <bk>
      <rc t="1" v="12765"/>
    </bk>
    <bk>
      <rc t="1" v="12766"/>
    </bk>
    <bk>
      <rc t="1" v="12767"/>
    </bk>
    <bk>
      <rc t="1" v="12768"/>
    </bk>
    <bk>
      <rc t="1" v="12769"/>
    </bk>
    <bk>
      <rc t="1" v="12770"/>
    </bk>
    <bk>
      <rc t="1" v="12771"/>
    </bk>
    <bk>
      <rc t="1" v="12772"/>
    </bk>
    <bk>
      <rc t="1" v="12773"/>
    </bk>
    <bk>
      <rc t="1" v="12774"/>
    </bk>
    <bk>
      <rc t="1" v="12775"/>
    </bk>
    <bk>
      <rc t="1" v="12776"/>
    </bk>
    <bk>
      <rc t="1" v="12777"/>
    </bk>
    <bk>
      <rc t="1" v="12778"/>
    </bk>
    <bk>
      <rc t="1" v="12779"/>
    </bk>
    <bk>
      <rc t="1" v="12780"/>
    </bk>
    <bk>
      <rc t="1" v="12781"/>
    </bk>
    <bk>
      <rc t="1" v="12782"/>
    </bk>
    <bk>
      <rc t="1" v="12783"/>
    </bk>
    <bk>
      <rc t="1" v="12784"/>
    </bk>
    <bk>
      <rc t="1" v="12785"/>
    </bk>
    <bk>
      <rc t="1" v="12786"/>
    </bk>
    <bk>
      <rc t="1" v="12787"/>
    </bk>
    <bk>
      <rc t="1" v="12788"/>
    </bk>
    <bk>
      <rc t="1" v="12789"/>
    </bk>
    <bk>
      <rc t="1" v="12790"/>
    </bk>
    <bk>
      <rc t="1" v="12791"/>
    </bk>
    <bk>
      <rc t="1" v="12792"/>
    </bk>
    <bk>
      <rc t="1" v="12793"/>
    </bk>
    <bk>
      <rc t="1" v="12794"/>
    </bk>
    <bk>
      <rc t="1" v="12795"/>
    </bk>
    <bk>
      <rc t="1" v="12796"/>
    </bk>
    <bk>
      <rc t="1" v="12797"/>
    </bk>
    <bk>
      <rc t="1" v="12798"/>
    </bk>
    <bk>
      <rc t="1" v="12799"/>
    </bk>
    <bk>
      <rc t="1" v="12800"/>
    </bk>
    <bk>
      <rc t="1" v="12801"/>
    </bk>
    <bk>
      <rc t="1" v="12802"/>
    </bk>
    <bk>
      <rc t="1" v="12803"/>
    </bk>
    <bk>
      <rc t="1" v="12804"/>
    </bk>
    <bk>
      <rc t="1" v="12805"/>
    </bk>
    <bk>
      <rc t="1" v="12806"/>
    </bk>
    <bk>
      <rc t="1" v="12807"/>
    </bk>
    <bk>
      <rc t="1" v="12808"/>
    </bk>
    <bk>
      <rc t="1" v="12809"/>
    </bk>
    <bk>
      <rc t="1" v="12810"/>
    </bk>
    <bk>
      <rc t="1" v="12811"/>
    </bk>
    <bk>
      <rc t="1" v="12812"/>
    </bk>
    <bk>
      <rc t="1" v="12813"/>
    </bk>
    <bk>
      <rc t="1" v="12814"/>
    </bk>
    <bk>
      <rc t="1" v="12815"/>
    </bk>
    <bk>
      <rc t="1" v="12816"/>
    </bk>
    <bk>
      <rc t="1" v="12817"/>
    </bk>
    <bk>
      <rc t="1" v="12818"/>
    </bk>
    <bk>
      <rc t="1" v="12819"/>
    </bk>
    <bk>
      <rc t="1" v="12820"/>
    </bk>
    <bk>
      <rc t="1" v="12821"/>
    </bk>
    <bk>
      <rc t="1" v="12822"/>
    </bk>
    <bk>
      <rc t="1" v="12823"/>
    </bk>
    <bk>
      <rc t="1" v="12824"/>
    </bk>
    <bk>
      <rc t="1" v="12825"/>
    </bk>
    <bk>
      <rc t="1" v="12826"/>
    </bk>
    <bk>
      <rc t="1" v="12827"/>
    </bk>
    <bk>
      <rc t="1" v="12828"/>
    </bk>
    <bk>
      <rc t="1" v="12829"/>
    </bk>
    <bk>
      <rc t="1" v="12830"/>
    </bk>
    <bk>
      <rc t="1" v="12831"/>
    </bk>
    <bk>
      <rc t="1" v="12832"/>
    </bk>
    <bk>
      <rc t="1" v="12833"/>
    </bk>
    <bk>
      <rc t="1" v="12834"/>
    </bk>
    <bk>
      <rc t="1" v="12835"/>
    </bk>
    <bk>
      <rc t="1" v="12836"/>
    </bk>
    <bk>
      <rc t="1" v="12837"/>
    </bk>
    <bk>
      <rc t="1" v="12838"/>
    </bk>
    <bk>
      <rc t="1" v="12839"/>
    </bk>
    <bk>
      <rc t="1" v="12840"/>
    </bk>
    <bk>
      <rc t="1" v="12841"/>
    </bk>
    <bk>
      <rc t="1" v="12842"/>
    </bk>
    <bk>
      <rc t="1" v="12843"/>
    </bk>
    <bk>
      <rc t="1" v="12844"/>
    </bk>
    <bk>
      <rc t="1" v="12845"/>
    </bk>
    <bk>
      <rc t="1" v="12846"/>
    </bk>
    <bk>
      <rc t="1" v="12847"/>
    </bk>
    <bk>
      <rc t="1" v="12848"/>
    </bk>
    <bk>
      <rc t="1" v="12849"/>
    </bk>
    <bk>
      <rc t="1" v="12850"/>
    </bk>
    <bk>
      <rc t="1" v="12851"/>
    </bk>
    <bk>
      <rc t="1" v="12852"/>
    </bk>
    <bk>
      <rc t="1" v="12853"/>
    </bk>
    <bk>
      <rc t="1" v="12854"/>
    </bk>
    <bk>
      <rc t="1" v="12855"/>
    </bk>
    <bk>
      <rc t="1" v="12856"/>
    </bk>
    <bk>
      <rc t="1" v="12857"/>
    </bk>
    <bk>
      <rc t="1" v="12858"/>
    </bk>
    <bk>
      <rc t="1" v="12859"/>
    </bk>
    <bk>
      <rc t="1" v="12860"/>
    </bk>
    <bk>
      <rc t="1" v="12861"/>
    </bk>
    <bk>
      <rc t="1" v="12862"/>
    </bk>
    <bk>
      <rc t="1" v="12863"/>
    </bk>
    <bk>
      <rc t="1" v="12864"/>
    </bk>
    <bk>
      <rc t="1" v="12865"/>
    </bk>
    <bk>
      <rc t="1" v="12866"/>
    </bk>
    <bk>
      <rc t="1" v="12867"/>
    </bk>
    <bk>
      <rc t="1" v="12868"/>
    </bk>
    <bk>
      <rc t="1" v="12869"/>
    </bk>
    <bk>
      <rc t="1" v="12870"/>
    </bk>
    <bk>
      <rc t="1" v="12871"/>
    </bk>
    <bk>
      <rc t="1" v="12872"/>
    </bk>
    <bk>
      <rc t="1" v="12873"/>
    </bk>
    <bk>
      <rc t="1" v="12874"/>
    </bk>
    <bk>
      <rc t="1" v="12875"/>
    </bk>
    <bk>
      <rc t="1" v="12876"/>
    </bk>
    <bk>
      <rc t="1" v="12877"/>
    </bk>
    <bk>
      <rc t="1" v="12878"/>
    </bk>
    <bk>
      <rc t="1" v="12879"/>
    </bk>
    <bk>
      <rc t="1" v="12880"/>
    </bk>
    <bk>
      <rc t="1" v="12881"/>
    </bk>
    <bk>
      <rc t="1" v="12882"/>
    </bk>
    <bk>
      <rc t="1" v="12883"/>
    </bk>
    <bk>
      <rc t="1" v="12884"/>
    </bk>
    <bk>
      <rc t="1" v="12885"/>
    </bk>
    <bk>
      <rc t="1" v="12886"/>
    </bk>
    <bk>
      <rc t="1" v="12887"/>
    </bk>
    <bk>
      <rc t="1" v="12888"/>
    </bk>
    <bk>
      <rc t="1" v="12889"/>
    </bk>
    <bk>
      <rc t="1" v="12890"/>
    </bk>
    <bk>
      <rc t="1" v="12891"/>
    </bk>
    <bk>
      <rc t="1" v="12892"/>
    </bk>
    <bk>
      <rc t="1" v="12893"/>
    </bk>
    <bk>
      <rc t="1" v="12894"/>
    </bk>
    <bk>
      <rc t="1" v="12895"/>
    </bk>
    <bk>
      <rc t="1" v="12896"/>
    </bk>
    <bk>
      <rc t="1" v="12897"/>
    </bk>
    <bk>
      <rc t="1" v="12898"/>
    </bk>
    <bk>
      <rc t="1" v="12899"/>
    </bk>
    <bk>
      <rc t="1" v="12900"/>
    </bk>
    <bk>
      <rc t="1" v="12901"/>
    </bk>
    <bk>
      <rc t="1" v="12902"/>
    </bk>
    <bk>
      <rc t="1" v="12903"/>
    </bk>
    <bk>
      <rc t="1" v="12904"/>
    </bk>
    <bk>
      <rc t="1" v="12905"/>
    </bk>
    <bk>
      <rc t="1" v="12906"/>
    </bk>
    <bk>
      <rc t="1" v="12907"/>
    </bk>
    <bk>
      <rc t="1" v="12908"/>
    </bk>
    <bk>
      <rc t="1" v="12909"/>
    </bk>
    <bk>
      <rc t="1" v="12910"/>
    </bk>
    <bk>
      <rc t="1" v="12911"/>
    </bk>
    <bk>
      <rc t="1" v="12912"/>
    </bk>
    <bk>
      <rc t="1" v="12913"/>
    </bk>
    <bk>
      <rc t="1" v="12914"/>
    </bk>
    <bk>
      <rc t="1" v="12915"/>
    </bk>
    <bk>
      <rc t="1" v="12916"/>
    </bk>
    <bk>
      <rc t="1" v="12917"/>
    </bk>
    <bk>
      <rc t="1" v="12918"/>
    </bk>
    <bk>
      <rc t="1" v="12919"/>
    </bk>
    <bk>
      <rc t="1" v="12920"/>
    </bk>
    <bk>
      <rc t="1" v="12921"/>
    </bk>
    <bk>
      <rc t="1" v="12922"/>
    </bk>
    <bk>
      <rc t="1" v="12923"/>
    </bk>
    <bk>
      <rc t="1" v="12924"/>
    </bk>
    <bk>
      <rc t="1" v="12925"/>
    </bk>
    <bk>
      <rc t="1" v="12926"/>
    </bk>
    <bk>
      <rc t="1" v="12927"/>
    </bk>
    <bk>
      <rc t="1" v="12928"/>
    </bk>
    <bk>
      <rc t="1" v="12929"/>
    </bk>
    <bk>
      <rc t="1" v="12930"/>
    </bk>
    <bk>
      <rc t="1" v="12931"/>
    </bk>
    <bk>
      <rc t="1" v="12932"/>
    </bk>
    <bk>
      <rc t="1" v="12933"/>
    </bk>
    <bk>
      <rc t="1" v="12934"/>
    </bk>
    <bk>
      <rc t="1" v="12935"/>
    </bk>
    <bk>
      <rc t="1" v="12936"/>
    </bk>
    <bk>
      <rc t="1" v="12937"/>
    </bk>
    <bk>
      <rc t="1" v="12938"/>
    </bk>
    <bk>
      <rc t="1" v="12939"/>
    </bk>
    <bk>
      <rc t="1" v="12940"/>
    </bk>
    <bk>
      <rc t="1" v="12941"/>
    </bk>
    <bk>
      <rc t="1" v="12942"/>
    </bk>
    <bk>
      <rc t="1" v="12943"/>
    </bk>
    <bk>
      <rc t="1" v="12944"/>
    </bk>
    <bk>
      <rc t="1" v="12945"/>
    </bk>
    <bk>
      <rc t="1" v="12946"/>
    </bk>
    <bk>
      <rc t="1" v="12947"/>
    </bk>
    <bk>
      <rc t="1" v="12948"/>
    </bk>
    <bk>
      <rc t="1" v="12949"/>
    </bk>
    <bk>
      <rc t="1" v="12950"/>
    </bk>
    <bk>
      <rc t="1" v="12951"/>
    </bk>
    <bk>
      <rc t="1" v="12952"/>
    </bk>
    <bk>
      <rc t="1" v="12953"/>
    </bk>
    <bk>
      <rc t="1" v="12954"/>
    </bk>
    <bk>
      <rc t="1" v="12955"/>
    </bk>
    <bk>
      <rc t="1" v="12956"/>
    </bk>
    <bk>
      <rc t="1" v="12957"/>
    </bk>
    <bk>
      <rc t="1" v="12958"/>
    </bk>
    <bk>
      <rc t="1" v="12959"/>
    </bk>
    <bk>
      <rc t="1" v="12960"/>
    </bk>
    <bk>
      <rc t="1" v="12961"/>
    </bk>
    <bk>
      <rc t="1" v="12962"/>
    </bk>
    <bk>
      <rc t="1" v="12963"/>
    </bk>
    <bk>
      <rc t="1" v="12964"/>
    </bk>
    <bk>
      <rc t="1" v="12965"/>
    </bk>
    <bk>
      <rc t="1" v="12966"/>
    </bk>
    <bk>
      <rc t="1" v="12967"/>
    </bk>
    <bk>
      <rc t="1" v="12968"/>
    </bk>
    <bk>
      <rc t="1" v="12969"/>
    </bk>
    <bk>
      <rc t="1" v="12970"/>
    </bk>
    <bk>
      <rc t="1" v="12971"/>
    </bk>
    <bk>
      <rc t="1" v="12972"/>
    </bk>
    <bk>
      <rc t="1" v="12973"/>
    </bk>
    <bk>
      <rc t="1" v="12974"/>
    </bk>
    <bk>
      <rc t="1" v="12975"/>
    </bk>
    <bk>
      <rc t="1" v="12976"/>
    </bk>
    <bk>
      <rc t="1" v="12977"/>
    </bk>
    <bk>
      <rc t="1" v="12978"/>
    </bk>
    <bk>
      <rc t="1" v="12979"/>
    </bk>
    <bk>
      <rc t="1" v="12980"/>
    </bk>
    <bk>
      <rc t="1" v="12981"/>
    </bk>
    <bk>
      <rc t="1" v="12982"/>
    </bk>
    <bk>
      <rc t="1" v="12983"/>
    </bk>
    <bk>
      <rc t="1" v="12984"/>
    </bk>
    <bk>
      <rc t="1" v="12985"/>
    </bk>
    <bk>
      <rc t="1" v="12986"/>
    </bk>
    <bk>
      <rc t="1" v="12987"/>
    </bk>
    <bk>
      <rc t="1" v="12988"/>
    </bk>
    <bk>
      <rc t="1" v="12989"/>
    </bk>
    <bk>
      <rc t="1" v="12990"/>
    </bk>
    <bk>
      <rc t="1" v="12991"/>
    </bk>
    <bk>
      <rc t="1" v="12992"/>
    </bk>
    <bk>
      <rc t="1" v="12993"/>
    </bk>
    <bk>
      <rc t="1" v="12994"/>
    </bk>
    <bk>
      <rc t="1" v="12995"/>
    </bk>
    <bk>
      <rc t="1" v="12996"/>
    </bk>
    <bk>
      <rc t="1" v="12997"/>
    </bk>
    <bk>
      <rc t="1" v="12998"/>
    </bk>
    <bk>
      <rc t="1" v="12999"/>
    </bk>
    <bk>
      <rc t="1" v="13000"/>
    </bk>
    <bk>
      <rc t="1" v="13001"/>
    </bk>
    <bk>
      <rc t="1" v="13002"/>
    </bk>
    <bk>
      <rc t="1" v="13003"/>
    </bk>
    <bk>
      <rc t="1" v="13004"/>
    </bk>
    <bk>
      <rc t="1" v="13005"/>
    </bk>
    <bk>
      <rc t="1" v="13006"/>
    </bk>
    <bk>
      <rc t="1" v="13007"/>
    </bk>
    <bk>
      <rc t="1" v="13008"/>
    </bk>
    <bk>
      <rc t="1" v="13009"/>
    </bk>
    <bk>
      <rc t="1" v="13010"/>
    </bk>
    <bk>
      <rc t="1" v="13011"/>
    </bk>
    <bk>
      <rc t="1" v="13012"/>
    </bk>
    <bk>
      <rc t="1" v="13013"/>
    </bk>
    <bk>
      <rc t="1" v="13014"/>
    </bk>
    <bk>
      <rc t="1" v="13015"/>
    </bk>
    <bk>
      <rc t="1" v="13016"/>
    </bk>
    <bk>
      <rc t="1" v="13017"/>
    </bk>
    <bk>
      <rc t="1" v="13018"/>
    </bk>
    <bk>
      <rc t="1" v="13019"/>
    </bk>
    <bk>
      <rc t="1" v="13020"/>
    </bk>
    <bk>
      <rc t="1" v="13021"/>
    </bk>
    <bk>
      <rc t="1" v="13022"/>
    </bk>
    <bk>
      <rc t="1" v="13023"/>
    </bk>
    <bk>
      <rc t="1" v="13024"/>
    </bk>
    <bk>
      <rc t="1" v="13025"/>
    </bk>
    <bk>
      <rc t="1" v="13026"/>
    </bk>
    <bk>
      <rc t="1" v="13027"/>
    </bk>
    <bk>
      <rc t="1" v="13028"/>
    </bk>
    <bk>
      <rc t="1" v="13029"/>
    </bk>
    <bk>
      <rc t="1" v="13030"/>
    </bk>
    <bk>
      <rc t="1" v="13031"/>
    </bk>
    <bk>
      <rc t="1" v="13032"/>
    </bk>
    <bk>
      <rc t="1" v="13033"/>
    </bk>
    <bk>
      <rc t="1" v="13034"/>
    </bk>
    <bk>
      <rc t="1" v="13035"/>
    </bk>
    <bk>
      <rc t="1" v="13036"/>
    </bk>
    <bk>
      <rc t="1" v="13037"/>
    </bk>
    <bk>
      <rc t="1" v="13038"/>
    </bk>
    <bk>
      <rc t="1" v="13039"/>
    </bk>
    <bk>
      <rc t="1" v="13040"/>
    </bk>
    <bk>
      <rc t="1" v="13041"/>
    </bk>
    <bk>
      <rc t="1" v="13042"/>
    </bk>
    <bk>
      <rc t="1" v="13043"/>
    </bk>
    <bk>
      <rc t="1" v="13044"/>
    </bk>
    <bk>
      <rc t="1" v="13045"/>
    </bk>
    <bk>
      <rc t="1" v="13046"/>
    </bk>
    <bk>
      <rc t="1" v="13047"/>
    </bk>
    <bk>
      <rc t="1" v="13048"/>
    </bk>
    <bk>
      <rc t="1" v="13049"/>
    </bk>
    <bk>
      <rc t="1" v="13050"/>
    </bk>
    <bk>
      <rc t="1" v="13051"/>
    </bk>
    <bk>
      <rc t="1" v="13052"/>
    </bk>
    <bk>
      <rc t="1" v="13053"/>
    </bk>
    <bk>
      <rc t="1" v="13054"/>
    </bk>
    <bk>
      <rc t="1" v="13055"/>
    </bk>
    <bk>
      <rc t="1" v="13056"/>
    </bk>
    <bk>
      <rc t="1" v="13057"/>
    </bk>
    <bk>
      <rc t="1" v="13058"/>
    </bk>
    <bk>
      <rc t="1" v="13059"/>
    </bk>
    <bk>
      <rc t="1" v="13060"/>
    </bk>
    <bk>
      <rc t="1" v="13061"/>
    </bk>
    <bk>
      <rc t="1" v="13062"/>
    </bk>
    <bk>
      <rc t="1" v="13063"/>
    </bk>
    <bk>
      <rc t="1" v="13064"/>
    </bk>
    <bk>
      <rc t="1" v="13065"/>
    </bk>
    <bk>
      <rc t="1" v="13066"/>
    </bk>
    <bk>
      <rc t="1" v="13067"/>
    </bk>
    <bk>
      <rc t="1" v="13068"/>
    </bk>
    <bk>
      <rc t="1" v="13069"/>
    </bk>
    <bk>
      <rc t="1" v="13070"/>
    </bk>
    <bk>
      <rc t="1" v="13071"/>
    </bk>
    <bk>
      <rc t="1" v="13072"/>
    </bk>
    <bk>
      <rc t="1" v="13073"/>
    </bk>
    <bk>
      <rc t="1" v="13074"/>
    </bk>
    <bk>
      <rc t="1" v="13075"/>
    </bk>
    <bk>
      <rc t="1" v="13076"/>
    </bk>
    <bk>
      <rc t="1" v="13077"/>
    </bk>
    <bk>
      <rc t="1" v="13078"/>
    </bk>
    <bk>
      <rc t="1" v="13079"/>
    </bk>
    <bk>
      <rc t="1" v="13080"/>
    </bk>
    <bk>
      <rc t="1" v="13081"/>
    </bk>
    <bk>
      <rc t="1" v="13082"/>
    </bk>
    <bk>
      <rc t="1" v="13083"/>
    </bk>
    <bk>
      <rc t="1" v="13084"/>
    </bk>
    <bk>
      <rc t="1" v="13085"/>
    </bk>
    <bk>
      <rc t="1" v="13086"/>
    </bk>
    <bk>
      <rc t="1" v="13087"/>
    </bk>
    <bk>
      <rc t="1" v="13088"/>
    </bk>
    <bk>
      <rc t="1" v="13089"/>
    </bk>
    <bk>
      <rc t="1" v="13090"/>
    </bk>
    <bk>
      <rc t="1" v="13091"/>
    </bk>
    <bk>
      <rc t="1" v="13092"/>
    </bk>
    <bk>
      <rc t="1" v="13093"/>
    </bk>
    <bk>
      <rc t="1" v="13094"/>
    </bk>
    <bk>
      <rc t="1" v="13095"/>
    </bk>
    <bk>
      <rc t="1" v="13096"/>
    </bk>
    <bk>
      <rc t="1" v="13097"/>
    </bk>
    <bk>
      <rc t="1" v="13098"/>
    </bk>
    <bk>
      <rc t="1" v="13099"/>
    </bk>
    <bk>
      <rc t="1" v="13100"/>
    </bk>
    <bk>
      <rc t="1" v="13101"/>
    </bk>
    <bk>
      <rc t="1" v="13102"/>
    </bk>
    <bk>
      <rc t="1" v="13103"/>
    </bk>
    <bk>
      <rc t="1" v="13104"/>
    </bk>
    <bk>
      <rc t="1" v="13105"/>
    </bk>
    <bk>
      <rc t="1" v="13106"/>
    </bk>
    <bk>
      <rc t="1" v="13107"/>
    </bk>
    <bk>
      <rc t="1" v="13108"/>
    </bk>
    <bk>
      <rc t="1" v="13109"/>
    </bk>
    <bk>
      <rc t="1" v="13110"/>
    </bk>
    <bk>
      <rc t="1" v="13111"/>
    </bk>
    <bk>
      <rc t="1" v="13112"/>
    </bk>
    <bk>
      <rc t="1" v="13113"/>
    </bk>
    <bk>
      <rc t="1" v="13114"/>
    </bk>
    <bk>
      <rc t="1" v="13115"/>
    </bk>
    <bk>
      <rc t="1" v="13116"/>
    </bk>
    <bk>
      <rc t="1" v="13117"/>
    </bk>
    <bk>
      <rc t="1" v="13118"/>
    </bk>
    <bk>
      <rc t="1" v="13119"/>
    </bk>
    <bk>
      <rc t="1" v="13120"/>
    </bk>
    <bk>
      <rc t="1" v="13121"/>
    </bk>
    <bk>
      <rc t="1" v="13122"/>
    </bk>
    <bk>
      <rc t="1" v="13123"/>
    </bk>
    <bk>
      <rc t="1" v="13124"/>
    </bk>
    <bk>
      <rc t="1" v="13125"/>
    </bk>
    <bk>
      <rc t="1" v="13126"/>
    </bk>
    <bk>
      <rc t="1" v="13127"/>
    </bk>
    <bk>
      <rc t="1" v="13128"/>
    </bk>
    <bk>
      <rc t="1" v="13129"/>
    </bk>
    <bk>
      <rc t="1" v="13130"/>
    </bk>
    <bk>
      <rc t="1" v="13131"/>
    </bk>
    <bk>
      <rc t="1" v="13132"/>
    </bk>
    <bk>
      <rc t="1" v="13133"/>
    </bk>
    <bk>
      <rc t="1" v="13134"/>
    </bk>
    <bk>
      <rc t="1" v="13135"/>
    </bk>
    <bk>
      <rc t="1" v="13136"/>
    </bk>
    <bk>
      <rc t="1" v="13137"/>
    </bk>
    <bk>
      <rc t="1" v="13138"/>
    </bk>
    <bk>
      <rc t="1" v="13139"/>
    </bk>
    <bk>
      <rc t="1" v="13140"/>
    </bk>
    <bk>
      <rc t="1" v="13141"/>
    </bk>
    <bk>
      <rc t="1" v="13142"/>
    </bk>
    <bk>
      <rc t="1" v="13143"/>
    </bk>
    <bk>
      <rc t="1" v="13144"/>
    </bk>
    <bk>
      <rc t="1" v="13145"/>
    </bk>
    <bk>
      <rc t="1" v="13146"/>
    </bk>
    <bk>
      <rc t="1" v="13147"/>
    </bk>
    <bk>
      <rc t="1" v="13148"/>
    </bk>
    <bk>
      <rc t="1" v="13149"/>
    </bk>
    <bk>
      <rc t="1" v="13150"/>
    </bk>
    <bk>
      <rc t="1" v="13151"/>
    </bk>
    <bk>
      <rc t="1" v="13152"/>
    </bk>
    <bk>
      <rc t="1" v="13153"/>
    </bk>
    <bk>
      <rc t="1" v="13154"/>
    </bk>
    <bk>
      <rc t="1" v="13155"/>
    </bk>
    <bk>
      <rc t="1" v="13156"/>
    </bk>
    <bk>
      <rc t="1" v="13157"/>
    </bk>
    <bk>
      <rc t="1" v="13158"/>
    </bk>
    <bk>
      <rc t="1" v="13159"/>
    </bk>
    <bk>
      <rc t="1" v="13160"/>
    </bk>
    <bk>
      <rc t="1" v="13161"/>
    </bk>
    <bk>
      <rc t="1" v="13162"/>
    </bk>
    <bk>
      <rc t="1" v="13163"/>
    </bk>
    <bk>
      <rc t="1" v="13164"/>
    </bk>
    <bk>
      <rc t="1" v="13165"/>
    </bk>
    <bk>
      <rc t="1" v="13166"/>
    </bk>
    <bk>
      <rc t="1" v="13167"/>
    </bk>
    <bk>
      <rc t="1" v="13168"/>
    </bk>
    <bk>
      <rc t="1" v="13169"/>
    </bk>
    <bk>
      <rc t="1" v="13170"/>
    </bk>
    <bk>
      <rc t="1" v="13171"/>
    </bk>
    <bk>
      <rc t="1" v="13172"/>
    </bk>
    <bk>
      <rc t="1" v="13173"/>
    </bk>
    <bk>
      <rc t="1" v="13174"/>
    </bk>
    <bk>
      <rc t="1" v="13175"/>
    </bk>
    <bk>
      <rc t="1" v="13176"/>
    </bk>
    <bk>
      <rc t="1" v="13177"/>
    </bk>
    <bk>
      <rc t="1" v="13178"/>
    </bk>
    <bk>
      <rc t="1" v="13179"/>
    </bk>
    <bk>
      <rc t="1" v="13180"/>
    </bk>
    <bk>
      <rc t="1" v="13181"/>
    </bk>
    <bk>
      <rc t="1" v="13182"/>
    </bk>
    <bk>
      <rc t="1" v="13183"/>
    </bk>
    <bk>
      <rc t="1" v="13184"/>
    </bk>
    <bk>
      <rc t="1" v="13185"/>
    </bk>
    <bk>
      <rc t="1" v="13186"/>
    </bk>
    <bk>
      <rc t="1" v="13187"/>
    </bk>
    <bk>
      <rc t="1" v="13188"/>
    </bk>
    <bk>
      <rc t="1" v="13189"/>
    </bk>
    <bk>
      <rc t="1" v="13190"/>
    </bk>
    <bk>
      <rc t="1" v="13191"/>
    </bk>
    <bk>
      <rc t="1" v="13192"/>
    </bk>
    <bk>
      <rc t="1" v="13193"/>
    </bk>
    <bk>
      <rc t="1" v="13194"/>
    </bk>
    <bk>
      <rc t="1" v="13195"/>
    </bk>
    <bk>
      <rc t="1" v="13196"/>
    </bk>
    <bk>
      <rc t="1" v="13197"/>
    </bk>
    <bk>
      <rc t="1" v="13198"/>
    </bk>
    <bk>
      <rc t="1" v="13199"/>
    </bk>
    <bk>
      <rc t="1" v="13200"/>
    </bk>
    <bk>
      <rc t="1" v="13201"/>
    </bk>
    <bk>
      <rc t="1" v="13202"/>
    </bk>
    <bk>
      <rc t="1" v="13203"/>
    </bk>
    <bk>
      <rc t="1" v="13204"/>
    </bk>
    <bk>
      <rc t="1" v="13205"/>
    </bk>
    <bk>
      <rc t="1" v="13206"/>
    </bk>
    <bk>
      <rc t="1" v="13207"/>
    </bk>
    <bk>
      <rc t="1" v="13208"/>
    </bk>
    <bk>
      <rc t="1" v="13209"/>
    </bk>
    <bk>
      <rc t="1" v="13210"/>
    </bk>
    <bk>
      <rc t="1" v="13211"/>
    </bk>
    <bk>
      <rc t="1" v="13212"/>
    </bk>
    <bk>
      <rc t="1" v="13213"/>
    </bk>
    <bk>
      <rc t="1" v="13214"/>
    </bk>
    <bk>
      <rc t="1" v="13215"/>
    </bk>
    <bk>
      <rc t="1" v="13216"/>
    </bk>
    <bk>
      <rc t="1" v="13217"/>
    </bk>
    <bk>
      <rc t="1" v="13218"/>
    </bk>
    <bk>
      <rc t="1" v="13219"/>
    </bk>
    <bk>
      <rc t="1" v="13220"/>
    </bk>
    <bk>
      <rc t="1" v="13221"/>
    </bk>
    <bk>
      <rc t="1" v="13222"/>
    </bk>
    <bk>
      <rc t="1" v="13223"/>
    </bk>
    <bk>
      <rc t="1" v="13224"/>
    </bk>
    <bk>
      <rc t="1" v="13225"/>
    </bk>
    <bk>
      <rc t="1" v="13226"/>
    </bk>
    <bk>
      <rc t="1" v="13227"/>
    </bk>
    <bk>
      <rc t="1" v="13228"/>
    </bk>
    <bk>
      <rc t="1" v="13229"/>
    </bk>
    <bk>
      <rc t="1" v="13230"/>
    </bk>
    <bk>
      <rc t="1" v="13231"/>
    </bk>
    <bk>
      <rc t="1" v="13232"/>
    </bk>
    <bk>
      <rc t="1" v="13233"/>
    </bk>
    <bk>
      <rc t="1" v="13234"/>
    </bk>
    <bk>
      <rc t="1" v="13235"/>
    </bk>
    <bk>
      <rc t="1" v="13236"/>
    </bk>
    <bk>
      <rc t="1" v="13237"/>
    </bk>
    <bk>
      <rc t="1" v="13238"/>
    </bk>
    <bk>
      <rc t="1" v="13239"/>
    </bk>
    <bk>
      <rc t="1" v="13240"/>
    </bk>
    <bk>
      <rc t="1" v="13241"/>
    </bk>
    <bk>
      <rc t="1" v="13242"/>
    </bk>
    <bk>
      <rc t="1" v="13243"/>
    </bk>
    <bk>
      <rc t="1" v="13244"/>
    </bk>
    <bk>
      <rc t="1" v="13245"/>
    </bk>
    <bk>
      <rc t="1" v="13246"/>
    </bk>
    <bk>
      <rc t="1" v="13247"/>
    </bk>
    <bk>
      <rc t="1" v="13248"/>
    </bk>
    <bk>
      <rc t="1" v="13249"/>
    </bk>
    <bk>
      <rc t="1" v="13250"/>
    </bk>
    <bk>
      <rc t="1" v="13251"/>
    </bk>
    <bk>
      <rc t="1" v="13252"/>
    </bk>
    <bk>
      <rc t="1" v="13253"/>
    </bk>
    <bk>
      <rc t="1" v="13254"/>
    </bk>
    <bk>
      <rc t="1" v="13255"/>
    </bk>
    <bk>
      <rc t="1" v="13256"/>
    </bk>
    <bk>
      <rc t="1" v="13257"/>
    </bk>
    <bk>
      <rc t="1" v="13258"/>
    </bk>
    <bk>
      <rc t="1" v="13259"/>
    </bk>
    <bk>
      <rc t="1" v="13260"/>
    </bk>
    <bk>
      <rc t="1" v="13261"/>
    </bk>
    <bk>
      <rc t="1" v="13262"/>
    </bk>
    <bk>
      <rc t="1" v="13263"/>
    </bk>
    <bk>
      <rc t="1" v="13264"/>
    </bk>
    <bk>
      <rc t="1" v="13265"/>
    </bk>
    <bk>
      <rc t="1" v="13266"/>
    </bk>
    <bk>
      <rc t="1" v="13267"/>
    </bk>
    <bk>
      <rc t="1" v="13268"/>
    </bk>
    <bk>
      <rc t="1" v="13269"/>
    </bk>
    <bk>
      <rc t="1" v="13270"/>
    </bk>
    <bk>
      <rc t="1" v="13271"/>
    </bk>
    <bk>
      <rc t="1" v="13272"/>
    </bk>
    <bk>
      <rc t="1" v="13273"/>
    </bk>
    <bk>
      <rc t="1" v="13274"/>
    </bk>
    <bk>
      <rc t="1" v="13275"/>
    </bk>
    <bk>
      <rc t="1" v="13276"/>
    </bk>
    <bk>
      <rc t="1" v="13277"/>
    </bk>
    <bk>
      <rc t="1" v="13278"/>
    </bk>
    <bk>
      <rc t="1" v="13279"/>
    </bk>
    <bk>
      <rc t="1" v="13280"/>
    </bk>
    <bk>
      <rc t="1" v="13281"/>
    </bk>
    <bk>
      <rc t="1" v="13282"/>
    </bk>
    <bk>
      <rc t="1" v="13283"/>
    </bk>
    <bk>
      <rc t="1" v="13284"/>
    </bk>
    <bk>
      <rc t="1" v="13285"/>
    </bk>
    <bk>
      <rc t="1" v="13286"/>
    </bk>
    <bk>
      <rc t="1" v="13287"/>
    </bk>
    <bk>
      <rc t="1" v="13288"/>
    </bk>
    <bk>
      <rc t="1" v="13289"/>
    </bk>
    <bk>
      <rc t="1" v="13290"/>
    </bk>
    <bk>
      <rc t="1" v="13291"/>
    </bk>
    <bk>
      <rc t="1" v="13292"/>
    </bk>
    <bk>
      <rc t="1" v="13293"/>
    </bk>
    <bk>
      <rc t="1" v="13294"/>
    </bk>
    <bk>
      <rc t="1" v="13295"/>
    </bk>
    <bk>
      <rc t="1" v="13296"/>
    </bk>
    <bk>
      <rc t="1" v="13297"/>
    </bk>
    <bk>
      <rc t="1" v="13298"/>
    </bk>
    <bk>
      <rc t="1" v="13299"/>
    </bk>
    <bk>
      <rc t="1" v="13300"/>
    </bk>
    <bk>
      <rc t="1" v="13301"/>
    </bk>
    <bk>
      <rc t="1" v="13302"/>
    </bk>
    <bk>
      <rc t="1" v="13303"/>
    </bk>
    <bk>
      <rc t="1" v="13304"/>
    </bk>
    <bk>
      <rc t="1" v="13305"/>
    </bk>
    <bk>
      <rc t="1" v="13306"/>
    </bk>
    <bk>
      <rc t="1" v="13307"/>
    </bk>
    <bk>
      <rc t="1" v="13308"/>
    </bk>
    <bk>
      <rc t="1" v="13309"/>
    </bk>
    <bk>
      <rc t="1" v="13310"/>
    </bk>
    <bk>
      <rc t="1" v="13311"/>
    </bk>
    <bk>
      <rc t="1" v="13312"/>
    </bk>
    <bk>
      <rc t="1" v="13313"/>
    </bk>
    <bk>
      <rc t="1" v="13314"/>
    </bk>
    <bk>
      <rc t="1" v="13315"/>
    </bk>
    <bk>
      <rc t="1" v="13316"/>
    </bk>
    <bk>
      <rc t="1" v="13317"/>
    </bk>
    <bk>
      <rc t="1" v="13318"/>
    </bk>
    <bk>
      <rc t="1" v="13319"/>
    </bk>
    <bk>
      <rc t="1" v="13320"/>
    </bk>
    <bk>
      <rc t="1" v="13321"/>
    </bk>
    <bk>
      <rc t="1" v="13322"/>
    </bk>
    <bk>
      <rc t="1" v="13323"/>
    </bk>
    <bk>
      <rc t="1" v="13324"/>
    </bk>
    <bk>
      <rc t="1" v="13325"/>
    </bk>
    <bk>
      <rc t="1" v="13326"/>
    </bk>
    <bk>
      <rc t="1" v="13327"/>
    </bk>
    <bk>
      <rc t="1" v="13328"/>
    </bk>
    <bk>
      <rc t="1" v="13329"/>
    </bk>
    <bk>
      <rc t="1" v="13330"/>
    </bk>
    <bk>
      <rc t="1" v="13331"/>
    </bk>
    <bk>
      <rc t="1" v="13332"/>
    </bk>
    <bk>
      <rc t="1" v="13333"/>
    </bk>
    <bk>
      <rc t="1" v="13334"/>
    </bk>
    <bk>
      <rc t="1" v="13335"/>
    </bk>
    <bk>
      <rc t="1" v="13336"/>
    </bk>
    <bk>
      <rc t="1" v="13337"/>
    </bk>
    <bk>
      <rc t="1" v="13338"/>
    </bk>
    <bk>
      <rc t="1" v="13339"/>
    </bk>
    <bk>
      <rc t="1" v="13340"/>
    </bk>
    <bk>
      <rc t="1" v="13341"/>
    </bk>
    <bk>
      <rc t="1" v="13342"/>
    </bk>
    <bk>
      <rc t="1" v="13343"/>
    </bk>
    <bk>
      <rc t="1" v="13344"/>
    </bk>
    <bk>
      <rc t="1" v="13345"/>
    </bk>
    <bk>
      <rc t="1" v="13346"/>
    </bk>
    <bk>
      <rc t="1" v="13347"/>
    </bk>
    <bk>
      <rc t="1" v="13348"/>
    </bk>
    <bk>
      <rc t="1" v="13349"/>
    </bk>
    <bk>
      <rc t="1" v="13350"/>
    </bk>
    <bk>
      <rc t="1" v="13351"/>
    </bk>
    <bk>
      <rc t="1" v="13352"/>
    </bk>
    <bk>
      <rc t="1" v="13353"/>
    </bk>
    <bk>
      <rc t="1" v="13354"/>
    </bk>
    <bk>
      <rc t="1" v="13355"/>
    </bk>
    <bk>
      <rc t="1" v="13356"/>
    </bk>
    <bk>
      <rc t="1" v="13357"/>
    </bk>
    <bk>
      <rc t="1" v="13358"/>
    </bk>
    <bk>
      <rc t="1" v="13359"/>
    </bk>
    <bk>
      <rc t="1" v="13360"/>
    </bk>
    <bk>
      <rc t="1" v="13361"/>
    </bk>
    <bk>
      <rc t="1" v="13362"/>
    </bk>
    <bk>
      <rc t="1" v="13363"/>
    </bk>
    <bk>
      <rc t="1" v="13364"/>
    </bk>
    <bk>
      <rc t="1" v="13365"/>
    </bk>
    <bk>
      <rc t="1" v="13366"/>
    </bk>
    <bk>
      <rc t="1" v="13367"/>
    </bk>
    <bk>
      <rc t="1" v="13368"/>
    </bk>
    <bk>
      <rc t="1" v="13369"/>
    </bk>
    <bk>
      <rc t="1" v="13370"/>
    </bk>
    <bk>
      <rc t="1" v="13371"/>
    </bk>
    <bk>
      <rc t="1" v="13372"/>
    </bk>
    <bk>
      <rc t="1" v="13373"/>
    </bk>
    <bk>
      <rc t="1" v="13374"/>
    </bk>
    <bk>
      <rc t="1" v="13375"/>
    </bk>
    <bk>
      <rc t="1" v="13376"/>
    </bk>
    <bk>
      <rc t="1" v="13377"/>
    </bk>
    <bk>
      <rc t="1" v="13378"/>
    </bk>
    <bk>
      <rc t="1" v="13379"/>
    </bk>
    <bk>
      <rc t="1" v="13380"/>
    </bk>
    <bk>
      <rc t="1" v="13381"/>
    </bk>
    <bk>
      <rc t="1" v="13382"/>
    </bk>
    <bk>
      <rc t="1" v="13383"/>
    </bk>
    <bk>
      <rc t="1" v="13384"/>
    </bk>
    <bk>
      <rc t="1" v="13385"/>
    </bk>
    <bk>
      <rc t="1" v="13386"/>
    </bk>
    <bk>
      <rc t="1" v="13387"/>
    </bk>
    <bk>
      <rc t="1" v="13388"/>
    </bk>
    <bk>
      <rc t="1" v="13389"/>
    </bk>
    <bk>
      <rc t="1" v="13390"/>
    </bk>
    <bk>
      <rc t="1" v="13391"/>
    </bk>
    <bk>
      <rc t="1" v="13392"/>
    </bk>
    <bk>
      <rc t="1" v="13393"/>
    </bk>
    <bk>
      <rc t="1" v="13394"/>
    </bk>
    <bk>
      <rc t="1" v="13395"/>
    </bk>
    <bk>
      <rc t="1" v="13396"/>
    </bk>
    <bk>
      <rc t="1" v="13397"/>
    </bk>
    <bk>
      <rc t="1" v="13398"/>
    </bk>
    <bk>
      <rc t="1" v="13399"/>
    </bk>
    <bk>
      <rc t="1" v="13400"/>
    </bk>
    <bk>
      <rc t="1" v="13401"/>
    </bk>
    <bk>
      <rc t="1" v="13402"/>
    </bk>
    <bk>
      <rc t="1" v="13403"/>
    </bk>
    <bk>
      <rc t="1" v="13404"/>
    </bk>
    <bk>
      <rc t="1" v="13405"/>
    </bk>
    <bk>
      <rc t="1" v="13406"/>
    </bk>
    <bk>
      <rc t="1" v="13407"/>
    </bk>
    <bk>
      <rc t="1" v="13408"/>
    </bk>
    <bk>
      <rc t="1" v="13409"/>
    </bk>
    <bk>
      <rc t="1" v="13410"/>
    </bk>
    <bk>
      <rc t="1" v="13411"/>
    </bk>
    <bk>
      <rc t="1" v="13412"/>
    </bk>
    <bk>
      <rc t="1" v="13413"/>
    </bk>
    <bk>
      <rc t="1" v="13414"/>
    </bk>
    <bk>
      <rc t="1" v="13415"/>
    </bk>
    <bk>
      <rc t="1" v="13416"/>
    </bk>
    <bk>
      <rc t="1" v="13417"/>
    </bk>
    <bk>
      <rc t="1" v="13418"/>
    </bk>
    <bk>
      <rc t="1" v="13419"/>
    </bk>
    <bk>
      <rc t="1" v="13420"/>
    </bk>
    <bk>
      <rc t="1" v="13421"/>
    </bk>
    <bk>
      <rc t="1" v="13422"/>
    </bk>
    <bk>
      <rc t="1" v="13423"/>
    </bk>
    <bk>
      <rc t="1" v="13424"/>
    </bk>
    <bk>
      <rc t="1" v="13425"/>
    </bk>
    <bk>
      <rc t="1" v="13426"/>
    </bk>
    <bk>
      <rc t="1" v="13427"/>
    </bk>
    <bk>
      <rc t="1" v="13428"/>
    </bk>
    <bk>
      <rc t="1" v="13429"/>
    </bk>
    <bk>
      <rc t="1" v="13430"/>
    </bk>
    <bk>
      <rc t="1" v="13431"/>
    </bk>
    <bk>
      <rc t="1" v="13432"/>
    </bk>
    <bk>
      <rc t="1" v="13433"/>
    </bk>
    <bk>
      <rc t="1" v="13434"/>
    </bk>
    <bk>
      <rc t="1" v="13435"/>
    </bk>
    <bk>
      <rc t="1" v="13436"/>
    </bk>
    <bk>
      <rc t="1" v="13437"/>
    </bk>
    <bk>
      <rc t="1" v="13438"/>
    </bk>
    <bk>
      <rc t="1" v="13439"/>
    </bk>
    <bk>
      <rc t="1" v="13440"/>
    </bk>
    <bk>
      <rc t="1" v="13441"/>
    </bk>
    <bk>
      <rc t="1" v="13442"/>
    </bk>
    <bk>
      <rc t="1" v="13443"/>
    </bk>
    <bk>
      <rc t="1" v="13444"/>
    </bk>
    <bk>
      <rc t="1" v="13445"/>
    </bk>
    <bk>
      <rc t="1" v="13446"/>
    </bk>
    <bk>
      <rc t="1" v="13447"/>
    </bk>
    <bk>
      <rc t="1" v="13448"/>
    </bk>
    <bk>
      <rc t="1" v="13449"/>
    </bk>
    <bk>
      <rc t="1" v="13450"/>
    </bk>
    <bk>
      <rc t="1" v="13451"/>
    </bk>
    <bk>
      <rc t="1" v="13452"/>
    </bk>
    <bk>
      <rc t="1" v="13453"/>
    </bk>
    <bk>
      <rc t="1" v="13454"/>
    </bk>
    <bk>
      <rc t="1" v="13455"/>
    </bk>
    <bk>
      <rc t="1" v="13456"/>
    </bk>
    <bk>
      <rc t="1" v="13457"/>
    </bk>
    <bk>
      <rc t="1" v="13458"/>
    </bk>
    <bk>
      <rc t="1" v="13459"/>
    </bk>
    <bk>
      <rc t="1" v="13460"/>
    </bk>
    <bk>
      <rc t="1" v="13461"/>
    </bk>
    <bk>
      <rc t="1" v="13462"/>
    </bk>
    <bk>
      <rc t="1" v="13463"/>
    </bk>
    <bk>
      <rc t="1" v="13464"/>
    </bk>
    <bk>
      <rc t="1" v="13465"/>
    </bk>
    <bk>
      <rc t="1" v="13466"/>
    </bk>
    <bk>
      <rc t="1" v="13467"/>
    </bk>
    <bk>
      <rc t="1" v="13468"/>
    </bk>
    <bk>
      <rc t="1" v="13469"/>
    </bk>
    <bk>
      <rc t="1" v="13470"/>
    </bk>
    <bk>
      <rc t="1" v="13471"/>
    </bk>
    <bk>
      <rc t="1" v="13472"/>
    </bk>
    <bk>
      <rc t="1" v="13473"/>
    </bk>
    <bk>
      <rc t="1" v="13474"/>
    </bk>
    <bk>
      <rc t="1" v="13475"/>
    </bk>
    <bk>
      <rc t="1" v="13476"/>
    </bk>
    <bk>
      <rc t="1" v="13477"/>
    </bk>
    <bk>
      <rc t="1" v="13478"/>
    </bk>
    <bk>
      <rc t="1" v="13479"/>
    </bk>
    <bk>
      <rc t="1" v="13480"/>
    </bk>
    <bk>
      <rc t="1" v="13481"/>
    </bk>
    <bk>
      <rc t="1" v="13482"/>
    </bk>
    <bk>
      <rc t="1" v="13483"/>
    </bk>
    <bk>
      <rc t="1" v="13484"/>
    </bk>
    <bk>
      <rc t="1" v="13485"/>
    </bk>
    <bk>
      <rc t="1" v="13486"/>
    </bk>
    <bk>
      <rc t="1" v="13487"/>
    </bk>
    <bk>
      <rc t="1" v="13488"/>
    </bk>
    <bk>
      <rc t="1" v="13489"/>
    </bk>
    <bk>
      <rc t="1" v="13490"/>
    </bk>
    <bk>
      <rc t="1" v="13491"/>
    </bk>
    <bk>
      <rc t="1" v="13492"/>
    </bk>
    <bk>
      <rc t="1" v="13493"/>
    </bk>
    <bk>
      <rc t="1" v="13494"/>
    </bk>
    <bk>
      <rc t="1" v="13495"/>
    </bk>
    <bk>
      <rc t="1" v="13496"/>
    </bk>
    <bk>
      <rc t="1" v="13497"/>
    </bk>
    <bk>
      <rc t="1" v="13498"/>
    </bk>
    <bk>
      <rc t="1" v="13499"/>
    </bk>
    <bk>
      <rc t="1" v="13500"/>
    </bk>
    <bk>
      <rc t="1" v="13501"/>
    </bk>
    <bk>
      <rc t="1" v="13502"/>
    </bk>
    <bk>
      <rc t="1" v="13503"/>
    </bk>
    <bk>
      <rc t="1" v="13504"/>
    </bk>
    <bk>
      <rc t="1" v="13505"/>
    </bk>
    <bk>
      <rc t="1" v="13506"/>
    </bk>
    <bk>
      <rc t="1" v="13507"/>
    </bk>
    <bk>
      <rc t="1" v="13508"/>
    </bk>
    <bk>
      <rc t="1" v="13509"/>
    </bk>
    <bk>
      <rc t="1" v="13510"/>
    </bk>
    <bk>
      <rc t="1" v="13511"/>
    </bk>
    <bk>
      <rc t="1" v="13512"/>
    </bk>
    <bk>
      <rc t="1" v="13513"/>
    </bk>
    <bk>
      <rc t="1" v="13514"/>
    </bk>
    <bk>
      <rc t="1" v="13515"/>
    </bk>
    <bk>
      <rc t="1" v="13516"/>
    </bk>
    <bk>
      <rc t="1" v="13517"/>
    </bk>
    <bk>
      <rc t="1" v="13518"/>
    </bk>
    <bk>
      <rc t="1" v="13519"/>
    </bk>
    <bk>
      <rc t="1" v="13520"/>
    </bk>
    <bk>
      <rc t="1" v="13521"/>
    </bk>
    <bk>
      <rc t="1" v="13522"/>
    </bk>
    <bk>
      <rc t="1" v="13523"/>
    </bk>
    <bk>
      <rc t="1" v="13524"/>
    </bk>
    <bk>
      <rc t="1" v="13525"/>
    </bk>
    <bk>
      <rc t="1" v="13526"/>
    </bk>
    <bk>
      <rc t="1" v="13527"/>
    </bk>
    <bk>
      <rc t="1" v="13528"/>
    </bk>
    <bk>
      <rc t="1" v="13529"/>
    </bk>
    <bk>
      <rc t="1" v="13530"/>
    </bk>
    <bk>
      <rc t="1" v="13531"/>
    </bk>
    <bk>
      <rc t="1" v="13532"/>
    </bk>
    <bk>
      <rc t="1" v="13533"/>
    </bk>
    <bk>
      <rc t="1" v="13534"/>
    </bk>
    <bk>
      <rc t="1" v="13535"/>
    </bk>
    <bk>
      <rc t="1" v="13536"/>
    </bk>
    <bk>
      <rc t="1" v="13537"/>
    </bk>
    <bk>
      <rc t="1" v="13538"/>
    </bk>
    <bk>
      <rc t="1" v="13539"/>
    </bk>
    <bk>
      <rc t="1" v="13540"/>
    </bk>
    <bk>
      <rc t="1" v="13541"/>
    </bk>
    <bk>
      <rc t="1" v="13542"/>
    </bk>
    <bk>
      <rc t="1" v="13543"/>
    </bk>
    <bk>
      <rc t="1" v="13544"/>
    </bk>
    <bk>
      <rc t="1" v="13545"/>
    </bk>
    <bk>
      <rc t="1" v="13546"/>
    </bk>
    <bk>
      <rc t="1" v="13547"/>
    </bk>
    <bk>
      <rc t="1" v="13548"/>
    </bk>
    <bk>
      <rc t="1" v="13549"/>
    </bk>
    <bk>
      <rc t="1" v="13550"/>
    </bk>
    <bk>
      <rc t="1" v="13551"/>
    </bk>
    <bk>
      <rc t="1" v="13552"/>
    </bk>
    <bk>
      <rc t="1" v="13553"/>
    </bk>
    <bk>
      <rc t="1" v="13554"/>
    </bk>
    <bk>
      <rc t="1" v="13555"/>
    </bk>
    <bk>
      <rc t="1" v="13556"/>
    </bk>
    <bk>
      <rc t="1" v="13557"/>
    </bk>
    <bk>
      <rc t="1" v="13558"/>
    </bk>
    <bk>
      <rc t="1" v="13559"/>
    </bk>
    <bk>
      <rc t="1" v="13560"/>
    </bk>
    <bk>
      <rc t="1" v="13561"/>
    </bk>
    <bk>
      <rc t="1" v="13562"/>
    </bk>
    <bk>
      <rc t="1" v="13563"/>
    </bk>
    <bk>
      <rc t="1" v="13564"/>
    </bk>
    <bk>
      <rc t="1" v="13565"/>
    </bk>
    <bk>
      <rc t="1" v="13566"/>
    </bk>
    <bk>
      <rc t="1" v="13567"/>
    </bk>
    <bk>
      <rc t="1" v="13568"/>
    </bk>
    <bk>
      <rc t="1" v="13569"/>
    </bk>
    <bk>
      <rc t="1" v="13570"/>
    </bk>
    <bk>
      <rc t="1" v="13571"/>
    </bk>
    <bk>
      <rc t="1" v="13572"/>
    </bk>
    <bk>
      <rc t="1" v="13573"/>
    </bk>
    <bk>
      <rc t="1" v="13574"/>
    </bk>
    <bk>
      <rc t="1" v="13575"/>
    </bk>
    <bk>
      <rc t="1" v="13576"/>
    </bk>
    <bk>
      <rc t="1" v="13577"/>
    </bk>
    <bk>
      <rc t="1" v="13578"/>
    </bk>
    <bk>
      <rc t="1" v="13579"/>
    </bk>
    <bk>
      <rc t="1" v="13580"/>
    </bk>
    <bk>
      <rc t="1" v="13581"/>
    </bk>
    <bk>
      <rc t="1" v="13582"/>
    </bk>
    <bk>
      <rc t="1" v="13583"/>
    </bk>
    <bk>
      <rc t="1" v="13584"/>
    </bk>
    <bk>
      <rc t="1" v="13585"/>
    </bk>
    <bk>
      <rc t="1" v="13586"/>
    </bk>
    <bk>
      <rc t="1" v="13587"/>
    </bk>
    <bk>
      <rc t="1" v="13588"/>
    </bk>
    <bk>
      <rc t="1" v="13589"/>
    </bk>
    <bk>
      <rc t="1" v="13590"/>
    </bk>
    <bk>
      <rc t="1" v="13591"/>
    </bk>
    <bk>
      <rc t="1" v="13592"/>
    </bk>
    <bk>
      <rc t="1" v="13593"/>
    </bk>
    <bk>
      <rc t="1" v="13594"/>
    </bk>
    <bk>
      <rc t="1" v="13595"/>
    </bk>
    <bk>
      <rc t="1" v="13596"/>
    </bk>
    <bk>
      <rc t="1" v="13597"/>
    </bk>
    <bk>
      <rc t="1" v="13598"/>
    </bk>
    <bk>
      <rc t="1" v="13599"/>
    </bk>
    <bk>
      <rc t="1" v="13600"/>
    </bk>
    <bk>
      <rc t="1" v="13601"/>
    </bk>
    <bk>
      <rc t="1" v="13602"/>
    </bk>
    <bk>
      <rc t="1" v="13603"/>
    </bk>
    <bk>
      <rc t="1" v="13604"/>
    </bk>
    <bk>
      <rc t="1" v="13605"/>
    </bk>
    <bk>
      <rc t="1" v="13606"/>
    </bk>
    <bk>
      <rc t="1" v="13607"/>
    </bk>
    <bk>
      <rc t="1" v="13608"/>
    </bk>
    <bk>
      <rc t="1" v="13609"/>
    </bk>
    <bk>
      <rc t="1" v="13610"/>
    </bk>
    <bk>
      <rc t="1" v="13611"/>
    </bk>
    <bk>
      <rc t="1" v="13612"/>
    </bk>
    <bk>
      <rc t="1" v="13613"/>
    </bk>
    <bk>
      <rc t="1" v="13614"/>
    </bk>
    <bk>
      <rc t="1" v="13615"/>
    </bk>
    <bk>
      <rc t="1" v="13616"/>
    </bk>
    <bk>
      <rc t="1" v="13617"/>
    </bk>
    <bk>
      <rc t="1" v="13618"/>
    </bk>
    <bk>
      <rc t="1" v="13619"/>
    </bk>
    <bk>
      <rc t="1" v="13620"/>
    </bk>
    <bk>
      <rc t="1" v="13621"/>
    </bk>
    <bk>
      <rc t="1" v="13622"/>
    </bk>
    <bk>
      <rc t="1" v="13623"/>
    </bk>
    <bk>
      <rc t="1" v="13624"/>
    </bk>
    <bk>
      <rc t="1" v="13625"/>
    </bk>
    <bk>
      <rc t="1" v="13626"/>
    </bk>
    <bk>
      <rc t="1" v="13627"/>
    </bk>
    <bk>
      <rc t="1" v="13628"/>
    </bk>
    <bk>
      <rc t="1" v="13629"/>
    </bk>
    <bk>
      <rc t="1" v="13630"/>
    </bk>
    <bk>
      <rc t="1" v="13631"/>
    </bk>
    <bk>
      <rc t="1" v="13632"/>
    </bk>
    <bk>
      <rc t="1" v="13633"/>
    </bk>
    <bk>
      <rc t="1" v="13634"/>
    </bk>
    <bk>
      <rc t="1" v="13635"/>
    </bk>
    <bk>
      <rc t="1" v="13636"/>
    </bk>
    <bk>
      <rc t="1" v="13637"/>
    </bk>
    <bk>
      <rc t="1" v="13638"/>
    </bk>
    <bk>
      <rc t="1" v="13639"/>
    </bk>
    <bk>
      <rc t="1" v="13640"/>
    </bk>
    <bk>
      <rc t="1" v="13641"/>
    </bk>
    <bk>
      <rc t="1" v="13642"/>
    </bk>
    <bk>
      <rc t="1" v="13643"/>
    </bk>
    <bk>
      <rc t="1" v="13644"/>
    </bk>
    <bk>
      <rc t="1" v="13645"/>
    </bk>
    <bk>
      <rc t="1" v="13646"/>
    </bk>
    <bk>
      <rc t="1" v="13647"/>
    </bk>
    <bk>
      <rc t="1" v="13648"/>
    </bk>
    <bk>
      <rc t="1" v="13649"/>
    </bk>
    <bk>
      <rc t="1" v="13650"/>
    </bk>
    <bk>
      <rc t="1" v="13651"/>
    </bk>
    <bk>
      <rc t="1" v="13652"/>
    </bk>
    <bk>
      <rc t="1" v="13653"/>
    </bk>
    <bk>
      <rc t="1" v="13654"/>
    </bk>
    <bk>
      <rc t="1" v="13655"/>
    </bk>
    <bk>
      <rc t="1" v="13656"/>
    </bk>
    <bk>
      <rc t="1" v="13657"/>
    </bk>
    <bk>
      <rc t="1" v="13658"/>
    </bk>
    <bk>
      <rc t="1" v="13659"/>
    </bk>
    <bk>
      <rc t="1" v="13660"/>
    </bk>
    <bk>
      <rc t="1" v="13661"/>
    </bk>
    <bk>
      <rc t="1" v="13662"/>
    </bk>
    <bk>
      <rc t="1" v="13663"/>
    </bk>
    <bk>
      <rc t="1" v="13664"/>
    </bk>
    <bk>
      <rc t="1" v="13665"/>
    </bk>
    <bk>
      <rc t="1" v="13666"/>
    </bk>
    <bk>
      <rc t="1" v="13667"/>
    </bk>
    <bk>
      <rc t="1" v="13668"/>
    </bk>
    <bk>
      <rc t="1" v="13669"/>
    </bk>
    <bk>
      <rc t="1" v="13670"/>
    </bk>
    <bk>
      <rc t="1" v="13671"/>
    </bk>
    <bk>
      <rc t="1" v="13672"/>
    </bk>
    <bk>
      <rc t="1" v="13673"/>
    </bk>
    <bk>
      <rc t="1" v="13674"/>
    </bk>
    <bk>
      <rc t="1" v="13675"/>
    </bk>
    <bk>
      <rc t="1" v="13676"/>
    </bk>
    <bk>
      <rc t="1" v="13677"/>
    </bk>
    <bk>
      <rc t="1" v="13678"/>
    </bk>
    <bk>
      <rc t="1" v="13679"/>
    </bk>
    <bk>
      <rc t="1" v="13680"/>
    </bk>
    <bk>
      <rc t="1" v="13681"/>
    </bk>
    <bk>
      <rc t="1" v="13682"/>
    </bk>
    <bk>
      <rc t="1" v="13683"/>
    </bk>
    <bk>
      <rc t="1" v="13684"/>
    </bk>
    <bk>
      <rc t="1" v="13685"/>
    </bk>
    <bk>
      <rc t="1" v="13686"/>
    </bk>
    <bk>
      <rc t="1" v="13687"/>
    </bk>
    <bk>
      <rc t="1" v="13688"/>
    </bk>
    <bk>
      <rc t="1" v="13689"/>
    </bk>
    <bk>
      <rc t="1" v="13690"/>
    </bk>
    <bk>
      <rc t="1" v="13691"/>
    </bk>
    <bk>
      <rc t="1" v="13692"/>
    </bk>
    <bk>
      <rc t="1" v="13693"/>
    </bk>
    <bk>
      <rc t="1" v="13694"/>
    </bk>
    <bk>
      <rc t="1" v="13695"/>
    </bk>
    <bk>
      <rc t="1" v="13696"/>
    </bk>
    <bk>
      <rc t="1" v="13697"/>
    </bk>
    <bk>
      <rc t="1" v="13698"/>
    </bk>
    <bk>
      <rc t="1" v="13699"/>
    </bk>
    <bk>
      <rc t="1" v="13700"/>
    </bk>
    <bk>
      <rc t="1" v="13701"/>
    </bk>
    <bk>
      <rc t="1" v="13702"/>
    </bk>
    <bk>
      <rc t="1" v="13703"/>
    </bk>
    <bk>
      <rc t="1" v="13704"/>
    </bk>
    <bk>
      <rc t="1" v="13705"/>
    </bk>
    <bk>
      <rc t="1" v="13706"/>
    </bk>
    <bk>
      <rc t="1" v="13707"/>
    </bk>
    <bk>
      <rc t="1" v="13708"/>
    </bk>
    <bk>
      <rc t="1" v="13709"/>
    </bk>
    <bk>
      <rc t="1" v="13710"/>
    </bk>
    <bk>
      <rc t="1" v="13711"/>
    </bk>
    <bk>
      <rc t="1" v="13712"/>
    </bk>
    <bk>
      <rc t="1" v="13713"/>
    </bk>
    <bk>
      <rc t="1" v="13714"/>
    </bk>
    <bk>
      <rc t="1" v="13715"/>
    </bk>
    <bk>
      <rc t="1" v="13716"/>
    </bk>
    <bk>
      <rc t="1" v="13717"/>
    </bk>
    <bk>
      <rc t="1" v="13718"/>
    </bk>
    <bk>
      <rc t="1" v="13719"/>
    </bk>
    <bk>
      <rc t="1" v="13720"/>
    </bk>
    <bk>
      <rc t="1" v="13721"/>
    </bk>
    <bk>
      <rc t="1" v="13722"/>
    </bk>
    <bk>
      <rc t="1" v="13723"/>
    </bk>
    <bk>
      <rc t="1" v="13724"/>
    </bk>
    <bk>
      <rc t="1" v="13725"/>
    </bk>
    <bk>
      <rc t="1" v="13726"/>
    </bk>
    <bk>
      <rc t="1" v="13727"/>
    </bk>
    <bk>
      <rc t="1" v="13728"/>
    </bk>
    <bk>
      <rc t="1" v="13729"/>
    </bk>
    <bk>
      <rc t="1" v="13730"/>
    </bk>
    <bk>
      <rc t="1" v="13731"/>
    </bk>
    <bk>
      <rc t="1" v="13732"/>
    </bk>
    <bk>
      <rc t="1" v="13733"/>
    </bk>
    <bk>
      <rc t="1" v="13734"/>
    </bk>
    <bk>
      <rc t="1" v="13735"/>
    </bk>
    <bk>
      <rc t="1" v="13736"/>
    </bk>
    <bk>
      <rc t="1" v="13737"/>
    </bk>
    <bk>
      <rc t="1" v="13738"/>
    </bk>
    <bk>
      <rc t="1" v="13739"/>
    </bk>
    <bk>
      <rc t="1" v="13740"/>
    </bk>
    <bk>
      <rc t="1" v="13741"/>
    </bk>
    <bk>
      <rc t="1" v="13742"/>
    </bk>
    <bk>
      <rc t="1" v="13743"/>
    </bk>
    <bk>
      <rc t="1" v="13744"/>
    </bk>
    <bk>
      <rc t="1" v="13745"/>
    </bk>
    <bk>
      <rc t="1" v="13746"/>
    </bk>
    <bk>
      <rc t="1" v="13747"/>
    </bk>
    <bk>
      <rc t="1" v="13748"/>
    </bk>
    <bk>
      <rc t="1" v="13749"/>
    </bk>
    <bk>
      <rc t="1" v="13750"/>
    </bk>
    <bk>
      <rc t="1" v="13751"/>
    </bk>
    <bk>
      <rc t="1" v="13752"/>
    </bk>
    <bk>
      <rc t="1" v="13753"/>
    </bk>
    <bk>
      <rc t="1" v="13754"/>
    </bk>
    <bk>
      <rc t="1" v="13755"/>
    </bk>
    <bk>
      <rc t="1" v="13756"/>
    </bk>
    <bk>
      <rc t="1" v="13757"/>
    </bk>
    <bk>
      <rc t="1" v="13758"/>
    </bk>
    <bk>
      <rc t="1" v="13759"/>
    </bk>
    <bk>
      <rc t="1" v="13760"/>
    </bk>
    <bk>
      <rc t="1" v="13761"/>
    </bk>
    <bk>
      <rc t="1" v="13762"/>
    </bk>
    <bk>
      <rc t="1" v="13763"/>
    </bk>
    <bk>
      <rc t="1" v="13764"/>
    </bk>
    <bk>
      <rc t="1" v="13765"/>
    </bk>
    <bk>
      <rc t="1" v="13766"/>
    </bk>
    <bk>
      <rc t="1" v="13767"/>
    </bk>
    <bk>
      <rc t="1" v="13768"/>
    </bk>
    <bk>
      <rc t="1" v="13769"/>
    </bk>
    <bk>
      <rc t="1" v="13770"/>
    </bk>
    <bk>
      <rc t="1" v="13771"/>
    </bk>
    <bk>
      <rc t="1" v="13772"/>
    </bk>
    <bk>
      <rc t="1" v="13773"/>
    </bk>
    <bk>
      <rc t="1" v="13774"/>
    </bk>
    <bk>
      <rc t="1" v="13775"/>
    </bk>
    <bk>
      <rc t="1" v="13776"/>
    </bk>
    <bk>
      <rc t="1" v="13777"/>
    </bk>
    <bk>
      <rc t="1" v="13778"/>
    </bk>
    <bk>
      <rc t="1" v="13779"/>
    </bk>
    <bk>
      <rc t="1" v="13780"/>
    </bk>
    <bk>
      <rc t="1" v="13781"/>
    </bk>
    <bk>
      <rc t="1" v="13782"/>
    </bk>
    <bk>
      <rc t="1" v="13783"/>
    </bk>
    <bk>
      <rc t="1" v="13784"/>
    </bk>
    <bk>
      <rc t="1" v="13785"/>
    </bk>
    <bk>
      <rc t="1" v="13786"/>
    </bk>
    <bk>
      <rc t="1" v="13787"/>
    </bk>
    <bk>
      <rc t="1" v="13788"/>
    </bk>
    <bk>
      <rc t="1" v="13789"/>
    </bk>
    <bk>
      <rc t="1" v="13790"/>
    </bk>
    <bk>
      <rc t="1" v="13791"/>
    </bk>
    <bk>
      <rc t="1" v="13792"/>
    </bk>
    <bk>
      <rc t="1" v="13793"/>
    </bk>
    <bk>
      <rc t="1" v="13794"/>
    </bk>
    <bk>
      <rc t="1" v="13795"/>
    </bk>
    <bk>
      <rc t="1" v="13796"/>
    </bk>
    <bk>
      <rc t="1" v="13797"/>
    </bk>
    <bk>
      <rc t="1" v="13798"/>
    </bk>
    <bk>
      <rc t="1" v="13799"/>
    </bk>
    <bk>
      <rc t="1" v="13800"/>
    </bk>
    <bk>
      <rc t="1" v="13801"/>
    </bk>
    <bk>
      <rc t="1" v="13802"/>
    </bk>
    <bk>
      <rc t="1" v="13803"/>
    </bk>
    <bk>
      <rc t="1" v="13804"/>
    </bk>
    <bk>
      <rc t="1" v="13805"/>
    </bk>
    <bk>
      <rc t="1" v="13806"/>
    </bk>
    <bk>
      <rc t="1" v="13807"/>
    </bk>
    <bk>
      <rc t="1" v="13808"/>
    </bk>
    <bk>
      <rc t="1" v="13809"/>
    </bk>
    <bk>
      <rc t="1" v="13810"/>
    </bk>
    <bk>
      <rc t="1" v="13811"/>
    </bk>
    <bk>
      <rc t="1" v="13812"/>
    </bk>
    <bk>
      <rc t="1" v="13813"/>
    </bk>
    <bk>
      <rc t="1" v="13814"/>
    </bk>
    <bk>
      <rc t="1" v="13815"/>
    </bk>
    <bk>
      <rc t="1" v="13816"/>
    </bk>
    <bk>
      <rc t="1" v="13817"/>
    </bk>
    <bk>
      <rc t="1" v="13818"/>
    </bk>
    <bk>
      <rc t="1" v="13819"/>
    </bk>
    <bk>
      <rc t="1" v="13820"/>
    </bk>
    <bk>
      <rc t="1" v="13821"/>
    </bk>
    <bk>
      <rc t="1" v="13822"/>
    </bk>
    <bk>
      <rc t="1" v="13823"/>
    </bk>
    <bk>
      <rc t="1" v="13824"/>
    </bk>
    <bk>
      <rc t="1" v="13825"/>
    </bk>
    <bk>
      <rc t="1" v="13826"/>
    </bk>
    <bk>
      <rc t="1" v="13827"/>
    </bk>
    <bk>
      <rc t="1" v="13828"/>
    </bk>
    <bk>
      <rc t="1" v="13829"/>
    </bk>
    <bk>
      <rc t="1" v="13830"/>
    </bk>
    <bk>
      <rc t="1" v="13831"/>
    </bk>
    <bk>
      <rc t="1" v="13832"/>
    </bk>
    <bk>
      <rc t="1" v="13833"/>
    </bk>
    <bk>
      <rc t="1" v="13834"/>
    </bk>
    <bk>
      <rc t="1" v="13835"/>
    </bk>
    <bk>
      <rc t="1" v="13836"/>
    </bk>
    <bk>
      <rc t="1" v="13837"/>
    </bk>
    <bk>
      <rc t="1" v="13838"/>
    </bk>
    <bk>
      <rc t="1" v="13839"/>
    </bk>
    <bk>
      <rc t="1" v="13840"/>
    </bk>
    <bk>
      <rc t="1" v="13841"/>
    </bk>
    <bk>
      <rc t="1" v="13842"/>
    </bk>
    <bk>
      <rc t="1" v="13843"/>
    </bk>
    <bk>
      <rc t="1" v="13844"/>
    </bk>
    <bk>
      <rc t="1" v="13845"/>
    </bk>
    <bk>
      <rc t="1" v="13846"/>
    </bk>
    <bk>
      <rc t="1" v="13847"/>
    </bk>
    <bk>
      <rc t="1" v="13848"/>
    </bk>
    <bk>
      <rc t="1" v="13849"/>
    </bk>
    <bk>
      <rc t="1" v="13850"/>
    </bk>
    <bk>
      <rc t="1" v="13851"/>
    </bk>
    <bk>
      <rc t="1" v="13852"/>
    </bk>
    <bk>
      <rc t="1" v="13853"/>
    </bk>
    <bk>
      <rc t="1" v="13854"/>
    </bk>
    <bk>
      <rc t="1" v="13855"/>
    </bk>
    <bk>
      <rc t="1" v="13856"/>
    </bk>
    <bk>
      <rc t="1" v="13857"/>
    </bk>
    <bk>
      <rc t="1" v="13858"/>
    </bk>
    <bk>
      <rc t="1" v="13859"/>
    </bk>
    <bk>
      <rc t="1" v="13860"/>
    </bk>
    <bk>
      <rc t="1" v="13861"/>
    </bk>
    <bk>
      <rc t="1" v="13862"/>
    </bk>
    <bk>
      <rc t="1" v="13863"/>
    </bk>
    <bk>
      <rc t="1" v="13864"/>
    </bk>
    <bk>
      <rc t="1" v="13865"/>
    </bk>
    <bk>
      <rc t="1" v="13866"/>
    </bk>
    <bk>
      <rc t="1" v="13867"/>
    </bk>
    <bk>
      <rc t="1" v="13868"/>
    </bk>
    <bk>
      <rc t="1" v="13869"/>
    </bk>
    <bk>
      <rc t="1" v="13870"/>
    </bk>
    <bk>
      <rc t="1" v="13871"/>
    </bk>
    <bk>
      <rc t="1" v="13872"/>
    </bk>
    <bk>
      <rc t="1" v="13873"/>
    </bk>
    <bk>
      <rc t="1" v="13874"/>
    </bk>
    <bk>
      <rc t="1" v="13875"/>
    </bk>
    <bk>
      <rc t="1" v="13876"/>
    </bk>
    <bk>
      <rc t="1" v="13877"/>
    </bk>
    <bk>
      <rc t="1" v="13878"/>
    </bk>
    <bk>
      <rc t="1" v="13879"/>
    </bk>
    <bk>
      <rc t="1" v="13880"/>
    </bk>
    <bk>
      <rc t="1" v="13881"/>
    </bk>
    <bk>
      <rc t="1" v="13882"/>
    </bk>
    <bk>
      <rc t="1" v="13883"/>
    </bk>
    <bk>
      <rc t="1" v="13884"/>
    </bk>
    <bk>
      <rc t="1" v="13885"/>
    </bk>
    <bk>
      <rc t="1" v="13886"/>
    </bk>
    <bk>
      <rc t="1" v="13887"/>
    </bk>
    <bk>
      <rc t="1" v="13888"/>
    </bk>
    <bk>
      <rc t="1" v="13889"/>
    </bk>
    <bk>
      <rc t="1" v="13890"/>
    </bk>
    <bk>
      <rc t="1" v="13891"/>
    </bk>
    <bk>
      <rc t="1" v="13892"/>
    </bk>
    <bk>
      <rc t="1" v="13893"/>
    </bk>
    <bk>
      <rc t="1" v="13894"/>
    </bk>
    <bk>
      <rc t="1" v="13895"/>
    </bk>
    <bk>
      <rc t="1" v="13896"/>
    </bk>
    <bk>
      <rc t="1" v="13897"/>
    </bk>
    <bk>
      <rc t="1" v="13898"/>
    </bk>
    <bk>
      <rc t="1" v="13899"/>
    </bk>
    <bk>
      <rc t="1" v="13900"/>
    </bk>
    <bk>
      <rc t="1" v="13901"/>
    </bk>
    <bk>
      <rc t="1" v="13902"/>
    </bk>
    <bk>
      <rc t="1" v="13903"/>
    </bk>
    <bk>
      <rc t="1" v="13904"/>
    </bk>
    <bk>
      <rc t="1" v="13905"/>
    </bk>
    <bk>
      <rc t="1" v="13906"/>
    </bk>
    <bk>
      <rc t="1" v="13907"/>
    </bk>
    <bk>
      <rc t="1" v="13908"/>
    </bk>
    <bk>
      <rc t="1" v="13909"/>
    </bk>
    <bk>
      <rc t="1" v="13910"/>
    </bk>
    <bk>
      <rc t="1" v="13911"/>
    </bk>
    <bk>
      <rc t="1" v="13912"/>
    </bk>
    <bk>
      <rc t="1" v="13913"/>
    </bk>
    <bk>
      <rc t="1" v="13914"/>
    </bk>
    <bk>
      <rc t="1" v="13915"/>
    </bk>
    <bk>
      <rc t="1" v="13916"/>
    </bk>
    <bk>
      <rc t="1" v="13917"/>
    </bk>
    <bk>
      <rc t="1" v="13918"/>
    </bk>
    <bk>
      <rc t="1" v="13919"/>
    </bk>
    <bk>
      <rc t="1" v="13920"/>
    </bk>
    <bk>
      <rc t="1" v="13921"/>
    </bk>
    <bk>
      <rc t="1" v="13922"/>
    </bk>
    <bk>
      <rc t="1" v="13923"/>
    </bk>
    <bk>
      <rc t="1" v="13924"/>
    </bk>
    <bk>
      <rc t="1" v="13925"/>
    </bk>
    <bk>
      <rc t="1" v="13926"/>
    </bk>
    <bk>
      <rc t="1" v="13927"/>
    </bk>
    <bk>
      <rc t="1" v="13928"/>
    </bk>
    <bk>
      <rc t="1" v="13929"/>
    </bk>
    <bk>
      <rc t="1" v="13930"/>
    </bk>
    <bk>
      <rc t="1" v="13931"/>
    </bk>
    <bk>
      <rc t="1" v="13932"/>
    </bk>
    <bk>
      <rc t="1" v="13933"/>
    </bk>
    <bk>
      <rc t="1" v="13934"/>
    </bk>
    <bk>
      <rc t="1" v="13935"/>
    </bk>
    <bk>
      <rc t="1" v="13936"/>
    </bk>
    <bk>
      <rc t="1" v="13937"/>
    </bk>
    <bk>
      <rc t="1" v="13938"/>
    </bk>
    <bk>
      <rc t="1" v="13939"/>
    </bk>
    <bk>
      <rc t="1" v="13940"/>
    </bk>
    <bk>
      <rc t="1" v="13941"/>
    </bk>
    <bk>
      <rc t="1" v="13942"/>
    </bk>
    <bk>
      <rc t="1" v="13943"/>
    </bk>
    <bk>
      <rc t="1" v="13944"/>
    </bk>
    <bk>
      <rc t="1" v="13945"/>
    </bk>
    <bk>
      <rc t="1" v="13946"/>
    </bk>
    <bk>
      <rc t="1" v="13947"/>
    </bk>
    <bk>
      <rc t="1" v="13948"/>
    </bk>
    <bk>
      <rc t="1" v="13949"/>
    </bk>
    <bk>
      <rc t="1" v="13950"/>
    </bk>
    <bk>
      <rc t="1" v="13951"/>
    </bk>
    <bk>
      <rc t="1" v="13952"/>
    </bk>
    <bk>
      <rc t="1" v="13953"/>
    </bk>
    <bk>
      <rc t="1" v="13954"/>
    </bk>
    <bk>
      <rc t="1" v="13955"/>
    </bk>
    <bk>
      <rc t="1" v="13956"/>
    </bk>
    <bk>
      <rc t="1" v="13957"/>
    </bk>
    <bk>
      <rc t="1" v="13958"/>
    </bk>
    <bk>
      <rc t="1" v="13959"/>
    </bk>
    <bk>
      <rc t="1" v="13960"/>
    </bk>
    <bk>
      <rc t="1" v="13961"/>
    </bk>
    <bk>
      <rc t="1" v="13962"/>
    </bk>
    <bk>
      <rc t="1" v="13963"/>
    </bk>
    <bk>
      <rc t="1" v="13964"/>
    </bk>
    <bk>
      <rc t="1" v="13965"/>
    </bk>
    <bk>
      <rc t="1" v="13966"/>
    </bk>
    <bk>
      <rc t="1" v="13967"/>
    </bk>
    <bk>
      <rc t="1" v="13968"/>
    </bk>
    <bk>
      <rc t="1" v="13969"/>
    </bk>
    <bk>
      <rc t="1" v="13970"/>
    </bk>
    <bk>
      <rc t="1" v="13971"/>
    </bk>
    <bk>
      <rc t="1" v="13972"/>
    </bk>
    <bk>
      <rc t="1" v="13973"/>
    </bk>
    <bk>
      <rc t="1" v="13974"/>
    </bk>
    <bk>
      <rc t="1" v="13975"/>
    </bk>
    <bk>
      <rc t="1" v="13976"/>
    </bk>
    <bk>
      <rc t="1" v="13977"/>
    </bk>
    <bk>
      <rc t="1" v="13978"/>
    </bk>
    <bk>
      <rc t="1" v="13979"/>
    </bk>
    <bk>
      <rc t="1" v="13980"/>
    </bk>
    <bk>
      <rc t="1" v="13981"/>
    </bk>
    <bk>
      <rc t="1" v="13982"/>
    </bk>
    <bk>
      <rc t="1" v="13983"/>
    </bk>
    <bk>
      <rc t="1" v="13984"/>
    </bk>
    <bk>
      <rc t="1" v="13985"/>
    </bk>
    <bk>
      <rc t="1" v="13986"/>
    </bk>
    <bk>
      <rc t="1" v="13987"/>
    </bk>
    <bk>
      <rc t="1" v="13988"/>
    </bk>
    <bk>
      <rc t="1" v="13989"/>
    </bk>
    <bk>
      <rc t="1" v="13990"/>
    </bk>
    <bk>
      <rc t="1" v="13991"/>
    </bk>
    <bk>
      <rc t="1" v="13992"/>
    </bk>
    <bk>
      <rc t="1" v="13993"/>
    </bk>
    <bk>
      <rc t="1" v="13994"/>
    </bk>
    <bk>
      <rc t="1" v="13995"/>
    </bk>
    <bk>
      <rc t="1" v="13996"/>
    </bk>
    <bk>
      <rc t="1" v="13997"/>
    </bk>
    <bk>
      <rc t="1" v="13998"/>
    </bk>
    <bk>
      <rc t="1" v="13999"/>
    </bk>
    <bk>
      <rc t="1" v="14000"/>
    </bk>
    <bk>
      <rc t="1" v="14001"/>
    </bk>
    <bk>
      <rc t="1" v="14002"/>
    </bk>
    <bk>
      <rc t="1" v="14003"/>
    </bk>
    <bk>
      <rc t="1" v="14004"/>
    </bk>
    <bk>
      <rc t="1" v="14005"/>
    </bk>
    <bk>
      <rc t="1" v="14006"/>
    </bk>
    <bk>
      <rc t="1" v="14007"/>
    </bk>
    <bk>
      <rc t="1" v="14008"/>
    </bk>
    <bk>
      <rc t="1" v="14009"/>
    </bk>
    <bk>
      <rc t="1" v="14010"/>
    </bk>
    <bk>
      <rc t="1" v="14011"/>
    </bk>
    <bk>
      <rc t="1" v="14012"/>
    </bk>
    <bk>
      <rc t="1" v="14013"/>
    </bk>
    <bk>
      <rc t="1" v="14014"/>
    </bk>
    <bk>
      <rc t="1" v="14015"/>
    </bk>
    <bk>
      <rc t="1" v="14016"/>
    </bk>
    <bk>
      <rc t="1" v="14017"/>
    </bk>
    <bk>
      <rc t="1" v="14018"/>
    </bk>
    <bk>
      <rc t="1" v="14019"/>
    </bk>
    <bk>
      <rc t="1" v="14020"/>
    </bk>
    <bk>
      <rc t="1" v="14021"/>
    </bk>
    <bk>
      <rc t="1" v="14022"/>
    </bk>
    <bk>
      <rc t="1" v="14023"/>
    </bk>
    <bk>
      <rc t="1" v="14024"/>
    </bk>
    <bk>
      <rc t="1" v="14025"/>
    </bk>
    <bk>
      <rc t="1" v="14026"/>
    </bk>
    <bk>
      <rc t="1" v="14027"/>
    </bk>
    <bk>
      <rc t="1" v="14028"/>
    </bk>
    <bk>
      <rc t="1" v="14029"/>
    </bk>
    <bk>
      <rc t="1" v="14030"/>
    </bk>
    <bk>
      <rc t="1" v="14031"/>
    </bk>
    <bk>
      <rc t="1" v="14032"/>
    </bk>
    <bk>
      <rc t="1" v="14033"/>
    </bk>
    <bk>
      <rc t="1" v="14034"/>
    </bk>
    <bk>
      <rc t="1" v="14035"/>
    </bk>
    <bk>
      <rc t="1" v="14036"/>
    </bk>
    <bk>
      <rc t="1" v="14037"/>
    </bk>
    <bk>
      <rc t="1" v="14038"/>
    </bk>
    <bk>
      <rc t="1" v="14039"/>
    </bk>
    <bk>
      <rc t="1" v="14040"/>
    </bk>
    <bk>
      <rc t="1" v="14041"/>
    </bk>
    <bk>
      <rc t="1" v="14042"/>
    </bk>
    <bk>
      <rc t="1" v="14043"/>
    </bk>
    <bk>
      <rc t="1" v="14044"/>
    </bk>
    <bk>
      <rc t="1" v="14045"/>
    </bk>
    <bk>
      <rc t="1" v="14046"/>
    </bk>
    <bk>
      <rc t="1" v="14047"/>
    </bk>
    <bk>
      <rc t="1" v="14048"/>
    </bk>
    <bk>
      <rc t="1" v="14049"/>
    </bk>
    <bk>
      <rc t="1" v="14050"/>
    </bk>
    <bk>
      <rc t="1" v="14051"/>
    </bk>
    <bk>
      <rc t="1" v="14052"/>
    </bk>
    <bk>
      <rc t="1" v="14053"/>
    </bk>
    <bk>
      <rc t="1" v="14054"/>
    </bk>
    <bk>
      <rc t="1" v="14055"/>
    </bk>
    <bk>
      <rc t="1" v="14056"/>
    </bk>
    <bk>
      <rc t="1" v="14057"/>
    </bk>
    <bk>
      <rc t="1" v="14058"/>
    </bk>
    <bk>
      <rc t="1" v="14059"/>
    </bk>
    <bk>
      <rc t="1" v="14060"/>
    </bk>
    <bk>
      <rc t="1" v="14061"/>
    </bk>
    <bk>
      <rc t="1" v="14062"/>
    </bk>
    <bk>
      <rc t="1" v="14063"/>
    </bk>
    <bk>
      <rc t="1" v="14064"/>
    </bk>
    <bk>
      <rc t="1" v="14065"/>
    </bk>
    <bk>
      <rc t="1" v="14066"/>
    </bk>
    <bk>
      <rc t="1" v="14067"/>
    </bk>
    <bk>
      <rc t="1" v="14068"/>
    </bk>
    <bk>
      <rc t="1" v="14069"/>
    </bk>
    <bk>
      <rc t="1" v="14070"/>
    </bk>
    <bk>
      <rc t="1" v="14071"/>
    </bk>
    <bk>
      <rc t="1" v="14072"/>
    </bk>
    <bk>
      <rc t="1" v="14073"/>
    </bk>
    <bk>
      <rc t="1" v="14074"/>
    </bk>
    <bk>
      <rc t="1" v="14075"/>
    </bk>
    <bk>
      <rc t="1" v="14076"/>
    </bk>
    <bk>
      <rc t="1" v="14077"/>
    </bk>
    <bk>
      <rc t="1" v="14078"/>
    </bk>
    <bk>
      <rc t="1" v="14079"/>
    </bk>
    <bk>
      <rc t="1" v="14080"/>
    </bk>
    <bk>
      <rc t="1" v="14081"/>
    </bk>
    <bk>
      <rc t="1" v="14082"/>
    </bk>
    <bk>
      <rc t="1" v="14083"/>
    </bk>
    <bk>
      <rc t="1" v="14084"/>
    </bk>
    <bk>
      <rc t="1" v="14085"/>
    </bk>
    <bk>
      <rc t="1" v="14086"/>
    </bk>
    <bk>
      <rc t="1" v="14087"/>
    </bk>
    <bk>
      <rc t="1" v="14088"/>
    </bk>
    <bk>
      <rc t="1" v="14089"/>
    </bk>
    <bk>
      <rc t="1" v="14090"/>
    </bk>
    <bk>
      <rc t="1" v="14091"/>
    </bk>
    <bk>
      <rc t="1" v="14092"/>
    </bk>
    <bk>
      <rc t="1" v="14093"/>
    </bk>
    <bk>
      <rc t="1" v="14094"/>
    </bk>
    <bk>
      <rc t="1" v="14095"/>
    </bk>
    <bk>
      <rc t="1" v="14096"/>
    </bk>
    <bk>
      <rc t="1" v="14097"/>
    </bk>
    <bk>
      <rc t="1" v="14098"/>
    </bk>
    <bk>
      <rc t="1" v="14099"/>
    </bk>
    <bk>
      <rc t="1" v="14100"/>
    </bk>
    <bk>
      <rc t="1" v="14101"/>
    </bk>
    <bk>
      <rc t="1" v="14102"/>
    </bk>
    <bk>
      <rc t="1" v="14103"/>
    </bk>
    <bk>
      <rc t="1" v="14104"/>
    </bk>
    <bk>
      <rc t="1" v="14105"/>
    </bk>
    <bk>
      <rc t="1" v="14106"/>
    </bk>
    <bk>
      <rc t="1" v="14107"/>
    </bk>
    <bk>
      <rc t="1" v="14108"/>
    </bk>
    <bk>
      <rc t="1" v="14109"/>
    </bk>
    <bk>
      <rc t="1" v="14110"/>
    </bk>
    <bk>
      <rc t="1" v="14111"/>
    </bk>
    <bk>
      <rc t="1" v="14112"/>
    </bk>
    <bk>
      <rc t="1" v="14113"/>
    </bk>
    <bk>
      <rc t="1" v="14114"/>
    </bk>
    <bk>
      <rc t="1" v="14115"/>
    </bk>
    <bk>
      <rc t="1" v="14116"/>
    </bk>
    <bk>
      <rc t="1" v="14117"/>
    </bk>
    <bk>
      <rc t="1" v="14118"/>
    </bk>
    <bk>
      <rc t="1" v="14119"/>
    </bk>
    <bk>
      <rc t="1" v="14120"/>
    </bk>
    <bk>
      <rc t="1" v="14121"/>
    </bk>
    <bk>
      <rc t="1" v="14122"/>
    </bk>
    <bk>
      <rc t="1" v="14123"/>
    </bk>
    <bk>
      <rc t="1" v="14124"/>
    </bk>
    <bk>
      <rc t="1" v="14125"/>
    </bk>
    <bk>
      <rc t="1" v="14126"/>
    </bk>
    <bk>
      <rc t="1" v="14127"/>
    </bk>
    <bk>
      <rc t="1" v="14128"/>
    </bk>
    <bk>
      <rc t="1" v="14129"/>
    </bk>
    <bk>
      <rc t="1" v="14130"/>
    </bk>
    <bk>
      <rc t="1" v="14131"/>
    </bk>
    <bk>
      <rc t="1" v="14132"/>
    </bk>
    <bk>
      <rc t="1" v="14133"/>
    </bk>
    <bk>
      <rc t="1" v="14134"/>
    </bk>
    <bk>
      <rc t="1" v="14135"/>
    </bk>
    <bk>
      <rc t="1" v="14136"/>
    </bk>
    <bk>
      <rc t="1" v="14137"/>
    </bk>
    <bk>
      <rc t="1" v="14138"/>
    </bk>
    <bk>
      <rc t="1" v="14139"/>
    </bk>
    <bk>
      <rc t="1" v="14140"/>
    </bk>
    <bk>
      <rc t="1" v="14141"/>
    </bk>
    <bk>
      <rc t="1" v="14142"/>
    </bk>
    <bk>
      <rc t="1" v="14143"/>
    </bk>
    <bk>
      <rc t="1" v="14144"/>
    </bk>
    <bk>
      <rc t="1" v="14145"/>
    </bk>
    <bk>
      <rc t="1" v="14146"/>
    </bk>
    <bk>
      <rc t="1" v="14147"/>
    </bk>
    <bk>
      <rc t="1" v="14148"/>
    </bk>
    <bk>
      <rc t="1" v="14149"/>
    </bk>
    <bk>
      <rc t="1" v="14150"/>
    </bk>
    <bk>
      <rc t="1" v="14151"/>
    </bk>
    <bk>
      <rc t="1" v="14152"/>
    </bk>
    <bk>
      <rc t="1" v="14153"/>
    </bk>
    <bk>
      <rc t="1" v="14154"/>
    </bk>
    <bk>
      <rc t="1" v="14155"/>
    </bk>
    <bk>
      <rc t="1" v="14156"/>
    </bk>
    <bk>
      <rc t="1" v="14157"/>
    </bk>
    <bk>
      <rc t="1" v="14158"/>
    </bk>
    <bk>
      <rc t="1" v="14159"/>
    </bk>
    <bk>
      <rc t="1" v="14160"/>
    </bk>
    <bk>
      <rc t="1" v="14161"/>
    </bk>
    <bk>
      <rc t="1" v="14162"/>
    </bk>
    <bk>
      <rc t="1" v="14163"/>
    </bk>
    <bk>
      <rc t="1" v="14164"/>
    </bk>
    <bk>
      <rc t="1" v="14165"/>
    </bk>
    <bk>
      <rc t="1" v="14166"/>
    </bk>
    <bk>
      <rc t="1" v="14167"/>
    </bk>
    <bk>
      <rc t="1" v="14168"/>
    </bk>
    <bk>
      <rc t="1" v="14169"/>
    </bk>
    <bk>
      <rc t="1" v="14170"/>
    </bk>
    <bk>
      <rc t="1" v="14171"/>
    </bk>
    <bk>
      <rc t="1" v="14172"/>
    </bk>
    <bk>
      <rc t="1" v="14173"/>
    </bk>
    <bk>
      <rc t="1" v="14174"/>
    </bk>
    <bk>
      <rc t="1" v="14175"/>
    </bk>
    <bk>
      <rc t="1" v="14176"/>
    </bk>
    <bk>
      <rc t="1" v="14177"/>
    </bk>
    <bk>
      <rc t="1" v="14178"/>
    </bk>
    <bk>
      <rc t="1" v="14179"/>
    </bk>
    <bk>
      <rc t="1" v="14180"/>
    </bk>
    <bk>
      <rc t="1" v="14181"/>
    </bk>
    <bk>
      <rc t="1" v="14182"/>
    </bk>
    <bk>
      <rc t="1" v="14183"/>
    </bk>
    <bk>
      <rc t="1" v="14184"/>
    </bk>
    <bk>
      <rc t="1" v="14185"/>
    </bk>
    <bk>
      <rc t="1" v="14186"/>
    </bk>
    <bk>
      <rc t="1" v="14187"/>
    </bk>
    <bk>
      <rc t="1" v="14188"/>
    </bk>
    <bk>
      <rc t="1" v="14189"/>
    </bk>
    <bk>
      <rc t="1" v="14190"/>
    </bk>
    <bk>
      <rc t="1" v="14191"/>
    </bk>
    <bk>
      <rc t="1" v="14192"/>
    </bk>
    <bk>
      <rc t="1" v="14193"/>
    </bk>
    <bk>
      <rc t="1" v="14194"/>
    </bk>
    <bk>
      <rc t="1" v="14195"/>
    </bk>
    <bk>
      <rc t="1" v="14196"/>
    </bk>
    <bk>
      <rc t="1" v="14197"/>
    </bk>
    <bk>
      <rc t="1" v="14198"/>
    </bk>
    <bk>
      <rc t="1" v="14199"/>
    </bk>
    <bk>
      <rc t="1" v="14200"/>
    </bk>
    <bk>
      <rc t="1" v="14201"/>
    </bk>
    <bk>
      <rc t="1" v="14202"/>
    </bk>
    <bk>
      <rc t="1" v="14203"/>
    </bk>
    <bk>
      <rc t="1" v="14204"/>
    </bk>
    <bk>
      <rc t="1" v="14205"/>
    </bk>
    <bk>
      <rc t="1" v="14206"/>
    </bk>
    <bk>
      <rc t="1" v="14207"/>
    </bk>
    <bk>
      <rc t="1" v="14208"/>
    </bk>
    <bk>
      <rc t="1" v="14209"/>
    </bk>
    <bk>
      <rc t="1" v="14210"/>
    </bk>
    <bk>
      <rc t="1" v="14211"/>
    </bk>
    <bk>
      <rc t="1" v="14212"/>
    </bk>
    <bk>
      <rc t="1" v="14213"/>
    </bk>
    <bk>
      <rc t="1" v="14214"/>
    </bk>
    <bk>
      <rc t="1" v="14215"/>
    </bk>
    <bk>
      <rc t="1" v="14216"/>
    </bk>
    <bk>
      <rc t="1" v="14217"/>
    </bk>
    <bk>
      <rc t="1" v="14218"/>
    </bk>
    <bk>
      <rc t="1" v="14219"/>
    </bk>
    <bk>
      <rc t="1" v="14220"/>
    </bk>
    <bk>
      <rc t="1" v="14221"/>
    </bk>
    <bk>
      <rc t="1" v="14222"/>
    </bk>
    <bk>
      <rc t="1" v="14223"/>
    </bk>
    <bk>
      <rc t="1" v="14224"/>
    </bk>
    <bk>
      <rc t="1" v="14225"/>
    </bk>
    <bk>
      <rc t="1" v="14226"/>
    </bk>
    <bk>
      <rc t="1" v="14227"/>
    </bk>
    <bk>
      <rc t="1" v="14228"/>
    </bk>
    <bk>
      <rc t="1" v="14229"/>
    </bk>
    <bk>
      <rc t="1" v="14230"/>
    </bk>
    <bk>
      <rc t="1" v="14231"/>
    </bk>
    <bk>
      <rc t="1" v="14232"/>
    </bk>
    <bk>
      <rc t="1" v="14233"/>
    </bk>
    <bk>
      <rc t="1" v="14234"/>
    </bk>
    <bk>
      <rc t="1" v="14235"/>
    </bk>
    <bk>
      <rc t="1" v="14236"/>
    </bk>
    <bk>
      <rc t="1" v="14237"/>
    </bk>
    <bk>
      <rc t="1" v="14238"/>
    </bk>
    <bk>
      <rc t="1" v="14239"/>
    </bk>
    <bk>
      <rc t="1" v="14240"/>
    </bk>
    <bk>
      <rc t="1" v="14241"/>
    </bk>
    <bk>
      <rc t="1" v="14242"/>
    </bk>
    <bk>
      <rc t="1" v="14243"/>
    </bk>
    <bk>
      <rc t="1" v="14244"/>
    </bk>
    <bk>
      <rc t="1" v="14245"/>
    </bk>
    <bk>
      <rc t="1" v="14246"/>
    </bk>
    <bk>
      <rc t="1" v="14247"/>
    </bk>
    <bk>
      <rc t="1" v="14248"/>
    </bk>
    <bk>
      <rc t="1" v="14249"/>
    </bk>
    <bk>
      <rc t="1" v="14250"/>
    </bk>
    <bk>
      <rc t="1" v="14251"/>
    </bk>
    <bk>
      <rc t="1" v="14252"/>
    </bk>
    <bk>
      <rc t="1" v="14253"/>
    </bk>
    <bk>
      <rc t="1" v="14254"/>
    </bk>
    <bk>
      <rc t="1" v="14255"/>
    </bk>
    <bk>
      <rc t="1" v="14256"/>
    </bk>
    <bk>
      <rc t="1" v="14257"/>
    </bk>
    <bk>
      <rc t="1" v="14258"/>
    </bk>
    <bk>
      <rc t="1" v="14259"/>
    </bk>
    <bk>
      <rc t="1" v="14260"/>
    </bk>
    <bk>
      <rc t="1" v="14261"/>
    </bk>
    <bk>
      <rc t="1" v="14262"/>
    </bk>
    <bk>
      <rc t="1" v="14263"/>
    </bk>
    <bk>
      <rc t="1" v="14264"/>
    </bk>
    <bk>
      <rc t="1" v="14265"/>
    </bk>
    <bk>
      <rc t="1" v="14266"/>
    </bk>
    <bk>
      <rc t="1" v="14267"/>
    </bk>
    <bk>
      <rc t="1" v="14268"/>
    </bk>
    <bk>
      <rc t="1" v="14269"/>
    </bk>
    <bk>
      <rc t="1" v="14270"/>
    </bk>
    <bk>
      <rc t="1" v="14271"/>
    </bk>
    <bk>
      <rc t="1" v="14272"/>
    </bk>
    <bk>
      <rc t="1" v="14273"/>
    </bk>
    <bk>
      <rc t="1" v="14274"/>
    </bk>
    <bk>
      <rc t="1" v="14275"/>
    </bk>
    <bk>
      <rc t="1" v="14276"/>
    </bk>
    <bk>
      <rc t="1" v="14277"/>
    </bk>
    <bk>
      <rc t="1" v="14278"/>
    </bk>
    <bk>
      <rc t="1" v="14279"/>
    </bk>
    <bk>
      <rc t="1" v="14280"/>
    </bk>
    <bk>
      <rc t="1" v="14281"/>
    </bk>
    <bk>
      <rc t="1" v="14282"/>
    </bk>
    <bk>
      <rc t="1" v="14283"/>
    </bk>
    <bk>
      <rc t="1" v="14284"/>
    </bk>
    <bk>
      <rc t="1" v="14285"/>
    </bk>
    <bk>
      <rc t="1" v="14286"/>
    </bk>
    <bk>
      <rc t="1" v="14287"/>
    </bk>
    <bk>
      <rc t="1" v="14288"/>
    </bk>
    <bk>
      <rc t="1" v="14289"/>
    </bk>
    <bk>
      <rc t="1" v="14290"/>
    </bk>
    <bk>
      <rc t="1" v="14291"/>
    </bk>
    <bk>
      <rc t="1" v="14292"/>
    </bk>
    <bk>
      <rc t="1" v="14293"/>
    </bk>
    <bk>
      <rc t="1" v="14294"/>
    </bk>
    <bk>
      <rc t="1" v="14295"/>
    </bk>
    <bk>
      <rc t="1" v="14296"/>
    </bk>
    <bk>
      <rc t="1" v="14297"/>
    </bk>
    <bk>
      <rc t="1" v="14298"/>
    </bk>
    <bk>
      <rc t="1" v="14299"/>
    </bk>
    <bk>
      <rc t="1" v="14300"/>
    </bk>
    <bk>
      <rc t="1" v="14301"/>
    </bk>
    <bk>
      <rc t="1" v="14302"/>
    </bk>
    <bk>
      <rc t="1" v="14303"/>
    </bk>
    <bk>
      <rc t="1" v="14304"/>
    </bk>
    <bk>
      <rc t="1" v="14305"/>
    </bk>
    <bk>
      <rc t="1" v="14306"/>
    </bk>
    <bk>
      <rc t="1" v="14307"/>
    </bk>
    <bk>
      <rc t="1" v="14308"/>
    </bk>
    <bk>
      <rc t="1" v="14309"/>
    </bk>
    <bk>
      <rc t="1" v="14310"/>
    </bk>
    <bk>
      <rc t="1" v="14311"/>
    </bk>
    <bk>
      <rc t="1" v="14312"/>
    </bk>
    <bk>
      <rc t="1" v="14313"/>
    </bk>
    <bk>
      <rc t="1" v="14314"/>
    </bk>
    <bk>
      <rc t="1" v="14315"/>
    </bk>
    <bk>
      <rc t="1" v="14316"/>
    </bk>
    <bk>
      <rc t="1" v="14317"/>
    </bk>
    <bk>
      <rc t="1" v="14318"/>
    </bk>
    <bk>
      <rc t="1" v="14319"/>
    </bk>
    <bk>
      <rc t="1" v="14320"/>
    </bk>
    <bk>
      <rc t="1" v="14321"/>
    </bk>
    <bk>
      <rc t="1" v="14322"/>
    </bk>
    <bk>
      <rc t="1" v="14323"/>
    </bk>
    <bk>
      <rc t="1" v="14324"/>
    </bk>
    <bk>
      <rc t="1" v="14325"/>
    </bk>
    <bk>
      <rc t="1" v="14326"/>
    </bk>
    <bk>
      <rc t="1" v="14327"/>
    </bk>
    <bk>
      <rc t="1" v="14328"/>
    </bk>
    <bk>
      <rc t="1" v="14329"/>
    </bk>
    <bk>
      <rc t="1" v="14330"/>
    </bk>
    <bk>
      <rc t="1" v="14331"/>
    </bk>
    <bk>
      <rc t="1" v="14332"/>
    </bk>
    <bk>
      <rc t="1" v="14333"/>
    </bk>
    <bk>
      <rc t="1" v="14334"/>
    </bk>
    <bk>
      <rc t="1" v="14335"/>
    </bk>
    <bk>
      <rc t="1" v="14336"/>
    </bk>
    <bk>
      <rc t="1" v="14337"/>
    </bk>
    <bk>
      <rc t="1" v="14338"/>
    </bk>
    <bk>
      <rc t="1" v="14339"/>
    </bk>
    <bk>
      <rc t="1" v="14340"/>
    </bk>
    <bk>
      <rc t="1" v="14341"/>
    </bk>
    <bk>
      <rc t="1" v="14342"/>
    </bk>
    <bk>
      <rc t="1" v="14343"/>
    </bk>
    <bk>
      <rc t="1" v="14344"/>
    </bk>
    <bk>
      <rc t="1" v="14345"/>
    </bk>
    <bk>
      <rc t="1" v="14346"/>
    </bk>
    <bk>
      <rc t="1" v="14347"/>
    </bk>
    <bk>
      <rc t="1" v="14348"/>
    </bk>
    <bk>
      <rc t="1" v="14349"/>
    </bk>
    <bk>
      <rc t="1" v="14350"/>
    </bk>
    <bk>
      <rc t="1" v="14351"/>
    </bk>
    <bk>
      <rc t="1" v="14352"/>
    </bk>
    <bk>
      <rc t="1" v="14353"/>
    </bk>
    <bk>
      <rc t="1" v="14354"/>
    </bk>
    <bk>
      <rc t="1" v="14355"/>
    </bk>
    <bk>
      <rc t="1" v="14356"/>
    </bk>
    <bk>
      <rc t="1" v="14357"/>
    </bk>
    <bk>
      <rc t="1" v="14358"/>
    </bk>
    <bk>
      <rc t="1" v="14359"/>
    </bk>
    <bk>
      <rc t="1" v="14360"/>
    </bk>
    <bk>
      <rc t="1" v="14361"/>
    </bk>
    <bk>
      <rc t="1" v="14362"/>
    </bk>
    <bk>
      <rc t="1" v="14363"/>
    </bk>
    <bk>
      <rc t="1" v="14364"/>
    </bk>
    <bk>
      <rc t="1" v="14365"/>
    </bk>
    <bk>
      <rc t="1" v="14366"/>
    </bk>
    <bk>
      <rc t="1" v="14367"/>
    </bk>
    <bk>
      <rc t="1" v="14368"/>
    </bk>
    <bk>
      <rc t="1" v="14369"/>
    </bk>
    <bk>
      <rc t="1" v="14370"/>
    </bk>
    <bk>
      <rc t="1" v="14371"/>
    </bk>
    <bk>
      <rc t="1" v="14372"/>
    </bk>
    <bk>
      <rc t="1" v="14373"/>
    </bk>
    <bk>
      <rc t="1" v="14374"/>
    </bk>
    <bk>
      <rc t="1" v="14375"/>
    </bk>
    <bk>
      <rc t="1" v="14376"/>
    </bk>
    <bk>
      <rc t="1" v="14377"/>
    </bk>
    <bk>
      <rc t="1" v="14378"/>
    </bk>
    <bk>
      <rc t="1" v="14379"/>
    </bk>
    <bk>
      <rc t="1" v="14380"/>
    </bk>
    <bk>
      <rc t="1" v="14381"/>
    </bk>
    <bk>
      <rc t="1" v="14382"/>
    </bk>
    <bk>
      <rc t="1" v="14383"/>
    </bk>
    <bk>
      <rc t="1" v="14384"/>
    </bk>
    <bk>
      <rc t="1" v="14385"/>
    </bk>
    <bk>
      <rc t="1" v="14386"/>
    </bk>
    <bk>
      <rc t="1" v="14387"/>
    </bk>
    <bk>
      <rc t="1" v="14388"/>
    </bk>
    <bk>
      <rc t="1" v="14389"/>
    </bk>
    <bk>
      <rc t="1" v="14390"/>
    </bk>
    <bk>
      <rc t="1" v="14391"/>
    </bk>
    <bk>
      <rc t="1" v="14392"/>
    </bk>
    <bk>
      <rc t="1" v="14393"/>
    </bk>
    <bk>
      <rc t="1" v="14394"/>
    </bk>
    <bk>
      <rc t="1" v="14395"/>
    </bk>
    <bk>
      <rc t="1" v="14396"/>
    </bk>
    <bk>
      <rc t="1" v="14397"/>
    </bk>
    <bk>
      <rc t="1" v="14398"/>
    </bk>
    <bk>
      <rc t="1" v="14399"/>
    </bk>
    <bk>
      <rc t="1" v="14400"/>
    </bk>
    <bk>
      <rc t="1" v="14401"/>
    </bk>
    <bk>
      <rc t="1" v="14402"/>
    </bk>
    <bk>
      <rc t="1" v="14403"/>
    </bk>
    <bk>
      <rc t="1" v="14404"/>
    </bk>
    <bk>
      <rc t="1" v="14405"/>
    </bk>
    <bk>
      <rc t="1" v="14406"/>
    </bk>
    <bk>
      <rc t="1" v="14407"/>
    </bk>
    <bk>
      <rc t="1" v="14408"/>
    </bk>
    <bk>
      <rc t="1" v="14409"/>
    </bk>
    <bk>
      <rc t="1" v="14410"/>
    </bk>
    <bk>
      <rc t="1" v="14411"/>
    </bk>
    <bk>
      <rc t="1" v="14412"/>
    </bk>
    <bk>
      <rc t="1" v="14413"/>
    </bk>
    <bk>
      <rc t="1" v="14414"/>
    </bk>
    <bk>
      <rc t="1" v="14415"/>
    </bk>
    <bk>
      <rc t="1" v="14416"/>
    </bk>
    <bk>
      <rc t="1" v="14417"/>
    </bk>
    <bk>
      <rc t="1" v="14418"/>
    </bk>
    <bk>
      <rc t="1" v="14419"/>
    </bk>
    <bk>
      <rc t="1" v="14420"/>
    </bk>
    <bk>
      <rc t="1" v="14421"/>
    </bk>
    <bk>
      <rc t="1" v="14422"/>
    </bk>
    <bk>
      <rc t="1" v="14423"/>
    </bk>
    <bk>
      <rc t="1" v="14424"/>
    </bk>
    <bk>
      <rc t="1" v="14425"/>
    </bk>
    <bk>
      <rc t="1" v="14426"/>
    </bk>
    <bk>
      <rc t="1" v="14427"/>
    </bk>
    <bk>
      <rc t="1" v="14428"/>
    </bk>
    <bk>
      <rc t="1" v="14429"/>
    </bk>
    <bk>
      <rc t="1" v="14430"/>
    </bk>
    <bk>
      <rc t="1" v="14431"/>
    </bk>
    <bk>
      <rc t="1" v="14432"/>
    </bk>
    <bk>
      <rc t="1" v="14433"/>
    </bk>
    <bk>
      <rc t="1" v="14434"/>
    </bk>
    <bk>
      <rc t="1" v="14435"/>
    </bk>
    <bk>
      <rc t="1" v="14436"/>
    </bk>
    <bk>
      <rc t="1" v="14437"/>
    </bk>
    <bk>
      <rc t="1" v="14438"/>
    </bk>
    <bk>
      <rc t="1" v="14439"/>
    </bk>
    <bk>
      <rc t="1" v="14440"/>
    </bk>
    <bk>
      <rc t="1" v="14441"/>
    </bk>
    <bk>
      <rc t="1" v="14442"/>
    </bk>
    <bk>
      <rc t="1" v="14443"/>
    </bk>
    <bk>
      <rc t="1" v="14444"/>
    </bk>
    <bk>
      <rc t="1" v="14445"/>
    </bk>
    <bk>
      <rc t="1" v="14446"/>
    </bk>
    <bk>
      <rc t="1" v="14447"/>
    </bk>
    <bk>
      <rc t="1" v="14448"/>
    </bk>
    <bk>
      <rc t="1" v="14449"/>
    </bk>
    <bk>
      <rc t="1" v="14450"/>
    </bk>
    <bk>
      <rc t="1" v="14451"/>
    </bk>
    <bk>
      <rc t="1" v="14452"/>
    </bk>
    <bk>
      <rc t="1" v="14453"/>
    </bk>
    <bk>
      <rc t="1" v="14454"/>
    </bk>
    <bk>
      <rc t="1" v="14455"/>
    </bk>
    <bk>
      <rc t="1" v="14456"/>
    </bk>
    <bk>
      <rc t="1" v="14457"/>
    </bk>
    <bk>
      <rc t="1" v="14458"/>
    </bk>
    <bk>
      <rc t="1" v="14459"/>
    </bk>
    <bk>
      <rc t="1" v="14460"/>
    </bk>
    <bk>
      <rc t="1" v="14461"/>
    </bk>
    <bk>
      <rc t="1" v="14462"/>
    </bk>
    <bk>
      <rc t="1" v="14463"/>
    </bk>
    <bk>
      <rc t="1" v="14464"/>
    </bk>
    <bk>
      <rc t="1" v="14465"/>
    </bk>
    <bk>
      <rc t="1" v="14466"/>
    </bk>
    <bk>
      <rc t="1" v="14467"/>
    </bk>
    <bk>
      <rc t="1" v="14468"/>
    </bk>
    <bk>
      <rc t="1" v="14469"/>
    </bk>
    <bk>
      <rc t="1" v="14470"/>
    </bk>
    <bk>
      <rc t="1" v="14471"/>
    </bk>
    <bk>
      <rc t="1" v="14472"/>
    </bk>
    <bk>
      <rc t="1" v="14473"/>
    </bk>
    <bk>
      <rc t="1" v="14474"/>
    </bk>
    <bk>
      <rc t="1" v="14475"/>
    </bk>
    <bk>
      <rc t="1" v="14476"/>
    </bk>
    <bk>
      <rc t="1" v="14477"/>
    </bk>
    <bk>
      <rc t="1" v="14478"/>
    </bk>
    <bk>
      <rc t="1" v="14479"/>
    </bk>
    <bk>
      <rc t="1" v="14480"/>
    </bk>
    <bk>
      <rc t="1" v="14481"/>
    </bk>
    <bk>
      <rc t="1" v="14482"/>
    </bk>
    <bk>
      <rc t="1" v="14483"/>
    </bk>
    <bk>
      <rc t="1" v="14484"/>
    </bk>
    <bk>
      <rc t="1" v="14485"/>
    </bk>
    <bk>
      <rc t="1" v="14486"/>
    </bk>
    <bk>
      <rc t="1" v="14487"/>
    </bk>
    <bk>
      <rc t="1" v="14488"/>
    </bk>
    <bk>
      <rc t="1" v="14489"/>
    </bk>
    <bk>
      <rc t="1" v="14490"/>
    </bk>
    <bk>
      <rc t="1" v="14491"/>
    </bk>
    <bk>
      <rc t="1" v="14492"/>
    </bk>
    <bk>
      <rc t="1" v="14493"/>
    </bk>
    <bk>
      <rc t="1" v="14494"/>
    </bk>
    <bk>
      <rc t="1" v="14495"/>
    </bk>
    <bk>
      <rc t="1" v="14496"/>
    </bk>
    <bk>
      <rc t="1" v="14497"/>
    </bk>
    <bk>
      <rc t="1" v="14498"/>
    </bk>
    <bk>
      <rc t="1" v="14499"/>
    </bk>
    <bk>
      <rc t="1" v="14500"/>
    </bk>
    <bk>
      <rc t="1" v="14501"/>
    </bk>
    <bk>
      <rc t="1" v="14502"/>
    </bk>
    <bk>
      <rc t="1" v="14503"/>
    </bk>
    <bk>
      <rc t="1" v="14504"/>
    </bk>
    <bk>
      <rc t="1" v="14505"/>
    </bk>
    <bk>
      <rc t="1" v="14506"/>
    </bk>
    <bk>
      <rc t="1" v="14507"/>
    </bk>
    <bk>
      <rc t="1" v="14508"/>
    </bk>
    <bk>
      <rc t="1" v="14509"/>
    </bk>
    <bk>
      <rc t="1" v="14510"/>
    </bk>
    <bk>
      <rc t="1" v="14511"/>
    </bk>
    <bk>
      <rc t="1" v="14512"/>
    </bk>
    <bk>
      <rc t="1" v="14513"/>
    </bk>
    <bk>
      <rc t="1" v="14514"/>
    </bk>
    <bk>
      <rc t="1" v="14515"/>
    </bk>
    <bk>
      <rc t="1" v="14516"/>
    </bk>
    <bk>
      <rc t="1" v="14517"/>
    </bk>
    <bk>
      <rc t="1" v="14518"/>
    </bk>
    <bk>
      <rc t="1" v="14519"/>
    </bk>
    <bk>
      <rc t="1" v="14520"/>
    </bk>
    <bk>
      <rc t="1" v="14521"/>
    </bk>
    <bk>
      <rc t="1" v="14522"/>
    </bk>
    <bk>
      <rc t="1" v="14523"/>
    </bk>
    <bk>
      <rc t="1" v="14524"/>
    </bk>
    <bk>
      <rc t="1" v="14525"/>
    </bk>
    <bk>
      <rc t="1" v="14526"/>
    </bk>
    <bk>
      <rc t="1" v="14527"/>
    </bk>
    <bk>
      <rc t="1" v="14528"/>
    </bk>
    <bk>
      <rc t="1" v="14529"/>
    </bk>
    <bk>
      <rc t="1" v="14530"/>
    </bk>
    <bk>
      <rc t="1" v="14531"/>
    </bk>
    <bk>
      <rc t="1" v="14532"/>
    </bk>
    <bk>
      <rc t="1" v="14533"/>
    </bk>
    <bk>
      <rc t="1" v="14534"/>
    </bk>
    <bk>
      <rc t="1" v="14535"/>
    </bk>
    <bk>
      <rc t="1" v="14536"/>
    </bk>
    <bk>
      <rc t="1" v="14537"/>
    </bk>
    <bk>
      <rc t="1" v="14538"/>
    </bk>
    <bk>
      <rc t="1" v="14539"/>
    </bk>
    <bk>
      <rc t="1" v="14540"/>
    </bk>
    <bk>
      <rc t="1" v="14541"/>
    </bk>
    <bk>
      <rc t="1" v="14542"/>
    </bk>
    <bk>
      <rc t="1" v="14543"/>
    </bk>
    <bk>
      <rc t="1" v="14544"/>
    </bk>
    <bk>
      <rc t="1" v="14545"/>
    </bk>
    <bk>
      <rc t="1" v="14546"/>
    </bk>
    <bk>
      <rc t="1" v="14547"/>
    </bk>
    <bk>
      <rc t="1" v="14548"/>
    </bk>
    <bk>
      <rc t="1" v="14549"/>
    </bk>
    <bk>
      <rc t="1" v="14550"/>
    </bk>
    <bk>
      <rc t="1" v="14551"/>
    </bk>
    <bk>
      <rc t="1" v="14552"/>
    </bk>
    <bk>
      <rc t="1" v="14553"/>
    </bk>
    <bk>
      <rc t="1" v="14554"/>
    </bk>
    <bk>
      <rc t="1" v="14555"/>
    </bk>
    <bk>
      <rc t="1" v="14556"/>
    </bk>
    <bk>
      <rc t="1" v="14557"/>
    </bk>
    <bk>
      <rc t="1" v="14558"/>
    </bk>
    <bk>
      <rc t="1" v="14559"/>
    </bk>
    <bk>
      <rc t="1" v="14560"/>
    </bk>
    <bk>
      <rc t="1" v="14561"/>
    </bk>
    <bk>
      <rc t="1" v="14562"/>
    </bk>
    <bk>
      <rc t="1" v="14563"/>
    </bk>
    <bk>
      <rc t="1" v="14564"/>
    </bk>
    <bk>
      <rc t="1" v="14565"/>
    </bk>
    <bk>
      <rc t="1" v="14566"/>
    </bk>
    <bk>
      <rc t="1" v="14567"/>
    </bk>
    <bk>
      <rc t="1" v="14568"/>
    </bk>
    <bk>
      <rc t="1" v="14569"/>
    </bk>
    <bk>
      <rc t="1" v="14570"/>
    </bk>
    <bk>
      <rc t="1" v="14571"/>
    </bk>
    <bk>
      <rc t="1" v="14572"/>
    </bk>
    <bk>
      <rc t="1" v="14573"/>
    </bk>
    <bk>
      <rc t="1" v="14574"/>
    </bk>
    <bk>
      <rc t="1" v="14575"/>
    </bk>
    <bk>
      <rc t="1" v="14576"/>
    </bk>
    <bk>
      <rc t="1" v="14577"/>
    </bk>
    <bk>
      <rc t="1" v="14578"/>
    </bk>
    <bk>
      <rc t="1" v="14579"/>
    </bk>
    <bk>
      <rc t="1" v="14580"/>
    </bk>
    <bk>
      <rc t="1" v="14581"/>
    </bk>
    <bk>
      <rc t="1" v="14582"/>
    </bk>
    <bk>
      <rc t="1" v="14583"/>
    </bk>
    <bk>
      <rc t="1" v="14584"/>
    </bk>
    <bk>
      <rc t="1" v="14585"/>
    </bk>
    <bk>
      <rc t="1" v="14586"/>
    </bk>
    <bk>
      <rc t="1" v="14587"/>
    </bk>
    <bk>
      <rc t="1" v="14588"/>
    </bk>
    <bk>
      <rc t="1" v="14589"/>
    </bk>
    <bk>
      <rc t="1" v="14590"/>
    </bk>
    <bk>
      <rc t="1" v="14591"/>
    </bk>
    <bk>
      <rc t="1" v="14592"/>
    </bk>
    <bk>
      <rc t="1" v="14593"/>
    </bk>
    <bk>
      <rc t="1" v="14594"/>
    </bk>
    <bk>
      <rc t="1" v="14595"/>
    </bk>
    <bk>
      <rc t="1" v="14596"/>
    </bk>
    <bk>
      <rc t="1" v="14597"/>
    </bk>
    <bk>
      <rc t="1" v="14598"/>
    </bk>
    <bk>
      <rc t="1" v="14599"/>
    </bk>
    <bk>
      <rc t="1" v="14600"/>
    </bk>
    <bk>
      <rc t="1" v="14601"/>
    </bk>
    <bk>
      <rc t="1" v="14602"/>
    </bk>
    <bk>
      <rc t="1" v="14603"/>
    </bk>
    <bk>
      <rc t="1" v="14604"/>
    </bk>
    <bk>
      <rc t="1" v="14605"/>
    </bk>
    <bk>
      <rc t="1" v="14606"/>
    </bk>
    <bk>
      <rc t="1" v="14607"/>
    </bk>
    <bk>
      <rc t="1" v="14608"/>
    </bk>
    <bk>
      <rc t="1" v="14609"/>
    </bk>
    <bk>
      <rc t="1" v="14610"/>
    </bk>
    <bk>
      <rc t="1" v="14611"/>
    </bk>
    <bk>
      <rc t="1" v="14612"/>
    </bk>
    <bk>
      <rc t="1" v="14613"/>
    </bk>
    <bk>
      <rc t="1" v="14614"/>
    </bk>
    <bk>
      <rc t="1" v="14615"/>
    </bk>
    <bk>
      <rc t="1" v="14616"/>
    </bk>
    <bk>
      <rc t="1" v="14617"/>
    </bk>
    <bk>
      <rc t="1" v="14618"/>
    </bk>
    <bk>
      <rc t="1" v="14619"/>
    </bk>
    <bk>
      <rc t="1" v="14620"/>
    </bk>
    <bk>
      <rc t="1" v="14621"/>
    </bk>
    <bk>
      <rc t="1" v="14622"/>
    </bk>
    <bk>
      <rc t="1" v="14623"/>
    </bk>
    <bk>
      <rc t="1" v="14624"/>
    </bk>
    <bk>
      <rc t="1" v="14625"/>
    </bk>
    <bk>
      <rc t="1" v="14626"/>
    </bk>
    <bk>
      <rc t="1" v="14627"/>
    </bk>
    <bk>
      <rc t="1" v="14628"/>
    </bk>
    <bk>
      <rc t="1" v="14629"/>
    </bk>
    <bk>
      <rc t="1" v="14630"/>
    </bk>
    <bk>
      <rc t="1" v="14631"/>
    </bk>
    <bk>
      <rc t="1" v="14632"/>
    </bk>
    <bk>
      <rc t="1" v="14633"/>
    </bk>
    <bk>
      <rc t="1" v="14634"/>
    </bk>
    <bk>
      <rc t="1" v="14635"/>
    </bk>
    <bk>
      <rc t="1" v="14636"/>
    </bk>
    <bk>
      <rc t="1" v="14637"/>
    </bk>
    <bk>
      <rc t="1" v="14638"/>
    </bk>
    <bk>
      <rc t="1" v="14639"/>
    </bk>
    <bk>
      <rc t="1" v="14640"/>
    </bk>
    <bk>
      <rc t="1" v="14641"/>
    </bk>
    <bk>
      <rc t="1" v="14642"/>
    </bk>
    <bk>
      <rc t="1" v="14643"/>
    </bk>
    <bk>
      <rc t="1" v="14644"/>
    </bk>
    <bk>
      <rc t="1" v="14645"/>
    </bk>
    <bk>
      <rc t="1" v="14646"/>
    </bk>
    <bk>
      <rc t="1" v="14647"/>
    </bk>
    <bk>
      <rc t="1" v="14648"/>
    </bk>
    <bk>
      <rc t="1" v="14649"/>
    </bk>
    <bk>
      <rc t="1" v="14650"/>
    </bk>
    <bk>
      <rc t="1" v="14651"/>
    </bk>
    <bk>
      <rc t="1" v="14652"/>
    </bk>
    <bk>
      <rc t="1" v="14653"/>
    </bk>
    <bk>
      <rc t="1" v="14654"/>
    </bk>
    <bk>
      <rc t="1" v="14655"/>
    </bk>
    <bk>
      <rc t="1" v="14656"/>
    </bk>
    <bk>
      <rc t="1" v="14657"/>
    </bk>
    <bk>
      <rc t="1" v="14658"/>
    </bk>
    <bk>
      <rc t="1" v="14659"/>
    </bk>
    <bk>
      <rc t="1" v="14660"/>
    </bk>
    <bk>
      <rc t="1" v="14661"/>
    </bk>
    <bk>
      <rc t="1" v="14662"/>
    </bk>
    <bk>
      <rc t="1" v="14663"/>
    </bk>
    <bk>
      <rc t="1" v="14664"/>
    </bk>
    <bk>
      <rc t="1" v="14665"/>
    </bk>
    <bk>
      <rc t="1" v="14666"/>
    </bk>
    <bk>
      <rc t="1" v="14667"/>
    </bk>
    <bk>
      <rc t="1" v="14668"/>
    </bk>
    <bk>
      <rc t="1" v="14669"/>
    </bk>
    <bk>
      <rc t="1" v="14670"/>
    </bk>
    <bk>
      <rc t="1" v="14671"/>
    </bk>
    <bk>
      <rc t="1" v="14672"/>
    </bk>
    <bk>
      <rc t="1" v="14673"/>
    </bk>
    <bk>
      <rc t="1" v="14674"/>
    </bk>
    <bk>
      <rc t="1" v="14675"/>
    </bk>
    <bk>
      <rc t="1" v="14676"/>
    </bk>
    <bk>
      <rc t="1" v="14677"/>
    </bk>
    <bk>
      <rc t="1" v="14678"/>
    </bk>
    <bk>
      <rc t="1" v="14679"/>
    </bk>
    <bk>
      <rc t="1" v="14680"/>
    </bk>
    <bk>
      <rc t="1" v="14681"/>
    </bk>
    <bk>
      <rc t="1" v="14682"/>
    </bk>
    <bk>
      <rc t="1" v="14683"/>
    </bk>
    <bk>
      <rc t="1" v="14684"/>
    </bk>
    <bk>
      <rc t="1" v="14685"/>
    </bk>
    <bk>
      <rc t="1" v="14686"/>
    </bk>
    <bk>
      <rc t="1" v="14687"/>
    </bk>
    <bk>
      <rc t="1" v="14688"/>
    </bk>
    <bk>
      <rc t="1" v="14689"/>
    </bk>
    <bk>
      <rc t="1" v="14690"/>
    </bk>
    <bk>
      <rc t="1" v="14691"/>
    </bk>
    <bk>
      <rc t="1" v="14692"/>
    </bk>
    <bk>
      <rc t="1" v="14693"/>
    </bk>
    <bk>
      <rc t="1" v="14694"/>
    </bk>
    <bk>
      <rc t="1" v="14695"/>
    </bk>
    <bk>
      <rc t="1" v="14696"/>
    </bk>
    <bk>
      <rc t="1" v="14697"/>
    </bk>
    <bk>
      <rc t="1" v="14698"/>
    </bk>
    <bk>
      <rc t="1" v="14699"/>
    </bk>
    <bk>
      <rc t="1" v="14700"/>
    </bk>
    <bk>
      <rc t="1" v="14701"/>
    </bk>
    <bk>
      <rc t="1" v="14702"/>
    </bk>
    <bk>
      <rc t="1" v="14703"/>
    </bk>
    <bk>
      <rc t="1" v="14704"/>
    </bk>
    <bk>
      <rc t="1" v="14705"/>
    </bk>
    <bk>
      <rc t="1" v="14706"/>
    </bk>
    <bk>
      <rc t="1" v="14707"/>
    </bk>
    <bk>
      <rc t="1" v="14708"/>
    </bk>
    <bk>
      <rc t="1" v="14709"/>
    </bk>
    <bk>
      <rc t="1" v="14710"/>
    </bk>
    <bk>
      <rc t="1" v="14711"/>
    </bk>
    <bk>
      <rc t="1" v="14712"/>
    </bk>
    <bk>
      <rc t="1" v="14713"/>
    </bk>
    <bk>
      <rc t="1" v="14714"/>
    </bk>
    <bk>
      <rc t="1" v="14715"/>
    </bk>
    <bk>
      <rc t="1" v="14716"/>
    </bk>
    <bk>
      <rc t="1" v="14717"/>
    </bk>
    <bk>
      <rc t="1" v="14718"/>
    </bk>
    <bk>
      <rc t="1" v="14719"/>
    </bk>
    <bk>
      <rc t="1" v="14720"/>
    </bk>
    <bk>
      <rc t="1" v="14721"/>
    </bk>
    <bk>
      <rc t="1" v="14722"/>
    </bk>
    <bk>
      <rc t="1" v="14723"/>
    </bk>
    <bk>
      <rc t="1" v="14724"/>
    </bk>
    <bk>
      <rc t="1" v="14725"/>
    </bk>
    <bk>
      <rc t="1" v="14726"/>
    </bk>
    <bk>
      <rc t="1" v="14727"/>
    </bk>
    <bk>
      <rc t="1" v="14728"/>
    </bk>
    <bk>
      <rc t="1" v="14729"/>
    </bk>
    <bk>
      <rc t="1" v="14730"/>
    </bk>
    <bk>
      <rc t="1" v="14731"/>
    </bk>
    <bk>
      <rc t="1" v="14732"/>
    </bk>
    <bk>
      <rc t="1" v="14733"/>
    </bk>
    <bk>
      <rc t="1" v="14734"/>
    </bk>
    <bk>
      <rc t="1" v="14735"/>
    </bk>
    <bk>
      <rc t="1" v="14736"/>
    </bk>
    <bk>
      <rc t="1" v="14737"/>
    </bk>
    <bk>
      <rc t="1" v="14738"/>
    </bk>
    <bk>
      <rc t="1" v="14739"/>
    </bk>
    <bk>
      <rc t="1" v="14740"/>
    </bk>
    <bk>
      <rc t="1" v="14741"/>
    </bk>
    <bk>
      <rc t="1" v="14742"/>
    </bk>
    <bk>
      <rc t="1" v="14743"/>
    </bk>
    <bk>
      <rc t="1" v="14744"/>
    </bk>
    <bk>
      <rc t="1" v="14745"/>
    </bk>
    <bk>
      <rc t="1" v="14746"/>
    </bk>
    <bk>
      <rc t="1" v="14747"/>
    </bk>
    <bk>
      <rc t="1" v="14748"/>
    </bk>
    <bk>
      <rc t="1" v="14749"/>
    </bk>
    <bk>
      <rc t="1" v="14750"/>
    </bk>
    <bk>
      <rc t="1" v="14751"/>
    </bk>
    <bk>
      <rc t="1" v="14752"/>
    </bk>
    <bk>
      <rc t="1" v="14753"/>
    </bk>
    <bk>
      <rc t="1" v="14754"/>
    </bk>
    <bk>
      <rc t="1" v="14755"/>
    </bk>
    <bk>
      <rc t="1" v="14756"/>
    </bk>
    <bk>
      <rc t="1" v="14757"/>
    </bk>
    <bk>
      <rc t="1" v="14758"/>
    </bk>
    <bk>
      <rc t="1" v="14759"/>
    </bk>
    <bk>
      <rc t="1" v="14760"/>
    </bk>
    <bk>
      <rc t="1" v="14761"/>
    </bk>
    <bk>
      <rc t="1" v="14762"/>
    </bk>
    <bk>
      <rc t="1" v="14763"/>
    </bk>
    <bk>
      <rc t="1" v="14764"/>
    </bk>
    <bk>
      <rc t="1" v="14765"/>
    </bk>
    <bk>
      <rc t="1" v="14766"/>
    </bk>
    <bk>
      <rc t="1" v="14767"/>
    </bk>
    <bk>
      <rc t="1" v="14768"/>
    </bk>
    <bk>
      <rc t="1" v="14769"/>
    </bk>
    <bk>
      <rc t="1" v="14770"/>
    </bk>
    <bk>
      <rc t="1" v="14771"/>
    </bk>
    <bk>
      <rc t="1" v="14772"/>
    </bk>
    <bk>
      <rc t="1" v="14773"/>
    </bk>
    <bk>
      <rc t="1" v="14774"/>
    </bk>
    <bk>
      <rc t="1" v="14775"/>
    </bk>
    <bk>
      <rc t="1" v="14776"/>
    </bk>
    <bk>
      <rc t="1" v="14777"/>
    </bk>
    <bk>
      <rc t="1" v="14778"/>
    </bk>
    <bk>
      <rc t="1" v="14779"/>
    </bk>
    <bk>
      <rc t="1" v="14780"/>
    </bk>
    <bk>
      <rc t="1" v="14781"/>
    </bk>
    <bk>
      <rc t="1" v="14782"/>
    </bk>
    <bk>
      <rc t="1" v="14783"/>
    </bk>
    <bk>
      <rc t="1" v="14784"/>
    </bk>
    <bk>
      <rc t="1" v="14785"/>
    </bk>
    <bk>
      <rc t="1" v="14786"/>
    </bk>
    <bk>
      <rc t="1" v="14787"/>
    </bk>
    <bk>
      <rc t="1" v="14788"/>
    </bk>
    <bk>
      <rc t="1" v="14789"/>
    </bk>
    <bk>
      <rc t="1" v="14790"/>
    </bk>
    <bk>
      <rc t="1" v="14791"/>
    </bk>
    <bk>
      <rc t="1" v="14792"/>
    </bk>
    <bk>
      <rc t="1" v="14793"/>
    </bk>
    <bk>
      <rc t="1" v="14794"/>
    </bk>
    <bk>
      <rc t="1" v="14795"/>
    </bk>
    <bk>
      <rc t="1" v="14796"/>
    </bk>
    <bk>
      <rc t="1" v="14797"/>
    </bk>
    <bk>
      <rc t="1" v="14798"/>
    </bk>
    <bk>
      <rc t="1" v="14799"/>
    </bk>
    <bk>
      <rc t="1" v="14800"/>
    </bk>
    <bk>
      <rc t="1" v="14801"/>
    </bk>
    <bk>
      <rc t="1" v="14802"/>
    </bk>
    <bk>
      <rc t="1" v="14803"/>
    </bk>
    <bk>
      <rc t="1" v="14804"/>
    </bk>
    <bk>
      <rc t="1" v="14805"/>
    </bk>
    <bk>
      <rc t="1" v="14806"/>
    </bk>
    <bk>
      <rc t="1" v="14807"/>
    </bk>
    <bk>
      <rc t="1" v="14808"/>
    </bk>
    <bk>
      <rc t="1" v="14809"/>
    </bk>
    <bk>
      <rc t="1" v="14810"/>
    </bk>
    <bk>
      <rc t="1" v="14811"/>
    </bk>
    <bk>
      <rc t="1" v="14812"/>
    </bk>
    <bk>
      <rc t="1" v="14813"/>
    </bk>
    <bk>
      <rc t="1" v="14814"/>
    </bk>
    <bk>
      <rc t="1" v="14815"/>
    </bk>
    <bk>
      <rc t="1" v="14816"/>
    </bk>
    <bk>
      <rc t="1" v="14817"/>
    </bk>
    <bk>
      <rc t="1" v="14818"/>
    </bk>
    <bk>
      <rc t="1" v="14819"/>
    </bk>
    <bk>
      <rc t="1" v="14820"/>
    </bk>
    <bk>
      <rc t="1" v="14821"/>
    </bk>
    <bk>
      <rc t="1" v="14822"/>
    </bk>
    <bk>
      <rc t="1" v="14823"/>
    </bk>
    <bk>
      <rc t="1" v="14824"/>
    </bk>
    <bk>
      <rc t="1" v="14825"/>
    </bk>
    <bk>
      <rc t="1" v="14826"/>
    </bk>
    <bk>
      <rc t="1" v="14827"/>
    </bk>
    <bk>
      <rc t="1" v="14828"/>
    </bk>
    <bk>
      <rc t="1" v="14829"/>
    </bk>
    <bk>
      <rc t="1" v="14830"/>
    </bk>
    <bk>
      <rc t="1" v="14831"/>
    </bk>
    <bk>
      <rc t="1" v="14832"/>
    </bk>
    <bk>
      <rc t="1" v="14833"/>
    </bk>
    <bk>
      <rc t="1" v="14834"/>
    </bk>
    <bk>
      <rc t="1" v="14835"/>
    </bk>
    <bk>
      <rc t="1" v="14836"/>
    </bk>
    <bk>
      <rc t="1" v="14837"/>
    </bk>
    <bk>
      <rc t="1" v="14838"/>
    </bk>
    <bk>
      <rc t="1" v="14839"/>
    </bk>
    <bk>
      <rc t="1" v="14840"/>
    </bk>
    <bk>
      <rc t="1" v="14841"/>
    </bk>
    <bk>
      <rc t="1" v="14842"/>
    </bk>
    <bk>
      <rc t="1" v="14843"/>
    </bk>
    <bk>
      <rc t="1" v="14844"/>
    </bk>
    <bk>
      <rc t="1" v="14845"/>
    </bk>
    <bk>
      <rc t="1" v="14846"/>
    </bk>
    <bk>
      <rc t="1" v="14847"/>
    </bk>
    <bk>
      <rc t="1" v="14848"/>
    </bk>
    <bk>
      <rc t="1" v="14849"/>
    </bk>
    <bk>
      <rc t="1" v="14850"/>
    </bk>
    <bk>
      <rc t="1" v="14851"/>
    </bk>
    <bk>
      <rc t="1" v="14852"/>
    </bk>
    <bk>
      <rc t="1" v="14853"/>
    </bk>
    <bk>
      <rc t="1" v="14854"/>
    </bk>
    <bk>
      <rc t="1" v="14855"/>
    </bk>
    <bk>
      <rc t="1" v="14856"/>
    </bk>
    <bk>
      <rc t="1" v="14857"/>
    </bk>
    <bk>
      <rc t="1" v="14858"/>
    </bk>
    <bk>
      <rc t="1" v="14859"/>
    </bk>
    <bk>
      <rc t="1" v="14860"/>
    </bk>
    <bk>
      <rc t="1" v="14861"/>
    </bk>
    <bk>
      <rc t="1" v="14862"/>
    </bk>
    <bk>
      <rc t="1" v="14863"/>
    </bk>
    <bk>
      <rc t="1" v="14864"/>
    </bk>
    <bk>
      <rc t="1" v="14865"/>
    </bk>
    <bk>
      <rc t="1" v="14866"/>
    </bk>
    <bk>
      <rc t="1" v="14867"/>
    </bk>
    <bk>
      <rc t="1" v="14868"/>
    </bk>
    <bk>
      <rc t="1" v="14869"/>
    </bk>
    <bk>
      <rc t="1" v="14870"/>
    </bk>
    <bk>
      <rc t="1" v="14871"/>
    </bk>
    <bk>
      <rc t="1" v="14872"/>
    </bk>
    <bk>
      <rc t="1" v="14873"/>
    </bk>
    <bk>
      <rc t="1" v="14874"/>
    </bk>
    <bk>
      <rc t="1" v="14875"/>
    </bk>
    <bk>
      <rc t="1" v="14876"/>
    </bk>
    <bk>
      <rc t="1" v="14877"/>
    </bk>
    <bk>
      <rc t="1" v="14878"/>
    </bk>
    <bk>
      <rc t="1" v="14879"/>
    </bk>
    <bk>
      <rc t="1" v="14880"/>
    </bk>
    <bk>
      <rc t="1" v="14881"/>
    </bk>
    <bk>
      <rc t="1" v="14882"/>
    </bk>
    <bk>
      <rc t="1" v="14883"/>
    </bk>
    <bk>
      <rc t="1" v="14884"/>
    </bk>
    <bk>
      <rc t="1" v="14885"/>
    </bk>
    <bk>
      <rc t="1" v="14886"/>
    </bk>
    <bk>
      <rc t="1" v="14887"/>
    </bk>
    <bk>
      <rc t="1" v="14888"/>
    </bk>
    <bk>
      <rc t="1" v="14889"/>
    </bk>
    <bk>
      <rc t="1" v="14890"/>
    </bk>
    <bk>
      <rc t="1" v="14891"/>
    </bk>
    <bk>
      <rc t="1" v="14892"/>
    </bk>
    <bk>
      <rc t="1" v="14893"/>
    </bk>
    <bk>
      <rc t="1" v="14894"/>
    </bk>
    <bk>
      <rc t="1" v="14895"/>
    </bk>
    <bk>
      <rc t="1" v="14896"/>
    </bk>
    <bk>
      <rc t="1" v="14897"/>
    </bk>
    <bk>
      <rc t="1" v="14898"/>
    </bk>
    <bk>
      <rc t="1" v="14899"/>
    </bk>
    <bk>
      <rc t="1" v="14900"/>
    </bk>
    <bk>
      <rc t="1" v="14901"/>
    </bk>
    <bk>
      <rc t="1" v="14902"/>
    </bk>
    <bk>
      <rc t="1" v="14903"/>
    </bk>
    <bk>
      <rc t="1" v="14904"/>
    </bk>
    <bk>
      <rc t="1" v="14905"/>
    </bk>
    <bk>
      <rc t="1" v="14906"/>
    </bk>
    <bk>
      <rc t="1" v="14907"/>
    </bk>
    <bk>
      <rc t="1" v="14908"/>
    </bk>
    <bk>
      <rc t="1" v="14909"/>
    </bk>
    <bk>
      <rc t="1" v="14910"/>
    </bk>
    <bk>
      <rc t="1" v="14911"/>
    </bk>
    <bk>
      <rc t="1" v="14912"/>
    </bk>
    <bk>
      <rc t="1" v="14913"/>
    </bk>
    <bk>
      <rc t="1" v="14914"/>
    </bk>
    <bk>
      <rc t="1" v="14915"/>
    </bk>
    <bk>
      <rc t="1" v="14916"/>
    </bk>
    <bk>
      <rc t="1" v="14917"/>
    </bk>
    <bk>
      <rc t="1" v="14918"/>
    </bk>
    <bk>
      <rc t="1" v="14919"/>
    </bk>
    <bk>
      <rc t="1" v="14920"/>
    </bk>
    <bk>
      <rc t="1" v="14921"/>
    </bk>
    <bk>
      <rc t="1" v="14922"/>
    </bk>
    <bk>
      <rc t="1" v="14923"/>
    </bk>
    <bk>
      <rc t="1" v="14924"/>
    </bk>
    <bk>
      <rc t="1" v="14925"/>
    </bk>
    <bk>
      <rc t="1" v="14926"/>
    </bk>
    <bk>
      <rc t="1" v="14927"/>
    </bk>
    <bk>
      <rc t="1" v="14928"/>
    </bk>
    <bk>
      <rc t="1" v="14929"/>
    </bk>
    <bk>
      <rc t="1" v="14930"/>
    </bk>
    <bk>
      <rc t="1" v="14931"/>
    </bk>
    <bk>
      <rc t="1" v="14932"/>
    </bk>
    <bk>
      <rc t="1" v="14933"/>
    </bk>
    <bk>
      <rc t="1" v="14934"/>
    </bk>
    <bk>
      <rc t="1" v="14935"/>
    </bk>
    <bk>
      <rc t="1" v="14936"/>
    </bk>
    <bk>
      <rc t="1" v="14937"/>
    </bk>
    <bk>
      <rc t="1" v="14938"/>
    </bk>
    <bk>
      <rc t="1" v="14939"/>
    </bk>
    <bk>
      <rc t="1" v="14940"/>
    </bk>
    <bk>
      <rc t="1" v="14941"/>
    </bk>
    <bk>
      <rc t="1" v="14942"/>
    </bk>
    <bk>
      <rc t="1" v="14943"/>
    </bk>
    <bk>
      <rc t="1" v="14944"/>
    </bk>
    <bk>
      <rc t="1" v="14945"/>
    </bk>
    <bk>
      <rc t="1" v="14946"/>
    </bk>
    <bk>
      <rc t="1" v="14947"/>
    </bk>
    <bk>
      <rc t="1" v="14948"/>
    </bk>
    <bk>
      <rc t="1" v="14949"/>
    </bk>
    <bk>
      <rc t="1" v="14950"/>
    </bk>
    <bk>
      <rc t="1" v="14951"/>
    </bk>
    <bk>
      <rc t="1" v="14952"/>
    </bk>
    <bk>
      <rc t="1" v="14953"/>
    </bk>
    <bk>
      <rc t="1" v="14954"/>
    </bk>
    <bk>
      <rc t="1" v="14955"/>
    </bk>
    <bk>
      <rc t="1" v="14956"/>
    </bk>
    <bk>
      <rc t="1" v="14957"/>
    </bk>
    <bk>
      <rc t="1" v="14958"/>
    </bk>
    <bk>
      <rc t="1" v="14959"/>
    </bk>
    <bk>
      <rc t="1" v="14960"/>
    </bk>
    <bk>
      <rc t="1" v="14961"/>
    </bk>
    <bk>
      <rc t="1" v="14962"/>
    </bk>
    <bk>
      <rc t="1" v="14963"/>
    </bk>
    <bk>
      <rc t="1" v="14964"/>
    </bk>
    <bk>
      <rc t="1" v="14965"/>
    </bk>
    <bk>
      <rc t="1" v="14966"/>
    </bk>
    <bk>
      <rc t="1" v="14967"/>
    </bk>
    <bk>
      <rc t="1" v="14968"/>
    </bk>
    <bk>
      <rc t="1" v="14969"/>
    </bk>
    <bk>
      <rc t="1" v="14970"/>
    </bk>
    <bk>
      <rc t="1" v="14971"/>
    </bk>
    <bk>
      <rc t="1" v="14972"/>
    </bk>
    <bk>
      <rc t="1" v="14973"/>
    </bk>
    <bk>
      <rc t="1" v="14974"/>
    </bk>
    <bk>
      <rc t="1" v="14975"/>
    </bk>
    <bk>
      <rc t="1" v="14976"/>
    </bk>
    <bk>
      <rc t="1" v="14977"/>
    </bk>
    <bk>
      <rc t="1" v="14978"/>
    </bk>
    <bk>
      <rc t="1" v="14979"/>
    </bk>
    <bk>
      <rc t="1" v="14980"/>
    </bk>
    <bk>
      <rc t="1" v="14981"/>
    </bk>
    <bk>
      <rc t="1" v="14982"/>
    </bk>
    <bk>
      <rc t="1" v="14983"/>
    </bk>
    <bk>
      <rc t="1" v="14984"/>
    </bk>
    <bk>
      <rc t="1" v="14985"/>
    </bk>
    <bk>
      <rc t="1" v="14986"/>
    </bk>
    <bk>
      <rc t="1" v="14987"/>
    </bk>
    <bk>
      <rc t="1" v="14988"/>
    </bk>
    <bk>
      <rc t="1" v="14989"/>
    </bk>
    <bk>
      <rc t="1" v="14990"/>
    </bk>
    <bk>
      <rc t="1" v="14991"/>
    </bk>
    <bk>
      <rc t="1" v="14992"/>
    </bk>
    <bk>
      <rc t="1" v="14993"/>
    </bk>
    <bk>
      <rc t="1" v="14994"/>
    </bk>
    <bk>
      <rc t="1" v="14995"/>
    </bk>
    <bk>
      <rc t="1" v="14996"/>
    </bk>
    <bk>
      <rc t="1" v="14997"/>
    </bk>
    <bk>
      <rc t="1" v="14998"/>
    </bk>
    <bk>
      <rc t="1" v="14999"/>
    </bk>
    <bk>
      <rc t="1" v="15000"/>
    </bk>
    <bk>
      <rc t="1" v="15001"/>
    </bk>
    <bk>
      <rc t="1" v="15002"/>
    </bk>
    <bk>
      <rc t="1" v="15003"/>
    </bk>
    <bk>
      <rc t="1" v="15004"/>
    </bk>
    <bk>
      <rc t="1" v="15005"/>
    </bk>
    <bk>
      <rc t="1" v="15006"/>
    </bk>
    <bk>
      <rc t="1" v="15007"/>
    </bk>
    <bk>
      <rc t="1" v="15008"/>
    </bk>
    <bk>
      <rc t="1" v="15009"/>
    </bk>
    <bk>
      <rc t="1" v="15010"/>
    </bk>
    <bk>
      <rc t="1" v="15011"/>
    </bk>
    <bk>
      <rc t="1" v="15012"/>
    </bk>
    <bk>
      <rc t="1" v="15013"/>
    </bk>
    <bk>
      <rc t="1" v="15014"/>
    </bk>
    <bk>
      <rc t="1" v="15015"/>
    </bk>
    <bk>
      <rc t="1" v="15016"/>
    </bk>
    <bk>
      <rc t="1" v="15017"/>
    </bk>
    <bk>
      <rc t="1" v="15018"/>
    </bk>
    <bk>
      <rc t="1" v="15019"/>
    </bk>
    <bk>
      <rc t="1" v="15020"/>
    </bk>
    <bk>
      <rc t="1" v="15021"/>
    </bk>
    <bk>
      <rc t="1" v="15022"/>
    </bk>
    <bk>
      <rc t="1" v="15023"/>
    </bk>
    <bk>
      <rc t="1" v="15024"/>
    </bk>
    <bk>
      <rc t="1" v="15025"/>
    </bk>
    <bk>
      <rc t="1" v="15026"/>
    </bk>
    <bk>
      <rc t="1" v="15027"/>
    </bk>
    <bk>
      <rc t="1" v="15028"/>
    </bk>
    <bk>
      <rc t="1" v="15029"/>
    </bk>
    <bk>
      <rc t="1" v="15030"/>
    </bk>
    <bk>
      <rc t="1" v="15031"/>
    </bk>
    <bk>
      <rc t="1" v="15032"/>
    </bk>
    <bk>
      <rc t="1" v="15033"/>
    </bk>
    <bk>
      <rc t="1" v="15034"/>
    </bk>
    <bk>
      <rc t="1" v="15035"/>
    </bk>
    <bk>
      <rc t="1" v="15036"/>
    </bk>
    <bk>
      <rc t="1" v="15037"/>
    </bk>
    <bk>
      <rc t="1" v="15038"/>
    </bk>
    <bk>
      <rc t="1" v="15039"/>
    </bk>
    <bk>
      <rc t="1" v="15040"/>
    </bk>
    <bk>
      <rc t="1" v="15041"/>
    </bk>
    <bk>
      <rc t="1" v="15042"/>
    </bk>
    <bk>
      <rc t="1" v="15043"/>
    </bk>
    <bk>
      <rc t="1" v="15044"/>
    </bk>
    <bk>
      <rc t="1" v="15045"/>
    </bk>
    <bk>
      <rc t="1" v="15046"/>
    </bk>
    <bk>
      <rc t="1" v="15047"/>
    </bk>
    <bk>
      <rc t="1" v="15048"/>
    </bk>
    <bk>
      <rc t="1" v="15049"/>
    </bk>
    <bk>
      <rc t="1" v="15050"/>
    </bk>
    <bk>
      <rc t="1" v="15051"/>
    </bk>
    <bk>
      <rc t="1" v="15052"/>
    </bk>
    <bk>
      <rc t="1" v="15053"/>
    </bk>
    <bk>
      <rc t="1" v="15054"/>
    </bk>
    <bk>
      <rc t="1" v="15055"/>
    </bk>
    <bk>
      <rc t="1" v="15056"/>
    </bk>
    <bk>
      <rc t="1" v="15057"/>
    </bk>
    <bk>
      <rc t="1" v="15058"/>
    </bk>
    <bk>
      <rc t="1" v="15059"/>
    </bk>
    <bk>
      <rc t="1" v="15060"/>
    </bk>
    <bk>
      <rc t="1" v="15061"/>
    </bk>
    <bk>
      <rc t="1" v="15062"/>
    </bk>
    <bk>
      <rc t="1" v="15063"/>
    </bk>
    <bk>
      <rc t="1" v="15064"/>
    </bk>
    <bk>
      <rc t="1" v="15065"/>
    </bk>
    <bk>
      <rc t="1" v="15066"/>
    </bk>
    <bk>
      <rc t="1" v="15067"/>
    </bk>
    <bk>
      <rc t="1" v="15068"/>
    </bk>
    <bk>
      <rc t="1" v="15069"/>
    </bk>
    <bk>
      <rc t="1" v="15070"/>
    </bk>
    <bk>
      <rc t="1" v="15071"/>
    </bk>
    <bk>
      <rc t="1" v="15072"/>
    </bk>
    <bk>
      <rc t="1" v="15073"/>
    </bk>
    <bk>
      <rc t="1" v="15074"/>
    </bk>
    <bk>
      <rc t="1" v="15075"/>
    </bk>
    <bk>
      <rc t="1" v="15076"/>
    </bk>
    <bk>
      <rc t="1" v="15077"/>
    </bk>
    <bk>
      <rc t="1" v="15078"/>
    </bk>
    <bk>
      <rc t="1" v="15079"/>
    </bk>
    <bk>
      <rc t="1" v="15080"/>
    </bk>
    <bk>
      <rc t="1" v="15081"/>
    </bk>
    <bk>
      <rc t="1" v="15082"/>
    </bk>
    <bk>
      <rc t="1" v="15083"/>
    </bk>
    <bk>
      <rc t="1" v="15084"/>
    </bk>
    <bk>
      <rc t="1" v="15085"/>
    </bk>
    <bk>
      <rc t="1" v="15086"/>
    </bk>
    <bk>
      <rc t="1" v="15087"/>
    </bk>
    <bk>
      <rc t="1" v="15088"/>
    </bk>
    <bk>
      <rc t="1" v="15089"/>
    </bk>
    <bk>
      <rc t="1" v="15090"/>
    </bk>
    <bk>
      <rc t="1" v="15091"/>
    </bk>
    <bk>
      <rc t="1" v="15092"/>
    </bk>
    <bk>
      <rc t="1" v="15093"/>
    </bk>
    <bk>
      <rc t="1" v="15094"/>
    </bk>
    <bk>
      <rc t="1" v="15095"/>
    </bk>
    <bk>
      <rc t="1" v="15096"/>
    </bk>
    <bk>
      <rc t="1" v="15097"/>
    </bk>
    <bk>
      <rc t="1" v="15098"/>
    </bk>
    <bk>
      <rc t="1" v="15099"/>
    </bk>
    <bk>
      <rc t="1" v="15100"/>
    </bk>
    <bk>
      <rc t="1" v="15101"/>
    </bk>
    <bk>
      <rc t="1" v="15102"/>
    </bk>
    <bk>
      <rc t="1" v="15103"/>
    </bk>
    <bk>
      <rc t="1" v="15104"/>
    </bk>
    <bk>
      <rc t="1" v="15105"/>
    </bk>
    <bk>
      <rc t="1" v="15106"/>
    </bk>
    <bk>
      <rc t="1" v="15107"/>
    </bk>
    <bk>
      <rc t="1" v="15108"/>
    </bk>
    <bk>
      <rc t="1" v="15109"/>
    </bk>
    <bk>
      <rc t="1" v="15110"/>
    </bk>
    <bk>
      <rc t="1" v="15111"/>
    </bk>
    <bk>
      <rc t="1" v="15112"/>
    </bk>
    <bk>
      <rc t="1" v="15113"/>
    </bk>
    <bk>
      <rc t="1" v="15114"/>
    </bk>
    <bk>
      <rc t="1" v="15115"/>
    </bk>
    <bk>
      <rc t="1" v="15116"/>
    </bk>
    <bk>
      <rc t="1" v="15117"/>
    </bk>
    <bk>
      <rc t="1" v="15118"/>
    </bk>
    <bk>
      <rc t="1" v="15119"/>
    </bk>
    <bk>
      <rc t="1" v="15120"/>
    </bk>
    <bk>
      <rc t="1" v="15121"/>
    </bk>
    <bk>
      <rc t="1" v="15122"/>
    </bk>
    <bk>
      <rc t="1" v="15123"/>
    </bk>
    <bk>
      <rc t="1" v="15124"/>
    </bk>
    <bk>
      <rc t="1" v="15125"/>
    </bk>
    <bk>
      <rc t="1" v="15126"/>
    </bk>
    <bk>
      <rc t="1" v="15127"/>
    </bk>
    <bk>
      <rc t="1" v="15128"/>
    </bk>
    <bk>
      <rc t="1" v="15129"/>
    </bk>
    <bk>
      <rc t="1" v="15130"/>
    </bk>
    <bk>
      <rc t="1" v="15131"/>
    </bk>
    <bk>
      <rc t="1" v="15132"/>
    </bk>
    <bk>
      <rc t="1" v="15133"/>
    </bk>
    <bk>
      <rc t="1" v="15134"/>
    </bk>
    <bk>
      <rc t="1" v="15135"/>
    </bk>
    <bk>
      <rc t="1" v="15136"/>
    </bk>
    <bk>
      <rc t="1" v="15137"/>
    </bk>
    <bk>
      <rc t="1" v="15138"/>
    </bk>
    <bk>
      <rc t="1" v="15139"/>
    </bk>
    <bk>
      <rc t="1" v="15140"/>
    </bk>
    <bk>
      <rc t="1" v="15141"/>
    </bk>
    <bk>
      <rc t="1" v="15142"/>
    </bk>
    <bk>
      <rc t="1" v="15143"/>
    </bk>
    <bk>
      <rc t="1" v="15144"/>
    </bk>
    <bk>
      <rc t="1" v="15145"/>
    </bk>
    <bk>
      <rc t="1" v="15146"/>
    </bk>
    <bk>
      <rc t="1" v="15147"/>
    </bk>
    <bk>
      <rc t="1" v="15148"/>
    </bk>
    <bk>
      <rc t="1" v="15149"/>
    </bk>
    <bk>
      <rc t="1" v="15150"/>
    </bk>
    <bk>
      <rc t="1" v="15151"/>
    </bk>
    <bk>
      <rc t="1" v="15152"/>
    </bk>
    <bk>
      <rc t="1" v="15153"/>
    </bk>
    <bk>
      <rc t="1" v="15154"/>
    </bk>
    <bk>
      <rc t="1" v="15155"/>
    </bk>
    <bk>
      <rc t="1" v="15156"/>
    </bk>
    <bk>
      <rc t="1" v="15157"/>
    </bk>
    <bk>
      <rc t="1" v="15158"/>
    </bk>
    <bk>
      <rc t="1" v="15159"/>
    </bk>
    <bk>
      <rc t="1" v="15160"/>
    </bk>
    <bk>
      <rc t="1" v="15161"/>
    </bk>
    <bk>
      <rc t="1" v="15162"/>
    </bk>
    <bk>
      <rc t="1" v="15163"/>
    </bk>
    <bk>
      <rc t="1" v="15164"/>
    </bk>
    <bk>
      <rc t="1" v="15165"/>
    </bk>
    <bk>
      <rc t="1" v="15166"/>
    </bk>
    <bk>
      <rc t="1" v="15167"/>
    </bk>
    <bk>
      <rc t="1" v="15168"/>
    </bk>
    <bk>
      <rc t="1" v="15169"/>
    </bk>
    <bk>
      <rc t="1" v="15170"/>
    </bk>
    <bk>
      <rc t="1" v="15171"/>
    </bk>
    <bk>
      <rc t="1" v="15172"/>
    </bk>
    <bk>
      <rc t="1" v="15173"/>
    </bk>
    <bk>
      <rc t="1" v="15174"/>
    </bk>
    <bk>
      <rc t="1" v="15175"/>
    </bk>
    <bk>
      <rc t="1" v="15176"/>
    </bk>
    <bk>
      <rc t="1" v="15177"/>
    </bk>
    <bk>
      <rc t="1" v="15178"/>
    </bk>
    <bk>
      <rc t="1" v="15179"/>
    </bk>
    <bk>
      <rc t="1" v="15180"/>
    </bk>
    <bk>
      <rc t="1" v="15181"/>
    </bk>
    <bk>
      <rc t="1" v="15182"/>
    </bk>
    <bk>
      <rc t="1" v="15183"/>
    </bk>
    <bk>
      <rc t="1" v="15184"/>
    </bk>
    <bk>
      <rc t="1" v="15185"/>
    </bk>
    <bk>
      <rc t="1" v="15186"/>
    </bk>
    <bk>
      <rc t="1" v="15187"/>
    </bk>
    <bk>
      <rc t="1" v="15188"/>
    </bk>
    <bk>
      <rc t="1" v="15189"/>
    </bk>
    <bk>
      <rc t="1" v="15190"/>
    </bk>
    <bk>
      <rc t="1" v="15191"/>
    </bk>
    <bk>
      <rc t="1" v="15192"/>
    </bk>
    <bk>
      <rc t="1" v="15193"/>
    </bk>
    <bk>
      <rc t="1" v="15194"/>
    </bk>
    <bk>
      <rc t="1" v="15195"/>
    </bk>
    <bk>
      <rc t="1" v="15196"/>
    </bk>
    <bk>
      <rc t="1" v="15197"/>
    </bk>
    <bk>
      <rc t="1" v="15198"/>
    </bk>
    <bk>
      <rc t="1" v="15199"/>
    </bk>
    <bk>
      <rc t="1" v="15200"/>
    </bk>
    <bk>
      <rc t="1" v="15201"/>
    </bk>
    <bk>
      <rc t="1" v="15202"/>
    </bk>
    <bk>
      <rc t="1" v="15203"/>
    </bk>
    <bk>
      <rc t="1" v="15204"/>
    </bk>
    <bk>
      <rc t="1" v="15205"/>
    </bk>
    <bk>
      <rc t="1" v="15206"/>
    </bk>
    <bk>
      <rc t="1" v="15207"/>
    </bk>
    <bk>
      <rc t="1" v="15208"/>
    </bk>
    <bk>
      <rc t="1" v="15209"/>
    </bk>
    <bk>
      <rc t="1" v="15210"/>
    </bk>
    <bk>
      <rc t="1" v="15211"/>
    </bk>
    <bk>
      <rc t="1" v="15212"/>
    </bk>
    <bk>
      <rc t="1" v="15213"/>
    </bk>
    <bk>
      <rc t="1" v="15214"/>
    </bk>
    <bk>
      <rc t="1" v="15215"/>
    </bk>
    <bk>
      <rc t="1" v="15216"/>
    </bk>
    <bk>
      <rc t="1" v="15217"/>
    </bk>
    <bk>
      <rc t="1" v="15218"/>
    </bk>
    <bk>
      <rc t="1" v="15219"/>
    </bk>
    <bk>
      <rc t="1" v="15220"/>
    </bk>
    <bk>
      <rc t="1" v="15221"/>
    </bk>
    <bk>
      <rc t="1" v="15222"/>
    </bk>
    <bk>
      <rc t="1" v="15223"/>
    </bk>
    <bk>
      <rc t="1" v="15224"/>
    </bk>
    <bk>
      <rc t="1" v="15225"/>
    </bk>
    <bk>
      <rc t="1" v="15226"/>
    </bk>
    <bk>
      <rc t="1" v="15227"/>
    </bk>
    <bk>
      <rc t="1" v="15228"/>
    </bk>
    <bk>
      <rc t="1" v="15229"/>
    </bk>
    <bk>
      <rc t="1" v="15230"/>
    </bk>
    <bk>
      <rc t="1" v="15231"/>
    </bk>
    <bk>
      <rc t="1" v="15232"/>
    </bk>
    <bk>
      <rc t="1" v="15233"/>
    </bk>
    <bk>
      <rc t="1" v="15234"/>
    </bk>
    <bk>
      <rc t="1" v="15235"/>
    </bk>
    <bk>
      <rc t="1" v="15236"/>
    </bk>
    <bk>
      <rc t="1" v="15237"/>
    </bk>
    <bk>
      <rc t="1" v="15238"/>
    </bk>
    <bk>
      <rc t="1" v="15239"/>
    </bk>
    <bk>
      <rc t="1" v="15240"/>
    </bk>
    <bk>
      <rc t="1" v="15241"/>
    </bk>
    <bk>
      <rc t="1" v="15242"/>
    </bk>
    <bk>
      <rc t="1" v="15243"/>
    </bk>
    <bk>
      <rc t="1" v="15244"/>
    </bk>
    <bk>
      <rc t="1" v="15245"/>
    </bk>
    <bk>
      <rc t="1" v="15246"/>
    </bk>
    <bk>
      <rc t="1" v="15247"/>
    </bk>
    <bk>
      <rc t="1" v="15248"/>
    </bk>
    <bk>
      <rc t="1" v="15249"/>
    </bk>
    <bk>
      <rc t="1" v="15250"/>
    </bk>
    <bk>
      <rc t="1" v="15251"/>
    </bk>
    <bk>
      <rc t="1" v="15252"/>
    </bk>
    <bk>
      <rc t="1" v="15253"/>
    </bk>
    <bk>
      <rc t="1" v="15254"/>
    </bk>
    <bk>
      <rc t="1" v="15255"/>
    </bk>
    <bk>
      <rc t="1" v="15256"/>
    </bk>
    <bk>
      <rc t="1" v="15257"/>
    </bk>
    <bk>
      <rc t="1" v="15258"/>
    </bk>
    <bk>
      <rc t="1" v="15259"/>
    </bk>
    <bk>
      <rc t="1" v="15260"/>
    </bk>
    <bk>
      <rc t="1" v="15261"/>
    </bk>
    <bk>
      <rc t="1" v="15262"/>
    </bk>
    <bk>
      <rc t="1" v="15263"/>
    </bk>
    <bk>
      <rc t="1" v="15264"/>
    </bk>
    <bk>
      <rc t="1" v="15265"/>
    </bk>
    <bk>
      <rc t="1" v="15266"/>
    </bk>
    <bk>
      <rc t="1" v="15267"/>
    </bk>
    <bk>
      <rc t="1" v="15268"/>
    </bk>
    <bk>
      <rc t="1" v="15269"/>
    </bk>
    <bk>
      <rc t="1" v="15270"/>
    </bk>
    <bk>
      <rc t="1" v="15271"/>
    </bk>
    <bk>
      <rc t="1" v="15272"/>
    </bk>
    <bk>
      <rc t="1" v="15273"/>
    </bk>
    <bk>
      <rc t="1" v="15274"/>
    </bk>
    <bk>
      <rc t="1" v="15275"/>
    </bk>
    <bk>
      <rc t="1" v="15276"/>
    </bk>
    <bk>
      <rc t="1" v="15277"/>
    </bk>
    <bk>
      <rc t="1" v="15278"/>
    </bk>
    <bk>
      <rc t="1" v="15279"/>
    </bk>
    <bk>
      <rc t="1" v="15280"/>
    </bk>
    <bk>
      <rc t="1" v="15281"/>
    </bk>
    <bk>
      <rc t="1" v="15282"/>
    </bk>
    <bk>
      <rc t="1" v="15283"/>
    </bk>
    <bk>
      <rc t="1" v="15284"/>
    </bk>
    <bk>
      <rc t="1" v="15285"/>
    </bk>
    <bk>
      <rc t="1" v="15286"/>
    </bk>
    <bk>
      <rc t="1" v="15287"/>
    </bk>
    <bk>
      <rc t="1" v="15288"/>
    </bk>
    <bk>
      <rc t="1" v="15289"/>
    </bk>
    <bk>
      <rc t="1" v="15290"/>
    </bk>
    <bk>
      <rc t="1" v="15291"/>
    </bk>
    <bk>
      <rc t="1" v="15292"/>
    </bk>
    <bk>
      <rc t="1" v="15293"/>
    </bk>
    <bk>
      <rc t="1" v="15294"/>
    </bk>
    <bk>
      <rc t="1" v="15295"/>
    </bk>
    <bk>
      <rc t="1" v="15296"/>
    </bk>
    <bk>
      <rc t="1" v="15297"/>
    </bk>
    <bk>
      <rc t="1" v="15298"/>
    </bk>
    <bk>
      <rc t="1" v="15299"/>
    </bk>
    <bk>
      <rc t="1" v="15300"/>
    </bk>
    <bk>
      <rc t="1" v="15301"/>
    </bk>
    <bk>
      <rc t="1" v="15302"/>
    </bk>
    <bk>
      <rc t="1" v="15303"/>
    </bk>
    <bk>
      <rc t="1" v="15304"/>
    </bk>
    <bk>
      <rc t="1" v="15305"/>
    </bk>
    <bk>
      <rc t="1" v="15306"/>
    </bk>
    <bk>
      <rc t="1" v="15307"/>
    </bk>
    <bk>
      <rc t="1" v="15308"/>
    </bk>
    <bk>
      <rc t="1" v="15309"/>
    </bk>
    <bk>
      <rc t="1" v="15310"/>
    </bk>
    <bk>
      <rc t="1" v="15311"/>
    </bk>
    <bk>
      <rc t="1" v="15312"/>
    </bk>
    <bk>
      <rc t="1" v="15313"/>
    </bk>
    <bk>
      <rc t="1" v="15314"/>
    </bk>
    <bk>
      <rc t="1" v="15315"/>
    </bk>
    <bk>
      <rc t="1" v="15316"/>
    </bk>
    <bk>
      <rc t="1" v="15317"/>
    </bk>
    <bk>
      <rc t="1" v="15318"/>
    </bk>
    <bk>
      <rc t="1" v="15319"/>
    </bk>
    <bk>
      <rc t="1" v="15320"/>
    </bk>
    <bk>
      <rc t="1" v="15321"/>
    </bk>
    <bk>
      <rc t="1" v="15322"/>
    </bk>
    <bk>
      <rc t="1" v="15323"/>
    </bk>
    <bk>
      <rc t="1" v="15324"/>
    </bk>
    <bk>
      <rc t="1" v="15325"/>
    </bk>
    <bk>
      <rc t="1" v="15326"/>
    </bk>
    <bk>
      <rc t="1" v="15327"/>
    </bk>
    <bk>
      <rc t="1" v="15328"/>
    </bk>
    <bk>
      <rc t="1" v="15329"/>
    </bk>
    <bk>
      <rc t="1" v="15330"/>
    </bk>
    <bk>
      <rc t="1" v="15331"/>
    </bk>
    <bk>
      <rc t="1" v="15332"/>
    </bk>
    <bk>
      <rc t="1" v="15333"/>
    </bk>
    <bk>
      <rc t="1" v="15334"/>
    </bk>
    <bk>
      <rc t="1" v="15335"/>
    </bk>
    <bk>
      <rc t="1" v="15336"/>
    </bk>
    <bk>
      <rc t="1" v="15337"/>
    </bk>
    <bk>
      <rc t="1" v="15338"/>
    </bk>
    <bk>
      <rc t="1" v="15339"/>
    </bk>
    <bk>
      <rc t="1" v="15340"/>
    </bk>
    <bk>
      <rc t="1" v="15341"/>
    </bk>
    <bk>
      <rc t="1" v="15342"/>
    </bk>
    <bk>
      <rc t="1" v="15343"/>
    </bk>
    <bk>
      <rc t="1" v="15344"/>
    </bk>
    <bk>
      <rc t="1" v="15345"/>
    </bk>
    <bk>
      <rc t="1" v="15346"/>
    </bk>
    <bk>
      <rc t="1" v="15347"/>
    </bk>
    <bk>
      <rc t="1" v="15348"/>
    </bk>
    <bk>
      <rc t="1" v="15349"/>
    </bk>
    <bk>
      <rc t="1" v="15350"/>
    </bk>
    <bk>
      <rc t="1" v="15351"/>
    </bk>
    <bk>
      <rc t="1" v="15352"/>
    </bk>
    <bk>
      <rc t="1" v="15353"/>
    </bk>
    <bk>
      <rc t="1" v="15354"/>
    </bk>
    <bk>
      <rc t="1" v="15355"/>
    </bk>
    <bk>
      <rc t="1" v="15356"/>
    </bk>
    <bk>
      <rc t="1" v="15357"/>
    </bk>
    <bk>
      <rc t="1" v="15358"/>
    </bk>
    <bk>
      <rc t="1" v="15359"/>
    </bk>
    <bk>
      <rc t="1" v="15360"/>
    </bk>
    <bk>
      <rc t="1" v="15361"/>
    </bk>
    <bk>
      <rc t="1" v="15362"/>
    </bk>
    <bk>
      <rc t="1" v="15363"/>
    </bk>
    <bk>
      <rc t="1" v="15364"/>
    </bk>
    <bk>
      <rc t="1" v="15365"/>
    </bk>
    <bk>
      <rc t="1" v="15366"/>
    </bk>
    <bk>
      <rc t="1" v="15367"/>
    </bk>
    <bk>
      <rc t="1" v="15368"/>
    </bk>
    <bk>
      <rc t="1" v="15369"/>
    </bk>
    <bk>
      <rc t="1" v="15370"/>
    </bk>
    <bk>
      <rc t="1" v="15371"/>
    </bk>
    <bk>
      <rc t="1" v="15372"/>
    </bk>
    <bk>
      <rc t="1" v="15373"/>
    </bk>
    <bk>
      <rc t="1" v="15374"/>
    </bk>
    <bk>
      <rc t="1" v="15375"/>
    </bk>
    <bk>
      <rc t="1" v="15376"/>
    </bk>
    <bk>
      <rc t="1" v="15377"/>
    </bk>
    <bk>
      <rc t="1" v="15378"/>
    </bk>
    <bk>
      <rc t="1" v="15379"/>
    </bk>
    <bk>
      <rc t="1" v="15380"/>
    </bk>
    <bk>
      <rc t="1" v="15381"/>
    </bk>
    <bk>
      <rc t="1" v="15382"/>
    </bk>
    <bk>
      <rc t="1" v="15383"/>
    </bk>
    <bk>
      <rc t="1" v="15384"/>
    </bk>
    <bk>
      <rc t="1" v="15385"/>
    </bk>
    <bk>
      <rc t="1" v="15386"/>
    </bk>
    <bk>
      <rc t="1" v="15387"/>
    </bk>
    <bk>
      <rc t="1" v="15388"/>
    </bk>
    <bk>
      <rc t="1" v="15389"/>
    </bk>
    <bk>
      <rc t="1" v="15390"/>
    </bk>
    <bk>
      <rc t="1" v="15391"/>
    </bk>
    <bk>
      <rc t="1" v="15392"/>
    </bk>
    <bk>
      <rc t="1" v="15393"/>
    </bk>
    <bk>
      <rc t="1" v="15394"/>
    </bk>
    <bk>
      <rc t="1" v="15395"/>
    </bk>
    <bk>
      <rc t="1" v="15396"/>
    </bk>
    <bk>
      <rc t="1" v="15397"/>
    </bk>
    <bk>
      <rc t="1" v="15398"/>
    </bk>
    <bk>
      <rc t="1" v="15399"/>
    </bk>
    <bk>
      <rc t="1" v="15400"/>
    </bk>
    <bk>
      <rc t="1" v="15401"/>
    </bk>
    <bk>
      <rc t="1" v="15402"/>
    </bk>
    <bk>
      <rc t="1" v="15403"/>
    </bk>
    <bk>
      <rc t="1" v="15404"/>
    </bk>
    <bk>
      <rc t="1" v="15405"/>
    </bk>
    <bk>
      <rc t="1" v="15406"/>
    </bk>
    <bk>
      <rc t="1" v="15407"/>
    </bk>
    <bk>
      <rc t="1" v="15408"/>
    </bk>
    <bk>
      <rc t="1" v="15409"/>
    </bk>
    <bk>
      <rc t="1" v="15410"/>
    </bk>
    <bk>
      <rc t="1" v="15411"/>
    </bk>
    <bk>
      <rc t="1" v="15412"/>
    </bk>
    <bk>
      <rc t="1" v="15413"/>
    </bk>
    <bk>
      <rc t="1" v="15414"/>
    </bk>
    <bk>
      <rc t="1" v="15415"/>
    </bk>
    <bk>
      <rc t="1" v="15416"/>
    </bk>
    <bk>
      <rc t="1" v="15417"/>
    </bk>
    <bk>
      <rc t="1" v="15418"/>
    </bk>
    <bk>
      <rc t="1" v="15419"/>
    </bk>
    <bk>
      <rc t="1" v="15420"/>
    </bk>
    <bk>
      <rc t="1" v="15421"/>
    </bk>
    <bk>
      <rc t="1" v="15422"/>
    </bk>
    <bk>
      <rc t="1" v="15423"/>
    </bk>
    <bk>
      <rc t="1" v="15424"/>
    </bk>
    <bk>
      <rc t="1" v="15425"/>
    </bk>
    <bk>
      <rc t="1" v="15426"/>
    </bk>
    <bk>
      <rc t="1" v="15427"/>
    </bk>
    <bk>
      <rc t="1" v="15428"/>
    </bk>
    <bk>
      <rc t="1" v="15429"/>
    </bk>
    <bk>
      <rc t="1" v="15430"/>
    </bk>
    <bk>
      <rc t="1" v="15431"/>
    </bk>
    <bk>
      <rc t="1" v="15432"/>
    </bk>
    <bk>
      <rc t="1" v="15433"/>
    </bk>
    <bk>
      <rc t="1" v="15434"/>
    </bk>
    <bk>
      <rc t="1" v="15435"/>
    </bk>
    <bk>
      <rc t="1" v="15436"/>
    </bk>
    <bk>
      <rc t="1" v="15437"/>
    </bk>
    <bk>
      <rc t="1" v="15438"/>
    </bk>
    <bk>
      <rc t="1" v="15439"/>
    </bk>
    <bk>
      <rc t="1" v="15440"/>
    </bk>
    <bk>
      <rc t="1" v="15441"/>
    </bk>
    <bk>
      <rc t="1" v="15442"/>
    </bk>
    <bk>
      <rc t="1" v="15443"/>
    </bk>
    <bk>
      <rc t="1" v="15444"/>
    </bk>
    <bk>
      <rc t="1" v="15445"/>
    </bk>
    <bk>
      <rc t="1" v="15446"/>
    </bk>
    <bk>
      <rc t="1" v="15447"/>
    </bk>
    <bk>
      <rc t="1" v="15448"/>
    </bk>
    <bk>
      <rc t="1" v="15449"/>
    </bk>
    <bk>
      <rc t="1" v="15450"/>
    </bk>
    <bk>
      <rc t="1" v="15451"/>
    </bk>
    <bk>
      <rc t="1" v="15452"/>
    </bk>
    <bk>
      <rc t="1" v="15453"/>
    </bk>
    <bk>
      <rc t="1" v="15454"/>
    </bk>
    <bk>
      <rc t="1" v="15455"/>
    </bk>
    <bk>
      <rc t="1" v="15456"/>
    </bk>
    <bk>
      <rc t="1" v="15457"/>
    </bk>
    <bk>
      <rc t="1" v="15458"/>
    </bk>
    <bk>
      <rc t="1" v="15459"/>
    </bk>
    <bk>
      <rc t="1" v="15460"/>
    </bk>
    <bk>
      <rc t="1" v="15461"/>
    </bk>
    <bk>
      <rc t="1" v="15462"/>
    </bk>
    <bk>
      <rc t="1" v="15463"/>
    </bk>
    <bk>
      <rc t="1" v="15464"/>
    </bk>
    <bk>
      <rc t="1" v="15465"/>
    </bk>
    <bk>
      <rc t="1" v="15466"/>
    </bk>
    <bk>
      <rc t="1" v="15467"/>
    </bk>
    <bk>
      <rc t="1" v="15468"/>
    </bk>
    <bk>
      <rc t="1" v="15469"/>
    </bk>
    <bk>
      <rc t="1" v="15470"/>
    </bk>
    <bk>
      <rc t="1" v="15471"/>
    </bk>
    <bk>
      <rc t="1" v="15472"/>
    </bk>
    <bk>
      <rc t="1" v="15473"/>
    </bk>
    <bk>
      <rc t="1" v="15474"/>
    </bk>
    <bk>
      <rc t="1" v="15475"/>
    </bk>
    <bk>
      <rc t="1" v="15476"/>
    </bk>
    <bk>
      <rc t="1" v="15477"/>
    </bk>
    <bk>
      <rc t="1" v="15478"/>
    </bk>
    <bk>
      <rc t="1" v="15479"/>
    </bk>
    <bk>
      <rc t="1" v="15480"/>
    </bk>
    <bk>
      <rc t="1" v="15481"/>
    </bk>
    <bk>
      <rc t="1" v="15482"/>
    </bk>
    <bk>
      <rc t="1" v="15483"/>
    </bk>
    <bk>
      <rc t="1" v="15484"/>
    </bk>
    <bk>
      <rc t="1" v="15485"/>
    </bk>
    <bk>
      <rc t="1" v="15486"/>
    </bk>
    <bk>
      <rc t="1" v="15487"/>
    </bk>
    <bk>
      <rc t="1" v="15488"/>
    </bk>
    <bk>
      <rc t="1" v="15489"/>
    </bk>
    <bk>
      <rc t="1" v="15490"/>
    </bk>
    <bk>
      <rc t="1" v="15491"/>
    </bk>
    <bk>
      <rc t="1" v="15492"/>
    </bk>
    <bk>
      <rc t="1" v="15493"/>
    </bk>
    <bk>
      <rc t="1" v="15494"/>
    </bk>
    <bk>
      <rc t="1" v="15495"/>
    </bk>
    <bk>
      <rc t="1" v="15496"/>
    </bk>
    <bk>
      <rc t="1" v="15497"/>
    </bk>
    <bk>
      <rc t="1" v="15498"/>
    </bk>
    <bk>
      <rc t="1" v="15499"/>
    </bk>
    <bk>
      <rc t="1" v="15500"/>
    </bk>
    <bk>
      <rc t="1" v="15501"/>
    </bk>
    <bk>
      <rc t="1" v="15502"/>
    </bk>
    <bk>
      <rc t="1" v="15503"/>
    </bk>
    <bk>
      <rc t="1" v="15504"/>
    </bk>
    <bk>
      <rc t="1" v="15505"/>
    </bk>
    <bk>
      <rc t="1" v="15506"/>
    </bk>
    <bk>
      <rc t="1" v="15507"/>
    </bk>
    <bk>
      <rc t="1" v="15508"/>
    </bk>
    <bk>
      <rc t="1" v="15509"/>
    </bk>
    <bk>
      <rc t="1" v="15510"/>
    </bk>
    <bk>
      <rc t="1" v="15511"/>
    </bk>
    <bk>
      <rc t="1" v="15512"/>
    </bk>
    <bk>
      <rc t="1" v="15513"/>
    </bk>
    <bk>
      <rc t="1" v="15514"/>
    </bk>
    <bk>
      <rc t="1" v="15515"/>
    </bk>
    <bk>
      <rc t="1" v="15516"/>
    </bk>
    <bk>
      <rc t="1" v="15517"/>
    </bk>
    <bk>
      <rc t="1" v="15518"/>
    </bk>
    <bk>
      <rc t="1" v="15519"/>
    </bk>
    <bk>
      <rc t="1" v="15520"/>
    </bk>
    <bk>
      <rc t="1" v="15521"/>
    </bk>
    <bk>
      <rc t="1" v="15522"/>
    </bk>
    <bk>
      <rc t="1" v="15523"/>
    </bk>
    <bk>
      <rc t="1" v="15524"/>
    </bk>
    <bk>
      <rc t="1" v="15525"/>
    </bk>
    <bk>
      <rc t="1" v="15526"/>
    </bk>
    <bk>
      <rc t="1" v="15527"/>
    </bk>
    <bk>
      <rc t="1" v="15528"/>
    </bk>
    <bk>
      <rc t="1" v="15529"/>
    </bk>
    <bk>
      <rc t="1" v="15530"/>
    </bk>
    <bk>
      <rc t="1" v="15531"/>
    </bk>
    <bk>
      <rc t="1" v="15532"/>
    </bk>
    <bk>
      <rc t="1" v="15533"/>
    </bk>
    <bk>
      <rc t="1" v="15534"/>
    </bk>
    <bk>
      <rc t="1" v="15535"/>
    </bk>
    <bk>
      <rc t="1" v="15536"/>
    </bk>
    <bk>
      <rc t="1" v="15537"/>
    </bk>
    <bk>
      <rc t="1" v="15538"/>
    </bk>
    <bk>
      <rc t="1" v="15539"/>
    </bk>
    <bk>
      <rc t="1" v="15540"/>
    </bk>
    <bk>
      <rc t="1" v="15541"/>
    </bk>
    <bk>
      <rc t="1" v="15542"/>
    </bk>
    <bk>
      <rc t="1" v="15543"/>
    </bk>
    <bk>
      <rc t="1" v="15544"/>
    </bk>
    <bk>
      <rc t="1" v="15545"/>
    </bk>
    <bk>
      <rc t="1" v="15546"/>
    </bk>
    <bk>
      <rc t="1" v="15547"/>
    </bk>
    <bk>
      <rc t="1" v="15548"/>
    </bk>
    <bk>
      <rc t="1" v="15549"/>
    </bk>
    <bk>
      <rc t="1" v="15550"/>
    </bk>
    <bk>
      <rc t="1" v="15551"/>
    </bk>
    <bk>
      <rc t="1" v="15552"/>
    </bk>
    <bk>
      <rc t="1" v="15553"/>
    </bk>
    <bk>
      <rc t="1" v="15554"/>
    </bk>
    <bk>
      <rc t="1" v="15555"/>
    </bk>
    <bk>
      <rc t="1" v="15556"/>
    </bk>
    <bk>
      <rc t="1" v="15557"/>
    </bk>
    <bk>
      <rc t="1" v="15558"/>
    </bk>
    <bk>
      <rc t="1" v="15559"/>
    </bk>
    <bk>
      <rc t="1" v="15560"/>
    </bk>
    <bk>
      <rc t="1" v="15561"/>
    </bk>
    <bk>
      <rc t="1" v="15562"/>
    </bk>
    <bk>
      <rc t="1" v="15563"/>
    </bk>
    <bk>
      <rc t="1" v="15564"/>
    </bk>
    <bk>
      <rc t="1" v="15565"/>
    </bk>
    <bk>
      <rc t="1" v="15566"/>
    </bk>
    <bk>
      <rc t="1" v="15567"/>
    </bk>
    <bk>
      <rc t="1" v="15568"/>
    </bk>
    <bk>
      <rc t="1" v="15569"/>
    </bk>
    <bk>
      <rc t="1" v="15570"/>
    </bk>
    <bk>
      <rc t="1" v="15571"/>
    </bk>
    <bk>
      <rc t="1" v="15572"/>
    </bk>
    <bk>
      <rc t="1" v="15573"/>
    </bk>
    <bk>
      <rc t="1" v="15574"/>
    </bk>
    <bk>
      <rc t="1" v="15575"/>
    </bk>
    <bk>
      <rc t="1" v="15576"/>
    </bk>
    <bk>
      <rc t="1" v="15577"/>
    </bk>
    <bk>
      <rc t="1" v="15578"/>
    </bk>
    <bk>
      <rc t="1" v="15579"/>
    </bk>
    <bk>
      <rc t="1" v="15580"/>
    </bk>
    <bk>
      <rc t="1" v="15581"/>
    </bk>
    <bk>
      <rc t="1" v="15582"/>
    </bk>
    <bk>
      <rc t="1" v="15583"/>
    </bk>
    <bk>
      <rc t="1" v="15584"/>
    </bk>
    <bk>
      <rc t="1" v="15585"/>
    </bk>
    <bk>
      <rc t="1" v="15586"/>
    </bk>
    <bk>
      <rc t="1" v="15587"/>
    </bk>
    <bk>
      <rc t="1" v="15588"/>
    </bk>
    <bk>
      <rc t="1" v="15589"/>
    </bk>
    <bk>
      <rc t="1" v="15590"/>
    </bk>
    <bk>
      <rc t="1" v="15591"/>
    </bk>
    <bk>
      <rc t="1" v="15592"/>
    </bk>
    <bk>
      <rc t="1" v="15593"/>
    </bk>
    <bk>
      <rc t="1" v="15594"/>
    </bk>
    <bk>
      <rc t="1" v="15595"/>
    </bk>
    <bk>
      <rc t="1" v="15596"/>
    </bk>
    <bk>
      <rc t="1" v="15597"/>
    </bk>
    <bk>
      <rc t="1" v="15598"/>
    </bk>
    <bk>
      <rc t="1" v="15599"/>
    </bk>
    <bk>
      <rc t="1" v="15600"/>
    </bk>
    <bk>
      <rc t="1" v="15601"/>
    </bk>
    <bk>
      <rc t="1" v="15602"/>
    </bk>
    <bk>
      <rc t="1" v="15603"/>
    </bk>
    <bk>
      <rc t="1" v="15604"/>
    </bk>
    <bk>
      <rc t="1" v="15605"/>
    </bk>
    <bk>
      <rc t="1" v="15606"/>
    </bk>
    <bk>
      <rc t="1" v="15607"/>
    </bk>
    <bk>
      <rc t="1" v="15608"/>
    </bk>
    <bk>
      <rc t="1" v="15609"/>
    </bk>
    <bk>
      <rc t="1" v="15610"/>
    </bk>
    <bk>
      <rc t="1" v="15611"/>
    </bk>
    <bk>
      <rc t="1" v="15612"/>
    </bk>
    <bk>
      <rc t="1" v="15613"/>
    </bk>
    <bk>
      <rc t="1" v="15614"/>
    </bk>
    <bk>
      <rc t="1" v="15615"/>
    </bk>
    <bk>
      <rc t="1" v="15616"/>
    </bk>
    <bk>
      <rc t="1" v="15617"/>
    </bk>
    <bk>
      <rc t="1" v="15618"/>
    </bk>
    <bk>
      <rc t="1" v="15619"/>
    </bk>
    <bk>
      <rc t="1" v="15620"/>
    </bk>
    <bk>
      <rc t="1" v="15621"/>
    </bk>
    <bk>
      <rc t="1" v="15622"/>
    </bk>
    <bk>
      <rc t="1" v="15623"/>
    </bk>
    <bk>
      <rc t="1" v="15624"/>
    </bk>
    <bk>
      <rc t="1" v="15625"/>
    </bk>
    <bk>
      <rc t="1" v="15626"/>
    </bk>
    <bk>
      <rc t="1" v="15627"/>
    </bk>
    <bk>
      <rc t="1" v="15628"/>
    </bk>
    <bk>
      <rc t="1" v="15629"/>
    </bk>
    <bk>
      <rc t="1" v="15630"/>
    </bk>
    <bk>
      <rc t="1" v="15631"/>
    </bk>
    <bk>
      <rc t="1" v="15632"/>
    </bk>
    <bk>
      <rc t="1" v="15633"/>
    </bk>
    <bk>
      <rc t="1" v="15634"/>
    </bk>
    <bk>
      <rc t="1" v="15635"/>
    </bk>
    <bk>
      <rc t="1" v="15636"/>
    </bk>
    <bk>
      <rc t="1" v="15637"/>
    </bk>
    <bk>
      <rc t="1" v="15638"/>
    </bk>
    <bk>
      <rc t="1" v="15639"/>
    </bk>
    <bk>
      <rc t="1" v="15640"/>
    </bk>
    <bk>
      <rc t="1" v="15641"/>
    </bk>
    <bk>
      <rc t="1" v="15642"/>
    </bk>
    <bk>
      <rc t="1" v="15643"/>
    </bk>
    <bk>
      <rc t="1" v="15644"/>
    </bk>
    <bk>
      <rc t="1" v="15645"/>
    </bk>
    <bk>
      <rc t="1" v="15646"/>
    </bk>
    <bk>
      <rc t="1" v="15647"/>
    </bk>
    <bk>
      <rc t="1" v="15648"/>
    </bk>
    <bk>
      <rc t="1" v="15649"/>
    </bk>
    <bk>
      <rc t="1" v="15650"/>
    </bk>
    <bk>
      <rc t="1" v="15651"/>
    </bk>
    <bk>
      <rc t="1" v="15652"/>
    </bk>
    <bk>
      <rc t="1" v="15653"/>
    </bk>
    <bk>
      <rc t="1" v="15654"/>
    </bk>
    <bk>
      <rc t="1" v="15655"/>
    </bk>
    <bk>
      <rc t="1" v="15656"/>
    </bk>
    <bk>
      <rc t="1" v="15657"/>
    </bk>
    <bk>
      <rc t="1" v="15658"/>
    </bk>
    <bk>
      <rc t="1" v="15659"/>
    </bk>
    <bk>
      <rc t="1" v="15660"/>
    </bk>
    <bk>
      <rc t="1" v="15661"/>
    </bk>
    <bk>
      <rc t="1" v="15662"/>
    </bk>
    <bk>
      <rc t="1" v="15663"/>
    </bk>
    <bk>
      <rc t="1" v="15664"/>
    </bk>
    <bk>
      <rc t="1" v="15665"/>
    </bk>
    <bk>
      <rc t="1" v="15666"/>
    </bk>
    <bk>
      <rc t="1" v="15667"/>
    </bk>
    <bk>
      <rc t="1" v="15668"/>
    </bk>
    <bk>
      <rc t="1" v="15669"/>
    </bk>
    <bk>
      <rc t="1" v="15670"/>
    </bk>
    <bk>
      <rc t="1" v="15671"/>
    </bk>
    <bk>
      <rc t="1" v="15672"/>
    </bk>
    <bk>
      <rc t="1" v="15673"/>
    </bk>
    <bk>
      <rc t="1" v="15674"/>
    </bk>
    <bk>
      <rc t="1" v="15675"/>
    </bk>
    <bk>
      <rc t="1" v="15676"/>
    </bk>
    <bk>
      <rc t="1" v="15677"/>
    </bk>
    <bk>
      <rc t="1" v="15678"/>
    </bk>
    <bk>
      <rc t="1" v="15679"/>
    </bk>
    <bk>
      <rc t="1" v="15680"/>
    </bk>
    <bk>
      <rc t="1" v="15681"/>
    </bk>
    <bk>
      <rc t="1" v="15682"/>
    </bk>
    <bk>
      <rc t="1" v="15683"/>
    </bk>
    <bk>
      <rc t="1" v="15684"/>
    </bk>
    <bk>
      <rc t="1" v="15685"/>
    </bk>
    <bk>
      <rc t="1" v="15686"/>
    </bk>
    <bk>
      <rc t="1" v="15687"/>
    </bk>
    <bk>
      <rc t="1" v="15688"/>
    </bk>
    <bk>
      <rc t="1" v="15689"/>
    </bk>
    <bk>
      <rc t="1" v="15690"/>
    </bk>
    <bk>
      <rc t="1" v="15691"/>
    </bk>
    <bk>
      <rc t="1" v="15692"/>
    </bk>
    <bk>
      <rc t="1" v="15693"/>
    </bk>
    <bk>
      <rc t="1" v="15694"/>
    </bk>
    <bk>
      <rc t="1" v="15695"/>
    </bk>
    <bk>
      <rc t="1" v="15696"/>
    </bk>
    <bk>
      <rc t="1" v="15697"/>
    </bk>
    <bk>
      <rc t="1" v="15698"/>
    </bk>
    <bk>
      <rc t="1" v="15699"/>
    </bk>
    <bk>
      <rc t="1" v="15700"/>
    </bk>
    <bk>
      <rc t="1" v="15701"/>
    </bk>
    <bk>
      <rc t="1" v="15702"/>
    </bk>
    <bk>
      <rc t="1" v="15703"/>
    </bk>
    <bk>
      <rc t="1" v="15704"/>
    </bk>
    <bk>
      <rc t="1" v="15705"/>
    </bk>
    <bk>
      <rc t="1" v="15706"/>
    </bk>
    <bk>
      <rc t="1" v="15707"/>
    </bk>
    <bk>
      <rc t="1" v="15708"/>
    </bk>
    <bk>
      <rc t="1" v="15709"/>
    </bk>
    <bk>
      <rc t="1" v="15710"/>
    </bk>
    <bk>
      <rc t="1" v="15711"/>
    </bk>
    <bk>
      <rc t="1" v="15712"/>
    </bk>
    <bk>
      <rc t="1" v="15713"/>
    </bk>
    <bk>
      <rc t="1" v="15714"/>
    </bk>
    <bk>
      <rc t="1" v="15715"/>
    </bk>
    <bk>
      <rc t="1" v="15716"/>
    </bk>
    <bk>
      <rc t="1" v="15717"/>
    </bk>
    <bk>
      <rc t="1" v="15718"/>
    </bk>
    <bk>
      <rc t="1" v="15719"/>
    </bk>
    <bk>
      <rc t="1" v="15720"/>
    </bk>
    <bk>
      <rc t="1" v="15721"/>
    </bk>
    <bk>
      <rc t="1" v="15722"/>
    </bk>
    <bk>
      <rc t="1" v="15723"/>
    </bk>
    <bk>
      <rc t="1" v="15724"/>
    </bk>
    <bk>
      <rc t="1" v="15725"/>
    </bk>
    <bk>
      <rc t="1" v="15726"/>
    </bk>
    <bk>
      <rc t="1" v="15727"/>
    </bk>
    <bk>
      <rc t="1" v="15728"/>
    </bk>
    <bk>
      <rc t="1" v="15729"/>
    </bk>
    <bk>
      <rc t="1" v="15730"/>
    </bk>
    <bk>
      <rc t="1" v="15731"/>
    </bk>
    <bk>
      <rc t="1" v="15732"/>
    </bk>
    <bk>
      <rc t="1" v="15733"/>
    </bk>
    <bk>
      <rc t="1" v="15734"/>
    </bk>
    <bk>
      <rc t="1" v="15735"/>
    </bk>
    <bk>
      <rc t="1" v="15736"/>
    </bk>
    <bk>
      <rc t="1" v="15737"/>
    </bk>
    <bk>
      <rc t="1" v="15738"/>
    </bk>
    <bk>
      <rc t="1" v="15739"/>
    </bk>
    <bk>
      <rc t="1" v="15740"/>
    </bk>
    <bk>
      <rc t="1" v="15741"/>
    </bk>
    <bk>
      <rc t="1" v="15742"/>
    </bk>
    <bk>
      <rc t="1" v="15743"/>
    </bk>
    <bk>
      <rc t="1" v="15744"/>
    </bk>
    <bk>
      <rc t="1" v="15745"/>
    </bk>
    <bk>
      <rc t="1" v="15746"/>
    </bk>
    <bk>
      <rc t="1" v="15747"/>
    </bk>
    <bk>
      <rc t="1" v="15748"/>
    </bk>
    <bk>
      <rc t="1" v="15749"/>
    </bk>
    <bk>
      <rc t="1" v="15750"/>
    </bk>
    <bk>
      <rc t="1" v="15751"/>
    </bk>
    <bk>
      <rc t="1" v="15752"/>
    </bk>
    <bk>
      <rc t="1" v="15753"/>
    </bk>
    <bk>
      <rc t="1" v="15754"/>
    </bk>
    <bk>
      <rc t="1" v="15755"/>
    </bk>
    <bk>
      <rc t="1" v="15756"/>
    </bk>
    <bk>
      <rc t="1" v="15757"/>
    </bk>
    <bk>
      <rc t="1" v="15758"/>
    </bk>
    <bk>
      <rc t="1" v="15759"/>
    </bk>
    <bk>
      <rc t="1" v="15760"/>
    </bk>
    <bk>
      <rc t="1" v="15761"/>
    </bk>
    <bk>
      <rc t="1" v="15762"/>
    </bk>
    <bk>
      <rc t="1" v="15763"/>
    </bk>
    <bk>
      <rc t="1" v="15764"/>
    </bk>
    <bk>
      <rc t="1" v="15765"/>
    </bk>
    <bk>
      <rc t="1" v="15766"/>
    </bk>
    <bk>
      <rc t="1" v="15767"/>
    </bk>
    <bk>
      <rc t="1" v="15768"/>
    </bk>
    <bk>
      <rc t="1" v="15769"/>
    </bk>
    <bk>
      <rc t="1" v="15770"/>
    </bk>
    <bk>
      <rc t="1" v="15771"/>
    </bk>
    <bk>
      <rc t="1" v="15772"/>
    </bk>
    <bk>
      <rc t="1" v="15773"/>
    </bk>
    <bk>
      <rc t="1" v="15774"/>
    </bk>
    <bk>
      <rc t="1" v="15775"/>
    </bk>
    <bk>
      <rc t="1" v="15776"/>
    </bk>
    <bk>
      <rc t="1" v="15777"/>
    </bk>
    <bk>
      <rc t="1" v="15778"/>
    </bk>
    <bk>
      <rc t="1" v="15779"/>
    </bk>
    <bk>
      <rc t="1" v="15780"/>
    </bk>
    <bk>
      <rc t="1" v="15781"/>
    </bk>
    <bk>
      <rc t="1" v="15782"/>
    </bk>
    <bk>
      <rc t="1" v="15783"/>
    </bk>
    <bk>
      <rc t="1" v="15784"/>
    </bk>
    <bk>
      <rc t="1" v="15785"/>
    </bk>
    <bk>
      <rc t="1" v="15786"/>
    </bk>
    <bk>
      <rc t="1" v="15787"/>
    </bk>
    <bk>
      <rc t="1" v="15788"/>
    </bk>
    <bk>
      <rc t="1" v="15789"/>
    </bk>
    <bk>
      <rc t="1" v="15790"/>
    </bk>
    <bk>
      <rc t="1" v="15791"/>
    </bk>
    <bk>
      <rc t="1" v="15792"/>
    </bk>
    <bk>
      <rc t="1" v="15793"/>
    </bk>
    <bk>
      <rc t="1" v="15794"/>
    </bk>
    <bk>
      <rc t="1" v="15795"/>
    </bk>
    <bk>
      <rc t="1" v="15796"/>
    </bk>
    <bk>
      <rc t="1" v="15797"/>
    </bk>
    <bk>
      <rc t="1" v="15798"/>
    </bk>
    <bk>
      <rc t="1" v="15799"/>
    </bk>
    <bk>
      <rc t="1" v="15800"/>
    </bk>
    <bk>
      <rc t="1" v="15801"/>
    </bk>
    <bk>
      <rc t="1" v="15802"/>
    </bk>
    <bk>
      <rc t="1" v="15803"/>
    </bk>
    <bk>
      <rc t="1" v="15804"/>
    </bk>
    <bk>
      <rc t="1" v="15805"/>
    </bk>
    <bk>
      <rc t="1" v="15806"/>
    </bk>
    <bk>
      <rc t="1" v="15807"/>
    </bk>
    <bk>
      <rc t="1" v="15808"/>
    </bk>
    <bk>
      <rc t="1" v="15809"/>
    </bk>
    <bk>
      <rc t="1" v="15810"/>
    </bk>
    <bk>
      <rc t="1" v="15811"/>
    </bk>
    <bk>
      <rc t="1" v="15812"/>
    </bk>
    <bk>
      <rc t="1" v="15813"/>
    </bk>
    <bk>
      <rc t="1" v="15814"/>
    </bk>
    <bk>
      <rc t="1" v="15815"/>
    </bk>
    <bk>
      <rc t="1" v="15816"/>
    </bk>
    <bk>
      <rc t="1" v="15817"/>
    </bk>
    <bk>
      <rc t="1" v="15818"/>
    </bk>
    <bk>
      <rc t="1" v="15819"/>
    </bk>
    <bk>
      <rc t="1" v="15820"/>
    </bk>
    <bk>
      <rc t="1" v="15821"/>
    </bk>
    <bk>
      <rc t="1" v="15822"/>
    </bk>
    <bk>
      <rc t="1" v="15823"/>
    </bk>
    <bk>
      <rc t="1" v="15824"/>
    </bk>
    <bk>
      <rc t="1" v="15825"/>
    </bk>
    <bk>
      <rc t="1" v="15826"/>
    </bk>
    <bk>
      <rc t="1" v="15827"/>
    </bk>
    <bk>
      <rc t="1" v="15828"/>
    </bk>
    <bk>
      <rc t="1" v="15829"/>
    </bk>
    <bk>
      <rc t="1" v="15830"/>
    </bk>
    <bk>
      <rc t="1" v="15831"/>
    </bk>
    <bk>
      <rc t="1" v="15832"/>
    </bk>
    <bk>
      <rc t="1" v="15833"/>
    </bk>
    <bk>
      <rc t="1" v="15834"/>
    </bk>
    <bk>
      <rc t="1" v="15835"/>
    </bk>
    <bk>
      <rc t="1" v="15836"/>
    </bk>
    <bk>
      <rc t="1" v="15837"/>
    </bk>
    <bk>
      <rc t="1" v="15838"/>
    </bk>
    <bk>
      <rc t="1" v="15839"/>
    </bk>
    <bk>
      <rc t="1" v="15840"/>
    </bk>
    <bk>
      <rc t="1" v="15841"/>
    </bk>
    <bk>
      <rc t="1" v="15842"/>
    </bk>
    <bk>
      <rc t="1" v="15843"/>
    </bk>
    <bk>
      <rc t="1" v="15844"/>
    </bk>
    <bk>
      <rc t="1" v="15845"/>
    </bk>
    <bk>
      <rc t="1" v="15846"/>
    </bk>
    <bk>
      <rc t="1" v="15847"/>
    </bk>
    <bk>
      <rc t="1" v="15848"/>
    </bk>
    <bk>
      <rc t="1" v="15849"/>
    </bk>
    <bk>
      <rc t="1" v="15850"/>
    </bk>
    <bk>
      <rc t="1" v="15851"/>
    </bk>
    <bk>
      <rc t="1" v="15852"/>
    </bk>
    <bk>
      <rc t="1" v="15853"/>
    </bk>
    <bk>
      <rc t="1" v="15854"/>
    </bk>
    <bk>
      <rc t="1" v="15855"/>
    </bk>
    <bk>
      <rc t="1" v="15856"/>
    </bk>
    <bk>
      <rc t="1" v="15857"/>
    </bk>
    <bk>
      <rc t="1" v="15858"/>
    </bk>
    <bk>
      <rc t="1" v="15859"/>
    </bk>
    <bk>
      <rc t="1" v="15860"/>
    </bk>
    <bk>
      <rc t="1" v="15861"/>
    </bk>
    <bk>
      <rc t="1" v="15862"/>
    </bk>
    <bk>
      <rc t="1" v="15863"/>
    </bk>
    <bk>
      <rc t="1" v="15864"/>
    </bk>
    <bk>
      <rc t="1" v="15865"/>
    </bk>
    <bk>
      <rc t="1" v="15866"/>
    </bk>
    <bk>
      <rc t="1" v="15867"/>
    </bk>
    <bk>
      <rc t="1" v="15868"/>
    </bk>
    <bk>
      <rc t="1" v="15869"/>
    </bk>
    <bk>
      <rc t="1" v="15870"/>
    </bk>
    <bk>
      <rc t="1" v="15871"/>
    </bk>
    <bk>
      <rc t="1" v="15872"/>
    </bk>
    <bk>
      <rc t="1" v="15873"/>
    </bk>
    <bk>
      <rc t="1" v="15874"/>
    </bk>
    <bk>
      <rc t="1" v="15875"/>
    </bk>
    <bk>
      <rc t="1" v="15876"/>
    </bk>
    <bk>
      <rc t="1" v="15877"/>
    </bk>
    <bk>
      <rc t="1" v="15878"/>
    </bk>
    <bk>
      <rc t="1" v="15879"/>
    </bk>
    <bk>
      <rc t="1" v="15880"/>
    </bk>
    <bk>
      <rc t="1" v="15881"/>
    </bk>
    <bk>
      <rc t="1" v="15882"/>
    </bk>
    <bk>
      <rc t="1" v="15883"/>
    </bk>
    <bk>
      <rc t="1" v="15884"/>
    </bk>
    <bk>
      <rc t="1" v="15885"/>
    </bk>
    <bk>
      <rc t="1" v="15886"/>
    </bk>
    <bk>
      <rc t="1" v="15887"/>
    </bk>
    <bk>
      <rc t="1" v="15888"/>
    </bk>
    <bk>
      <rc t="1" v="15889"/>
    </bk>
    <bk>
      <rc t="1" v="15890"/>
    </bk>
    <bk>
      <rc t="1" v="15891"/>
    </bk>
    <bk>
      <rc t="1" v="15892"/>
    </bk>
    <bk>
      <rc t="1" v="15893"/>
    </bk>
    <bk>
      <rc t="1" v="15894"/>
    </bk>
    <bk>
      <rc t="1" v="15895"/>
    </bk>
    <bk>
      <rc t="1" v="15896"/>
    </bk>
    <bk>
      <rc t="1" v="15897"/>
    </bk>
    <bk>
      <rc t="1" v="15898"/>
    </bk>
    <bk>
      <rc t="1" v="15899"/>
    </bk>
    <bk>
      <rc t="1" v="15900"/>
    </bk>
    <bk>
      <rc t="1" v="15901"/>
    </bk>
    <bk>
      <rc t="1" v="15902"/>
    </bk>
    <bk>
      <rc t="1" v="15903"/>
    </bk>
    <bk>
      <rc t="1" v="15904"/>
    </bk>
    <bk>
      <rc t="1" v="15905"/>
    </bk>
    <bk>
      <rc t="1" v="15906"/>
    </bk>
    <bk>
      <rc t="1" v="15907"/>
    </bk>
    <bk>
      <rc t="1" v="15908"/>
    </bk>
    <bk>
      <rc t="1" v="15909"/>
    </bk>
    <bk>
      <rc t="1" v="15910"/>
    </bk>
    <bk>
      <rc t="1" v="15911"/>
    </bk>
    <bk>
      <rc t="1" v="15912"/>
    </bk>
    <bk>
      <rc t="1" v="15913"/>
    </bk>
    <bk>
      <rc t="1" v="15914"/>
    </bk>
    <bk>
      <rc t="1" v="15915"/>
    </bk>
    <bk>
      <rc t="1" v="15916"/>
    </bk>
    <bk>
      <rc t="1" v="15917"/>
    </bk>
    <bk>
      <rc t="1" v="15918"/>
    </bk>
    <bk>
      <rc t="1" v="15919"/>
    </bk>
    <bk>
      <rc t="1" v="15920"/>
    </bk>
    <bk>
      <rc t="1" v="15921"/>
    </bk>
    <bk>
      <rc t="1" v="15922"/>
    </bk>
    <bk>
      <rc t="1" v="15923"/>
    </bk>
    <bk>
      <rc t="1" v="15924"/>
    </bk>
    <bk>
      <rc t="1" v="15925"/>
    </bk>
    <bk>
      <rc t="1" v="15926"/>
    </bk>
    <bk>
      <rc t="1" v="15927"/>
    </bk>
    <bk>
      <rc t="1" v="15928"/>
    </bk>
    <bk>
      <rc t="1" v="15929"/>
    </bk>
    <bk>
      <rc t="1" v="15930"/>
    </bk>
    <bk>
      <rc t="1" v="15931"/>
    </bk>
    <bk>
      <rc t="1" v="15932"/>
    </bk>
    <bk>
      <rc t="1" v="15933"/>
    </bk>
    <bk>
      <rc t="1" v="15934"/>
    </bk>
    <bk>
      <rc t="1" v="15935"/>
    </bk>
    <bk>
      <rc t="1" v="15936"/>
    </bk>
    <bk>
      <rc t="1" v="15937"/>
    </bk>
    <bk>
      <rc t="1" v="15938"/>
    </bk>
    <bk>
      <rc t="1" v="15939"/>
    </bk>
    <bk>
      <rc t="1" v="15940"/>
    </bk>
    <bk>
      <rc t="1" v="15941"/>
    </bk>
    <bk>
      <rc t="1" v="15942"/>
    </bk>
    <bk>
      <rc t="1" v="15943"/>
    </bk>
    <bk>
      <rc t="1" v="15944"/>
    </bk>
    <bk>
      <rc t="1" v="15945"/>
    </bk>
    <bk>
      <rc t="1" v="15946"/>
    </bk>
    <bk>
      <rc t="1" v="15947"/>
    </bk>
    <bk>
      <rc t="1" v="15948"/>
    </bk>
    <bk>
      <rc t="1" v="15949"/>
    </bk>
    <bk>
      <rc t="1" v="15950"/>
    </bk>
    <bk>
      <rc t="1" v="15951"/>
    </bk>
    <bk>
      <rc t="1" v="15952"/>
    </bk>
    <bk>
      <rc t="1" v="15953"/>
    </bk>
    <bk>
      <rc t="1" v="15954"/>
    </bk>
    <bk>
      <rc t="1" v="15955"/>
    </bk>
    <bk>
      <rc t="1" v="15956"/>
    </bk>
    <bk>
      <rc t="1" v="15957"/>
    </bk>
    <bk>
      <rc t="1" v="15958"/>
    </bk>
    <bk>
      <rc t="1" v="15959"/>
    </bk>
    <bk>
      <rc t="1" v="15960"/>
    </bk>
    <bk>
      <rc t="1" v="15961"/>
    </bk>
    <bk>
      <rc t="1" v="15962"/>
    </bk>
    <bk>
      <rc t="1" v="15963"/>
    </bk>
    <bk>
      <rc t="1" v="15964"/>
    </bk>
    <bk>
      <rc t="1" v="15965"/>
    </bk>
    <bk>
      <rc t="1" v="15966"/>
    </bk>
    <bk>
      <rc t="1" v="15967"/>
    </bk>
    <bk>
      <rc t="1" v="15968"/>
    </bk>
    <bk>
      <rc t="1" v="15969"/>
    </bk>
    <bk>
      <rc t="1" v="15970"/>
    </bk>
    <bk>
      <rc t="1" v="15971"/>
    </bk>
    <bk>
      <rc t="1" v="15972"/>
    </bk>
    <bk>
      <rc t="1" v="15973"/>
    </bk>
    <bk>
      <rc t="1" v="15974"/>
    </bk>
    <bk>
      <rc t="1" v="15975"/>
    </bk>
    <bk>
      <rc t="1" v="15976"/>
    </bk>
    <bk>
      <rc t="1" v="15977"/>
    </bk>
    <bk>
      <rc t="1" v="15978"/>
    </bk>
    <bk>
      <rc t="1" v="15979"/>
    </bk>
    <bk>
      <rc t="1" v="15980"/>
    </bk>
    <bk>
      <rc t="1" v="15981"/>
    </bk>
    <bk>
      <rc t="1" v="15982"/>
    </bk>
    <bk>
      <rc t="1" v="15983"/>
    </bk>
    <bk>
      <rc t="1" v="15984"/>
    </bk>
    <bk>
      <rc t="1" v="15985"/>
    </bk>
    <bk>
      <rc t="1" v="15986"/>
    </bk>
    <bk>
      <rc t="1" v="15987"/>
    </bk>
    <bk>
      <rc t="1" v="15988"/>
    </bk>
    <bk>
      <rc t="1" v="15989"/>
    </bk>
    <bk>
      <rc t="1" v="15990"/>
    </bk>
    <bk>
      <rc t="1" v="15991"/>
    </bk>
    <bk>
      <rc t="1" v="15992"/>
    </bk>
    <bk>
      <rc t="1" v="15993"/>
    </bk>
    <bk>
      <rc t="1" v="15994"/>
    </bk>
    <bk>
      <rc t="1" v="15995"/>
    </bk>
    <bk>
      <rc t="1" v="15996"/>
    </bk>
    <bk>
      <rc t="1" v="15997"/>
    </bk>
    <bk>
      <rc t="1" v="15998"/>
    </bk>
    <bk>
      <rc t="1" v="15999"/>
    </bk>
    <bk>
      <rc t="1" v="16000"/>
    </bk>
    <bk>
      <rc t="1" v="16001"/>
    </bk>
    <bk>
      <rc t="1" v="16002"/>
    </bk>
    <bk>
      <rc t="1" v="16003"/>
    </bk>
    <bk>
      <rc t="1" v="16004"/>
    </bk>
    <bk>
      <rc t="1" v="16005"/>
    </bk>
    <bk>
      <rc t="1" v="16006"/>
    </bk>
    <bk>
      <rc t="1" v="16007"/>
    </bk>
    <bk>
      <rc t="1" v="16008"/>
    </bk>
    <bk>
      <rc t="1" v="16009"/>
    </bk>
    <bk>
      <rc t="1" v="16010"/>
    </bk>
    <bk>
      <rc t="1" v="16011"/>
    </bk>
    <bk>
      <rc t="1" v="16012"/>
    </bk>
    <bk>
      <rc t="1" v="16013"/>
    </bk>
    <bk>
      <rc t="1" v="16014"/>
    </bk>
    <bk>
      <rc t="1" v="16015"/>
    </bk>
    <bk>
      <rc t="1" v="16016"/>
    </bk>
    <bk>
      <rc t="1" v="16017"/>
    </bk>
    <bk>
      <rc t="1" v="16018"/>
    </bk>
    <bk>
      <rc t="1" v="16019"/>
    </bk>
    <bk>
      <rc t="1" v="16020"/>
    </bk>
    <bk>
      <rc t="1" v="16021"/>
    </bk>
    <bk>
      <rc t="1" v="16022"/>
    </bk>
    <bk>
      <rc t="1" v="16023"/>
    </bk>
    <bk>
      <rc t="1" v="16024"/>
    </bk>
    <bk>
      <rc t="1" v="16025"/>
    </bk>
    <bk>
      <rc t="1" v="16026"/>
    </bk>
    <bk>
      <rc t="1" v="16027"/>
    </bk>
    <bk>
      <rc t="1" v="16028"/>
    </bk>
    <bk>
      <rc t="1" v="16029"/>
    </bk>
    <bk>
      <rc t="1" v="16030"/>
    </bk>
    <bk>
      <rc t="1" v="16031"/>
    </bk>
    <bk>
      <rc t="1" v="16032"/>
    </bk>
    <bk>
      <rc t="1" v="16033"/>
    </bk>
    <bk>
      <rc t="1" v="16034"/>
    </bk>
    <bk>
      <rc t="1" v="16035"/>
    </bk>
    <bk>
      <rc t="1" v="16036"/>
    </bk>
    <bk>
      <rc t="1" v="16037"/>
    </bk>
    <bk>
      <rc t="1" v="16038"/>
    </bk>
    <bk>
      <rc t="1" v="16039"/>
    </bk>
    <bk>
      <rc t="1" v="16040"/>
    </bk>
    <bk>
      <rc t="1" v="16041"/>
    </bk>
    <bk>
      <rc t="1" v="16042"/>
    </bk>
    <bk>
      <rc t="1" v="16043"/>
    </bk>
    <bk>
      <rc t="1" v="16044"/>
    </bk>
    <bk>
      <rc t="1" v="16045"/>
    </bk>
    <bk>
      <rc t="1" v="16046"/>
    </bk>
    <bk>
      <rc t="1" v="16047"/>
    </bk>
    <bk>
      <rc t="1" v="16048"/>
    </bk>
    <bk>
      <rc t="1" v="16049"/>
    </bk>
    <bk>
      <rc t="1" v="16050"/>
    </bk>
    <bk>
      <rc t="1" v="16051"/>
    </bk>
    <bk>
      <rc t="1" v="16052"/>
    </bk>
    <bk>
      <rc t="1" v="16053"/>
    </bk>
    <bk>
      <rc t="1" v="16054"/>
    </bk>
    <bk>
      <rc t="1" v="16055"/>
    </bk>
    <bk>
      <rc t="1" v="16056"/>
    </bk>
    <bk>
      <rc t="1" v="16057"/>
    </bk>
    <bk>
      <rc t="1" v="16058"/>
    </bk>
    <bk>
      <rc t="1" v="16059"/>
    </bk>
    <bk>
      <rc t="1" v="16060"/>
    </bk>
    <bk>
      <rc t="1" v="16061"/>
    </bk>
    <bk>
      <rc t="1" v="16062"/>
    </bk>
    <bk>
      <rc t="1" v="16063"/>
    </bk>
    <bk>
      <rc t="1" v="16064"/>
    </bk>
    <bk>
      <rc t="1" v="16065"/>
    </bk>
    <bk>
      <rc t="1" v="16066"/>
    </bk>
    <bk>
      <rc t="1" v="16067"/>
    </bk>
    <bk>
      <rc t="1" v="16068"/>
    </bk>
    <bk>
      <rc t="1" v="16069"/>
    </bk>
    <bk>
      <rc t="1" v="16070"/>
    </bk>
    <bk>
      <rc t="1" v="16071"/>
    </bk>
    <bk>
      <rc t="1" v="16072"/>
    </bk>
    <bk>
      <rc t="1" v="16073"/>
    </bk>
    <bk>
      <rc t="1" v="16074"/>
    </bk>
    <bk>
      <rc t="1" v="16075"/>
    </bk>
    <bk>
      <rc t="1" v="16076"/>
    </bk>
    <bk>
      <rc t="1" v="16077"/>
    </bk>
    <bk>
      <rc t="1" v="16078"/>
    </bk>
    <bk>
      <rc t="1" v="16079"/>
    </bk>
    <bk>
      <rc t="1" v="16080"/>
    </bk>
    <bk>
      <rc t="1" v="16081"/>
    </bk>
    <bk>
      <rc t="1" v="16082"/>
    </bk>
    <bk>
      <rc t="1" v="16083"/>
    </bk>
    <bk>
      <rc t="1" v="16084"/>
    </bk>
    <bk>
      <rc t="1" v="16085"/>
    </bk>
    <bk>
      <rc t="1" v="16086"/>
    </bk>
    <bk>
      <rc t="1" v="16087"/>
    </bk>
    <bk>
      <rc t="1" v="16088"/>
    </bk>
    <bk>
      <rc t="1" v="16089"/>
    </bk>
    <bk>
      <rc t="1" v="16090"/>
    </bk>
    <bk>
      <rc t="1" v="16091"/>
    </bk>
    <bk>
      <rc t="1" v="16092"/>
    </bk>
    <bk>
      <rc t="1" v="16093"/>
    </bk>
    <bk>
      <rc t="1" v="16094"/>
    </bk>
    <bk>
      <rc t="1" v="16095"/>
    </bk>
    <bk>
      <rc t="1" v="16096"/>
    </bk>
    <bk>
      <rc t="1" v="16097"/>
    </bk>
    <bk>
      <rc t="1" v="16098"/>
    </bk>
    <bk>
      <rc t="1" v="16099"/>
    </bk>
    <bk>
      <rc t="1" v="16100"/>
    </bk>
    <bk>
      <rc t="1" v="16101"/>
    </bk>
    <bk>
      <rc t="1" v="16102"/>
    </bk>
    <bk>
      <rc t="1" v="16103"/>
    </bk>
    <bk>
      <rc t="1" v="16104"/>
    </bk>
    <bk>
      <rc t="1" v="16105"/>
    </bk>
    <bk>
      <rc t="1" v="16106"/>
    </bk>
    <bk>
      <rc t="1" v="16107"/>
    </bk>
    <bk>
      <rc t="1" v="16108"/>
    </bk>
    <bk>
      <rc t="1" v="16109"/>
    </bk>
    <bk>
      <rc t="1" v="16110"/>
    </bk>
    <bk>
      <rc t="1" v="16111"/>
    </bk>
    <bk>
      <rc t="1" v="16112"/>
    </bk>
    <bk>
      <rc t="1" v="16113"/>
    </bk>
    <bk>
      <rc t="1" v="16114"/>
    </bk>
    <bk>
      <rc t="1" v="16115"/>
    </bk>
    <bk>
      <rc t="1" v="16116"/>
    </bk>
    <bk>
      <rc t="1" v="16117"/>
    </bk>
    <bk>
      <rc t="1" v="16118"/>
    </bk>
    <bk>
      <rc t="1" v="16119"/>
    </bk>
    <bk>
      <rc t="1" v="16120"/>
    </bk>
    <bk>
      <rc t="1" v="16121"/>
    </bk>
    <bk>
      <rc t="1" v="16122"/>
    </bk>
    <bk>
      <rc t="1" v="16123"/>
    </bk>
    <bk>
      <rc t="1" v="16124"/>
    </bk>
    <bk>
      <rc t="1" v="16125"/>
    </bk>
    <bk>
      <rc t="1" v="16126"/>
    </bk>
    <bk>
      <rc t="1" v="16127"/>
    </bk>
    <bk>
      <rc t="1" v="16128"/>
    </bk>
    <bk>
      <rc t="1" v="16129"/>
    </bk>
    <bk>
      <rc t="1" v="16130"/>
    </bk>
    <bk>
      <rc t="1" v="16131"/>
    </bk>
    <bk>
      <rc t="1" v="16132"/>
    </bk>
    <bk>
      <rc t="1" v="16133"/>
    </bk>
    <bk>
      <rc t="1" v="16134"/>
    </bk>
    <bk>
      <rc t="1" v="16135"/>
    </bk>
    <bk>
      <rc t="1" v="16136"/>
    </bk>
    <bk>
      <rc t="1" v="16137"/>
    </bk>
    <bk>
      <rc t="1" v="16138"/>
    </bk>
    <bk>
      <rc t="1" v="16139"/>
    </bk>
    <bk>
      <rc t="1" v="16140"/>
    </bk>
    <bk>
      <rc t="1" v="16141"/>
    </bk>
    <bk>
      <rc t="1" v="16142"/>
    </bk>
    <bk>
      <rc t="1" v="16143"/>
    </bk>
    <bk>
      <rc t="1" v="16144"/>
    </bk>
    <bk>
      <rc t="1" v="16145"/>
    </bk>
    <bk>
      <rc t="1" v="16146"/>
    </bk>
    <bk>
      <rc t="1" v="16147"/>
    </bk>
    <bk>
      <rc t="1" v="16148"/>
    </bk>
    <bk>
      <rc t="1" v="16149"/>
    </bk>
    <bk>
      <rc t="1" v="16150"/>
    </bk>
    <bk>
      <rc t="1" v="16151"/>
    </bk>
    <bk>
      <rc t="1" v="16152"/>
    </bk>
    <bk>
      <rc t="1" v="16153"/>
    </bk>
    <bk>
      <rc t="1" v="16154"/>
    </bk>
    <bk>
      <rc t="1" v="16155"/>
    </bk>
    <bk>
      <rc t="1" v="16156"/>
    </bk>
    <bk>
      <rc t="1" v="16157"/>
    </bk>
    <bk>
      <rc t="1" v="16158"/>
    </bk>
    <bk>
      <rc t="1" v="16159"/>
    </bk>
    <bk>
      <rc t="1" v="16160"/>
    </bk>
    <bk>
      <rc t="1" v="16161"/>
    </bk>
    <bk>
      <rc t="1" v="16162"/>
    </bk>
    <bk>
      <rc t="1" v="16163"/>
    </bk>
    <bk>
      <rc t="1" v="16164"/>
    </bk>
    <bk>
      <rc t="1" v="16165"/>
    </bk>
    <bk>
      <rc t="1" v="16166"/>
    </bk>
    <bk>
      <rc t="1" v="16167"/>
    </bk>
    <bk>
      <rc t="1" v="16168"/>
    </bk>
    <bk>
      <rc t="1" v="16169"/>
    </bk>
    <bk>
      <rc t="1" v="16170"/>
    </bk>
    <bk>
      <rc t="1" v="16171"/>
    </bk>
    <bk>
      <rc t="1" v="16172"/>
    </bk>
    <bk>
      <rc t="1" v="16173"/>
    </bk>
    <bk>
      <rc t="1" v="16174"/>
    </bk>
    <bk>
      <rc t="1" v="16175"/>
    </bk>
    <bk>
      <rc t="1" v="16176"/>
    </bk>
    <bk>
      <rc t="1" v="16177"/>
    </bk>
    <bk>
      <rc t="1" v="16178"/>
    </bk>
    <bk>
      <rc t="1" v="16179"/>
    </bk>
    <bk>
      <rc t="1" v="16180"/>
    </bk>
    <bk>
      <rc t="1" v="16181"/>
    </bk>
    <bk>
      <rc t="1" v="16182"/>
    </bk>
    <bk>
      <rc t="1" v="16183"/>
    </bk>
    <bk>
      <rc t="1" v="16184"/>
    </bk>
    <bk>
      <rc t="1" v="16185"/>
    </bk>
    <bk>
      <rc t="1" v="16186"/>
    </bk>
    <bk>
      <rc t="1" v="16187"/>
    </bk>
    <bk>
      <rc t="1" v="16188"/>
    </bk>
    <bk>
      <rc t="1" v="16189"/>
    </bk>
    <bk>
      <rc t="1" v="16190"/>
    </bk>
    <bk>
      <rc t="1" v="16191"/>
    </bk>
    <bk>
      <rc t="1" v="16192"/>
    </bk>
    <bk>
      <rc t="1" v="16193"/>
    </bk>
    <bk>
      <rc t="1" v="16194"/>
    </bk>
    <bk>
      <rc t="1" v="16195"/>
    </bk>
    <bk>
      <rc t="1" v="16196"/>
    </bk>
    <bk>
      <rc t="1" v="16197"/>
    </bk>
    <bk>
      <rc t="1" v="16198"/>
    </bk>
    <bk>
      <rc t="1" v="16199"/>
    </bk>
    <bk>
      <rc t="1" v="16200"/>
    </bk>
    <bk>
      <rc t="1" v="16201"/>
    </bk>
    <bk>
      <rc t="1" v="16202"/>
    </bk>
    <bk>
      <rc t="1" v="16203"/>
    </bk>
    <bk>
      <rc t="1" v="16204"/>
    </bk>
    <bk>
      <rc t="1" v="16205"/>
    </bk>
    <bk>
      <rc t="1" v="16206"/>
    </bk>
    <bk>
      <rc t="1" v="16207"/>
    </bk>
    <bk>
      <rc t="1" v="16208"/>
    </bk>
    <bk>
      <rc t="1" v="16209"/>
    </bk>
    <bk>
      <rc t="1" v="16210"/>
    </bk>
    <bk>
      <rc t="1" v="16211"/>
    </bk>
    <bk>
      <rc t="1" v="16212"/>
    </bk>
    <bk>
      <rc t="1" v="16213"/>
    </bk>
    <bk>
      <rc t="1" v="16214"/>
    </bk>
    <bk>
      <rc t="1" v="16215"/>
    </bk>
    <bk>
      <rc t="1" v="16216"/>
    </bk>
    <bk>
      <rc t="1" v="16217"/>
    </bk>
    <bk>
      <rc t="1" v="16218"/>
    </bk>
    <bk>
      <rc t="1" v="16219"/>
    </bk>
    <bk>
      <rc t="1" v="16220"/>
    </bk>
    <bk>
      <rc t="1" v="16221"/>
    </bk>
    <bk>
      <rc t="1" v="16222"/>
    </bk>
    <bk>
      <rc t="1" v="16223"/>
    </bk>
    <bk>
      <rc t="1" v="16224"/>
    </bk>
    <bk>
      <rc t="1" v="16225"/>
    </bk>
    <bk>
      <rc t="1" v="16226"/>
    </bk>
    <bk>
      <rc t="1" v="16227"/>
    </bk>
    <bk>
      <rc t="1" v="16228"/>
    </bk>
    <bk>
      <rc t="1" v="16229"/>
    </bk>
    <bk>
      <rc t="1" v="16230"/>
    </bk>
    <bk>
      <rc t="1" v="16231"/>
    </bk>
    <bk>
      <rc t="1" v="16232"/>
    </bk>
    <bk>
      <rc t="1" v="16233"/>
    </bk>
    <bk>
      <rc t="1" v="16234"/>
    </bk>
    <bk>
      <rc t="1" v="16235"/>
    </bk>
    <bk>
      <rc t="1" v="16236"/>
    </bk>
    <bk>
      <rc t="1" v="16237"/>
    </bk>
    <bk>
      <rc t="1" v="16238"/>
    </bk>
    <bk>
      <rc t="1" v="16239"/>
    </bk>
    <bk>
      <rc t="1" v="16240"/>
    </bk>
    <bk>
      <rc t="1" v="16241"/>
    </bk>
    <bk>
      <rc t="1" v="16242"/>
    </bk>
    <bk>
      <rc t="1" v="16243"/>
    </bk>
    <bk>
      <rc t="1" v="16244"/>
    </bk>
    <bk>
      <rc t="1" v="16245"/>
    </bk>
    <bk>
      <rc t="1" v="16246"/>
    </bk>
    <bk>
      <rc t="1" v="16247"/>
    </bk>
    <bk>
      <rc t="1" v="16248"/>
    </bk>
    <bk>
      <rc t="1" v="16249"/>
    </bk>
    <bk>
      <rc t="1" v="16250"/>
    </bk>
    <bk>
      <rc t="1" v="16251"/>
    </bk>
    <bk>
      <rc t="1" v="16252"/>
    </bk>
    <bk>
      <rc t="1" v="16253"/>
    </bk>
    <bk>
      <rc t="1" v="16254"/>
    </bk>
    <bk>
      <rc t="1" v="16255"/>
    </bk>
    <bk>
      <rc t="1" v="16256"/>
    </bk>
    <bk>
      <rc t="1" v="16257"/>
    </bk>
    <bk>
      <rc t="1" v="16258"/>
    </bk>
    <bk>
      <rc t="1" v="16259"/>
    </bk>
    <bk>
      <rc t="1" v="16260"/>
    </bk>
    <bk>
      <rc t="1" v="16261"/>
    </bk>
    <bk>
      <rc t="1" v="16262"/>
    </bk>
    <bk>
      <rc t="1" v="16263"/>
    </bk>
    <bk>
      <rc t="1" v="16264"/>
    </bk>
    <bk>
      <rc t="1" v="16265"/>
    </bk>
    <bk>
      <rc t="1" v="16266"/>
    </bk>
    <bk>
      <rc t="1" v="16267"/>
    </bk>
    <bk>
      <rc t="1" v="16268"/>
    </bk>
    <bk>
      <rc t="1" v="16269"/>
    </bk>
    <bk>
      <rc t="1" v="16270"/>
    </bk>
    <bk>
      <rc t="1" v="16271"/>
    </bk>
    <bk>
      <rc t="1" v="16272"/>
    </bk>
    <bk>
      <rc t="1" v="16273"/>
    </bk>
    <bk>
      <rc t="1" v="16274"/>
    </bk>
    <bk>
      <rc t="1" v="16275"/>
    </bk>
    <bk>
      <rc t="1" v="16276"/>
    </bk>
    <bk>
      <rc t="1" v="16277"/>
    </bk>
    <bk>
      <rc t="1" v="16278"/>
    </bk>
    <bk>
      <rc t="1" v="16279"/>
    </bk>
    <bk>
      <rc t="1" v="16280"/>
    </bk>
    <bk>
      <rc t="1" v="16281"/>
    </bk>
    <bk>
      <rc t="1" v="16282"/>
    </bk>
    <bk>
      <rc t="1" v="16283"/>
    </bk>
    <bk>
      <rc t="1" v="16284"/>
    </bk>
    <bk>
      <rc t="1" v="16285"/>
    </bk>
    <bk>
      <rc t="1" v="16286"/>
    </bk>
    <bk>
      <rc t="1" v="16287"/>
    </bk>
    <bk>
      <rc t="1" v="16288"/>
    </bk>
    <bk>
      <rc t="1" v="16289"/>
    </bk>
    <bk>
      <rc t="1" v="16290"/>
    </bk>
    <bk>
      <rc t="1" v="16291"/>
    </bk>
    <bk>
      <rc t="1" v="16292"/>
    </bk>
    <bk>
      <rc t="1" v="16293"/>
    </bk>
    <bk>
      <rc t="1" v="16294"/>
    </bk>
    <bk>
      <rc t="1" v="16295"/>
    </bk>
    <bk>
      <rc t="1" v="16296"/>
    </bk>
    <bk>
      <rc t="1" v="16297"/>
    </bk>
    <bk>
      <rc t="1" v="16298"/>
    </bk>
    <bk>
      <rc t="1" v="16299"/>
    </bk>
    <bk>
      <rc t="1" v="16300"/>
    </bk>
    <bk>
      <rc t="1" v="16301"/>
    </bk>
    <bk>
      <rc t="1" v="16302"/>
    </bk>
    <bk>
      <rc t="1" v="16303"/>
    </bk>
    <bk>
      <rc t="1" v="16304"/>
    </bk>
    <bk>
      <rc t="1" v="16305"/>
    </bk>
    <bk>
      <rc t="1" v="16306"/>
    </bk>
    <bk>
      <rc t="1" v="16307"/>
    </bk>
    <bk>
      <rc t="1" v="16308"/>
    </bk>
    <bk>
      <rc t="1" v="16309"/>
    </bk>
    <bk>
      <rc t="1" v="16310"/>
    </bk>
    <bk>
      <rc t="1" v="16311"/>
    </bk>
    <bk>
      <rc t="1" v="16312"/>
    </bk>
    <bk>
      <rc t="1" v="16313"/>
    </bk>
    <bk>
      <rc t="1" v="16314"/>
    </bk>
    <bk>
      <rc t="1" v="16315"/>
    </bk>
    <bk>
      <rc t="1" v="16316"/>
    </bk>
    <bk>
      <rc t="1" v="16317"/>
    </bk>
    <bk>
      <rc t="1" v="16318"/>
    </bk>
    <bk>
      <rc t="1" v="16319"/>
    </bk>
    <bk>
      <rc t="1" v="16320"/>
    </bk>
    <bk>
      <rc t="1" v="16321"/>
    </bk>
    <bk>
      <rc t="1" v="16322"/>
    </bk>
    <bk>
      <rc t="1" v="16323"/>
    </bk>
    <bk>
      <rc t="1" v="16324"/>
    </bk>
    <bk>
      <rc t="1" v="16325"/>
    </bk>
    <bk>
      <rc t="1" v="16326"/>
    </bk>
    <bk>
      <rc t="1" v="16327"/>
    </bk>
    <bk>
      <rc t="1" v="16328"/>
    </bk>
    <bk>
      <rc t="1" v="16329"/>
    </bk>
    <bk>
      <rc t="1" v="16330"/>
    </bk>
    <bk>
      <rc t="1" v="16331"/>
    </bk>
    <bk>
      <rc t="1" v="16332"/>
    </bk>
    <bk>
      <rc t="1" v="16333"/>
    </bk>
    <bk>
      <rc t="1" v="16334"/>
    </bk>
    <bk>
      <rc t="1" v="16335"/>
    </bk>
    <bk>
      <rc t="1" v="16336"/>
    </bk>
    <bk>
      <rc t="1" v="16337"/>
    </bk>
    <bk>
      <rc t="1" v="16338"/>
    </bk>
    <bk>
      <rc t="1" v="16339"/>
    </bk>
    <bk>
      <rc t="1" v="16340"/>
    </bk>
    <bk>
      <rc t="1" v="16341"/>
    </bk>
    <bk>
      <rc t="1" v="16342"/>
    </bk>
    <bk>
      <rc t="1" v="16343"/>
    </bk>
    <bk>
      <rc t="1" v="16344"/>
    </bk>
    <bk>
      <rc t="1" v="16345"/>
    </bk>
    <bk>
      <rc t="1" v="16346"/>
    </bk>
    <bk>
      <rc t="1" v="16347"/>
    </bk>
    <bk>
      <rc t="1" v="16348"/>
    </bk>
    <bk>
      <rc t="1" v="16349"/>
    </bk>
    <bk>
      <rc t="1" v="16350"/>
    </bk>
    <bk>
      <rc t="1" v="16351"/>
    </bk>
    <bk>
      <rc t="1" v="16352"/>
    </bk>
    <bk>
      <rc t="1" v="16353"/>
    </bk>
    <bk>
      <rc t="1" v="16354"/>
    </bk>
    <bk>
      <rc t="1" v="16355"/>
    </bk>
    <bk>
      <rc t="1" v="16356"/>
    </bk>
    <bk>
      <rc t="1" v="16357"/>
    </bk>
    <bk>
      <rc t="1" v="16358"/>
    </bk>
    <bk>
      <rc t="1" v="16359"/>
    </bk>
    <bk>
      <rc t="1" v="16360"/>
    </bk>
    <bk>
      <rc t="1" v="16361"/>
    </bk>
    <bk>
      <rc t="1" v="16362"/>
    </bk>
    <bk>
      <rc t="1" v="16363"/>
    </bk>
    <bk>
      <rc t="1" v="16364"/>
    </bk>
    <bk>
      <rc t="1" v="16365"/>
    </bk>
    <bk>
      <rc t="1" v="16366"/>
    </bk>
    <bk>
      <rc t="1" v="16367"/>
    </bk>
    <bk>
      <rc t="1" v="16368"/>
    </bk>
    <bk>
      <rc t="1" v="16369"/>
    </bk>
    <bk>
      <rc t="1" v="16370"/>
    </bk>
    <bk>
      <rc t="1" v="16371"/>
    </bk>
    <bk>
      <rc t="1" v="16372"/>
    </bk>
    <bk>
      <rc t="1" v="16373"/>
    </bk>
    <bk>
      <rc t="1" v="16374"/>
    </bk>
    <bk>
      <rc t="1" v="16375"/>
    </bk>
    <bk>
      <rc t="1" v="16376"/>
    </bk>
    <bk>
      <rc t="1" v="16377"/>
    </bk>
    <bk>
      <rc t="1" v="16378"/>
    </bk>
    <bk>
      <rc t="1" v="16379"/>
    </bk>
    <bk>
      <rc t="1" v="16380"/>
    </bk>
    <bk>
      <rc t="1" v="16381"/>
    </bk>
    <bk>
      <rc t="1" v="16382"/>
    </bk>
    <bk>
      <rc t="1" v="16383"/>
    </bk>
    <bk>
      <rc t="1" v="16384"/>
    </bk>
    <bk>
      <rc t="1" v="16385"/>
    </bk>
    <bk>
      <rc t="1" v="16386"/>
    </bk>
    <bk>
      <rc t="1" v="16387"/>
    </bk>
    <bk>
      <rc t="1" v="16388"/>
    </bk>
    <bk>
      <rc t="1" v="16389"/>
    </bk>
    <bk>
      <rc t="1" v="16390"/>
    </bk>
    <bk>
      <rc t="1" v="16391"/>
    </bk>
    <bk>
      <rc t="1" v="16392"/>
    </bk>
    <bk>
      <rc t="1" v="16393"/>
    </bk>
    <bk>
      <rc t="1" v="16394"/>
    </bk>
    <bk>
      <rc t="1" v="16395"/>
    </bk>
    <bk>
      <rc t="1" v="16396"/>
    </bk>
    <bk>
      <rc t="1" v="16397"/>
    </bk>
    <bk>
      <rc t="1" v="16398"/>
    </bk>
    <bk>
      <rc t="1" v="16399"/>
    </bk>
    <bk>
      <rc t="1" v="16400"/>
    </bk>
    <bk>
      <rc t="1" v="16401"/>
    </bk>
    <bk>
      <rc t="1" v="16402"/>
    </bk>
    <bk>
      <rc t="1" v="16403"/>
    </bk>
    <bk>
      <rc t="1" v="16404"/>
    </bk>
    <bk>
      <rc t="1" v="16405"/>
    </bk>
    <bk>
      <rc t="1" v="16406"/>
    </bk>
    <bk>
      <rc t="1" v="16407"/>
    </bk>
    <bk>
      <rc t="1" v="16408"/>
    </bk>
    <bk>
      <rc t="1" v="16409"/>
    </bk>
    <bk>
      <rc t="1" v="16410"/>
    </bk>
    <bk>
      <rc t="1" v="16411"/>
    </bk>
    <bk>
      <rc t="1" v="16412"/>
    </bk>
    <bk>
      <rc t="1" v="16413"/>
    </bk>
    <bk>
      <rc t="1" v="16414"/>
    </bk>
    <bk>
      <rc t="1" v="16415"/>
    </bk>
    <bk>
      <rc t="1" v="16416"/>
    </bk>
    <bk>
      <rc t="1" v="16417"/>
    </bk>
    <bk>
      <rc t="1" v="16418"/>
    </bk>
    <bk>
      <rc t="1" v="16419"/>
    </bk>
    <bk>
      <rc t="1" v="16420"/>
    </bk>
    <bk>
      <rc t="1" v="16421"/>
    </bk>
    <bk>
      <rc t="1" v="16422"/>
    </bk>
    <bk>
      <rc t="1" v="16423"/>
    </bk>
    <bk>
      <rc t="1" v="16424"/>
    </bk>
    <bk>
      <rc t="1" v="16425"/>
    </bk>
    <bk>
      <rc t="1" v="16426"/>
    </bk>
    <bk>
      <rc t="1" v="16427"/>
    </bk>
    <bk>
      <rc t="1" v="16428"/>
    </bk>
    <bk>
      <rc t="1" v="16429"/>
    </bk>
    <bk>
      <rc t="1" v="16430"/>
    </bk>
    <bk>
      <rc t="1" v="16431"/>
    </bk>
    <bk>
      <rc t="1" v="16432"/>
    </bk>
    <bk>
      <rc t="1" v="16433"/>
    </bk>
    <bk>
      <rc t="1" v="16434"/>
    </bk>
    <bk>
      <rc t="1" v="16435"/>
    </bk>
    <bk>
      <rc t="1" v="16436"/>
    </bk>
    <bk>
      <rc t="1" v="16437"/>
    </bk>
    <bk>
      <rc t="1" v="16438"/>
    </bk>
    <bk>
      <rc t="1" v="16439"/>
    </bk>
    <bk>
      <rc t="1" v="16440"/>
    </bk>
    <bk>
      <rc t="1" v="16441"/>
    </bk>
    <bk>
      <rc t="1" v="16442"/>
    </bk>
    <bk>
      <rc t="1" v="16443"/>
    </bk>
    <bk>
      <rc t="1" v="16444"/>
    </bk>
    <bk>
      <rc t="1" v="16445"/>
    </bk>
    <bk>
      <rc t="1" v="16446"/>
    </bk>
    <bk>
      <rc t="1" v="16447"/>
    </bk>
    <bk>
      <rc t="1" v="16448"/>
    </bk>
    <bk>
      <rc t="1" v="16449"/>
    </bk>
    <bk>
      <rc t="1" v="16450"/>
    </bk>
    <bk>
      <rc t="1" v="16451"/>
    </bk>
    <bk>
      <rc t="1" v="16452"/>
    </bk>
    <bk>
      <rc t="1" v="16453"/>
    </bk>
    <bk>
      <rc t="1" v="16454"/>
    </bk>
    <bk>
      <rc t="1" v="16455"/>
    </bk>
    <bk>
      <rc t="1" v="16456"/>
    </bk>
    <bk>
      <rc t="1" v="16457"/>
    </bk>
    <bk>
      <rc t="1" v="16458"/>
    </bk>
    <bk>
      <rc t="1" v="16459"/>
    </bk>
    <bk>
      <rc t="1" v="16460"/>
    </bk>
    <bk>
      <rc t="1" v="16461"/>
    </bk>
    <bk>
      <rc t="1" v="16462"/>
    </bk>
    <bk>
      <rc t="1" v="16463"/>
    </bk>
    <bk>
      <rc t="1" v="16464"/>
    </bk>
    <bk>
      <rc t="1" v="16465"/>
    </bk>
    <bk>
      <rc t="1" v="16466"/>
    </bk>
    <bk>
      <rc t="1" v="16467"/>
    </bk>
    <bk>
      <rc t="1" v="16468"/>
    </bk>
    <bk>
      <rc t="1" v="16469"/>
    </bk>
    <bk>
      <rc t="1" v="16470"/>
    </bk>
    <bk>
      <rc t="1" v="16471"/>
    </bk>
    <bk>
      <rc t="1" v="16472"/>
    </bk>
    <bk>
      <rc t="1" v="16473"/>
    </bk>
    <bk>
      <rc t="1" v="16474"/>
    </bk>
    <bk>
      <rc t="1" v="16475"/>
    </bk>
    <bk>
      <rc t="1" v="16476"/>
    </bk>
    <bk>
      <rc t="1" v="16477"/>
    </bk>
    <bk>
      <rc t="1" v="16478"/>
    </bk>
    <bk>
      <rc t="1" v="16479"/>
    </bk>
    <bk>
      <rc t="1" v="16480"/>
    </bk>
    <bk>
      <rc t="1" v="16481"/>
    </bk>
    <bk>
      <rc t="1" v="16482"/>
    </bk>
    <bk>
      <rc t="1" v="16483"/>
    </bk>
    <bk>
      <rc t="1" v="16484"/>
    </bk>
    <bk>
      <rc t="1" v="16485"/>
    </bk>
    <bk>
      <rc t="1" v="16486"/>
    </bk>
    <bk>
      <rc t="1" v="16487"/>
    </bk>
    <bk>
      <rc t="1" v="16488"/>
    </bk>
    <bk>
      <rc t="1" v="16489"/>
    </bk>
    <bk>
      <rc t="1" v="16490"/>
    </bk>
    <bk>
      <rc t="1" v="16491"/>
    </bk>
    <bk>
      <rc t="1" v="16492"/>
    </bk>
    <bk>
      <rc t="1" v="16493"/>
    </bk>
    <bk>
      <rc t="1" v="16494"/>
    </bk>
    <bk>
      <rc t="1" v="16495"/>
    </bk>
    <bk>
      <rc t="1" v="16496"/>
    </bk>
    <bk>
      <rc t="1" v="16497"/>
    </bk>
    <bk>
      <rc t="1" v="16498"/>
    </bk>
    <bk>
      <rc t="1" v="16499"/>
    </bk>
    <bk>
      <rc t="1" v="16500"/>
    </bk>
    <bk>
      <rc t="1" v="16501"/>
    </bk>
    <bk>
      <rc t="1" v="16502"/>
    </bk>
    <bk>
      <rc t="1" v="16503"/>
    </bk>
    <bk>
      <rc t="1" v="16504"/>
    </bk>
    <bk>
      <rc t="1" v="16505"/>
    </bk>
    <bk>
      <rc t="1" v="16506"/>
    </bk>
    <bk>
      <rc t="1" v="16507"/>
    </bk>
    <bk>
      <rc t="1" v="16508"/>
    </bk>
    <bk>
      <rc t="1" v="16509"/>
    </bk>
    <bk>
      <rc t="1" v="16510"/>
    </bk>
    <bk>
      <rc t="1" v="16511"/>
    </bk>
    <bk>
      <rc t="1" v="16512"/>
    </bk>
    <bk>
      <rc t="1" v="16513"/>
    </bk>
    <bk>
      <rc t="1" v="16514"/>
    </bk>
    <bk>
      <rc t="1" v="16515"/>
    </bk>
    <bk>
      <rc t="1" v="16516"/>
    </bk>
    <bk>
      <rc t="1" v="16517"/>
    </bk>
    <bk>
      <rc t="1" v="16518"/>
    </bk>
    <bk>
      <rc t="1" v="16519"/>
    </bk>
    <bk>
      <rc t="1" v="16520"/>
    </bk>
    <bk>
      <rc t="1" v="16521"/>
    </bk>
    <bk>
      <rc t="1" v="16522"/>
    </bk>
    <bk>
      <rc t="1" v="16523"/>
    </bk>
    <bk>
      <rc t="1" v="16524"/>
    </bk>
    <bk>
      <rc t="1" v="16525"/>
    </bk>
    <bk>
      <rc t="1" v="16526"/>
    </bk>
    <bk>
      <rc t="1" v="16527"/>
    </bk>
    <bk>
      <rc t="1" v="16528"/>
    </bk>
    <bk>
      <rc t="1" v="16529"/>
    </bk>
    <bk>
      <rc t="1" v="16530"/>
    </bk>
    <bk>
      <rc t="1" v="16531"/>
    </bk>
    <bk>
      <rc t="1" v="16532"/>
    </bk>
    <bk>
      <rc t="1" v="16533"/>
    </bk>
    <bk>
      <rc t="1" v="16534"/>
    </bk>
    <bk>
      <rc t="1" v="16535"/>
    </bk>
    <bk>
      <rc t="1" v="16536"/>
    </bk>
    <bk>
      <rc t="1" v="16537"/>
    </bk>
    <bk>
      <rc t="1" v="16538"/>
    </bk>
    <bk>
      <rc t="1" v="16539"/>
    </bk>
    <bk>
      <rc t="1" v="16540"/>
    </bk>
    <bk>
      <rc t="1" v="16541"/>
    </bk>
    <bk>
      <rc t="1" v="16542"/>
    </bk>
    <bk>
      <rc t="1" v="16543"/>
    </bk>
    <bk>
      <rc t="1" v="16544"/>
    </bk>
    <bk>
      <rc t="1" v="16545"/>
    </bk>
    <bk>
      <rc t="1" v="16546"/>
    </bk>
    <bk>
      <rc t="1" v="16547"/>
    </bk>
    <bk>
      <rc t="1" v="16548"/>
    </bk>
    <bk>
      <rc t="1" v="16549"/>
    </bk>
    <bk>
      <rc t="1" v="16550"/>
    </bk>
    <bk>
      <rc t="1" v="16551"/>
    </bk>
    <bk>
      <rc t="1" v="16552"/>
    </bk>
    <bk>
      <rc t="1" v="16553"/>
    </bk>
    <bk>
      <rc t="1" v="16554"/>
    </bk>
    <bk>
      <rc t="1" v="16555"/>
    </bk>
    <bk>
      <rc t="1" v="16556"/>
    </bk>
    <bk>
      <rc t="1" v="16557"/>
    </bk>
    <bk>
      <rc t="1" v="16558"/>
    </bk>
    <bk>
      <rc t="1" v="16559"/>
    </bk>
    <bk>
      <rc t="1" v="16560"/>
    </bk>
    <bk>
      <rc t="1" v="16561"/>
    </bk>
    <bk>
      <rc t="1" v="16562"/>
    </bk>
    <bk>
      <rc t="1" v="16563"/>
    </bk>
    <bk>
      <rc t="1" v="16564"/>
    </bk>
    <bk>
      <rc t="1" v="16565"/>
    </bk>
    <bk>
      <rc t="1" v="16566"/>
    </bk>
    <bk>
      <rc t="1" v="16567"/>
    </bk>
    <bk>
      <rc t="1" v="16568"/>
    </bk>
    <bk>
      <rc t="1" v="16569"/>
    </bk>
    <bk>
      <rc t="1" v="16570"/>
    </bk>
    <bk>
      <rc t="1" v="16571"/>
    </bk>
    <bk>
      <rc t="1" v="16572"/>
    </bk>
    <bk>
      <rc t="1" v="16573"/>
    </bk>
    <bk>
      <rc t="1" v="16574"/>
    </bk>
    <bk>
      <rc t="1" v="16575"/>
    </bk>
    <bk>
      <rc t="1" v="16576"/>
    </bk>
    <bk>
      <rc t="1" v="16577"/>
    </bk>
    <bk>
      <rc t="1" v="16578"/>
    </bk>
    <bk>
      <rc t="1" v="16579"/>
    </bk>
    <bk>
      <rc t="1" v="16580"/>
    </bk>
    <bk>
      <rc t="1" v="16581"/>
    </bk>
    <bk>
      <rc t="1" v="16582"/>
    </bk>
    <bk>
      <rc t="1" v="16583"/>
    </bk>
    <bk>
      <rc t="1" v="16584"/>
    </bk>
    <bk>
      <rc t="1" v="16585"/>
    </bk>
    <bk>
      <rc t="1" v="16586"/>
    </bk>
    <bk>
      <rc t="1" v="16587"/>
    </bk>
    <bk>
      <rc t="1" v="16588"/>
    </bk>
    <bk>
      <rc t="1" v="16589"/>
    </bk>
    <bk>
      <rc t="1" v="16590"/>
    </bk>
    <bk>
      <rc t="1" v="16591"/>
    </bk>
    <bk>
      <rc t="1" v="16592"/>
    </bk>
    <bk>
      <rc t="1" v="16593"/>
    </bk>
    <bk>
      <rc t="1" v="16594"/>
    </bk>
    <bk>
      <rc t="1" v="16595"/>
    </bk>
    <bk>
      <rc t="1" v="16596"/>
    </bk>
    <bk>
      <rc t="1" v="16597"/>
    </bk>
    <bk>
      <rc t="1" v="16598"/>
    </bk>
    <bk>
      <rc t="1" v="16599"/>
    </bk>
    <bk>
      <rc t="1" v="16600"/>
    </bk>
    <bk>
      <rc t="1" v="16601"/>
    </bk>
    <bk>
      <rc t="1" v="16602"/>
    </bk>
    <bk>
      <rc t="1" v="16603"/>
    </bk>
    <bk>
      <rc t="1" v="16604"/>
    </bk>
    <bk>
      <rc t="1" v="16605"/>
    </bk>
    <bk>
      <rc t="1" v="16606"/>
    </bk>
    <bk>
      <rc t="1" v="16607"/>
    </bk>
    <bk>
      <rc t="1" v="16608"/>
    </bk>
    <bk>
      <rc t="1" v="16609"/>
    </bk>
    <bk>
      <rc t="1" v="16610"/>
    </bk>
    <bk>
      <rc t="1" v="16611"/>
    </bk>
    <bk>
      <rc t="1" v="16612"/>
    </bk>
    <bk>
      <rc t="1" v="16613"/>
    </bk>
    <bk>
      <rc t="1" v="16614"/>
    </bk>
    <bk>
      <rc t="1" v="16615"/>
    </bk>
    <bk>
      <rc t="1" v="16616"/>
    </bk>
    <bk>
      <rc t="1" v="16617"/>
    </bk>
    <bk>
      <rc t="1" v="16618"/>
    </bk>
    <bk>
      <rc t="1" v="16619"/>
    </bk>
    <bk>
      <rc t="1" v="16620"/>
    </bk>
    <bk>
      <rc t="1" v="16621"/>
    </bk>
    <bk>
      <rc t="1" v="16622"/>
    </bk>
    <bk>
      <rc t="1" v="16623"/>
    </bk>
    <bk>
      <rc t="1" v="16624"/>
    </bk>
    <bk>
      <rc t="1" v="16625"/>
    </bk>
    <bk>
      <rc t="1" v="16626"/>
    </bk>
    <bk>
      <rc t="1" v="16627"/>
    </bk>
    <bk>
      <rc t="1" v="16628"/>
    </bk>
    <bk>
      <rc t="1" v="16629"/>
    </bk>
    <bk>
      <rc t="1" v="16630"/>
    </bk>
    <bk>
      <rc t="1" v="16631"/>
    </bk>
    <bk>
      <rc t="1" v="16632"/>
    </bk>
    <bk>
      <rc t="1" v="16633"/>
    </bk>
    <bk>
      <rc t="1" v="16634"/>
    </bk>
    <bk>
      <rc t="1" v="16635"/>
    </bk>
    <bk>
      <rc t="1" v="16636"/>
    </bk>
    <bk>
      <rc t="1" v="16637"/>
    </bk>
    <bk>
      <rc t="1" v="16638"/>
    </bk>
    <bk>
      <rc t="1" v="16639"/>
    </bk>
    <bk>
      <rc t="1" v="16640"/>
    </bk>
    <bk>
      <rc t="1" v="16641"/>
    </bk>
    <bk>
      <rc t="1" v="16642"/>
    </bk>
    <bk>
      <rc t="1" v="16643"/>
    </bk>
    <bk>
      <rc t="1" v="16644"/>
    </bk>
    <bk>
      <rc t="1" v="16645"/>
    </bk>
    <bk>
      <rc t="1" v="16646"/>
    </bk>
    <bk>
      <rc t="1" v="16647"/>
    </bk>
    <bk>
      <rc t="1" v="16648"/>
    </bk>
    <bk>
      <rc t="1" v="16649"/>
    </bk>
    <bk>
      <rc t="1" v="16650"/>
    </bk>
    <bk>
      <rc t="1" v="16651"/>
    </bk>
    <bk>
      <rc t="1" v="16652"/>
    </bk>
    <bk>
      <rc t="1" v="16653"/>
    </bk>
    <bk>
      <rc t="1" v="16654"/>
    </bk>
    <bk>
      <rc t="1" v="16655"/>
    </bk>
    <bk>
      <rc t="1" v="16656"/>
    </bk>
    <bk>
      <rc t="1" v="16657"/>
    </bk>
    <bk>
      <rc t="1" v="16658"/>
    </bk>
    <bk>
      <rc t="1" v="16659"/>
    </bk>
    <bk>
      <rc t="1" v="16660"/>
    </bk>
    <bk>
      <rc t="1" v="16661"/>
    </bk>
    <bk>
      <rc t="1" v="16662"/>
    </bk>
    <bk>
      <rc t="1" v="16663"/>
    </bk>
    <bk>
      <rc t="1" v="16664"/>
    </bk>
    <bk>
      <rc t="1" v="16665"/>
    </bk>
    <bk>
      <rc t="1" v="16666"/>
    </bk>
    <bk>
      <rc t="1" v="16667"/>
    </bk>
    <bk>
      <rc t="1" v="16668"/>
    </bk>
    <bk>
      <rc t="1" v="16669"/>
    </bk>
    <bk>
      <rc t="1" v="16670"/>
    </bk>
    <bk>
      <rc t="1" v="16671"/>
    </bk>
    <bk>
      <rc t="1" v="16672"/>
    </bk>
    <bk>
      <rc t="1" v="16673"/>
    </bk>
    <bk>
      <rc t="1" v="16674"/>
    </bk>
    <bk>
      <rc t="1" v="16675"/>
    </bk>
    <bk>
      <rc t="1" v="16676"/>
    </bk>
    <bk>
      <rc t="1" v="16677"/>
    </bk>
    <bk>
      <rc t="1" v="16678"/>
    </bk>
    <bk>
      <rc t="1" v="16679"/>
    </bk>
    <bk>
      <rc t="1" v="16680"/>
    </bk>
    <bk>
      <rc t="1" v="16681"/>
    </bk>
    <bk>
      <rc t="1" v="16682"/>
    </bk>
    <bk>
      <rc t="1" v="16683"/>
    </bk>
    <bk>
      <rc t="1" v="16684"/>
    </bk>
    <bk>
      <rc t="1" v="16685"/>
    </bk>
    <bk>
      <rc t="1" v="16686"/>
    </bk>
    <bk>
      <rc t="1" v="16687"/>
    </bk>
    <bk>
      <rc t="1" v="16688"/>
    </bk>
    <bk>
      <rc t="1" v="16689"/>
    </bk>
    <bk>
      <rc t="1" v="16690"/>
    </bk>
    <bk>
      <rc t="1" v="16691"/>
    </bk>
    <bk>
      <rc t="1" v="16692"/>
    </bk>
    <bk>
      <rc t="1" v="16693"/>
    </bk>
    <bk>
      <rc t="1" v="16694"/>
    </bk>
    <bk>
      <rc t="1" v="16695"/>
    </bk>
    <bk>
      <rc t="1" v="16696"/>
    </bk>
    <bk>
      <rc t="1" v="16697"/>
    </bk>
    <bk>
      <rc t="1" v="16698"/>
    </bk>
    <bk>
      <rc t="1" v="16699"/>
    </bk>
    <bk>
      <rc t="1" v="16700"/>
    </bk>
    <bk>
      <rc t="1" v="16701"/>
    </bk>
    <bk>
      <rc t="1" v="16702"/>
    </bk>
    <bk>
      <rc t="1" v="16703"/>
    </bk>
    <bk>
      <rc t="1" v="16704"/>
    </bk>
    <bk>
      <rc t="1" v="16705"/>
    </bk>
    <bk>
      <rc t="1" v="16706"/>
    </bk>
    <bk>
      <rc t="1" v="16707"/>
    </bk>
    <bk>
      <rc t="1" v="16708"/>
    </bk>
    <bk>
      <rc t="1" v="16709"/>
    </bk>
    <bk>
      <rc t="1" v="16710"/>
    </bk>
    <bk>
      <rc t="1" v="16711"/>
    </bk>
    <bk>
      <rc t="1" v="16712"/>
    </bk>
    <bk>
      <rc t="1" v="16713"/>
    </bk>
    <bk>
      <rc t="1" v="16714"/>
    </bk>
    <bk>
      <rc t="1" v="16715"/>
    </bk>
    <bk>
      <rc t="1" v="16716"/>
    </bk>
    <bk>
      <rc t="1" v="16717"/>
    </bk>
    <bk>
      <rc t="1" v="16718"/>
    </bk>
    <bk>
      <rc t="1" v="16719"/>
    </bk>
    <bk>
      <rc t="1" v="16720"/>
    </bk>
    <bk>
      <rc t="1" v="16721"/>
    </bk>
    <bk>
      <rc t="1" v="16722"/>
    </bk>
    <bk>
      <rc t="1" v="16723"/>
    </bk>
    <bk>
      <rc t="1" v="16724"/>
    </bk>
    <bk>
      <rc t="1" v="16725"/>
    </bk>
    <bk>
      <rc t="1" v="16726"/>
    </bk>
    <bk>
      <rc t="1" v="16727"/>
    </bk>
    <bk>
      <rc t="1" v="16728"/>
    </bk>
    <bk>
      <rc t="1" v="16729"/>
    </bk>
    <bk>
      <rc t="1" v="16730"/>
    </bk>
    <bk>
      <rc t="1" v="16731"/>
    </bk>
    <bk>
      <rc t="1" v="16732"/>
    </bk>
    <bk>
      <rc t="1" v="16733"/>
    </bk>
    <bk>
      <rc t="1" v="16734"/>
    </bk>
    <bk>
      <rc t="1" v="16735"/>
    </bk>
    <bk>
      <rc t="1" v="16736"/>
    </bk>
    <bk>
      <rc t="1" v="16737"/>
    </bk>
    <bk>
      <rc t="1" v="16738"/>
    </bk>
    <bk>
      <rc t="1" v="16739"/>
    </bk>
    <bk>
      <rc t="1" v="16740"/>
    </bk>
    <bk>
      <rc t="1" v="16741"/>
    </bk>
    <bk>
      <rc t="1" v="16742"/>
    </bk>
    <bk>
      <rc t="1" v="16743"/>
    </bk>
    <bk>
      <rc t="1" v="16744"/>
    </bk>
    <bk>
      <rc t="1" v="16745"/>
    </bk>
    <bk>
      <rc t="1" v="16746"/>
    </bk>
    <bk>
      <rc t="1" v="16747"/>
    </bk>
    <bk>
      <rc t="1" v="16748"/>
    </bk>
    <bk>
      <rc t="1" v="16749"/>
    </bk>
    <bk>
      <rc t="1" v="16750"/>
    </bk>
    <bk>
      <rc t="1" v="16751"/>
    </bk>
    <bk>
      <rc t="1" v="16752"/>
    </bk>
    <bk>
      <rc t="1" v="16753"/>
    </bk>
    <bk>
      <rc t="1" v="16754"/>
    </bk>
    <bk>
      <rc t="1" v="16755"/>
    </bk>
    <bk>
      <rc t="1" v="16756"/>
    </bk>
    <bk>
      <rc t="1" v="16757"/>
    </bk>
    <bk>
      <rc t="1" v="16758"/>
    </bk>
    <bk>
      <rc t="1" v="16759"/>
    </bk>
    <bk>
      <rc t="1" v="16760"/>
    </bk>
    <bk>
      <rc t="1" v="16761"/>
    </bk>
    <bk>
      <rc t="1" v="16762"/>
    </bk>
    <bk>
      <rc t="1" v="16763"/>
    </bk>
    <bk>
      <rc t="1" v="16764"/>
    </bk>
    <bk>
      <rc t="1" v="16765"/>
    </bk>
    <bk>
      <rc t="1" v="16766"/>
    </bk>
    <bk>
      <rc t="1" v="16767"/>
    </bk>
    <bk>
      <rc t="1" v="16768"/>
    </bk>
    <bk>
      <rc t="1" v="16769"/>
    </bk>
    <bk>
      <rc t="1" v="16770"/>
    </bk>
    <bk>
      <rc t="1" v="16771"/>
    </bk>
    <bk>
      <rc t="1" v="16772"/>
    </bk>
    <bk>
      <rc t="1" v="16773"/>
    </bk>
    <bk>
      <rc t="1" v="16774"/>
    </bk>
    <bk>
      <rc t="1" v="16775"/>
    </bk>
    <bk>
      <rc t="1" v="16776"/>
    </bk>
    <bk>
      <rc t="1" v="16777"/>
    </bk>
    <bk>
      <rc t="1" v="16778"/>
    </bk>
    <bk>
      <rc t="1" v="16779"/>
    </bk>
    <bk>
      <rc t="1" v="16780"/>
    </bk>
    <bk>
      <rc t="1" v="16781"/>
    </bk>
    <bk>
      <rc t="1" v="16782"/>
    </bk>
    <bk>
      <rc t="1" v="16783"/>
    </bk>
    <bk>
      <rc t="1" v="16784"/>
    </bk>
    <bk>
      <rc t="1" v="16785"/>
    </bk>
    <bk>
      <rc t="1" v="16786"/>
    </bk>
    <bk>
      <rc t="1" v="16787"/>
    </bk>
    <bk>
      <rc t="1" v="16788"/>
    </bk>
    <bk>
      <rc t="1" v="16789"/>
    </bk>
    <bk>
      <rc t="1" v="16790"/>
    </bk>
    <bk>
      <rc t="1" v="16791"/>
    </bk>
    <bk>
      <rc t="1" v="16792"/>
    </bk>
    <bk>
      <rc t="1" v="16793"/>
    </bk>
    <bk>
      <rc t="1" v="16794"/>
    </bk>
    <bk>
      <rc t="1" v="16795"/>
    </bk>
    <bk>
      <rc t="1" v="16796"/>
    </bk>
    <bk>
      <rc t="1" v="16797"/>
    </bk>
    <bk>
      <rc t="1" v="16798"/>
    </bk>
    <bk>
      <rc t="1" v="16799"/>
    </bk>
    <bk>
      <rc t="1" v="16800"/>
    </bk>
    <bk>
      <rc t="1" v="16801"/>
    </bk>
    <bk>
      <rc t="1" v="16802"/>
    </bk>
    <bk>
      <rc t="1" v="16803"/>
    </bk>
    <bk>
      <rc t="1" v="16804"/>
    </bk>
    <bk>
      <rc t="1" v="16805"/>
    </bk>
    <bk>
      <rc t="1" v="16806"/>
    </bk>
    <bk>
      <rc t="1" v="16807"/>
    </bk>
    <bk>
      <rc t="1" v="16808"/>
    </bk>
    <bk>
      <rc t="1" v="16809"/>
    </bk>
    <bk>
      <rc t="1" v="16810"/>
    </bk>
    <bk>
      <rc t="1" v="16811"/>
    </bk>
    <bk>
      <rc t="1" v="16812"/>
    </bk>
    <bk>
      <rc t="1" v="16813"/>
    </bk>
    <bk>
      <rc t="1" v="16814"/>
    </bk>
    <bk>
      <rc t="1" v="16815"/>
    </bk>
    <bk>
      <rc t="1" v="16816"/>
    </bk>
    <bk>
      <rc t="1" v="16817"/>
    </bk>
    <bk>
      <rc t="1" v="16818"/>
    </bk>
    <bk>
      <rc t="1" v="16819"/>
    </bk>
    <bk>
      <rc t="1" v="16820"/>
    </bk>
    <bk>
      <rc t="1" v="16821"/>
    </bk>
    <bk>
      <rc t="1" v="16822"/>
    </bk>
    <bk>
      <rc t="1" v="16823"/>
    </bk>
    <bk>
      <rc t="1" v="16824"/>
    </bk>
    <bk>
      <rc t="1" v="16825"/>
    </bk>
    <bk>
      <rc t="1" v="16826"/>
    </bk>
    <bk>
      <rc t="1" v="16827"/>
    </bk>
    <bk>
      <rc t="1" v="16828"/>
    </bk>
    <bk>
      <rc t="1" v="16829"/>
    </bk>
    <bk>
      <rc t="1" v="16830"/>
    </bk>
    <bk>
      <rc t="1" v="16831"/>
    </bk>
    <bk>
      <rc t="1" v="16832"/>
    </bk>
    <bk>
      <rc t="1" v="16833"/>
    </bk>
    <bk>
      <rc t="1" v="16834"/>
    </bk>
    <bk>
      <rc t="1" v="16835"/>
    </bk>
    <bk>
      <rc t="1" v="16836"/>
    </bk>
    <bk>
      <rc t="1" v="16837"/>
    </bk>
    <bk>
      <rc t="1" v="16838"/>
    </bk>
    <bk>
      <rc t="1" v="16839"/>
    </bk>
    <bk>
      <rc t="1" v="16840"/>
    </bk>
    <bk>
      <rc t="1" v="16841"/>
    </bk>
    <bk>
      <rc t="1" v="16842"/>
    </bk>
    <bk>
      <rc t="1" v="16843"/>
    </bk>
    <bk>
      <rc t="1" v="16844"/>
    </bk>
    <bk>
      <rc t="1" v="16845"/>
    </bk>
    <bk>
      <rc t="1" v="16846"/>
    </bk>
    <bk>
      <rc t="1" v="16847"/>
    </bk>
    <bk>
      <rc t="1" v="16848"/>
    </bk>
    <bk>
      <rc t="1" v="16849"/>
    </bk>
    <bk>
      <rc t="1" v="16850"/>
    </bk>
    <bk>
      <rc t="1" v="16851"/>
    </bk>
    <bk>
      <rc t="1" v="16852"/>
    </bk>
    <bk>
      <rc t="1" v="16853"/>
    </bk>
    <bk>
      <rc t="1" v="16854"/>
    </bk>
    <bk>
      <rc t="1" v="16855"/>
    </bk>
    <bk>
      <rc t="1" v="16856"/>
    </bk>
    <bk>
      <rc t="1" v="16857"/>
    </bk>
    <bk>
      <rc t="1" v="16858"/>
    </bk>
    <bk>
      <rc t="1" v="16859"/>
    </bk>
    <bk>
      <rc t="1" v="16860"/>
    </bk>
    <bk>
      <rc t="1" v="16861"/>
    </bk>
    <bk>
      <rc t="1" v="16862"/>
    </bk>
    <bk>
      <rc t="1" v="16863"/>
    </bk>
    <bk>
      <rc t="1" v="16864"/>
    </bk>
    <bk>
      <rc t="1" v="16865"/>
    </bk>
    <bk>
      <rc t="1" v="16866"/>
    </bk>
    <bk>
      <rc t="1" v="16867"/>
    </bk>
    <bk>
      <rc t="1" v="16868"/>
    </bk>
    <bk>
      <rc t="1" v="16869"/>
    </bk>
    <bk>
      <rc t="1" v="16870"/>
    </bk>
    <bk>
      <rc t="1" v="16871"/>
    </bk>
    <bk>
      <rc t="1" v="16872"/>
    </bk>
    <bk>
      <rc t="1" v="16873"/>
    </bk>
    <bk>
      <rc t="1" v="16874"/>
    </bk>
    <bk>
      <rc t="1" v="16875"/>
    </bk>
    <bk>
      <rc t="1" v="16876"/>
    </bk>
    <bk>
      <rc t="1" v="16877"/>
    </bk>
    <bk>
      <rc t="1" v="16878"/>
    </bk>
    <bk>
      <rc t="1" v="16879"/>
    </bk>
    <bk>
      <rc t="1" v="16880"/>
    </bk>
    <bk>
      <rc t="1" v="16881"/>
    </bk>
    <bk>
      <rc t="1" v="16882"/>
    </bk>
    <bk>
      <rc t="1" v="16883"/>
    </bk>
    <bk>
      <rc t="1" v="16884"/>
    </bk>
    <bk>
      <rc t="1" v="16885"/>
    </bk>
    <bk>
      <rc t="1" v="16886"/>
    </bk>
    <bk>
      <rc t="1" v="16887"/>
    </bk>
    <bk>
      <rc t="1" v="16888"/>
    </bk>
    <bk>
      <rc t="1" v="16889"/>
    </bk>
    <bk>
      <rc t="1" v="16890"/>
    </bk>
    <bk>
      <rc t="1" v="16891"/>
    </bk>
    <bk>
      <rc t="1" v="16892"/>
    </bk>
    <bk>
      <rc t="1" v="16893"/>
    </bk>
    <bk>
      <rc t="1" v="16894"/>
    </bk>
    <bk>
      <rc t="1" v="16895"/>
    </bk>
    <bk>
      <rc t="1" v="16896"/>
    </bk>
    <bk>
      <rc t="1" v="16897"/>
    </bk>
    <bk>
      <rc t="1" v="16898"/>
    </bk>
    <bk>
      <rc t="1" v="16899"/>
    </bk>
    <bk>
      <rc t="1" v="16900"/>
    </bk>
    <bk>
      <rc t="1" v="16901"/>
    </bk>
    <bk>
      <rc t="1" v="16902"/>
    </bk>
    <bk>
      <rc t="1" v="16903"/>
    </bk>
    <bk>
      <rc t="1" v="16904"/>
    </bk>
    <bk>
      <rc t="1" v="16905"/>
    </bk>
    <bk>
      <rc t="1" v="16906"/>
    </bk>
    <bk>
      <rc t="1" v="16907"/>
    </bk>
    <bk>
      <rc t="1" v="16908"/>
    </bk>
    <bk>
      <rc t="1" v="16909"/>
    </bk>
    <bk>
      <rc t="1" v="16910"/>
    </bk>
    <bk>
      <rc t="1" v="16911"/>
    </bk>
    <bk>
      <rc t="1" v="16912"/>
    </bk>
    <bk>
      <rc t="1" v="16913"/>
    </bk>
    <bk>
      <rc t="1" v="16914"/>
    </bk>
    <bk>
      <rc t="1" v="16915"/>
    </bk>
    <bk>
      <rc t="1" v="16916"/>
    </bk>
    <bk>
      <rc t="1" v="16917"/>
    </bk>
    <bk>
      <rc t="1" v="16918"/>
    </bk>
    <bk>
      <rc t="1" v="16919"/>
    </bk>
    <bk>
      <rc t="1" v="16920"/>
    </bk>
    <bk>
      <rc t="1" v="16921"/>
    </bk>
    <bk>
      <rc t="1" v="16922"/>
    </bk>
    <bk>
      <rc t="1" v="16923"/>
    </bk>
    <bk>
      <rc t="1" v="16924"/>
    </bk>
    <bk>
      <rc t="1" v="16925"/>
    </bk>
    <bk>
      <rc t="1" v="16926"/>
    </bk>
    <bk>
      <rc t="1" v="16927"/>
    </bk>
    <bk>
      <rc t="1" v="16928"/>
    </bk>
    <bk>
      <rc t="1" v="16929"/>
    </bk>
    <bk>
      <rc t="1" v="16930"/>
    </bk>
    <bk>
      <rc t="1" v="16931"/>
    </bk>
    <bk>
      <rc t="1" v="16932"/>
    </bk>
    <bk>
      <rc t="1" v="16933"/>
    </bk>
    <bk>
      <rc t="1" v="16934"/>
    </bk>
    <bk>
      <rc t="1" v="16935"/>
    </bk>
    <bk>
      <rc t="1" v="16936"/>
    </bk>
    <bk>
      <rc t="1" v="16937"/>
    </bk>
    <bk>
      <rc t="1" v="16938"/>
    </bk>
    <bk>
      <rc t="1" v="16939"/>
    </bk>
    <bk>
      <rc t="1" v="16940"/>
    </bk>
    <bk>
      <rc t="1" v="16941"/>
    </bk>
    <bk>
      <rc t="1" v="16942"/>
    </bk>
    <bk>
      <rc t="1" v="16943"/>
    </bk>
    <bk>
      <rc t="1" v="16944"/>
    </bk>
    <bk>
      <rc t="1" v="16945"/>
    </bk>
    <bk>
      <rc t="1" v="16946"/>
    </bk>
    <bk>
      <rc t="1" v="16947"/>
    </bk>
    <bk>
      <rc t="1" v="16948"/>
    </bk>
    <bk>
      <rc t="1" v="16949"/>
    </bk>
    <bk>
      <rc t="1" v="16950"/>
    </bk>
    <bk>
      <rc t="1" v="16951"/>
    </bk>
    <bk>
      <rc t="1" v="16952"/>
    </bk>
    <bk>
      <rc t="1" v="16953"/>
    </bk>
    <bk>
      <rc t="1" v="16954"/>
    </bk>
    <bk>
      <rc t="1" v="16955"/>
    </bk>
    <bk>
      <rc t="1" v="16956"/>
    </bk>
    <bk>
      <rc t="1" v="16957"/>
    </bk>
    <bk>
      <rc t="1" v="16958"/>
    </bk>
    <bk>
      <rc t="1" v="16959"/>
    </bk>
    <bk>
      <rc t="1" v="16960"/>
    </bk>
    <bk>
      <rc t="1" v="16961"/>
    </bk>
    <bk>
      <rc t="1" v="16962"/>
    </bk>
    <bk>
      <rc t="1" v="16963"/>
    </bk>
    <bk>
      <rc t="1" v="16964"/>
    </bk>
    <bk>
      <rc t="1" v="16965"/>
    </bk>
    <bk>
      <rc t="1" v="16966"/>
    </bk>
    <bk>
      <rc t="1" v="16967"/>
    </bk>
    <bk>
      <rc t="1" v="16968"/>
    </bk>
    <bk>
      <rc t="1" v="16969"/>
    </bk>
    <bk>
      <rc t="1" v="16970"/>
    </bk>
    <bk>
      <rc t="1" v="16971"/>
    </bk>
    <bk>
      <rc t="1" v="16972"/>
    </bk>
    <bk>
      <rc t="1" v="16973"/>
    </bk>
    <bk>
      <rc t="1" v="16974"/>
    </bk>
    <bk>
      <rc t="1" v="16975"/>
    </bk>
    <bk>
      <rc t="1" v="16976"/>
    </bk>
    <bk>
      <rc t="1" v="16977"/>
    </bk>
    <bk>
      <rc t="1" v="16978"/>
    </bk>
    <bk>
      <rc t="1" v="16979"/>
    </bk>
    <bk>
      <rc t="1" v="16980"/>
    </bk>
    <bk>
      <rc t="1" v="16981"/>
    </bk>
    <bk>
      <rc t="1" v="16982"/>
    </bk>
    <bk>
      <rc t="1" v="16983"/>
    </bk>
    <bk>
      <rc t="1" v="16984"/>
    </bk>
    <bk>
      <rc t="1" v="16985"/>
    </bk>
    <bk>
      <rc t="1" v="16986"/>
    </bk>
    <bk>
      <rc t="1" v="16987"/>
    </bk>
    <bk>
      <rc t="1" v="16988"/>
    </bk>
    <bk>
      <rc t="1" v="16989"/>
    </bk>
    <bk>
      <rc t="1" v="16990"/>
    </bk>
    <bk>
      <rc t="1" v="16991"/>
    </bk>
    <bk>
      <rc t="1" v="16992"/>
    </bk>
    <bk>
      <rc t="1" v="16993"/>
    </bk>
    <bk>
      <rc t="1" v="16994"/>
    </bk>
    <bk>
      <rc t="1" v="16995"/>
    </bk>
    <bk>
      <rc t="1" v="16996"/>
    </bk>
    <bk>
      <rc t="1" v="16997"/>
    </bk>
    <bk>
      <rc t="1" v="16998"/>
    </bk>
    <bk>
      <rc t="1" v="16999"/>
    </bk>
    <bk>
      <rc t="1" v="17000"/>
    </bk>
    <bk>
      <rc t="1" v="17001"/>
    </bk>
    <bk>
      <rc t="1" v="17002"/>
    </bk>
    <bk>
      <rc t="1" v="17003"/>
    </bk>
    <bk>
      <rc t="1" v="17004"/>
    </bk>
    <bk>
      <rc t="1" v="17005"/>
    </bk>
    <bk>
      <rc t="1" v="17006"/>
    </bk>
    <bk>
      <rc t="1" v="17007"/>
    </bk>
    <bk>
      <rc t="1" v="17008"/>
    </bk>
    <bk>
      <rc t="1" v="17009"/>
    </bk>
    <bk>
      <rc t="1" v="17010"/>
    </bk>
    <bk>
      <rc t="1" v="17011"/>
    </bk>
    <bk>
      <rc t="1" v="17012"/>
    </bk>
    <bk>
      <rc t="1" v="17013"/>
    </bk>
    <bk>
      <rc t="1" v="17014"/>
    </bk>
    <bk>
      <rc t="1" v="17015"/>
    </bk>
    <bk>
      <rc t="1" v="17016"/>
    </bk>
    <bk>
      <rc t="1" v="17017"/>
    </bk>
    <bk>
      <rc t="1" v="17018"/>
    </bk>
    <bk>
      <rc t="1" v="17019"/>
    </bk>
    <bk>
      <rc t="1" v="17020"/>
    </bk>
    <bk>
      <rc t="1" v="17021"/>
    </bk>
    <bk>
      <rc t="1" v="17022"/>
    </bk>
    <bk>
      <rc t="1" v="17023"/>
    </bk>
    <bk>
      <rc t="1" v="17024"/>
    </bk>
    <bk>
      <rc t="1" v="17025"/>
    </bk>
    <bk>
      <rc t="1" v="17026"/>
    </bk>
    <bk>
      <rc t="1" v="17027"/>
    </bk>
    <bk>
      <rc t="1" v="17028"/>
    </bk>
    <bk>
      <rc t="1" v="17029"/>
    </bk>
    <bk>
      <rc t="1" v="17030"/>
    </bk>
    <bk>
      <rc t="1" v="17031"/>
    </bk>
    <bk>
      <rc t="1" v="17032"/>
    </bk>
    <bk>
      <rc t="1" v="17033"/>
    </bk>
    <bk>
      <rc t="1" v="17034"/>
    </bk>
    <bk>
      <rc t="1" v="17035"/>
    </bk>
    <bk>
      <rc t="1" v="17036"/>
    </bk>
    <bk>
      <rc t="1" v="17037"/>
    </bk>
    <bk>
      <rc t="1" v="17038"/>
    </bk>
    <bk>
      <rc t="1" v="17039"/>
    </bk>
    <bk>
      <rc t="1" v="17040"/>
    </bk>
    <bk>
      <rc t="1" v="17041"/>
    </bk>
    <bk>
      <rc t="1" v="17042"/>
    </bk>
    <bk>
      <rc t="1" v="17043"/>
    </bk>
    <bk>
      <rc t="1" v="17044"/>
    </bk>
    <bk>
      <rc t="1" v="17045"/>
    </bk>
    <bk>
      <rc t="1" v="17046"/>
    </bk>
    <bk>
      <rc t="1" v="17047"/>
    </bk>
    <bk>
      <rc t="1" v="17048"/>
    </bk>
    <bk>
      <rc t="1" v="17049"/>
    </bk>
    <bk>
      <rc t="1" v="17050"/>
    </bk>
    <bk>
      <rc t="1" v="17051"/>
    </bk>
    <bk>
      <rc t="1" v="17052"/>
    </bk>
    <bk>
      <rc t="1" v="17053"/>
    </bk>
    <bk>
      <rc t="1" v="17054"/>
    </bk>
    <bk>
      <rc t="1" v="17055"/>
    </bk>
    <bk>
      <rc t="1" v="17056"/>
    </bk>
    <bk>
      <rc t="1" v="17057"/>
    </bk>
    <bk>
      <rc t="1" v="17058"/>
    </bk>
    <bk>
      <rc t="1" v="17059"/>
    </bk>
    <bk>
      <rc t="1" v="17060"/>
    </bk>
    <bk>
      <rc t="1" v="17061"/>
    </bk>
    <bk>
      <rc t="1" v="17062"/>
    </bk>
    <bk>
      <rc t="1" v="17063"/>
    </bk>
    <bk>
      <rc t="1" v="17064"/>
    </bk>
    <bk>
      <rc t="1" v="17065"/>
    </bk>
    <bk>
      <rc t="1" v="17066"/>
    </bk>
    <bk>
      <rc t="1" v="17067"/>
    </bk>
    <bk>
      <rc t="1" v="17068"/>
    </bk>
    <bk>
      <rc t="1" v="17069"/>
    </bk>
    <bk>
      <rc t="1" v="17070"/>
    </bk>
    <bk>
      <rc t="1" v="17071"/>
    </bk>
    <bk>
      <rc t="1" v="17072"/>
    </bk>
    <bk>
      <rc t="1" v="17073"/>
    </bk>
    <bk>
      <rc t="1" v="17074"/>
    </bk>
    <bk>
      <rc t="1" v="17075"/>
    </bk>
    <bk>
      <rc t="1" v="17076"/>
    </bk>
    <bk>
      <rc t="1" v="17077"/>
    </bk>
    <bk>
      <rc t="1" v="17078"/>
    </bk>
    <bk>
      <rc t="1" v="17079"/>
    </bk>
    <bk>
      <rc t="1" v="17080"/>
    </bk>
    <bk>
      <rc t="1" v="17081"/>
    </bk>
    <bk>
      <rc t="1" v="17082"/>
    </bk>
    <bk>
      <rc t="1" v="17083"/>
    </bk>
    <bk>
      <rc t="1" v="17084"/>
    </bk>
    <bk>
      <rc t="1" v="17085"/>
    </bk>
    <bk>
      <rc t="1" v="17086"/>
    </bk>
    <bk>
      <rc t="1" v="17087"/>
    </bk>
    <bk>
      <rc t="1" v="17088"/>
    </bk>
    <bk>
      <rc t="1" v="17089"/>
    </bk>
    <bk>
      <rc t="1" v="17090"/>
    </bk>
    <bk>
      <rc t="1" v="17091"/>
    </bk>
    <bk>
      <rc t="1" v="17092"/>
    </bk>
    <bk>
      <rc t="1" v="17093"/>
    </bk>
    <bk>
      <rc t="1" v="17094"/>
    </bk>
    <bk>
      <rc t="1" v="17095"/>
    </bk>
    <bk>
      <rc t="1" v="17096"/>
    </bk>
    <bk>
      <rc t="1" v="17097"/>
    </bk>
    <bk>
      <rc t="1" v="17098"/>
    </bk>
    <bk>
      <rc t="1" v="17099"/>
    </bk>
    <bk>
      <rc t="1" v="17100"/>
    </bk>
    <bk>
      <rc t="1" v="17101"/>
    </bk>
    <bk>
      <rc t="1" v="17102"/>
    </bk>
    <bk>
      <rc t="1" v="17103"/>
    </bk>
    <bk>
      <rc t="1" v="17104"/>
    </bk>
    <bk>
      <rc t="1" v="17105"/>
    </bk>
    <bk>
      <rc t="1" v="17106"/>
    </bk>
    <bk>
      <rc t="1" v="17107"/>
    </bk>
    <bk>
      <rc t="1" v="17108"/>
    </bk>
    <bk>
      <rc t="1" v="17109"/>
    </bk>
    <bk>
      <rc t="1" v="17110"/>
    </bk>
    <bk>
      <rc t="1" v="17111"/>
    </bk>
    <bk>
      <rc t="1" v="17112"/>
    </bk>
    <bk>
      <rc t="1" v="17113"/>
    </bk>
    <bk>
      <rc t="1" v="17114"/>
    </bk>
    <bk>
      <rc t="1" v="17115"/>
    </bk>
    <bk>
      <rc t="1" v="17116"/>
    </bk>
    <bk>
      <rc t="1" v="17117"/>
    </bk>
    <bk>
      <rc t="1" v="17118"/>
    </bk>
    <bk>
      <rc t="1" v="17119"/>
    </bk>
    <bk>
      <rc t="1" v="17120"/>
    </bk>
    <bk>
      <rc t="1" v="17121"/>
    </bk>
    <bk>
      <rc t="1" v="17122"/>
    </bk>
    <bk>
      <rc t="1" v="17123"/>
    </bk>
    <bk>
      <rc t="1" v="17124"/>
    </bk>
    <bk>
      <rc t="1" v="17125"/>
    </bk>
    <bk>
      <rc t="1" v="17126"/>
    </bk>
    <bk>
      <rc t="1" v="17127"/>
    </bk>
    <bk>
      <rc t="1" v="17128"/>
    </bk>
    <bk>
      <rc t="1" v="17129"/>
    </bk>
    <bk>
      <rc t="1" v="17130"/>
    </bk>
    <bk>
      <rc t="1" v="17131"/>
    </bk>
    <bk>
      <rc t="1" v="17132"/>
    </bk>
    <bk>
      <rc t="1" v="17133"/>
    </bk>
    <bk>
      <rc t="1" v="17134"/>
    </bk>
    <bk>
      <rc t="1" v="17135"/>
    </bk>
    <bk>
      <rc t="1" v="17136"/>
    </bk>
    <bk>
      <rc t="1" v="17137"/>
    </bk>
    <bk>
      <rc t="1" v="17138"/>
    </bk>
    <bk>
      <rc t="1" v="17139"/>
    </bk>
    <bk>
      <rc t="1" v="17140"/>
    </bk>
    <bk>
      <rc t="1" v="17141"/>
    </bk>
    <bk>
      <rc t="1" v="17142"/>
    </bk>
    <bk>
      <rc t="1" v="17143"/>
    </bk>
    <bk>
      <rc t="1" v="17144"/>
    </bk>
    <bk>
      <rc t="1" v="17145"/>
    </bk>
    <bk>
      <rc t="1" v="17146"/>
    </bk>
    <bk>
      <rc t="1" v="17147"/>
    </bk>
    <bk>
      <rc t="1" v="17148"/>
    </bk>
    <bk>
      <rc t="1" v="17149"/>
    </bk>
    <bk>
      <rc t="1" v="17150"/>
    </bk>
    <bk>
      <rc t="1" v="17151"/>
    </bk>
    <bk>
      <rc t="1" v="17152"/>
    </bk>
    <bk>
      <rc t="1" v="17153"/>
    </bk>
    <bk>
      <rc t="1" v="17154"/>
    </bk>
    <bk>
      <rc t="1" v="17155"/>
    </bk>
    <bk>
      <rc t="1" v="17156"/>
    </bk>
    <bk>
      <rc t="1" v="17157"/>
    </bk>
    <bk>
      <rc t="1" v="17158"/>
    </bk>
    <bk>
      <rc t="1" v="17159"/>
    </bk>
    <bk>
      <rc t="1" v="17160"/>
    </bk>
    <bk>
      <rc t="1" v="17161"/>
    </bk>
    <bk>
      <rc t="1" v="17162"/>
    </bk>
    <bk>
      <rc t="1" v="17163"/>
    </bk>
    <bk>
      <rc t="1" v="17164"/>
    </bk>
    <bk>
      <rc t="1" v="17165"/>
    </bk>
    <bk>
      <rc t="1" v="17166"/>
    </bk>
    <bk>
      <rc t="1" v="17167"/>
    </bk>
    <bk>
      <rc t="1" v="17168"/>
    </bk>
    <bk>
      <rc t="1" v="17169"/>
    </bk>
    <bk>
      <rc t="1" v="17170"/>
    </bk>
    <bk>
      <rc t="1" v="17171"/>
    </bk>
    <bk>
      <rc t="1" v="17172"/>
    </bk>
    <bk>
      <rc t="1" v="17173"/>
    </bk>
    <bk>
      <rc t="1" v="17174"/>
    </bk>
    <bk>
      <rc t="1" v="17175"/>
    </bk>
    <bk>
      <rc t="1" v="17176"/>
    </bk>
    <bk>
      <rc t="1" v="17177"/>
    </bk>
    <bk>
      <rc t="1" v="17178"/>
    </bk>
    <bk>
      <rc t="1" v="17179"/>
    </bk>
    <bk>
      <rc t="1" v="17180"/>
    </bk>
    <bk>
      <rc t="1" v="17181"/>
    </bk>
    <bk>
      <rc t="1" v="17182"/>
    </bk>
    <bk>
      <rc t="1" v="17183"/>
    </bk>
    <bk>
      <rc t="1" v="17184"/>
    </bk>
    <bk>
      <rc t="1" v="17185"/>
    </bk>
    <bk>
      <rc t="1" v="17186"/>
    </bk>
    <bk>
      <rc t="1" v="17187"/>
    </bk>
    <bk>
      <rc t="1" v="17188"/>
    </bk>
    <bk>
      <rc t="1" v="17189"/>
    </bk>
    <bk>
      <rc t="1" v="17190"/>
    </bk>
    <bk>
      <rc t="1" v="17191"/>
    </bk>
    <bk>
      <rc t="1" v="17192"/>
    </bk>
    <bk>
      <rc t="1" v="17193"/>
    </bk>
    <bk>
      <rc t="1" v="17194"/>
    </bk>
    <bk>
      <rc t="1" v="17195"/>
    </bk>
    <bk>
      <rc t="1" v="17196"/>
    </bk>
    <bk>
      <rc t="1" v="17197"/>
    </bk>
    <bk>
      <rc t="1" v="17198"/>
    </bk>
    <bk>
      <rc t="1" v="17199"/>
    </bk>
    <bk>
      <rc t="1" v="17200"/>
    </bk>
    <bk>
      <rc t="1" v="17201"/>
    </bk>
    <bk>
      <rc t="1" v="17202"/>
    </bk>
    <bk>
      <rc t="1" v="17203"/>
    </bk>
    <bk>
      <rc t="1" v="17204"/>
    </bk>
    <bk>
      <rc t="1" v="17205"/>
    </bk>
    <bk>
      <rc t="1" v="17206"/>
    </bk>
    <bk>
      <rc t="1" v="17207"/>
    </bk>
    <bk>
      <rc t="1" v="17208"/>
    </bk>
    <bk>
      <rc t="1" v="17209"/>
    </bk>
    <bk>
      <rc t="1" v="17210"/>
    </bk>
    <bk>
      <rc t="1" v="17211"/>
    </bk>
    <bk>
      <rc t="1" v="17212"/>
    </bk>
    <bk>
      <rc t="1" v="17213"/>
    </bk>
    <bk>
      <rc t="1" v="17214"/>
    </bk>
    <bk>
      <rc t="1" v="17215"/>
    </bk>
    <bk>
      <rc t="1" v="17216"/>
    </bk>
    <bk>
      <rc t="1" v="17217"/>
    </bk>
    <bk>
      <rc t="1" v="17218"/>
    </bk>
    <bk>
      <rc t="1" v="17219"/>
    </bk>
    <bk>
      <rc t="1" v="17220"/>
    </bk>
    <bk>
      <rc t="1" v="17221"/>
    </bk>
    <bk>
      <rc t="1" v="17222"/>
    </bk>
    <bk>
      <rc t="1" v="17223"/>
    </bk>
    <bk>
      <rc t="1" v="17224"/>
    </bk>
    <bk>
      <rc t="1" v="17225"/>
    </bk>
    <bk>
      <rc t="1" v="17226"/>
    </bk>
    <bk>
      <rc t="1" v="17227"/>
    </bk>
    <bk>
      <rc t="1" v="17228"/>
    </bk>
    <bk>
      <rc t="1" v="17229"/>
    </bk>
    <bk>
      <rc t="1" v="17230"/>
    </bk>
    <bk>
      <rc t="1" v="17231"/>
    </bk>
    <bk>
      <rc t="1" v="17232"/>
    </bk>
    <bk>
      <rc t="1" v="17233"/>
    </bk>
    <bk>
      <rc t="1" v="17234"/>
    </bk>
    <bk>
      <rc t="1" v="17235"/>
    </bk>
    <bk>
      <rc t="1" v="17236"/>
    </bk>
    <bk>
      <rc t="1" v="17237"/>
    </bk>
    <bk>
      <rc t="1" v="17238"/>
    </bk>
    <bk>
      <rc t="1" v="17239"/>
    </bk>
    <bk>
      <rc t="1" v="17240"/>
    </bk>
    <bk>
      <rc t="1" v="17241"/>
    </bk>
    <bk>
      <rc t="1" v="17242"/>
    </bk>
    <bk>
      <rc t="1" v="17243"/>
    </bk>
    <bk>
      <rc t="1" v="17244"/>
    </bk>
    <bk>
      <rc t="1" v="17245"/>
    </bk>
    <bk>
      <rc t="1" v="17246"/>
    </bk>
    <bk>
      <rc t="1" v="17247"/>
    </bk>
    <bk>
      <rc t="1" v="17248"/>
    </bk>
    <bk>
      <rc t="1" v="17249"/>
    </bk>
    <bk>
      <rc t="1" v="17250"/>
    </bk>
    <bk>
      <rc t="1" v="17251"/>
    </bk>
    <bk>
      <rc t="1" v="17252"/>
    </bk>
    <bk>
      <rc t="1" v="17253"/>
    </bk>
    <bk>
      <rc t="1" v="17254"/>
    </bk>
    <bk>
      <rc t="1" v="17255"/>
    </bk>
    <bk>
      <rc t="1" v="17256"/>
    </bk>
    <bk>
      <rc t="1" v="17257"/>
    </bk>
    <bk>
      <rc t="1" v="17258"/>
    </bk>
    <bk>
      <rc t="1" v="17259"/>
    </bk>
    <bk>
      <rc t="1" v="17260"/>
    </bk>
    <bk>
      <rc t="1" v="17261"/>
    </bk>
    <bk>
      <rc t="1" v="17262"/>
    </bk>
    <bk>
      <rc t="1" v="17263"/>
    </bk>
    <bk>
      <rc t="1" v="17264"/>
    </bk>
    <bk>
      <rc t="1" v="17265"/>
    </bk>
    <bk>
      <rc t="1" v="17266"/>
    </bk>
    <bk>
      <rc t="1" v="17267"/>
    </bk>
    <bk>
      <rc t="1" v="17268"/>
    </bk>
    <bk>
      <rc t="1" v="17269"/>
    </bk>
    <bk>
      <rc t="1" v="17270"/>
    </bk>
    <bk>
      <rc t="1" v="17271"/>
    </bk>
    <bk>
      <rc t="1" v="17272"/>
    </bk>
    <bk>
      <rc t="1" v="17273"/>
    </bk>
    <bk>
      <rc t="1" v="17274"/>
    </bk>
    <bk>
      <rc t="1" v="17275"/>
    </bk>
    <bk>
      <rc t="1" v="17276"/>
    </bk>
    <bk>
      <rc t="1" v="17277"/>
    </bk>
    <bk>
      <rc t="1" v="17278"/>
    </bk>
    <bk>
      <rc t="1" v="17279"/>
    </bk>
    <bk>
      <rc t="1" v="17280"/>
    </bk>
    <bk>
      <rc t="1" v="17281"/>
    </bk>
    <bk>
      <rc t="1" v="17282"/>
    </bk>
    <bk>
      <rc t="1" v="17283"/>
    </bk>
    <bk>
      <rc t="1" v="17284"/>
    </bk>
    <bk>
      <rc t="1" v="17285"/>
    </bk>
    <bk>
      <rc t="1" v="17286"/>
    </bk>
    <bk>
      <rc t="1" v="17287"/>
    </bk>
    <bk>
      <rc t="1" v="17288"/>
    </bk>
    <bk>
      <rc t="1" v="17289"/>
    </bk>
    <bk>
      <rc t="1" v="17290"/>
    </bk>
    <bk>
      <rc t="1" v="17291"/>
    </bk>
    <bk>
      <rc t="1" v="17292"/>
    </bk>
    <bk>
      <rc t="1" v="17293"/>
    </bk>
    <bk>
      <rc t="1" v="17294"/>
    </bk>
    <bk>
      <rc t="1" v="17295"/>
    </bk>
    <bk>
      <rc t="1" v="17296"/>
    </bk>
    <bk>
      <rc t="1" v="17297"/>
    </bk>
    <bk>
      <rc t="1" v="17298"/>
    </bk>
    <bk>
      <rc t="1" v="17299"/>
    </bk>
    <bk>
      <rc t="1" v="17300"/>
    </bk>
    <bk>
      <rc t="1" v="17301"/>
    </bk>
    <bk>
      <rc t="1" v="17302"/>
    </bk>
    <bk>
      <rc t="1" v="17303"/>
    </bk>
    <bk>
      <rc t="1" v="17304"/>
    </bk>
    <bk>
      <rc t="1" v="17305"/>
    </bk>
    <bk>
      <rc t="1" v="17306"/>
    </bk>
    <bk>
      <rc t="1" v="17307"/>
    </bk>
    <bk>
      <rc t="1" v="17308"/>
    </bk>
    <bk>
      <rc t="1" v="17309"/>
    </bk>
    <bk>
      <rc t="1" v="17310"/>
    </bk>
    <bk>
      <rc t="1" v="17311"/>
    </bk>
    <bk>
      <rc t="1" v="17312"/>
    </bk>
    <bk>
      <rc t="1" v="17313"/>
    </bk>
    <bk>
      <rc t="1" v="17314"/>
    </bk>
    <bk>
      <rc t="1" v="17315"/>
    </bk>
    <bk>
      <rc t="1" v="17316"/>
    </bk>
    <bk>
      <rc t="1" v="17317"/>
    </bk>
    <bk>
      <rc t="1" v="17318"/>
    </bk>
    <bk>
      <rc t="1" v="17319"/>
    </bk>
    <bk>
      <rc t="1" v="17320"/>
    </bk>
    <bk>
      <rc t="1" v="17321"/>
    </bk>
    <bk>
      <rc t="1" v="17322"/>
    </bk>
    <bk>
      <rc t="1" v="17323"/>
    </bk>
    <bk>
      <rc t="1" v="17324"/>
    </bk>
    <bk>
      <rc t="1" v="17325"/>
    </bk>
    <bk>
      <rc t="1" v="17326"/>
    </bk>
    <bk>
      <rc t="1" v="17327"/>
    </bk>
    <bk>
      <rc t="1" v="17328"/>
    </bk>
    <bk>
      <rc t="1" v="17329"/>
    </bk>
    <bk>
      <rc t="1" v="17330"/>
    </bk>
    <bk>
      <rc t="1" v="17331"/>
    </bk>
    <bk>
      <rc t="1" v="17332"/>
    </bk>
    <bk>
      <rc t="1" v="17333"/>
    </bk>
    <bk>
      <rc t="1" v="17334"/>
    </bk>
    <bk>
      <rc t="1" v="17335"/>
    </bk>
    <bk>
      <rc t="1" v="17336"/>
    </bk>
    <bk>
      <rc t="1" v="17337"/>
    </bk>
    <bk>
      <rc t="1" v="17338"/>
    </bk>
    <bk>
      <rc t="1" v="17339"/>
    </bk>
    <bk>
      <rc t="1" v="17340"/>
    </bk>
    <bk>
      <rc t="1" v="17341"/>
    </bk>
    <bk>
      <rc t="1" v="17342"/>
    </bk>
    <bk>
      <rc t="1" v="17343"/>
    </bk>
    <bk>
      <rc t="1" v="17344"/>
    </bk>
    <bk>
      <rc t="1" v="17345"/>
    </bk>
    <bk>
      <rc t="1" v="17346"/>
    </bk>
    <bk>
      <rc t="1" v="17347"/>
    </bk>
    <bk>
      <rc t="1" v="17348"/>
    </bk>
    <bk>
      <rc t="1" v="17349"/>
    </bk>
    <bk>
      <rc t="1" v="17350"/>
    </bk>
    <bk>
      <rc t="1" v="17351"/>
    </bk>
    <bk>
      <rc t="1" v="17352"/>
    </bk>
    <bk>
      <rc t="1" v="17353"/>
    </bk>
    <bk>
      <rc t="1" v="17354"/>
    </bk>
    <bk>
      <rc t="1" v="17355"/>
    </bk>
    <bk>
      <rc t="1" v="17356"/>
    </bk>
    <bk>
      <rc t="1" v="17357"/>
    </bk>
    <bk>
      <rc t="1" v="17358"/>
    </bk>
    <bk>
      <rc t="1" v="17359"/>
    </bk>
    <bk>
      <rc t="1" v="17360"/>
    </bk>
    <bk>
      <rc t="1" v="17361"/>
    </bk>
    <bk>
      <rc t="1" v="17362"/>
    </bk>
    <bk>
      <rc t="1" v="17363"/>
    </bk>
    <bk>
      <rc t="1" v="17364"/>
    </bk>
    <bk>
      <rc t="1" v="17365"/>
    </bk>
    <bk>
      <rc t="1" v="17366"/>
    </bk>
    <bk>
      <rc t="1" v="17367"/>
    </bk>
    <bk>
      <rc t="1" v="17368"/>
    </bk>
    <bk>
      <rc t="1" v="17369"/>
    </bk>
    <bk>
      <rc t="1" v="17370"/>
    </bk>
    <bk>
      <rc t="1" v="17371"/>
    </bk>
    <bk>
      <rc t="1" v="17372"/>
    </bk>
    <bk>
      <rc t="1" v="17373"/>
    </bk>
    <bk>
      <rc t="1" v="17374"/>
    </bk>
    <bk>
      <rc t="1" v="17375"/>
    </bk>
    <bk>
      <rc t="1" v="17376"/>
    </bk>
    <bk>
      <rc t="1" v="17377"/>
    </bk>
    <bk>
      <rc t="1" v="17378"/>
    </bk>
    <bk>
      <rc t="1" v="17379"/>
    </bk>
    <bk>
      <rc t="1" v="17380"/>
    </bk>
    <bk>
      <rc t="1" v="17381"/>
    </bk>
    <bk>
      <rc t="1" v="17382"/>
    </bk>
    <bk>
      <rc t="1" v="17383"/>
    </bk>
    <bk>
      <rc t="1" v="17384"/>
    </bk>
    <bk>
      <rc t="1" v="17385"/>
    </bk>
    <bk>
      <rc t="1" v="17386"/>
    </bk>
    <bk>
      <rc t="1" v="17387"/>
    </bk>
    <bk>
      <rc t="1" v="17388"/>
    </bk>
    <bk>
      <rc t="1" v="17389"/>
    </bk>
    <bk>
      <rc t="1" v="17390"/>
    </bk>
    <bk>
      <rc t="1" v="17391"/>
    </bk>
    <bk>
      <rc t="1" v="17392"/>
    </bk>
    <bk>
      <rc t="1" v="17393"/>
    </bk>
    <bk>
      <rc t="1" v="17394"/>
    </bk>
    <bk>
      <rc t="1" v="17395"/>
    </bk>
    <bk>
      <rc t="1" v="17396"/>
    </bk>
    <bk>
      <rc t="1" v="17397"/>
    </bk>
    <bk>
      <rc t="1" v="17398"/>
    </bk>
    <bk>
      <rc t="1" v="17399"/>
    </bk>
    <bk>
      <rc t="1" v="17400"/>
    </bk>
    <bk>
      <rc t="1" v="17401"/>
    </bk>
    <bk>
      <rc t="1" v="17402"/>
    </bk>
    <bk>
      <rc t="1" v="17403"/>
    </bk>
    <bk>
      <rc t="1" v="17404"/>
    </bk>
    <bk>
      <rc t="1" v="17405"/>
    </bk>
    <bk>
      <rc t="1" v="17406"/>
    </bk>
    <bk>
      <rc t="1" v="17407"/>
    </bk>
    <bk>
      <rc t="1" v="17408"/>
    </bk>
    <bk>
      <rc t="1" v="17409"/>
    </bk>
    <bk>
      <rc t="1" v="17410"/>
    </bk>
    <bk>
      <rc t="1" v="17411"/>
    </bk>
    <bk>
      <rc t="1" v="17412"/>
    </bk>
    <bk>
      <rc t="1" v="17413"/>
    </bk>
    <bk>
      <rc t="1" v="17414"/>
    </bk>
    <bk>
      <rc t="1" v="17415"/>
    </bk>
    <bk>
      <rc t="1" v="17416"/>
    </bk>
    <bk>
      <rc t="1" v="17417"/>
    </bk>
    <bk>
      <rc t="1" v="17418"/>
    </bk>
    <bk>
      <rc t="1" v="17419"/>
    </bk>
    <bk>
      <rc t="1" v="17420"/>
    </bk>
    <bk>
      <rc t="1" v="17421"/>
    </bk>
    <bk>
      <rc t="1" v="17422"/>
    </bk>
    <bk>
      <rc t="1" v="17423"/>
    </bk>
    <bk>
      <rc t="1" v="17424"/>
    </bk>
    <bk>
      <rc t="1" v="17425"/>
    </bk>
    <bk>
      <rc t="1" v="17426"/>
    </bk>
    <bk>
      <rc t="1" v="17427"/>
    </bk>
    <bk>
      <rc t="1" v="17428"/>
    </bk>
    <bk>
      <rc t="1" v="17429"/>
    </bk>
    <bk>
      <rc t="1" v="17430"/>
    </bk>
    <bk>
      <rc t="1" v="17431"/>
    </bk>
    <bk>
      <rc t="1" v="17432"/>
    </bk>
    <bk>
      <rc t="1" v="17433"/>
    </bk>
    <bk>
      <rc t="1" v="17434"/>
    </bk>
    <bk>
      <rc t="1" v="17435"/>
    </bk>
    <bk>
      <rc t="1" v="17436"/>
    </bk>
    <bk>
      <rc t="1" v="17437"/>
    </bk>
    <bk>
      <rc t="1" v="17438"/>
    </bk>
    <bk>
      <rc t="1" v="17439"/>
    </bk>
    <bk>
      <rc t="1" v="17440"/>
    </bk>
    <bk>
      <rc t="1" v="17441"/>
    </bk>
    <bk>
      <rc t="1" v="17442"/>
    </bk>
    <bk>
      <rc t="1" v="17443"/>
    </bk>
    <bk>
      <rc t="1" v="17444"/>
    </bk>
    <bk>
      <rc t="1" v="17445"/>
    </bk>
    <bk>
      <rc t="1" v="17446"/>
    </bk>
    <bk>
      <rc t="1" v="17447"/>
    </bk>
    <bk>
      <rc t="1" v="17448"/>
    </bk>
    <bk>
      <rc t="1" v="17449"/>
    </bk>
    <bk>
      <rc t="1" v="17450"/>
    </bk>
    <bk>
      <rc t="1" v="17451"/>
    </bk>
    <bk>
      <rc t="1" v="17452"/>
    </bk>
    <bk>
      <rc t="1" v="17453"/>
    </bk>
    <bk>
      <rc t="1" v="17454"/>
    </bk>
    <bk>
      <rc t="1" v="17455"/>
    </bk>
    <bk>
      <rc t="1" v="17456"/>
    </bk>
    <bk>
      <rc t="1" v="17457"/>
    </bk>
    <bk>
      <rc t="1" v="17458"/>
    </bk>
    <bk>
      <rc t="1" v="17459"/>
    </bk>
    <bk>
      <rc t="1" v="17460"/>
    </bk>
    <bk>
      <rc t="1" v="17461"/>
    </bk>
    <bk>
      <rc t="1" v="17462"/>
    </bk>
    <bk>
      <rc t="1" v="17463"/>
    </bk>
    <bk>
      <rc t="1" v="17464"/>
    </bk>
    <bk>
      <rc t="1" v="17465"/>
    </bk>
    <bk>
      <rc t="1" v="17466"/>
    </bk>
    <bk>
      <rc t="1" v="17467"/>
    </bk>
    <bk>
      <rc t="1" v="17468"/>
    </bk>
    <bk>
      <rc t="1" v="17469"/>
    </bk>
    <bk>
      <rc t="1" v="17470"/>
    </bk>
    <bk>
      <rc t="1" v="17471"/>
    </bk>
    <bk>
      <rc t="1" v="17472"/>
    </bk>
    <bk>
      <rc t="1" v="17473"/>
    </bk>
    <bk>
      <rc t="1" v="17474"/>
    </bk>
    <bk>
      <rc t="1" v="17475"/>
    </bk>
    <bk>
      <rc t="1" v="17476"/>
    </bk>
    <bk>
      <rc t="1" v="17477"/>
    </bk>
    <bk>
      <rc t="1" v="17478"/>
    </bk>
    <bk>
      <rc t="1" v="17479"/>
    </bk>
    <bk>
      <rc t="1" v="17480"/>
    </bk>
    <bk>
      <rc t="1" v="17481"/>
    </bk>
    <bk>
      <rc t="1" v="17482"/>
    </bk>
    <bk>
      <rc t="1" v="17483"/>
    </bk>
    <bk>
      <rc t="1" v="17484"/>
    </bk>
    <bk>
      <rc t="1" v="17485"/>
    </bk>
    <bk>
      <rc t="1" v="17486"/>
    </bk>
    <bk>
      <rc t="1" v="17487"/>
    </bk>
    <bk>
      <rc t="1" v="17488"/>
    </bk>
    <bk>
      <rc t="1" v="17489"/>
    </bk>
    <bk>
      <rc t="1" v="17490"/>
    </bk>
    <bk>
      <rc t="1" v="17491"/>
    </bk>
    <bk>
      <rc t="1" v="17492"/>
    </bk>
    <bk>
      <rc t="1" v="17493"/>
    </bk>
    <bk>
      <rc t="1" v="17494"/>
    </bk>
    <bk>
      <rc t="1" v="17495"/>
    </bk>
    <bk>
      <rc t="1" v="17496"/>
    </bk>
    <bk>
      <rc t="1" v="17497"/>
    </bk>
    <bk>
      <rc t="1" v="17498"/>
    </bk>
    <bk>
      <rc t="1" v="17499"/>
    </bk>
    <bk>
      <rc t="1" v="17500"/>
    </bk>
    <bk>
      <rc t="1" v="17501"/>
    </bk>
    <bk>
      <rc t="1" v="17502"/>
    </bk>
    <bk>
      <rc t="1" v="17503"/>
    </bk>
    <bk>
      <rc t="1" v="17504"/>
    </bk>
    <bk>
      <rc t="1" v="17505"/>
    </bk>
    <bk>
      <rc t="1" v="17506"/>
    </bk>
    <bk>
      <rc t="1" v="17507"/>
    </bk>
    <bk>
      <rc t="1" v="17508"/>
    </bk>
    <bk>
      <rc t="1" v="17509"/>
    </bk>
    <bk>
      <rc t="1" v="17510"/>
    </bk>
    <bk>
      <rc t="1" v="17511"/>
    </bk>
    <bk>
      <rc t="1" v="17512"/>
    </bk>
    <bk>
      <rc t="1" v="17513"/>
    </bk>
    <bk>
      <rc t="1" v="17514"/>
    </bk>
    <bk>
      <rc t="1" v="17515"/>
    </bk>
    <bk>
      <rc t="1" v="17516"/>
    </bk>
    <bk>
      <rc t="1" v="17517"/>
    </bk>
    <bk>
      <rc t="1" v="17518"/>
    </bk>
    <bk>
      <rc t="1" v="17519"/>
    </bk>
    <bk>
      <rc t="1" v="17520"/>
    </bk>
    <bk>
      <rc t="1" v="17521"/>
    </bk>
    <bk>
      <rc t="1" v="17522"/>
    </bk>
    <bk>
      <rc t="1" v="17523"/>
    </bk>
    <bk>
      <rc t="1" v="17524"/>
    </bk>
    <bk>
      <rc t="1" v="17525"/>
    </bk>
    <bk>
      <rc t="1" v="17526"/>
    </bk>
    <bk>
      <rc t="1" v="17527"/>
    </bk>
    <bk>
      <rc t="1" v="17528"/>
    </bk>
    <bk>
      <rc t="1" v="17529"/>
    </bk>
    <bk>
      <rc t="1" v="17530"/>
    </bk>
    <bk>
      <rc t="1" v="17531"/>
    </bk>
    <bk>
      <rc t="1" v="17532"/>
    </bk>
    <bk>
      <rc t="1" v="17533"/>
    </bk>
    <bk>
      <rc t="1" v="17534"/>
    </bk>
    <bk>
      <rc t="1" v="17535"/>
    </bk>
    <bk>
      <rc t="1" v="17536"/>
    </bk>
    <bk>
      <rc t="1" v="17537"/>
    </bk>
    <bk>
      <rc t="1" v="17538"/>
    </bk>
    <bk>
      <rc t="1" v="17539"/>
    </bk>
    <bk>
      <rc t="1" v="17540"/>
    </bk>
    <bk>
      <rc t="1" v="17541"/>
    </bk>
    <bk>
      <rc t="1" v="17542"/>
    </bk>
    <bk>
      <rc t="1" v="17543"/>
    </bk>
    <bk>
      <rc t="1" v="17544"/>
    </bk>
    <bk>
      <rc t="1" v="17545"/>
    </bk>
    <bk>
      <rc t="1" v="17546"/>
    </bk>
    <bk>
      <rc t="1" v="17547"/>
    </bk>
    <bk>
      <rc t="1" v="17548"/>
    </bk>
    <bk>
      <rc t="1" v="17549"/>
    </bk>
    <bk>
      <rc t="1" v="17550"/>
    </bk>
    <bk>
      <rc t="1" v="17551"/>
    </bk>
    <bk>
      <rc t="1" v="17552"/>
    </bk>
    <bk>
      <rc t="1" v="17553"/>
    </bk>
    <bk>
      <rc t="1" v="17554"/>
    </bk>
    <bk>
      <rc t="1" v="17555"/>
    </bk>
    <bk>
      <rc t="1" v="17556"/>
    </bk>
    <bk>
      <rc t="1" v="17557"/>
    </bk>
    <bk>
      <rc t="1" v="17558"/>
    </bk>
    <bk>
      <rc t="1" v="17559"/>
    </bk>
    <bk>
      <rc t="1" v="17560"/>
    </bk>
    <bk>
      <rc t="1" v="17561"/>
    </bk>
    <bk>
      <rc t="1" v="17562"/>
    </bk>
    <bk>
      <rc t="1" v="17563"/>
    </bk>
    <bk>
      <rc t="1" v="17564"/>
    </bk>
    <bk>
      <rc t="1" v="17565"/>
    </bk>
    <bk>
      <rc t="1" v="17566"/>
    </bk>
    <bk>
      <rc t="1" v="17567"/>
    </bk>
    <bk>
      <rc t="1" v="17568"/>
    </bk>
    <bk>
      <rc t="1" v="17569"/>
    </bk>
    <bk>
      <rc t="1" v="17570"/>
    </bk>
    <bk>
      <rc t="1" v="17571"/>
    </bk>
    <bk>
      <rc t="1" v="17572"/>
    </bk>
    <bk>
      <rc t="1" v="17573"/>
    </bk>
    <bk>
      <rc t="1" v="17574"/>
    </bk>
    <bk>
      <rc t="1" v="17575"/>
    </bk>
    <bk>
      <rc t="1" v="17576"/>
    </bk>
    <bk>
      <rc t="1" v="17577"/>
    </bk>
    <bk>
      <rc t="1" v="17578"/>
    </bk>
    <bk>
      <rc t="1" v="17579"/>
    </bk>
    <bk>
      <rc t="1" v="17580"/>
    </bk>
    <bk>
      <rc t="1" v="17581"/>
    </bk>
    <bk>
      <rc t="1" v="17582"/>
    </bk>
    <bk>
      <rc t="1" v="17583"/>
    </bk>
    <bk>
      <rc t="1" v="17584"/>
    </bk>
    <bk>
      <rc t="1" v="17585"/>
    </bk>
    <bk>
      <rc t="1" v="17586"/>
    </bk>
    <bk>
      <rc t="1" v="17587"/>
    </bk>
    <bk>
      <rc t="1" v="17588"/>
    </bk>
    <bk>
      <rc t="1" v="17589"/>
    </bk>
    <bk>
      <rc t="1" v="17590"/>
    </bk>
    <bk>
      <rc t="1" v="17591"/>
    </bk>
    <bk>
      <rc t="1" v="17592"/>
    </bk>
    <bk>
      <rc t="1" v="17593"/>
    </bk>
    <bk>
      <rc t="1" v="17594"/>
    </bk>
    <bk>
      <rc t="1" v="17595"/>
    </bk>
    <bk>
      <rc t="1" v="17596"/>
    </bk>
    <bk>
      <rc t="1" v="17597"/>
    </bk>
    <bk>
      <rc t="1" v="17598"/>
    </bk>
    <bk>
      <rc t="1" v="17599"/>
    </bk>
    <bk>
      <rc t="1" v="17600"/>
    </bk>
    <bk>
      <rc t="1" v="17601"/>
    </bk>
    <bk>
      <rc t="1" v="17602"/>
    </bk>
    <bk>
      <rc t="1" v="17603"/>
    </bk>
    <bk>
      <rc t="1" v="17604"/>
    </bk>
    <bk>
      <rc t="1" v="17605"/>
    </bk>
    <bk>
      <rc t="1" v="17606"/>
    </bk>
    <bk>
      <rc t="1" v="17607"/>
    </bk>
    <bk>
      <rc t="1" v="17608"/>
    </bk>
    <bk>
      <rc t="1" v="17609"/>
    </bk>
    <bk>
      <rc t="1" v="17610"/>
    </bk>
    <bk>
      <rc t="1" v="17611"/>
    </bk>
    <bk>
      <rc t="1" v="17612"/>
    </bk>
    <bk>
      <rc t="1" v="17613"/>
    </bk>
    <bk>
      <rc t="1" v="17614"/>
    </bk>
    <bk>
      <rc t="1" v="17615"/>
    </bk>
    <bk>
      <rc t="1" v="17616"/>
    </bk>
    <bk>
      <rc t="1" v="17617"/>
    </bk>
    <bk>
      <rc t="1" v="17618"/>
    </bk>
    <bk>
      <rc t="1" v="17619"/>
    </bk>
    <bk>
      <rc t="1" v="17620"/>
    </bk>
    <bk>
      <rc t="1" v="17621"/>
    </bk>
    <bk>
      <rc t="1" v="17622"/>
    </bk>
    <bk>
      <rc t="1" v="17623"/>
    </bk>
    <bk>
      <rc t="1" v="17624"/>
    </bk>
    <bk>
      <rc t="1" v="17625"/>
    </bk>
    <bk>
      <rc t="1" v="17626"/>
    </bk>
    <bk>
      <rc t="1" v="17627"/>
    </bk>
    <bk>
      <rc t="1" v="17628"/>
    </bk>
    <bk>
      <rc t="1" v="17629"/>
    </bk>
    <bk>
      <rc t="1" v="17630"/>
    </bk>
    <bk>
      <rc t="1" v="17631"/>
    </bk>
    <bk>
      <rc t="1" v="17632"/>
    </bk>
    <bk>
      <rc t="1" v="17633"/>
    </bk>
    <bk>
      <rc t="1" v="17634"/>
    </bk>
    <bk>
      <rc t="1" v="17635"/>
    </bk>
    <bk>
      <rc t="1" v="17636"/>
    </bk>
    <bk>
      <rc t="1" v="17637"/>
    </bk>
    <bk>
      <rc t="1" v="17638"/>
    </bk>
    <bk>
      <rc t="1" v="17639"/>
    </bk>
    <bk>
      <rc t="1" v="17640"/>
    </bk>
    <bk>
      <rc t="1" v="17641"/>
    </bk>
    <bk>
      <rc t="1" v="17642"/>
    </bk>
    <bk>
      <rc t="1" v="17643"/>
    </bk>
    <bk>
      <rc t="1" v="17644"/>
    </bk>
    <bk>
      <rc t="1" v="17645"/>
    </bk>
    <bk>
      <rc t="1" v="17646"/>
    </bk>
    <bk>
      <rc t="1" v="17647"/>
    </bk>
    <bk>
      <rc t="1" v="17648"/>
    </bk>
    <bk>
      <rc t="1" v="17649"/>
    </bk>
    <bk>
      <rc t="1" v="17650"/>
    </bk>
    <bk>
      <rc t="1" v="17651"/>
    </bk>
    <bk>
      <rc t="1" v="17652"/>
    </bk>
    <bk>
      <rc t="1" v="17653"/>
    </bk>
    <bk>
      <rc t="1" v="17654"/>
    </bk>
    <bk>
      <rc t="1" v="17655"/>
    </bk>
    <bk>
      <rc t="1" v="17656"/>
    </bk>
    <bk>
      <rc t="1" v="17657"/>
    </bk>
    <bk>
      <rc t="1" v="17658"/>
    </bk>
    <bk>
      <rc t="1" v="17659"/>
    </bk>
    <bk>
      <rc t="1" v="17660"/>
    </bk>
    <bk>
      <rc t="1" v="17661"/>
    </bk>
    <bk>
      <rc t="1" v="17662"/>
    </bk>
    <bk>
      <rc t="1" v="17663"/>
    </bk>
    <bk>
      <rc t="1" v="17664"/>
    </bk>
    <bk>
      <rc t="1" v="17665"/>
    </bk>
    <bk>
      <rc t="1" v="17666"/>
    </bk>
    <bk>
      <rc t="1" v="17667"/>
    </bk>
    <bk>
      <rc t="1" v="17668"/>
    </bk>
    <bk>
      <rc t="1" v="17669"/>
    </bk>
    <bk>
      <rc t="1" v="17670"/>
    </bk>
    <bk>
      <rc t="1" v="17671"/>
    </bk>
    <bk>
      <rc t="1" v="17672"/>
    </bk>
    <bk>
      <rc t="1" v="17673"/>
    </bk>
    <bk>
      <rc t="1" v="17674"/>
    </bk>
    <bk>
      <rc t="1" v="17675"/>
    </bk>
    <bk>
      <rc t="1" v="17676"/>
    </bk>
    <bk>
      <rc t="1" v="17677"/>
    </bk>
    <bk>
      <rc t="1" v="17678"/>
    </bk>
    <bk>
      <rc t="1" v="17679"/>
    </bk>
    <bk>
      <rc t="1" v="17680"/>
    </bk>
    <bk>
      <rc t="1" v="17681"/>
    </bk>
    <bk>
      <rc t="1" v="17682"/>
    </bk>
    <bk>
      <rc t="1" v="17683"/>
    </bk>
    <bk>
      <rc t="1" v="17684"/>
    </bk>
    <bk>
      <rc t="1" v="17685"/>
    </bk>
    <bk>
      <rc t="1" v="17686"/>
    </bk>
    <bk>
      <rc t="1" v="17687"/>
    </bk>
    <bk>
      <rc t="1" v="17688"/>
    </bk>
    <bk>
      <rc t="1" v="17689"/>
    </bk>
    <bk>
      <rc t="1" v="17690"/>
    </bk>
    <bk>
      <rc t="1" v="17691"/>
    </bk>
    <bk>
      <rc t="1" v="17692"/>
    </bk>
    <bk>
      <rc t="1" v="17693"/>
    </bk>
    <bk>
      <rc t="1" v="17694"/>
    </bk>
    <bk>
      <rc t="1" v="17695"/>
    </bk>
    <bk>
      <rc t="1" v="17696"/>
    </bk>
    <bk>
      <rc t="1" v="17697"/>
    </bk>
    <bk>
      <rc t="1" v="17698"/>
    </bk>
    <bk>
      <rc t="1" v="17699"/>
    </bk>
    <bk>
      <rc t="1" v="17700"/>
    </bk>
    <bk>
      <rc t="1" v="17701"/>
    </bk>
    <bk>
      <rc t="1" v="17702"/>
    </bk>
    <bk>
      <rc t="1" v="17703"/>
    </bk>
    <bk>
      <rc t="1" v="17704"/>
    </bk>
    <bk>
      <rc t="1" v="17705"/>
    </bk>
    <bk>
      <rc t="1" v="17706"/>
    </bk>
    <bk>
      <rc t="1" v="17707"/>
    </bk>
    <bk>
      <rc t="1" v="17708"/>
    </bk>
    <bk>
      <rc t="1" v="17709"/>
    </bk>
    <bk>
      <rc t="1" v="17710"/>
    </bk>
    <bk>
      <rc t="1" v="17711"/>
    </bk>
    <bk>
      <rc t="1" v="17712"/>
    </bk>
    <bk>
      <rc t="1" v="17713"/>
    </bk>
    <bk>
      <rc t="1" v="17714"/>
    </bk>
    <bk>
      <rc t="1" v="17715"/>
    </bk>
    <bk>
      <rc t="1" v="17716"/>
    </bk>
    <bk>
      <rc t="1" v="17717"/>
    </bk>
    <bk>
      <rc t="1" v="17718"/>
    </bk>
    <bk>
      <rc t="1" v="17719"/>
    </bk>
    <bk>
      <rc t="1" v="17720"/>
    </bk>
    <bk>
      <rc t="1" v="17721"/>
    </bk>
    <bk>
      <rc t="1" v="17722"/>
    </bk>
    <bk>
      <rc t="1" v="17723"/>
    </bk>
    <bk>
      <rc t="1" v="17724"/>
    </bk>
    <bk>
      <rc t="1" v="17725"/>
    </bk>
    <bk>
      <rc t="1" v="17726"/>
    </bk>
    <bk>
      <rc t="1" v="17727"/>
    </bk>
    <bk>
      <rc t="1" v="17728"/>
    </bk>
    <bk>
      <rc t="1" v="17729"/>
    </bk>
    <bk>
      <rc t="1" v="17730"/>
    </bk>
    <bk>
      <rc t="1" v="17731"/>
    </bk>
    <bk>
      <rc t="1" v="17732"/>
    </bk>
    <bk>
      <rc t="1" v="17733"/>
    </bk>
    <bk>
      <rc t="1" v="17734"/>
    </bk>
    <bk>
      <rc t="1" v="17735"/>
    </bk>
    <bk>
      <rc t="1" v="17736"/>
    </bk>
    <bk>
      <rc t="1" v="17737"/>
    </bk>
    <bk>
      <rc t="1" v="17738"/>
    </bk>
    <bk>
      <rc t="1" v="17739"/>
    </bk>
    <bk>
      <rc t="1" v="17740"/>
    </bk>
    <bk>
      <rc t="1" v="17741"/>
    </bk>
    <bk>
      <rc t="1" v="17742"/>
    </bk>
    <bk>
      <rc t="1" v="17743"/>
    </bk>
    <bk>
      <rc t="1" v="17744"/>
    </bk>
    <bk>
      <rc t="1" v="17745"/>
    </bk>
    <bk>
      <rc t="1" v="17746"/>
    </bk>
    <bk>
      <rc t="1" v="17747"/>
    </bk>
    <bk>
      <rc t="1" v="17748"/>
    </bk>
    <bk>
      <rc t="1" v="17749"/>
    </bk>
    <bk>
      <rc t="1" v="17750"/>
    </bk>
    <bk>
      <rc t="1" v="17751"/>
    </bk>
    <bk>
      <rc t="1" v="17752"/>
    </bk>
    <bk>
      <rc t="1" v="17753"/>
    </bk>
    <bk>
      <rc t="1" v="17754"/>
    </bk>
    <bk>
      <rc t="1" v="17755"/>
    </bk>
    <bk>
      <rc t="1" v="17756"/>
    </bk>
    <bk>
      <rc t="1" v="17757"/>
    </bk>
    <bk>
      <rc t="1" v="17758"/>
    </bk>
    <bk>
      <rc t="1" v="17759"/>
    </bk>
    <bk>
      <rc t="1" v="17760"/>
    </bk>
    <bk>
      <rc t="1" v="17761"/>
    </bk>
    <bk>
      <rc t="1" v="17762"/>
    </bk>
    <bk>
      <rc t="1" v="17763"/>
    </bk>
    <bk>
      <rc t="1" v="17764"/>
    </bk>
    <bk>
      <rc t="1" v="17765"/>
    </bk>
    <bk>
      <rc t="1" v="17766"/>
    </bk>
    <bk>
      <rc t="1" v="17767"/>
    </bk>
    <bk>
      <rc t="1" v="17768"/>
    </bk>
    <bk>
      <rc t="1" v="17769"/>
    </bk>
    <bk>
      <rc t="1" v="17770"/>
    </bk>
    <bk>
      <rc t="1" v="17771"/>
    </bk>
    <bk>
      <rc t="1" v="17772"/>
    </bk>
    <bk>
      <rc t="1" v="17773"/>
    </bk>
    <bk>
      <rc t="1" v="17774"/>
    </bk>
    <bk>
      <rc t="1" v="17775"/>
    </bk>
    <bk>
      <rc t="1" v="17776"/>
    </bk>
    <bk>
      <rc t="1" v="17777"/>
    </bk>
    <bk>
      <rc t="1" v="17778"/>
    </bk>
    <bk>
      <rc t="1" v="17779"/>
    </bk>
    <bk>
      <rc t="1" v="17780"/>
    </bk>
    <bk>
      <rc t="1" v="17781"/>
    </bk>
    <bk>
      <rc t="1" v="17782"/>
    </bk>
    <bk>
      <rc t="1" v="17783"/>
    </bk>
    <bk>
      <rc t="1" v="17784"/>
    </bk>
    <bk>
      <rc t="1" v="17785"/>
    </bk>
    <bk>
      <rc t="1" v="17786"/>
    </bk>
    <bk>
      <rc t="1" v="17787"/>
    </bk>
    <bk>
      <rc t="1" v="17788"/>
    </bk>
    <bk>
      <rc t="1" v="17789"/>
    </bk>
    <bk>
      <rc t="1" v="17790"/>
    </bk>
    <bk>
      <rc t="1" v="17791"/>
    </bk>
    <bk>
      <rc t="1" v="17792"/>
    </bk>
    <bk>
      <rc t="1" v="17793"/>
    </bk>
    <bk>
      <rc t="1" v="17794"/>
    </bk>
    <bk>
      <rc t="1" v="17795"/>
    </bk>
    <bk>
      <rc t="1" v="17796"/>
    </bk>
    <bk>
      <rc t="1" v="17797"/>
    </bk>
    <bk>
      <rc t="1" v="17798"/>
    </bk>
    <bk>
      <rc t="1" v="17799"/>
    </bk>
    <bk>
      <rc t="1" v="17800"/>
    </bk>
    <bk>
      <rc t="1" v="17801"/>
    </bk>
    <bk>
      <rc t="1" v="17802"/>
    </bk>
    <bk>
      <rc t="1" v="17803"/>
    </bk>
    <bk>
      <rc t="1" v="17804"/>
    </bk>
    <bk>
      <rc t="1" v="17805"/>
    </bk>
    <bk>
      <rc t="1" v="17806"/>
    </bk>
    <bk>
      <rc t="1" v="17807"/>
    </bk>
    <bk>
      <rc t="1" v="17808"/>
    </bk>
    <bk>
      <rc t="1" v="17809"/>
    </bk>
    <bk>
      <rc t="1" v="17810"/>
    </bk>
    <bk>
      <rc t="1" v="17811"/>
    </bk>
    <bk>
      <rc t="1" v="17812"/>
    </bk>
    <bk>
      <rc t="1" v="17813"/>
    </bk>
    <bk>
      <rc t="1" v="17814"/>
    </bk>
    <bk>
      <rc t="1" v="17815"/>
    </bk>
    <bk>
      <rc t="1" v="17816"/>
    </bk>
    <bk>
      <rc t="1" v="17817"/>
    </bk>
    <bk>
      <rc t="1" v="17818"/>
    </bk>
    <bk>
      <rc t="1" v="17819"/>
    </bk>
    <bk>
      <rc t="1" v="17820"/>
    </bk>
    <bk>
      <rc t="1" v="17821"/>
    </bk>
    <bk>
      <rc t="1" v="17822"/>
    </bk>
    <bk>
      <rc t="1" v="17823"/>
    </bk>
    <bk>
      <rc t="1" v="17824"/>
    </bk>
    <bk>
      <rc t="1" v="17825"/>
    </bk>
    <bk>
      <rc t="1" v="17826"/>
    </bk>
    <bk>
      <rc t="1" v="17827"/>
    </bk>
    <bk>
      <rc t="1" v="17828"/>
    </bk>
    <bk>
      <rc t="1" v="17829"/>
    </bk>
    <bk>
      <rc t="1" v="17830"/>
    </bk>
    <bk>
      <rc t="1" v="17831"/>
    </bk>
    <bk>
      <rc t="1" v="17832"/>
    </bk>
    <bk>
      <rc t="1" v="17833"/>
    </bk>
    <bk>
      <rc t="1" v="17834"/>
    </bk>
    <bk>
      <rc t="1" v="17835"/>
    </bk>
    <bk>
      <rc t="1" v="17836"/>
    </bk>
    <bk>
      <rc t="1" v="17837"/>
    </bk>
    <bk>
      <rc t="1" v="17838"/>
    </bk>
    <bk>
      <rc t="1" v="17839"/>
    </bk>
    <bk>
      <rc t="1" v="17840"/>
    </bk>
    <bk>
      <rc t="1" v="17841"/>
    </bk>
    <bk>
      <rc t="1" v="17842"/>
    </bk>
    <bk>
      <rc t="1" v="17843"/>
    </bk>
    <bk>
      <rc t="1" v="17844"/>
    </bk>
    <bk>
      <rc t="1" v="17845"/>
    </bk>
    <bk>
      <rc t="1" v="17846"/>
    </bk>
    <bk>
      <rc t="1" v="17847"/>
    </bk>
    <bk>
      <rc t="1" v="17848"/>
    </bk>
    <bk>
      <rc t="1" v="17849"/>
    </bk>
    <bk>
      <rc t="1" v="17850"/>
    </bk>
    <bk>
      <rc t="1" v="17851"/>
    </bk>
    <bk>
      <rc t="1" v="17852"/>
    </bk>
    <bk>
      <rc t="1" v="17853"/>
    </bk>
    <bk>
      <rc t="1" v="17854"/>
    </bk>
    <bk>
      <rc t="1" v="17855"/>
    </bk>
    <bk>
      <rc t="1" v="17856"/>
    </bk>
    <bk>
      <rc t="1" v="17857"/>
    </bk>
    <bk>
      <rc t="1" v="17858"/>
    </bk>
    <bk>
      <rc t="1" v="17859"/>
    </bk>
    <bk>
      <rc t="1" v="17860"/>
    </bk>
    <bk>
      <rc t="1" v="17861"/>
    </bk>
    <bk>
      <rc t="1" v="17862"/>
    </bk>
    <bk>
      <rc t="1" v="17863"/>
    </bk>
    <bk>
      <rc t="1" v="17864"/>
    </bk>
    <bk>
      <rc t="1" v="17865"/>
    </bk>
    <bk>
      <rc t="1" v="17866"/>
    </bk>
    <bk>
      <rc t="1" v="17867"/>
    </bk>
    <bk>
      <rc t="1" v="17868"/>
    </bk>
    <bk>
      <rc t="1" v="17869"/>
    </bk>
    <bk>
      <rc t="1" v="17870"/>
    </bk>
    <bk>
      <rc t="1" v="17871"/>
    </bk>
    <bk>
      <rc t="1" v="17872"/>
    </bk>
    <bk>
      <rc t="1" v="17873"/>
    </bk>
    <bk>
      <rc t="1" v="17874"/>
    </bk>
    <bk>
      <rc t="1" v="17875"/>
    </bk>
    <bk>
      <rc t="1" v="17876"/>
    </bk>
    <bk>
      <rc t="1" v="17877"/>
    </bk>
    <bk>
      <rc t="1" v="17878"/>
    </bk>
    <bk>
      <rc t="1" v="17879"/>
    </bk>
    <bk>
      <rc t="1" v="17880"/>
    </bk>
    <bk>
      <rc t="1" v="17881"/>
    </bk>
    <bk>
      <rc t="1" v="17882"/>
    </bk>
    <bk>
      <rc t="1" v="17883"/>
    </bk>
    <bk>
      <rc t="1" v="17884"/>
    </bk>
    <bk>
      <rc t="1" v="17885"/>
    </bk>
    <bk>
      <rc t="1" v="17886"/>
    </bk>
    <bk>
      <rc t="1" v="17887"/>
    </bk>
    <bk>
      <rc t="1" v="17888"/>
    </bk>
    <bk>
      <rc t="1" v="17889"/>
    </bk>
    <bk>
      <rc t="1" v="17890"/>
    </bk>
    <bk>
      <rc t="1" v="17891"/>
    </bk>
    <bk>
      <rc t="1" v="17892"/>
    </bk>
    <bk>
      <rc t="1" v="17893"/>
    </bk>
    <bk>
      <rc t="1" v="17894"/>
    </bk>
    <bk>
      <rc t="1" v="17895"/>
    </bk>
    <bk>
      <rc t="1" v="17896"/>
    </bk>
    <bk>
      <rc t="1" v="17897"/>
    </bk>
    <bk>
      <rc t="1" v="17898"/>
    </bk>
    <bk>
      <rc t="1" v="17899"/>
    </bk>
    <bk>
      <rc t="1" v="17900"/>
    </bk>
    <bk>
      <rc t="1" v="17901"/>
    </bk>
    <bk>
      <rc t="1" v="17902"/>
    </bk>
    <bk>
      <rc t="1" v="17903"/>
    </bk>
    <bk>
      <rc t="1" v="17904"/>
    </bk>
    <bk>
      <rc t="1" v="17905"/>
    </bk>
    <bk>
      <rc t="1" v="17906"/>
    </bk>
    <bk>
      <rc t="1" v="17907"/>
    </bk>
    <bk>
      <rc t="1" v="17908"/>
    </bk>
    <bk>
      <rc t="1" v="17909"/>
    </bk>
    <bk>
      <rc t="1" v="17910"/>
    </bk>
    <bk>
      <rc t="1" v="17911"/>
    </bk>
    <bk>
      <rc t="1" v="17912"/>
    </bk>
    <bk>
      <rc t="1" v="17913"/>
    </bk>
    <bk>
      <rc t="1" v="17914"/>
    </bk>
    <bk>
      <rc t="1" v="17915"/>
    </bk>
    <bk>
      <rc t="1" v="17916"/>
    </bk>
    <bk>
      <rc t="1" v="17917"/>
    </bk>
    <bk>
      <rc t="1" v="17918"/>
    </bk>
    <bk>
      <rc t="1" v="17919"/>
    </bk>
    <bk>
      <rc t="1" v="17920"/>
    </bk>
    <bk>
      <rc t="1" v="17921"/>
    </bk>
    <bk>
      <rc t="1" v="17922"/>
    </bk>
    <bk>
      <rc t="1" v="17923"/>
    </bk>
    <bk>
      <rc t="1" v="17924"/>
    </bk>
    <bk>
      <rc t="1" v="17925"/>
    </bk>
    <bk>
      <rc t="1" v="17926"/>
    </bk>
    <bk>
      <rc t="1" v="17927"/>
    </bk>
    <bk>
      <rc t="1" v="17928"/>
    </bk>
    <bk>
      <rc t="1" v="17929"/>
    </bk>
    <bk>
      <rc t="1" v="17930"/>
    </bk>
    <bk>
      <rc t="1" v="17931"/>
    </bk>
    <bk>
      <rc t="1" v="17932"/>
    </bk>
    <bk>
      <rc t="1" v="17933"/>
    </bk>
    <bk>
      <rc t="1" v="17934"/>
    </bk>
    <bk>
      <rc t="1" v="17935"/>
    </bk>
    <bk>
      <rc t="1" v="17936"/>
    </bk>
    <bk>
      <rc t="1" v="17937"/>
    </bk>
    <bk>
      <rc t="1" v="17938"/>
    </bk>
    <bk>
      <rc t="1" v="17939"/>
    </bk>
    <bk>
      <rc t="1" v="17940"/>
    </bk>
    <bk>
      <rc t="1" v="17941"/>
    </bk>
    <bk>
      <rc t="1" v="17942"/>
    </bk>
    <bk>
      <rc t="1" v="17943"/>
    </bk>
    <bk>
      <rc t="1" v="17944"/>
    </bk>
    <bk>
      <rc t="1" v="17945"/>
    </bk>
    <bk>
      <rc t="1" v="17946"/>
    </bk>
    <bk>
      <rc t="1" v="17947"/>
    </bk>
    <bk>
      <rc t="1" v="17948"/>
    </bk>
    <bk>
      <rc t="1" v="17949"/>
    </bk>
    <bk>
      <rc t="1" v="17950"/>
    </bk>
    <bk>
      <rc t="1" v="17951"/>
    </bk>
    <bk>
      <rc t="1" v="17952"/>
    </bk>
    <bk>
      <rc t="1" v="17953"/>
    </bk>
    <bk>
      <rc t="1" v="17954"/>
    </bk>
    <bk>
      <rc t="1" v="17955"/>
    </bk>
    <bk>
      <rc t="1" v="17956"/>
    </bk>
    <bk>
      <rc t="1" v="17957"/>
    </bk>
    <bk>
      <rc t="1" v="17958"/>
    </bk>
    <bk>
      <rc t="1" v="17959"/>
    </bk>
    <bk>
      <rc t="1" v="17960"/>
    </bk>
    <bk>
      <rc t="1" v="17961"/>
    </bk>
    <bk>
      <rc t="1" v="17962"/>
    </bk>
    <bk>
      <rc t="1" v="17963"/>
    </bk>
    <bk>
      <rc t="1" v="17964"/>
    </bk>
    <bk>
      <rc t="1" v="17965"/>
    </bk>
    <bk>
      <rc t="1" v="17966"/>
    </bk>
    <bk>
      <rc t="1" v="17967"/>
    </bk>
    <bk>
      <rc t="1" v="17968"/>
    </bk>
    <bk>
      <rc t="1" v="17969"/>
    </bk>
    <bk>
      <rc t="1" v="17970"/>
    </bk>
    <bk>
      <rc t="1" v="17971"/>
    </bk>
    <bk>
      <rc t="1" v="17972"/>
    </bk>
    <bk>
      <rc t="1" v="17973"/>
    </bk>
    <bk>
      <rc t="1" v="17974"/>
    </bk>
    <bk>
      <rc t="1" v="17975"/>
    </bk>
    <bk>
      <rc t="1" v="17976"/>
    </bk>
    <bk>
      <rc t="1" v="17977"/>
    </bk>
    <bk>
      <rc t="1" v="17978"/>
    </bk>
    <bk>
      <rc t="1" v="17979"/>
    </bk>
    <bk>
      <rc t="1" v="17980"/>
    </bk>
    <bk>
      <rc t="1" v="17981"/>
    </bk>
    <bk>
      <rc t="1" v="17982"/>
    </bk>
    <bk>
      <rc t="1" v="17983"/>
    </bk>
    <bk>
      <rc t="1" v="17984"/>
    </bk>
    <bk>
      <rc t="1" v="17985"/>
    </bk>
    <bk>
      <rc t="1" v="17986"/>
    </bk>
    <bk>
      <rc t="1" v="17987"/>
    </bk>
    <bk>
      <rc t="1" v="17988"/>
    </bk>
    <bk>
      <rc t="1" v="17989"/>
    </bk>
    <bk>
      <rc t="1" v="17990"/>
    </bk>
    <bk>
      <rc t="1" v="17991"/>
    </bk>
    <bk>
      <rc t="1" v="17992"/>
    </bk>
    <bk>
      <rc t="1" v="17993"/>
    </bk>
    <bk>
      <rc t="1" v="17994"/>
    </bk>
    <bk>
      <rc t="1" v="17995"/>
    </bk>
    <bk>
      <rc t="1" v="17996"/>
    </bk>
    <bk>
      <rc t="1" v="17997"/>
    </bk>
    <bk>
      <rc t="1" v="17998"/>
    </bk>
    <bk>
      <rc t="1" v="17999"/>
    </bk>
    <bk>
      <rc t="1" v="18000"/>
    </bk>
    <bk>
      <rc t="1" v="18001"/>
    </bk>
    <bk>
      <rc t="1" v="18002"/>
    </bk>
    <bk>
      <rc t="1" v="18003"/>
    </bk>
    <bk>
      <rc t="1" v="18004"/>
    </bk>
    <bk>
      <rc t="1" v="18005"/>
    </bk>
    <bk>
      <rc t="1" v="18006"/>
    </bk>
    <bk>
      <rc t="1" v="18007"/>
    </bk>
    <bk>
      <rc t="1" v="18008"/>
    </bk>
    <bk>
      <rc t="1" v="18009"/>
    </bk>
    <bk>
      <rc t="1" v="18010"/>
    </bk>
    <bk>
      <rc t="1" v="18011"/>
    </bk>
    <bk>
      <rc t="1" v="18012"/>
    </bk>
    <bk>
      <rc t="1" v="18013"/>
    </bk>
    <bk>
      <rc t="1" v="18014"/>
    </bk>
    <bk>
      <rc t="1" v="18015"/>
    </bk>
    <bk>
      <rc t="1" v="18016"/>
    </bk>
    <bk>
      <rc t="1" v="18017"/>
    </bk>
    <bk>
      <rc t="1" v="18018"/>
    </bk>
    <bk>
      <rc t="1" v="18019"/>
    </bk>
    <bk>
      <rc t="1" v="18020"/>
    </bk>
    <bk>
      <rc t="1" v="18021"/>
    </bk>
    <bk>
      <rc t="1" v="18022"/>
    </bk>
    <bk>
      <rc t="1" v="18023"/>
    </bk>
    <bk>
      <rc t="1" v="18024"/>
    </bk>
    <bk>
      <rc t="1" v="18025"/>
    </bk>
    <bk>
      <rc t="1" v="18026"/>
    </bk>
    <bk>
      <rc t="1" v="18027"/>
    </bk>
    <bk>
      <rc t="1" v="18028"/>
    </bk>
    <bk>
      <rc t="1" v="18029"/>
    </bk>
    <bk>
      <rc t="1" v="18030"/>
    </bk>
    <bk>
      <rc t="1" v="18031"/>
    </bk>
    <bk>
      <rc t="1" v="18032"/>
    </bk>
    <bk>
      <rc t="1" v="18033"/>
    </bk>
    <bk>
      <rc t="1" v="18034"/>
    </bk>
    <bk>
      <rc t="1" v="18035"/>
    </bk>
    <bk>
      <rc t="1" v="18036"/>
    </bk>
    <bk>
      <rc t="1" v="18037"/>
    </bk>
    <bk>
      <rc t="1" v="18038"/>
    </bk>
    <bk>
      <rc t="1" v="18039"/>
    </bk>
    <bk>
      <rc t="1" v="18040"/>
    </bk>
    <bk>
      <rc t="1" v="18041"/>
    </bk>
    <bk>
      <rc t="1" v="18042"/>
    </bk>
    <bk>
      <rc t="1" v="18043"/>
    </bk>
    <bk>
      <rc t="1" v="18044"/>
    </bk>
    <bk>
      <rc t="1" v="18045"/>
    </bk>
    <bk>
      <rc t="1" v="18046"/>
    </bk>
    <bk>
      <rc t="1" v="18047"/>
    </bk>
    <bk>
      <rc t="1" v="18048"/>
    </bk>
    <bk>
      <rc t="1" v="18049"/>
    </bk>
    <bk>
      <rc t="1" v="18050"/>
    </bk>
    <bk>
      <rc t="1" v="18051"/>
    </bk>
    <bk>
      <rc t="1" v="18052"/>
    </bk>
    <bk>
      <rc t="1" v="18053"/>
    </bk>
    <bk>
      <rc t="1" v="18054"/>
    </bk>
    <bk>
      <rc t="1" v="18055"/>
    </bk>
    <bk>
      <rc t="1" v="18056"/>
    </bk>
    <bk>
      <rc t="1" v="18057"/>
    </bk>
    <bk>
      <rc t="1" v="18058"/>
    </bk>
    <bk>
      <rc t="1" v="18059"/>
    </bk>
    <bk>
      <rc t="1" v="18060"/>
    </bk>
    <bk>
      <rc t="1" v="18061"/>
    </bk>
    <bk>
      <rc t="1" v="18062"/>
    </bk>
    <bk>
      <rc t="1" v="18063"/>
    </bk>
    <bk>
      <rc t="1" v="18064"/>
    </bk>
    <bk>
      <rc t="1" v="18065"/>
    </bk>
    <bk>
      <rc t="1" v="18066"/>
    </bk>
    <bk>
      <rc t="1" v="18067"/>
    </bk>
    <bk>
      <rc t="1" v="18068"/>
    </bk>
    <bk>
      <rc t="1" v="18069"/>
    </bk>
    <bk>
      <rc t="1" v="18070"/>
    </bk>
    <bk>
      <rc t="1" v="18071"/>
    </bk>
    <bk>
      <rc t="1" v="18072"/>
    </bk>
    <bk>
      <rc t="1" v="18073"/>
    </bk>
    <bk>
      <rc t="1" v="18074"/>
    </bk>
    <bk>
      <rc t="1" v="18075"/>
    </bk>
    <bk>
      <rc t="1" v="18076"/>
    </bk>
    <bk>
      <rc t="1" v="18077"/>
    </bk>
    <bk>
      <rc t="1" v="18078"/>
    </bk>
    <bk>
      <rc t="1" v="18079"/>
    </bk>
    <bk>
      <rc t="1" v="18080"/>
    </bk>
    <bk>
      <rc t="1" v="18081"/>
    </bk>
    <bk>
      <rc t="1" v="18082"/>
    </bk>
    <bk>
      <rc t="1" v="18083"/>
    </bk>
    <bk>
      <rc t="1" v="18084"/>
    </bk>
    <bk>
      <rc t="1" v="18085"/>
    </bk>
    <bk>
      <rc t="1" v="18086"/>
    </bk>
    <bk>
      <rc t="1" v="18087"/>
    </bk>
    <bk>
      <rc t="1" v="18088"/>
    </bk>
    <bk>
      <rc t="1" v="18089"/>
    </bk>
    <bk>
      <rc t="1" v="18090"/>
    </bk>
    <bk>
      <rc t="1" v="18091"/>
    </bk>
    <bk>
      <rc t="1" v="18092"/>
    </bk>
    <bk>
      <rc t="1" v="18093"/>
    </bk>
    <bk>
      <rc t="1" v="18094"/>
    </bk>
    <bk>
      <rc t="1" v="18095"/>
    </bk>
    <bk>
      <rc t="1" v="18096"/>
    </bk>
    <bk>
      <rc t="1" v="18097"/>
    </bk>
    <bk>
      <rc t="1" v="18098"/>
    </bk>
    <bk>
      <rc t="1" v="18099"/>
    </bk>
    <bk>
      <rc t="1" v="18100"/>
    </bk>
    <bk>
      <rc t="1" v="18101"/>
    </bk>
    <bk>
      <rc t="1" v="18102"/>
    </bk>
    <bk>
      <rc t="1" v="18103"/>
    </bk>
    <bk>
      <rc t="1" v="18104"/>
    </bk>
    <bk>
      <rc t="1" v="18105"/>
    </bk>
    <bk>
      <rc t="1" v="18106"/>
    </bk>
    <bk>
      <rc t="1" v="18107"/>
    </bk>
    <bk>
      <rc t="1" v="18108"/>
    </bk>
    <bk>
      <rc t="1" v="18109"/>
    </bk>
    <bk>
      <rc t="1" v="18110"/>
    </bk>
    <bk>
      <rc t="1" v="18111"/>
    </bk>
    <bk>
      <rc t="1" v="18112"/>
    </bk>
    <bk>
      <rc t="1" v="18113"/>
    </bk>
    <bk>
      <rc t="1" v="18114"/>
    </bk>
    <bk>
      <rc t="1" v="18115"/>
    </bk>
    <bk>
      <rc t="1" v="18116"/>
    </bk>
    <bk>
      <rc t="1" v="18117"/>
    </bk>
    <bk>
      <rc t="1" v="18118"/>
    </bk>
    <bk>
      <rc t="1" v="18119"/>
    </bk>
    <bk>
      <rc t="1" v="18120"/>
    </bk>
    <bk>
      <rc t="1" v="18121"/>
    </bk>
    <bk>
      <rc t="1" v="18122"/>
    </bk>
    <bk>
      <rc t="1" v="18123"/>
    </bk>
    <bk>
      <rc t="1" v="18124"/>
    </bk>
    <bk>
      <rc t="1" v="18125"/>
    </bk>
    <bk>
      <rc t="1" v="18126"/>
    </bk>
    <bk>
      <rc t="1" v="18127"/>
    </bk>
    <bk>
      <rc t="1" v="18128"/>
    </bk>
    <bk>
      <rc t="1" v="18129"/>
    </bk>
    <bk>
      <rc t="1" v="18130"/>
    </bk>
    <bk>
      <rc t="1" v="18131"/>
    </bk>
    <bk>
      <rc t="1" v="18132"/>
    </bk>
    <bk>
      <rc t="1" v="18133"/>
    </bk>
    <bk>
      <rc t="1" v="18134"/>
    </bk>
    <bk>
      <rc t="1" v="18135"/>
    </bk>
    <bk>
      <rc t="1" v="18136"/>
    </bk>
    <bk>
      <rc t="1" v="18137"/>
    </bk>
    <bk>
      <rc t="1" v="18138"/>
    </bk>
    <bk>
      <rc t="1" v="18139"/>
    </bk>
    <bk>
      <rc t="1" v="18140"/>
    </bk>
    <bk>
      <rc t="1" v="18141"/>
    </bk>
    <bk>
      <rc t="1" v="18142"/>
    </bk>
    <bk>
      <rc t="1" v="18143"/>
    </bk>
    <bk>
      <rc t="1" v="18144"/>
    </bk>
    <bk>
      <rc t="1" v="18145"/>
    </bk>
    <bk>
      <rc t="1" v="18146"/>
    </bk>
    <bk>
      <rc t="1" v="18147"/>
    </bk>
    <bk>
      <rc t="1" v="18148"/>
    </bk>
    <bk>
      <rc t="1" v="18149"/>
    </bk>
    <bk>
      <rc t="1" v="18150"/>
    </bk>
    <bk>
      <rc t="1" v="18151"/>
    </bk>
    <bk>
      <rc t="1" v="18152"/>
    </bk>
    <bk>
      <rc t="1" v="18153"/>
    </bk>
    <bk>
      <rc t="1" v="18154"/>
    </bk>
    <bk>
      <rc t="1" v="18155"/>
    </bk>
    <bk>
      <rc t="1" v="18156"/>
    </bk>
    <bk>
      <rc t="1" v="18157"/>
    </bk>
    <bk>
      <rc t="1" v="18158"/>
    </bk>
    <bk>
      <rc t="1" v="18159"/>
    </bk>
    <bk>
      <rc t="1" v="18160"/>
    </bk>
    <bk>
      <rc t="1" v="18161"/>
    </bk>
    <bk>
      <rc t="1" v="18162"/>
    </bk>
    <bk>
      <rc t="1" v="18163"/>
    </bk>
    <bk>
      <rc t="1" v="18164"/>
    </bk>
    <bk>
      <rc t="1" v="18165"/>
    </bk>
    <bk>
      <rc t="1" v="18166"/>
    </bk>
    <bk>
      <rc t="1" v="18167"/>
    </bk>
    <bk>
      <rc t="1" v="18168"/>
    </bk>
    <bk>
      <rc t="1" v="18169"/>
    </bk>
    <bk>
      <rc t="1" v="18170"/>
    </bk>
    <bk>
      <rc t="1" v="18171"/>
    </bk>
    <bk>
      <rc t="1" v="18172"/>
    </bk>
    <bk>
      <rc t="1" v="18173"/>
    </bk>
    <bk>
      <rc t="1" v="18174"/>
    </bk>
    <bk>
      <rc t="1" v="18175"/>
    </bk>
    <bk>
      <rc t="1" v="18176"/>
    </bk>
    <bk>
      <rc t="1" v="18177"/>
    </bk>
    <bk>
      <rc t="1" v="18178"/>
    </bk>
    <bk>
      <rc t="1" v="18179"/>
    </bk>
    <bk>
      <rc t="1" v="18180"/>
    </bk>
    <bk>
      <rc t="1" v="18181"/>
    </bk>
    <bk>
      <rc t="1" v="18182"/>
    </bk>
    <bk>
      <rc t="1" v="18183"/>
    </bk>
    <bk>
      <rc t="1" v="18184"/>
    </bk>
    <bk>
      <rc t="1" v="18185"/>
    </bk>
    <bk>
      <rc t="1" v="18186"/>
    </bk>
    <bk>
      <rc t="1" v="18187"/>
    </bk>
    <bk>
      <rc t="1" v="18188"/>
    </bk>
    <bk>
      <rc t="1" v="18189"/>
    </bk>
    <bk>
      <rc t="1" v="18190"/>
    </bk>
    <bk>
      <rc t="1" v="18191"/>
    </bk>
    <bk>
      <rc t="1" v="18192"/>
    </bk>
    <bk>
      <rc t="1" v="18193"/>
    </bk>
    <bk>
      <rc t="1" v="18194"/>
    </bk>
    <bk>
      <rc t="1" v="18195"/>
    </bk>
    <bk>
      <rc t="1" v="18196"/>
    </bk>
    <bk>
      <rc t="1" v="18197"/>
    </bk>
    <bk>
      <rc t="1" v="18198"/>
    </bk>
    <bk>
      <rc t="1" v="18199"/>
    </bk>
    <bk>
      <rc t="1" v="18200"/>
    </bk>
    <bk>
      <rc t="1" v="18201"/>
    </bk>
    <bk>
      <rc t="1" v="18202"/>
    </bk>
    <bk>
      <rc t="1" v="18203"/>
    </bk>
    <bk>
      <rc t="1" v="18204"/>
    </bk>
    <bk>
      <rc t="1" v="18205"/>
    </bk>
    <bk>
      <rc t="1" v="18206"/>
    </bk>
    <bk>
      <rc t="1" v="18207"/>
    </bk>
    <bk>
      <rc t="1" v="18208"/>
    </bk>
    <bk>
      <rc t="1" v="18209"/>
    </bk>
    <bk>
      <rc t="1" v="18210"/>
    </bk>
    <bk>
      <rc t="1" v="18211"/>
    </bk>
    <bk>
      <rc t="1" v="18212"/>
    </bk>
    <bk>
      <rc t="1" v="18213"/>
    </bk>
    <bk>
      <rc t="1" v="18214"/>
    </bk>
    <bk>
      <rc t="1" v="18215"/>
    </bk>
    <bk>
      <rc t="1" v="18216"/>
    </bk>
    <bk>
      <rc t="1" v="18217"/>
    </bk>
    <bk>
      <rc t="1" v="18218"/>
    </bk>
    <bk>
      <rc t="1" v="18219"/>
    </bk>
    <bk>
      <rc t="1" v="18220"/>
    </bk>
    <bk>
      <rc t="1" v="18221"/>
    </bk>
    <bk>
      <rc t="1" v="18222"/>
    </bk>
    <bk>
      <rc t="1" v="18223"/>
    </bk>
    <bk>
      <rc t="1" v="18224"/>
    </bk>
    <bk>
      <rc t="1" v="18225"/>
    </bk>
    <bk>
      <rc t="1" v="18226"/>
    </bk>
    <bk>
      <rc t="1" v="18227"/>
    </bk>
    <bk>
      <rc t="1" v="18228"/>
    </bk>
    <bk>
      <rc t="1" v="18229"/>
    </bk>
    <bk>
      <rc t="1" v="18230"/>
    </bk>
    <bk>
      <rc t="1" v="18231"/>
    </bk>
    <bk>
      <rc t="1" v="18232"/>
    </bk>
    <bk>
      <rc t="1" v="18233"/>
    </bk>
    <bk>
      <rc t="1" v="18234"/>
    </bk>
    <bk>
      <rc t="1" v="18235"/>
    </bk>
    <bk>
      <rc t="1" v="18236"/>
    </bk>
    <bk>
      <rc t="1" v="18237"/>
    </bk>
    <bk>
      <rc t="1" v="18238"/>
    </bk>
    <bk>
      <rc t="1" v="18239"/>
    </bk>
    <bk>
      <rc t="1" v="18240"/>
    </bk>
    <bk>
      <rc t="1" v="18241"/>
    </bk>
    <bk>
      <rc t="1" v="18242"/>
    </bk>
    <bk>
      <rc t="1" v="18243"/>
    </bk>
    <bk>
      <rc t="1" v="18244"/>
    </bk>
    <bk>
      <rc t="1" v="18245"/>
    </bk>
    <bk>
      <rc t="1" v="18246"/>
    </bk>
    <bk>
      <rc t="1" v="18247"/>
    </bk>
    <bk>
      <rc t="1" v="18248"/>
    </bk>
    <bk>
      <rc t="1" v="18249"/>
    </bk>
    <bk>
      <rc t="1" v="18250"/>
    </bk>
    <bk>
      <rc t="1" v="18251"/>
    </bk>
    <bk>
      <rc t="1" v="18252"/>
    </bk>
    <bk>
      <rc t="1" v="18253"/>
    </bk>
    <bk>
      <rc t="1" v="18254"/>
    </bk>
    <bk>
      <rc t="1" v="18255"/>
    </bk>
    <bk>
      <rc t="1" v="18256"/>
    </bk>
    <bk>
      <rc t="1" v="18257"/>
    </bk>
    <bk>
      <rc t="1" v="18258"/>
    </bk>
    <bk>
      <rc t="1" v="18259"/>
    </bk>
    <bk>
      <rc t="1" v="18260"/>
    </bk>
    <bk>
      <rc t="1" v="18261"/>
    </bk>
    <bk>
      <rc t="1" v="18262"/>
    </bk>
    <bk>
      <rc t="1" v="18263"/>
    </bk>
    <bk>
      <rc t="1" v="18264"/>
    </bk>
    <bk>
      <rc t="1" v="18265"/>
    </bk>
    <bk>
      <rc t="1" v="18266"/>
    </bk>
    <bk>
      <rc t="1" v="18267"/>
    </bk>
    <bk>
      <rc t="1" v="18268"/>
    </bk>
    <bk>
      <rc t="1" v="18269"/>
    </bk>
    <bk>
      <rc t="1" v="18270"/>
    </bk>
    <bk>
      <rc t="1" v="18271"/>
    </bk>
    <bk>
      <rc t="1" v="18272"/>
    </bk>
    <bk>
      <rc t="1" v="18273"/>
    </bk>
    <bk>
      <rc t="1" v="18274"/>
    </bk>
    <bk>
      <rc t="1" v="18275"/>
    </bk>
    <bk>
      <rc t="1" v="18276"/>
    </bk>
    <bk>
      <rc t="1" v="18277"/>
    </bk>
    <bk>
      <rc t="1" v="18278"/>
    </bk>
    <bk>
      <rc t="1" v="18279"/>
    </bk>
    <bk>
      <rc t="1" v="18280"/>
    </bk>
    <bk>
      <rc t="1" v="18281"/>
    </bk>
    <bk>
      <rc t="1" v="18282"/>
    </bk>
    <bk>
      <rc t="1" v="18283"/>
    </bk>
    <bk>
      <rc t="1" v="18284"/>
    </bk>
    <bk>
      <rc t="1" v="18285"/>
    </bk>
    <bk>
      <rc t="1" v="18286"/>
    </bk>
    <bk>
      <rc t="1" v="18287"/>
    </bk>
    <bk>
      <rc t="1" v="18288"/>
    </bk>
    <bk>
      <rc t="1" v="18289"/>
    </bk>
    <bk>
      <rc t="1" v="18290"/>
    </bk>
    <bk>
      <rc t="1" v="18291"/>
    </bk>
    <bk>
      <rc t="1" v="18292"/>
    </bk>
    <bk>
      <rc t="1" v="18293"/>
    </bk>
    <bk>
      <rc t="1" v="18294"/>
    </bk>
    <bk>
      <rc t="1" v="18295"/>
    </bk>
    <bk>
      <rc t="1" v="18296"/>
    </bk>
    <bk>
      <rc t="1" v="18297"/>
    </bk>
    <bk>
      <rc t="1" v="18298"/>
    </bk>
    <bk>
      <rc t="1" v="18299"/>
    </bk>
    <bk>
      <rc t="1" v="18300"/>
    </bk>
    <bk>
      <rc t="1" v="18301"/>
    </bk>
    <bk>
      <rc t="1" v="18302"/>
    </bk>
    <bk>
      <rc t="1" v="18303"/>
    </bk>
    <bk>
      <rc t="1" v="18304"/>
    </bk>
    <bk>
      <rc t="1" v="18305"/>
    </bk>
    <bk>
      <rc t="1" v="18306"/>
    </bk>
    <bk>
      <rc t="1" v="18307"/>
    </bk>
    <bk>
      <rc t="1" v="18308"/>
    </bk>
    <bk>
      <rc t="1" v="18309"/>
    </bk>
    <bk>
      <rc t="1" v="18310"/>
    </bk>
    <bk>
      <rc t="1" v="18311"/>
    </bk>
    <bk>
      <rc t="1" v="18312"/>
    </bk>
    <bk>
      <rc t="1" v="18313"/>
    </bk>
    <bk>
      <rc t="1" v="18314"/>
    </bk>
    <bk>
      <rc t="1" v="18315"/>
    </bk>
    <bk>
      <rc t="1" v="18316"/>
    </bk>
    <bk>
      <rc t="1" v="18317"/>
    </bk>
    <bk>
      <rc t="1" v="18318"/>
    </bk>
    <bk>
      <rc t="1" v="18319"/>
    </bk>
    <bk>
      <rc t="1" v="18320"/>
    </bk>
    <bk>
      <rc t="1" v="18321"/>
    </bk>
    <bk>
      <rc t="1" v="18322"/>
    </bk>
    <bk>
      <rc t="1" v="18323"/>
    </bk>
    <bk>
      <rc t="1" v="18324"/>
    </bk>
    <bk>
      <rc t="1" v="18325"/>
    </bk>
    <bk>
      <rc t="1" v="18326"/>
    </bk>
    <bk>
      <rc t="1" v="18327"/>
    </bk>
    <bk>
      <rc t="1" v="18328"/>
    </bk>
    <bk>
      <rc t="1" v="18329"/>
    </bk>
    <bk>
      <rc t="1" v="18330"/>
    </bk>
    <bk>
      <rc t="1" v="18331"/>
    </bk>
    <bk>
      <rc t="1" v="18332"/>
    </bk>
    <bk>
      <rc t="1" v="18333"/>
    </bk>
    <bk>
      <rc t="1" v="18334"/>
    </bk>
    <bk>
      <rc t="1" v="18335"/>
    </bk>
    <bk>
      <rc t="1" v="18336"/>
    </bk>
    <bk>
      <rc t="1" v="18337"/>
    </bk>
    <bk>
      <rc t="1" v="18338"/>
    </bk>
    <bk>
      <rc t="1" v="18339"/>
    </bk>
    <bk>
      <rc t="1" v="18340"/>
    </bk>
    <bk>
      <rc t="1" v="18341"/>
    </bk>
    <bk>
      <rc t="1" v="18342"/>
    </bk>
    <bk>
      <rc t="1" v="18343"/>
    </bk>
    <bk>
      <rc t="1" v="18344"/>
    </bk>
    <bk>
      <rc t="1" v="18345"/>
    </bk>
    <bk>
      <rc t="1" v="18346"/>
    </bk>
    <bk>
      <rc t="1" v="18347"/>
    </bk>
    <bk>
      <rc t="1" v="18348"/>
    </bk>
    <bk>
      <rc t="1" v="18349"/>
    </bk>
    <bk>
      <rc t="1" v="18350"/>
    </bk>
    <bk>
      <rc t="1" v="18351"/>
    </bk>
    <bk>
      <rc t="1" v="18352"/>
    </bk>
    <bk>
      <rc t="1" v="18353"/>
    </bk>
    <bk>
      <rc t="1" v="18354"/>
    </bk>
    <bk>
      <rc t="1" v="18355"/>
    </bk>
    <bk>
      <rc t="1" v="18356"/>
    </bk>
    <bk>
      <rc t="1" v="18357"/>
    </bk>
    <bk>
      <rc t="1" v="18358"/>
    </bk>
    <bk>
      <rc t="1" v="18359"/>
    </bk>
    <bk>
      <rc t="1" v="18360"/>
    </bk>
    <bk>
      <rc t="1" v="18361"/>
    </bk>
    <bk>
      <rc t="1" v="18362"/>
    </bk>
    <bk>
      <rc t="1" v="18363"/>
    </bk>
    <bk>
      <rc t="1" v="18364"/>
    </bk>
    <bk>
      <rc t="1" v="18365"/>
    </bk>
    <bk>
      <rc t="1" v="18366"/>
    </bk>
    <bk>
      <rc t="1" v="18367"/>
    </bk>
    <bk>
      <rc t="1" v="18368"/>
    </bk>
    <bk>
      <rc t="1" v="18369"/>
    </bk>
    <bk>
      <rc t="1" v="18370"/>
    </bk>
    <bk>
      <rc t="1" v="18371"/>
    </bk>
    <bk>
      <rc t="1" v="18372"/>
    </bk>
    <bk>
      <rc t="1" v="18373"/>
    </bk>
    <bk>
      <rc t="1" v="18374"/>
    </bk>
    <bk>
      <rc t="1" v="18375"/>
    </bk>
    <bk>
      <rc t="1" v="18376"/>
    </bk>
    <bk>
      <rc t="1" v="18377"/>
    </bk>
    <bk>
      <rc t="1" v="18378"/>
    </bk>
    <bk>
      <rc t="1" v="18379"/>
    </bk>
    <bk>
      <rc t="1" v="18380"/>
    </bk>
    <bk>
      <rc t="1" v="18381"/>
    </bk>
    <bk>
      <rc t="1" v="18382"/>
    </bk>
    <bk>
      <rc t="1" v="18383"/>
    </bk>
    <bk>
      <rc t="1" v="18384"/>
    </bk>
    <bk>
      <rc t="1" v="18385"/>
    </bk>
    <bk>
      <rc t="1" v="18386"/>
    </bk>
    <bk>
      <rc t="1" v="18387"/>
    </bk>
    <bk>
      <rc t="1" v="18388"/>
    </bk>
    <bk>
      <rc t="1" v="18389"/>
    </bk>
    <bk>
      <rc t="1" v="18390"/>
    </bk>
    <bk>
      <rc t="1" v="18391"/>
    </bk>
    <bk>
      <rc t="1" v="18392"/>
    </bk>
    <bk>
      <rc t="1" v="18393"/>
    </bk>
    <bk>
      <rc t="1" v="18394"/>
    </bk>
    <bk>
      <rc t="1" v="18395"/>
    </bk>
    <bk>
      <rc t="1" v="18396"/>
    </bk>
    <bk>
      <rc t="1" v="18397"/>
    </bk>
    <bk>
      <rc t="1" v="18398"/>
    </bk>
    <bk>
      <rc t="1" v="18399"/>
    </bk>
    <bk>
      <rc t="1" v="18400"/>
    </bk>
    <bk>
      <rc t="1" v="18401"/>
    </bk>
    <bk>
      <rc t="1" v="18402"/>
    </bk>
    <bk>
      <rc t="1" v="18403"/>
    </bk>
    <bk>
      <rc t="1" v="18404"/>
    </bk>
    <bk>
      <rc t="1" v="18405"/>
    </bk>
    <bk>
      <rc t="1" v="18406"/>
    </bk>
    <bk>
      <rc t="1" v="18407"/>
    </bk>
    <bk>
      <rc t="1" v="18408"/>
    </bk>
    <bk>
      <rc t="1" v="18409"/>
    </bk>
    <bk>
      <rc t="1" v="18410"/>
    </bk>
    <bk>
      <rc t="1" v="18411"/>
    </bk>
    <bk>
      <rc t="1" v="18412"/>
    </bk>
    <bk>
      <rc t="1" v="18413"/>
    </bk>
    <bk>
      <rc t="1" v="18414"/>
    </bk>
    <bk>
      <rc t="1" v="18415"/>
    </bk>
    <bk>
      <rc t="1" v="18416"/>
    </bk>
    <bk>
      <rc t="1" v="18417"/>
    </bk>
    <bk>
      <rc t="1" v="18418"/>
    </bk>
    <bk>
      <rc t="1" v="18419"/>
    </bk>
    <bk>
      <rc t="1" v="18420"/>
    </bk>
    <bk>
      <rc t="1" v="18421"/>
    </bk>
    <bk>
      <rc t="1" v="18422"/>
    </bk>
    <bk>
      <rc t="1" v="18423"/>
    </bk>
    <bk>
      <rc t="1" v="18424"/>
    </bk>
    <bk>
      <rc t="1" v="18425"/>
    </bk>
    <bk>
      <rc t="1" v="18426"/>
    </bk>
    <bk>
      <rc t="1" v="18427"/>
    </bk>
    <bk>
      <rc t="1" v="18428"/>
    </bk>
    <bk>
      <rc t="1" v="18429"/>
    </bk>
    <bk>
      <rc t="1" v="18430"/>
    </bk>
    <bk>
      <rc t="1" v="18431"/>
    </bk>
    <bk>
      <rc t="1" v="18432"/>
    </bk>
    <bk>
      <rc t="1" v="18433"/>
    </bk>
    <bk>
      <rc t="1" v="18434"/>
    </bk>
    <bk>
      <rc t="1" v="18435"/>
    </bk>
    <bk>
      <rc t="1" v="18436"/>
    </bk>
    <bk>
      <rc t="1" v="18437"/>
    </bk>
    <bk>
      <rc t="1" v="18438"/>
    </bk>
    <bk>
      <rc t="1" v="18439"/>
    </bk>
    <bk>
      <rc t="1" v="18440"/>
    </bk>
    <bk>
      <rc t="1" v="18441"/>
    </bk>
    <bk>
      <rc t="1" v="18442"/>
    </bk>
    <bk>
      <rc t="1" v="18443"/>
    </bk>
    <bk>
      <rc t="1" v="18444"/>
    </bk>
    <bk>
      <rc t="1" v="18445"/>
    </bk>
    <bk>
      <rc t="1" v="18446"/>
    </bk>
    <bk>
      <rc t="1" v="18447"/>
    </bk>
    <bk>
      <rc t="1" v="18448"/>
    </bk>
    <bk>
      <rc t="1" v="18449"/>
    </bk>
    <bk>
      <rc t="1" v="18450"/>
    </bk>
    <bk>
      <rc t="1" v="18451"/>
    </bk>
    <bk>
      <rc t="1" v="18452"/>
    </bk>
    <bk>
      <rc t="1" v="18453"/>
    </bk>
    <bk>
      <rc t="1" v="18454"/>
    </bk>
    <bk>
      <rc t="1" v="18455"/>
    </bk>
    <bk>
      <rc t="1" v="18456"/>
    </bk>
    <bk>
      <rc t="1" v="18457"/>
    </bk>
    <bk>
      <rc t="1" v="18458"/>
    </bk>
    <bk>
      <rc t="1" v="18459"/>
    </bk>
    <bk>
      <rc t="1" v="18460"/>
    </bk>
    <bk>
      <rc t="1" v="18461"/>
    </bk>
    <bk>
      <rc t="1" v="18462"/>
    </bk>
    <bk>
      <rc t="1" v="18463"/>
    </bk>
    <bk>
      <rc t="1" v="18464"/>
    </bk>
    <bk>
      <rc t="1" v="18465"/>
    </bk>
    <bk>
      <rc t="1" v="18466"/>
    </bk>
    <bk>
      <rc t="1" v="18467"/>
    </bk>
    <bk>
      <rc t="1" v="18468"/>
    </bk>
    <bk>
      <rc t="1" v="18469"/>
    </bk>
    <bk>
      <rc t="1" v="18470"/>
    </bk>
    <bk>
      <rc t="1" v="18471"/>
    </bk>
    <bk>
      <rc t="1" v="18472"/>
    </bk>
    <bk>
      <rc t="1" v="18473"/>
    </bk>
    <bk>
      <rc t="1" v="18474"/>
    </bk>
    <bk>
      <rc t="1" v="18475"/>
    </bk>
    <bk>
      <rc t="1" v="18476"/>
    </bk>
    <bk>
      <rc t="1" v="18477"/>
    </bk>
    <bk>
      <rc t="1" v="18478"/>
    </bk>
    <bk>
      <rc t="1" v="18479"/>
    </bk>
    <bk>
      <rc t="1" v="18480"/>
    </bk>
    <bk>
      <rc t="1" v="18481"/>
    </bk>
    <bk>
      <rc t="1" v="18482"/>
    </bk>
    <bk>
      <rc t="1" v="18483"/>
    </bk>
    <bk>
      <rc t="1" v="18484"/>
    </bk>
    <bk>
      <rc t="1" v="18485"/>
    </bk>
    <bk>
      <rc t="1" v="18486"/>
    </bk>
    <bk>
      <rc t="1" v="18487"/>
    </bk>
    <bk>
      <rc t="1" v="18488"/>
    </bk>
    <bk>
      <rc t="1" v="18489"/>
    </bk>
    <bk>
      <rc t="1" v="18490"/>
    </bk>
    <bk>
      <rc t="1" v="18491"/>
    </bk>
    <bk>
      <rc t="1" v="18492"/>
    </bk>
    <bk>
      <rc t="1" v="18493"/>
    </bk>
    <bk>
      <rc t="1" v="18494"/>
    </bk>
    <bk>
      <rc t="1" v="18495"/>
    </bk>
    <bk>
      <rc t="1" v="18496"/>
    </bk>
    <bk>
      <rc t="1" v="18497"/>
    </bk>
    <bk>
      <rc t="1" v="18498"/>
    </bk>
    <bk>
      <rc t="1" v="18499"/>
    </bk>
    <bk>
      <rc t="1" v="18500"/>
    </bk>
    <bk>
      <rc t="1" v="18501"/>
    </bk>
    <bk>
      <rc t="1" v="18502"/>
    </bk>
    <bk>
      <rc t="1" v="18503"/>
    </bk>
    <bk>
      <rc t="1" v="18504"/>
    </bk>
    <bk>
      <rc t="1" v="18505"/>
    </bk>
    <bk>
      <rc t="1" v="18506"/>
    </bk>
    <bk>
      <rc t="1" v="18507"/>
    </bk>
    <bk>
      <rc t="1" v="18508"/>
    </bk>
    <bk>
      <rc t="1" v="18509"/>
    </bk>
    <bk>
      <rc t="1" v="18510"/>
    </bk>
    <bk>
      <rc t="1" v="18511"/>
    </bk>
    <bk>
      <rc t="1" v="18512"/>
    </bk>
    <bk>
      <rc t="1" v="18513"/>
    </bk>
    <bk>
      <rc t="1" v="18514"/>
    </bk>
    <bk>
      <rc t="1" v="18515"/>
    </bk>
    <bk>
      <rc t="1" v="18516"/>
    </bk>
    <bk>
      <rc t="1" v="18517"/>
    </bk>
    <bk>
      <rc t="1" v="18518"/>
    </bk>
    <bk>
      <rc t="1" v="18519"/>
    </bk>
    <bk>
      <rc t="1" v="18520"/>
    </bk>
    <bk>
      <rc t="1" v="18521"/>
    </bk>
    <bk>
      <rc t="1" v="18522"/>
    </bk>
    <bk>
      <rc t="1" v="18523"/>
    </bk>
    <bk>
      <rc t="1" v="18524"/>
    </bk>
    <bk>
      <rc t="1" v="18525"/>
    </bk>
    <bk>
      <rc t="1" v="18526"/>
    </bk>
    <bk>
      <rc t="1" v="18527"/>
    </bk>
    <bk>
      <rc t="1" v="18528"/>
    </bk>
    <bk>
      <rc t="1" v="18529"/>
    </bk>
    <bk>
      <rc t="1" v="18530"/>
    </bk>
    <bk>
      <rc t="1" v="18531"/>
    </bk>
    <bk>
      <rc t="1" v="18532"/>
    </bk>
    <bk>
      <rc t="1" v="18533"/>
    </bk>
    <bk>
      <rc t="1" v="18534"/>
    </bk>
    <bk>
      <rc t="1" v="18535"/>
    </bk>
    <bk>
      <rc t="1" v="18536"/>
    </bk>
    <bk>
      <rc t="1" v="18537"/>
    </bk>
    <bk>
      <rc t="1" v="18538"/>
    </bk>
    <bk>
      <rc t="1" v="18539"/>
    </bk>
    <bk>
      <rc t="1" v="18540"/>
    </bk>
    <bk>
      <rc t="1" v="18541"/>
    </bk>
    <bk>
      <rc t="1" v="18542"/>
    </bk>
    <bk>
      <rc t="1" v="18543"/>
    </bk>
    <bk>
      <rc t="1" v="18544"/>
    </bk>
    <bk>
      <rc t="1" v="18545"/>
    </bk>
    <bk>
      <rc t="1" v="18546"/>
    </bk>
    <bk>
      <rc t="1" v="18547"/>
    </bk>
    <bk>
      <rc t="1" v="18548"/>
    </bk>
    <bk>
      <rc t="1" v="18549"/>
    </bk>
    <bk>
      <rc t="1" v="18550"/>
    </bk>
    <bk>
      <rc t="1" v="18551"/>
    </bk>
    <bk>
      <rc t="1" v="18552"/>
    </bk>
    <bk>
      <rc t="1" v="18553"/>
    </bk>
    <bk>
      <rc t="1" v="18554"/>
    </bk>
    <bk>
      <rc t="1" v="18555"/>
    </bk>
    <bk>
      <rc t="1" v="18556"/>
    </bk>
    <bk>
      <rc t="1" v="18557"/>
    </bk>
    <bk>
      <rc t="1" v="18558"/>
    </bk>
    <bk>
      <rc t="1" v="18559"/>
    </bk>
    <bk>
      <rc t="1" v="18560"/>
    </bk>
    <bk>
      <rc t="1" v="18561"/>
    </bk>
    <bk>
      <rc t="1" v="18562"/>
    </bk>
    <bk>
      <rc t="1" v="18563"/>
    </bk>
    <bk>
      <rc t="1" v="18564"/>
    </bk>
    <bk>
      <rc t="1" v="18565"/>
    </bk>
    <bk>
      <rc t="1" v="18566"/>
    </bk>
    <bk>
      <rc t="1" v="18567"/>
    </bk>
    <bk>
      <rc t="1" v="18568"/>
    </bk>
    <bk>
      <rc t="1" v="18569"/>
    </bk>
    <bk>
      <rc t="1" v="18570"/>
    </bk>
    <bk>
      <rc t="1" v="18571"/>
    </bk>
    <bk>
      <rc t="1" v="18572"/>
    </bk>
    <bk>
      <rc t="1" v="18573"/>
    </bk>
    <bk>
      <rc t="1" v="18574"/>
    </bk>
    <bk>
      <rc t="1" v="18575"/>
    </bk>
    <bk>
      <rc t="1" v="18576"/>
    </bk>
    <bk>
      <rc t="1" v="18577"/>
    </bk>
    <bk>
      <rc t="1" v="18578"/>
    </bk>
    <bk>
      <rc t="1" v="18579"/>
    </bk>
    <bk>
      <rc t="1" v="18580"/>
    </bk>
    <bk>
      <rc t="1" v="18581"/>
    </bk>
    <bk>
      <rc t="1" v="18582"/>
    </bk>
    <bk>
      <rc t="1" v="18583"/>
    </bk>
    <bk>
      <rc t="1" v="18584"/>
    </bk>
    <bk>
      <rc t="1" v="18585"/>
    </bk>
    <bk>
      <rc t="1" v="18586"/>
    </bk>
    <bk>
      <rc t="1" v="18587"/>
    </bk>
    <bk>
      <rc t="1" v="18588"/>
    </bk>
    <bk>
      <rc t="1" v="18589"/>
    </bk>
    <bk>
      <rc t="1" v="18590"/>
    </bk>
    <bk>
      <rc t="1" v="18591"/>
    </bk>
    <bk>
      <rc t="1" v="18592"/>
    </bk>
    <bk>
      <rc t="1" v="18593"/>
    </bk>
    <bk>
      <rc t="1" v="18594"/>
    </bk>
    <bk>
      <rc t="1" v="18595"/>
    </bk>
    <bk>
      <rc t="1" v="18596"/>
    </bk>
    <bk>
      <rc t="1" v="18597"/>
    </bk>
    <bk>
      <rc t="1" v="18598"/>
    </bk>
    <bk>
      <rc t="1" v="18599"/>
    </bk>
    <bk>
      <rc t="1" v="18600"/>
    </bk>
    <bk>
      <rc t="1" v="18601"/>
    </bk>
    <bk>
      <rc t="1" v="18602"/>
    </bk>
    <bk>
      <rc t="1" v="18603"/>
    </bk>
    <bk>
      <rc t="1" v="18604"/>
    </bk>
    <bk>
      <rc t="1" v="18605"/>
    </bk>
    <bk>
      <rc t="1" v="18606"/>
    </bk>
    <bk>
      <rc t="1" v="18607"/>
    </bk>
    <bk>
      <rc t="1" v="18608"/>
    </bk>
    <bk>
      <rc t="1" v="18609"/>
    </bk>
    <bk>
      <rc t="1" v="18610"/>
    </bk>
    <bk>
      <rc t="1" v="18611"/>
    </bk>
    <bk>
      <rc t="1" v="18612"/>
    </bk>
    <bk>
      <rc t="1" v="18613"/>
    </bk>
    <bk>
      <rc t="1" v="18614"/>
    </bk>
    <bk>
      <rc t="1" v="18615"/>
    </bk>
    <bk>
      <rc t="1" v="18616"/>
    </bk>
    <bk>
      <rc t="1" v="18617"/>
    </bk>
    <bk>
      <rc t="1" v="18618"/>
    </bk>
    <bk>
      <rc t="1" v="18619"/>
    </bk>
    <bk>
      <rc t="1" v="18620"/>
    </bk>
    <bk>
      <rc t="1" v="18621"/>
    </bk>
    <bk>
      <rc t="1" v="18622"/>
    </bk>
    <bk>
      <rc t="1" v="18623"/>
    </bk>
    <bk>
      <rc t="1" v="18624"/>
    </bk>
    <bk>
      <rc t="1" v="18625"/>
    </bk>
    <bk>
      <rc t="1" v="18626"/>
    </bk>
    <bk>
      <rc t="1" v="18627"/>
    </bk>
    <bk>
      <rc t="1" v="18628"/>
    </bk>
    <bk>
      <rc t="1" v="18629"/>
    </bk>
    <bk>
      <rc t="1" v="18630"/>
    </bk>
    <bk>
      <rc t="1" v="18631"/>
    </bk>
    <bk>
      <rc t="1" v="18632"/>
    </bk>
    <bk>
      <rc t="1" v="18633"/>
    </bk>
    <bk>
      <rc t="1" v="18634"/>
    </bk>
    <bk>
      <rc t="1" v="18635"/>
    </bk>
    <bk>
      <rc t="1" v="18636"/>
    </bk>
    <bk>
      <rc t="1" v="18637"/>
    </bk>
    <bk>
      <rc t="1" v="18638"/>
    </bk>
    <bk>
      <rc t="1" v="18639"/>
    </bk>
    <bk>
      <rc t="1" v="18640"/>
    </bk>
    <bk>
      <rc t="1" v="18641"/>
    </bk>
    <bk>
      <rc t="1" v="18642"/>
    </bk>
    <bk>
      <rc t="1" v="18643"/>
    </bk>
    <bk>
      <rc t="1" v="18644"/>
    </bk>
    <bk>
      <rc t="1" v="18645"/>
    </bk>
    <bk>
      <rc t="1" v="18646"/>
    </bk>
    <bk>
      <rc t="1" v="18647"/>
    </bk>
    <bk>
      <rc t="1" v="18648"/>
    </bk>
    <bk>
      <rc t="1" v="18649"/>
    </bk>
    <bk>
      <rc t="1" v="18650"/>
    </bk>
    <bk>
      <rc t="1" v="18651"/>
    </bk>
    <bk>
      <rc t="1" v="18652"/>
    </bk>
    <bk>
      <rc t="1" v="18653"/>
    </bk>
    <bk>
      <rc t="1" v="18654"/>
    </bk>
    <bk>
      <rc t="1" v="18655"/>
    </bk>
    <bk>
      <rc t="1" v="18656"/>
    </bk>
    <bk>
      <rc t="1" v="18657"/>
    </bk>
    <bk>
      <rc t="1" v="18658"/>
    </bk>
    <bk>
      <rc t="1" v="18659"/>
    </bk>
    <bk>
      <rc t="1" v="18660"/>
    </bk>
    <bk>
      <rc t="1" v="18661"/>
    </bk>
    <bk>
      <rc t="1" v="18662"/>
    </bk>
    <bk>
      <rc t="1" v="18663"/>
    </bk>
    <bk>
      <rc t="1" v="18664"/>
    </bk>
    <bk>
      <rc t="1" v="18665"/>
    </bk>
    <bk>
      <rc t="1" v="18666"/>
    </bk>
    <bk>
      <rc t="1" v="18667"/>
    </bk>
    <bk>
      <rc t="1" v="18668"/>
    </bk>
    <bk>
      <rc t="1" v="18669"/>
    </bk>
    <bk>
      <rc t="1" v="18670"/>
    </bk>
    <bk>
      <rc t="1" v="18671"/>
    </bk>
    <bk>
      <rc t="1" v="18672"/>
    </bk>
    <bk>
      <rc t="1" v="18673"/>
    </bk>
    <bk>
      <rc t="1" v="18674"/>
    </bk>
    <bk>
      <rc t="1" v="18675"/>
    </bk>
    <bk>
      <rc t="1" v="18676"/>
    </bk>
    <bk>
      <rc t="1" v="18677"/>
    </bk>
    <bk>
      <rc t="1" v="18678"/>
    </bk>
    <bk>
      <rc t="1" v="18679"/>
    </bk>
    <bk>
      <rc t="1" v="18680"/>
    </bk>
    <bk>
      <rc t="1" v="18681"/>
    </bk>
    <bk>
      <rc t="1" v="18682"/>
    </bk>
    <bk>
      <rc t="1" v="18683"/>
    </bk>
    <bk>
      <rc t="1" v="18684"/>
    </bk>
    <bk>
      <rc t="1" v="18685"/>
    </bk>
    <bk>
      <rc t="1" v="18686"/>
    </bk>
    <bk>
      <rc t="1" v="18687"/>
    </bk>
    <bk>
      <rc t="1" v="18688"/>
    </bk>
    <bk>
      <rc t="1" v="18689"/>
    </bk>
    <bk>
      <rc t="1" v="18690"/>
    </bk>
    <bk>
      <rc t="1" v="18691"/>
    </bk>
    <bk>
      <rc t="1" v="18692"/>
    </bk>
    <bk>
      <rc t="1" v="18693"/>
    </bk>
    <bk>
      <rc t="1" v="18694"/>
    </bk>
    <bk>
      <rc t="1" v="18695"/>
    </bk>
    <bk>
      <rc t="1" v="18696"/>
    </bk>
    <bk>
      <rc t="1" v="18697"/>
    </bk>
    <bk>
      <rc t="1" v="18698"/>
    </bk>
    <bk>
      <rc t="1" v="18699"/>
    </bk>
    <bk>
      <rc t="1" v="18700"/>
    </bk>
    <bk>
      <rc t="1" v="18701"/>
    </bk>
    <bk>
      <rc t="1" v="18702"/>
    </bk>
    <bk>
      <rc t="1" v="18703"/>
    </bk>
    <bk>
      <rc t="1" v="18704"/>
    </bk>
    <bk>
      <rc t="1" v="18705"/>
    </bk>
    <bk>
      <rc t="1" v="18706"/>
    </bk>
    <bk>
      <rc t="1" v="18707"/>
    </bk>
    <bk>
      <rc t="1" v="18708"/>
    </bk>
    <bk>
      <rc t="1" v="18709"/>
    </bk>
    <bk>
      <rc t="1" v="18710"/>
    </bk>
    <bk>
      <rc t="1" v="18711"/>
    </bk>
    <bk>
      <rc t="1" v="18712"/>
    </bk>
    <bk>
      <rc t="1" v="18713"/>
    </bk>
    <bk>
      <rc t="1" v="18714"/>
    </bk>
    <bk>
      <rc t="1" v="18715"/>
    </bk>
    <bk>
      <rc t="1" v="18716"/>
    </bk>
    <bk>
      <rc t="1" v="18717"/>
    </bk>
    <bk>
      <rc t="1" v="18718"/>
    </bk>
    <bk>
      <rc t="1" v="18719"/>
    </bk>
    <bk>
      <rc t="1" v="18720"/>
    </bk>
    <bk>
      <rc t="1" v="18721"/>
    </bk>
    <bk>
      <rc t="1" v="18722"/>
    </bk>
    <bk>
      <rc t="1" v="18723"/>
    </bk>
    <bk>
      <rc t="1" v="18724"/>
    </bk>
    <bk>
      <rc t="1" v="18725"/>
    </bk>
    <bk>
      <rc t="1" v="18726"/>
    </bk>
    <bk>
      <rc t="1" v="18727"/>
    </bk>
    <bk>
      <rc t="1" v="18728"/>
    </bk>
    <bk>
      <rc t="1" v="18729"/>
    </bk>
    <bk>
      <rc t="1" v="18730"/>
    </bk>
    <bk>
      <rc t="1" v="18731"/>
    </bk>
    <bk>
      <rc t="1" v="18732"/>
    </bk>
    <bk>
      <rc t="1" v="18733"/>
    </bk>
    <bk>
      <rc t="1" v="18734"/>
    </bk>
    <bk>
      <rc t="1" v="18735"/>
    </bk>
    <bk>
      <rc t="1" v="18736"/>
    </bk>
    <bk>
      <rc t="1" v="18737"/>
    </bk>
    <bk>
      <rc t="1" v="18738"/>
    </bk>
    <bk>
      <rc t="1" v="18739"/>
    </bk>
    <bk>
      <rc t="1" v="18740"/>
    </bk>
    <bk>
      <rc t="1" v="18741"/>
    </bk>
    <bk>
      <rc t="1" v="18742"/>
    </bk>
    <bk>
      <rc t="1" v="18743"/>
    </bk>
    <bk>
      <rc t="1" v="18744"/>
    </bk>
    <bk>
      <rc t="1" v="18745"/>
    </bk>
    <bk>
      <rc t="1" v="18746"/>
    </bk>
    <bk>
      <rc t="1" v="18747"/>
    </bk>
    <bk>
      <rc t="1" v="18748"/>
    </bk>
    <bk>
      <rc t="1" v="18749"/>
    </bk>
    <bk>
      <rc t="1" v="18750"/>
    </bk>
    <bk>
      <rc t="1" v="18751"/>
    </bk>
    <bk>
      <rc t="1" v="18752"/>
    </bk>
    <bk>
      <rc t="1" v="18753"/>
    </bk>
    <bk>
      <rc t="1" v="18754"/>
    </bk>
    <bk>
      <rc t="1" v="18755"/>
    </bk>
    <bk>
      <rc t="1" v="18756"/>
    </bk>
    <bk>
      <rc t="1" v="18757"/>
    </bk>
    <bk>
      <rc t="1" v="18758"/>
    </bk>
    <bk>
      <rc t="1" v="18759"/>
    </bk>
    <bk>
      <rc t="1" v="18760"/>
    </bk>
    <bk>
      <rc t="1" v="18761"/>
    </bk>
    <bk>
      <rc t="1" v="18762"/>
    </bk>
    <bk>
      <rc t="1" v="18763"/>
    </bk>
    <bk>
      <rc t="1" v="18764"/>
    </bk>
    <bk>
      <rc t="1" v="18765"/>
    </bk>
    <bk>
      <rc t="1" v="18766"/>
    </bk>
    <bk>
      <rc t="1" v="18767"/>
    </bk>
    <bk>
      <rc t="1" v="18768"/>
    </bk>
    <bk>
      <rc t="1" v="18769"/>
    </bk>
    <bk>
      <rc t="1" v="18770"/>
    </bk>
    <bk>
      <rc t="1" v="18771"/>
    </bk>
    <bk>
      <rc t="1" v="18772"/>
    </bk>
    <bk>
      <rc t="1" v="18773"/>
    </bk>
    <bk>
      <rc t="1" v="18774"/>
    </bk>
    <bk>
      <rc t="1" v="18775"/>
    </bk>
    <bk>
      <rc t="1" v="18776"/>
    </bk>
    <bk>
      <rc t="1" v="18777"/>
    </bk>
    <bk>
      <rc t="1" v="18778"/>
    </bk>
    <bk>
      <rc t="1" v="18779"/>
    </bk>
    <bk>
      <rc t="1" v="18780"/>
    </bk>
    <bk>
      <rc t="1" v="18781"/>
    </bk>
    <bk>
      <rc t="1" v="18782"/>
    </bk>
    <bk>
      <rc t="1" v="18783"/>
    </bk>
    <bk>
      <rc t="1" v="18784"/>
    </bk>
    <bk>
      <rc t="1" v="18785"/>
    </bk>
    <bk>
      <rc t="1" v="18786"/>
    </bk>
    <bk>
      <rc t="1" v="18787"/>
    </bk>
    <bk>
      <rc t="1" v="18788"/>
    </bk>
    <bk>
      <rc t="1" v="18789"/>
    </bk>
    <bk>
      <rc t="1" v="18790"/>
    </bk>
    <bk>
      <rc t="1" v="18791"/>
    </bk>
    <bk>
      <rc t="1" v="18792"/>
    </bk>
    <bk>
      <rc t="1" v="18793"/>
    </bk>
    <bk>
      <rc t="1" v="18794"/>
    </bk>
    <bk>
      <rc t="1" v="18795"/>
    </bk>
    <bk>
      <rc t="1" v="18796"/>
    </bk>
    <bk>
      <rc t="1" v="18797"/>
    </bk>
    <bk>
      <rc t="1" v="18798"/>
    </bk>
    <bk>
      <rc t="1" v="18799"/>
    </bk>
    <bk>
      <rc t="1" v="18800"/>
    </bk>
    <bk>
      <rc t="1" v="18801"/>
    </bk>
    <bk>
      <rc t="1" v="18802"/>
    </bk>
    <bk>
      <rc t="1" v="18803"/>
    </bk>
    <bk>
      <rc t="1" v="18804"/>
    </bk>
    <bk>
      <rc t="1" v="18805"/>
    </bk>
    <bk>
      <rc t="1" v="18806"/>
    </bk>
    <bk>
      <rc t="1" v="18807"/>
    </bk>
    <bk>
      <rc t="1" v="18808"/>
    </bk>
    <bk>
      <rc t="1" v="18809"/>
    </bk>
    <bk>
      <rc t="1" v="18810"/>
    </bk>
    <bk>
      <rc t="1" v="18811"/>
    </bk>
    <bk>
      <rc t="1" v="18812"/>
    </bk>
    <bk>
      <rc t="1" v="18813"/>
    </bk>
    <bk>
      <rc t="1" v="18814"/>
    </bk>
    <bk>
      <rc t="1" v="18815"/>
    </bk>
    <bk>
      <rc t="1" v="18816"/>
    </bk>
    <bk>
      <rc t="1" v="18817"/>
    </bk>
    <bk>
      <rc t="1" v="18818"/>
    </bk>
    <bk>
      <rc t="1" v="18819"/>
    </bk>
    <bk>
      <rc t="1" v="18820"/>
    </bk>
    <bk>
      <rc t="1" v="18821"/>
    </bk>
    <bk>
      <rc t="1" v="18822"/>
    </bk>
    <bk>
      <rc t="1" v="18823"/>
    </bk>
    <bk>
      <rc t="1" v="18824"/>
    </bk>
    <bk>
      <rc t="1" v="18825"/>
    </bk>
    <bk>
      <rc t="1" v="18826"/>
    </bk>
    <bk>
      <rc t="1" v="18827"/>
    </bk>
    <bk>
      <rc t="1" v="18828"/>
    </bk>
    <bk>
      <rc t="1" v="18829"/>
    </bk>
    <bk>
      <rc t="1" v="18830"/>
    </bk>
    <bk>
      <rc t="1" v="18831"/>
    </bk>
    <bk>
      <rc t="1" v="18832"/>
    </bk>
    <bk>
      <rc t="1" v="18833"/>
    </bk>
    <bk>
      <rc t="1" v="18834"/>
    </bk>
    <bk>
      <rc t="1" v="18835"/>
    </bk>
    <bk>
      <rc t="1" v="18836"/>
    </bk>
    <bk>
      <rc t="1" v="18837"/>
    </bk>
    <bk>
      <rc t="1" v="18838"/>
    </bk>
    <bk>
      <rc t="1" v="18839"/>
    </bk>
    <bk>
      <rc t="1" v="18840"/>
    </bk>
    <bk>
      <rc t="1" v="18841"/>
    </bk>
    <bk>
      <rc t="1" v="18842"/>
    </bk>
    <bk>
      <rc t="1" v="18843"/>
    </bk>
    <bk>
      <rc t="1" v="18844"/>
    </bk>
    <bk>
      <rc t="1" v="18845"/>
    </bk>
    <bk>
      <rc t="1" v="18846"/>
    </bk>
    <bk>
      <rc t="1" v="18847"/>
    </bk>
    <bk>
      <rc t="1" v="18848"/>
    </bk>
    <bk>
      <rc t="1" v="18849"/>
    </bk>
    <bk>
      <rc t="1" v="18850"/>
    </bk>
    <bk>
      <rc t="1" v="18851"/>
    </bk>
    <bk>
      <rc t="1" v="18852"/>
    </bk>
    <bk>
      <rc t="1" v="18853"/>
    </bk>
    <bk>
      <rc t="1" v="18854"/>
    </bk>
    <bk>
      <rc t="1" v="18855"/>
    </bk>
    <bk>
      <rc t="1" v="18856"/>
    </bk>
    <bk>
      <rc t="1" v="18857"/>
    </bk>
    <bk>
      <rc t="1" v="18858"/>
    </bk>
    <bk>
      <rc t="1" v="18859"/>
    </bk>
    <bk>
      <rc t="1" v="18860"/>
    </bk>
    <bk>
      <rc t="1" v="18861"/>
    </bk>
    <bk>
      <rc t="1" v="18862"/>
    </bk>
    <bk>
      <rc t="1" v="18863"/>
    </bk>
    <bk>
      <rc t="1" v="18864"/>
    </bk>
    <bk>
      <rc t="1" v="18865"/>
    </bk>
    <bk>
      <rc t="1" v="18866"/>
    </bk>
    <bk>
      <rc t="1" v="18867"/>
    </bk>
    <bk>
      <rc t="1" v="18868"/>
    </bk>
    <bk>
      <rc t="1" v="18869"/>
    </bk>
    <bk>
      <rc t="1" v="18870"/>
    </bk>
    <bk>
      <rc t="1" v="18871"/>
    </bk>
    <bk>
      <rc t="1" v="18872"/>
    </bk>
    <bk>
      <rc t="1" v="18873"/>
    </bk>
    <bk>
      <rc t="1" v="18874"/>
    </bk>
    <bk>
      <rc t="1" v="18875"/>
    </bk>
    <bk>
      <rc t="1" v="18876"/>
    </bk>
    <bk>
      <rc t="1" v="18877"/>
    </bk>
    <bk>
      <rc t="1" v="18878"/>
    </bk>
    <bk>
      <rc t="1" v="18879"/>
    </bk>
    <bk>
      <rc t="1" v="18880"/>
    </bk>
    <bk>
      <rc t="1" v="18881"/>
    </bk>
    <bk>
      <rc t="1" v="18882"/>
    </bk>
    <bk>
      <rc t="1" v="18883"/>
    </bk>
    <bk>
      <rc t="1" v="18884"/>
    </bk>
    <bk>
      <rc t="1" v="18885"/>
    </bk>
    <bk>
      <rc t="1" v="18886"/>
    </bk>
    <bk>
      <rc t="1" v="18887"/>
    </bk>
    <bk>
      <rc t="1" v="18888"/>
    </bk>
    <bk>
      <rc t="1" v="18889"/>
    </bk>
    <bk>
      <rc t="1" v="18890"/>
    </bk>
    <bk>
      <rc t="1" v="18891"/>
    </bk>
    <bk>
      <rc t="1" v="18892"/>
    </bk>
    <bk>
      <rc t="1" v="18893"/>
    </bk>
    <bk>
      <rc t="1" v="18894"/>
    </bk>
    <bk>
      <rc t="1" v="18895"/>
    </bk>
    <bk>
      <rc t="1" v="18896"/>
    </bk>
    <bk>
      <rc t="1" v="18897"/>
    </bk>
    <bk>
      <rc t="1" v="18898"/>
    </bk>
    <bk>
      <rc t="1" v="18899"/>
    </bk>
    <bk>
      <rc t="1" v="18900"/>
    </bk>
    <bk>
      <rc t="1" v="18901"/>
    </bk>
    <bk>
      <rc t="1" v="18902"/>
    </bk>
    <bk>
      <rc t="1" v="18903"/>
    </bk>
    <bk>
      <rc t="1" v="18904"/>
    </bk>
    <bk>
      <rc t="1" v="18905"/>
    </bk>
    <bk>
      <rc t="1" v="18906"/>
    </bk>
    <bk>
      <rc t="1" v="18907"/>
    </bk>
    <bk>
      <rc t="1" v="18908"/>
    </bk>
    <bk>
      <rc t="1" v="18909"/>
    </bk>
    <bk>
      <rc t="1" v="18910"/>
    </bk>
    <bk>
      <rc t="1" v="18911"/>
    </bk>
    <bk>
      <rc t="1" v="18912"/>
    </bk>
    <bk>
      <rc t="1" v="18913"/>
    </bk>
    <bk>
      <rc t="1" v="18914"/>
    </bk>
    <bk>
      <rc t="1" v="18915"/>
    </bk>
    <bk>
      <rc t="1" v="18916"/>
    </bk>
    <bk>
      <rc t="1" v="18917"/>
    </bk>
    <bk>
      <rc t="1" v="18918"/>
    </bk>
    <bk>
      <rc t="1" v="18919"/>
    </bk>
    <bk>
      <rc t="1" v="18920"/>
    </bk>
    <bk>
      <rc t="1" v="18921"/>
    </bk>
    <bk>
      <rc t="1" v="18922"/>
    </bk>
    <bk>
      <rc t="1" v="18923"/>
    </bk>
    <bk>
      <rc t="1" v="18924"/>
    </bk>
    <bk>
      <rc t="1" v="18925"/>
    </bk>
    <bk>
      <rc t="1" v="18926"/>
    </bk>
    <bk>
      <rc t="1" v="18927"/>
    </bk>
    <bk>
      <rc t="1" v="18928"/>
    </bk>
    <bk>
      <rc t="1" v="18929"/>
    </bk>
    <bk>
      <rc t="1" v="18930"/>
    </bk>
    <bk>
      <rc t="1" v="18931"/>
    </bk>
    <bk>
      <rc t="1" v="18932"/>
    </bk>
    <bk>
      <rc t="1" v="18933"/>
    </bk>
    <bk>
      <rc t="1" v="18934"/>
    </bk>
    <bk>
      <rc t="1" v="18935"/>
    </bk>
    <bk>
      <rc t="1" v="18936"/>
    </bk>
    <bk>
      <rc t="1" v="18937"/>
    </bk>
    <bk>
      <rc t="1" v="18938"/>
    </bk>
    <bk>
      <rc t="1" v="18939"/>
    </bk>
    <bk>
      <rc t="1" v="18940"/>
    </bk>
    <bk>
      <rc t="1" v="18941"/>
    </bk>
    <bk>
      <rc t="1" v="18942"/>
    </bk>
    <bk>
      <rc t="1" v="18943"/>
    </bk>
    <bk>
      <rc t="1" v="18944"/>
    </bk>
    <bk>
      <rc t="1" v="18945"/>
    </bk>
    <bk>
      <rc t="1" v="18946"/>
    </bk>
    <bk>
      <rc t="1" v="18947"/>
    </bk>
    <bk>
      <rc t="1" v="18948"/>
    </bk>
    <bk>
      <rc t="1" v="18949"/>
    </bk>
    <bk>
      <rc t="1" v="18950"/>
    </bk>
    <bk>
      <rc t="1" v="18951"/>
    </bk>
    <bk>
      <rc t="1" v="18952"/>
    </bk>
    <bk>
      <rc t="1" v="18953"/>
    </bk>
    <bk>
      <rc t="1" v="18954"/>
    </bk>
    <bk>
      <rc t="1" v="18955"/>
    </bk>
    <bk>
      <rc t="1" v="18956"/>
    </bk>
    <bk>
      <rc t="1" v="18957"/>
    </bk>
    <bk>
      <rc t="1" v="18958"/>
    </bk>
    <bk>
      <rc t="1" v="18959"/>
    </bk>
    <bk>
      <rc t="1" v="18960"/>
    </bk>
    <bk>
      <rc t="1" v="18961"/>
    </bk>
    <bk>
      <rc t="1" v="18962"/>
    </bk>
    <bk>
      <rc t="1" v="18963"/>
    </bk>
    <bk>
      <rc t="1" v="18964"/>
    </bk>
    <bk>
      <rc t="1" v="18965"/>
    </bk>
    <bk>
      <rc t="1" v="18966"/>
    </bk>
    <bk>
      <rc t="1" v="18967"/>
    </bk>
    <bk>
      <rc t="1" v="18968"/>
    </bk>
    <bk>
      <rc t="1" v="18969"/>
    </bk>
    <bk>
      <rc t="1" v="18970"/>
    </bk>
    <bk>
      <rc t="1" v="18971"/>
    </bk>
    <bk>
      <rc t="1" v="18972"/>
    </bk>
    <bk>
      <rc t="1" v="18973"/>
    </bk>
    <bk>
      <rc t="1" v="18974"/>
    </bk>
    <bk>
      <rc t="1" v="18975"/>
    </bk>
    <bk>
      <rc t="1" v="18976"/>
    </bk>
    <bk>
      <rc t="1" v="18977"/>
    </bk>
    <bk>
      <rc t="1" v="18978"/>
    </bk>
    <bk>
      <rc t="1" v="18979"/>
    </bk>
    <bk>
      <rc t="1" v="18980"/>
    </bk>
    <bk>
      <rc t="1" v="18981"/>
    </bk>
    <bk>
      <rc t="1" v="18982"/>
    </bk>
    <bk>
      <rc t="1" v="18983"/>
    </bk>
    <bk>
      <rc t="1" v="18984"/>
    </bk>
    <bk>
      <rc t="1" v="18985"/>
    </bk>
    <bk>
      <rc t="1" v="18986"/>
    </bk>
    <bk>
      <rc t="1" v="18987"/>
    </bk>
    <bk>
      <rc t="1" v="18988"/>
    </bk>
    <bk>
      <rc t="1" v="18989"/>
    </bk>
    <bk>
      <rc t="1" v="18990"/>
    </bk>
    <bk>
      <rc t="1" v="18991"/>
    </bk>
    <bk>
      <rc t="1" v="18992"/>
    </bk>
    <bk>
      <rc t="1" v="18993"/>
    </bk>
    <bk>
      <rc t="1" v="18994"/>
    </bk>
    <bk>
      <rc t="1" v="18995"/>
    </bk>
    <bk>
      <rc t="1" v="18996"/>
    </bk>
    <bk>
      <rc t="1" v="18997"/>
    </bk>
    <bk>
      <rc t="1" v="18998"/>
    </bk>
    <bk>
      <rc t="1" v="18999"/>
    </bk>
    <bk>
      <rc t="1" v="19000"/>
    </bk>
    <bk>
      <rc t="1" v="19001"/>
    </bk>
    <bk>
      <rc t="1" v="19002"/>
    </bk>
    <bk>
      <rc t="1" v="19003"/>
    </bk>
    <bk>
      <rc t="1" v="19004"/>
    </bk>
    <bk>
      <rc t="1" v="19005"/>
    </bk>
    <bk>
      <rc t="1" v="19006"/>
    </bk>
    <bk>
      <rc t="1" v="19007"/>
    </bk>
    <bk>
      <rc t="1" v="19008"/>
    </bk>
    <bk>
      <rc t="1" v="19009"/>
    </bk>
    <bk>
      <rc t="1" v="19010"/>
    </bk>
    <bk>
      <rc t="1" v="19011"/>
    </bk>
    <bk>
      <rc t="1" v="19012"/>
    </bk>
    <bk>
      <rc t="1" v="19013"/>
    </bk>
    <bk>
      <rc t="1" v="19014"/>
    </bk>
    <bk>
      <rc t="1" v="19015"/>
    </bk>
    <bk>
      <rc t="1" v="19016"/>
    </bk>
    <bk>
      <rc t="1" v="19017"/>
    </bk>
    <bk>
      <rc t="1" v="19018"/>
    </bk>
    <bk>
      <rc t="1" v="19019"/>
    </bk>
    <bk>
      <rc t="1" v="19020"/>
    </bk>
    <bk>
      <rc t="1" v="19021"/>
    </bk>
    <bk>
      <rc t="1" v="19022"/>
    </bk>
    <bk>
      <rc t="1" v="19023"/>
    </bk>
    <bk>
      <rc t="1" v="19024"/>
    </bk>
    <bk>
      <rc t="1" v="19025"/>
    </bk>
    <bk>
      <rc t="1" v="19026"/>
    </bk>
    <bk>
      <rc t="1" v="19027"/>
    </bk>
    <bk>
      <rc t="1" v="19028"/>
    </bk>
    <bk>
      <rc t="1" v="19029"/>
    </bk>
    <bk>
      <rc t="1" v="19030"/>
    </bk>
    <bk>
      <rc t="1" v="19031"/>
    </bk>
    <bk>
      <rc t="1" v="19032"/>
    </bk>
    <bk>
      <rc t="1" v="19033"/>
    </bk>
    <bk>
      <rc t="1" v="19034"/>
    </bk>
    <bk>
      <rc t="1" v="19035"/>
    </bk>
    <bk>
      <rc t="1" v="19036"/>
    </bk>
    <bk>
      <rc t="1" v="19037"/>
    </bk>
    <bk>
      <rc t="1" v="19038"/>
    </bk>
    <bk>
      <rc t="1" v="19039"/>
    </bk>
    <bk>
      <rc t="1" v="19040"/>
    </bk>
    <bk>
      <rc t="1" v="19041"/>
    </bk>
    <bk>
      <rc t="1" v="19042"/>
    </bk>
    <bk>
      <rc t="1" v="19043"/>
    </bk>
    <bk>
      <rc t="1" v="19044"/>
    </bk>
    <bk>
      <rc t="1" v="19045"/>
    </bk>
    <bk>
      <rc t="1" v="19046"/>
    </bk>
    <bk>
      <rc t="1" v="19047"/>
    </bk>
    <bk>
      <rc t="1" v="19048"/>
    </bk>
    <bk>
      <rc t="1" v="19049"/>
    </bk>
    <bk>
      <rc t="1" v="19050"/>
    </bk>
    <bk>
      <rc t="1" v="19051"/>
    </bk>
    <bk>
      <rc t="1" v="19052"/>
    </bk>
    <bk>
      <rc t="1" v="19053"/>
    </bk>
    <bk>
      <rc t="1" v="19054"/>
    </bk>
    <bk>
      <rc t="1" v="19055"/>
    </bk>
    <bk>
      <rc t="1" v="19056"/>
    </bk>
    <bk>
      <rc t="1" v="19057"/>
    </bk>
    <bk>
      <rc t="1" v="19058"/>
    </bk>
    <bk>
      <rc t="1" v="19059"/>
    </bk>
    <bk>
      <rc t="1" v="19060"/>
    </bk>
    <bk>
      <rc t="1" v="19061"/>
    </bk>
    <bk>
      <rc t="1" v="19062"/>
    </bk>
    <bk>
      <rc t="1" v="19063"/>
    </bk>
    <bk>
      <rc t="1" v="19064"/>
    </bk>
    <bk>
      <rc t="1" v="19065"/>
    </bk>
    <bk>
      <rc t="1" v="19066"/>
    </bk>
    <bk>
      <rc t="1" v="19067"/>
    </bk>
    <bk>
      <rc t="1" v="19068"/>
    </bk>
    <bk>
      <rc t="1" v="19069"/>
    </bk>
    <bk>
      <rc t="1" v="19070"/>
    </bk>
    <bk>
      <rc t="1" v="19071"/>
    </bk>
    <bk>
      <rc t="1" v="19072"/>
    </bk>
    <bk>
      <rc t="1" v="19073"/>
    </bk>
    <bk>
      <rc t="1" v="19074"/>
    </bk>
    <bk>
      <rc t="1" v="19075"/>
    </bk>
    <bk>
      <rc t="1" v="19076"/>
    </bk>
    <bk>
      <rc t="1" v="19077"/>
    </bk>
    <bk>
      <rc t="1" v="19078"/>
    </bk>
    <bk>
      <rc t="1" v="19079"/>
    </bk>
    <bk>
      <rc t="1" v="19080"/>
    </bk>
    <bk>
      <rc t="1" v="19081"/>
    </bk>
    <bk>
      <rc t="1" v="19082"/>
    </bk>
    <bk>
      <rc t="1" v="19083"/>
    </bk>
    <bk>
      <rc t="1" v="19084"/>
    </bk>
    <bk>
      <rc t="1" v="19085"/>
    </bk>
    <bk>
      <rc t="1" v="19086"/>
    </bk>
    <bk>
      <rc t="1" v="19087"/>
    </bk>
    <bk>
      <rc t="1" v="19088"/>
    </bk>
    <bk>
      <rc t="1" v="19089"/>
    </bk>
    <bk>
      <rc t="1" v="19090"/>
    </bk>
    <bk>
      <rc t="1" v="19091"/>
    </bk>
    <bk>
      <rc t="1" v="19092"/>
    </bk>
    <bk>
      <rc t="1" v="19093"/>
    </bk>
    <bk>
      <rc t="1" v="19094"/>
    </bk>
    <bk>
      <rc t="1" v="19095"/>
    </bk>
    <bk>
      <rc t="1" v="19096"/>
    </bk>
    <bk>
      <rc t="1" v="19097"/>
    </bk>
    <bk>
      <rc t="1" v="19098"/>
    </bk>
    <bk>
      <rc t="1" v="19099"/>
    </bk>
    <bk>
      <rc t="1" v="19100"/>
    </bk>
    <bk>
      <rc t="1" v="19101"/>
    </bk>
    <bk>
      <rc t="1" v="19102"/>
    </bk>
    <bk>
      <rc t="1" v="19103"/>
    </bk>
    <bk>
      <rc t="1" v="19104"/>
    </bk>
    <bk>
      <rc t="1" v="19105"/>
    </bk>
    <bk>
      <rc t="1" v="19106"/>
    </bk>
    <bk>
      <rc t="1" v="19107"/>
    </bk>
    <bk>
      <rc t="1" v="19108"/>
    </bk>
    <bk>
      <rc t="1" v="19109"/>
    </bk>
    <bk>
      <rc t="1" v="19110"/>
    </bk>
    <bk>
      <rc t="1" v="19111"/>
    </bk>
    <bk>
      <rc t="1" v="19112"/>
    </bk>
    <bk>
      <rc t="1" v="19113"/>
    </bk>
    <bk>
      <rc t="1" v="19114"/>
    </bk>
    <bk>
      <rc t="1" v="19115"/>
    </bk>
    <bk>
      <rc t="1" v="19116"/>
    </bk>
    <bk>
      <rc t="1" v="19117"/>
    </bk>
    <bk>
      <rc t="1" v="19118"/>
    </bk>
    <bk>
      <rc t="1" v="19119"/>
    </bk>
    <bk>
      <rc t="1" v="19120"/>
    </bk>
    <bk>
      <rc t="1" v="19121"/>
    </bk>
    <bk>
      <rc t="1" v="19122"/>
    </bk>
    <bk>
      <rc t="1" v="19123"/>
    </bk>
    <bk>
      <rc t="1" v="19124"/>
    </bk>
    <bk>
      <rc t="1" v="19125"/>
    </bk>
    <bk>
      <rc t="1" v="19126"/>
    </bk>
    <bk>
      <rc t="1" v="19127"/>
    </bk>
    <bk>
      <rc t="1" v="19128"/>
    </bk>
    <bk>
      <rc t="1" v="19129"/>
    </bk>
    <bk>
      <rc t="1" v="19130"/>
    </bk>
    <bk>
      <rc t="1" v="19131"/>
    </bk>
    <bk>
      <rc t="1" v="19132"/>
    </bk>
    <bk>
      <rc t="1" v="19133"/>
    </bk>
    <bk>
      <rc t="1" v="19134"/>
    </bk>
    <bk>
      <rc t="1" v="19135"/>
    </bk>
    <bk>
      <rc t="1" v="19136"/>
    </bk>
    <bk>
      <rc t="1" v="19137"/>
    </bk>
    <bk>
      <rc t="1" v="19138"/>
    </bk>
    <bk>
      <rc t="1" v="19139"/>
    </bk>
    <bk>
      <rc t="1" v="19140"/>
    </bk>
    <bk>
      <rc t="1" v="19141"/>
    </bk>
    <bk>
      <rc t="1" v="19142"/>
    </bk>
    <bk>
      <rc t="1" v="19143"/>
    </bk>
    <bk>
      <rc t="1" v="19144"/>
    </bk>
    <bk>
      <rc t="1" v="19145"/>
    </bk>
    <bk>
      <rc t="1" v="19146"/>
    </bk>
    <bk>
      <rc t="1" v="19147"/>
    </bk>
    <bk>
      <rc t="1" v="19148"/>
    </bk>
    <bk>
      <rc t="1" v="19149"/>
    </bk>
    <bk>
      <rc t="1" v="19150"/>
    </bk>
    <bk>
      <rc t="1" v="19151"/>
    </bk>
    <bk>
      <rc t="1" v="19152"/>
    </bk>
    <bk>
      <rc t="1" v="19153"/>
    </bk>
    <bk>
      <rc t="1" v="19154"/>
    </bk>
    <bk>
      <rc t="1" v="19155"/>
    </bk>
    <bk>
      <rc t="1" v="19156"/>
    </bk>
    <bk>
      <rc t="1" v="19157"/>
    </bk>
    <bk>
      <rc t="1" v="19158"/>
    </bk>
    <bk>
      <rc t="1" v="19159"/>
    </bk>
    <bk>
      <rc t="1" v="19160"/>
    </bk>
    <bk>
      <rc t="1" v="19161"/>
    </bk>
    <bk>
      <rc t="1" v="19162"/>
    </bk>
    <bk>
      <rc t="1" v="19163"/>
    </bk>
    <bk>
      <rc t="1" v="19164"/>
    </bk>
    <bk>
      <rc t="1" v="19165"/>
    </bk>
    <bk>
      <rc t="1" v="19166"/>
    </bk>
    <bk>
      <rc t="1" v="19167"/>
    </bk>
    <bk>
      <rc t="1" v="19168"/>
    </bk>
    <bk>
      <rc t="1" v="19169"/>
    </bk>
    <bk>
      <rc t="1" v="19170"/>
    </bk>
    <bk>
      <rc t="1" v="19171"/>
    </bk>
    <bk>
      <rc t="1" v="19172"/>
    </bk>
    <bk>
      <rc t="1" v="19173"/>
    </bk>
    <bk>
      <rc t="1" v="19174"/>
    </bk>
    <bk>
      <rc t="1" v="19175"/>
    </bk>
    <bk>
      <rc t="1" v="19176"/>
    </bk>
    <bk>
      <rc t="1" v="19177"/>
    </bk>
    <bk>
      <rc t="1" v="19178"/>
    </bk>
    <bk>
      <rc t="1" v="19179"/>
    </bk>
    <bk>
      <rc t="1" v="19180"/>
    </bk>
    <bk>
      <rc t="1" v="19181"/>
    </bk>
    <bk>
      <rc t="1" v="19182"/>
    </bk>
    <bk>
      <rc t="1" v="19183"/>
    </bk>
    <bk>
      <rc t="1" v="19184"/>
    </bk>
    <bk>
      <rc t="1" v="19185"/>
    </bk>
    <bk>
      <rc t="1" v="19186"/>
    </bk>
    <bk>
      <rc t="1" v="19187"/>
    </bk>
    <bk>
      <rc t="1" v="19188"/>
    </bk>
    <bk>
      <rc t="1" v="19189"/>
    </bk>
    <bk>
      <rc t="1" v="19190"/>
    </bk>
    <bk>
      <rc t="1" v="19191"/>
    </bk>
    <bk>
      <rc t="1" v="19192"/>
    </bk>
    <bk>
      <rc t="1" v="19193"/>
    </bk>
    <bk>
      <rc t="1" v="19194"/>
    </bk>
    <bk>
      <rc t="1" v="19195"/>
    </bk>
    <bk>
      <rc t="1" v="19196"/>
    </bk>
    <bk>
      <rc t="1" v="19197"/>
    </bk>
    <bk>
      <rc t="1" v="19198"/>
    </bk>
    <bk>
      <rc t="1" v="19199"/>
    </bk>
    <bk>
      <rc t="1" v="19200"/>
    </bk>
    <bk>
      <rc t="1" v="19201"/>
    </bk>
    <bk>
      <rc t="1" v="19202"/>
    </bk>
    <bk>
      <rc t="1" v="19203"/>
    </bk>
    <bk>
      <rc t="1" v="19204"/>
    </bk>
    <bk>
      <rc t="1" v="19205"/>
    </bk>
    <bk>
      <rc t="1" v="19206"/>
    </bk>
    <bk>
      <rc t="1" v="19207"/>
    </bk>
    <bk>
      <rc t="1" v="19208"/>
    </bk>
    <bk>
      <rc t="1" v="19209"/>
    </bk>
    <bk>
      <rc t="1" v="19210"/>
    </bk>
    <bk>
      <rc t="1" v="19211"/>
    </bk>
    <bk>
      <rc t="1" v="19212"/>
    </bk>
    <bk>
      <rc t="1" v="19213"/>
    </bk>
    <bk>
      <rc t="1" v="19214"/>
    </bk>
    <bk>
      <rc t="1" v="19215"/>
    </bk>
    <bk>
      <rc t="1" v="19216"/>
    </bk>
    <bk>
      <rc t="1" v="19217"/>
    </bk>
    <bk>
      <rc t="1" v="19218"/>
    </bk>
    <bk>
      <rc t="1" v="19219"/>
    </bk>
    <bk>
      <rc t="1" v="19220"/>
    </bk>
    <bk>
      <rc t="1" v="19221"/>
    </bk>
    <bk>
      <rc t="1" v="19222"/>
    </bk>
    <bk>
      <rc t="1" v="19223"/>
    </bk>
    <bk>
      <rc t="1" v="19224"/>
    </bk>
    <bk>
      <rc t="1" v="19225"/>
    </bk>
    <bk>
      <rc t="1" v="19226"/>
    </bk>
    <bk>
      <rc t="1" v="19227"/>
    </bk>
    <bk>
      <rc t="1" v="19228"/>
    </bk>
    <bk>
      <rc t="1" v="19229"/>
    </bk>
    <bk>
      <rc t="1" v="19230"/>
    </bk>
    <bk>
      <rc t="1" v="19231"/>
    </bk>
    <bk>
      <rc t="1" v="19232"/>
    </bk>
    <bk>
      <rc t="1" v="19233"/>
    </bk>
    <bk>
      <rc t="1" v="19234"/>
    </bk>
    <bk>
      <rc t="1" v="19235"/>
    </bk>
    <bk>
      <rc t="1" v="19236"/>
    </bk>
    <bk>
      <rc t="1" v="19237"/>
    </bk>
    <bk>
      <rc t="1" v="19238"/>
    </bk>
    <bk>
      <rc t="1" v="19239"/>
    </bk>
    <bk>
      <rc t="1" v="19240"/>
    </bk>
    <bk>
      <rc t="1" v="19241"/>
    </bk>
    <bk>
      <rc t="1" v="19242"/>
    </bk>
    <bk>
      <rc t="1" v="19243"/>
    </bk>
    <bk>
      <rc t="1" v="19244"/>
    </bk>
    <bk>
      <rc t="1" v="19245"/>
    </bk>
    <bk>
      <rc t="1" v="19246"/>
    </bk>
    <bk>
      <rc t="1" v="19247"/>
    </bk>
    <bk>
      <rc t="1" v="19248"/>
    </bk>
    <bk>
      <rc t="1" v="19249"/>
    </bk>
    <bk>
      <rc t="1" v="19250"/>
    </bk>
    <bk>
      <rc t="1" v="19251"/>
    </bk>
    <bk>
      <rc t="1" v="19252"/>
    </bk>
    <bk>
      <rc t="1" v="19253"/>
    </bk>
    <bk>
      <rc t="1" v="19254"/>
    </bk>
    <bk>
      <rc t="1" v="19255"/>
    </bk>
    <bk>
      <rc t="1" v="19256"/>
    </bk>
    <bk>
      <rc t="1" v="19257"/>
    </bk>
    <bk>
      <rc t="1" v="19258"/>
    </bk>
    <bk>
      <rc t="1" v="19259"/>
    </bk>
    <bk>
      <rc t="1" v="19260"/>
    </bk>
    <bk>
      <rc t="1" v="19261"/>
    </bk>
    <bk>
      <rc t="1" v="19262"/>
    </bk>
    <bk>
      <rc t="1" v="19263"/>
    </bk>
    <bk>
      <rc t="1" v="19264"/>
    </bk>
    <bk>
      <rc t="1" v="19265"/>
    </bk>
    <bk>
      <rc t="1" v="19266"/>
    </bk>
    <bk>
      <rc t="1" v="19267"/>
    </bk>
    <bk>
      <rc t="1" v="19268"/>
    </bk>
    <bk>
      <rc t="1" v="19269"/>
    </bk>
    <bk>
      <rc t="1" v="19270"/>
    </bk>
    <bk>
      <rc t="1" v="19271"/>
    </bk>
    <bk>
      <rc t="1" v="19272"/>
    </bk>
    <bk>
      <rc t="1" v="19273"/>
    </bk>
    <bk>
      <rc t="1" v="19274"/>
    </bk>
    <bk>
      <rc t="1" v="19275"/>
    </bk>
    <bk>
      <rc t="1" v="19276"/>
    </bk>
    <bk>
      <rc t="1" v="19277"/>
    </bk>
    <bk>
      <rc t="1" v="19278"/>
    </bk>
    <bk>
      <rc t="1" v="19279"/>
    </bk>
    <bk>
      <rc t="1" v="19280"/>
    </bk>
    <bk>
      <rc t="1" v="19281"/>
    </bk>
    <bk>
      <rc t="1" v="19282"/>
    </bk>
    <bk>
      <rc t="1" v="19283"/>
    </bk>
    <bk>
      <rc t="1" v="19284"/>
    </bk>
    <bk>
      <rc t="1" v="19285"/>
    </bk>
    <bk>
      <rc t="1" v="19286"/>
    </bk>
    <bk>
      <rc t="1" v="19287"/>
    </bk>
    <bk>
      <rc t="1" v="19288"/>
    </bk>
    <bk>
      <rc t="1" v="19289"/>
    </bk>
    <bk>
      <rc t="1" v="19290"/>
    </bk>
    <bk>
      <rc t="1" v="19291"/>
    </bk>
    <bk>
      <rc t="1" v="19292"/>
    </bk>
    <bk>
      <rc t="1" v="19293"/>
    </bk>
    <bk>
      <rc t="1" v="19294"/>
    </bk>
    <bk>
      <rc t="1" v="19295"/>
    </bk>
    <bk>
      <rc t="1" v="19296"/>
    </bk>
    <bk>
      <rc t="1" v="19297"/>
    </bk>
    <bk>
      <rc t="1" v="19298"/>
    </bk>
    <bk>
      <rc t="1" v="19299"/>
    </bk>
    <bk>
      <rc t="1" v="19300"/>
    </bk>
    <bk>
      <rc t="1" v="19301"/>
    </bk>
    <bk>
      <rc t="1" v="19302"/>
    </bk>
    <bk>
      <rc t="1" v="19303"/>
    </bk>
    <bk>
      <rc t="1" v="19304"/>
    </bk>
    <bk>
      <rc t="1" v="19305"/>
    </bk>
    <bk>
      <rc t="1" v="19306"/>
    </bk>
    <bk>
      <rc t="1" v="19307"/>
    </bk>
    <bk>
      <rc t="1" v="19308"/>
    </bk>
    <bk>
      <rc t="1" v="19309"/>
    </bk>
    <bk>
      <rc t="1" v="19310"/>
    </bk>
    <bk>
      <rc t="1" v="19311"/>
    </bk>
    <bk>
      <rc t="1" v="19312"/>
    </bk>
    <bk>
      <rc t="1" v="19313"/>
    </bk>
    <bk>
      <rc t="1" v="19314"/>
    </bk>
    <bk>
      <rc t="1" v="19315"/>
    </bk>
    <bk>
      <rc t="1" v="19316"/>
    </bk>
    <bk>
      <rc t="1" v="19317"/>
    </bk>
    <bk>
      <rc t="1" v="19318"/>
    </bk>
    <bk>
      <rc t="1" v="19319"/>
    </bk>
    <bk>
      <rc t="1" v="19320"/>
    </bk>
    <bk>
      <rc t="1" v="19321"/>
    </bk>
    <bk>
      <rc t="1" v="19322"/>
    </bk>
    <bk>
      <rc t="1" v="19323"/>
    </bk>
    <bk>
      <rc t="1" v="19324"/>
    </bk>
    <bk>
      <rc t="1" v="19325"/>
    </bk>
    <bk>
      <rc t="1" v="19326"/>
    </bk>
    <bk>
      <rc t="1" v="19327"/>
    </bk>
    <bk>
      <rc t="1" v="19328"/>
    </bk>
    <bk>
      <rc t="1" v="19329"/>
    </bk>
    <bk>
      <rc t="1" v="19330"/>
    </bk>
    <bk>
      <rc t="1" v="19331"/>
    </bk>
    <bk>
      <rc t="1" v="19332"/>
    </bk>
    <bk>
      <rc t="1" v="19333"/>
    </bk>
    <bk>
      <rc t="1" v="19334"/>
    </bk>
    <bk>
      <rc t="1" v="19335"/>
    </bk>
    <bk>
      <rc t="1" v="19336"/>
    </bk>
    <bk>
      <rc t="1" v="19337"/>
    </bk>
    <bk>
      <rc t="1" v="19338"/>
    </bk>
    <bk>
      <rc t="1" v="19339"/>
    </bk>
    <bk>
      <rc t="1" v="19340"/>
    </bk>
    <bk>
      <rc t="1" v="19341"/>
    </bk>
    <bk>
      <rc t="1" v="19342"/>
    </bk>
    <bk>
      <rc t="1" v="19343"/>
    </bk>
    <bk>
      <rc t="1" v="19344"/>
    </bk>
    <bk>
      <rc t="1" v="19345"/>
    </bk>
    <bk>
      <rc t="1" v="19346"/>
    </bk>
    <bk>
      <rc t="1" v="19347"/>
    </bk>
    <bk>
      <rc t="1" v="19348"/>
    </bk>
    <bk>
      <rc t="1" v="19349"/>
    </bk>
    <bk>
      <rc t="1" v="19350"/>
    </bk>
    <bk>
      <rc t="1" v="19351"/>
    </bk>
    <bk>
      <rc t="1" v="19352"/>
    </bk>
    <bk>
      <rc t="1" v="19353"/>
    </bk>
    <bk>
      <rc t="1" v="19354"/>
    </bk>
    <bk>
      <rc t="1" v="19355"/>
    </bk>
    <bk>
      <rc t="1" v="19356"/>
    </bk>
    <bk>
      <rc t="1" v="19357"/>
    </bk>
    <bk>
      <rc t="1" v="19358"/>
    </bk>
    <bk>
      <rc t="1" v="19359"/>
    </bk>
    <bk>
      <rc t="1" v="19360"/>
    </bk>
    <bk>
      <rc t="1" v="19361"/>
    </bk>
    <bk>
      <rc t="1" v="19362"/>
    </bk>
    <bk>
      <rc t="1" v="19363"/>
    </bk>
    <bk>
      <rc t="1" v="19364"/>
    </bk>
    <bk>
      <rc t="1" v="19365"/>
    </bk>
    <bk>
      <rc t="1" v="19366"/>
    </bk>
    <bk>
      <rc t="1" v="19367"/>
    </bk>
    <bk>
      <rc t="1" v="19368"/>
    </bk>
    <bk>
      <rc t="1" v="19369"/>
    </bk>
    <bk>
      <rc t="1" v="19370"/>
    </bk>
    <bk>
      <rc t="1" v="19371"/>
    </bk>
    <bk>
      <rc t="1" v="19372"/>
    </bk>
    <bk>
      <rc t="1" v="19373"/>
    </bk>
    <bk>
      <rc t="1" v="19374"/>
    </bk>
    <bk>
      <rc t="1" v="19375"/>
    </bk>
    <bk>
      <rc t="1" v="19376"/>
    </bk>
    <bk>
      <rc t="1" v="19377"/>
    </bk>
    <bk>
      <rc t="1" v="19378"/>
    </bk>
    <bk>
      <rc t="1" v="19379"/>
    </bk>
    <bk>
      <rc t="1" v="19380"/>
    </bk>
    <bk>
      <rc t="1" v="19381"/>
    </bk>
    <bk>
      <rc t="1" v="19382"/>
    </bk>
    <bk>
      <rc t="1" v="19383"/>
    </bk>
    <bk>
      <rc t="1" v="19384"/>
    </bk>
    <bk>
      <rc t="1" v="19385"/>
    </bk>
    <bk>
      <rc t="1" v="19386"/>
    </bk>
    <bk>
      <rc t="1" v="19387"/>
    </bk>
    <bk>
      <rc t="1" v="19388"/>
    </bk>
    <bk>
      <rc t="1" v="19389"/>
    </bk>
    <bk>
      <rc t="1" v="19390"/>
    </bk>
    <bk>
      <rc t="1" v="19391"/>
    </bk>
    <bk>
      <rc t="1" v="19392"/>
    </bk>
    <bk>
      <rc t="1" v="19393"/>
    </bk>
    <bk>
      <rc t="1" v="19394"/>
    </bk>
    <bk>
      <rc t="1" v="19395"/>
    </bk>
    <bk>
      <rc t="1" v="19396"/>
    </bk>
    <bk>
      <rc t="1" v="19397"/>
    </bk>
    <bk>
      <rc t="1" v="19398"/>
    </bk>
    <bk>
      <rc t="1" v="19399"/>
    </bk>
    <bk>
      <rc t="1" v="19400"/>
    </bk>
    <bk>
      <rc t="1" v="19401"/>
    </bk>
    <bk>
      <rc t="1" v="19402"/>
    </bk>
    <bk>
      <rc t="1" v="19403"/>
    </bk>
    <bk>
      <rc t="1" v="19404"/>
    </bk>
    <bk>
      <rc t="1" v="19405"/>
    </bk>
    <bk>
      <rc t="1" v="19406"/>
    </bk>
    <bk>
      <rc t="1" v="19407"/>
    </bk>
    <bk>
      <rc t="1" v="19408"/>
    </bk>
    <bk>
      <rc t="1" v="19409"/>
    </bk>
    <bk>
      <rc t="1" v="19410"/>
    </bk>
    <bk>
      <rc t="1" v="19411"/>
    </bk>
    <bk>
      <rc t="1" v="19412"/>
    </bk>
    <bk>
      <rc t="1" v="19413"/>
    </bk>
    <bk>
      <rc t="1" v="19414"/>
    </bk>
    <bk>
      <rc t="1" v="19415"/>
    </bk>
    <bk>
      <rc t="1" v="19416"/>
    </bk>
    <bk>
      <rc t="1" v="19417"/>
    </bk>
    <bk>
      <rc t="1" v="19418"/>
    </bk>
    <bk>
      <rc t="1" v="19419"/>
    </bk>
    <bk>
      <rc t="1" v="19420"/>
    </bk>
    <bk>
      <rc t="1" v="19421"/>
    </bk>
    <bk>
      <rc t="1" v="19422"/>
    </bk>
    <bk>
      <rc t="1" v="19423"/>
    </bk>
    <bk>
      <rc t="1" v="19424"/>
    </bk>
    <bk>
      <rc t="1" v="19425"/>
    </bk>
    <bk>
      <rc t="1" v="19426"/>
    </bk>
    <bk>
      <rc t="1" v="19427"/>
    </bk>
    <bk>
      <rc t="1" v="19428"/>
    </bk>
    <bk>
      <rc t="1" v="19429"/>
    </bk>
    <bk>
      <rc t="1" v="19430"/>
    </bk>
    <bk>
      <rc t="1" v="19431"/>
    </bk>
    <bk>
      <rc t="1" v="19432"/>
    </bk>
    <bk>
      <rc t="1" v="19433"/>
    </bk>
    <bk>
      <rc t="1" v="19434"/>
    </bk>
    <bk>
      <rc t="1" v="19435"/>
    </bk>
    <bk>
      <rc t="1" v="19436"/>
    </bk>
    <bk>
      <rc t="1" v="19437"/>
    </bk>
    <bk>
      <rc t="1" v="19438"/>
    </bk>
    <bk>
      <rc t="1" v="19439"/>
    </bk>
    <bk>
      <rc t="1" v="19440"/>
    </bk>
    <bk>
      <rc t="1" v="19441"/>
    </bk>
    <bk>
      <rc t="1" v="19442"/>
    </bk>
    <bk>
      <rc t="1" v="19443"/>
    </bk>
    <bk>
      <rc t="1" v="19444"/>
    </bk>
    <bk>
      <rc t="1" v="19445"/>
    </bk>
    <bk>
      <rc t="1" v="19446"/>
    </bk>
    <bk>
      <rc t="1" v="19447"/>
    </bk>
    <bk>
      <rc t="1" v="19448"/>
    </bk>
    <bk>
      <rc t="1" v="19449"/>
    </bk>
    <bk>
      <rc t="1" v="19450"/>
    </bk>
    <bk>
      <rc t="1" v="19451"/>
    </bk>
    <bk>
      <rc t="1" v="19452"/>
    </bk>
    <bk>
      <rc t="1" v="19453"/>
    </bk>
    <bk>
      <rc t="1" v="19454"/>
    </bk>
    <bk>
      <rc t="1" v="19455"/>
    </bk>
    <bk>
      <rc t="1" v="19456"/>
    </bk>
    <bk>
      <rc t="1" v="19457"/>
    </bk>
    <bk>
      <rc t="1" v="19458"/>
    </bk>
    <bk>
      <rc t="1" v="19459"/>
    </bk>
    <bk>
      <rc t="1" v="19460"/>
    </bk>
    <bk>
      <rc t="1" v="19461"/>
    </bk>
    <bk>
      <rc t="1" v="19462"/>
    </bk>
    <bk>
      <rc t="1" v="19463"/>
    </bk>
    <bk>
      <rc t="1" v="19464"/>
    </bk>
    <bk>
      <rc t="1" v="19465"/>
    </bk>
    <bk>
      <rc t="1" v="19466"/>
    </bk>
    <bk>
      <rc t="1" v="19467"/>
    </bk>
    <bk>
      <rc t="1" v="19468"/>
    </bk>
    <bk>
      <rc t="1" v="19469"/>
    </bk>
    <bk>
      <rc t="1" v="19470"/>
    </bk>
    <bk>
      <rc t="1" v="19471"/>
    </bk>
    <bk>
      <rc t="1" v="19472"/>
    </bk>
    <bk>
      <rc t="1" v="19473"/>
    </bk>
    <bk>
      <rc t="1" v="19474"/>
    </bk>
    <bk>
      <rc t="1" v="19475"/>
    </bk>
    <bk>
      <rc t="1" v="19476"/>
    </bk>
    <bk>
      <rc t="1" v="19477"/>
    </bk>
    <bk>
      <rc t="1" v="19478"/>
    </bk>
    <bk>
      <rc t="1" v="19479"/>
    </bk>
    <bk>
      <rc t="1" v="19480"/>
    </bk>
    <bk>
      <rc t="1" v="19481"/>
    </bk>
    <bk>
      <rc t="1" v="19482"/>
    </bk>
    <bk>
      <rc t="1" v="19483"/>
    </bk>
    <bk>
      <rc t="1" v="19484"/>
    </bk>
    <bk>
      <rc t="1" v="19485"/>
    </bk>
    <bk>
      <rc t="1" v="19486"/>
    </bk>
    <bk>
      <rc t="1" v="19487"/>
    </bk>
    <bk>
      <rc t="1" v="19488"/>
    </bk>
    <bk>
      <rc t="1" v="19489"/>
    </bk>
    <bk>
      <rc t="1" v="19490"/>
    </bk>
    <bk>
      <rc t="1" v="19491"/>
    </bk>
    <bk>
      <rc t="1" v="19492"/>
    </bk>
    <bk>
      <rc t="1" v="19493"/>
    </bk>
    <bk>
      <rc t="1" v="19494"/>
    </bk>
    <bk>
      <rc t="1" v="19495"/>
    </bk>
    <bk>
      <rc t="1" v="19496"/>
    </bk>
    <bk>
      <rc t="1" v="19497"/>
    </bk>
    <bk>
      <rc t="1" v="19498"/>
    </bk>
    <bk>
      <rc t="1" v="19499"/>
    </bk>
    <bk>
      <rc t="1" v="19500"/>
    </bk>
    <bk>
      <rc t="1" v="19501"/>
    </bk>
    <bk>
      <rc t="1" v="19502"/>
    </bk>
    <bk>
      <rc t="1" v="19503"/>
    </bk>
    <bk>
      <rc t="1" v="19504"/>
    </bk>
    <bk>
      <rc t="1" v="19505"/>
    </bk>
    <bk>
      <rc t="1" v="19506"/>
    </bk>
    <bk>
      <rc t="1" v="19507"/>
    </bk>
    <bk>
      <rc t="1" v="19508"/>
    </bk>
    <bk>
      <rc t="1" v="19509"/>
    </bk>
    <bk>
      <rc t="1" v="19510"/>
    </bk>
    <bk>
      <rc t="1" v="19511"/>
    </bk>
    <bk>
      <rc t="1" v="19512"/>
    </bk>
    <bk>
      <rc t="1" v="19513"/>
    </bk>
    <bk>
      <rc t="1" v="19514"/>
    </bk>
    <bk>
      <rc t="1" v="19515"/>
    </bk>
    <bk>
      <rc t="1" v="19516"/>
    </bk>
    <bk>
      <rc t="1" v="19517"/>
    </bk>
    <bk>
      <rc t="1" v="19518"/>
    </bk>
    <bk>
      <rc t="1" v="19519"/>
    </bk>
    <bk>
      <rc t="1" v="19520"/>
    </bk>
    <bk>
      <rc t="1" v="19521"/>
    </bk>
    <bk>
      <rc t="1" v="19522"/>
    </bk>
    <bk>
      <rc t="1" v="19523"/>
    </bk>
    <bk>
      <rc t="1" v="19524"/>
    </bk>
    <bk>
      <rc t="1" v="19525"/>
    </bk>
    <bk>
      <rc t="1" v="19526"/>
    </bk>
    <bk>
      <rc t="1" v="19527"/>
    </bk>
    <bk>
      <rc t="1" v="19528"/>
    </bk>
    <bk>
      <rc t="1" v="19529"/>
    </bk>
    <bk>
      <rc t="1" v="19530"/>
    </bk>
    <bk>
      <rc t="1" v="19531"/>
    </bk>
    <bk>
      <rc t="1" v="19532"/>
    </bk>
    <bk>
      <rc t="1" v="19533"/>
    </bk>
    <bk>
      <rc t="1" v="19534"/>
    </bk>
    <bk>
      <rc t="1" v="19535"/>
    </bk>
    <bk>
      <rc t="1" v="19536"/>
    </bk>
    <bk>
      <rc t="1" v="19537"/>
    </bk>
    <bk>
      <rc t="1" v="19538"/>
    </bk>
    <bk>
      <rc t="1" v="19539"/>
    </bk>
    <bk>
      <rc t="1" v="19540"/>
    </bk>
    <bk>
      <rc t="1" v="19541"/>
    </bk>
    <bk>
      <rc t="1" v="19542"/>
    </bk>
    <bk>
      <rc t="1" v="19543"/>
    </bk>
    <bk>
      <rc t="1" v="19544"/>
    </bk>
    <bk>
      <rc t="1" v="19545"/>
    </bk>
    <bk>
      <rc t="1" v="19546"/>
    </bk>
    <bk>
      <rc t="1" v="19547"/>
    </bk>
    <bk>
      <rc t="1" v="19548"/>
    </bk>
    <bk>
      <rc t="1" v="19549"/>
    </bk>
    <bk>
      <rc t="1" v="19550"/>
    </bk>
    <bk>
      <rc t="1" v="19551"/>
    </bk>
    <bk>
      <rc t="1" v="19552"/>
    </bk>
    <bk>
      <rc t="1" v="19553"/>
    </bk>
    <bk>
      <rc t="1" v="19554"/>
    </bk>
    <bk>
      <rc t="1" v="19555"/>
    </bk>
    <bk>
      <rc t="1" v="19556"/>
    </bk>
    <bk>
      <rc t="1" v="19557"/>
    </bk>
    <bk>
      <rc t="1" v="19558"/>
    </bk>
    <bk>
      <rc t="1" v="19559"/>
    </bk>
    <bk>
      <rc t="1" v="19560"/>
    </bk>
    <bk>
      <rc t="1" v="19561"/>
    </bk>
    <bk>
      <rc t="1" v="19562"/>
    </bk>
    <bk>
      <rc t="1" v="19563"/>
    </bk>
    <bk>
      <rc t="1" v="19564"/>
    </bk>
    <bk>
      <rc t="1" v="19565"/>
    </bk>
    <bk>
      <rc t="1" v="19566"/>
    </bk>
    <bk>
      <rc t="1" v="19567"/>
    </bk>
    <bk>
      <rc t="1" v="19568"/>
    </bk>
    <bk>
      <rc t="1" v="19569"/>
    </bk>
    <bk>
      <rc t="1" v="19570"/>
    </bk>
    <bk>
      <rc t="1" v="19571"/>
    </bk>
    <bk>
      <rc t="1" v="19572"/>
    </bk>
    <bk>
      <rc t="1" v="19573"/>
    </bk>
    <bk>
      <rc t="1" v="19574"/>
    </bk>
    <bk>
      <rc t="1" v="19575"/>
    </bk>
    <bk>
      <rc t="1" v="19576"/>
    </bk>
    <bk>
      <rc t="1" v="19577"/>
    </bk>
    <bk>
      <rc t="1" v="19578"/>
    </bk>
    <bk>
      <rc t="1" v="19579"/>
    </bk>
    <bk>
      <rc t="1" v="19580"/>
    </bk>
    <bk>
      <rc t="1" v="19581"/>
    </bk>
    <bk>
      <rc t="1" v="19582"/>
    </bk>
    <bk>
      <rc t="1" v="19583"/>
    </bk>
    <bk>
      <rc t="1" v="19584"/>
    </bk>
    <bk>
      <rc t="1" v="19585"/>
    </bk>
    <bk>
      <rc t="1" v="19586"/>
    </bk>
    <bk>
      <rc t="1" v="19587"/>
    </bk>
    <bk>
      <rc t="1" v="19588"/>
    </bk>
    <bk>
      <rc t="1" v="19589"/>
    </bk>
    <bk>
      <rc t="1" v="19590"/>
    </bk>
    <bk>
      <rc t="1" v="19591"/>
    </bk>
    <bk>
      <rc t="1" v="19592"/>
    </bk>
    <bk>
      <rc t="1" v="19593"/>
    </bk>
    <bk>
      <rc t="1" v="19594"/>
    </bk>
    <bk>
      <rc t="1" v="19595"/>
    </bk>
    <bk>
      <rc t="1" v="19596"/>
    </bk>
    <bk>
      <rc t="1" v="19597"/>
    </bk>
    <bk>
      <rc t="1" v="19598"/>
    </bk>
    <bk>
      <rc t="1" v="19599"/>
    </bk>
    <bk>
      <rc t="1" v="19600"/>
    </bk>
    <bk>
      <rc t="1" v="19601"/>
    </bk>
    <bk>
      <rc t="1" v="19602"/>
    </bk>
    <bk>
      <rc t="1" v="19603"/>
    </bk>
    <bk>
      <rc t="1" v="19604"/>
    </bk>
    <bk>
      <rc t="1" v="19605"/>
    </bk>
    <bk>
      <rc t="1" v="19606"/>
    </bk>
    <bk>
      <rc t="1" v="19607"/>
    </bk>
    <bk>
      <rc t="1" v="19608"/>
    </bk>
    <bk>
      <rc t="1" v="19609"/>
    </bk>
    <bk>
      <rc t="1" v="19610"/>
    </bk>
    <bk>
      <rc t="1" v="19611"/>
    </bk>
    <bk>
      <rc t="1" v="19612"/>
    </bk>
    <bk>
      <rc t="1" v="19613"/>
    </bk>
    <bk>
      <rc t="1" v="19614"/>
    </bk>
    <bk>
      <rc t="1" v="19615"/>
    </bk>
    <bk>
      <rc t="1" v="19616"/>
    </bk>
    <bk>
      <rc t="1" v="19617"/>
    </bk>
    <bk>
      <rc t="1" v="19618"/>
    </bk>
    <bk>
      <rc t="1" v="19619"/>
    </bk>
    <bk>
      <rc t="1" v="19620"/>
    </bk>
    <bk>
      <rc t="1" v="19621"/>
    </bk>
    <bk>
      <rc t="1" v="19622"/>
    </bk>
    <bk>
      <rc t="1" v="19623"/>
    </bk>
    <bk>
      <rc t="1" v="19624"/>
    </bk>
    <bk>
      <rc t="1" v="19625"/>
    </bk>
    <bk>
      <rc t="1" v="19626"/>
    </bk>
    <bk>
      <rc t="1" v="19627"/>
    </bk>
    <bk>
      <rc t="1" v="19628"/>
    </bk>
    <bk>
      <rc t="1" v="19629"/>
    </bk>
    <bk>
      <rc t="1" v="19630"/>
    </bk>
    <bk>
      <rc t="1" v="19631"/>
    </bk>
    <bk>
      <rc t="1" v="19632"/>
    </bk>
    <bk>
      <rc t="1" v="19633"/>
    </bk>
    <bk>
      <rc t="1" v="19634"/>
    </bk>
    <bk>
      <rc t="1" v="19635"/>
    </bk>
    <bk>
      <rc t="1" v="19636"/>
    </bk>
    <bk>
      <rc t="1" v="19637"/>
    </bk>
    <bk>
      <rc t="1" v="19638"/>
    </bk>
    <bk>
      <rc t="1" v="19639"/>
    </bk>
    <bk>
      <rc t="1" v="19640"/>
    </bk>
    <bk>
      <rc t="1" v="19641"/>
    </bk>
    <bk>
      <rc t="1" v="19642"/>
    </bk>
    <bk>
      <rc t="1" v="19643"/>
    </bk>
    <bk>
      <rc t="1" v="19644"/>
    </bk>
    <bk>
      <rc t="1" v="19645"/>
    </bk>
    <bk>
      <rc t="1" v="19646"/>
    </bk>
    <bk>
      <rc t="1" v="19647"/>
    </bk>
    <bk>
      <rc t="1" v="19648"/>
    </bk>
    <bk>
      <rc t="1" v="19649"/>
    </bk>
    <bk>
      <rc t="1" v="19650"/>
    </bk>
    <bk>
      <rc t="1" v="19651"/>
    </bk>
    <bk>
      <rc t="1" v="19652"/>
    </bk>
    <bk>
      <rc t="1" v="19653"/>
    </bk>
    <bk>
      <rc t="1" v="19654"/>
    </bk>
    <bk>
      <rc t="1" v="19655"/>
    </bk>
    <bk>
      <rc t="1" v="19656"/>
    </bk>
    <bk>
      <rc t="1" v="19657"/>
    </bk>
    <bk>
      <rc t="1" v="19658"/>
    </bk>
    <bk>
      <rc t="1" v="19659"/>
    </bk>
    <bk>
      <rc t="1" v="19660"/>
    </bk>
    <bk>
      <rc t="1" v="19661"/>
    </bk>
    <bk>
      <rc t="1" v="19662"/>
    </bk>
    <bk>
      <rc t="1" v="19663"/>
    </bk>
    <bk>
      <rc t="1" v="19664"/>
    </bk>
    <bk>
      <rc t="1" v="19665"/>
    </bk>
    <bk>
      <rc t="1" v="19666"/>
    </bk>
    <bk>
      <rc t="1" v="19667"/>
    </bk>
    <bk>
      <rc t="1" v="19668"/>
    </bk>
    <bk>
      <rc t="1" v="19669"/>
    </bk>
    <bk>
      <rc t="1" v="19670"/>
    </bk>
    <bk>
      <rc t="1" v="19671"/>
    </bk>
    <bk>
      <rc t="1" v="19672"/>
    </bk>
    <bk>
      <rc t="1" v="19673"/>
    </bk>
    <bk>
      <rc t="1" v="19674"/>
    </bk>
    <bk>
      <rc t="1" v="19675"/>
    </bk>
    <bk>
      <rc t="1" v="19676"/>
    </bk>
    <bk>
      <rc t="1" v="19677"/>
    </bk>
    <bk>
      <rc t="1" v="19678"/>
    </bk>
    <bk>
      <rc t="1" v="19679"/>
    </bk>
    <bk>
      <rc t="1" v="19680"/>
    </bk>
    <bk>
      <rc t="1" v="19681"/>
    </bk>
    <bk>
      <rc t="1" v="19682"/>
    </bk>
    <bk>
      <rc t="1" v="19683"/>
    </bk>
    <bk>
      <rc t="1" v="19684"/>
    </bk>
    <bk>
      <rc t="1" v="19685"/>
    </bk>
    <bk>
      <rc t="1" v="19686"/>
    </bk>
    <bk>
      <rc t="1" v="19687"/>
    </bk>
    <bk>
      <rc t="1" v="19688"/>
    </bk>
    <bk>
      <rc t="1" v="19689"/>
    </bk>
    <bk>
      <rc t="1" v="19690"/>
    </bk>
    <bk>
      <rc t="1" v="19691"/>
    </bk>
    <bk>
      <rc t="1" v="19692"/>
    </bk>
    <bk>
      <rc t="1" v="19693"/>
    </bk>
    <bk>
      <rc t="1" v="19694"/>
    </bk>
    <bk>
      <rc t="1" v="19695"/>
    </bk>
    <bk>
      <rc t="1" v="19696"/>
    </bk>
    <bk>
      <rc t="1" v="19697"/>
    </bk>
    <bk>
      <rc t="1" v="19698"/>
    </bk>
    <bk>
      <rc t="1" v="19699"/>
    </bk>
    <bk>
      <rc t="1" v="19700"/>
    </bk>
    <bk>
      <rc t="1" v="19701"/>
    </bk>
    <bk>
      <rc t="1" v="19702"/>
    </bk>
    <bk>
      <rc t="1" v="19703"/>
    </bk>
    <bk>
      <rc t="1" v="19704"/>
    </bk>
    <bk>
      <rc t="1" v="19705"/>
    </bk>
    <bk>
      <rc t="1" v="19706"/>
    </bk>
    <bk>
      <rc t="1" v="19707"/>
    </bk>
    <bk>
      <rc t="1" v="19708"/>
    </bk>
    <bk>
      <rc t="1" v="19709"/>
    </bk>
    <bk>
      <rc t="1" v="19710"/>
    </bk>
    <bk>
      <rc t="1" v="19711"/>
    </bk>
    <bk>
      <rc t="1" v="19712"/>
    </bk>
    <bk>
      <rc t="1" v="19713"/>
    </bk>
    <bk>
      <rc t="1" v="19714"/>
    </bk>
    <bk>
      <rc t="1" v="19715"/>
    </bk>
    <bk>
      <rc t="1" v="19716"/>
    </bk>
    <bk>
      <rc t="1" v="19717"/>
    </bk>
    <bk>
      <rc t="1" v="19718"/>
    </bk>
    <bk>
      <rc t="1" v="19719"/>
    </bk>
    <bk>
      <rc t="1" v="19720"/>
    </bk>
    <bk>
      <rc t="1" v="19721"/>
    </bk>
    <bk>
      <rc t="1" v="19722"/>
    </bk>
    <bk>
      <rc t="1" v="19723"/>
    </bk>
    <bk>
      <rc t="1" v="19724"/>
    </bk>
    <bk>
      <rc t="1" v="19725"/>
    </bk>
    <bk>
      <rc t="1" v="19726"/>
    </bk>
    <bk>
      <rc t="1" v="19727"/>
    </bk>
    <bk>
      <rc t="1" v="19728"/>
    </bk>
    <bk>
      <rc t="1" v="19729"/>
    </bk>
    <bk>
      <rc t="1" v="19730"/>
    </bk>
    <bk>
      <rc t="1" v="19731"/>
    </bk>
    <bk>
      <rc t="1" v="19732"/>
    </bk>
    <bk>
      <rc t="1" v="19733"/>
    </bk>
    <bk>
      <rc t="1" v="19734"/>
    </bk>
    <bk>
      <rc t="1" v="19735"/>
    </bk>
    <bk>
      <rc t="1" v="19736"/>
    </bk>
    <bk>
      <rc t="1" v="19737"/>
    </bk>
    <bk>
      <rc t="1" v="19738"/>
    </bk>
    <bk>
      <rc t="1" v="19739"/>
    </bk>
    <bk>
      <rc t="1" v="19740"/>
    </bk>
    <bk>
      <rc t="1" v="19741"/>
    </bk>
    <bk>
      <rc t="1" v="19742"/>
    </bk>
    <bk>
      <rc t="1" v="19743"/>
    </bk>
    <bk>
      <rc t="1" v="19744"/>
    </bk>
    <bk>
      <rc t="1" v="19745"/>
    </bk>
    <bk>
      <rc t="1" v="19746"/>
    </bk>
    <bk>
      <rc t="1" v="19747"/>
    </bk>
    <bk>
      <rc t="1" v="19748"/>
    </bk>
    <bk>
      <rc t="1" v="19749"/>
    </bk>
    <bk>
      <rc t="1" v="19750"/>
    </bk>
    <bk>
      <rc t="1" v="19751"/>
    </bk>
    <bk>
      <rc t="1" v="19752"/>
    </bk>
    <bk>
      <rc t="1" v="19753"/>
    </bk>
    <bk>
      <rc t="1" v="19754"/>
    </bk>
    <bk>
      <rc t="1" v="19755"/>
    </bk>
    <bk>
      <rc t="1" v="19756"/>
    </bk>
    <bk>
      <rc t="1" v="19757"/>
    </bk>
    <bk>
      <rc t="1" v="19758"/>
    </bk>
    <bk>
      <rc t="1" v="19759"/>
    </bk>
    <bk>
      <rc t="1" v="19760"/>
    </bk>
    <bk>
      <rc t="1" v="19761"/>
    </bk>
    <bk>
      <rc t="1" v="19762"/>
    </bk>
    <bk>
      <rc t="1" v="19763"/>
    </bk>
    <bk>
      <rc t="1" v="19764"/>
    </bk>
    <bk>
      <rc t="1" v="19765"/>
    </bk>
    <bk>
      <rc t="1" v="19766"/>
    </bk>
    <bk>
      <rc t="1" v="19767"/>
    </bk>
    <bk>
      <rc t="1" v="19768"/>
    </bk>
    <bk>
      <rc t="1" v="19769"/>
    </bk>
    <bk>
      <rc t="1" v="19770"/>
    </bk>
    <bk>
      <rc t="1" v="19771"/>
    </bk>
    <bk>
      <rc t="1" v="19772"/>
    </bk>
    <bk>
      <rc t="1" v="19773"/>
    </bk>
    <bk>
      <rc t="1" v="19774"/>
    </bk>
    <bk>
      <rc t="1" v="19775"/>
    </bk>
    <bk>
      <rc t="1" v="19776"/>
    </bk>
    <bk>
      <rc t="1" v="19777"/>
    </bk>
    <bk>
      <rc t="1" v="19778"/>
    </bk>
    <bk>
      <rc t="1" v="19779"/>
    </bk>
    <bk>
      <rc t="1" v="19780"/>
    </bk>
    <bk>
      <rc t="1" v="19781"/>
    </bk>
    <bk>
      <rc t="1" v="19782"/>
    </bk>
    <bk>
      <rc t="1" v="19783"/>
    </bk>
    <bk>
      <rc t="1" v="19784"/>
    </bk>
    <bk>
      <rc t="1" v="19785"/>
    </bk>
    <bk>
      <rc t="1" v="19786"/>
    </bk>
    <bk>
      <rc t="1" v="19787"/>
    </bk>
    <bk>
      <rc t="1" v="19788"/>
    </bk>
    <bk>
      <rc t="1" v="19789"/>
    </bk>
    <bk>
      <rc t="1" v="19790"/>
    </bk>
    <bk>
      <rc t="1" v="19791"/>
    </bk>
    <bk>
      <rc t="1" v="19792"/>
    </bk>
    <bk>
      <rc t="1" v="19793"/>
    </bk>
    <bk>
      <rc t="1" v="19794"/>
    </bk>
    <bk>
      <rc t="1" v="19795"/>
    </bk>
    <bk>
      <rc t="1" v="19796"/>
    </bk>
    <bk>
      <rc t="1" v="19797"/>
    </bk>
    <bk>
      <rc t="1" v="19798"/>
    </bk>
    <bk>
      <rc t="1" v="19799"/>
    </bk>
    <bk>
      <rc t="1" v="19800"/>
    </bk>
    <bk>
      <rc t="1" v="19801"/>
    </bk>
    <bk>
      <rc t="1" v="19802"/>
    </bk>
    <bk>
      <rc t="1" v="19803"/>
    </bk>
    <bk>
      <rc t="1" v="19804"/>
    </bk>
    <bk>
      <rc t="1" v="19805"/>
    </bk>
    <bk>
      <rc t="1" v="19806"/>
    </bk>
    <bk>
      <rc t="1" v="19807"/>
    </bk>
    <bk>
      <rc t="1" v="19808"/>
    </bk>
    <bk>
      <rc t="1" v="19809"/>
    </bk>
    <bk>
      <rc t="1" v="19810"/>
    </bk>
    <bk>
      <rc t="1" v="19811"/>
    </bk>
    <bk>
      <rc t="1" v="19812"/>
    </bk>
    <bk>
      <rc t="1" v="19813"/>
    </bk>
    <bk>
      <rc t="1" v="19814"/>
    </bk>
    <bk>
      <rc t="1" v="19815"/>
    </bk>
    <bk>
      <rc t="1" v="19816"/>
    </bk>
    <bk>
      <rc t="1" v="19817"/>
    </bk>
    <bk>
      <rc t="1" v="19818"/>
    </bk>
    <bk>
      <rc t="1" v="19819"/>
    </bk>
    <bk>
      <rc t="1" v="19820"/>
    </bk>
    <bk>
      <rc t="1" v="19821"/>
    </bk>
    <bk>
      <rc t="1" v="19822"/>
    </bk>
    <bk>
      <rc t="1" v="19823"/>
    </bk>
    <bk>
      <rc t="1" v="19824"/>
    </bk>
    <bk>
      <rc t="1" v="19825"/>
    </bk>
    <bk>
      <rc t="1" v="19826"/>
    </bk>
    <bk>
      <rc t="1" v="19827"/>
    </bk>
    <bk>
      <rc t="1" v="19828"/>
    </bk>
    <bk>
      <rc t="1" v="19829"/>
    </bk>
    <bk>
      <rc t="1" v="19830"/>
    </bk>
    <bk>
      <rc t="1" v="19831"/>
    </bk>
    <bk>
      <rc t="1" v="19832"/>
    </bk>
    <bk>
      <rc t="1" v="19833"/>
    </bk>
    <bk>
      <rc t="1" v="19834"/>
    </bk>
    <bk>
      <rc t="1" v="19835"/>
    </bk>
    <bk>
      <rc t="1" v="19836"/>
    </bk>
    <bk>
      <rc t="1" v="19837"/>
    </bk>
    <bk>
      <rc t="1" v="19838"/>
    </bk>
    <bk>
      <rc t="1" v="19839"/>
    </bk>
    <bk>
      <rc t="1" v="19840"/>
    </bk>
    <bk>
      <rc t="1" v="19841"/>
    </bk>
    <bk>
      <rc t="1" v="19842"/>
    </bk>
    <bk>
      <rc t="1" v="19843"/>
    </bk>
    <bk>
      <rc t="1" v="19844"/>
    </bk>
    <bk>
      <rc t="1" v="19845"/>
    </bk>
    <bk>
      <rc t="1" v="19846"/>
    </bk>
    <bk>
      <rc t="1" v="19847"/>
    </bk>
    <bk>
      <rc t="1" v="19848"/>
    </bk>
    <bk>
      <rc t="1" v="19849"/>
    </bk>
    <bk>
      <rc t="1" v="19850"/>
    </bk>
    <bk>
      <rc t="1" v="19851"/>
    </bk>
    <bk>
      <rc t="1" v="19852"/>
    </bk>
    <bk>
      <rc t="1" v="19853"/>
    </bk>
    <bk>
      <rc t="1" v="19854"/>
    </bk>
    <bk>
      <rc t="1" v="19855"/>
    </bk>
    <bk>
      <rc t="1" v="19856"/>
    </bk>
    <bk>
      <rc t="1" v="19857"/>
    </bk>
    <bk>
      <rc t="1" v="19858"/>
    </bk>
    <bk>
      <rc t="1" v="19859"/>
    </bk>
    <bk>
      <rc t="1" v="19860"/>
    </bk>
    <bk>
      <rc t="1" v="19861"/>
    </bk>
    <bk>
      <rc t="1" v="19862"/>
    </bk>
    <bk>
      <rc t="1" v="19863"/>
    </bk>
    <bk>
      <rc t="1" v="19864"/>
    </bk>
    <bk>
      <rc t="1" v="19865"/>
    </bk>
    <bk>
      <rc t="1" v="19866"/>
    </bk>
    <bk>
      <rc t="1" v="19867"/>
    </bk>
    <bk>
      <rc t="1" v="19868"/>
    </bk>
    <bk>
      <rc t="1" v="19869"/>
    </bk>
    <bk>
      <rc t="1" v="19870"/>
    </bk>
    <bk>
      <rc t="1" v="19871"/>
    </bk>
    <bk>
      <rc t="1" v="19872"/>
    </bk>
    <bk>
      <rc t="1" v="19873"/>
    </bk>
    <bk>
      <rc t="1" v="19874"/>
    </bk>
    <bk>
      <rc t="1" v="19875"/>
    </bk>
    <bk>
      <rc t="1" v="19876"/>
    </bk>
    <bk>
      <rc t="1" v="19877"/>
    </bk>
    <bk>
      <rc t="1" v="19878"/>
    </bk>
    <bk>
      <rc t="1" v="19879"/>
    </bk>
    <bk>
      <rc t="1" v="19880"/>
    </bk>
    <bk>
      <rc t="1" v="19881"/>
    </bk>
    <bk>
      <rc t="1" v="19882"/>
    </bk>
    <bk>
      <rc t="1" v="19883"/>
    </bk>
    <bk>
      <rc t="1" v="19884"/>
    </bk>
    <bk>
      <rc t="1" v="19885"/>
    </bk>
    <bk>
      <rc t="1" v="19886"/>
    </bk>
    <bk>
      <rc t="1" v="19887"/>
    </bk>
    <bk>
      <rc t="1" v="19888"/>
    </bk>
    <bk>
      <rc t="1" v="19889"/>
    </bk>
    <bk>
      <rc t="1" v="19890"/>
    </bk>
    <bk>
      <rc t="1" v="19891"/>
    </bk>
    <bk>
      <rc t="1" v="19892"/>
    </bk>
    <bk>
      <rc t="1" v="19893"/>
    </bk>
    <bk>
      <rc t="1" v="19894"/>
    </bk>
    <bk>
      <rc t="1" v="19895"/>
    </bk>
    <bk>
      <rc t="1" v="19896"/>
    </bk>
    <bk>
      <rc t="1" v="19897"/>
    </bk>
    <bk>
      <rc t="1" v="19898"/>
    </bk>
    <bk>
      <rc t="1" v="19899"/>
    </bk>
    <bk>
      <rc t="1" v="19900"/>
    </bk>
    <bk>
      <rc t="1" v="19901"/>
    </bk>
    <bk>
      <rc t="1" v="19902"/>
    </bk>
    <bk>
      <rc t="1" v="19903"/>
    </bk>
    <bk>
      <rc t="1" v="19904"/>
    </bk>
    <bk>
      <rc t="1" v="19905"/>
    </bk>
    <bk>
      <rc t="1" v="19906"/>
    </bk>
    <bk>
      <rc t="1" v="19907"/>
    </bk>
    <bk>
      <rc t="1" v="19908"/>
    </bk>
    <bk>
      <rc t="1" v="19909"/>
    </bk>
    <bk>
      <rc t="1" v="19910"/>
    </bk>
    <bk>
      <rc t="1" v="19911"/>
    </bk>
    <bk>
      <rc t="1" v="19912"/>
    </bk>
    <bk>
      <rc t="1" v="19913"/>
    </bk>
    <bk>
      <rc t="1" v="19914"/>
    </bk>
    <bk>
      <rc t="1" v="19915"/>
    </bk>
    <bk>
      <rc t="1" v="19916"/>
    </bk>
    <bk>
      <rc t="1" v="19917"/>
    </bk>
    <bk>
      <rc t="1" v="19918"/>
    </bk>
    <bk>
      <rc t="1" v="19919"/>
    </bk>
    <bk>
      <rc t="1" v="19920"/>
    </bk>
    <bk>
      <rc t="1" v="19921"/>
    </bk>
    <bk>
      <rc t="1" v="19922"/>
    </bk>
    <bk>
      <rc t="1" v="19923"/>
    </bk>
    <bk>
      <rc t="1" v="19924"/>
    </bk>
    <bk>
      <rc t="1" v="19925"/>
    </bk>
    <bk>
      <rc t="1" v="19926"/>
    </bk>
    <bk>
      <rc t="1" v="19927"/>
    </bk>
    <bk>
      <rc t="1" v="19928"/>
    </bk>
    <bk>
      <rc t="1" v="19929"/>
    </bk>
    <bk>
      <rc t="1" v="19930"/>
    </bk>
    <bk>
      <rc t="1" v="19931"/>
    </bk>
    <bk>
      <rc t="1" v="19932"/>
    </bk>
    <bk>
      <rc t="1" v="19933"/>
    </bk>
    <bk>
      <rc t="1" v="19934"/>
    </bk>
    <bk>
      <rc t="1" v="19935"/>
    </bk>
    <bk>
      <rc t="1" v="19936"/>
    </bk>
    <bk>
      <rc t="1" v="19937"/>
    </bk>
    <bk>
      <rc t="1" v="19938"/>
    </bk>
    <bk>
      <rc t="1" v="19939"/>
    </bk>
    <bk>
      <rc t="1" v="19940"/>
    </bk>
    <bk>
      <rc t="1" v="19941"/>
    </bk>
    <bk>
      <rc t="1" v="19942"/>
    </bk>
    <bk>
      <rc t="1" v="19943"/>
    </bk>
    <bk>
      <rc t="1" v="19944"/>
    </bk>
    <bk>
      <rc t="1" v="19945"/>
    </bk>
    <bk>
      <rc t="1" v="19946"/>
    </bk>
    <bk>
      <rc t="1" v="19947"/>
    </bk>
    <bk>
      <rc t="1" v="19948"/>
    </bk>
    <bk>
      <rc t="1" v="19949"/>
    </bk>
    <bk>
      <rc t="1" v="19950"/>
    </bk>
    <bk>
      <rc t="1" v="19951"/>
    </bk>
    <bk>
      <rc t="1" v="19952"/>
    </bk>
    <bk>
      <rc t="1" v="19953"/>
    </bk>
    <bk>
      <rc t="1" v="19954"/>
    </bk>
    <bk>
      <rc t="1" v="19955"/>
    </bk>
    <bk>
      <rc t="1" v="19956"/>
    </bk>
    <bk>
      <rc t="1" v="19957"/>
    </bk>
    <bk>
      <rc t="1" v="19958"/>
    </bk>
    <bk>
      <rc t="1" v="19959"/>
    </bk>
    <bk>
      <rc t="1" v="19960"/>
    </bk>
    <bk>
      <rc t="1" v="19961"/>
    </bk>
    <bk>
      <rc t="1" v="19962"/>
    </bk>
    <bk>
      <rc t="1" v="19963"/>
    </bk>
    <bk>
      <rc t="1" v="19964"/>
    </bk>
    <bk>
      <rc t="1" v="19965"/>
    </bk>
    <bk>
      <rc t="1" v="19966"/>
    </bk>
    <bk>
      <rc t="1" v="19967"/>
    </bk>
    <bk>
      <rc t="1" v="19968"/>
    </bk>
    <bk>
      <rc t="1" v="19969"/>
    </bk>
    <bk>
      <rc t="1" v="19970"/>
    </bk>
    <bk>
      <rc t="1" v="19971"/>
    </bk>
    <bk>
      <rc t="1" v="19972"/>
    </bk>
    <bk>
      <rc t="1" v="19973"/>
    </bk>
    <bk>
      <rc t="1" v="19974"/>
    </bk>
    <bk>
      <rc t="1" v="19975"/>
    </bk>
    <bk>
      <rc t="1" v="19976"/>
    </bk>
    <bk>
      <rc t="1" v="19977"/>
    </bk>
    <bk>
      <rc t="1" v="19978"/>
    </bk>
    <bk>
      <rc t="1" v="19979"/>
    </bk>
    <bk>
      <rc t="1" v="19980"/>
    </bk>
    <bk>
      <rc t="1" v="19981"/>
    </bk>
    <bk>
      <rc t="1" v="19982"/>
    </bk>
    <bk>
      <rc t="1" v="19983"/>
    </bk>
    <bk>
      <rc t="1" v="19984"/>
    </bk>
    <bk>
      <rc t="1" v="19985"/>
    </bk>
    <bk>
      <rc t="1" v="19986"/>
    </bk>
    <bk>
      <rc t="1" v="19987"/>
    </bk>
    <bk>
      <rc t="1" v="19988"/>
    </bk>
    <bk>
      <rc t="1" v="19989"/>
    </bk>
    <bk>
      <rc t="1" v="19990"/>
    </bk>
    <bk>
      <rc t="1" v="19991"/>
    </bk>
    <bk>
      <rc t="1" v="19992"/>
    </bk>
    <bk>
      <rc t="1" v="19993"/>
    </bk>
    <bk>
      <rc t="1" v="19994"/>
    </bk>
    <bk>
      <rc t="1" v="19995"/>
    </bk>
    <bk>
      <rc t="1" v="19996"/>
    </bk>
    <bk>
      <rc t="1" v="19997"/>
    </bk>
    <bk>
      <rc t="1" v="19998"/>
    </bk>
    <bk>
      <rc t="1" v="19999"/>
    </bk>
    <bk>
      <rc t="1" v="20000"/>
    </bk>
    <bk>
      <rc t="1" v="20001"/>
    </bk>
    <bk>
      <rc t="1" v="20002"/>
    </bk>
    <bk>
      <rc t="1" v="20003"/>
    </bk>
    <bk>
      <rc t="1" v="20004"/>
    </bk>
    <bk>
      <rc t="1" v="20005"/>
    </bk>
    <bk>
      <rc t="1" v="20006"/>
    </bk>
    <bk>
      <rc t="1" v="20007"/>
    </bk>
    <bk>
      <rc t="1" v="20008"/>
    </bk>
    <bk>
      <rc t="1" v="20009"/>
    </bk>
    <bk>
      <rc t="1" v="20010"/>
    </bk>
    <bk>
      <rc t="1" v="20011"/>
    </bk>
    <bk>
      <rc t="1" v="20012"/>
    </bk>
    <bk>
      <rc t="1" v="20013"/>
    </bk>
    <bk>
      <rc t="1" v="20014"/>
    </bk>
    <bk>
      <rc t="1" v="20015"/>
    </bk>
    <bk>
      <rc t="1" v="20016"/>
    </bk>
    <bk>
      <rc t="1" v="20017"/>
    </bk>
    <bk>
      <rc t="1" v="20018"/>
    </bk>
    <bk>
      <rc t="1" v="20019"/>
    </bk>
    <bk>
      <rc t="1" v="20020"/>
    </bk>
    <bk>
      <rc t="1" v="20021"/>
    </bk>
    <bk>
      <rc t="1" v="20022"/>
    </bk>
    <bk>
      <rc t="1" v="20023"/>
    </bk>
    <bk>
      <rc t="1" v="20024"/>
    </bk>
    <bk>
      <rc t="1" v="20025"/>
    </bk>
    <bk>
      <rc t="1" v="20026"/>
    </bk>
    <bk>
      <rc t="1" v="20027"/>
    </bk>
    <bk>
      <rc t="1" v="20028"/>
    </bk>
    <bk>
      <rc t="1" v="20029"/>
    </bk>
    <bk>
      <rc t="1" v="20030"/>
    </bk>
    <bk>
      <rc t="1" v="20031"/>
    </bk>
    <bk>
      <rc t="1" v="20032"/>
    </bk>
    <bk>
      <rc t="1" v="20033"/>
    </bk>
    <bk>
      <rc t="1" v="20034"/>
    </bk>
    <bk>
      <rc t="1" v="20035"/>
    </bk>
    <bk>
      <rc t="1" v="20036"/>
    </bk>
    <bk>
      <rc t="1" v="20037"/>
    </bk>
    <bk>
      <rc t="1" v="20038"/>
    </bk>
    <bk>
      <rc t="1" v="20039"/>
    </bk>
    <bk>
      <rc t="1" v="20040"/>
    </bk>
    <bk>
      <rc t="1" v="20041"/>
    </bk>
    <bk>
      <rc t="1" v="20042"/>
    </bk>
    <bk>
      <rc t="1" v="20043"/>
    </bk>
    <bk>
      <rc t="1" v="20044"/>
    </bk>
    <bk>
      <rc t="1" v="20045"/>
    </bk>
    <bk>
      <rc t="1" v="20046"/>
    </bk>
    <bk>
      <rc t="1" v="20047"/>
    </bk>
    <bk>
      <rc t="1" v="20048"/>
    </bk>
    <bk>
      <rc t="1" v="20049"/>
    </bk>
    <bk>
      <rc t="1" v="20050"/>
    </bk>
    <bk>
      <rc t="1" v="20051"/>
    </bk>
    <bk>
      <rc t="1" v="20052"/>
    </bk>
    <bk>
      <rc t="1" v="20053"/>
    </bk>
    <bk>
      <rc t="1" v="20054"/>
    </bk>
    <bk>
      <rc t="1" v="20055"/>
    </bk>
    <bk>
      <rc t="1" v="20056"/>
    </bk>
    <bk>
      <rc t="1" v="20057"/>
    </bk>
    <bk>
      <rc t="1" v="20058"/>
    </bk>
    <bk>
      <rc t="1" v="20059"/>
    </bk>
    <bk>
      <rc t="1" v="20060"/>
    </bk>
    <bk>
      <rc t="1" v="20061"/>
    </bk>
    <bk>
      <rc t="1" v="20062"/>
    </bk>
    <bk>
      <rc t="1" v="20063"/>
    </bk>
    <bk>
      <rc t="1" v="20064"/>
    </bk>
    <bk>
      <rc t="1" v="20065"/>
    </bk>
    <bk>
      <rc t="1" v="20066"/>
    </bk>
    <bk>
      <rc t="1" v="20067"/>
    </bk>
    <bk>
      <rc t="1" v="20068"/>
    </bk>
    <bk>
      <rc t="1" v="20069"/>
    </bk>
    <bk>
      <rc t="1" v="20070"/>
    </bk>
    <bk>
      <rc t="1" v="20071"/>
    </bk>
    <bk>
      <rc t="1" v="20072"/>
    </bk>
    <bk>
      <rc t="1" v="20073"/>
    </bk>
    <bk>
      <rc t="1" v="20074"/>
    </bk>
    <bk>
      <rc t="1" v="20075"/>
    </bk>
    <bk>
      <rc t="1" v="20076"/>
    </bk>
    <bk>
      <rc t="1" v="20077"/>
    </bk>
    <bk>
      <rc t="1" v="20078"/>
    </bk>
    <bk>
      <rc t="1" v="20079"/>
    </bk>
    <bk>
      <rc t="1" v="20080"/>
    </bk>
    <bk>
      <rc t="1" v="20081"/>
    </bk>
    <bk>
      <rc t="1" v="20082"/>
    </bk>
    <bk>
      <rc t="1" v="20083"/>
    </bk>
    <bk>
      <rc t="1" v="20084"/>
    </bk>
    <bk>
      <rc t="1" v="20085"/>
    </bk>
    <bk>
      <rc t="1" v="20086"/>
    </bk>
    <bk>
      <rc t="1" v="20087"/>
    </bk>
    <bk>
      <rc t="1" v="20088"/>
    </bk>
    <bk>
      <rc t="1" v="20089"/>
    </bk>
    <bk>
      <rc t="1" v="20090"/>
    </bk>
    <bk>
      <rc t="1" v="20091"/>
    </bk>
    <bk>
      <rc t="1" v="20092"/>
    </bk>
    <bk>
      <rc t="1" v="20093"/>
    </bk>
    <bk>
      <rc t="1" v="20094"/>
    </bk>
    <bk>
      <rc t="1" v="20095"/>
    </bk>
    <bk>
      <rc t="1" v="20096"/>
    </bk>
    <bk>
      <rc t="1" v="20097"/>
    </bk>
    <bk>
      <rc t="1" v="20098"/>
    </bk>
    <bk>
      <rc t="1" v="20099"/>
    </bk>
    <bk>
      <rc t="1" v="20100"/>
    </bk>
    <bk>
      <rc t="1" v="20101"/>
    </bk>
    <bk>
      <rc t="1" v="20102"/>
    </bk>
    <bk>
      <rc t="1" v="20103"/>
    </bk>
    <bk>
      <rc t="1" v="20104"/>
    </bk>
    <bk>
      <rc t="1" v="20105"/>
    </bk>
    <bk>
      <rc t="1" v="20106"/>
    </bk>
    <bk>
      <rc t="1" v="20107"/>
    </bk>
    <bk>
      <rc t="1" v="20108"/>
    </bk>
    <bk>
      <rc t="1" v="20109"/>
    </bk>
    <bk>
      <rc t="1" v="20110"/>
    </bk>
    <bk>
      <rc t="1" v="20111"/>
    </bk>
    <bk>
      <rc t="1" v="20112"/>
    </bk>
    <bk>
      <rc t="1" v="20113"/>
    </bk>
    <bk>
      <rc t="1" v="20114"/>
    </bk>
    <bk>
      <rc t="1" v="20115"/>
    </bk>
    <bk>
      <rc t="1" v="20116"/>
    </bk>
    <bk>
      <rc t="1" v="20117"/>
    </bk>
    <bk>
      <rc t="1" v="20118"/>
    </bk>
    <bk>
      <rc t="1" v="20119"/>
    </bk>
    <bk>
      <rc t="1" v="20120"/>
    </bk>
    <bk>
      <rc t="1" v="20121"/>
    </bk>
    <bk>
      <rc t="1" v="20122"/>
    </bk>
    <bk>
      <rc t="1" v="20123"/>
    </bk>
    <bk>
      <rc t="1" v="20124"/>
    </bk>
    <bk>
      <rc t="1" v="20125"/>
    </bk>
    <bk>
      <rc t="1" v="20126"/>
    </bk>
    <bk>
      <rc t="1" v="20127"/>
    </bk>
    <bk>
      <rc t="1" v="20128"/>
    </bk>
    <bk>
      <rc t="1" v="20129"/>
    </bk>
    <bk>
      <rc t="1" v="20130"/>
    </bk>
    <bk>
      <rc t="1" v="20131"/>
    </bk>
    <bk>
      <rc t="1" v="20132"/>
    </bk>
    <bk>
      <rc t="1" v="20133"/>
    </bk>
    <bk>
      <rc t="1" v="20134"/>
    </bk>
    <bk>
      <rc t="1" v="20135"/>
    </bk>
    <bk>
      <rc t="1" v="20136"/>
    </bk>
    <bk>
      <rc t="1" v="20137"/>
    </bk>
    <bk>
      <rc t="1" v="20138"/>
    </bk>
    <bk>
      <rc t="1" v="20139"/>
    </bk>
    <bk>
      <rc t="1" v="20140"/>
    </bk>
    <bk>
      <rc t="1" v="20141"/>
    </bk>
    <bk>
      <rc t="1" v="20142"/>
    </bk>
    <bk>
      <rc t="1" v="20143"/>
    </bk>
    <bk>
      <rc t="1" v="20144"/>
    </bk>
    <bk>
      <rc t="1" v="20145"/>
    </bk>
    <bk>
      <rc t="1" v="20146"/>
    </bk>
    <bk>
      <rc t="1" v="20147"/>
    </bk>
    <bk>
      <rc t="1" v="20148"/>
    </bk>
    <bk>
      <rc t="1" v="20149"/>
    </bk>
    <bk>
      <rc t="1" v="20150"/>
    </bk>
    <bk>
      <rc t="1" v="20151"/>
    </bk>
    <bk>
      <rc t="1" v="20152"/>
    </bk>
    <bk>
      <rc t="1" v="20153"/>
    </bk>
    <bk>
      <rc t="1" v="20154"/>
    </bk>
    <bk>
      <rc t="1" v="20155"/>
    </bk>
    <bk>
      <rc t="1" v="20156"/>
    </bk>
    <bk>
      <rc t="1" v="20157"/>
    </bk>
    <bk>
      <rc t="1" v="20158"/>
    </bk>
    <bk>
      <rc t="1" v="20159"/>
    </bk>
    <bk>
      <rc t="1" v="20160"/>
    </bk>
    <bk>
      <rc t="1" v="20161"/>
    </bk>
    <bk>
      <rc t="1" v="20162"/>
    </bk>
    <bk>
      <rc t="1" v="20163"/>
    </bk>
    <bk>
      <rc t="1" v="20164"/>
    </bk>
    <bk>
      <rc t="1" v="20165"/>
    </bk>
    <bk>
      <rc t="1" v="20166"/>
    </bk>
    <bk>
      <rc t="1" v="20167"/>
    </bk>
    <bk>
      <rc t="1" v="20168"/>
    </bk>
    <bk>
      <rc t="1" v="20169"/>
    </bk>
    <bk>
      <rc t="1" v="20170"/>
    </bk>
    <bk>
      <rc t="1" v="20171"/>
    </bk>
    <bk>
      <rc t="1" v="20172"/>
    </bk>
    <bk>
      <rc t="1" v="20173"/>
    </bk>
    <bk>
      <rc t="1" v="20174"/>
    </bk>
    <bk>
      <rc t="1" v="20175"/>
    </bk>
    <bk>
      <rc t="1" v="20176"/>
    </bk>
    <bk>
      <rc t="1" v="20177"/>
    </bk>
    <bk>
      <rc t="1" v="20178"/>
    </bk>
    <bk>
      <rc t="1" v="20179"/>
    </bk>
    <bk>
      <rc t="1" v="20180"/>
    </bk>
    <bk>
      <rc t="1" v="20181"/>
    </bk>
    <bk>
      <rc t="1" v="20182"/>
    </bk>
    <bk>
      <rc t="1" v="20183"/>
    </bk>
    <bk>
      <rc t="1" v="20184"/>
    </bk>
    <bk>
      <rc t="1" v="20185"/>
    </bk>
    <bk>
      <rc t="1" v="20186"/>
    </bk>
    <bk>
      <rc t="1" v="20187"/>
    </bk>
    <bk>
      <rc t="1" v="20188"/>
    </bk>
    <bk>
      <rc t="1" v="20189"/>
    </bk>
    <bk>
      <rc t="1" v="20190"/>
    </bk>
    <bk>
      <rc t="1" v="20191"/>
    </bk>
    <bk>
      <rc t="1" v="20192"/>
    </bk>
    <bk>
      <rc t="1" v="20193"/>
    </bk>
    <bk>
      <rc t="1" v="20194"/>
    </bk>
    <bk>
      <rc t="1" v="20195"/>
    </bk>
    <bk>
      <rc t="1" v="20196"/>
    </bk>
    <bk>
      <rc t="1" v="20197"/>
    </bk>
    <bk>
      <rc t="1" v="20198"/>
    </bk>
    <bk>
      <rc t="1" v="20199"/>
    </bk>
    <bk>
      <rc t="1" v="20200"/>
    </bk>
    <bk>
      <rc t="1" v="20201"/>
    </bk>
    <bk>
      <rc t="1" v="20202"/>
    </bk>
    <bk>
      <rc t="1" v="20203"/>
    </bk>
    <bk>
      <rc t="1" v="20204"/>
    </bk>
    <bk>
      <rc t="1" v="20205"/>
    </bk>
    <bk>
      <rc t="1" v="20206"/>
    </bk>
    <bk>
      <rc t="1" v="20207"/>
    </bk>
    <bk>
      <rc t="1" v="20208"/>
    </bk>
    <bk>
      <rc t="1" v="20209"/>
    </bk>
    <bk>
      <rc t="1" v="20210"/>
    </bk>
    <bk>
      <rc t="1" v="20211"/>
    </bk>
    <bk>
      <rc t="1" v="20212"/>
    </bk>
    <bk>
      <rc t="1" v="20213"/>
    </bk>
    <bk>
      <rc t="1" v="20214"/>
    </bk>
    <bk>
      <rc t="1" v="20215"/>
    </bk>
    <bk>
      <rc t="1" v="20216"/>
    </bk>
    <bk>
      <rc t="1" v="20217"/>
    </bk>
    <bk>
      <rc t="1" v="20218"/>
    </bk>
    <bk>
      <rc t="1" v="20219"/>
    </bk>
    <bk>
      <rc t="1" v="20220"/>
    </bk>
    <bk>
      <rc t="1" v="20221"/>
    </bk>
    <bk>
      <rc t="1" v="20222"/>
    </bk>
    <bk>
      <rc t="1" v="20223"/>
    </bk>
    <bk>
      <rc t="1" v="20224"/>
    </bk>
    <bk>
      <rc t="1" v="20225"/>
    </bk>
    <bk>
      <rc t="1" v="20226"/>
    </bk>
    <bk>
      <rc t="1" v="20227"/>
    </bk>
    <bk>
      <rc t="1" v="20228"/>
    </bk>
    <bk>
      <rc t="1" v="20229"/>
    </bk>
    <bk>
      <rc t="1" v="20230"/>
    </bk>
    <bk>
      <rc t="1" v="20231"/>
    </bk>
    <bk>
      <rc t="1" v="20232"/>
    </bk>
    <bk>
      <rc t="1" v="20233"/>
    </bk>
    <bk>
      <rc t="1" v="20234"/>
    </bk>
    <bk>
      <rc t="1" v="20235"/>
    </bk>
    <bk>
      <rc t="1" v="20236"/>
    </bk>
    <bk>
      <rc t="1" v="20237"/>
    </bk>
    <bk>
      <rc t="1" v="20238"/>
    </bk>
    <bk>
      <rc t="1" v="20239"/>
    </bk>
    <bk>
      <rc t="1" v="20240"/>
    </bk>
    <bk>
      <rc t="1" v="20241"/>
    </bk>
    <bk>
      <rc t="1" v="20242"/>
    </bk>
    <bk>
      <rc t="1" v="20243"/>
    </bk>
  </valueMetadata>
</metadata>
</file>

<file path=xl/sharedStrings.xml><?xml version="1.0" encoding="utf-8"?>
<sst xmlns="http://schemas.openxmlformats.org/spreadsheetml/2006/main" count="4440" uniqueCount="1669">
  <si>
    <t>* defined in Guide-Facility</t>
  </si>
  <si>
    <t>Go to Guide-Facility</t>
  </si>
  <si>
    <t>HFR</t>
  </si>
  <si>
    <t>Site Information</t>
  </si>
  <si>
    <t>Index Testing</t>
  </si>
  <si>
    <t>Linkage</t>
  </si>
  <si>
    <t>Retention</t>
  </si>
  <si>
    <t>IPT</t>
  </si>
  <si>
    <t>Viral Load</t>
  </si>
  <si>
    <t>Testing and Linkage</t>
  </si>
  <si>
    <t>Prevention</t>
  </si>
  <si>
    <t>Treatment</t>
  </si>
  <si>
    <t>EID</t>
  </si>
  <si>
    <t>Site ID</t>
  </si>
  <si>
    <t>Index clients</t>
  </si>
  <si>
    <t>Adult contacts</t>
  </si>
  <si>
    <t>Peds contacts</t>
  </si>
  <si>
    <t>Linkage Case Management</t>
  </si>
  <si>
    <t>Same Day Initiation</t>
  </si>
  <si>
    <t>Net Loss</t>
  </si>
  <si>
    <t>Multi Month Scripting</t>
  </si>
  <si>
    <t>TB</t>
  </si>
  <si>
    <t>HTS_TST</t>
  </si>
  <si>
    <t>HTS_POS</t>
  </si>
  <si>
    <t>TX_NEW</t>
  </si>
  <si>
    <t>VMMC</t>
  </si>
  <si>
    <t>PrEP</t>
  </si>
  <si>
    <t>Peds</t>
  </si>
  <si>
    <t>Adults</t>
  </si>
  <si>
    <t>Priority Tier (1, 2, 3, 4)</t>
  </si>
  <si>
    <t>Month</t>
  </si>
  <si>
    <t>MECHANISM ID</t>
  </si>
  <si>
    <t>Partner</t>
  </si>
  <si>
    <t>Agency</t>
  </si>
  <si>
    <t>Region</t>
  </si>
  <si>
    <t>District</t>
  </si>
  <si>
    <t>Council</t>
  </si>
  <si>
    <t>Ward</t>
  </si>
  <si>
    <t>Site Name</t>
  </si>
  <si>
    <t>Site ID (from DATIM)</t>
  </si>
  <si>
    <r>
      <t xml:space="preserve">Total index clients among the </t>
    </r>
    <r>
      <rPr>
        <b/>
        <sz val="11"/>
        <rFont val="Calibri"/>
        <family val="2"/>
        <scheme val="minor"/>
      </rPr>
      <t xml:space="preserve">monthly TX_NEW </t>
    </r>
    <r>
      <rPr>
        <sz val="11"/>
        <rFont val="Calibri"/>
        <family val="2"/>
        <scheme val="minor"/>
      </rPr>
      <t>clients who</t>
    </r>
    <r>
      <rPr>
        <u/>
        <sz val="11"/>
        <rFont val="Calibri"/>
        <family val="2"/>
        <scheme val="minor"/>
      </rPr>
      <t xml:space="preserve"> accepted index testing services</t>
    </r>
    <r>
      <rPr>
        <sz val="11"/>
        <rFont val="Calibri"/>
        <family val="2"/>
        <scheme val="minor"/>
      </rPr>
      <t>* during the reporting month</t>
    </r>
  </si>
  <si>
    <r>
      <t xml:space="preserve">Total index clients among the </t>
    </r>
    <r>
      <rPr>
        <b/>
        <sz val="11"/>
        <rFont val="Calibri"/>
        <family val="2"/>
        <scheme val="minor"/>
      </rPr>
      <t xml:space="preserve">monthly TX_CURR </t>
    </r>
    <r>
      <rPr>
        <sz val="11"/>
        <rFont val="Calibri"/>
        <family val="2"/>
        <scheme val="minor"/>
      </rPr>
      <t xml:space="preserve">clients who </t>
    </r>
    <r>
      <rPr>
        <u/>
        <sz val="11"/>
        <rFont val="Calibri"/>
        <family val="2"/>
        <scheme val="minor"/>
      </rPr>
      <t>accepted index testing services</t>
    </r>
    <r>
      <rPr>
        <sz val="11"/>
        <rFont val="Calibri"/>
        <family val="2"/>
        <scheme val="minor"/>
      </rPr>
      <t>* during the reporting month</t>
    </r>
  </si>
  <si>
    <t>Total ADULT (15+) contacts elicited during the reporting month</t>
  </si>
  <si>
    <t>Of the adult contacts, number for which the index client received IPV screening</t>
  </si>
  <si>
    <t>Total ADULT (15+) contacts -- # of contacts elicited in reporting month who were found to be known positive</t>
  </si>
  <si>
    <t>Total ADULT (15+) contacts -- # of contacts elicited in reporting month who tested negative</t>
  </si>
  <si>
    <t>Total ADULT (15+) contacts -- # of contacts elicited in reporting month who tested positive</t>
  </si>
  <si>
    <t>Total PEDS (&lt;15) contacts elicited during the reporting month</t>
  </si>
  <si>
    <t>Total PEDS (&lt;15) contacts -- # of contacts elicited in reporting month who were found to be known positive</t>
  </si>
  <si>
    <t>Total PEDS (&lt;15) contacts -- # of contacts elicited in reporting month who tested negative</t>
  </si>
  <si>
    <t>Total PEDS (&lt;15) contacts -- # of contacts elicited in reporting month who tested positive</t>
  </si>
  <si>
    <t>Number of OPD visits &lt;15</t>
  </si>
  <si>
    <t>Number of OPD visits 15+</t>
  </si>
  <si>
    <t>Adults screened for testing, 15+ years old</t>
  </si>
  <si>
    <t>Screened-eligible Adults at site, 15+ years old</t>
  </si>
  <si>
    <t>Screened-eligible Adults tested at site, 15+ years old</t>
  </si>
  <si>
    <t>Screened-eligible Adults tested POS at site, 15+ years old</t>
  </si>
  <si>
    <t>Total POS Adults consented to Linkage Case Management during reporting period, 15+ years old</t>
  </si>
  <si>
    <t>TX_NEW clients from prior month who have had at least one ART refill after initial fill</t>
  </si>
  <si>
    <t>Clients initiated on ART during reporting month and within 7 days of confirmatory POS test</t>
  </si>
  <si>
    <t>Clients initiated on ART during reporting month and 8-14 days after confirmatory POS test</t>
  </si>
  <si>
    <t>Clients initiated on ART during reporting month and 15 or more days after confirmatory POS test</t>
  </si>
  <si>
    <t>Total on treatment at Facility at the start of reporting month</t>
  </si>
  <si>
    <t>Total on treatment at Facility at end of reporting month</t>
  </si>
  <si>
    <t>Clients already on treatment and transferred into facility this month</t>
  </si>
  <si>
    <t>Clients in this facility TX_CURR at beginning of month and confirmed to transfer out of this facility and into other facility this month</t>
  </si>
  <si>
    <t>Clients recorded in TX_CURR at beginning of month and recorded this month as dead</t>
  </si>
  <si>
    <t>Clients given 1-31 days' supply of ART during reporting month (1 month or less)</t>
  </si>
  <si>
    <t>Clients given 32-62 days' supply of ART during reporting month (1-2 months)</t>
  </si>
  <si>
    <t>Clients given 63 or more days' supply of ART during reporting month (more than 2 months)</t>
  </si>
  <si>
    <t>ART clients who began IPT six months prior to reporting period</t>
  </si>
  <si>
    <t>ART clients who completed six months of IPT during reporting period</t>
  </si>
  <si>
    <t>ART clients who began IPT during reporting period (will be denominator in six months)</t>
  </si>
  <si>
    <t>Clients &lt;15 years old eligible for viral load testing during most recent 12 months</t>
  </si>
  <si>
    <t>Clients Clients &lt;15 years old with documented viral load result from most recent 12 months (PVLS Denominator)</t>
  </si>
  <si>
    <t>Clients Clients &lt;15 years old with latest documented viral load result during most recent 12 months suppressed (&lt;1000 copies/mL) (PVLS Numerator)</t>
  </si>
  <si>
    <t>Clients  15+ years old eligible for viral load testing during most recent 12 months</t>
  </si>
  <si>
    <t>Clients 15+ years old  with documented viral load result from most recent 12 months (PVLS Denominator)</t>
  </si>
  <si>
    <t>Clients 15+ years old  with latest documented viral load result during most recent 12 months suppressed (&lt;1000 copies/mL) (PVLS Numerator)</t>
  </si>
  <si>
    <r>
      <rPr>
        <b/>
        <sz val="11"/>
        <rFont val="Calibri"/>
        <family val="2"/>
        <scheme val="minor"/>
      </rPr>
      <t>Females tested at site, 15+ years</t>
    </r>
    <r>
      <rPr>
        <sz val="11"/>
        <rFont val="Calibri"/>
        <family val="2"/>
        <scheme val="minor"/>
      </rPr>
      <t xml:space="preserve"> old (regardless of screening result)</t>
    </r>
  </si>
  <si>
    <r>
      <rPr>
        <b/>
        <sz val="11"/>
        <rFont val="Calibri"/>
        <family val="2"/>
        <scheme val="minor"/>
      </rPr>
      <t>Males tested at site, 15+ years</t>
    </r>
    <r>
      <rPr>
        <sz val="11"/>
        <rFont val="Calibri"/>
        <family val="2"/>
        <scheme val="minor"/>
      </rPr>
      <t xml:space="preserve"> old (regardless of screening result)</t>
    </r>
  </si>
  <si>
    <r>
      <rPr>
        <b/>
        <sz val="11"/>
        <rFont val="Calibri"/>
        <family val="2"/>
        <scheme val="minor"/>
      </rPr>
      <t>Females tested at site, &lt;15</t>
    </r>
    <r>
      <rPr>
        <sz val="11"/>
        <rFont val="Calibri"/>
        <family val="2"/>
        <scheme val="minor"/>
      </rPr>
      <t xml:space="preserve"> years old (regardless of screening result)</t>
    </r>
  </si>
  <si>
    <r>
      <rPr>
        <b/>
        <sz val="11"/>
        <rFont val="Calibri"/>
        <family val="2"/>
        <scheme val="minor"/>
      </rPr>
      <t>Males tested at site, &lt;15 years</t>
    </r>
    <r>
      <rPr>
        <sz val="11"/>
        <rFont val="Calibri"/>
        <family val="2"/>
        <scheme val="minor"/>
      </rPr>
      <t xml:space="preserve"> old (regardless of screening result)</t>
    </r>
  </si>
  <si>
    <t>Females tested POS at site, 15+ years old</t>
  </si>
  <si>
    <t>Males tested POS at site, 15+ years old</t>
  </si>
  <si>
    <t>Females tested POS at site, &lt;15 years old</t>
  </si>
  <si>
    <t>Males tested POS at site, &lt;15 years old</t>
  </si>
  <si>
    <t>Female TX_NEW, 15+ years old</t>
  </si>
  <si>
    <t>Male TX_NEW, 15+ years old</t>
  </si>
  <si>
    <t>Females TX_NEW, &lt;15 years old</t>
  </si>
  <si>
    <t>Males TX_NEW, &lt;15 years old</t>
  </si>
  <si>
    <t>VMMC_CIRC 
&lt;15 
Male</t>
  </si>
  <si>
    <t>VMMC_CIRC 
15+ 
Male</t>
  </si>
  <si>
    <t>PrEP_NEW 
&lt;15
 Female</t>
  </si>
  <si>
    <t>PrEP_NEW 
&lt;15 
Male</t>
  </si>
  <si>
    <t>PrEP_NEW 
15+ 
Female</t>
  </si>
  <si>
    <t>PrEP_NEW 
15+ 
Male</t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</si>
  <si>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TX_CURR 
&lt;15 
Female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</si>
  <si>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TX_CURR 
&lt;15 
Male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</si>
  <si>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TX_CURR 
15+ 
Female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</si>
  <si>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TX_CURR 
15+ 
Male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</si>
  <si>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Female 
&lt; 3months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</si>
  <si>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Male 
&lt; 3months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</si>
  <si>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Female 
&lt; 3months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</si>
  <si>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Male 
&lt; 3months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</si>
  <si>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Female 
3-5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</si>
  <si>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Male 
3-5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</si>
  <si>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Female 
3-5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</si>
  <si>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Male 
3-5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</si>
  <si>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Female 
6+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</si>
  <si>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&lt;15 Male 
6+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</si>
  <si>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Female 
6+ months</t>
    </r>
  </si>
  <si>
    <r>
      <rPr>
        <i/>
        <sz val="11"/>
        <rFont val="Calibri"/>
        <family val="2"/>
        <scheme val="minor"/>
      </rPr>
      <t xml:space="preserve">[full period] </t>
    </r>
    <r>
      <rPr>
        <sz val="11"/>
        <rFont val="Calibri"/>
        <family val="2"/>
        <scheme val="minor"/>
      </rPr>
      <t xml:space="preserve">
TX_MMD 
15+ Male 
6+ months</t>
    </r>
  </si>
  <si>
    <t xml:space="preserve"> Missed Appointments within reporting month</t>
  </si>
  <si>
    <t>6  Month Multi_Month Scripting pediatric clients, &lt;15 years old</t>
  </si>
  <si>
    <t>6  Month Multi_Month Scripting  adult clients, 15+ years old</t>
  </si>
  <si>
    <t> During this month, how many patients on treatmnet were declared  lost to follow-up for &lt;15 years old (This includes new LFTU and then those  still being traced from previous month without an outcome</t>
  </si>
  <si>
    <t>Of the LFTU , how many &lt;15 years old self transferred to another facility</t>
  </si>
  <si>
    <t>Of the LFTU, how many &lt;15 years old were contacted and promised to come</t>
  </si>
  <si>
    <t>Of the LFTU , How many  &lt;15 years old were contacted and returned to treatment</t>
  </si>
  <si>
    <t>Of the LFTU, how many &lt;15 years old were declared dead</t>
  </si>
  <si>
    <t>Of the LFTU, how many  &lt;15 years old opted out or refused treatment?</t>
  </si>
  <si>
    <t>Of the LFTU how many &lt;15 years old were wrongly documented as LFTU</t>
  </si>
  <si>
    <t>Of the LtFU, how many &lt;15 years old were you NOT able to locate</t>
  </si>
  <si>
    <t>LFTU;How many &lt;15 years old with No attempt to follow_up</t>
  </si>
  <si>
    <t> During this month, how many 15+ years old patients on treatmnet were declared  lost to follow-up (This includes new LFTU and then those  still being traced from previous month without an outcome</t>
  </si>
  <si>
    <t>Of the LFTU , how many 15+ years old clients were self transferred to another facility</t>
  </si>
  <si>
    <t>Of the LFTU, how many 15+ years old clients were contacted and promised to come</t>
  </si>
  <si>
    <t>Of the LFTU , How many 15+ years old clients were contacted and returned to treatment</t>
  </si>
  <si>
    <t>Of the LFTU, how many 15+ years old clients were declared dead</t>
  </si>
  <si>
    <t>Of the LFTU, how many 15+ years old clients were opted out or refused treatment?</t>
  </si>
  <si>
    <t>Of the LFTU how many 15+ years old clients were wrongly documented as LFTU</t>
  </si>
  <si>
    <t>Of the LtFU, how many 15+ years old clients were you NOT able to locate</t>
  </si>
  <si>
    <t>LFTU;How many 15+ years old with No attempt to follow_up</t>
  </si>
  <si>
    <t># of  infants tested by 2 months</t>
  </si>
  <si>
    <t># of HIV Positive pregnant women identified (New and Known)</t>
  </si>
  <si>
    <t>CLIENT_A_TX_NEW</t>
  </si>
  <si>
    <t>CLIENT_A_TX_CURR</t>
  </si>
  <si>
    <t>CONTACT_A</t>
  </si>
  <si>
    <t>IPV_HX_SCREEN</t>
  </si>
  <si>
    <t>KNOWN_POS_A</t>
  </si>
  <si>
    <t>NEG_A</t>
  </si>
  <si>
    <t>POS_A</t>
  </si>
  <si>
    <t>CONTACT_PEDS</t>
  </si>
  <si>
    <t>KNOWN_POS_PEDS</t>
  </si>
  <si>
    <t>NEG_PEDS</t>
  </si>
  <si>
    <t>POS_PEDS</t>
  </si>
  <si>
    <t>OPD_P</t>
  </si>
  <si>
    <t>OPD_A</t>
  </si>
  <si>
    <t>SCREEN_A</t>
  </si>
  <si>
    <t>SCREEN_ELIG_A</t>
  </si>
  <si>
    <t>SCREEN_HTS_A</t>
  </si>
  <si>
    <t>SCREEN_HTS_POS_A</t>
  </si>
  <si>
    <t>LCM_A</t>
  </si>
  <si>
    <t>REFILL</t>
  </si>
  <si>
    <t>SDI_00_07</t>
  </si>
  <si>
    <t>SDI_08_14</t>
  </si>
  <si>
    <t>SDI_15+</t>
  </si>
  <si>
    <t>TX_PREV</t>
  </si>
  <si>
    <t>TX_CURR</t>
  </si>
  <si>
    <t>XFER_IN</t>
  </si>
  <si>
    <t>XFER_OUT</t>
  </si>
  <si>
    <t>XFER_DEATH</t>
  </si>
  <si>
    <t>MMS_1</t>
  </si>
  <si>
    <t>MMS_2</t>
  </si>
  <si>
    <t>MMS_3</t>
  </si>
  <si>
    <t>TB_PREV_D</t>
  </si>
  <si>
    <t>TB_PREV_N</t>
  </si>
  <si>
    <t>TB_PREV_NEW</t>
  </si>
  <si>
    <t>VL_ELIG_P</t>
  </si>
  <si>
    <t>VL_D_P</t>
  </si>
  <si>
    <t>VL_N_P</t>
  </si>
  <si>
    <t xml:space="preserve">VL_ELIG _A </t>
  </si>
  <si>
    <t>VL_D_A</t>
  </si>
  <si>
    <t>VL_N_A</t>
  </si>
  <si>
    <t>HTS_F_A</t>
  </si>
  <si>
    <t>HTS_M_A</t>
  </si>
  <si>
    <t>HTS_F_P</t>
  </si>
  <si>
    <t>HTS_M_P</t>
  </si>
  <si>
    <t>POS_F_A</t>
  </si>
  <si>
    <t>POS_M_A</t>
  </si>
  <si>
    <t>POS_F_P</t>
  </si>
  <si>
    <t>POS_M_P</t>
  </si>
  <si>
    <t>TX_NEW_F_A</t>
  </si>
  <si>
    <t>TX_NEW_M_A</t>
  </si>
  <si>
    <t>TX_NEW_F_P</t>
  </si>
  <si>
    <t>TX_NEW_M_P</t>
  </si>
  <si>
    <t>vmmc_circ.u15.m</t>
  </si>
  <si>
    <t>vmmc_circ.o15.m</t>
  </si>
  <si>
    <t>prep_new.u15.f</t>
  </si>
  <si>
    <t>prep_new.u15.m</t>
  </si>
  <si>
    <t>prep_new.o15.f</t>
  </si>
  <si>
    <t>prep_new.o15.m</t>
  </si>
  <si>
    <t>tx_curr.u15.f</t>
  </si>
  <si>
    <t>tx_curr.u15.m</t>
  </si>
  <si>
    <t>tx_curr.o15.f</t>
  </si>
  <si>
    <t>tx_curr.o15.m</t>
  </si>
  <si>
    <t>tx_mmd.u15.f.u3mo</t>
  </si>
  <si>
    <t>tx_mmd.u15.m.u3mo</t>
  </si>
  <si>
    <t>tx_mmd.o15.f.u3mo</t>
  </si>
  <si>
    <t>tx_mmd.o15.m.u3mo</t>
  </si>
  <si>
    <t>tx_mmd.u15.f.35mo</t>
  </si>
  <si>
    <t>tx_mmd.u15.m.35mo</t>
  </si>
  <si>
    <t>tx_mmd.o15.f.35mo</t>
  </si>
  <si>
    <t>tx_mmd.o15.m.35mo</t>
  </si>
  <si>
    <t>tx_mmd.u15.f.o6mo</t>
  </si>
  <si>
    <t>tx_mmd.u15.m.o6mo</t>
  </si>
  <si>
    <t>tx_mmd.o15.f.o6mo</t>
  </si>
  <si>
    <t>tx_mmd.o15.m.o6mo</t>
  </si>
  <si>
    <t>Miss_App</t>
  </si>
  <si>
    <t>MMS_6_P</t>
  </si>
  <si>
    <t>MMS_6_A</t>
  </si>
  <si>
    <t>LFTU_P</t>
  </si>
  <si>
    <t>L_SELF_REF_P</t>
  </si>
  <si>
    <t>L_CTC_P</t>
  </si>
  <si>
    <t>L_RTX_P</t>
  </si>
  <si>
    <t>L_DXD_P</t>
  </si>
  <si>
    <t>L_REFX_P</t>
  </si>
  <si>
    <t>L_WRNGD_P</t>
  </si>
  <si>
    <t>L_UNBL_P</t>
  </si>
  <si>
    <t>L_NOATTMPT_P</t>
  </si>
  <si>
    <t>LFTU_A</t>
  </si>
  <si>
    <t>L_SELF_REF_A</t>
  </si>
  <si>
    <t>L_CTC_A</t>
  </si>
  <si>
    <t>L_RTX_A</t>
  </si>
  <si>
    <t>L_DXD_A</t>
  </si>
  <si>
    <t>L_REFX_A</t>
  </si>
  <si>
    <t>L_WRNGD_A</t>
  </si>
  <si>
    <t>L_UNBL_A</t>
  </si>
  <si>
    <t>L_NOATTMPT_A</t>
  </si>
  <si>
    <t>HTS_2 months</t>
  </si>
  <si>
    <t>POS_preg</t>
  </si>
  <si>
    <t>EGPAF</t>
  </si>
  <si>
    <t>USAID</t>
  </si>
  <si>
    <t>Arusha</t>
  </si>
  <si>
    <t>Meru DC</t>
  </si>
  <si>
    <t>Ngarenanyuki</t>
  </si>
  <si>
    <t>Africa Amini Momella Health Center</t>
  </si>
  <si>
    <t>SMQHXlvCu3E</t>
  </si>
  <si>
    <t>Arusha CC</t>
  </si>
  <si>
    <t>Sekei</t>
  </si>
  <si>
    <t>AICC Hospital</t>
  </si>
  <si>
    <t>HFdnPaEfFVn</t>
  </si>
  <si>
    <t>Levolosi</t>
  </si>
  <si>
    <t>Arusha Lutheran Medical Hospital</t>
  </si>
  <si>
    <t>ElPj16KSNVJ</t>
  </si>
  <si>
    <t>Daraja 2</t>
  </si>
  <si>
    <t>Daraja II Health Center</t>
  </si>
  <si>
    <t>KDX3TYylacB</t>
  </si>
  <si>
    <t>Ngorongoro DC</t>
  </si>
  <si>
    <t>Digodigo</t>
  </si>
  <si>
    <t>Digodigo Health Center</t>
  </si>
  <si>
    <t>TCbZv0rA0KH</t>
  </si>
  <si>
    <t>Elerai</t>
  </si>
  <si>
    <t>Elerai Dispensary</t>
  </si>
  <si>
    <t>kKhP3RHvrjS</t>
  </si>
  <si>
    <t>Karatu DC</t>
  </si>
  <si>
    <t>Endabash</t>
  </si>
  <si>
    <t>Endabash Health Center</t>
  </si>
  <si>
    <t>k5JdPt9uWMm</t>
  </si>
  <si>
    <t>Enduleni</t>
  </si>
  <si>
    <t>Endulen Hospital</t>
  </si>
  <si>
    <t>dXm9x7MJyQN</t>
  </si>
  <si>
    <t>Longido DC</t>
  </si>
  <si>
    <t>Engarenaibor</t>
  </si>
  <si>
    <t>Engarenaibor Health Center</t>
  </si>
  <si>
    <t>VuiYHy2vsKJ</t>
  </si>
  <si>
    <t>Ganako</t>
  </si>
  <si>
    <t>Fame Medical Health Center</t>
  </si>
  <si>
    <t>Js4r1kNLEOW</t>
  </si>
  <si>
    <t>Arusha DC</t>
  </si>
  <si>
    <t>Oldonyosambu</t>
  </si>
  <si>
    <t>NNN5tv8JzZ7</t>
  </si>
  <si>
    <t>Gelai Lumbwa</t>
  </si>
  <si>
    <t>Gelai Lumbwa Dispensary</t>
  </si>
  <si>
    <t>vc2vrM0eRa9</t>
  </si>
  <si>
    <t>Ithnaasher Dispensary</t>
  </si>
  <si>
    <t>FjbY4bEV8FN</t>
  </si>
  <si>
    <t>Kaloleni</t>
  </si>
  <si>
    <t>Kaloleni Health Center</t>
  </si>
  <si>
    <t>e3CnSFj0AJJ</t>
  </si>
  <si>
    <t>Themi</t>
  </si>
  <si>
    <t>KAM Medical Health Center</t>
  </si>
  <si>
    <t>cO2BEfldruW</t>
  </si>
  <si>
    <t>Kamwanga</t>
  </si>
  <si>
    <t>Kamwanga Dispensary</t>
  </si>
  <si>
    <t>uLmEopM5eak</t>
  </si>
  <si>
    <t>Karatu</t>
  </si>
  <si>
    <t>Karatu Health Center</t>
  </si>
  <si>
    <t>PMbjVVW8qTt</t>
  </si>
  <si>
    <t>Qurus</t>
  </si>
  <si>
    <t>Karatu Lutheran Hospital</t>
  </si>
  <si>
    <t>ogZZ5O3QhWj</t>
  </si>
  <si>
    <t>Ketumbeine</t>
  </si>
  <si>
    <t>Ketumbeine Dispensary</t>
  </si>
  <si>
    <t>t2MTbiuns7N</t>
  </si>
  <si>
    <t>Oloirien</t>
  </si>
  <si>
    <t>Kijenge RC Dispensary</t>
  </si>
  <si>
    <t>dphEnEyZusY</t>
  </si>
  <si>
    <t>Ilkiding'a</t>
  </si>
  <si>
    <t>Kioga Dispensary</t>
  </si>
  <si>
    <t>DewMRPsDa4i</t>
  </si>
  <si>
    <t>Kiranyi</t>
  </si>
  <si>
    <t>Kiranyi Dispensary</t>
  </si>
  <si>
    <t>bhPZMJIRI9k</t>
  </si>
  <si>
    <t>Monduli DC</t>
  </si>
  <si>
    <t>Majengo</t>
  </si>
  <si>
    <t>Kirurumo Health Center</t>
  </si>
  <si>
    <t>Gpy7ai3okAi</t>
  </si>
  <si>
    <t>Olmolog</t>
  </si>
  <si>
    <t>Lerang'wa Dispensary</t>
  </si>
  <si>
    <t>srRT7qdx6aW</t>
  </si>
  <si>
    <t>Levolosi Health Center</t>
  </si>
  <si>
    <t>yuvleWr5Lr2</t>
  </si>
  <si>
    <t>Orgosorok</t>
  </si>
  <si>
    <t>Loliondo Health Center</t>
  </si>
  <si>
    <t>wbOGKMKaR6b</t>
  </si>
  <si>
    <t>Not set</t>
  </si>
  <si>
    <t>Lolkisale Dispensary</t>
  </si>
  <si>
    <t>eGNP1huD9zy</t>
  </si>
  <si>
    <t>Longido</t>
  </si>
  <si>
    <t>Longido Health Center</t>
  </si>
  <si>
    <t>Z3O0K5r3pM4</t>
  </si>
  <si>
    <t>Olorieni</t>
  </si>
  <si>
    <t>M &amp; M Kiwera Dispensary</t>
  </si>
  <si>
    <t>X7QTHbbT1ae</t>
  </si>
  <si>
    <t>Makiba</t>
  </si>
  <si>
    <t>Makiba Health Center</t>
  </si>
  <si>
    <t>UmFKGzYIRlH</t>
  </si>
  <si>
    <t>Makuyuni</t>
  </si>
  <si>
    <t>Makuyuni Dispensary</t>
  </si>
  <si>
    <t>lpS3qrn0282</t>
  </si>
  <si>
    <t>Malambo</t>
  </si>
  <si>
    <t>Malambo Health Center</t>
  </si>
  <si>
    <t>Jpw4LOb2lPd</t>
  </si>
  <si>
    <t>Mang'ola</t>
  </si>
  <si>
    <t>Mang'ola Chini Health Center</t>
  </si>
  <si>
    <t>Lh12f6DN46Q</t>
  </si>
  <si>
    <t>King'ori</t>
  </si>
  <si>
    <t>Mareu Health Center</t>
  </si>
  <si>
    <t>F6q6yi4hTZ4</t>
  </si>
  <si>
    <t>Mbuguni</t>
  </si>
  <si>
    <t>Mbuguni Health Center</t>
  </si>
  <si>
    <t>RpQ3yUtKCjx</t>
  </si>
  <si>
    <t>Oljoro</t>
  </si>
  <si>
    <t>Mbuyuni Health Center</t>
  </si>
  <si>
    <t>zgztK7Zhycv</t>
  </si>
  <si>
    <t>Akheri</t>
  </si>
  <si>
    <t>Meru Hospital</t>
  </si>
  <si>
    <t>s3GjZrhH2MN</t>
  </si>
  <si>
    <t>Terrat</t>
  </si>
  <si>
    <t>Mkonoo Health Center</t>
  </si>
  <si>
    <t>XbmFgmYboW4</t>
  </si>
  <si>
    <t>Moivo</t>
  </si>
  <si>
    <t>Moivo Dispensary</t>
  </si>
  <si>
    <t>bptuZLv5bzt</t>
  </si>
  <si>
    <t>Monduli Mjini</t>
  </si>
  <si>
    <t>Monduli Hospital</t>
  </si>
  <si>
    <t>VchcmEoue4p</t>
  </si>
  <si>
    <t>Mount Meru Hospital</t>
  </si>
  <si>
    <t>GdSLs01rdPN</t>
  </si>
  <si>
    <t>Esilalei</t>
  </si>
  <si>
    <t>Mto wa Mbu Health Center</t>
  </si>
  <si>
    <t>A40gRVDVynG</t>
  </si>
  <si>
    <t>Mto wa Mbu RC Health Center</t>
  </si>
  <si>
    <t>MojsOgY49E7</t>
  </si>
  <si>
    <t>Mundarara</t>
  </si>
  <si>
    <t>Mundarara Dispensary</t>
  </si>
  <si>
    <t>DQOuGZTSrMh</t>
  </si>
  <si>
    <t>Muriet Health Center</t>
  </si>
  <si>
    <t>MURIET</t>
  </si>
  <si>
    <t>Mwandeti</t>
  </si>
  <si>
    <t>Mwandeti Dispensary</t>
  </si>
  <si>
    <t>sq0JPWanBtn</t>
  </si>
  <si>
    <t>Nainokanoka</t>
  </si>
  <si>
    <t>Nainokanoka Health Center</t>
  </si>
  <si>
    <t>pHiOvopsoCQ</t>
  </si>
  <si>
    <t>Kimokouwa</t>
  </si>
  <si>
    <t>Namanga Dispensary</t>
  </si>
  <si>
    <t>AJp5NT1cN7O</t>
  </si>
  <si>
    <t>Nduruma</t>
  </si>
  <si>
    <t>Nduruma Health Center</t>
  </si>
  <si>
    <t>PyXqJHKvdcL</t>
  </si>
  <si>
    <t>Olmotonyi</t>
  </si>
  <si>
    <t>Ngaramtoni Dispensary</t>
  </si>
  <si>
    <t>palE7ZPMBeJ</t>
  </si>
  <si>
    <t>Pinyinyi</t>
  </si>
  <si>
    <t>Ngarasero Dispensary</t>
  </si>
  <si>
    <t>zRODh1oUwN3</t>
  </si>
  <si>
    <t>Ngarenaro Health Center</t>
  </si>
  <si>
    <t>S4Ad0TiiKg9</t>
  </si>
  <si>
    <t>Ngerenanyuki Health Center</t>
  </si>
  <si>
    <t>z1s0nhA2AwA</t>
  </si>
  <si>
    <t>Mateves</t>
  </si>
  <si>
    <t>Ngorbob Dispensary</t>
  </si>
  <si>
    <t>UmFBkUDnRNw</t>
  </si>
  <si>
    <t>Nkoaranga</t>
  </si>
  <si>
    <t>Nkoaranga Lutheran Hospital</t>
  </si>
  <si>
    <t>Cl2R3A3CXLz</t>
  </si>
  <si>
    <t>Oldean</t>
  </si>
  <si>
    <t>Oldeani Health Center</t>
  </si>
  <si>
    <t>lZvN4Uk0xtC</t>
  </si>
  <si>
    <t>Olkokola</t>
  </si>
  <si>
    <t>Olkokola RC Dispensary</t>
  </si>
  <si>
    <t>d8wL2A0qjsW</t>
  </si>
  <si>
    <t>Oltrumet</t>
  </si>
  <si>
    <t>Oltrument Hospital</t>
  </si>
  <si>
    <t>MsbIhftosap</t>
  </si>
  <si>
    <t>Rhotia</t>
  </si>
  <si>
    <t>Rhotia Health Center</t>
  </si>
  <si>
    <t>OvYKTP1NCmG</t>
  </si>
  <si>
    <t>Sambasha</t>
  </si>
  <si>
    <t>Sambasha Dispensary</t>
  </si>
  <si>
    <t>ekk83JtC1b5</t>
  </si>
  <si>
    <t>Selela</t>
  </si>
  <si>
    <t>Selela Dispensary</t>
  </si>
  <si>
    <t>fTr17NWmmTU</t>
  </si>
  <si>
    <t>Selian Lutheran Hospital</t>
  </si>
  <si>
    <t>qZVg6nPZGJN</t>
  </si>
  <si>
    <t>Sombetini</t>
  </si>
  <si>
    <t>Sombetini Dispensary</t>
  </si>
  <si>
    <t>RzIULFwpOAp</t>
  </si>
  <si>
    <t>Ngarenaro</t>
  </si>
  <si>
    <t>St. Elizabeth Hospital</t>
  </si>
  <si>
    <t>sAbhLuicNGv</t>
  </si>
  <si>
    <t>Kati</t>
  </si>
  <si>
    <t>St. Thomas Health Center</t>
  </si>
  <si>
    <t>GoZObLKJsH7</t>
  </si>
  <si>
    <t>Themi Health Center</t>
  </si>
  <si>
    <t>egABWArYbm6</t>
  </si>
  <si>
    <t>Usa River</t>
  </si>
  <si>
    <t>Usa RC Health Center</t>
  </si>
  <si>
    <t>xVYspAZ2gIs</t>
  </si>
  <si>
    <t>Usa River Health Center</t>
  </si>
  <si>
    <t>G3K7MWu2FkG</t>
  </si>
  <si>
    <t>Wasso Hospital</t>
  </si>
  <si>
    <t>TiAhCvzxgfw</t>
  </si>
  <si>
    <t>Dodoma</t>
  </si>
  <si>
    <t>Dodoma MC</t>
  </si>
  <si>
    <t>Madukani</t>
  </si>
  <si>
    <t>Aga Khan Polyclinic</t>
  </si>
  <si>
    <t>ItWmY6sJUVT</t>
  </si>
  <si>
    <t>Bahi DC</t>
  </si>
  <si>
    <t>Babayu</t>
  </si>
  <si>
    <t>Asanje Dispensary</t>
  </si>
  <si>
    <t>avNfPOuDrZP</t>
  </si>
  <si>
    <t>Babayu Dispensary</t>
  </si>
  <si>
    <t>r8T82ZWjItm</t>
  </si>
  <si>
    <t>Bahi</t>
  </si>
  <si>
    <t>Bahi Health Center</t>
  </si>
  <si>
    <t>Bpzm6iRYANd</t>
  </si>
  <si>
    <t>Mpamantwa</t>
  </si>
  <si>
    <t>Bahi Makulu Dispensary</t>
  </si>
  <si>
    <t>WkMCo6Urj7W</t>
  </si>
  <si>
    <t>Kongwa DC</t>
  </si>
  <si>
    <t>Hogoro</t>
  </si>
  <si>
    <t>Banyibanyi Dispensary</t>
  </si>
  <si>
    <t>hh4I018dlYf</t>
  </si>
  <si>
    <t>Ng'hong'honha</t>
  </si>
  <si>
    <t>Benjamini Mkapa Referral Hospital</t>
  </si>
  <si>
    <t>U5YX4pAJTog</t>
  </si>
  <si>
    <t>Kondoa DC</t>
  </si>
  <si>
    <t>Bereko</t>
  </si>
  <si>
    <t>Bereko Dispensary</t>
  </si>
  <si>
    <t>bWxKiL0V3wH</t>
  </si>
  <si>
    <t>Kondoa TC</t>
  </si>
  <si>
    <t>Bolisa</t>
  </si>
  <si>
    <t>Bolisa Dispensary</t>
  </si>
  <si>
    <t>NutklHYs98l</t>
  </si>
  <si>
    <t>Bumbuta</t>
  </si>
  <si>
    <t>Bumbuta Dispensary</t>
  </si>
  <si>
    <t>Qrg4fTo2egd</t>
  </si>
  <si>
    <t>Busi</t>
  </si>
  <si>
    <t>Busi RHC Health Center</t>
  </si>
  <si>
    <t>hD1ajlgmDlr</t>
  </si>
  <si>
    <t>Chali</t>
  </si>
  <si>
    <t>Chali Isangha Dispensary</t>
  </si>
  <si>
    <t>fK0WApsPTnR</t>
  </si>
  <si>
    <t>Chemba DC</t>
  </si>
  <si>
    <t>Chemba</t>
  </si>
  <si>
    <t>Chambalo Dispensary</t>
  </si>
  <si>
    <t>onnSlIb3fov</t>
  </si>
  <si>
    <t>Chamkoroma</t>
  </si>
  <si>
    <t>Chamkoroma Dispensary</t>
  </si>
  <si>
    <t>mWf5sYJssot</t>
  </si>
  <si>
    <t>Chamwino</t>
  </si>
  <si>
    <t>Chamwino DTC Dispensary</t>
  </si>
  <si>
    <t>Zq16fskl8Xm</t>
  </si>
  <si>
    <t>Chamwino DC</t>
  </si>
  <si>
    <t>Buigiri</t>
  </si>
  <si>
    <t>Chamwino Health Center</t>
  </si>
  <si>
    <t>dKlgstRMZOX</t>
  </si>
  <si>
    <t>Chandama</t>
  </si>
  <si>
    <t>Chandama Dispensary</t>
  </si>
  <si>
    <t>RGYr7gq0WGk</t>
  </si>
  <si>
    <t>Chibelela</t>
  </si>
  <si>
    <t>Chibelela Dispensary</t>
  </si>
  <si>
    <t>OGdMaRMXR9V</t>
  </si>
  <si>
    <t>Nondwa</t>
  </si>
  <si>
    <t>Chifukuta Dispensary</t>
  </si>
  <si>
    <t>MVyAgeKXn1e</t>
  </si>
  <si>
    <t>Mtanana</t>
  </si>
  <si>
    <t>Chigwingwili Dispensary</t>
  </si>
  <si>
    <t>euYn6gh0LBD</t>
  </si>
  <si>
    <t>Chikola</t>
  </si>
  <si>
    <t>Chikola Dispensary</t>
  </si>
  <si>
    <t>rMvxuDOq0Ap</t>
  </si>
  <si>
    <t>Chilonwa</t>
  </si>
  <si>
    <t>Chilonwa Dispensary</t>
  </si>
  <si>
    <t>ype7as8vCCz</t>
  </si>
  <si>
    <t>Chipanga</t>
  </si>
  <si>
    <t>Chipanga Health Center</t>
  </si>
  <si>
    <t>rqIZSNUrges</t>
  </si>
  <si>
    <t>Mpwapwa DC</t>
  </si>
  <si>
    <t>Chipogoro</t>
  </si>
  <si>
    <t>Chipogoro Dispensary</t>
  </si>
  <si>
    <t>trixg6G3fxg</t>
  </si>
  <si>
    <t>Chiwe</t>
  </si>
  <si>
    <t>Chiwe Dispensary</t>
  </si>
  <si>
    <t>YfXdS5hPW2h</t>
  </si>
  <si>
    <t>Chunyu</t>
  </si>
  <si>
    <t>Chunyu Dispensary</t>
  </si>
  <si>
    <t>VsgxkJoBDhS</t>
  </si>
  <si>
    <t>Ntyuka</t>
  </si>
  <si>
    <t>DCMC Hospital</t>
  </si>
  <si>
    <t>ZUoOfY6Hp8w</t>
  </si>
  <si>
    <t>Dodoma Regional Referral Hospital</t>
  </si>
  <si>
    <t>GJTtdD5NFe7</t>
  </si>
  <si>
    <t>Gulwe</t>
  </si>
  <si>
    <t>Gulwe Dispensary</t>
  </si>
  <si>
    <t>ZqIbJ9o2jNc</t>
  </si>
  <si>
    <t>Songoro</t>
  </si>
  <si>
    <t>Hamai Health Center</t>
  </si>
  <si>
    <t>BnkYj0nDiTt</t>
  </si>
  <si>
    <t>Handali</t>
  </si>
  <si>
    <t>Handali Health Center</t>
  </si>
  <si>
    <t>c3mdURjYLhI</t>
  </si>
  <si>
    <t>Haneti</t>
  </si>
  <si>
    <t>Haneti Health Center</t>
  </si>
  <si>
    <t>CEU9yO371Mi</t>
  </si>
  <si>
    <t>Haubi</t>
  </si>
  <si>
    <t>Haubi VA Dispensary</t>
  </si>
  <si>
    <t>U4KlQrYnLuT</t>
  </si>
  <si>
    <t>Hogoro Dispensary</t>
  </si>
  <si>
    <t>oYIw1dx2Urj</t>
  </si>
  <si>
    <t>Hombolo</t>
  </si>
  <si>
    <t>Hombolo Health Center</t>
  </si>
  <si>
    <t>T3328UF2Fk2</t>
  </si>
  <si>
    <t>Hombolo Makulu Dispensary</t>
  </si>
  <si>
    <t>G6odWxL3Lot</t>
  </si>
  <si>
    <t>Ibihwa</t>
  </si>
  <si>
    <t>Ibihwa Dispensary</t>
  </si>
  <si>
    <t>XYkVymEGXVv</t>
  </si>
  <si>
    <t>Ibugule</t>
  </si>
  <si>
    <t>Ibugule Dispensary</t>
  </si>
  <si>
    <t>BgrsUOuExCC</t>
  </si>
  <si>
    <t>Ugogoni</t>
  </si>
  <si>
    <t>Ibwaga Dispensary</t>
  </si>
  <si>
    <t>iUaEAyiSm6i</t>
  </si>
  <si>
    <t>Iduo</t>
  </si>
  <si>
    <t>Iduo Dispensary</t>
  </si>
  <si>
    <t>eDEOZVZ8rp4</t>
  </si>
  <si>
    <t>Goima</t>
  </si>
  <si>
    <t>Igunga Dispensary</t>
  </si>
  <si>
    <t>C1MQYO4pETs</t>
  </si>
  <si>
    <t>Mtumba</t>
  </si>
  <si>
    <t>Ihunwa Govt Dispensary</t>
  </si>
  <si>
    <t>BqLWxJKhoov</t>
  </si>
  <si>
    <t>Kimagai</t>
  </si>
  <si>
    <t>Inzomvu Dispensary</t>
  </si>
  <si>
    <t>EnUhkzNgKk1</t>
  </si>
  <si>
    <t>Ipala</t>
  </si>
  <si>
    <t>Ipala Govt Dispensary</t>
  </si>
  <si>
    <t>GpyJTjJFzf0</t>
  </si>
  <si>
    <t>Ipera</t>
  </si>
  <si>
    <t>Ipera Dispensary</t>
  </si>
  <si>
    <t>jhI1z4GFcrl</t>
  </si>
  <si>
    <t>Jangalo</t>
  </si>
  <si>
    <t>Itolwa Dispensary</t>
  </si>
  <si>
    <t>yFiYgAMf4Rw</t>
  </si>
  <si>
    <t>Paranga</t>
  </si>
  <si>
    <t>Kelema Dispensary</t>
  </si>
  <si>
    <t>Bjz6d6dIFv7</t>
  </si>
  <si>
    <t>Kibaigwa</t>
  </si>
  <si>
    <t>Kibaigwa Dispensary</t>
  </si>
  <si>
    <t>j3mYl9szVpe</t>
  </si>
  <si>
    <t>Kibaigwa Health Center</t>
  </si>
  <si>
    <t>YSRFsacHvd8</t>
  </si>
  <si>
    <t>Kibakwe</t>
  </si>
  <si>
    <t>Kibakwe Health Center</t>
  </si>
  <si>
    <t>aQpQuVSdSfa</t>
  </si>
  <si>
    <t>Kidoka Dispensary</t>
  </si>
  <si>
    <t>DSjSuEp7VsC</t>
  </si>
  <si>
    <t>Kigwe</t>
  </si>
  <si>
    <t>Kigwe Health Center</t>
  </si>
  <si>
    <t>S2NRGJ8zrIK</t>
  </si>
  <si>
    <t>Kikombo</t>
  </si>
  <si>
    <t>Kikombo Health Center</t>
  </si>
  <si>
    <t>h74zk3vHZvn</t>
  </si>
  <si>
    <t>Kikore</t>
  </si>
  <si>
    <t>Kikore Dispensary</t>
  </si>
  <si>
    <t>VMnMmQCzyGF</t>
  </si>
  <si>
    <t>Kikuyu Kusini</t>
  </si>
  <si>
    <t>Kikuyu Dispensary</t>
  </si>
  <si>
    <t>ELQDeDWVGrk</t>
  </si>
  <si>
    <t>Kingale</t>
  </si>
  <si>
    <t>Kingale Dispensary</t>
  </si>
  <si>
    <t>qkw5QhFNuKU</t>
  </si>
  <si>
    <t>Kinyasi</t>
  </si>
  <si>
    <t>Kinyasi Dispensary</t>
  </si>
  <si>
    <t>Klv29JoYvNz</t>
  </si>
  <si>
    <t>Kisese</t>
  </si>
  <si>
    <t>Kisese Health Center</t>
  </si>
  <si>
    <t>eNjUkmSHksk</t>
  </si>
  <si>
    <t>Kilimani</t>
  </si>
  <si>
    <t>Kondoa District Hospital</t>
  </si>
  <si>
    <t>YbLGEdUJKxq</t>
  </si>
  <si>
    <t>Kongogo Dispensary</t>
  </si>
  <si>
    <t>Ku7PUMHKneW</t>
  </si>
  <si>
    <t>Kongwa</t>
  </si>
  <si>
    <t>Kongwa District Hospital</t>
  </si>
  <si>
    <t>SXKUGqmjUFL</t>
  </si>
  <si>
    <t>Kwadelo</t>
  </si>
  <si>
    <t>Kwadelo Dispensary</t>
  </si>
  <si>
    <t>NDbc1PHxClB</t>
  </si>
  <si>
    <t>Kwamtoro</t>
  </si>
  <si>
    <t>Kwamtoro Health Center</t>
  </si>
  <si>
    <t>F0YRADCbTWW</t>
  </si>
  <si>
    <t>Sagara</t>
  </si>
  <si>
    <t>Laikala Dispensary</t>
  </si>
  <si>
    <t>ex0HWmhH8xE</t>
  </si>
  <si>
    <t>Lamaiti</t>
  </si>
  <si>
    <t>Lamaiti Dispensary</t>
  </si>
  <si>
    <t>wAE3jX0VttC</t>
  </si>
  <si>
    <t>Loje</t>
  </si>
  <si>
    <t>Loje Dispensary</t>
  </si>
  <si>
    <t>ycSpyYkBfsY</t>
  </si>
  <si>
    <t>Kingiti</t>
  </si>
  <si>
    <t>Lukole Dispensary</t>
  </si>
  <si>
    <t>bKMjDPMnFoj</t>
  </si>
  <si>
    <t>Lumuma</t>
  </si>
  <si>
    <t>Lumuma RC Health Center</t>
  </si>
  <si>
    <t>sAiUHL6o4Zy</t>
  </si>
  <si>
    <t>Makawa</t>
  </si>
  <si>
    <t>Makawa Dispensary</t>
  </si>
  <si>
    <t>R1C6X7xTgBl</t>
  </si>
  <si>
    <t>Makole</t>
  </si>
  <si>
    <t>Makole Dispensary</t>
  </si>
  <si>
    <t>gX2Cg14njcr</t>
  </si>
  <si>
    <t>Viwandani</t>
  </si>
  <si>
    <t>Makole Health Center</t>
  </si>
  <si>
    <t>Wju5tA8Pa8z</t>
  </si>
  <si>
    <t>Makorongo</t>
  </si>
  <si>
    <t>Makorongo Health Center</t>
  </si>
  <si>
    <t>wNc2OpUaFRF</t>
  </si>
  <si>
    <t>Manchali</t>
  </si>
  <si>
    <t>Manchali Dispensary</t>
  </si>
  <si>
    <t>ChgS0lWHqdu</t>
  </si>
  <si>
    <t>Miyuji</t>
  </si>
  <si>
    <t>Mary Immaculata-Miyuji Dispensary</t>
  </si>
  <si>
    <t>pupmcjQ2Yhq</t>
  </si>
  <si>
    <t>Kizota</t>
  </si>
  <si>
    <t>Matovolwa Health Center</t>
  </si>
  <si>
    <t>QYd2sBZMbHk</t>
  </si>
  <si>
    <t>Mpunguzi</t>
  </si>
  <si>
    <t>Matumbulu Dispensary</t>
  </si>
  <si>
    <t>Ud7qGxaoZo6</t>
  </si>
  <si>
    <t>Mbabala</t>
  </si>
  <si>
    <t>Mbabala A Dispensary</t>
  </si>
  <si>
    <t>Kh1JbOLW00R</t>
  </si>
  <si>
    <t>Sejeli</t>
  </si>
  <si>
    <t>Mbande Dispensary</t>
  </si>
  <si>
    <t>AjiiSQ0MyeM</t>
  </si>
  <si>
    <t>Matomondo</t>
  </si>
  <si>
    <t>Mbori Dispensary</t>
  </si>
  <si>
    <t>mbQl11CbcGn</t>
  </si>
  <si>
    <t>Mkonze</t>
  </si>
  <si>
    <t>Michese Dispensary</t>
  </si>
  <si>
    <t>RFGXom1x5Jg</t>
  </si>
  <si>
    <t>Mima</t>
  </si>
  <si>
    <t>Mima Dispensary</t>
  </si>
  <si>
    <t>mDrVnC7TQve</t>
  </si>
  <si>
    <t>Hazina</t>
  </si>
  <si>
    <t>Mirembe Referral Hospital</t>
  </si>
  <si>
    <t>Iwf7mFEFBQb</t>
  </si>
  <si>
    <t>Mkoka</t>
  </si>
  <si>
    <t>Mkoka Health Center</t>
  </si>
  <si>
    <t>DhxPPEcKWwn</t>
  </si>
  <si>
    <t>Zanka</t>
  </si>
  <si>
    <t>Mkondai Dispensary</t>
  </si>
  <si>
    <t>PFkGSMrtBcu</t>
  </si>
  <si>
    <t>Mkonze Health Center</t>
  </si>
  <si>
    <t>RSL8MgCVxmo</t>
  </si>
  <si>
    <t>Mlali</t>
  </si>
  <si>
    <t>Mlali Health Center</t>
  </si>
  <si>
    <t>YxOIfEqAGHJ</t>
  </si>
  <si>
    <t>Makang'wa</t>
  </si>
  <si>
    <t>Mlowa Barabarani Health Center</t>
  </si>
  <si>
    <t>FI8yz55dz7t</t>
  </si>
  <si>
    <t>Mnenia</t>
  </si>
  <si>
    <t>Mnenia Health Center</t>
  </si>
  <si>
    <t>CTT3AYSV96z</t>
  </si>
  <si>
    <t>Mondo</t>
  </si>
  <si>
    <t>Mondo Dispensary</t>
  </si>
  <si>
    <t>iaZW53FrWzp</t>
  </si>
  <si>
    <t>Mpalanga</t>
  </si>
  <si>
    <t>Mpalanga Dispensary</t>
  </si>
  <si>
    <t>I3bnCBLIOUg</t>
  </si>
  <si>
    <t>Mpamatwa Dispensary</t>
  </si>
  <si>
    <t>Ewp1SOEYY4A</t>
  </si>
  <si>
    <t>Mpunguzi Dispensary</t>
  </si>
  <si>
    <t>NcKkqQ0weuO</t>
  </si>
  <si>
    <t>Mpwapwa Mjini</t>
  </si>
  <si>
    <t>Mpwapwa District Hospital</t>
  </si>
  <si>
    <t>SbOeezkgkxi</t>
  </si>
  <si>
    <t>Mpwayungu</t>
  </si>
  <si>
    <t>Mpwayungu Health Center</t>
  </si>
  <si>
    <t>e0rnqByy8ia</t>
  </si>
  <si>
    <t>Mrijo</t>
  </si>
  <si>
    <t>Mrijo Health Center</t>
  </si>
  <si>
    <t>yjiBGeQ9eSm</t>
  </si>
  <si>
    <t>Msanga</t>
  </si>
  <si>
    <t>Msanga Dispensary</t>
  </si>
  <si>
    <t>q0RTM91LPKf</t>
  </si>
  <si>
    <t>Msisi</t>
  </si>
  <si>
    <t>Msisi Dispensary</t>
  </si>
  <si>
    <t>hfz4dPBVK9F</t>
  </si>
  <si>
    <t>Mtanana Dispensary</t>
  </si>
  <si>
    <t>KY53V8ao3xr</t>
  </si>
  <si>
    <t>Mtera</t>
  </si>
  <si>
    <t>Mtera Dispensary</t>
  </si>
  <si>
    <t>T53PQVYgYbk</t>
  </si>
  <si>
    <t>Mtera Tanesco Dispensary</t>
  </si>
  <si>
    <t>dndcoOmSVRn</t>
  </si>
  <si>
    <t>Mtitaa</t>
  </si>
  <si>
    <t>Mtitaa Health Center</t>
  </si>
  <si>
    <t>a6ayJWzVm6Z</t>
  </si>
  <si>
    <t>Mundemu</t>
  </si>
  <si>
    <t>Mundemu Health Center</t>
  </si>
  <si>
    <t>umsQSO7x6oq</t>
  </si>
  <si>
    <t>Mvumi Mission</t>
  </si>
  <si>
    <t>Mvumi Mission Hospital</t>
  </si>
  <si>
    <t>KQrPeIlbLUK</t>
  </si>
  <si>
    <t>Mwanakianga Dispensary</t>
  </si>
  <si>
    <t>ae8wbmpnrol</t>
  </si>
  <si>
    <t>Mwitikira</t>
  </si>
  <si>
    <t>Mwiitikira Health Center</t>
  </si>
  <si>
    <t>xvkbTM2WUqk</t>
  </si>
  <si>
    <t>Nghambi</t>
  </si>
  <si>
    <t>Ng'hambi Dispensary</t>
  </si>
  <si>
    <t>muQgzuM2tnC</t>
  </si>
  <si>
    <t>Nghonghona Dispensary</t>
  </si>
  <si>
    <t>PN06yVOKBWp</t>
  </si>
  <si>
    <t>Nghulugano Dispensary</t>
  </si>
  <si>
    <t>GO6UJtTT70U</t>
  </si>
  <si>
    <t>Ngomai</t>
  </si>
  <si>
    <t>Ngomai Dispensary</t>
  </si>
  <si>
    <t>JjndrWlUdky</t>
  </si>
  <si>
    <t>Njoge</t>
  </si>
  <si>
    <t>Njoge Dispensary</t>
  </si>
  <si>
    <t>nDEdjpWNurX</t>
  </si>
  <si>
    <t>Nkhome Dispensary</t>
  </si>
  <si>
    <t>iCWGDfcMrLf</t>
  </si>
  <si>
    <t>Nkulabi Dispensary</t>
  </si>
  <si>
    <t>RDEW3Qh4CeM</t>
  </si>
  <si>
    <t>Nondwa Dispensary</t>
  </si>
  <si>
    <t>TqhUMoFeJiw</t>
  </si>
  <si>
    <t>Chihanga</t>
  </si>
  <si>
    <t>Nzasa Dispensary</t>
  </si>
  <si>
    <t>sWnqop46NE4</t>
  </si>
  <si>
    <t>Nzuguni</t>
  </si>
  <si>
    <t>Nzuguni Dispensary</t>
  </si>
  <si>
    <t>qqFsT5vwiNj</t>
  </si>
  <si>
    <t>Ovada</t>
  </si>
  <si>
    <t>Ovada Dispensary</t>
  </si>
  <si>
    <t>vYSh1bCczUX</t>
  </si>
  <si>
    <t>Pahi</t>
  </si>
  <si>
    <t>Pahi Govt</t>
  </si>
  <si>
    <t>U7KZ5felBfl</t>
  </si>
  <si>
    <t>Pandambili</t>
  </si>
  <si>
    <t>Pandambili Dispensary</t>
  </si>
  <si>
    <t>gUHKrTOKCD8</t>
  </si>
  <si>
    <t>Pwaga</t>
  </si>
  <si>
    <t>Pwaga Health Center</t>
  </si>
  <si>
    <t>qY2EeAWVZrA</t>
  </si>
  <si>
    <t>Tambukareli</t>
  </si>
  <si>
    <t>Railway Dispensary</t>
  </si>
  <si>
    <t>guC2e5acV6k</t>
  </si>
  <si>
    <t>Rudi</t>
  </si>
  <si>
    <t>Rudi Health Center</t>
  </si>
  <si>
    <t>IlbcsFglOas</t>
  </si>
  <si>
    <t>Sagara Dispensary</t>
  </si>
  <si>
    <t>sH0BZ50HC3G</t>
  </si>
  <si>
    <t>Thawi</t>
  </si>
  <si>
    <t>Sakami Dispensary</t>
  </si>
  <si>
    <t>UVtBvguGE1l</t>
  </si>
  <si>
    <t>Songambele</t>
  </si>
  <si>
    <t>Songambele Dispensary</t>
  </si>
  <si>
    <t>LvMXzjGSGKV</t>
  </si>
  <si>
    <t>Soya Dispensary</t>
  </si>
  <si>
    <t>EaRRViOvC5g</t>
  </si>
  <si>
    <t>St. Gemma Gilgan Hospital</t>
  </si>
  <si>
    <t>CKpAgVkDXi0</t>
  </si>
  <si>
    <t>Ving'hawe</t>
  </si>
  <si>
    <t>St. Lukes Health Center</t>
  </si>
  <si>
    <t>C4TxOq9JMl2</t>
  </si>
  <si>
    <t>Tambi Dispensary</t>
  </si>
  <si>
    <t>URMOjIdUz8v</t>
  </si>
  <si>
    <t>Thawi Dispensary</t>
  </si>
  <si>
    <t>J0GYmZwVn6j</t>
  </si>
  <si>
    <t>Tubugwe Dispensary</t>
  </si>
  <si>
    <t>pVpMQjbiWGe</t>
  </si>
  <si>
    <t>Iyumbu</t>
  </si>
  <si>
    <t>UDOM Hospital</t>
  </si>
  <si>
    <t>DzZANKgWLsZ</t>
  </si>
  <si>
    <t>Ugogoni Health Center</t>
  </si>
  <si>
    <t>UbJHGsxvxEe</t>
  </si>
  <si>
    <t>Umati Chamwino Clinic</t>
  </si>
  <si>
    <t>zzbRHWE2TyL</t>
  </si>
  <si>
    <t>Makutupora</t>
  </si>
  <si>
    <t>Veyula Dispensary</t>
  </si>
  <si>
    <t>ZUuECn6hGeF</t>
  </si>
  <si>
    <t>Village of Hope Health Center</t>
  </si>
  <si>
    <t>tUY31w3gRzj</t>
  </si>
  <si>
    <t>Zanka Dispensary</t>
  </si>
  <si>
    <t>PnwaZxmugHM</t>
  </si>
  <si>
    <t>Zejele Dispensary</t>
  </si>
  <si>
    <t>OO4wczWBizi</t>
  </si>
  <si>
    <t>Zuzu</t>
  </si>
  <si>
    <t>Zuzu Dispensary</t>
  </si>
  <si>
    <t>fH5EQ7VQj7z</t>
  </si>
  <si>
    <t>Kilimanjaro</t>
  </si>
  <si>
    <t>Siha DC</t>
  </si>
  <si>
    <t>Karansi</t>
  </si>
  <si>
    <t>Ashengai Health Center</t>
  </si>
  <si>
    <t>YnzHDqtim6s</t>
  </si>
  <si>
    <t>Moshi MC</t>
  </si>
  <si>
    <t>Bondeni</t>
  </si>
  <si>
    <t>Bondeni Dispensary</t>
  </si>
  <si>
    <t>jgV66kom6Mz</t>
  </si>
  <si>
    <t>Same DC</t>
  </si>
  <si>
    <t>Bwambo</t>
  </si>
  <si>
    <t>Bwambo Health Center</t>
  </si>
  <si>
    <t>MsddktaHsa7</t>
  </si>
  <si>
    <t>Gararagua</t>
  </si>
  <si>
    <t>Charlote Health Center</t>
  </si>
  <si>
    <t>a7335V3rMOm</t>
  </si>
  <si>
    <t>Moshi DC</t>
  </si>
  <si>
    <t>Mabogini</t>
  </si>
  <si>
    <t>Chekereni RC Dispensary</t>
  </si>
  <si>
    <t>lOrNfZGGes9</t>
  </si>
  <si>
    <t>Faraja Health Center</t>
  </si>
  <si>
    <t>gPkyxeE8Pz8</t>
  </si>
  <si>
    <t>Bombo</t>
  </si>
  <si>
    <t>Gonja Bombo Hospital</t>
  </si>
  <si>
    <t>umgWbKkUInS</t>
  </si>
  <si>
    <t>Hai DC</t>
  </si>
  <si>
    <t>Hai Mjini</t>
  </si>
  <si>
    <t>Hai District Hospital</t>
  </si>
  <si>
    <t>H32wglLsifS</t>
  </si>
  <si>
    <t>Hedaru</t>
  </si>
  <si>
    <t>Hedaru Health Center</t>
  </si>
  <si>
    <t>Z2QHwX0smcB</t>
  </si>
  <si>
    <t>Himo COGI Dispensary</t>
  </si>
  <si>
    <t>Xime4FtcA5r</t>
  </si>
  <si>
    <t>Himo OPD Health Center</t>
  </si>
  <si>
    <t>FuQ8to06axT</t>
  </si>
  <si>
    <t>Rombo DC</t>
  </si>
  <si>
    <t>Holili</t>
  </si>
  <si>
    <t>Holili Health Center</t>
  </si>
  <si>
    <t>RSd6t37kTWD</t>
  </si>
  <si>
    <t>Kelamfua Mokala</t>
  </si>
  <si>
    <t>Huruma Hospital</t>
  </si>
  <si>
    <t>l57aKtqj9SK</t>
  </si>
  <si>
    <t>Imaculate Dispensary</t>
  </si>
  <si>
    <t>SkkagomuCDx</t>
  </si>
  <si>
    <t>Mwanga DC</t>
  </si>
  <si>
    <t>Lang'ata</t>
  </si>
  <si>
    <t>Kagongo Health Center</t>
  </si>
  <si>
    <t>S2T9PNNSILo</t>
  </si>
  <si>
    <t>Ubetu Kahe</t>
  </si>
  <si>
    <t>Kahe Dispensary</t>
  </si>
  <si>
    <t>MNkhHqkgd5n</t>
  </si>
  <si>
    <t>Kahe</t>
  </si>
  <si>
    <t>uoqb9h9OYWB</t>
  </si>
  <si>
    <t>Kitirima Kingachi</t>
  </si>
  <si>
    <t>Karume Health Center</t>
  </si>
  <si>
    <t>OIWlSbw0KRp</t>
  </si>
  <si>
    <t>Longuo B</t>
  </si>
  <si>
    <t>KCMC Referal Hospital</t>
  </si>
  <si>
    <t>mzSbzgFfiEv</t>
  </si>
  <si>
    <t>Keni Mengeni</t>
  </si>
  <si>
    <t>Keni Health Center</t>
  </si>
  <si>
    <t>Q7U7EjRbDDp</t>
  </si>
  <si>
    <t>KIA</t>
  </si>
  <si>
    <t>KIA Govt Dispensary</t>
  </si>
  <si>
    <t>Gl6fMdljbLX</t>
  </si>
  <si>
    <t>Ivaeny</t>
  </si>
  <si>
    <t>Kibong'oto TB Hospital</t>
  </si>
  <si>
    <t>GSXct5moJkF</t>
  </si>
  <si>
    <t>Kiboriloni</t>
  </si>
  <si>
    <t>Kiborloni Dispensary</t>
  </si>
  <si>
    <t>EXLpGRLfKW6</t>
  </si>
  <si>
    <t>Kibosho Mashariki</t>
  </si>
  <si>
    <t>Kibosho Hospital</t>
  </si>
  <si>
    <t>BdNBVRJ34pX</t>
  </si>
  <si>
    <t>Kileo</t>
  </si>
  <si>
    <t>Kifaru Dispensary</t>
  </si>
  <si>
    <t>XJFi3MHLdb6</t>
  </si>
  <si>
    <t>Kifula</t>
  </si>
  <si>
    <t>Kifula Health Center</t>
  </si>
  <si>
    <t>w11N4JPT0x6</t>
  </si>
  <si>
    <t>Kigonigoni</t>
  </si>
  <si>
    <t>Kigonigoni Health Center</t>
  </si>
  <si>
    <t>iVZSZDNIlZI</t>
  </si>
  <si>
    <t>Old Moshi Mashariki</t>
  </si>
  <si>
    <t>Kikarara Dispensary</t>
  </si>
  <si>
    <t>PPrMXOyJp96</t>
  </si>
  <si>
    <t>Machame Weruweru</t>
  </si>
  <si>
    <t>Kikavu Chini Dispensary</t>
  </si>
  <si>
    <t>swmn854gwLX</t>
  </si>
  <si>
    <t>Msangeni</t>
  </si>
  <si>
    <t>Kikweni Dispensary</t>
  </si>
  <si>
    <t>jzgT3RN1k0K</t>
  </si>
  <si>
    <t>Kilema Kati</t>
  </si>
  <si>
    <t>Kilema Hospital</t>
  </si>
  <si>
    <t>iSW2OEfgaB0</t>
  </si>
  <si>
    <t>Kilema Kusini</t>
  </si>
  <si>
    <t>Kilema Pofo Dispensary</t>
  </si>
  <si>
    <t>XdhcW1ZJmIy</t>
  </si>
  <si>
    <t>Kirua Vunjo Magharibi</t>
  </si>
  <si>
    <t>Kirua Health Center</t>
  </si>
  <si>
    <t>pEvTGcRiuyU</t>
  </si>
  <si>
    <t>Kirwa Keni</t>
  </si>
  <si>
    <t>Kirwa Mashati Health Center</t>
  </si>
  <si>
    <t>yt8dRMOX3Pm</t>
  </si>
  <si>
    <t>Lembeni</t>
  </si>
  <si>
    <t>Kisangara Health Center</t>
  </si>
  <si>
    <t>x64PignSHiF</t>
  </si>
  <si>
    <t>Machame Kaskazini</t>
  </si>
  <si>
    <t>Kisiki Health Center</t>
  </si>
  <si>
    <t>yJrvCXphLJg</t>
  </si>
  <si>
    <t>Kisiwani</t>
  </si>
  <si>
    <t>Kisiwani Health Center</t>
  </si>
  <si>
    <t>pmFxsXjnZTR</t>
  </si>
  <si>
    <t>Korongoni</t>
  </si>
  <si>
    <t>Korongoni Dispensary</t>
  </si>
  <si>
    <t>ZOdvlLfTctk</t>
  </si>
  <si>
    <t>Kahe Mashariki</t>
  </si>
  <si>
    <t>Kyomu Dispensary</t>
  </si>
  <si>
    <t>eJoop7PVwYf</t>
  </si>
  <si>
    <t>Livishi</t>
  </si>
  <si>
    <t>Levishi Dispensary</t>
  </si>
  <si>
    <t>Lx9O6vI0TSs</t>
  </si>
  <si>
    <t>Machame Mashariki</t>
  </si>
  <si>
    <t>Lyamungo Health Center</t>
  </si>
  <si>
    <t>vwQnm09aNfp</t>
  </si>
  <si>
    <t>Mabogini Dispensary</t>
  </si>
  <si>
    <t>CqzwqgXZzHW</t>
  </si>
  <si>
    <t>Machame Hospital</t>
  </si>
  <si>
    <t>vWwDK254Okb</t>
  </si>
  <si>
    <t>Machame Kusini</t>
  </si>
  <si>
    <t>Maili Sita RC Dispensary</t>
  </si>
  <si>
    <t>uQasoVPqvTG</t>
  </si>
  <si>
    <t>Majengo Health Center</t>
  </si>
  <si>
    <t>e18PQnXrGHz</t>
  </si>
  <si>
    <t>Kiruavunjo Kusini</t>
  </si>
  <si>
    <t>Makaa Pumwani Dispensary</t>
  </si>
  <si>
    <t>ziS0w5Z0gp9</t>
  </si>
  <si>
    <t>Makanya</t>
  </si>
  <si>
    <t>Makanya Health Center</t>
  </si>
  <si>
    <t>heqdTuQ4nVI</t>
  </si>
  <si>
    <t>Makanya Kitivo Dispensary</t>
  </si>
  <si>
    <t>zlTchTQkMY4</t>
  </si>
  <si>
    <t>MgKoXfwe0qs</t>
  </si>
  <si>
    <t>Maore</t>
  </si>
  <si>
    <t>Maore Dispensary</t>
  </si>
  <si>
    <t>EA9QSH5E9rT</t>
  </si>
  <si>
    <t>Marangu Mashariki</t>
  </si>
  <si>
    <t>Marangu Hospital</t>
  </si>
  <si>
    <t>aS8xS9udCEb</t>
  </si>
  <si>
    <t>Masama Mashariki</t>
  </si>
  <si>
    <t>Masama Health Center</t>
  </si>
  <si>
    <t>TbP7lvi2d6U</t>
  </si>
  <si>
    <t>Mawenzi</t>
  </si>
  <si>
    <t>Mawenzi Hospital</t>
  </si>
  <si>
    <t>O4nN5UviHtb</t>
  </si>
  <si>
    <t>Moshes Health Center</t>
  </si>
  <si>
    <t>IMo8jiYPN3x</t>
  </si>
  <si>
    <t>Ng'ambo</t>
  </si>
  <si>
    <t>Msaranga Dispensary</t>
  </si>
  <si>
    <t>FX3sU5mzgXC</t>
  </si>
  <si>
    <t>Mtakuja Dispensary</t>
  </si>
  <si>
    <t>CeYHbVX07Aa</t>
  </si>
  <si>
    <t>Mwanga</t>
  </si>
  <si>
    <t>Mwanga Health Center</t>
  </si>
  <si>
    <t>Wg3kxqZvjy6</t>
  </si>
  <si>
    <t>Mwika Kaskazini</t>
  </si>
  <si>
    <t>Mwika Health Center</t>
  </si>
  <si>
    <t>VHdizOLlCcM</t>
  </si>
  <si>
    <t>Biriri</t>
  </si>
  <si>
    <t>Naibili Dispensary</t>
  </si>
  <si>
    <t>L8c8qYknyd1</t>
  </si>
  <si>
    <t>Ndungu</t>
  </si>
  <si>
    <t>Ndungu Health Center</t>
  </si>
  <si>
    <t>bX98B3p125A</t>
  </si>
  <si>
    <t>Neema Health Center</t>
  </si>
  <si>
    <t>oOHflfGAo0t</t>
  </si>
  <si>
    <t>Ngarenairobi</t>
  </si>
  <si>
    <t>Ngarenairobi Dispensary</t>
  </si>
  <si>
    <t>dZ6O2x9Nbc3</t>
  </si>
  <si>
    <t>Ngoyoni</t>
  </si>
  <si>
    <t>Ngoyoni Hospital</t>
  </si>
  <si>
    <t>H8MHwDT5LEX</t>
  </si>
  <si>
    <t>Njoro</t>
  </si>
  <si>
    <t>Njoro Dispensary</t>
  </si>
  <si>
    <t>RqxywsnxG5B</t>
  </si>
  <si>
    <t>Masama Magharibi</t>
  </si>
  <si>
    <t>Nkwansira Health Center</t>
  </si>
  <si>
    <t>V2m0GCVZ735</t>
  </si>
  <si>
    <t>Kiusa</t>
  </si>
  <si>
    <t>Papri Dispensary</t>
  </si>
  <si>
    <t>fyXn8nk3SVx</t>
  </si>
  <si>
    <t>Boma Mbuzi</t>
  </si>
  <si>
    <t>Pasua Health Center</t>
  </si>
  <si>
    <t>fJm3k6nWBv9</t>
  </si>
  <si>
    <t>Rau</t>
  </si>
  <si>
    <t>Rau Dispensary</t>
  </si>
  <si>
    <t>AK9l0Uij1A3</t>
  </si>
  <si>
    <t>Motamburu Kitendeni</t>
  </si>
  <si>
    <t>Rongai Dispensary</t>
  </si>
  <si>
    <t>BSq5SofHdES</t>
  </si>
  <si>
    <t>Masama Rundugai</t>
  </si>
  <si>
    <t>Rundugai Dispensary</t>
  </si>
  <si>
    <t>ER0AFFZz9bE</t>
  </si>
  <si>
    <t>Same</t>
  </si>
  <si>
    <t>Same Hospital</t>
  </si>
  <si>
    <t>SySFSGmIUr6</t>
  </si>
  <si>
    <t>Sanya Juu</t>
  </si>
  <si>
    <t>Sanya Juu Lutheran Health Center</t>
  </si>
  <si>
    <t>N3j9hD0lIWP</t>
  </si>
  <si>
    <t>Sanya Juu RC Dispensary</t>
  </si>
  <si>
    <t>D9gdIGY57dl</t>
  </si>
  <si>
    <t>Chome</t>
  </si>
  <si>
    <t>Shengena Health Center</t>
  </si>
  <si>
    <t>fOZAy8vpDh7</t>
  </si>
  <si>
    <t>Uru Shimbwe</t>
  </si>
  <si>
    <t>Shimbwe Health Center</t>
  </si>
  <si>
    <t>OlnAUL94Brl</t>
  </si>
  <si>
    <t>Shirimatunda</t>
  </si>
  <si>
    <t>Shirimatunda Dispensary</t>
  </si>
  <si>
    <t>tAtz6KnCWrH</t>
  </si>
  <si>
    <t>Shirimgungani Dispensary</t>
  </si>
  <si>
    <t>VsbAhLi12A5</t>
  </si>
  <si>
    <t>Siha District Hospital</t>
  </si>
  <si>
    <t>jEIVE89LvkC</t>
  </si>
  <si>
    <t>Siha health Center</t>
  </si>
  <si>
    <t>RLkTSPu66Ty</t>
  </si>
  <si>
    <t>SIIMA Health Center</t>
  </si>
  <si>
    <t>R2vEVSiQPQC</t>
  </si>
  <si>
    <t>Soweto</t>
  </si>
  <si>
    <t>St. Joseph Hospital</t>
  </si>
  <si>
    <t>Ox24wFnPHiN</t>
  </si>
  <si>
    <t>Tarakea Motamburu</t>
  </si>
  <si>
    <t>Tarakea Health Center</t>
  </si>
  <si>
    <t>OIO0oNhelQM</t>
  </si>
  <si>
    <t>Arusha Chini</t>
  </si>
  <si>
    <t>TPC Hospital</t>
  </si>
  <si>
    <t>xCQBwPBz5Xj</t>
  </si>
  <si>
    <t>Kibosho Magharibi</t>
  </si>
  <si>
    <t>Umbwe Health Center</t>
  </si>
  <si>
    <t>Fxsr7ZDyNcu</t>
  </si>
  <si>
    <t>Upendo Dispensary</t>
  </si>
  <si>
    <t>kN5szzGVVPA</t>
  </si>
  <si>
    <t>Uru Kaskazini</t>
  </si>
  <si>
    <t>Uru Kaskazini Dispensary</t>
  </si>
  <si>
    <t>bZTYSMB1mzT</t>
  </si>
  <si>
    <t>Uru Mashariki</t>
  </si>
  <si>
    <t>Uru Kyaseni Health Center</t>
  </si>
  <si>
    <t>XRyLwWX2FCr</t>
  </si>
  <si>
    <t>Kighare</t>
  </si>
  <si>
    <t>Usangi District Hospital</t>
  </si>
  <si>
    <t>xU715Z9uoPN</t>
  </si>
  <si>
    <t>Manyara</t>
  </si>
  <si>
    <t>Kiteto DC</t>
  </si>
  <si>
    <t>Sunya</t>
  </si>
  <si>
    <t>Asamatwa Dispensary</t>
  </si>
  <si>
    <t>Hm48W2usGXa</t>
  </si>
  <si>
    <t>Babati TC</t>
  </si>
  <si>
    <t>Bagara</t>
  </si>
  <si>
    <t>Babati RC Dispensary</t>
  </si>
  <si>
    <t>oRTNggd3OxT</t>
  </si>
  <si>
    <t>Babati</t>
  </si>
  <si>
    <t>Babati Town Hospital</t>
  </si>
  <si>
    <t>YC4myequeDn</t>
  </si>
  <si>
    <t>Mbulu DC</t>
  </si>
  <si>
    <t>Bashay</t>
  </si>
  <si>
    <t>Bashay Dispensary</t>
  </si>
  <si>
    <t>eCNrWanqg0w</t>
  </si>
  <si>
    <t>Babati DC</t>
  </si>
  <si>
    <t>Bashnet</t>
  </si>
  <si>
    <t>Bashnet Hospital</t>
  </si>
  <si>
    <t>qMa6PmSTFDb</t>
  </si>
  <si>
    <t>Hanang DC</t>
  </si>
  <si>
    <t>Bassotu</t>
  </si>
  <si>
    <t>Bassotu Dispensary</t>
  </si>
  <si>
    <t>NbGMoYOcMOY</t>
  </si>
  <si>
    <t>Bonga</t>
  </si>
  <si>
    <t>Bonga Health Center</t>
  </si>
  <si>
    <t>tXhoKpdkzMD</t>
  </si>
  <si>
    <t>Bwagamoyo</t>
  </si>
  <si>
    <t>Bwagamoyo Dispensary</t>
  </si>
  <si>
    <t>tNtahLAJhOR</t>
  </si>
  <si>
    <t>Simanjiro DC</t>
  </si>
  <si>
    <t>Mrerani</t>
  </si>
  <si>
    <t>Calvary Dispensary</t>
  </si>
  <si>
    <t>F9A1y0XBwgi</t>
  </si>
  <si>
    <t>Dareda</t>
  </si>
  <si>
    <t>Dareda Hospital</t>
  </si>
  <si>
    <t>Dp3rtgtfIFF</t>
  </si>
  <si>
    <t>Daudi</t>
  </si>
  <si>
    <t>Daudi Dispensary</t>
  </si>
  <si>
    <t>vvy5cPW2NnJ</t>
  </si>
  <si>
    <t>Dongo</t>
  </si>
  <si>
    <t>Dongo Dispensary</t>
  </si>
  <si>
    <t>clfMiN7t4oi</t>
  </si>
  <si>
    <t>Dongobesh</t>
  </si>
  <si>
    <t>Dongobesh Health Center</t>
  </si>
  <si>
    <t>keCluxPGkqO</t>
  </si>
  <si>
    <t>Emarti Dispensary</t>
  </si>
  <si>
    <t>OWzlK0QFLyf</t>
  </si>
  <si>
    <t>Emboreet</t>
  </si>
  <si>
    <t>Emboreet Health Center</t>
  </si>
  <si>
    <t>Pl878H0dW6t</t>
  </si>
  <si>
    <t>Endasak</t>
  </si>
  <si>
    <t>Endasak Dispensary</t>
  </si>
  <si>
    <t>p6OQT6Wjl35</t>
  </si>
  <si>
    <t>Engonongoi Dispensary</t>
  </si>
  <si>
    <t>RYJZ1FyyRmL</t>
  </si>
  <si>
    <t>Engusero</t>
  </si>
  <si>
    <t>Engusero Health Center</t>
  </si>
  <si>
    <t>uS3QKrq2t9W</t>
  </si>
  <si>
    <t>Gallapo</t>
  </si>
  <si>
    <t>Gallapo Health Center</t>
  </si>
  <si>
    <t>POxTI7ekTAs</t>
  </si>
  <si>
    <t>Gendabi</t>
  </si>
  <si>
    <t>Gendabi Health Center</t>
  </si>
  <si>
    <t>JhASbKPHApc</t>
  </si>
  <si>
    <t>Gidas</t>
  </si>
  <si>
    <t>Gidas Health Center</t>
  </si>
  <si>
    <t>jMADqQzHl46</t>
  </si>
  <si>
    <t>Ruvu Remiti</t>
  </si>
  <si>
    <t>Gunge Dispensary</t>
  </si>
  <si>
    <t>KFI7eRyi92B</t>
  </si>
  <si>
    <t>Hayderer</t>
  </si>
  <si>
    <t>Haydarer Dispensary</t>
  </si>
  <si>
    <t>QRvQodV8ctU</t>
  </si>
  <si>
    <t>Haydom</t>
  </si>
  <si>
    <t>Hydom Lutheran Hospital</t>
  </si>
  <si>
    <t>OWMG9Wj9MzK</t>
  </si>
  <si>
    <t>Mbulu TC</t>
  </si>
  <si>
    <t>Kainam</t>
  </si>
  <si>
    <t>Kainam Dispensary</t>
  </si>
  <si>
    <t>Si2ovtj1kIW</t>
  </si>
  <si>
    <t>Katesh</t>
  </si>
  <si>
    <t>Katesh Health Center</t>
  </si>
  <si>
    <t>s7n2YHCY9R2</t>
  </si>
  <si>
    <t>Kibaya</t>
  </si>
  <si>
    <t>Kibaya Hospital</t>
  </si>
  <si>
    <t>TIAOn3flmSf</t>
  </si>
  <si>
    <t>Kijungu</t>
  </si>
  <si>
    <t>Kijungu Dispensary</t>
  </si>
  <si>
    <t>ha5KY2J0lIZ</t>
  </si>
  <si>
    <t>Shambarai</t>
  </si>
  <si>
    <t>Kilombero Dispensary</t>
  </si>
  <si>
    <t>OSjAZHq3PNR</t>
  </si>
  <si>
    <t>Loiborsiret</t>
  </si>
  <si>
    <t>Kimotorok Dispensary</t>
  </si>
  <si>
    <t>Wl8wGdHRGN1</t>
  </si>
  <si>
    <t>Maisaka</t>
  </si>
  <si>
    <t>Kiongozi Dispensary</t>
  </si>
  <si>
    <t>EoebORoQaqz</t>
  </si>
  <si>
    <t>Olboloti</t>
  </si>
  <si>
    <t>Kiperesa Dispensary</t>
  </si>
  <si>
    <t>oxDoMGkDQzy</t>
  </si>
  <si>
    <t>Kipok Dispensary</t>
  </si>
  <si>
    <t>y6wjTE92baX</t>
  </si>
  <si>
    <t>Kiru</t>
  </si>
  <si>
    <t>Kiru Dispensary</t>
  </si>
  <si>
    <t>o0Q8LkjToOP</t>
  </si>
  <si>
    <t>Kitwai</t>
  </si>
  <si>
    <t>Kitwai A Dispensary</t>
  </si>
  <si>
    <t>opwbxzA0SxO</t>
  </si>
  <si>
    <t>Komolo</t>
  </si>
  <si>
    <t>Komolo Dispensary</t>
  </si>
  <si>
    <t>xnLQ6iHEMl0</t>
  </si>
  <si>
    <t>Maghang</t>
  </si>
  <si>
    <t>Labay Pentecoste Dispensary</t>
  </si>
  <si>
    <t>i3FmyyPnFsY</t>
  </si>
  <si>
    <t>Naberera</t>
  </si>
  <si>
    <t>Landanai Dispensary</t>
  </si>
  <si>
    <t>u8Z5X7umrKF</t>
  </si>
  <si>
    <t>Naisinyai</t>
  </si>
  <si>
    <t>Lengasiti Dispensary</t>
  </si>
  <si>
    <t>V3AT5xzqmnd</t>
  </si>
  <si>
    <t>Lobosiret Dispensary</t>
  </si>
  <si>
    <t>NSjnORHNMsq</t>
  </si>
  <si>
    <t>Magara</t>
  </si>
  <si>
    <t>Magara Health Center</t>
  </si>
  <si>
    <t>UhZhYnEVIlk</t>
  </si>
  <si>
    <t>Magugu</t>
  </si>
  <si>
    <t>Magugu Health Center</t>
  </si>
  <si>
    <t>cM3Y5if2Jqp</t>
  </si>
  <si>
    <t>Malangi Dispensary</t>
  </si>
  <si>
    <t>wE4pOav0ksB</t>
  </si>
  <si>
    <t>Mamire</t>
  </si>
  <si>
    <t>Mamire Health Center</t>
  </si>
  <si>
    <t>LHXkMX09pp6</t>
  </si>
  <si>
    <t>Manyara Regional Hospital</t>
  </si>
  <si>
    <t>sPnks3ULfzh</t>
  </si>
  <si>
    <t>Maretadu</t>
  </si>
  <si>
    <t>Maretadu Dispensary</t>
  </si>
  <si>
    <t>wbI3tayWWm3</t>
  </si>
  <si>
    <t>Matui</t>
  </si>
  <si>
    <t>Matui Azimio Dispensary</t>
  </si>
  <si>
    <t>kCo6yS73mKp</t>
  </si>
  <si>
    <t>Sanu Baray</t>
  </si>
  <si>
    <t>Mbulu Hospital</t>
  </si>
  <si>
    <t>OxiUumWLJry</t>
  </si>
  <si>
    <t>Endiamtu</t>
  </si>
  <si>
    <t>Mirerani Health Center</t>
  </si>
  <si>
    <t>yyh3ldMnCqw</t>
  </si>
  <si>
    <t>Msitu wa Tembo</t>
  </si>
  <si>
    <t>Msitu wa Tembo Dispensary</t>
  </si>
  <si>
    <t>k0THP58Q2jA</t>
  </si>
  <si>
    <t>Mwada</t>
  </si>
  <si>
    <t>Mwada Dispensary</t>
  </si>
  <si>
    <t>TTzq8jvhQLa</t>
  </si>
  <si>
    <t>Naberera Health Center</t>
  </si>
  <si>
    <t>Sas4inTdsn7</t>
  </si>
  <si>
    <t>Naisinyai Dispensary</t>
  </si>
  <si>
    <t>DPvLCtVV1fE</t>
  </si>
  <si>
    <t>Namalulu Dispensary</t>
  </si>
  <si>
    <t>F3LX6VorS69</t>
  </si>
  <si>
    <t>Ndaleta Dispensary</t>
  </si>
  <si>
    <t>JFi5ZngxtG9</t>
  </si>
  <si>
    <t>Ndedo</t>
  </si>
  <si>
    <t>Ndedo Dispensary</t>
  </si>
  <si>
    <t>OVww8PN6jdv</t>
  </si>
  <si>
    <t>Liborsoit</t>
  </si>
  <si>
    <t>Ngage Dispensary</t>
  </si>
  <si>
    <t>s2mEKIAhowY</t>
  </si>
  <si>
    <t>Ngorika</t>
  </si>
  <si>
    <t>Ngorika Dispensary</t>
  </si>
  <si>
    <t>FBxZJ72lHQM</t>
  </si>
  <si>
    <t>USpZAV2rtji</t>
  </si>
  <si>
    <t>Nyumba ya Mungu Dispensary</t>
  </si>
  <si>
    <t>aH7J4xxE7qg</t>
  </si>
  <si>
    <t>Orkesumet</t>
  </si>
  <si>
    <t>Orkesumet Health Center</t>
  </si>
  <si>
    <t>eUe2oj8pBRp</t>
  </si>
  <si>
    <t>Orkesumet Lutheran Hospital</t>
  </si>
  <si>
    <t>kgkqXguSvhF</t>
  </si>
  <si>
    <t>RC Mererani Dispensary</t>
  </si>
  <si>
    <t>Rug5Jx8xMVJ</t>
  </si>
  <si>
    <t>Riroda</t>
  </si>
  <si>
    <t>Riroda Public Dispensary</t>
  </si>
  <si>
    <t>fBDng9a6xmT</t>
  </si>
  <si>
    <t>Ruvu Remit Dispensary</t>
  </si>
  <si>
    <t>Zuoti8S10SH</t>
  </si>
  <si>
    <t>Sabilo Dispensary</t>
  </si>
  <si>
    <t>Fb3mHHm2pEs</t>
  </si>
  <si>
    <t>m4O6PehLsi1</t>
  </si>
  <si>
    <t>St. Alfred Riroda Dispensary</t>
  </si>
  <si>
    <t>xUFgvQYf66Q</t>
  </si>
  <si>
    <t>Masieda</t>
  </si>
  <si>
    <t>St. Alois Health Center</t>
  </si>
  <si>
    <t>UEh5yPxgWcB</t>
  </si>
  <si>
    <t>Sukuro Dispensary</t>
  </si>
  <si>
    <t>QTDhqPadI7q</t>
  </si>
  <si>
    <t>Sunya Health Center</t>
  </si>
  <si>
    <t>Uog0cksni8j</t>
  </si>
  <si>
    <t>Terrat Dispensary</t>
  </si>
  <si>
    <t>gFz5EsVW0LX</t>
  </si>
  <si>
    <t>Tumaini Hospital</t>
  </si>
  <si>
    <t>E3b007udXJO</t>
  </si>
  <si>
    <t>Singida</t>
  </si>
  <si>
    <t>Iramba DC</t>
  </si>
  <si>
    <t>Kiomboi</t>
  </si>
  <si>
    <t>Bomani Dispensary</t>
  </si>
  <si>
    <t>Ds6hoqP633F</t>
  </si>
  <si>
    <t>Manyoni DC</t>
  </si>
  <si>
    <t>Wh43rnbHu0k</t>
  </si>
  <si>
    <t>Chikuyu</t>
  </si>
  <si>
    <t>Chikuyu Dispensary</t>
  </si>
  <si>
    <t>m9IPB5W2ui5</t>
  </si>
  <si>
    <t>Mkalama DC</t>
  </si>
  <si>
    <t>Mwangeza</t>
  </si>
  <si>
    <t>Dominic Dispensary</t>
  </si>
  <si>
    <t>HOdPAXnaKgD</t>
  </si>
  <si>
    <t>Tulya</t>
  </si>
  <si>
    <t>Doromoni Dispensary</t>
  </si>
  <si>
    <t>F5YLv2Qe3LH</t>
  </si>
  <si>
    <t>Itigi DC</t>
  </si>
  <si>
    <t>Kitaraka</t>
  </si>
  <si>
    <t>Doroto Dispensary</t>
  </si>
  <si>
    <t>y3UeJKrJ3wp</t>
  </si>
  <si>
    <t>Singida MC</t>
  </si>
  <si>
    <t>Utemini</t>
  </si>
  <si>
    <t>EAGT Utemini Dispensary</t>
  </si>
  <si>
    <t>BmMyrNuj6RH</t>
  </si>
  <si>
    <t>Heka</t>
  </si>
  <si>
    <t>Eletra Bosco Dispensary</t>
  </si>
  <si>
    <t>oP49AJl9PMe</t>
  </si>
  <si>
    <t>Gumanga</t>
  </si>
  <si>
    <t>Gumanga Dispensary</t>
  </si>
  <si>
    <t>jOG25nSDBbR</t>
  </si>
  <si>
    <t>Ilunda</t>
  </si>
  <si>
    <t>Iambi ELCT Hospital</t>
  </si>
  <si>
    <t>vk4LrOLhUey</t>
  </si>
  <si>
    <t>Idodyandole</t>
  </si>
  <si>
    <t>Idodyandole Dispensary</t>
  </si>
  <si>
    <t>gw5xiUIssDi</t>
  </si>
  <si>
    <t>Ikungi DC</t>
  </si>
  <si>
    <t>Ighombwe</t>
  </si>
  <si>
    <t>Ighombwe Dispensary</t>
  </si>
  <si>
    <t>uPPW9FYgBKQ</t>
  </si>
  <si>
    <t>Iglansoni</t>
  </si>
  <si>
    <t>Iglansoni Dispensary</t>
  </si>
  <si>
    <t>Ksl44TAO0xF</t>
  </si>
  <si>
    <t>Iguguno</t>
  </si>
  <si>
    <t>Iguguno Dispensary</t>
  </si>
  <si>
    <t>eXBYDeWs7sl</t>
  </si>
  <si>
    <t>Iguguno RC Dispensary</t>
  </si>
  <si>
    <t>c0MndohPBsb</t>
  </si>
  <si>
    <t>Isseke</t>
  </si>
  <si>
    <t>Igwamadete Dispensary</t>
  </si>
  <si>
    <t>JGa5loOablm</t>
  </si>
  <si>
    <t>Ihanja</t>
  </si>
  <si>
    <t>Ihanja Health Center</t>
  </si>
  <si>
    <t>fA9JHQsNQIh</t>
  </si>
  <si>
    <t>Ikungi</t>
  </si>
  <si>
    <t>Ikungi Health Center</t>
  </si>
  <si>
    <t>F4ocpWKl1zu</t>
  </si>
  <si>
    <t>Singida DC</t>
  </si>
  <si>
    <t>Ilongero</t>
  </si>
  <si>
    <t>Ilongero Health Center</t>
  </si>
  <si>
    <t>zBK0Swy4PWU</t>
  </si>
  <si>
    <t>Mgandu</t>
  </si>
  <si>
    <t>Itagata Dispensary</t>
  </si>
  <si>
    <t>A7H0Bj3oEUb</t>
  </si>
  <si>
    <t>Itaja</t>
  </si>
  <si>
    <t>Itaja Dispensary</t>
  </si>
  <si>
    <t>xNuTBqUD1CF</t>
  </si>
  <si>
    <t>Itigi Majengo</t>
  </si>
  <si>
    <t>Itigi Health Center</t>
  </si>
  <si>
    <t>tktiBXhdLNC</t>
  </si>
  <si>
    <t>Kaselya</t>
  </si>
  <si>
    <t>Kaselya Dispensary</t>
  </si>
  <si>
    <t>wj0v8Ax2R2k</t>
  </si>
  <si>
    <t>Shelui</t>
  </si>
  <si>
    <t>Kibigiri Dispensary</t>
  </si>
  <si>
    <t>Y5NLQUn0ySZ</t>
  </si>
  <si>
    <t>Kidaru</t>
  </si>
  <si>
    <t>Kidaru Dispensary</t>
  </si>
  <si>
    <t>z3qmLgwuQwS</t>
  </si>
  <si>
    <t>Solya</t>
  </si>
  <si>
    <t>Kilimatinde Hospital</t>
  </si>
  <si>
    <t>DvMZMOliEMg</t>
  </si>
  <si>
    <t>Kinampanda</t>
  </si>
  <si>
    <t>Kinampanda Health Center</t>
  </si>
  <si>
    <t>uTu73s9Jyd4</t>
  </si>
  <si>
    <t>Majiri</t>
  </si>
  <si>
    <t>Kinangali Dispensary</t>
  </si>
  <si>
    <t>cziV9MZvghm</t>
  </si>
  <si>
    <t>Mtunduru</t>
  </si>
  <si>
    <t>Kintandaa Dispensary</t>
  </si>
  <si>
    <t>iHa4SxjJIqs</t>
  </si>
  <si>
    <t>Mwamagembe</t>
  </si>
  <si>
    <t>Kintanula Dispensary</t>
  </si>
  <si>
    <t>N5xJgGNQEbZ</t>
  </si>
  <si>
    <t>Kintinku</t>
  </si>
  <si>
    <t>Kintinku Health Center</t>
  </si>
  <si>
    <t>bXn9b3ySqcY</t>
  </si>
  <si>
    <t>Nkinto</t>
  </si>
  <si>
    <t>Kinyambuli Health Center</t>
  </si>
  <si>
    <t>j9lfgNapcK6</t>
  </si>
  <si>
    <t>Kinyangiri</t>
  </si>
  <si>
    <t>Kinyangiri Health Center</t>
  </si>
  <si>
    <t>vznSllthow8</t>
  </si>
  <si>
    <t>Kinyeto</t>
  </si>
  <si>
    <t>Kinyeto Dispensary</t>
  </si>
  <si>
    <t>xt7npagKTti</t>
  </si>
  <si>
    <t>Kiomboi Hospital</t>
  </si>
  <si>
    <t>rXOwjCuPoqu</t>
  </si>
  <si>
    <t>Kyengege</t>
  </si>
  <si>
    <t>Kyengege Health Center</t>
  </si>
  <si>
    <t>AQkzUHYZhin</t>
  </si>
  <si>
    <t>Makuru</t>
  </si>
  <si>
    <t>Londoni Dispensary</t>
  </si>
  <si>
    <t>f8d2QFShGCb</t>
  </si>
  <si>
    <t>Luono Dispensary</t>
  </si>
  <si>
    <t>a2Ze7109ES6</t>
  </si>
  <si>
    <t>Minyughe</t>
  </si>
  <si>
    <t>Makilawa Dispensary</t>
  </si>
  <si>
    <t>YIHta2d6BMG</t>
  </si>
  <si>
    <t>Mungaa</t>
  </si>
  <si>
    <t>Makiungu Hospital</t>
  </si>
  <si>
    <t>NeGbQFFTVgt</t>
  </si>
  <si>
    <t>Maluga Dispensary</t>
  </si>
  <si>
    <t>qpQLGtXO1lL</t>
  </si>
  <si>
    <t>Manyoni</t>
  </si>
  <si>
    <t>Manyoni District Hospital</t>
  </si>
  <si>
    <t>gocLA3DsGuo</t>
  </si>
  <si>
    <t>Matongo Dispensary</t>
  </si>
  <si>
    <t>lRsqzpXRdqm</t>
  </si>
  <si>
    <t>Mbelekese</t>
  </si>
  <si>
    <t>Mbelekese Dispensary</t>
  </si>
  <si>
    <t>OJloEEIlMCR</t>
  </si>
  <si>
    <t>Mgandu Dispensary</t>
  </si>
  <si>
    <t>KDhxY3quLCY</t>
  </si>
  <si>
    <t>Mgongo</t>
  </si>
  <si>
    <t>Mgongo Health Center</t>
  </si>
  <si>
    <t>imzp3bxAiR7</t>
  </si>
  <si>
    <t>Mgori</t>
  </si>
  <si>
    <t>Mgori Health Center</t>
  </si>
  <si>
    <t>XEEVmTsbgr7</t>
  </si>
  <si>
    <t>Mgungira</t>
  </si>
  <si>
    <t>Mgungira Dispensary</t>
  </si>
  <si>
    <t>fYDKTeRRa00</t>
  </si>
  <si>
    <t>Muhintiri</t>
  </si>
  <si>
    <t>Mhintiri Dispensary</t>
  </si>
  <si>
    <t>c70Hpw2wvsl</t>
  </si>
  <si>
    <t>Minyughe Dispensary</t>
  </si>
  <si>
    <t>djak6fHOzPk</t>
  </si>
  <si>
    <t>Ulemo</t>
  </si>
  <si>
    <t>Misigiri Dispensary</t>
  </si>
  <si>
    <t>mflVv9PoWrX</t>
  </si>
  <si>
    <t>Misughaa</t>
  </si>
  <si>
    <t>Misughaa Dispensary</t>
  </si>
  <si>
    <t>oz4wV0RCA8A</t>
  </si>
  <si>
    <t>Mitundu</t>
  </si>
  <si>
    <t>Mitundu Dispensary</t>
  </si>
  <si>
    <t>v2hoVpNNLLz</t>
  </si>
  <si>
    <t>Mitundu Health Center</t>
  </si>
  <si>
    <t>DvLBPHEyZPY</t>
  </si>
  <si>
    <t>Ibaga</t>
  </si>
  <si>
    <t>Mkalama Health Center</t>
  </si>
  <si>
    <t>XUJUFm4ohAC</t>
  </si>
  <si>
    <t>Mitunduruni</t>
  </si>
  <si>
    <t>Moyo wa Yesu na Maria Dispensary</t>
  </si>
  <si>
    <t>a0GBRdGUhKN</t>
  </si>
  <si>
    <t>Nkonko</t>
  </si>
  <si>
    <t>Mpola Dispensary</t>
  </si>
  <si>
    <t>LSliDW416R5</t>
  </si>
  <si>
    <t>Msange</t>
  </si>
  <si>
    <t>Msange Dispensary</t>
  </si>
  <si>
    <t>WQrJcX9pXpe</t>
  </si>
  <si>
    <t>Msosa Dispensary</t>
  </si>
  <si>
    <t>evT0ozlNfnY</t>
  </si>
  <si>
    <t>Mtekente</t>
  </si>
  <si>
    <t>Mtenkente Dispensary</t>
  </si>
  <si>
    <t>OpvjykY5Rg3</t>
  </si>
  <si>
    <t>Mtipa</t>
  </si>
  <si>
    <t>Mtipa Dispensary</t>
  </si>
  <si>
    <t>eYYJ2x33LSm</t>
  </si>
  <si>
    <t>Mtoa</t>
  </si>
  <si>
    <t>Mtoa Dispensary</t>
  </si>
  <si>
    <t>Q3WrXxmuaJx</t>
  </si>
  <si>
    <t>Mtunduru Dispensary</t>
  </si>
  <si>
    <t>hMSI3KCb55X</t>
  </si>
  <si>
    <t>Mughamo</t>
  </si>
  <si>
    <t>Mughamo Dispensary</t>
  </si>
  <si>
    <t>p0N8H8sexN7</t>
  </si>
  <si>
    <t>Mwamagembe Dispensary</t>
  </si>
  <si>
    <t>gATcaCjhtlu</t>
  </si>
  <si>
    <t>Mwaru</t>
  </si>
  <si>
    <t>Mwaru Dispensary</t>
  </si>
  <si>
    <t>M40HNlw3PvV</t>
  </si>
  <si>
    <t>Ndago</t>
  </si>
  <si>
    <t>Ndago Health Center</t>
  </si>
  <si>
    <t>rXbnN1N3miY</t>
  </si>
  <si>
    <t>Nduguti</t>
  </si>
  <si>
    <t>Nduguti Dispensary</t>
  </si>
  <si>
    <t>NmIIrhkWSy5</t>
  </si>
  <si>
    <t>Mwasauya</t>
  </si>
  <si>
    <t>Ngamu Dispensary</t>
  </si>
  <si>
    <t>zSKx1i3INce</t>
  </si>
  <si>
    <t>Ngimu</t>
  </si>
  <si>
    <t>Ngimu Dispensary</t>
  </si>
  <si>
    <t>jko4TJ7zXdc</t>
  </si>
  <si>
    <t>Nkonko Health Center</t>
  </si>
  <si>
    <t>gyLYKSdPL50</t>
  </si>
  <si>
    <t>Issuna</t>
  </si>
  <si>
    <t>Nkuhi Dispensary</t>
  </si>
  <si>
    <t>PCc1DGsj8fV</t>
  </si>
  <si>
    <t>Nkwae Dispensary</t>
  </si>
  <si>
    <t>Z6wIHssPEOm</t>
  </si>
  <si>
    <t>Ntwike</t>
  </si>
  <si>
    <t>Ntwike Dispensary</t>
  </si>
  <si>
    <t>zF3bQsmyhVR</t>
  </si>
  <si>
    <t>Puma</t>
  </si>
  <si>
    <t>Puma Dispensary</t>
  </si>
  <si>
    <t>rWXqL4f2ua3</t>
  </si>
  <si>
    <t>Queen of Universe Hospital</t>
  </si>
  <si>
    <t>OLgVGknNnhd</t>
  </si>
  <si>
    <t>Rungwa</t>
  </si>
  <si>
    <t>Rungwa Dispensary</t>
  </si>
  <si>
    <t>i7OQo6Nb1LR</t>
  </si>
  <si>
    <t>Sanza</t>
  </si>
  <si>
    <t>Sanza Dispensary</t>
  </si>
  <si>
    <t>MoAxgdrUeiF</t>
  </si>
  <si>
    <t>Saranda</t>
  </si>
  <si>
    <t>Saranda Dispensary</t>
  </si>
  <si>
    <t>kHLU2PGkMNV</t>
  </si>
  <si>
    <t>Sasilo</t>
  </si>
  <si>
    <t>Sasilo Dispensary</t>
  </si>
  <si>
    <t>vu43BvILKnh</t>
  </si>
  <si>
    <t>Sepuka</t>
  </si>
  <si>
    <t>Sepuka Health Center</t>
  </si>
  <si>
    <t>q0iU4ijqSYm</t>
  </si>
  <si>
    <t>Shelui Dispensary</t>
  </si>
  <si>
    <t>S1EY8S9iohH</t>
  </si>
  <si>
    <t>Simbanguru Dispensary</t>
  </si>
  <si>
    <t>ShwCDL3Zk6K</t>
  </si>
  <si>
    <t>Ipembe</t>
  </si>
  <si>
    <t>Singida Regional Hospital</t>
  </si>
  <si>
    <t>mAYmZpFCe2h</t>
  </si>
  <si>
    <t>Misuna</t>
  </si>
  <si>
    <t>Sokoine Health Center</t>
  </si>
  <si>
    <t>j3SElBP8EH7</t>
  </si>
  <si>
    <t>St. Agnes Health Center</t>
  </si>
  <si>
    <t>tSUpf6UUCSh</t>
  </si>
  <si>
    <t>Mtinko</t>
  </si>
  <si>
    <t>St. Carolus Hospital</t>
  </si>
  <si>
    <t>TssW05z275O</t>
  </si>
  <si>
    <t>Itigi Mjini</t>
  </si>
  <si>
    <t>St. Gaspar Hospital</t>
  </si>
  <si>
    <t>FfTauIa3plC</t>
  </si>
  <si>
    <t>Mandewa</t>
  </si>
  <si>
    <t>Uhasibu Dispensary</t>
  </si>
  <si>
    <t>g5He5r5b8jn</t>
  </si>
  <si>
    <t>Ujungu Dispensary</t>
  </si>
  <si>
    <t>pdB8DCmTUY5</t>
  </si>
  <si>
    <t>Ulemo Dispensary</t>
  </si>
  <si>
    <t>rLOIAw0yDYl</t>
  </si>
  <si>
    <t>Urughu</t>
  </si>
  <si>
    <t>Urughu Dispensary</t>
  </si>
  <si>
    <t>vX7k6iVXzce</t>
  </si>
  <si>
    <t>Charlotte Health Center</t>
  </si>
  <si>
    <t>Mwana Kianga Dispensary</t>
  </si>
  <si>
    <t>Marangu Lutheran Hospital</t>
  </si>
  <si>
    <t>Kibosho Hospital - Designated District Hospital</t>
  </si>
  <si>
    <t>Ihumwa Dispensary</t>
  </si>
  <si>
    <t>Uru kaskazini Dispensary</t>
  </si>
  <si>
    <t>St Lukes Health Center</t>
  </si>
  <si>
    <t>St. Gemma Hospital - Designated District Hospital</t>
  </si>
  <si>
    <t>Nkoaranga Hospital - Other Hospital</t>
  </si>
  <si>
    <t>KAM Med Health Centre Health Center</t>
  </si>
  <si>
    <t>Mkoka Health Centre</t>
  </si>
  <si>
    <t>Chamwino RHC Health Center</t>
  </si>
  <si>
    <t>Dareda Mission Hospital - Designated District Hospital</t>
  </si>
  <si>
    <t>Endulen Hospital - Other Hospital</t>
  </si>
  <si>
    <t>UDOM Health Center</t>
  </si>
  <si>
    <t>Arusha Lutheran Center Hospital - Referral Hospital</t>
  </si>
  <si>
    <t>Kisese RHC Health Center</t>
  </si>
  <si>
    <t>Orkesumet UHC Health Center</t>
  </si>
  <si>
    <t>Kiboriloni Dispensary</t>
  </si>
  <si>
    <t>Kwamtoro Health Centre</t>
  </si>
  <si>
    <t>Riroda public Dispensary</t>
  </si>
  <si>
    <t>Ithnaasheri charitable Dispensary</t>
  </si>
  <si>
    <t>Himo Health Center</t>
  </si>
  <si>
    <t>Kilimanjaro medical (PAPRI) Dispensary</t>
  </si>
  <si>
    <t>USA River Health Center</t>
  </si>
  <si>
    <t>Mt. Meru Hospital - Regional Referral Hospital</t>
  </si>
  <si>
    <t>Dodoma Hospital - Regional Referral Hospital</t>
  </si>
  <si>
    <t>KIA Dispensary</t>
  </si>
  <si>
    <t>Ipala Dispensary</t>
  </si>
  <si>
    <t>Kibong'oto Infection Disease (KIDH) Hospital - National Super Specialist Hospital</t>
  </si>
  <si>
    <t>Hai Hospital - District Hospital</t>
  </si>
  <si>
    <t>Ngoyoni Hospital Hospital - Other Hospital</t>
  </si>
  <si>
    <t>Busi Health Center</t>
  </si>
  <si>
    <t>Kilema Hospital - Designated District Hospital</t>
  </si>
  <si>
    <t>Aga Khan Dispensary</t>
  </si>
  <si>
    <t>Mirembe Mental Health (MMHH) Hospital - National Super Specialist Hospital</t>
  </si>
  <si>
    <t>Siha Hospital - District Hospital</t>
  </si>
  <si>
    <t>Orkesumet KKKT Hospital</t>
  </si>
  <si>
    <t>ELERAI Dispensary</t>
  </si>
  <si>
    <t>Mvumi Mission Hospital - Designated District Hospital</t>
  </si>
  <si>
    <t>Mtanana A Dispensary</t>
  </si>
  <si>
    <t>Huruma Hospital - Designated District Hospital</t>
  </si>
  <si>
    <t>Chekereni Dispensary</t>
  </si>
  <si>
    <t>Mto wa Mbu RC Dispensary</t>
  </si>
  <si>
    <t>Oltrument Hospital - District Hospital</t>
  </si>
  <si>
    <t>Bwambo HC Health Center</t>
  </si>
  <si>
    <t>KCMC Hospital - Zonal Super Specialist Hospital</t>
  </si>
  <si>
    <t>Oldonyo Sambu Health Center</t>
  </si>
  <si>
    <t>Loiborsiret Dispensary</t>
  </si>
  <si>
    <t>Mawenzi Hospital - Regional Referral Hospital</t>
  </si>
  <si>
    <t>Karatu Lutheran Hospital - Designated District Hospital</t>
  </si>
  <si>
    <t>Babati Romancatholic Dispensary</t>
  </si>
  <si>
    <t>Hydom Hospital - Referral Hospital</t>
  </si>
  <si>
    <t>St. Joseph Hospital - Designated District Hospital</t>
  </si>
  <si>
    <t>Mbulu Hospital - District Hospital</t>
  </si>
  <si>
    <t>Kirua Vunjo Health Center</t>
  </si>
  <si>
    <t>Simanjiro HC Health Center</t>
  </si>
  <si>
    <t>Nghonghonha Dispensary</t>
  </si>
  <si>
    <t>Nzungoni Dispensary</t>
  </si>
  <si>
    <t>Pwaga Dispensary</t>
  </si>
  <si>
    <t>Selian Hospital - Designated District Hospital</t>
  </si>
  <si>
    <t>Siima Health Center</t>
  </si>
  <si>
    <t>Siha Health Center</t>
  </si>
  <si>
    <t>Holili Health Centre Dispensary</t>
  </si>
  <si>
    <t>Mererani RC Dispensary</t>
  </si>
  <si>
    <t>Meru Hospital - District Hospital</t>
  </si>
  <si>
    <t>St. Elizabeth Hospital - Designated District Hospital</t>
  </si>
  <si>
    <t>Mpwapwa Hospital - District Hospital</t>
  </si>
  <si>
    <t>Manyara Hospital - Regional Referral Hospital</t>
  </si>
  <si>
    <t>Mwandet Dispensary</t>
  </si>
  <si>
    <t>Kongwa Hospital</t>
  </si>
  <si>
    <t>Same Hospital - District Hospital</t>
  </si>
  <si>
    <t>Shiri Matunda Dispensary</t>
  </si>
  <si>
    <t>Digodigo Dispensary</t>
  </si>
  <si>
    <t>Wasso Hospital - Designated District Hospital</t>
  </si>
  <si>
    <t>Kibaya Hospital - District Hospital</t>
  </si>
  <si>
    <t>Benjamini Mkapa</t>
  </si>
  <si>
    <t>Pahi Dispensary</t>
  </si>
  <si>
    <t>Ngorbobo Dispensary</t>
  </si>
  <si>
    <t>Gonja Lutheran Hospital - Other Hospital</t>
  </si>
  <si>
    <t>Monduli Hospital - District Hospital</t>
  </si>
  <si>
    <t>Engarenaibor Hospital</t>
  </si>
  <si>
    <t>Machame Hospital - Designated District Hospital</t>
  </si>
  <si>
    <t>Makole HC Health Center</t>
  </si>
  <si>
    <t>Gelai Bomba Dispensary</t>
  </si>
  <si>
    <t>M&amp;M Kiwera Dispensary</t>
  </si>
  <si>
    <t>TPC Hospital - Other Hospital</t>
  </si>
  <si>
    <t>Himo COG Dispensary</t>
  </si>
  <si>
    <t>Usangi Hospital - District Hospital</t>
  </si>
  <si>
    <t>Riroda Dispensary</t>
  </si>
  <si>
    <t>Kondoa Hospital - District Hospital</t>
  </si>
  <si>
    <t>Babati Hospital - District Hospital</t>
  </si>
  <si>
    <t>Mahomanyika Dispensary</t>
  </si>
  <si>
    <t>Ashe engai RC Health Center</t>
  </si>
  <si>
    <t>Mirerani UHC Health Center</t>
  </si>
  <si>
    <t>Ngarenanyuki Health Center</t>
  </si>
  <si>
    <t>Ngaresero Dispensary</t>
  </si>
  <si>
    <t>DCMC Health Center</t>
  </si>
  <si>
    <t>UMATI Clinic</t>
  </si>
  <si>
    <t>DATIMName</t>
  </si>
  <si>
    <t>TX_NEW_2VIS</t>
  </si>
  <si>
    <t>Values</t>
  </si>
  <si>
    <t>MonthYear</t>
  </si>
  <si>
    <t>Dec-2020</t>
  </si>
  <si>
    <t>MMS_01_31</t>
  </si>
  <si>
    <t>TX_CURR_PRIOR_MONTH</t>
  </si>
  <si>
    <t>TI</t>
  </si>
  <si>
    <t>TO</t>
  </si>
  <si>
    <t>DIED</t>
  </si>
  <si>
    <t>MMS_32_62</t>
  </si>
  <si>
    <t>MMS_63+</t>
  </si>
  <si>
    <t>HVL_ELIG</t>
  </si>
  <si>
    <t>HVL_N</t>
  </si>
  <si>
    <t>HVL_D</t>
  </si>
  <si>
    <t>AgeGroup_A_P</t>
  </si>
  <si>
    <t>A</t>
  </si>
  <si>
    <t>P</t>
  </si>
  <si>
    <t>pbiazure://api.powerbi.com e2324605-5df0-4e1a-a31e-0edd63db7f20 Model</t>
  </si>
  <si>
    <t>Bassotu Ziwani Dispensary</t>
  </si>
  <si>
    <t>kipok Dispensary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</si>
</sst>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 tint="0.249977111117893"/>
      <name val="Gill Sans MT"/>
      <family val="2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5E0B3"/>
        <bgColor rgb="FFC5E0B3"/>
      </patternFill>
    </fill>
    <fill>
      <patternFill patternType="solid">
        <fgColor theme="8" tint="0.39997558519241921"/>
        <bgColor rgb="FFD0CECE"/>
      </patternFill>
    </fill>
  </fills>
  <borders count="6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theme="6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/>
      <right style="thin">
        <color theme="6" tint="0.39997558519241921"/>
      </right>
      <top/>
      <bottom style="thin">
        <color theme="6" tint="0.39997558519241921"/>
      </bottom>
      <diagonal/>
    </border>
    <border>
      <left style="thin">
        <color theme="6" tint="0.39997558519241921"/>
      </left>
      <right/>
      <top/>
      <bottom/>
      <diagonal/>
    </border>
    <border>
      <left/>
      <right style="thin">
        <color theme="6" tint="0.39997558519241921"/>
      </right>
      <top/>
      <bottom/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theme="6" tint="0.39997558519241921"/>
      </top>
      <bottom style="medium">
        <color indexed="64"/>
      </bottom>
      <diagonal/>
    </border>
    <border>
      <left/>
      <right/>
      <top style="thin">
        <color theme="6" tint="0.39997558519241921"/>
      </top>
      <bottom style="medium">
        <color indexed="64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medium">
        <color indexed="64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/>
  </cellStyleXfs>
  <cellXfs count="145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8" fillId="0" borderId="0" xfId="43" applyAlignment="1">
      <alignment horizontal="left" vertical="center"/>
    </xf>
    <xf numFmtId="164" fontId="0" fillId="0" borderId="0" xfId="1" applyNumberFormat="1" applyFont="1" applyAlignment="1">
      <alignment vertical="center"/>
    </xf>
    <xf numFmtId="0" fontId="0" fillId="0" borderId="0" xfId="0" applyAlignment="1">
      <alignment vertical="center"/>
    </xf>
    <xf numFmtId="164" fontId="0" fillId="33" borderId="0" xfId="1" applyNumberFormat="1" applyFont="1" applyFill="1" applyAlignment="1">
      <alignment vertical="center"/>
    </xf>
    <xf numFmtId="0" fontId="0" fillId="34" borderId="0" xfId="0" applyFill="1" applyAlignment="1">
      <alignment vertical="center"/>
    </xf>
    <xf numFmtId="0" fontId="20" fillId="35" borderId="14" xfId="44" applyFont="1" applyFill="1" applyBorder="1" applyAlignment="1">
      <alignment horizontal="center" wrapText="1"/>
    </xf>
    <xf numFmtId="0" fontId="20" fillId="35" borderId="15" xfId="44" applyFont="1" applyFill="1" applyBorder="1" applyAlignment="1">
      <alignment horizontal="center" wrapText="1"/>
    </xf>
    <xf numFmtId="0" fontId="20" fillId="35" borderId="16" xfId="44" applyFont="1" applyFill="1" applyBorder="1" applyAlignment="1">
      <alignment horizontal="center" wrapText="1"/>
    </xf>
    <xf numFmtId="0" fontId="22" fillId="42" borderId="0" xfId="0" applyFont="1" applyFill="1" applyAlignment="1">
      <alignment horizontal="center"/>
    </xf>
    <xf numFmtId="0" fontId="16" fillId="0" borderId="0" xfId="0" applyFont="1"/>
    <xf numFmtId="0" fontId="16" fillId="50" borderId="17" xfId="0" applyFont="1" applyFill="1" applyBorder="1" applyAlignment="1">
      <alignment horizontal="center" wrapText="1"/>
    </xf>
    <xf numFmtId="0" fontId="16" fillId="44" borderId="17" xfId="0" applyFont="1" applyFill="1" applyBorder="1" applyAlignment="1">
      <alignment horizontal="center" wrapText="1"/>
    </xf>
    <xf numFmtId="0" fontId="16" fillId="50" borderId="17" xfId="0" applyFont="1" applyFill="1" applyBorder="1" applyAlignment="1">
      <alignment vertical="top" wrapText="1"/>
    </xf>
    <xf numFmtId="0" fontId="16" fillId="53" borderId="0" xfId="0" applyFont="1" applyFill="1" applyAlignment="1">
      <alignment wrapText="1"/>
    </xf>
    <xf numFmtId="0" fontId="16" fillId="54" borderId="0" xfId="0" applyFont="1" applyFill="1" applyAlignment="1">
      <alignment wrapText="1"/>
    </xf>
    <xf numFmtId="0" fontId="16" fillId="36" borderId="0" xfId="0" applyFont="1" applyFill="1" applyAlignment="1">
      <alignment wrapText="1"/>
    </xf>
    <xf numFmtId="0" fontId="16" fillId="47" borderId="0" xfId="0" applyFont="1" applyFill="1" applyAlignment="1">
      <alignment wrapText="1"/>
    </xf>
    <xf numFmtId="0" fontId="16" fillId="0" borderId="0" xfId="0" applyFont="1" applyAlignment="1">
      <alignment wrapText="1"/>
    </xf>
    <xf numFmtId="0" fontId="25" fillId="54" borderId="44" xfId="0" applyFont="1" applyFill="1" applyBorder="1" applyAlignment="1">
      <alignment horizontal="center" wrapText="1"/>
    </xf>
    <xf numFmtId="0" fontId="25" fillId="54" borderId="29" xfId="0" applyFont="1" applyFill="1" applyBorder="1" applyAlignment="1">
      <alignment horizontal="center" wrapText="1"/>
    </xf>
    <xf numFmtId="0" fontId="25" fillId="36" borderId="45" xfId="0" applyFont="1" applyFill="1" applyBorder="1" applyAlignment="1">
      <alignment vertical="top" wrapText="1"/>
    </xf>
    <xf numFmtId="0" fontId="25" fillId="47" borderId="45" xfId="0" applyFont="1" applyFill="1" applyBorder="1" applyAlignment="1">
      <alignment wrapText="1"/>
    </xf>
    <xf numFmtId="0" fontId="25" fillId="43" borderId="46" xfId="44" applyFont="1" applyFill="1" applyBorder="1" applyAlignment="1">
      <alignment horizontal="center" vertical="center" wrapText="1"/>
    </xf>
    <xf numFmtId="0" fontId="25" fillId="44" borderId="47" xfId="44" applyFont="1" applyFill="1" applyBorder="1" applyAlignment="1">
      <alignment horizontal="center" vertical="center" wrapText="1"/>
    </xf>
    <xf numFmtId="0" fontId="25" fillId="44" borderId="46" xfId="44" applyFont="1" applyFill="1" applyBorder="1" applyAlignment="1">
      <alignment horizontal="center" vertical="center" wrapText="1"/>
    </xf>
    <xf numFmtId="0" fontId="25" fillId="45" borderId="47" xfId="0" applyFont="1" applyFill="1" applyBorder="1" applyAlignment="1">
      <alignment vertical="center" wrapText="1"/>
    </xf>
    <xf numFmtId="0" fontId="25" fillId="45" borderId="46" xfId="0" applyFont="1" applyFill="1" applyBorder="1" applyAlignment="1">
      <alignment vertical="center" wrapText="1"/>
    </xf>
    <xf numFmtId="0" fontId="22" fillId="0" borderId="0" xfId="0" applyFont="1" applyAlignment="1">
      <alignment wrapText="1"/>
    </xf>
    <xf numFmtId="0" fontId="28" fillId="35" borderId="48" xfId="44" applyFont="1" applyFill="1" applyBorder="1" applyAlignment="1">
      <alignment horizontal="center" vertical="center" wrapText="1"/>
    </xf>
    <xf numFmtId="0" fontId="28" fillId="35" borderId="49" xfId="44" applyFont="1" applyFill="1" applyBorder="1" applyAlignment="1">
      <alignment horizontal="center" vertical="center" wrapText="1"/>
    </xf>
    <xf numFmtId="0" fontId="22" fillId="45" borderId="28" xfId="0" applyFont="1" applyFill="1" applyBorder="1" applyAlignment="1">
      <alignment vertical="center" wrapText="1"/>
    </xf>
    <xf numFmtId="0" fontId="25" fillId="33" borderId="28" xfId="0" applyFont="1" applyFill="1" applyBorder="1" applyAlignment="1">
      <alignment horizontal="center" vertical="center" wrapText="1"/>
    </xf>
    <xf numFmtId="0" fontId="25" fillId="33" borderId="50" xfId="0" applyFont="1" applyFill="1" applyBorder="1" applyAlignment="1">
      <alignment horizontal="center" vertical="center" wrapText="1"/>
    </xf>
    <xf numFmtId="0" fontId="25" fillId="46" borderId="50" xfId="0" applyFont="1" applyFill="1" applyBorder="1" applyAlignment="1">
      <alignment horizontal="center" vertical="center" wrapText="1"/>
    </xf>
    <xf numFmtId="0" fontId="25" fillId="47" borderId="50" xfId="0" applyFont="1" applyFill="1" applyBorder="1" applyAlignment="1">
      <alignment horizontal="center" vertical="center" wrapText="1"/>
    </xf>
    <xf numFmtId="0" fontId="25" fillId="48" borderId="50" xfId="0" applyFont="1" applyFill="1" applyBorder="1" applyAlignment="1">
      <alignment horizontal="center" vertical="center" wrapText="1"/>
    </xf>
    <xf numFmtId="0" fontId="25" fillId="45" borderId="50" xfId="0" applyFont="1" applyFill="1" applyBorder="1" applyAlignment="1">
      <alignment horizontal="center" vertical="center" wrapText="1"/>
    </xf>
    <xf numFmtId="0" fontId="25" fillId="43" borderId="50" xfId="0" applyFont="1" applyFill="1" applyBorder="1" applyAlignment="1">
      <alignment horizontal="center" vertical="center" wrapText="1"/>
    </xf>
    <xf numFmtId="0" fontId="25" fillId="49" borderId="50" xfId="0" applyFont="1" applyFill="1" applyBorder="1" applyAlignment="1">
      <alignment horizontal="center" vertical="center" wrapText="1"/>
    </xf>
    <xf numFmtId="0" fontId="28" fillId="55" borderId="29" xfId="44" applyFont="1" applyFill="1" applyBorder="1" applyAlignment="1">
      <alignment horizontal="center" vertical="center" wrapText="1"/>
    </xf>
    <xf numFmtId="0" fontId="28" fillId="55" borderId="16" xfId="44" applyFont="1" applyFill="1" applyBorder="1" applyAlignment="1">
      <alignment horizontal="center" vertical="center" wrapText="1"/>
    </xf>
    <xf numFmtId="0" fontId="28" fillId="55" borderId="30" xfId="44" applyFont="1" applyFill="1" applyBorder="1" applyAlignment="1">
      <alignment horizontal="center" vertical="center" wrapText="1"/>
    </xf>
    <xf numFmtId="0" fontId="25" fillId="50" borderId="50" xfId="0" applyFont="1" applyFill="1" applyBorder="1" applyAlignment="1">
      <alignment horizontal="center" vertical="center" wrapText="1"/>
    </xf>
    <xf numFmtId="0" fontId="25" fillId="44" borderId="50" xfId="0" applyFont="1" applyFill="1" applyBorder="1" applyAlignment="1">
      <alignment horizontal="center" vertical="center" wrapText="1"/>
    </xf>
    <xf numFmtId="0" fontId="22" fillId="51" borderId="40" xfId="0" applyFont="1" applyFill="1" applyBorder="1" applyAlignment="1">
      <alignment vertical="center" wrapText="1"/>
    </xf>
    <xf numFmtId="0" fontId="25" fillId="52" borderId="51" xfId="0" applyFont="1" applyFill="1" applyBorder="1" applyAlignment="1">
      <alignment vertical="center"/>
    </xf>
    <xf numFmtId="0" fontId="25" fillId="53" borderId="44" xfId="0" applyFont="1" applyFill="1" applyBorder="1" applyAlignment="1">
      <alignment vertical="center" wrapText="1"/>
    </xf>
    <xf numFmtId="0" fontId="25" fillId="54" borderId="44" xfId="0" applyFont="1" applyFill="1" applyBorder="1" applyAlignment="1">
      <alignment vertical="center" wrapText="1"/>
    </xf>
    <xf numFmtId="0" fontId="25" fillId="36" borderId="52" xfId="0" applyFont="1" applyFill="1" applyBorder="1" applyAlignment="1">
      <alignment vertical="center" wrapText="1"/>
    </xf>
    <xf numFmtId="0" fontId="22" fillId="56" borderId="16" xfId="44" applyFont="1" applyFill="1" applyBorder="1" applyAlignment="1">
      <alignment horizontal="left" vertical="center" wrapText="1"/>
    </xf>
    <xf numFmtId="0" fontId="22" fillId="43" borderId="52" xfId="44" applyFont="1" applyFill="1" applyBorder="1" applyAlignment="1">
      <alignment horizontal="center" vertical="center" wrapText="1"/>
    </xf>
    <xf numFmtId="0" fontId="22" fillId="43" borderId="16" xfId="44" applyFont="1" applyFill="1" applyBorder="1" applyAlignment="1">
      <alignment horizontal="center" vertical="center" wrapText="1"/>
    </xf>
    <xf numFmtId="0" fontId="22" fillId="43" borderId="30" xfId="44" applyFont="1" applyFill="1" applyBorder="1" applyAlignment="1">
      <alignment horizontal="center" vertical="center" wrapText="1"/>
    </xf>
    <xf numFmtId="0" fontId="22" fillId="44" borderId="29" xfId="44" applyFont="1" applyFill="1" applyBorder="1" applyAlignment="1">
      <alignment horizontal="center" vertical="center" wrapText="1"/>
    </xf>
    <xf numFmtId="0" fontId="22" fillId="44" borderId="52" xfId="44" applyFont="1" applyFill="1" applyBorder="1" applyAlignment="1">
      <alignment horizontal="center" vertical="center" wrapText="1"/>
    </xf>
    <xf numFmtId="0" fontId="22" fillId="44" borderId="16" xfId="44" applyFont="1" applyFill="1" applyBorder="1" applyAlignment="1">
      <alignment horizontal="center" vertical="center" wrapText="1"/>
    </xf>
    <xf numFmtId="0" fontId="22" fillId="45" borderId="53" xfId="0" applyFont="1" applyFill="1" applyBorder="1" applyAlignment="1">
      <alignment vertical="center" wrapText="1"/>
    </xf>
    <xf numFmtId="0" fontId="22" fillId="45" borderId="54" xfId="0" applyFont="1" applyFill="1" applyBorder="1" applyAlignment="1">
      <alignment vertical="center" wrapText="1"/>
    </xf>
    <xf numFmtId="0" fontId="22" fillId="0" borderId="0" xfId="0" applyFont="1" applyAlignment="1">
      <alignment vertical="center" wrapText="1"/>
    </xf>
    <xf numFmtId="0" fontId="0" fillId="0" borderId="28" xfId="0" applyBorder="1" applyAlignment="1">
      <alignment vertical="center"/>
    </xf>
    <xf numFmtId="0" fontId="0" fillId="0" borderId="28" xfId="0" applyFont="1" applyBorder="1"/>
    <xf numFmtId="0" fontId="0" fillId="0" borderId="28" xfId="0" applyBorder="1"/>
    <xf numFmtId="0" fontId="0" fillId="0" borderId="28" xfId="0" applyFont="1" applyBorder="1" applyAlignment="1"/>
    <xf numFmtId="0" fontId="0" fillId="0" borderId="51" xfId="0" applyBorder="1" applyAlignment="1">
      <alignment vertical="center"/>
    </xf>
    <xf numFmtId="0" fontId="0" fillId="0" borderId="51" xfId="0" applyFont="1" applyBorder="1"/>
    <xf numFmtId="0" fontId="0" fillId="0" borderId="51" xfId="0" applyBorder="1"/>
    <xf numFmtId="0" fontId="0" fillId="0" borderId="0" xfId="0" applyFont="1"/>
    <xf numFmtId="0" fontId="0" fillId="0" borderId="0" xfId="0" pivotButton="1"/>
    <xf numFmtId="0" fontId="0" fillId="0" borderId="10" xfId="0" pivotButton="1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1" fontId="0" fillId="0" borderId="10" xfId="0" applyNumberFormat="1" applyBorder="1"/>
    <xf numFmtId="3" fontId="0" fillId="0" borderId="56" xfId="0" applyNumberFormat="1" applyBorder="1"/>
    <xf numFmtId="0" fontId="0" fillId="0" borderId="58" xfId="0" applyBorder="1"/>
    <xf numFmtId="1" fontId="0" fillId="0" borderId="58" xfId="0" applyNumberFormat="1" applyBorder="1"/>
    <xf numFmtId="3" fontId="0" fillId="0" borderId="0" xfId="0" applyNumberFormat="1"/>
    <xf numFmtId="0" fontId="0" fillId="0" borderId="55" xfId="0" pivotButton="1" applyBorder="1"/>
    <xf numFmtId="1" fontId="0" fillId="0" borderId="57" xfId="0" applyNumberFormat="1" applyBorder="1"/>
    <xf numFmtId="1" fontId="0" fillId="0" borderId="59" xfId="0" applyNumberFormat="1" applyBorder="1"/>
    <xf numFmtId="1" fontId="0" fillId="0" borderId="56" xfId="0" applyNumberFormat="1" applyBorder="1"/>
    <xf numFmtId="1" fontId="0" fillId="0" borderId="0" xfId="0" applyNumberFormat="1"/>
    <xf numFmtId="0" fontId="0" fillId="0" borderId="11" xfId="0" pivotButton="1" applyBorder="1"/>
    <xf numFmtId="0" fontId="0" fillId="0" borderId="60" xfId="0" applyBorder="1"/>
    <xf numFmtId="1" fontId="0" fillId="0" borderId="60" xfId="0" applyNumberFormat="1" applyBorder="1"/>
    <xf numFmtId="3" fontId="0" fillId="0" borderId="61" xfId="0" applyNumberFormat="1" applyBorder="1"/>
    <xf numFmtId="1" fontId="0" fillId="0" borderId="61" xfId="0" applyNumberFormat="1" applyBorder="1"/>
    <xf numFmtId="1" fontId="0" fillId="0" borderId="62" xfId="0" applyNumberFormat="1" applyBorder="1"/>
    <xf numFmtId="0" fontId="24" fillId="52" borderId="42" xfId="0" applyFont="1" applyFill="1" applyBorder="1" applyAlignment="1">
      <alignment horizontal="center" wrapText="1"/>
    </xf>
    <xf numFmtId="0" fontId="16" fillId="43" borderId="28" xfId="0" applyFont="1" applyFill="1" applyBorder="1" applyAlignment="1">
      <alignment horizontal="center" wrapText="1"/>
    </xf>
    <xf numFmtId="0" fontId="0" fillId="44" borderId="43" xfId="0" applyFont="1" applyFill="1" applyBorder="1" applyAlignment="1">
      <alignment horizontal="center" wrapText="1"/>
    </xf>
    <xf numFmtId="0" fontId="0" fillId="44" borderId="28" xfId="0" applyFont="1" applyFill="1" applyBorder="1" applyAlignment="1">
      <alignment horizontal="center" wrapText="1"/>
    </xf>
    <xf numFmtId="0" fontId="16" fillId="39" borderId="28" xfId="0" applyFont="1" applyFill="1" applyBorder="1" applyAlignment="1">
      <alignment horizontal="center"/>
    </xf>
    <xf numFmtId="0" fontId="16" fillId="47" borderId="40" xfId="0" applyFont="1" applyFill="1" applyBorder="1" applyAlignment="1">
      <alignment horizontal="center" wrapText="1"/>
    </xf>
    <xf numFmtId="0" fontId="16" fillId="49" borderId="24" xfId="0" applyFont="1" applyFill="1" applyBorder="1" applyAlignment="1">
      <alignment horizontal="center" wrapText="1"/>
    </xf>
    <xf numFmtId="0" fontId="16" fillId="49" borderId="0" xfId="0" applyFont="1" applyFill="1" applyBorder="1" applyAlignment="1">
      <alignment horizontal="center" wrapText="1"/>
    </xf>
    <xf numFmtId="0" fontId="16" fillId="49" borderId="25" xfId="0" applyFont="1" applyFill="1" applyBorder="1" applyAlignment="1">
      <alignment horizontal="center" wrapText="1"/>
    </xf>
    <xf numFmtId="0" fontId="16" fillId="50" borderId="17" xfId="0" applyFont="1" applyFill="1" applyBorder="1" applyAlignment="1">
      <alignment horizontal="center" wrapText="1"/>
    </xf>
    <xf numFmtId="0" fontId="16" fillId="44" borderId="17" xfId="0" applyFont="1" applyFill="1" applyBorder="1" applyAlignment="1">
      <alignment horizontal="center" wrapText="1"/>
    </xf>
    <xf numFmtId="0" fontId="16" fillId="51" borderId="41" xfId="0" applyFont="1" applyFill="1" applyBorder="1" applyAlignment="1">
      <alignment horizontal="center" wrapText="1"/>
    </xf>
    <xf numFmtId="0" fontId="16" fillId="51" borderId="42" xfId="0" applyFont="1" applyFill="1" applyBorder="1" applyAlignment="1">
      <alignment horizontal="center" wrapText="1"/>
    </xf>
    <xf numFmtId="0" fontId="16" fillId="39" borderId="29" xfId="0" applyFont="1" applyFill="1" applyBorder="1" applyAlignment="1">
      <alignment horizontal="center"/>
    </xf>
    <xf numFmtId="0" fontId="16" fillId="39" borderId="30" xfId="0" applyFont="1" applyFill="1" applyBorder="1" applyAlignment="1">
      <alignment horizontal="center"/>
    </xf>
    <xf numFmtId="0" fontId="16" fillId="45" borderId="17" xfId="0" applyFont="1" applyFill="1" applyBorder="1" applyAlignment="1">
      <alignment horizontal="center" wrapText="1"/>
    </xf>
    <xf numFmtId="0" fontId="16" fillId="45" borderId="18" xfId="0" applyFont="1" applyFill="1" applyBorder="1" applyAlignment="1">
      <alignment horizontal="center" wrapText="1"/>
    </xf>
    <xf numFmtId="0" fontId="16" fillId="33" borderId="31" xfId="0" applyFont="1" applyFill="1" applyBorder="1" applyAlignment="1">
      <alignment horizontal="center" wrapText="1"/>
    </xf>
    <xf numFmtId="0" fontId="16" fillId="33" borderId="32" xfId="0" applyFont="1" applyFill="1" applyBorder="1" applyAlignment="1">
      <alignment horizontal="center" wrapText="1"/>
    </xf>
    <xf numFmtId="0" fontId="16" fillId="33" borderId="33" xfId="0" applyFont="1" applyFill="1" applyBorder="1" applyAlignment="1">
      <alignment horizontal="center" wrapText="1"/>
    </xf>
    <xf numFmtId="0" fontId="16" fillId="33" borderId="34" xfId="0" applyFont="1" applyFill="1" applyBorder="1" applyAlignment="1">
      <alignment horizontal="center" wrapText="1"/>
    </xf>
    <xf numFmtId="0" fontId="16" fillId="33" borderId="35" xfId="0" applyFont="1" applyFill="1" applyBorder="1" applyAlignment="1">
      <alignment horizontal="center" wrapText="1"/>
    </xf>
    <xf numFmtId="0" fontId="16" fillId="33" borderId="36" xfId="0" applyFont="1" applyFill="1" applyBorder="1" applyAlignment="1">
      <alignment horizontal="center" wrapText="1"/>
    </xf>
    <xf numFmtId="0" fontId="16" fillId="46" borderId="37" xfId="0" applyFont="1" applyFill="1" applyBorder="1" applyAlignment="1">
      <alignment horizontal="center" vertical="top" wrapText="1"/>
    </xf>
    <xf numFmtId="0" fontId="16" fillId="46" borderId="38" xfId="0" applyFont="1" applyFill="1" applyBorder="1" applyAlignment="1">
      <alignment horizontal="center" vertical="top" wrapText="1"/>
    </xf>
    <xf numFmtId="0" fontId="16" fillId="46" borderId="39" xfId="0" applyFont="1" applyFill="1" applyBorder="1" applyAlignment="1">
      <alignment horizontal="center" vertical="top" wrapText="1"/>
    </xf>
    <xf numFmtId="0" fontId="16" fillId="48" borderId="40" xfId="0" applyFont="1" applyFill="1" applyBorder="1" applyAlignment="1">
      <alignment horizontal="center" wrapText="1"/>
    </xf>
    <xf numFmtId="0" fontId="16" fillId="45" borderId="40" xfId="0" applyFont="1" applyFill="1" applyBorder="1" applyAlignment="1">
      <alignment horizontal="center" wrapText="1"/>
    </xf>
    <xf numFmtId="0" fontId="16" fillId="43" borderId="40" xfId="0" applyFont="1" applyFill="1" applyBorder="1" applyAlignment="1">
      <alignment horizontal="center" wrapText="1"/>
    </xf>
    <xf numFmtId="0" fontId="16" fillId="40" borderId="24" xfId="0" applyFont="1" applyFill="1" applyBorder="1" applyAlignment="1">
      <alignment horizontal="center"/>
    </xf>
    <xf numFmtId="0" fontId="16" fillId="40" borderId="0" xfId="0" applyFont="1" applyFill="1" applyBorder="1" applyAlignment="1">
      <alignment horizontal="center"/>
    </xf>
    <xf numFmtId="0" fontId="16" fillId="40" borderId="25" xfId="0" applyFont="1" applyFill="1" applyBorder="1" applyAlignment="1">
      <alignment horizontal="center"/>
    </xf>
    <xf numFmtId="0" fontId="16" fillId="41" borderId="18" xfId="0" applyFont="1" applyFill="1" applyBorder="1" applyAlignment="1">
      <alignment horizontal="center"/>
    </xf>
    <xf numFmtId="0" fontId="16" fillId="41" borderId="26" xfId="0" applyFont="1" applyFill="1" applyBorder="1" applyAlignment="1">
      <alignment horizontal="center"/>
    </xf>
    <xf numFmtId="0" fontId="16" fillId="41" borderId="27" xfId="0" applyFont="1" applyFill="1" applyBorder="1" applyAlignment="1">
      <alignment horizontal="center"/>
    </xf>
    <xf numFmtId="0" fontId="21" fillId="37" borderId="24" xfId="0" applyFont="1" applyFill="1" applyBorder="1" applyAlignment="1">
      <alignment horizontal="center"/>
    </xf>
    <xf numFmtId="0" fontId="21" fillId="37" borderId="0" xfId="0" applyFont="1" applyFill="1" applyBorder="1" applyAlignment="1">
      <alignment horizontal="center"/>
    </xf>
    <xf numFmtId="0" fontId="22" fillId="42" borderId="0" xfId="0" applyFont="1" applyFill="1" applyAlignment="1">
      <alignment horizontal="center"/>
    </xf>
    <xf numFmtId="0" fontId="23" fillId="43" borderId="28" xfId="0" applyFont="1" applyFill="1" applyBorder="1" applyAlignment="1">
      <alignment horizontal="center"/>
    </xf>
    <xf numFmtId="0" fontId="23" fillId="44" borderId="0" xfId="0" applyFont="1" applyFill="1" applyAlignment="1">
      <alignment horizontal="center"/>
    </xf>
    <xf numFmtId="0" fontId="16" fillId="38" borderId="17" xfId="0" applyFont="1" applyFill="1" applyBorder="1" applyAlignment="1">
      <alignment horizontal="center"/>
    </xf>
    <xf numFmtId="0" fontId="16" fillId="36" borderId="17" xfId="0" applyFont="1" applyFill="1" applyBorder="1" applyAlignment="1">
      <alignment horizontal="center"/>
    </xf>
    <xf numFmtId="0" fontId="16" fillId="36" borderId="18" xfId="0" applyFont="1" applyFill="1" applyBorder="1" applyAlignment="1">
      <alignment horizontal="center"/>
    </xf>
    <xf numFmtId="0" fontId="16" fillId="33" borderId="19" xfId="0" applyFont="1" applyFill="1" applyBorder="1" applyAlignment="1">
      <alignment horizontal="center"/>
    </xf>
    <xf numFmtId="0" fontId="16" fillId="33" borderId="15" xfId="0" applyFont="1" applyFill="1" applyBorder="1" applyAlignment="1">
      <alignment horizontal="center"/>
    </xf>
    <xf numFmtId="0" fontId="16" fillId="33" borderId="20" xfId="0" applyFont="1" applyFill="1" applyBorder="1" applyAlignment="1">
      <alignment horizontal="center"/>
    </xf>
    <xf numFmtId="0" fontId="16" fillId="37" borderId="21" xfId="0" applyFont="1" applyFill="1" applyBorder="1" applyAlignment="1">
      <alignment horizontal="center"/>
    </xf>
    <xf numFmtId="0" fontId="16" fillId="37" borderId="22" xfId="0" applyFont="1" applyFill="1" applyBorder="1" applyAlignment="1">
      <alignment horizontal="center"/>
    </xf>
    <xf numFmtId="0" fontId="16" fillId="37" borderId="23" xfId="0" applyFont="1" applyFill="1" applyBorder="1" applyAlignment="1">
      <alignment horizontal="center"/>
    </xf>
    <xf numFmtId="0" fontId="16" fillId="39" borderId="17" xfId="0" applyFont="1" applyFill="1" applyBorder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4" xfId="44" xr:uid="{00000000-0005-0000-0000-00002700000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08"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pbiazure://api.powerbi.com 6e064a38-7f82-4416-9451-8d82a554b559 Model">
      <tp t="e">
        <v>#N/A</v>
        <stp>1</stp>
        <tr r="E104" s="5"/>
        <tr r="E275" s="5"/>
        <tr r="F278" s="5"/>
        <tr r="N319" s="5"/>
        <tr r="I237" s="5"/>
        <tr r="J89" s="5"/>
        <tr r="E88" s="5"/>
        <tr r="F127" s="5"/>
        <tr r="L145" s="5"/>
        <tr r="C230" s="5"/>
        <tr r="P29" s="5"/>
        <tr r="G12" s="5"/>
        <tr r="B282" s="5"/>
        <tr r="L298" s="5"/>
        <tr r="M295" s="5"/>
        <tr r="J93" s="5"/>
        <tr r="G265" s="5"/>
        <tr r="O129" s="5"/>
        <tr r="C26" s="5"/>
        <tr r="N95" s="5"/>
        <tr r="I275" s="5"/>
        <tr r="L203" s="5"/>
        <tr r="E335" s="5"/>
        <tr r="F94" s="5"/>
        <tr r="H100" s="5"/>
        <tr r="P183" s="5"/>
        <tr r="D215" s="5"/>
        <tr r="N79" s="5"/>
        <tr r="C316" s="5"/>
        <tr r="B259" s="5"/>
        <tr r="O157" s="5"/>
        <tr r="F224" s="5"/>
        <tr r="M257" s="5"/>
        <tr r="F261" s="5"/>
        <tr r="J290" s="5"/>
        <tr r="I164" s="5"/>
        <tr r="D213" s="5"/>
        <tr r="F144" s="5"/>
        <tr r="M185" s="5"/>
        <tr r="F159" s="5"/>
        <tr r="C166" s="5"/>
        <tr r="H173" s="5"/>
        <tr r="F73" s="5"/>
        <tr r="M146" s="5"/>
        <tr r="F326" s="5"/>
        <tr r="F308" s="5"/>
        <tr r="D73" s="5"/>
        <tr r="E49" s="5"/>
        <tr r="P230" s="5"/>
        <tr r="O55" s="5"/>
        <tr r="N150" s="5"/>
        <tr r="C209" s="5"/>
        <tr r="C110" s="5"/>
        <tr r="O54" s="5"/>
        <tr r="F362" s="5"/>
        <tr r="C127" s="5"/>
        <tr r="I82" s="5"/>
        <tr r="P198" s="5"/>
        <tr r="J245" s="5"/>
        <tr r="D118" s="5"/>
        <tr r="F234" s="5"/>
        <tr r="L121" s="5"/>
        <tr r="H128" s="5"/>
        <tr r="M120" s="5"/>
        <tr r="F316" s="5"/>
        <tr r="L368" s="5"/>
        <tr r="N126" s="5"/>
        <tr r="M68" s="5"/>
        <tr r="F281" s="5"/>
        <tr r="M109" s="5"/>
        <tr r="B45" s="5"/>
        <tr r="J352" s="5"/>
        <tr r="E240" s="5"/>
        <tr r="B82" s="5"/>
        <tr r="B116" s="5"/>
        <tr r="L21" s="5"/>
        <tr r="D44" s="5"/>
        <tr r="H275" s="5"/>
        <tr r="N76" s="5"/>
        <tr r="N137" s="5"/>
        <tr r="L8" s="5"/>
        <tr r="H92" s="5"/>
        <tr r="F63" s="5"/>
        <tr r="C93" s="5"/>
        <tr r="N38" s="5"/>
        <tr r="P99" s="5"/>
        <tr r="O182" s="5"/>
        <tr r="C90" s="5"/>
        <tr r="B225" s="5"/>
        <tr r="J43" s="5"/>
        <tr r="D290" s="5"/>
        <tr r="H227" s="5"/>
        <tr r="O119" s="5"/>
        <tr r="I193" s="5"/>
        <tr r="C178" s="5"/>
        <tr r="O187" s="5"/>
        <tr r="E77" s="5"/>
        <tr r="N204" s="5"/>
        <tr r="B316" s="5"/>
        <tr r="J233" s="5"/>
        <tr r="F318" s="5"/>
        <tr r="O95" s="5"/>
        <tr r="E30" s="5"/>
        <tr r="O49" s="5"/>
        <tr r="D220" s="5"/>
        <tr r="H35" s="5"/>
        <tr r="L166" s="5"/>
        <tr r="C66" s="5"/>
        <tr r="F368" s="5"/>
        <tr r="P42" s="5"/>
        <tr r="E108" s="5"/>
        <tr r="L49" s="5"/>
        <tr r="F208" s="5"/>
        <tr r="J23" s="5"/>
        <tr r="C153" s="5"/>
        <tr r="F302" s="5"/>
        <tr r="O178" s="5"/>
        <tr r="F217" s="5"/>
        <tr r="C84" s="5"/>
        <tr r="N259" s="5"/>
        <tr r="H131" s="5"/>
        <tr r="H166" s="5"/>
        <tr r="J31" s="5"/>
        <tr r="O141" s="5"/>
        <tr r="N129" s="5"/>
        <tr r="I187" s="5"/>
        <tr r="P284" s="5"/>
        <tr r="I177" s="5"/>
        <tr r="J125" s="5"/>
        <tr r="L287" s="5"/>
        <tr r="G135" s="5"/>
        <tr r="J122" s="5"/>
        <tr r="I311" s="5"/>
        <tr r="O175" s="5"/>
        <tr r="F266" s="5"/>
        <tr r="N30" s="5"/>
        <tr r="D160" s="5"/>
        <tr r="E201" s="5"/>
        <tr r="F47" s="5"/>
        <tr r="C87" s="5"/>
        <tr r="D97" s="5"/>
        <tr r="J147" s="5"/>
        <tr r="D195" s="5"/>
        <tr r="F151" s="5"/>
        <tr r="E215" s="5"/>
        <tr r="N315" s="5"/>
        <tr r="E123" s="5"/>
        <tr r="N180" s="5"/>
        <tr r="D72" s="5"/>
        <tr r="P194" s="5"/>
        <tr r="J57" s="5"/>
        <tr r="O250" s="5"/>
        <tr r="D179" s="5"/>
        <tr r="M155" s="5"/>
        <tr r="E54" s="5"/>
        <tr r="J368" s="5"/>
        <tr r="E142" s="5"/>
        <tr r="D32" s="5"/>
        <tr r="F21" s="5"/>
        <tr r="J81" s="5"/>
        <tr r="P54" s="5"/>
        <tr r="M66" s="5"/>
        <tr r="O199" s="5"/>
        <tr r="D161" s="5"/>
        <tr r="O259" s="5"/>
        <tr r="B69" s="5"/>
        <tr r="F19" s="5"/>
        <tr r="F228" s="5"/>
        <tr r="J280" s="5"/>
        <tr r="D91" s="5"/>
        <tr r="F197" s="5"/>
        <tr r="M48" s="5"/>
        <tr r="J194" s="5"/>
        <tr r="H209" s="5"/>
        <tr r="C215" s="5"/>
        <tr r="E140" s="5"/>
        <tr r="L227" s="5"/>
        <tr r="L114" s="5"/>
        <tr r="J85" s="5"/>
        <tr r="P316" s="5"/>
        <tr r="P17" s="5"/>
        <tr r="I107" s="5"/>
        <tr r="P76" s="5"/>
        <tr r="E60" s="5"/>
        <tr r="H228" s="5"/>
        <tr r="C138" s="5"/>
        <tr r="P244" s="5"/>
        <tr r="G215" s="5"/>
        <tr r="F260" s="5"/>
        <tr r="F77" s="5"/>
        <tr r="J217" s="5"/>
        <tr r="C62" s="5"/>
        <tr r="D239" s="5"/>
        <tr r="N19" s="5"/>
        <tr r="C258" s="5"/>
        <tr r="D11" s="5"/>
        <tr r="M191" s="5"/>
        <tr r="E315" s="5"/>
        <tr r="M195" s="5"/>
        <tr r="G280" s="5"/>
        <tr r="F165" s="5"/>
        <tr r="J20" s="5"/>
        <tr r="I277" s="5"/>
        <tr r="I272" s="5"/>
        <tr r="D335" s="5"/>
        <tr r="N208" s="5"/>
        <tr r="N125" s="5"/>
        <tr r="J315" s="5"/>
        <tr r="F306" s="5"/>
        <tr r="I69" s="5"/>
        <tr r="N59" s="5"/>
        <tr r="B91" s="5"/>
        <tr r="F304" s="5"/>
        <tr r="L119" s="5"/>
        <tr r="J136" s="5"/>
        <tr r="F82" s="5"/>
        <tr r="J157" s="5"/>
        <tr r="N231" s="5"/>
        <tr r="O193" s="5"/>
        <tr r="D194" s="5"/>
        <tr r="J6" s="5"/>
        <tr r="F13" s="5"/>
        <tr r="N226" s="5"/>
        <tr r="O29" s="5"/>
        <tr r="D25" s="5"/>
        <tr r="F141" s="5"/>
        <tr r="J208" s="5"/>
        <tr r="C202" s="5"/>
        <tr r="F337" s="5"/>
        <tr r="E204" s="5"/>
        <tr r="D143" s="5"/>
        <tr r="F276" s="5"/>
        <tr r="J143" s="5"/>
        <tr r="D20" s="5"/>
        <tr r="L127" s="5"/>
        <tr r="F24" s="5"/>
        <tr r="F289" s="5"/>
        <tr r="L337" s="5"/>
        <tr r="F177" s="5"/>
        <tr r="O99" s="5"/>
        <tr r="C145" s="5"/>
        <tr r="N335" s="5"/>
        <tr r="B14" s="5"/>
        <tr r="I315" s="5"/>
        <tr r="I331" s="5"/>
        <tr r="J212" s="5"/>
        <tr r="G146" s="5"/>
        <tr r="C112" s="5"/>
        <tr r="M290" s="5"/>
        <tr r="L108" s="5"/>
        <tr r="N75" s="5"/>
        <tr r="C296" s="5"/>
        <tr r="E61" s="5"/>
        <tr r="N368" s="5"/>
        <tr r="H132" s="5"/>
        <tr r="G48" s="5"/>
        <tr r="P84" s="5"/>
        <tr r="M260" s="5"/>
        <tr r="H221" s="5"/>
        <tr r="F145" s="5"/>
        <tr r="P190" s="5"/>
        <tr r="P173" s="5"/>
        <tr r="N58" s="5"/>
        <tr r="D167" s="5"/>
        <tr r="F66" s="5"/>
        <tr r="O184" s="5"/>
        <tr r="M133" s="5"/>
        <tr r="F90" s="5"/>
        <tr r="N35" s="5"/>
        <tr r="E114" s="5"/>
        <tr r="O230" s="5"/>
        <tr r="L66" s="5"/>
        <tr r="E145" s="5"/>
        <tr r="F230" s="5"/>
        <tr r="O292" s="5"/>
        <tr r="M57" s="5"/>
        <tr r="J146" s="5"/>
        <tr r="J24" s="5"/>
        <tr r="D337" s="5"/>
        <tr r="F166" s="5"/>
        <tr r="F97" s="5"/>
        <tr r="N280" s="5"/>
        <tr r="F137" s="5"/>
        <tr r="C198" s="5"/>
        <tr r="G155" s="5"/>
        <tr r="E93" s="5"/>
        <tr r="M204" s="5"/>
        <tr r="F118" s="5"/>
        <tr r="C42" s="5"/>
        <tr r="C121" s="5"/>
        <tr r="F126" s="5"/>
        <tr r="D183" s="5"/>
        <tr r="D141" s="5"/>
        <tr r="D8" s="5"/>
        <tr r="F147" s="5"/>
        <tr r="F204" s="5"/>
        <tr r="P100" s="5"/>
        <tr r="D129" s="5"/>
        <tr r="D122" s="5"/>
        <tr r="J105" s="5"/>
        <tr r="O50" s="5"/>
        <tr r="I190" s="5"/>
        <tr r="O73" s="5"/>
        <tr r="O164" s="5"/>
        <tr r="C137" s="5"/>
        <tr r="O155" s="5"/>
        <tr r="H155" s="5"/>
        <tr r="P337" s="5"/>
        <tr r="N183" s="5"/>
        <tr r="N277" s="5"/>
        <tr r="D155" s="5"/>
        <tr r="C162" s="5"/>
        <tr r="G54" s="5"/>
        <tr r="D315" s="5"/>
        <tr r="H125" s="5"/>
        <tr r="B177" s="5"/>
        <tr r="E243" s="5"/>
        <tr r="L184" s="5"/>
        <tr r="O17" s="5"/>
        <tr r="M140" s="5"/>
        <tr r="N100" s="5"/>
        <tr r="N176" s="5"/>
        <tr r="C163" s="5"/>
        <tr r="F85" s="5"/>
        <tr r="I342" s="5"/>
        <tr r="D117" s="5"/>
        <tr r="D198" s="5"/>
        <tr r="N166" s="5"/>
        <tr r="D56" s="5"/>
        <tr r="G253" s="5"/>
        <tr r="N122" s="5"/>
        <tr r="D61" s="5"/>
        <tr r="L191" s="5"/>
        <tr r="F172" s="5"/>
        <tr r="I338" s="5"/>
        <tr r="F194" s="5"/>
        <tr r="F55" s="5"/>
        <tr r="J155" s="5"/>
        <tr r="B114" s="5"/>
        <tr r="F106" s="5"/>
        <tr r="N247" s="5"/>
        <tr r="D75" s="5"/>
        <tr r="F346" s="5"/>
        <tr r="I140" s="5"/>
        <tr r="D264" s="5"/>
        <tr r="E132" s="5"/>
        <tr r="F167" s="5"/>
        <tr r="N94" s="5"/>
        <tr r="M92" s="5"/>
        <tr r="M277" s="5"/>
        <tr r="D275" s="5"/>
        <tr r="E267" s="5"/>
        <tr r="E158" s="5"/>
        <tr r="C156" s="5"/>
        <tr r="J132" s="5"/>
        <tr r="C54" s="5"/>
        <tr r="M117" s="5"/>
        <tr r="L64" s="5"/>
        <tr r="M197" s="5"/>
        <tr r="L77" s="5"/>
        <tr r="F247" s="5"/>
        <tr r="N97" s="5"/>
        <tr r="I243" s="5"/>
        <tr r="C250" s="5"/>
        <tr r="F33" s="5"/>
        <tr r="E290" s="5"/>
        <tr r="P127" s="5"/>
        <tr r="F44" s="5"/>
        <tr r="D142" s="5"/>
        <tr r="N256" s="5"/>
        <tr r="J225" s="5"/>
        <tr r="J69" s="5"/>
        <tr r="F280" s="5"/>
        <tr r="O126" s="5"/>
        <tr r="L315" s="5"/>
        <tr r="L69" s="5"/>
        <tr r="F14" s="5"/>
        <tr r="E117" s="5"/>
        <tr r="O275" s="5"/>
        <tr r="M100" s="5"/>
        <tr r="L132" s="5"/>
        <tr r="D230" s="5"/>
        <tr r="M166" s="5"/>
        <tr r="F143" s="5"/>
        <tr r="G129" s="5"/>
        <tr r="N15" s="5"/>
        <tr r="N141" s="5"/>
        <tr r="M124" s="5"/>
        <tr r="J209" s="5"/>
        <tr r="D189" s="5"/>
        <tr r="F218" s="5"/>
        <tr r="F351" s="5"/>
        <tr r="F69" s="5"/>
        <tr r="L136" s="5"/>
        <tr r="F235" s="5"/>
        <tr r="N105" s="5"/>
        <tr r="F72" s="5"/>
        <tr r="E94" s="5"/>
        <tr r="C91" s="5"/>
        <tr r="F32" s="5"/>
        <tr r="B315" s="5"/>
        <tr r="D203" s="5"/>
        <tr r="M139" s="5"/>
        <tr r="I40" s="5"/>
        <tr r="G221" s="5"/>
        <tr r="C337" s="5"/>
        <tr r="H113" s="5"/>
        <tr r="P77" s="5"/>
        <tr r="E46" s="5"/>
        <tr r="N209" s="5"/>
        <tr r="D108" s="5"/>
        <tr r="F292" s="5"/>
        <tr r="F212" s="5"/>
        <tr r="F152" s="5"/>
        <tr r="J34" s="5"/>
        <tr r="L57" s="5"/>
        <tr r="E177" s="5"/>
        <tr r="G171" s="5"/>
        <tr r="L111" s="5"/>
        <tr r="C343" s="5"/>
        <tr r="H255" s="5"/>
        <tr r="F205" s="5"/>
        <tr r="N36" s="5"/>
        <tr r="O58" s="5"/>
        <tr r="I132" s="5"/>
        <tr r="M239" s="5"/>
        <tr r="H142" s="5"/>
        <tr r="D186" s="5"/>
        <tr r="J152" s="5"/>
        <tr r="B133" s="5"/>
        <tr r="F6" s="5"/>
        <tr r="O177" s="5"/>
        <tr r="G46" s="5"/>
        <tr r="N123" s="5"/>
        <tr r="F109" s="5"/>
        <tr r="J54" s="5"/>
        <tr r="H119" s="5"/>
        <tr r="G173" s="5"/>
        <tr r="H264" s="5"/>
        <tr r="C44" s="5"/>
        <tr r="F99" s="5"/>
        <tr r="F74" s="5"/>
        <tr r="G201" s="5"/>
        <tr r="N316" s="5"/>
        <tr r="M275" s="5"/>
        <tr r="O82" s="5"/>
        <tr r="P119" s="5"/>
        <tr r="E230" s="5"/>
        <tr r="I146" s="5"/>
        <tr r="L180" s="5"/>
        <tr r="O163" s="5"/>
        <tr r="I61" s="5"/>
        <tr r="F93" s="5"/>
        <tr r="D42" s="5"/>
        <tr r="C161" s="5"/>
        <tr r="D93" s="5"/>
        <tr r="C315" s="5"/>
        <tr r="C55" s="5"/>
        <tr r="L169" s="5"/>
        <tr r="E66" s="5"/>
        <tr r="C131" s="5"/>
        <tr r="N127" s="5"/>
        <tr r="M209" s="5"/>
        <tr r="M97" s="5"/>
        <tr r="F299" s="5"/>
        <tr r="L76" s="5"/>
        <tr r="L14" s="5"/>
        <tr r="D26" s="5"/>
        <tr r="J39" s="5"/>
        <tr r="F238" s="5"/>
        <tr r="D226" s="5"/>
        <tr r="N292" s="5"/>
        <tr r="J7" s="5"/>
        <tr r="D300" s="5"/>
        <tr r="N186" s="5"/>
        <tr r="E90" s="5"/>
        <tr r="O340" s="5"/>
        <tr r="M339" s="5"/>
        <tr r="M280" s="5"/>
        <tr r="N296" s="5"/>
        <tr r="L15" s="5"/>
        <tr r="F307" s="5"/>
        <tr r="M238" s="5"/>
        <tr r="J221" s="5"/>
        <tr r="I117" s="5"/>
        <tr r="O117" s="5"/>
        <tr r="L29" s="5"/>
        <tr r="H29" s="5"/>
        <tr r="D92" s="5"/>
        <tr r="J67" s="5"/>
        <tr r="L20" s="5"/>
        <tr r="N190" s="5"/>
        <tr r="B111" s="5"/>
        <tr r="P82" s="5"/>
        <tr r="J141" s="5"/>
        <tr r="H150" s="5"/>
        <tr r="G143" s="5"/>
        <tr r="M164" s="5"/>
        <tr r="F130" s="5"/>
        <tr r="E171" s="5"/>
        <tr r="B153" s="5"/>
        <tr r="J107" s="5"/>
        <tr r="D10" s="5"/>
        <tr r="L148" s="5"/>
        <tr r="F160" s="5"/>
        <tr r="F26" s="5"/>
        <tr r="F174" s="5"/>
        <tr r="N109" s="5"/>
        <tr r="O150" s="5"/>
        <tr r="F162" s="5"/>
        <tr r="J140" s="5"/>
        <tr r="E166" s="5"/>
        <tr r="C120" s="5"/>
        <tr r="B16" s="5"/>
        <tr r="N14" s="5"/>
        <tr r="J8" s="5"/>
        <tr r="F200" s="5"/>
        <tr r="L71" s="5"/>
        <tr r="J241" s="5"/>
        <tr r="J45" s="5"/>
        <tr r="C164" s="5"/>
        <tr r="N271" s="5"/>
        <tr r="L100" s="5"/>
        <tr r="I83" s="5"/>
        <tr r="P81" s="5"/>
        <tr r="E39" s="5"/>
        <tr r="B59" s="5"/>
        <tr r="E10" s="5"/>
        <tr r="I247" s="5"/>
        <tr r="M112" s="5"/>
        <tr r="N140" s="5"/>
        <tr r="P14" s="5"/>
        <tr r="G275" s="5"/>
        <tr r="M230" s="5"/>
        <tr r="P155" s="5"/>
        <tr r="G317" s="5"/>
        <tr r="O104" s="5"/>
        <tr r="N70" s="5"/>
        <tr r="O46" s="5"/>
        <tr r="C108" s="5"/>
        <tr r="F349" s="5"/>
        <tr r="M144" s="5"/>
        <tr r="J15" s="5"/>
        <tr r="J87" s="5"/>
        <tr r="M165" s="5"/>
        <tr r="M65" s="5"/>
        <tr r="F56" s="5"/>
        <tr r="D154" s="5"/>
        <tr r="P144" s="5"/>
        <tr r="M95" s="5"/>
        <tr r="M180" s="5"/>
        <tr r="H237" s="5"/>
        <tr r="P128" s="5"/>
        <tr r="D23" s="5"/>
        <tr r="P166" s="5"/>
        <tr r="C7" s="5"/>
        <tr r="P140" s="5"/>
        <tr r="J94" s="5"/>
        <tr r="N114" s="5"/>
        <tr r="H121" s="5"/>
        <tr r="O166" s="5"/>
        <tr r="F125" s="5"/>
        <tr r="B139" s="5"/>
        <tr r="F117" s="5"/>
        <tr r="F150" s="5"/>
        <tr r="F34" s="5"/>
        <tr r="I215" s="5"/>
        <tr r="L316" s="5"/>
        <tr r="N179" s="5"/>
        <tr r="I221" s="5"/>
        <tr r="L92" s="5"/>
        <tr r="H308" s="5"/>
        <tr r="E264" s="5"/>
        <tr r="F111" s="5"/>
        <tr r="P75" s="5"/>
        <tr r="H137" s="5"/>
        <tr r="D223" s="5"/>
        <tr r="P150" s="5"/>
        <tr r="L278" s="5"/>
        <tr r="P260" s="5"/>
        <tr r="N45" s="5"/>
        <tr r="L262" s="5"/>
        <tr r="L204" s="5"/>
        <tr r="J249" s="5"/>
        <tr r="O173" s="5"/>
        <tr r="F48" s="5"/>
        <tr r="J19" s="5"/>
        <tr r="O63" s="5"/>
        <tr r="L133" s="5"/>
        <tr r="L36" s="5"/>
        <tr r="H87" s="5"/>
        <tr r="O167" s="5"/>
        <tr r="P68" s="5"/>
        <tr r="M99" s="5"/>
        <tr r="O72" s="5"/>
        <tr r="F134" s="5"/>
        <tr r="D6" s="5"/>
        <tr r="P215" s="5"/>
        <tr r="D162" s="5"/>
        <tr r="B296" s="5"/>
        <tr r="L183" s="5"/>
        <tr r="I245" s="5"/>
        <tr r="F40" s="5"/>
        <tr r="F61" s="5"/>
        <tr r="E42" s="5"/>
        <tr r="F196" s="5"/>
        <tr r="E27" s="5"/>
        <tr r="B145" s="5"/>
        <tr r="P55" s="5"/>
        <tr r="F216" s="5"/>
        <tr r="D171" s="5"/>
        <tr r="J121" s="5"/>
        <tr r="C105" s="5"/>
        <tr r="C341" s="5"/>
        <tr r="J82" s="5"/>
        <tr r="P8" s="5"/>
        <tr r="L195" s="5"/>
        <tr r="D166" s="5"/>
        <tr r="D29" s="5"/>
        <tr r="F241" s="5"/>
        <tr r="D47" s="5"/>
        <tr r="C201" s="5"/>
        <tr r="J179" s="5"/>
        <tr r="O108" s="5"/>
        <tr r="E212" s="5"/>
        <tr r="C92" s="5"/>
        <tr r="F342" s="5"/>
        <tr r="O118" s="5"/>
        <tr r="F180" s="5"/>
        <tr r="H317" s="5"/>
        <tr r="M150" s="5"/>
        <tr r="E92" s="5"/>
        <tr r="N32" s="5"/>
        <tr r="F315" s="5"/>
        <tr r="E248" s="5"/>
        <tr r="B81" s="5"/>
        <tr r="P137" s="5"/>
        <tr r="D157" s="5"/>
        <tr r="D104" s="5"/>
        <tr r="B31" s="6"/>
        <tr r="D355" s="5"/>
        <tr r="N161" s="5"/>
        <tr r="N198" s="5"/>
        <tr r="D189" s="6"/>
        <tr r="B30" s="5"/>
        <tr r="O51" s="5"/>
        <tr r="J220" s="5"/>
        <tr r="C94" s="5"/>
        <tr r="O48" s="5"/>
        <tr r="C50" s="5"/>
        <tr r="B151" s="5"/>
        <tr r="E193" s="5"/>
        <tr r="J186" s="5"/>
        <tr r="C238" s="5"/>
        <tr r="G50" s="6"/>
        <tr r="F139" s="5"/>
        <tr r="D170" s="5"/>
        <tr r="C39" s="5"/>
        <tr r="C151" s="5"/>
        <tr r="F201" s="5"/>
        <tr r="F31" s="5"/>
        <tr r="E266" s="5"/>
        <tr r="D125" s="5"/>
        <tr r="C24" s="5"/>
        <tr r="C167" s="5"/>
        <tr r="I44" s="5"/>
        <tr r="L164" s="5"/>
        <tr r="B176" s="5"/>
        <tr r="C48" s="5"/>
        <tr r="E47" s="5"/>
        <tr r="P239" s="5"/>
        <tr r="N22" s="5"/>
        <tr r="F54" s="5"/>
        <tr r="O218" s="5"/>
        <tr r="C107" s="5"/>
        <tr r="N86" s="5"/>
        <tr r="F45" s="5"/>
        <tr r="E121" s="5"/>
        <tr r="L173" s="5"/>
        <tr r="D153" s="5"/>
        <tr r="M76" s="5"/>
        <tr r="M103" s="5"/>
        <tr r="F184" s="5"/>
        <tr r="O27" s="5"/>
        <tr r="M173" s="5"/>
        <tr r="F183" s="5"/>
        <tr r="D182" s="5"/>
        <tr r="C126" s="5"/>
        <tr r="O257" s="5"/>
        <tr r="O315" s="5"/>
        <tr r="P49" s="5"/>
        <tr r="E155" s="5"/>
        <tr r="I100" s="5"/>
        <tr r="H315" s="5"/>
        <tr r="D202" s="5"/>
        <tr r="O87" s="5"/>
        <tr r="F213" s="5"/>
        <tr r="J119" s="5"/>
        <tr r="F181" s="5"/>
        <tr r="N258" s="5"/>
        <tr r="F81" s="5"/>
        <tr r="O105" s="5"/>
        <tr r="F206" s="5"/>
        <tr r="F79" s="5"/>
        <tr r="I244" s="5"/>
        <tr r="J178" s="5"/>
        <tr r="O198" s="5"/>
        <tr r="J323" s="5"/>
        <tr r="J36" s="5"/>
        <tr r="E179" s="5"/>
        <tr r="P134" s="5"/>
        <tr r="G126" s="5"/>
        <tr r="P56" s="5"/>
        <tr r="C263" s="5"/>
        <tr r="K372" s="5"/>
        <tr r="F135" s="5"/>
        <tr r="F155" s="5"/>
        <tr r="C22" s="5"/>
        <tr r="D33" s="5"/>
        <tr r="C146" s="5"/>
        <tr r="J177" s="5"/>
        <tr r="D38" s="5"/>
        <tr r="K81" s="5"/>
        <tr r="C6" s="6"/>
        <tr r="B102" s="5"/>
        <tr r="G103" s="5"/>
        <tr r="C70" s="5"/>
        <tr r="F53" s="5"/>
        <tr r="L187" s="5"/>
        <tr r="K22" s="5"/>
        <tr r="K156" s="5"/>
        <tr r="D49" s="5"/>
        <tr r="G94" s="5"/>
        <tr r="C123" s="5"/>
        <tr r="N107" s="5"/>
        <tr r="L30" s="5"/>
        <tr r="J109" s="5"/>
        <tr r="J130" s="5"/>
        <tr r="N18" s="5"/>
        <tr r="D121" s="5"/>
        <tr r="P118" s="5"/>
        <tr r="I123" s="6"/>
        <tr r="D100" s="5"/>
        <tr r="J192" s="5"/>
        <tr r="K61" s="5"/>
        <tr r="J176" s="5"/>
        <tr r="O92" s="5"/>
        <tr r="D48" s="5"/>
        <tr r="N41" s="5"/>
        <tr r="G9" s="5"/>
        <tr r="K346" s="5"/>
        <tr r="E25" s="5"/>
        <tr r="O81" s="5"/>
        <tr r="G189" s="5"/>
        <tr r="M44" s="5"/>
        <tr r="H203" s="5"/>
        <tr r="N61" s="5"/>
        <tr r="G105" s="5"/>
        <tr r="L67" s="5"/>
        <tr r="P36" s="5"/>
        <tr r="L48" s="5"/>
        <tr r="G252" s="5"/>
        <tr r="L61" s="5"/>
        <tr r="D123" s="5"/>
        <tr r="F39" s="5"/>
        <tr r="O165" s="5"/>
        <tr r="B168" s="5"/>
        <tr r="B38" s="5"/>
        <tr r="L139" s="5"/>
        <tr r="O289" s="5"/>
        <tr r="O83" s="5"/>
        <tr r="D60" s="5"/>
        <tr r="C159" s="5"/>
        <tr r="B75" s="5"/>
        <tr r="C56" s="5"/>
        <tr r="O91" s="5"/>
        <tr r="J160" s="5"/>
        <tr r="J10" s="5"/>
        <tr r="E165" s="5"/>
        <tr r="L152" s="5"/>
        <tr r="C59" s="5"/>
        <tr r="F42" s="5"/>
        <tr r="H182" s="5"/>
        <tr r="N304" s="5"/>
        <tr r="G199" s="5"/>
        <tr r="N156" s="5"/>
        <tr r="J68" s="5"/>
        <tr r="C147" s="5"/>
        <tr r="J41" s="5"/>
        <tr r="G114" s="5"/>
        <tr r="E5" s="5"/>
        <tr r="N272" s="5"/>
        <tr r="O43" s="5"/>
        <tr r="G128" s="5"/>
        <tr r="L93" s="5"/>
        <tr r="K365" s="5"/>
        <tr r="E120" s="5"/>
        <tr r="F296" s="5"/>
        <tr r="C96" s="5"/>
        <tr r="N39" s="5"/>
        <tr r="C25" s="5"/>
        <tr r="H146" s="5"/>
        <tr r="D152" s="5"/>
        <tr r="J300" s="5"/>
        <tr r="G169" s="5"/>
        <tr r="K255" s="5"/>
        <tr r="N177" s="5"/>
        <tr r="I238" s="5"/>
        <tr r="N87" s="5"/>
        <tr r="J78" s="5"/>
        <tr r="H296" s="5"/>
        <tr r="G138" s="5"/>
        <tr r="C175" s="5"/>
        <tr r="I296" s="5"/>
        <tr r="G242" s="5"/>
        <tr r="M53" s="5"/>
        <tr r="F60" s="5"/>
        <tr r="N120" s="5"/>
        <tr r="C182" s="5"/>
        <tr r="O38" s="5"/>
        <tr r="F101" s="5"/>
        <tr r="C276" s="6"/>
        <tr r="N197" s="5"/>
        <tr r="F267" s="5"/>
        <tr r="J95" s="5"/>
        <tr r="L101" s="5"/>
        <tr r="N102" s="5"/>
        <tr r="I53" s="5"/>
        <tr r="F70" s="5"/>
        <tr r="K17" s="5"/>
        <tr r="J22" s="5"/>
        <tr r="D18" s="5"/>
        <tr r="L41" s="5"/>
        <tr r="E111" s="5"/>
        <tr r="G81" s="5"/>
        <tr r="G23" s="5"/>
        <tr r="P156" s="5"/>
        <tr r="L85" s="5"/>
        <tr r="O33" s="5"/>
        <tr r="F8" s="5"/>
        <tr r="H298" s="5"/>
        <tr r="G217" s="5"/>
        <tr r="K355" s="5"/>
        <tr r="J91" s="5"/>
        <tr r="J112" s="5"/>
        <tr r="N53" s="5"/>
        <tr r="B206" s="5"/>
        <tr r="F173" s="5"/>
        <tr r="J206" s="5"/>
        <tr r="J59" s="5"/>
        <tr r="B49" s="5"/>
        <tr r="J170" s="5"/>
        <tr r="C78" s="5"/>
        <tr r="O114" s="5"/>
        <tr r="B74" s="5"/>
        <tr r="G58" s="5"/>
        <tr r="C130" s="5"/>
        <tr r="I123" s="5"/>
        <tr r="F38" s="5"/>
        <tr r="O23" s="5"/>
        <tr r="B181" s="5"/>
        <tr r="K176" s="5"/>
        <tr r="F175" s="5"/>
        <tr r="G78" s="5"/>
        <tr r="P160" s="5"/>
        <tr r="G200" s="5"/>
        <tr r="N26" s="5"/>
        <tr r="O159" s="5"/>
        <tr r="E197" s="5"/>
        <tr r="B146" s="5"/>
        <tr r="G65" s="5"/>
        <tr r="B25" s="5"/>
        <tr r="O41" s="5"/>
        <tr r="H53" s="5"/>
        <tr r="P92" s="5"/>
        <tr r="P30" s="5"/>
        <tr r="K345" s="5"/>
        <tr r="M196" s="5"/>
        <tr r="P60" s="5"/>
        <tr r="O78" s="5"/>
        <tr r="D268" s="6"/>
        <tr r="I348" s="6"/>
        <tr r="H85" s="5"/>
        <tr r="H134" s="5"/>
        <tr r="G156" s="5"/>
        <tr r="M156" s="5"/>
        <tr r="J46" s="6"/>
        <tr r="N130" s="5"/>
        <tr r="P57" s="5"/>
        <tr r="I204" s="5"/>
        <tr r="G56" s="5"/>
        <tr r="N118" s="5"/>
        <tr r="L134" s="5"/>
        <tr r="D63" s="5"/>
        <tr r="N99" s="5"/>
        <tr r="C60" s="5"/>
        <tr r="D135" s="5"/>
        <tr r="K76" s="5"/>
        <tr r="I326" s="6"/>
        <tr r="P93" s="5"/>
        <tr r="E91" s="5"/>
        <tr r="N324" s="5"/>
        <tr r="O102" s="5"/>
        <tr r="L95" s="5"/>
        <tr r="G195" s="5"/>
        <tr r="F92" s="5"/>
        <tr r="K57" s="5"/>
        <tr r="E57" s="5"/>
        <tr r="E118" s="5"/>
        <tr r="P243" s="5"/>
        <tr r="J158" s="5"/>
        <tr r="E6" s="5"/>
        <tr r="F20" s="5"/>
        <tr r="L75" s="5"/>
        <tr r="O151" s="5"/>
        <tr r="G158" s="5"/>
        <tr r="E236" s="6"/>
        <tr r="F22" s="5"/>
        <tr r="L238" s="5"/>
        <tr r="G170" s="5"/>
        <tr r="G97" s="5"/>
        <tr r="N34" s="5"/>
        <tr r="E58" s="5"/>
        <tr r="H94" s="6"/>
        <tr r="D17" s="5"/>
        <tr r="G167" s="5"/>
        <tr r="I76" s="5"/>
        <tr r="E241" s="5"/>
        <tr r="K328" s="5"/>
        <tr r="L86" s="5"/>
        <tr r="G104" s="5"/>
        <tr r="O145" s="5"/>
        <tr r="K151" s="5"/>
        <tr r="N134" s="5"/>
        <tr r="C23" s="5"/>
        <tr r="P138" s="5"/>
        <tr r="B141" s="6"/>
        <tr r="G25" s="5"/>
        <tr r="K40" s="5"/>
        <tr r="K319" s="5"/>
        <tr r="F15" s="5"/>
        <tr r="P238" s="5"/>
        <tr r="P132" s="5"/>
        <tr r="G139" s="5"/>
        <tr r="L179" s="5"/>
        <tr r="E17" s="5"/>
        <tr r="I51" s="5"/>
        <tr r="O103" s="5"/>
        <tr r="K317" s="5"/>
        <tr r="P235" s="5"/>
        <tr r="C298" s="5"/>
        <tr r="J77" s="5"/>
        <tr r="M168" s="5"/>
        <tr r="F287" s="6"/>
        <tr r="H79" s="6"/>
        <tr r="J48" s="6"/>
        <tr r="J10" s="6"/>
        <tr r="E208" s="6"/>
        <tr r="D10" s="6"/>
        <tr r="P39" s="5"/>
        <tr r="L65" s="5"/>
        <tr r="J267" s="5"/>
        <tr r="J202" s="5"/>
        <tr r="G109" s="5"/>
        <tr r="I29" s="5"/>
        <tr r="G289" s="6"/>
        <tr r="J241" s="6"/>
        <tr r="I17" s="6"/>
        <tr r="D372" s="6"/>
        <tr r="N146" s="5"/>
        <tr r="K339" s="5"/>
        <tr r="J100" s="5"/>
        <tr r="D114" s="6"/>
        <tr r="E206" s="6"/>
        <tr r="J127" s="5"/>
        <tr r="C352" s="6"/>
        <tr r="G38" s="6"/>
        <tr r="B140" s="5"/>
        <tr r="P66" s="5"/>
        <tr r="J14" s="5"/>
        <tr r="F169" s="5"/>
        <tr r="B100" s="6"/>
        <tr r="O67" s="5"/>
        <tr r="N165" s="5"/>
        <tr r="E310" s="6"/>
        <tr r="C53" s="5"/>
        <tr r="B350" s="6"/>
        <tr r="E253" s="6"/>
        <tr r="I55" s="5"/>
        <tr r="G220" s="6"/>
        <tr r="J133" s="6"/>
        <tr r="D214" s="6"/>
        <tr r="C45" s="5"/>
        <tr r="E74" s="5"/>
        <tr r="O19" s="5"/>
        <tr r="O197" s="5"/>
        <tr r="E266" s="6"/>
        <tr r="E19" s="5"/>
        <tr r="F242" s="6"/>
        <tr r="O52" s="5"/>
        <tr r="E279" s="6"/>
        <tr r="H308" s="6"/>
        <tr r="L172" s="5"/>
        <tr r="B43" s="5"/>
        <tr r="E56" s="6"/>
        <tr r="E213" s="6"/>
        <tr r="C299" s="6"/>
        <tr r="L126" s="5"/>
        <tr r="B375" s="6"/>
        <tr r="P181" s="5"/>
        <tr r="H180" s="5"/>
        <tr r="K300" s="5"/>
        <tr r="I203" s="6"/>
        <tr r="C86" s="5"/>
        <tr r="C179" s="5"/>
        <tr r="G36" s="5"/>
        <tr r="O36" s="5"/>
        <tr r="K126" s="5"/>
        <tr r="B312" s="6"/>
        <tr r="B166" s="6"/>
        <tr r="P71" s="5"/>
        <tr r="I88" s="6"/>
        <tr r="D89" s="5"/>
        <tr r="P86" s="5"/>
        <tr r="I169" s="5"/>
        <tr r="F369" s="6"/>
        <tr r="H323" s="6"/>
        <tr r="D77" s="6"/>
        <tr r="P102" s="5"/>
        <tr r="F149" s="5"/>
        <tr r="N16" s="5"/>
        <tr r="D313" s="6"/>
        <tr r="P98" s="5"/>
        <tr r="K46" s="5"/>
        <tr r="C281" s="6"/>
        <tr r="G156" s="6"/>
        <tr r="E149" s="6"/>
        <tr r="H26" s="5"/>
        <tr r="K31" s="5"/>
        <tr r="M182" s="5"/>
        <tr r="C68" s="6"/>
        <tr r="E153" s="5"/>
        <tr r="F133" s="6"/>
        <tr r="I64" s="5"/>
        <tr r="E13" s="5"/>
        <tr r="H211" s="5"/>
        <tr r="E366" s="6"/>
        <tr r="H257" s="6"/>
        <tr r="M35" s="5"/>
        <tr r="B302" s="6"/>
        <tr r="B148" s="5"/>
        <tr r="I70" s="6"/>
        <tr r="D69" s="5"/>
        <tr r="M369" s="5"/>
        <tr r="M122" s="5"/>
        <tr r="C145" s="6"/>
        <tr r="G203" s="5"/>
        <tr r="I342" s="6"/>
        <tr r="H76" s="5"/>
        <tr r="K369" s="5"/>
        <tr r="E188" s="5"/>
        <tr r="G183" s="5"/>
        <tr r="J205" s="6"/>
        <tr r="H93" s="6"/>
        <tr r="E208" s="5"/>
        <tr r="I262" s="6"/>
        <tr r="G338" s="6"/>
        <tr r="E167" s="6"/>
        <tr r="K324" s="5"/>
        <tr r="O7" s="5"/>
        <tr r="I125" s="6"/>
        <tr r="F11" s="6"/>
        <tr r="C59" s="6"/>
        <tr r="K368" s="5"/>
        <tr r="J80" s="5"/>
        <tr r="E348" s="6"/>
        <tr r="H289" s="6"/>
        <tr r="G324" s="6"/>
        <tr r="C357" s="6"/>
        <tr r="G62" s="5"/>
        <tr r="L58" s="5"/>
        <tr r="F27" s="6"/>
        <tr r="F346" s="6"/>
        <tr r="N28" s="5"/>
        <tr r="J76" s="5"/>
        <tr r="G309" s="6"/>
        <tr r="J317" s="6"/>
        <tr r="I368" s="6"/>
        <tr r="B123" s="5"/>
        <tr r="H204" s="6"/>
        <tr r="H160" s="5"/>
        <tr r="G95" s="6"/>
        <tr r="C51" s="5"/>
        <tr r="K107" s="5"/>
        <tr r="H321" s="6"/>
        <tr r="F324" s="6"/>
        <tr r="P38" s="5"/>
        <tr r="K70" s="5"/>
        <tr r="E63" s="6"/>
        <tr r="H59" s="5"/>
        <tr r="J273" s="6"/>
        <tr r="B327" s="6"/>
        <tr r="M88" s="5"/>
        <tr r="F325" s="6"/>
        <tr r="B13" s="6"/>
        <tr r="L70" s="5"/>
        <tr r="M192" s="5"/>
        <tr r="B308" s="6"/>
        <tr r="I149" s="5"/>
        <tr r="P152" s="5"/>
        <tr r="I219" s="6"/>
        <tr r="B53" s="5"/>
        <tr r="F235" s="6"/>
        <tr r="M189" s="5"/>
        <tr r="F374" s="6"/>
        <tr r="G327" s="6"/>
        <tr r="H200" s="6"/>
        <tr r="H91" s="5"/>
        <tr r="I92" s="5"/>
        <tr r="F271" s="6"/>
        <tr r="F302" s="6"/>
        <tr r="H312" s="6"/>
        <tr r="E62" s="5"/>
        <tr r="I226" s="6"/>
        <tr r="G240" s="6"/>
        <tr r="M34" s="5"/>
        <tr r="H46" s="5"/>
        <tr r="E122" s="5"/>
        <tr r="I114" s="5"/>
        <tr r="D342" s="6"/>
        <tr r="H94" s="5"/>
        <tr r="E248" s="6"/>
        <tr r="B63" s="6"/>
        <tr r="G185" s="6"/>
        <tr r="D52" s="5"/>
        <tr r="C342" s="6"/>
        <tr r="M208" s="5"/>
        <tr r="O71" s="5"/>
        <tr r="O130" s="5"/>
        <tr r="P58" s="5"/>
        <tr r="E199" s="6"/>
        <tr r="C297" s="6"/>
        <tr r="J369" s="5"/>
        <tr r="C155" s="5"/>
        <tr r="J169" s="5"/>
        <tr r="B33" s="5"/>
        <tr r="I125" s="5"/>
        <tr r="E51" s="6"/>
        <tr r="H82" s="5"/>
        <tr r="E11" s="5"/>
        <tr r="H49" s="5"/>
        <tr r="K276" s="5"/>
        <tr r="C264" s="6"/>
        <tr r="N174" s="5"/>
        <tr r="F78" s="5"/>
        <tr r="I310" s="6"/>
        <tr r="P40" s="5"/>
        <tr r="L168" s="5"/>
        <tr r="E39" s="6"/>
        <tr r="B7" s="5"/>
        <tr r="K47" s="5"/>
        <tr r="H227" s="6"/>
        <tr r="L45" s="5"/>
        <tr r="G318" s="6"/>
        <tr r="H65" s="5"/>
        <tr r="F74" s="6"/>
        <tr r="G141" s="5"/>
        <tr r="J337" s="6"/>
        <tr r="E367" s="6"/>
        <tr r="J269" s="6"/>
        <tr r="C360" s="6"/>
        <tr r="B187" s="5"/>
        <tr r="I315" s="6"/>
        <tr r="L146" s="5"/>
        <tr r="K350" s="5"/>
        <tr r="I289" s="6"/>
        <tr r="P188" s="5"/>
        <tr r="J151" s="5"/>
        <tr r="D360" s="6"/>
        <tr r="H373" s="6"/>
        <tr r="E328" s="6"/>
        <tr r="I88" s="5"/>
        <tr r="I345" s="6"/>
        <tr r="F351" s="6"/>
        <tr r="B99" s="6"/>
        <tr r="K170" s="5"/>
        <tr r="K150" s="5"/>
        <tr r="D321" s="5"/>
        <tr r="K311" s="5"/>
        <tr r="D256" s="6"/>
        <tr r="I12" s="5"/>
        <tr r="H144" s="5"/>
        <tr r="K376" s="5"/>
        <tr r="H122" s="5"/>
        <tr r="C139" s="5"/>
        <tr r="B243" s="6"/>
        <tr r="M69" s="5"/>
        <tr r="G325" s="6"/>
        <tr r="C318" s="6"/>
        <tr r="C310" s="6"/>
        <tr r="N154" s="5"/>
        <tr r="P125" s="5"/>
        <tr r="O13" s="5"/>
        <tr r="I201" s="5"/>
        <tr r="E276" s="6"/>
        <tr r="E363" s="6"/>
        <tr r="H39" s="6"/>
        <tr r="G189" s="6"/>
        <tr r="C285" s="5"/>
        <tr r="C21" s="5"/>
        <tr r="L28" s="5"/>
        <tr r="E162" s="6"/>
        <tr r="L88" s="5"/>
        <tr r="H237" s="6"/>
        <tr r="G86" s="6"/>
        <tr r="C100" s="5"/>
        <tr r="G47" s="5"/>
        <tr r="J284" s="6"/>
        <tr r="B147" s="5"/>
        <tr r="G262" s="5"/>
        <tr r="K142" s="5"/>
        <tr r="B155" s="5"/>
        <tr r="G166" s="5"/>
        <tr r="B212" s="6"/>
        <tr r="E347" s="6"/>
        <tr r="C374" s="6"/>
        <tr r="N196" s="5"/>
        <tr r="K178" s="5"/>
        <tr r="H206" s="6"/>
        <tr r="B110" s="5"/>
        <tr r="I232" s="5"/>
        <tr r="F62" s="5"/>
        <tr r="C73" s="5"/>
        <tr r="D349" s="6"/>
        <tr r="K380" s="5"/>
        <tr r="O53" s="5"/>
        <tr r="F279" s="6"/>
        <tr r="O77" s="5"/>
        <tr r="C49" s="5"/>
        <tr r="G356" s="6"/>
        <tr r="E9" s="6"/>
        <tr r="J190" s="6"/>
        <tr r="J63" s="5"/>
        <tr r="C129" s="5"/>
        <tr r="C126" s="6"/>
        <tr r="H172" s="5"/>
        <tr r="G311" s="6"/>
        <tr r="M61" s="5"/>
        <tr r="J174" s="6"/>
        <tr r="B156" s="5"/>
        <tr r="K139" s="5"/>
        <tr r="M83" s="5"/>
        <tr r="I322" s="5"/>
        <tr r="N12" s="5"/>
        <tr r="H28" s="5"/>
        <tr r="E289" s="6"/>
        <tr r="H97" s="5"/>
        <tr r="I20" s="6"/>
        <tr r="J101" s="6"/>
        <tr r="D260" s="6"/>
        <tr r="D40" s="6"/>
        <tr r="F272" s="6"/>
        <tr r="K172" s="5"/>
        <tr r="D306" s="6"/>
        <tr r="K185" s="5"/>
        <tr r="B186" s="5"/>
        <tr r="F249" s="6"/>
        <tr r="P34" s="5"/>
        <tr r="H351" s="6"/>
        <tr r="F190" s="5"/>
        <tr r="H66" s="5"/>
        <tr r="B86" s="5"/>
        <tr r="M18" s="5"/>
        <tr r="G46" s="6"/>
        <tr r="M220" s="5"/>
        <tr r="I47" s="5"/>
        <tr r="H202" s="6"/>
        <tr r="F27" s="5"/>
        <tr r="H96" s="5"/>
        <tr r="B218" s="6"/>
        <tr r="F311" s="6"/>
        <tr r="C207" s="6"/>
        <tr r="H173" s="6"/>
        <tr r="E349" s="6"/>
        <tr r="K187" s="5"/>
        <tr r="G308" s="6"/>
        <tr r="G239" s="6"/>
        <tr r="B255" s="6"/>
        <tr r="K106" s="5"/>
        <tr r="C181" s="5"/>
        <tr r="F7" s="5"/>
        <tr r="K348" s="5"/>
        <tr r="C107" s="6"/>
        <tr r="D174" s="6"/>
        <tr r="M71" s="5"/>
        <tr r="B52" s="6"/>
        <tr r="G266" s="6"/>
        <tr r="G72" s="5"/>
        <tr r="F18" s="5"/>
        <tr r="B368" s="6"/>
        <tr r="J173" s="5"/>
        <tr r="E16" s="6"/>
        <tr r="K277" s="5"/>
        <tr r="H164" s="5"/>
        <tr r="D252" s="6"/>
        <tr r="F88" s="6"/>
        <tr r="C76" s="5"/>
        <tr r="G87" s="6"/>
        <tr r="I311" s="6"/>
        <tr r="K237" s="5"/>
        <tr r="C69" s="5"/>
        <tr r="G89" s="5"/>
        <tr r="G103" s="6"/>
        <tr r="H22" s="6"/>
        <tr r="G19" s="5"/>
        <tr r="D211" s="6"/>
        <tr r="B295" s="6"/>
        <tr r="B175" s="6"/>
        <tr r="F186" s="5"/>
        <tr r="I332" s="6"/>
        <tr r="E258" s="6"/>
        <tr r="K182" s="5"/>
        <tr r="F312" s="6"/>
        <tr r="H118" s="6"/>
        <tr r="G71" s="5"/>
        <tr r="N153" s="5"/>
        <tr r="L17" s="5"/>
        <tr r="G88" s="6"/>
        <tr r="F341" s="6"/>
        <tr r="M26" s="5"/>
        <tr r="I245" s="6"/>
        <tr r="G269" s="6"/>
        <tr r="K232" s="5"/>
        <tr r="J44" s="5"/>
        <tr r="F67" s="5"/>
        <tr r="D78" s="6"/>
        <tr r="I73" s="5"/>
        <tr r="F25" s="6"/>
        <tr r="I139" s="5"/>
        <tr r="D105" s="6"/>
        <tr r="F116" s="6"/>
        <tr r="L231" s="5"/>
        <tr r="I138" s="5"/>
        <tr r="H149" s="5"/>
        <tr r="I16" s="6"/>
        <tr r="L162" s="5"/>
        <tr r="H77" s="5"/>
        <tr r="C328" s="6"/>
        <tr r="D137" s="6"/>
        <tr r="I364" s="6"/>
        <tr r="C9" s="5"/>
        <tr r="F169" s="6"/>
        <tr r="D44" s="6"/>
        <tr r="B247" s="6"/>
        <tr r="I37" s="6"/>
        <tr r="K45" s="5"/>
        <tr r="C349" s="6"/>
        <tr r="P176" s="5"/>
        <tr r="C22" s="6"/>
        <tr r="H48" s="5"/>
        <tr r="G196" s="6"/>
        <tr r="F293" s="6"/>
        <tr r="J249" s="6"/>
        <tr r="H112" s="5"/>
        <tr r="G192" s="5"/>
        <tr r="G246" s="5"/>
        <tr r="D319" s="6"/>
        <tr r="O181" s="5"/>
        <tr r="I126" s="6"/>
        <tr r="I75" s="5"/>
        <tr r="M23" s="5"/>
        <tr r="D134" s="6"/>
        <tr r="C315" s="6"/>
        <tr r="C187" s="6"/>
        <tr r="H80" s="5"/>
        <tr r="C307" s="6"/>
        <tr r="J240" s="6"/>
        <tr r="K366" s="5"/>
        <tr r="K92" s="5"/>
        <tr r="K153" s="5"/>
        <tr r="G16" s="6"/>
        <tr r="P85" s="5"/>
        <tr r="H345" s="6"/>
        <tr r="K201" s="5"/>
        <tr r="B127" s="5"/>
        <tr r="J316" s="6"/>
        <tr r="F191" s="6"/>
        <tr r="E53" s="6"/>
        <tr r="B319" s="6"/>
        <tr r="E298" s="6"/>
        <tr r="H12" s="6"/>
        <tr r="H8" s="6"/>
        <tr r="B284" s="6"/>
        <tr r="F375" s="6"/>
        <tr r="K238" s="5"/>
        <tr r="K179" s="5"/>
        <tr r="D78" s="5"/>
        <tr r="I58" s="5"/>
        <tr r="M14" s="5"/>
        <tr r="J50" s="5"/>
        <tr r="B39" s="5"/>
        <tr r="I37" s="5"/>
        <tr r="C23" s="6"/>
        <tr r="L113" s="5"/>
        <tr r="J350" s="6"/>
        <tr r="B126" s="6"/>
        <tr r="H335" s="6"/>
        <tr r="H219" s="6"/>
        <tr r="B314" s="6"/>
        <tr r="I23" s="5"/>
        <tr r="H365" s="6"/>
        <tr r="F57" s="5"/>
        <tr r="K335" s="5"/>
        <tr r="G316" s="6"/>
        <tr r="I79" s="5"/>
        <tr r="G342" s="6"/>
        <tr r="I93" s="6"/>
        <tr r="H285" s="6"/>
        <tr r="I246" s="6"/>
        <tr r="J225" s="6"/>
        <tr r="H130" s="6"/>
        <tr r="D311" s="6"/>
        <tr r="G14" s="5"/>
        <tr r="I255" s="6"/>
        <tr r="I108" s="6"/>
        <tr r="I9" s="5"/>
        <tr r="B349" s="6"/>
        <tr r="B80" s="5"/>
        <tr r="D288" s="6"/>
        <tr r="F328" s="6"/>
        <tr r="K169" s="5"/>
        <tr r="K279" s="5"/>
        <tr r="F239" s="6"/>
        <tr r="J97" s="6"/>
        <tr r="D148" s="6"/>
        <tr r="N131" s="5"/>
        <tr r="I13" s="5"/>
        <tr r="K375" s="5"/>
        <tr r="O11" s="5"/>
        <tr r="J168" s="6"/>
        <tr r="F28" s="5"/>
        <tr r="E280" s="6"/>
        <tr r="B250" s="5"/>
        <tr r="C331" s="6"/>
        <tr r="C341" s="6"/>
        <tr r="B365" s="6"/>
        <tr r="K351" s="5"/>
        <tr r="F365" s="6"/>
        <tr r="I190" s="6"/>
        <tr r="J187" s="6"/>
        <tr r="I91" s="5"/>
        <tr r="F208" s="6"/>
        <tr r="E69" s="6"/>
        <tr r="D254" s="6"/>
        <tr r="B121" s="5"/>
        <tr r="K162" s="5"/>
        <tr r="P182" s="5"/>
        <tr r="H319" s="6"/>
        <tr r="J323" s="6"/>
        <tr r="K228" s="5"/>
        <tr r="J40" s="6"/>
        <tr r="F198" s="5"/>
        <tr r="K218" s="5"/>
        <tr r="J33" s="6"/>
        <tr r="G293" s="6"/>
        <tr r="I372" s="6"/>
        <tr r="J275" s="6"/>
        <tr r="B80" s="6"/>
        <tr r="E321" s="6"/>
        <tr r="H313" s="6"/>
        <tr r="H13" s="5"/>
        <tr r="E98" s="6"/>
        <tr r="B324" s="6"/>
        <tr r="I6" s="5"/>
        <tr r="C131" s="6"/>
        <tr r="B151" s="6"/>
        <tr r="B345" s="6"/>
        <tr r="I258" s="6"/>
        <tr r="H249" s="5"/>
        <tr r="H75" s="5"/>
        <tr r="K121" s="5"/>
        <tr r="I205" s="5"/>
        <tr r="F332" s="6"/>
        <tr r="C184" s="6"/>
        <tr r="K210" s="5"/>
        <tr r="G95" s="5"/>
        <tr r="L44" s="5"/>
        <tr r="D52" s="6"/>
        <tr r="P7" s="5"/>
        <tr r="K231" s="5"/>
        <tr r="D250" s="6"/>
        <tr r="J131" s="5"/>
        <tr r="C67" s="6"/>
        <tr r="D314" s="6"/>
        <tr r="H301" s="6"/>
        <tr r="C65" s="5"/>
        <tr r="J235" s="6"/>
        <tr r="F264" s="6"/>
        <tr r="I150" s="6"/>
        <tr r="B52" s="5"/>
        <tr r="I196" s="6"/>
        <tr r="O121" s="5"/>
        <tr r="H52" s="5"/>
        <tr r="E291" s="6"/>
        <tr r="F212" s="6"/>
        <tr r="G93" s="6"/>
        <tr r="D181" s="6"/>
        <tr r="O113" s="5"/>
        <tr r="C199" s="5"/>
        <tr r="I329" s="6"/>
        <tr r="O32" s="5"/>
        <tr r="H47" s="6"/>
        <tr r="I22" s="5"/>
        <tr r="E106" s="5"/>
        <tr r="D323" s="6"/>
        <tr r="P168" s="5"/>
        <tr r="D163" s="6"/>
        <tr r="I147" s="5"/>
        <tr r="K158" s="5"/>
        <tr r="F307" s="6"/>
        <tr r="C159" s="6"/>
        <tr r="K54" s="5"/>
        <tr r="E107" s="5"/>
        <tr r="P103" s="5"/>
        <tr r="I206" s="6"/>
        <tr r="D287" s="6"/>
        <tr r="H42" s="5"/>
        <tr r="I57" s="5"/>
        <tr r="B63" s="5"/>
        <tr r="D41" s="5"/>
        <tr r="G247" s="6"/>
        <tr r="G248" s="6"/>
        <tr r="H372" s="6"/>
        <tr r="O40" s="5"/>
        <tr r="O88" s="5"/>
        <tr r="K235" s="5"/>
        <tr r="G17" s="5"/>
        <tr r="D74" s="5"/>
        <tr r="K241" s="5"/>
        <tr r="B60" s="5"/>
        <tr r="F64" s="5"/>
        <tr r="K315" s="5"/>
        <tr r="N84" s="5"/>
        <tr r="I156" s="6"/>
        <tr r="C309" s="6"/>
        <tr r="H331" s="6"/>
        <tr r="B165" s="5"/>
        <tr r="I113" s="5"/>
        <tr r="H74" s="5"/>
        <tr r="E295" s="6"/>
        <tr r="K347" s="5"/>
        <tr r="D147" s="6"/>
        <tr r="O47" s="5"/>
        <tr r="E287" s="6"/>
        <tr r="K220" s="5"/>
        <tr r="I185" s="5"/>
        <tr r="F363" s="6"/>
        <tr r="H35" s="6"/>
        <tr r="D71" s="5"/>
        <tr r="I354" s="6"/>
        <tr r="K322" s="5"/>
        <tr r="K260" s="5"/>
        <tr r="N10" s="5"/>
        <tr r="C333" s="6"/>
        <tr r="K198" s="5"/>
        <tr r="D355" s="6"/>
        <tr r="G74" s="5"/>
        <tr r="I19" s="5"/>
        <tr r="G287" s="6"/>
        <tr r="I162" s="6"/>
        <tr r="L106" s="5"/>
        <tr r="I197" s="5"/>
        <tr r="G29" s="5"/>
        <tr r="K211" s="5"/>
        <tr r="I371" s="6"/>
        <tr r="H191" s="6"/>
        <tr r="L142" s="5"/>
        <tr r="B309" s="6"/>
        <tr r="E22" s="5"/>
        <tr r="E342" s="6"/>
        <tr r="G121" s="5"/>
        <tr r="E102" s="6"/>
        <tr r="J150" s="5"/>
        <tr r="K356" s="5"/>
        <tr r="D281" s="6"/>
        <tr r="F106" s="6"/>
        <tr r="D335" s="6"/>
        <tr r="H332" s="6"/>
        <tr r="E333" s="6"/>
        <tr r="F188" s="6"/>
        <tr r="E146" s="6"/>
        <tr r="C266" s="6"/>
        <tr r="C219" s="6"/>
        <tr r="D59" s="6"/>
        <tr r="J326" s="6"/>
        <tr r="O21" s="5"/>
        <tr r="D255" s="6"/>
        <tr r="I225" s="6"/>
        <tr r="N68" s="5"/>
        <tr r="F161" s="6"/>
        <tr r="B55" s="5"/>
        <tr r="E341" s="6"/>
        <tr r="G332" s="6"/>
        <tr r="L74" s="5"/>
        <tr r="F170" s="6"/>
        <tr r="K21" s="5"/>
        <tr r="H139" s="5"/>
        <tr r="B103" s="6"/>
        <tr r="B84" s="6"/>
        <tr r="H222" s="6"/>
        <tr r="H148" s="5"/>
        <tr r="M31" s="5"/>
        <tr r="K59" s="5"/>
        <tr r="B21" s="5"/>
        <tr r="F88" s="5"/>
        <tr r="P20" s="5"/>
        <tr r="G193" s="6"/>
        <tr r="P21" s="5"/>
        <tr r="F306" s="6"/>
        <tr r="B358" s="6"/>
        <tr r="G290" s="6"/>
        <tr r="E249" s="6"/>
        <tr r="I97" s="5"/>
        <tr r="F370" s="6"/>
        <tr r="J211" s="6"/>
        <tr r="B317" s="6"/>
        <tr r="K71" s="5"/>
        <tr r="I178" s="6"/>
        <tr r="E58" s="6"/>
        <tr r="D326" s="6"/>
        <tr r="I357" s="6"/>
        <tr r="H326" s="6"/>
        <tr r="J152" s="6"/>
        <tr r="I23" s="6"/>
        <tr r="H64" s="5"/>
        <tr r="K26" s="5"/>
        <tr r="H284" s="6"/>
        <tr r="H182" s="6"/>
        <tr r="I292" s="6"/>
        <tr r="G332" s="5"/>
        <tr r="J357" s="6"/>
        <tr r="G291" s="6"/>
        <tr r="I259" s="5"/>
        <tr r="G36" s="6"/>
        <tr r="D57" s="5"/>
        <tr r="N31" s="5"/>
        <tr r="E351" s="6"/>
        <tr r="O97" s="5"/>
        <tr r="K370" s="5"/>
        <tr r="G288" s="6"/>
        <tr r="B233" s="6"/>
        <tr r="K69" s="5"/>
        <tr r="B139" s="6"/>
        <tr r="C288" s="6"/>
        <tr r="B78" s="6"/>
        <tr r="B320" s="5"/>
        <tr r="G340" s="6"/>
        <tr r="F362" s="6"/>
        <tr r="P277" s="5"/>
        <tr r="K55" s="5"/>
        <tr r="I15" s="5"/>
        <tr r="K84" s="5"/>
        <tr r="N27" s="5"/>
        <tr r="M228" s="5"/>
        <tr r="H180" s="6"/>
        <tr r="F112" s="5"/>
        <tr r="D11" s="6"/>
        <tr r="D206" s="6"/>
        <tr r="J7" s="6"/>
        <tr r="F95" s="5"/>
        <tr r="J321" s="6"/>
        <tr r="G63" s="5"/>
        <tr r="J71" s="5"/>
        <tr r="M78" s="5"/>
        <tr r="C370" s="5"/>
        <tr r="M79" s="5"/>
        <tr r="K325" s="5"/>
        <tr r="B363" s="6"/>
        <tr r="K236" s="5"/>
        <tr r="D279" s="6"/>
        <tr r="P114" s="5"/>
        <tr r="J331" s="6"/>
        <tr r="I157" s="5"/>
        <tr r="F23" s="5"/>
        <tr r="N155" s="5"/>
        <tr r="G31" s="5"/>
        <tr r="D9" s="5"/>
        <tr r="M45" s="5"/>
        <tr r="E14" s="6"/>
        <tr r="C355" s="6"/>
        <tr r="F186" s="6"/>
        <tr r="D168" s="5"/>
        <tr r="J307" s="6"/>
        <tr r="K199" s="5"/>
        <tr r="N37" s="5"/>
        <tr r="B189" s="6"/>
        <tr r="J196" s="6"/>
        <tr r="K164" s="5"/>
        <tr r="E324" s="6"/>
        <tr r="J32" s="5"/>
        <tr r="G208" s="6"/>
        <tr r="L190" s="5"/>
        <tr r="C289" s="6"/>
        <tr r="C322" s="6"/>
        <tr r="C292" s="6"/>
        <tr r="D141" s="6"/>
        <tr r="G146" s="6"/>
        <tr r="I101" s="6"/>
        <tr r="K229" s="5"/>
        <tr r="D264" s="6"/>
        <tr r="H230" s="6"/>
        <tr r="I216" s="5"/>
        <tr r="B127" s="6"/>
        <tr r="D113" s="5"/>
        <tr r="E99" s="6"/>
        <tr r="G30" s="5"/>
        <tr r="C43" s="6"/>
        <tr r="H188" s="5"/>
        <tr r="H175" s="5"/>
        <tr r="I18" s="5"/>
        <tr r="J304" s="6"/>
        <tr r="K214" s="5"/>
        <tr r="N113" s="5"/>
        <tr r="B193" s="6"/>
        <tr r="H253" s="6"/>
        <tr r="F35" s="5"/>
        <tr r="B234" s="6"/>
        <tr r="C203" s="5"/>
        <tr r="K52" s="5"/>
        <tr r="M10" s="5"/>
        <tr r="F275" s="6"/>
        <tr r="F198" s="6"/>
        <tr r="B26" s="5"/>
        <tr r="I316" s="6"/>
        <tr r="E221" s="6"/>
        <tr r="B320" s="6"/>
        <tr r="H263" s="6"/>
        <tr r="L94" s="5"/>
        <tr r="G319" s="6"/>
        <tr r="H354" s="6"/>
        <tr r="E115" s="6"/>
        <tr r="D343" s="6"/>
        <tr r="M19" s="5"/>
        <tr r="C205" s="6"/>
        <tr r="H349" s="6"/>
        <tr r="F199" s="6"/>
        <tr r="E31" s="5"/>
        <tr r="G69" s="5"/>
        <tr r="F290" s="6"/>
        <tr r="K90" s="5"/>
        <tr r="B90" s="5"/>
        <tr r="L81" s="5"/>
        <tr r="F202" s="5"/>
        <tr r="G123" s="6"/>
        <tr r="F371" s="6"/>
        <tr r="F295" s="5"/>
        <tr r="J120" s="6"/>
        <tr r="O65" s="5"/>
        <tr r="G104" s="6"/>
        <tr r="H8" s="5"/>
        <tr r="K196" s="5"/>
        <tr r="B99" s="5"/>
        <tr r="D60" s="6"/>
        <tr r="G43" s="6"/>
        <tr r="J232" s="6"/>
        <tr r="B301" s="6"/>
        <tr r="K216" s="5"/>
        <tr r="H108" s="5"/>
        <tr r="C165" s="6"/>
        <tr r="G41" s="5"/>
        <tr r="F330" s="6"/>
        <tr r="M15" s="5"/>
        <tr r="G15" s="5"/>
        <tr r="F318" s="6"/>
        <tr r="H14" s="5"/>
        <tr r="H334" s="6"/>
        <tr r="B18" s="5"/>
        <tr r="C58" s="5"/>
        <tr r="F233" s="6"/>
        <tr r="O69" s="5"/>
        <tr r="B122" s="5"/>
        <tr r="B270" s="6"/>
        <tr r="M81" s="5"/>
        <tr r="E55" s="6"/>
        <tr r="F197" s="6"/>
        <tr r="J336" s="6"/>
        <tr r="B142" s="6"/>
        <tr r="E8" s="6"/>
        <tr r="H104" s="6"/>
        <tr r="H203" s="6"/>
        <tr r="C193" s="6"/>
        <tr r="J58" s="5"/>
        <tr r="F295" s="6"/>
        <tr r="B65" s="6"/>
        <tr r="H368" s="6"/>
        <tr r="I304" s="6"/>
        <tr r="I253" s="5"/>
        <tr r="H50" s="5"/>
        <tr r="D368" s="6"/>
        <tr r="K309" s="5"/>
        <tr r="K23" s="5"/>
        <tr r="D30" s="6"/>
        <tr r="H186" s="5"/>
        <tr r="G32" s="5"/>
        <tr r="G174" s="6"/>
        <tr r="E358" s="6"/>
        <tr r="N173" s="5"/>
        <tr r="G167" s="6"/>
        <tr r="H43" s="5"/>
        <tr r="F120" s="6"/>
        <tr r="J238" s="6"/>
        <tr r="B283" s="6"/>
        <tr r="C156" s="6"/>
        <tr r="L188" s="5"/>
        <tr r="J172" s="5"/>
        <tr r="D280" s="6"/>
        <tr r="H127" s="5"/>
        <tr r="J316" s="5"/>
        <tr r="B276" s="6"/>
        <tr r="H296" s="6"/>
        <tr r="B201" s="5"/>
        <tr r="I153" s="6"/>
        <tr r="G275" s="6"/>
        <tr r="F299" s="6"/>
        <tr r="M11" s="5"/>
        <tr r="E210" s="6"/>
        <tr r="K301" s="5"/>
        <tr r="G127" s="5"/>
        <tr r="G64" s="5"/>
        <tr r="B237" s="6"/>
        <tr r="C97" s="5"/>
        <tr r="B120" s="6"/>
        <tr r="K306" s="5"/>
        <tr r="K6" s="5"/>
        <tr r="B40" s="5"/>
        <tr r="J26" s="5"/>
        <tr r="H297" s="6"/>
        <tr r="N237" s="5"/>
        <tr r="M111" s="5"/>
        <tr r="B361" s="6"/>
        <tr r="K16" s="5"/>
        <tr r="D330" s="6"/>
        <tr r="C312" s="6"/>
        <tr r="E197" s="6"/>
        <tr r="K101" s="5"/>
        <tr r="D341" s="6"/>
        <tr r="J201" s="6"/>
        <tr r="I244" s="6"/>
        <tr r="H45" s="5"/>
        <tr r="H190" s="6"/>
        <tr r="H371" s="6"/>
        <tr r="E76" s="5"/>
        <tr r="G323" s="6"/>
        <tr r="J349" s="6"/>
        <tr r="B50" s="6"/>
        <tr r="H11" s="5"/>
        <tr r="E174" s="6"/>
        <tr r="I160" s="5"/>
        <tr r="J345" s="6"/>
        <tr r="C57" s="6"/>
        <tr r="B186" s="6"/>
        <tr r="E286" s="6"/>
        <tr r="J274" s="6"/>
        <tr r="C127" s="6"/>
        <tr r="G65" s="6"/>
        <tr r="I267" s="6"/>
        <tr r="E320" s="6"/>
        <tr r="B34" s="6"/>
        <tr r="H254" s="6"/>
        <tr r="F159" s="6"/>
        <tr r="H307" s="6"/>
        <tr r="J265" s="6"/>
        <tr r="C175" s="6"/>
        <tr r="M70" s="5"/>
        <tr r="B41" s="5"/>
        <tr r="G100" s="5"/>
        <tr r="H325" s="6"/>
        <tr r="C72" s="5"/>
        <tr r="D164" s="5"/>
        <tr r="N54" s="5"/>
        <tr r="H32" s="5"/>
        <tr r="N8" s="5"/>
        <tr r="G252" s="6"/>
        <tr r="J52" s="5"/>
        <tr r="I34" s="5"/>
        <tr r="K203" s="5"/>
        <tr r="M82" s="5"/>
        <tr r="B260" s="6"/>
        <tr r="E226" s="6"/>
        <tr r="C177" s="6"/>
        <tr r="K362" s="5"/>
        <tr r="D302" s="6"/>
        <tr r="F338" s="6"/>
        <tr r="F344" s="6"/>
        <tr r="B224" s="6"/>
        <tr r="C149" s="5"/>
        <tr r="F315" s="6"/>
        <tr r="O190" s="5"/>
        <tr r="J319" s="6"/>
        <tr r="B293" s="6"/>
        <tr r="G328" s="6"/>
        <tr r="G361" s="6"/>
        <tr r="D146" s="5"/>
        <tr r="F286" s="6"/>
        <tr r="J216" s="6"/>
        <tr r="D304" s="6"/>
        <tr r="K149" s="5"/>
        <tr r="D50" s="6"/>
        <tr r="O9" s="5"/>
        <tr r="J53" s="6"/>
        <tr r="J359" s="6"/>
        <tr r="N115" s="5"/>
        <tr r="F282" s="6"/>
        <tr r="C336" s="5"/>
        <tr r="E214" s="6"/>
        <tr r="I341" s="6"/>
        <tr r="P27" s="5"/>
        <tr r="F267" s="6"/>
        <tr r="B47" s="5"/>
        <tr r="K41" s="5"/>
        <tr r="O12" s="5"/>
        <tr r="B300" s="6"/>
        <tr r="H160" s="6"/>
        <tr r="G228" s="6"/>
        <tr r="K219" s="5"/>
        <tr r="K122" s="5"/>
        <tr r="I137" s="6"/>
        <tr r="E14" s="5"/>
        <tr r="I136" s="6"/>
        <tr r="K181" s="5"/>
        <tr r="H293" s="6"/>
        <tr r="K135" s="5"/>
        <tr r="I170" s="6"/>
        <tr r="E218" s="6"/>
        <tr r="E336" s="6"/>
        <tr r="P45" s="5"/>
        <tr r="G300" s="6"/>
        <tr r="H47" s="5"/>
        <tr r="K257" s="5"/>
        <tr r="K58" s="5"/>
        <tr r="B334" s="6"/>
        <tr r="M96" s="5"/>
        <tr r="H136" s="5"/>
        <tr r="E40" s="5"/>
        <tr r="J55" s="6"/>
        <tr r="C329" s="6"/>
        <tr r="F71" s="5"/>
        <tr r="K102" s="5"/>
        <tr r="H231" s="6"/>
        <tr r="G351" s="6"/>
        <tr r="M21" s="5"/>
        <tr r="G5" s="5"/>
        <tr r="F269" s="6"/>
        <tr r="H362" s="6"/>
        <tr r="I107" s="6"/>
        <tr r="J251" s="6"/>
        <tr r="I130" s="5"/>
        <tr r="I165" s="6"/>
        <tr r="J76" s="6"/>
        <tr r="D316" s="6"/>
        <tr r="B337" s="6"/>
        <tr r="D42" s="6"/>
        <tr r="F350" s="6"/>
        <tr r="F155" s="6"/>
        <tr r="F196" s="6"/>
        <tr r="D65" s="6"/>
        <tr r="G23" s="6"/>
        <tr r="D36" s="5"/>
        <tr r="I340" s="6"/>
        <tr r="J126" s="6"/>
        <tr r="D362" s="6"/>
        <tr r="I53" s="6"/>
        <tr r="J219" s="6"/>
        <tr r="J305" s="6"/>
        <tr r="E28" s="6"/>
        <tr r="E78" s="5"/>
        <tr r="E325" s="6"/>
        <tr r="P106" s="5"/>
        <tr r="K100" s="5"/>
        <tr r="I328" s="6"/>
        <tr r="E190" s="6"/>
        <tr r="E178" s="6"/>
        <tr r="F135" s="6"/>
        <tr r="E89" s="6"/>
        <tr r="G317" s="6"/>
        <tr r="D217" s="6"/>
        <tr r="F136" s="6"/>
        <tr r="H73" s="5"/>
        <tr r="G176" s="6"/>
        <tr r="J163" s="6"/>
        <tr r="C99" s="6"/>
        <tr r="D375" s="6"/>
        <tr r="N52" s="5"/>
        <tr r="H238" s="6"/>
        <tr r="E342" s="5"/>
        <tr r="I356" s="6"/>
        <tr r="D28" s="5"/>
        <tr r="F258" s="6"/>
        <tr r="B211" s="6"/>
        <tr r="C196" s="6"/>
        <tr r="K191" s="5"/>
        <tr r="G28" s="5"/>
        <tr r="B348" s="6"/>
        <tr r="K174" s="5"/>
        <tr r="I7" s="5"/>
        <tr r="K321" s="5"/>
        <tr r="I24" s="5"/>
        <tr r="I119" s="5"/>
        <tr r="I330" s="5"/>
        <tr r="D149" s="6"/>
        <tr r="J194" s="6"/>
        <tr r="K208" s="5"/>
        <tr r="H256" s="6"/>
        <tr r="M7" s="5"/>
        <tr r="I235" s="6"/>
        <tr r="J137" s="6"/>
        <tr r="E285" s="6"/>
        <tr r="G358" s="6"/>
        <tr r="C271" s="6"/>
        <tr r="C72" s="6"/>
        <tr r="J81" s="6"/>
        <tr r="G246" s="6"/>
        <tr r="B30" s="6"/>
        <tr r="E302" s="6"/>
        <tr r="B108" s="5"/>
        <tr r="H293" s="5"/>
        <tr r="O101" s="5"/>
        <tr r="J277" s="6"/>
        <tr r="L12" s="5"/>
        <tr r="K166" s="5"/>
        <tr r="I197" s="6"/>
        <tr r="I77" s="6"/>
        <tr r="K298" s="5"/>
        <tr r="K230" s="5"/>
        <tr r="F216" s="6"/>
        <tr r="J110" s="5"/>
        <tr r="F103" s="5"/>
        <tr r="B219" s="6"/>
        <tr r="E127" s="5"/>
        <tr r="E119" s="5"/>
        <tr r="H82" s="6"/>
        <tr r="J278" s="6"/>
        <tr r="E265" s="6"/>
        <tr r="F76" s="5"/>
        <tr r="K62" s="5"/>
        <tr r="C230" s="6"/>
        <tr r="B72" s="5"/>
        <tr r="D246" s="6"/>
        <tr r="E189" s="6"/>
        <tr r="E182" s="6"/>
        <tr r="I79" s="6"/>
        <tr r="L52" s="5"/>
        <tr r="H21" s="6"/>
        <tr r="H221" s="6"/>
        <tr r="B343" s="6"/>
        <tr r="B288" s="5"/>
        <tr r="H282" s="5"/>
        <tr r="G307" s="6"/>
        <tr r="L131" s="5"/>
        <tr r="P10" s="5"/>
        <tr r="B62" s="6"/>
        <tr r="K184" s="5"/>
        <tr r="K308" s="5"/>
        <tr r="B137" s="5"/>
        <tr r="G292" s="6"/>
        <tr r="L137" s="5"/>
        <tr r="I199" s="6"/>
        <tr r="H215" s="6"/>
        <tr r="B171" s="6"/>
        <tr r="D229" s="6"/>
        <tr r="H199" s="6"/>
        <tr r="K212" s="5"/>
        <tr r="K249" s="5"/>
        <tr r="C35" s="5"/>
        <tr r="B250" s="6"/>
        <tr r="J367" s="5"/>
        <tr r="C215" s="6"/>
        <tr r="H34" s="6"/>
        <tr r="G202" s="6"/>
        <tr r="H363" s="6"/>
        <tr r="I21" s="6"/>
        <tr r="B149" s="6"/>
        <tr r="D54" s="5"/>
        <tr r="E359" s="6"/>
        <tr r="K223" s="5"/>
        <tr r="H142" s="6"/>
        <tr r="G138" s="6"/>
        <tr r="F213" s="6"/>
        <tr r="J267" s="6"/>
        <tr r="G369" s="6"/>
        <tr r="K361" s="5"/>
        <tr r="M8" s="5"/>
        <tr r="H57" s="5"/>
        <tr r="N162" s="5"/>
        <tr r="H218" s="6"/>
        <tr r="C332" s="5"/>
        <tr r="B142" s="5"/>
        <tr r="F263" s="6"/>
        <tr r="K79" s="5"/>
        <tr r="K246" s="5"/>
        <tr r="E84" s="6"/>
        <tr r="B252" s="6"/>
        <tr r="M119" s="5"/>
        <tr r="H161" s="6"/>
        <tr r="F132" s="6"/>
        <tr r="D81" s="5"/>
        <tr r="I253" s="6"/>
        <tr r="D107" s="6"/>
        <tr r="J142" s="6"/>
        <tr r="I30" s="5"/>
        <tr r="J28" s="6"/>
        <tr r="P169" s="5"/>
        <tr r="D172" s="5"/>
        <tr r="D309" s="6"/>
        <tr r="H77" s="6"/>
        <tr r="D175" s="6"/>
        <tr r="H187" s="6"/>
        <tr r="K50" s="5"/>
        <tr r="J322" s="6"/>
        <tr r="C302" s="6"/>
        <tr r="E98" s="5"/>
        <tr r="J296" s="6"/>
        <tr r="K342" s="5"/>
        <tr r="L16" s="5"/>
        <tr r="K253" s="5"/>
        <tr r="I38" s="5"/>
        <tr r="F309" s="6"/>
        <tr r="G199" s="6"/>
        <tr r="G362" s="6"/>
        <tr r="G165" s="6"/>
        <tr r="E317" s="6"/>
        <tr r="C64" s="5"/>
        <tr r="G26" s="5"/>
        <tr r="B292" s="6"/>
        <tr r="F41" s="6"/>
        <tr r="G297" s="6"/>
        <tr r="J312" s="6"/>
        <tr r="K360" s="5"/>
        <tr r="B360" s="6"/>
        <tr r="B331" s="6"/>
        <tr r="H117" s="6"/>
        <tr r="K261" s="5"/>
        <tr r="M52" s="5"/>
        <tr r="K233" s="5"/>
        <tr r="G91" s="6"/>
        <tr r="H134" s="6"/>
        <tr r="J364" s="6"/>
        <tr r="E80" s="5"/>
        <tr r="I152" s="5"/>
        <tr r="C260" s="6"/>
        <tr r="G365" s="6"/>
        <tr r="H171" s="6"/>
        <tr r="D374" s="6"/>
        <tr r="F11" s="5"/>
        <tr r="M110" s="5"/>
        <tr r="G372" s="6"/>
        <tr r="K340" s="5"/>
        <tr r="D235" s="6"/>
        <tr r="N101" s="5"/>
        <tr r="L9" s="5"/>
        <tr r="C15" s="6"/>
        <tr r="G233" s="5"/>
        <tr r="B46" s="5"/>
        <tr r="E270" s="6"/>
        <tr r="B77" s="6"/>
        <tr r="F250" s="6"/>
        <tr r="J294" s="6"/>
        <tr r="J210" s="6"/>
        <tr r="I337" s="6"/>
        <tr r="G373" s="6"/>
        <tr r="I181" s="5"/>
        <tr r="B289" s="6"/>
        <tr r="C361" s="6"/>
        <tr r="G151" s="6"/>
        <tr r="D236" s="6"/>
        <tr r="H281" s="6"/>
        <tr r="F331" s="6"/>
        <tr r="H71" s="5"/>
        <tr r="I373" s="6"/>
        <tr r="E43" s="5"/>
        <tr r="D241" s="6"/>
        <tr r="B249" s="5"/>
        <tr r="B296" s="6"/>
        <tr r="D366" s="6"/>
        <tr r="H232" s="6"/>
        <tr r="J27" s="5"/>
        <tr r="F243" s="6"/>
        <tr r="B29" s="6"/>
        <tr r="J353" s="6"/>
        <tr r="D244" s="6"/>
        <tr r="F145" s="6"/>
        <tr r="E12" s="6"/>
        <tr r="I121" s="6"/>
        <tr r="F347" s="5"/>
        <tr r="K359" s="5"/>
        <tr r="K284" s="5"/>
        <tr r="B273" s="6"/>
        <tr r="C149" s="6"/>
        <tr r="E71" s="5"/>
        <tr r="B198" s="6"/>
        <tr r="J239" s="6"/>
        <tr r="E340" s="6"/>
        <tr r="I120" s="6"/>
        <tr r="I153" s="5"/>
        <tr r="I48" s="5"/>
        <tr r="I296" s="6"/>
        <tr r="K145" s="5"/>
        <tr r="K117" s="5"/>
        <tr r="B297" s="6"/>
        <tr r="F12" s="5"/>
        <tr r="F347" s="6"/>
        <tr r="G257" s="5"/>
        <tr r="H358" s="6"/>
        <tr r="B19" s="5"/>
        <tr r="K205" s="5"/>
        <tr r="I70" s="5"/>
        <tr r="G117" s="5"/>
        <tr r="I323" s="6"/>
        <tr r="I280" s="6"/>
        <tr r="O8" s="5"/>
        <tr r="O37" s="5"/>
        <tr r="I375" s="6"/>
        <tr r="K120" s="5"/>
        <tr r="C373" s="6"/>
        <tr r="G34" s="6"/>
        <tr r="M91" s="5"/>
        <tr r="I254" s="6"/>
        <tr r="C350" s="6"/>
        <tr r="K130" s="5"/>
        <tr r="J262" s="6"/>
        <tr r="H294" s="6"/>
        <tr r="J102" s="6"/>
        <tr r="I171" s="6"/>
        <tr r="B88" s="6"/>
        <tr r="C240" s="6"/>
        <tr r="G168" s="6"/>
        <tr r="D21" s="5"/>
        <tr r="D209" s="6"/>
        <tr r="H151" s="6"/>
        <tr r="B144" s="6"/>
        <tr r="K159" s="5"/>
        <tr r="G158" s="6"/>
        <tr r="J310" s="6"/>
        <tr r="E294" s="6"/>
        <tr r="D303" s="6"/>
        <tr r="B164" s="6"/>
        <tr r="C293" s="6"/>
        <tr r="I105" s="6"/>
        <tr r="H364" s="6"/>
        <tr r="I109" s="6"/>
        <tr r="D226" s="6"/>
        <tr r="F147" s="6"/>
        <tr r="H258" s="6"/>
        <tr r="C13" s="5"/>
        <tr r="D92" s="6"/>
        <tr r="G214" s="6"/>
        <tr r="F234" s="6"/>
        <tr r="K371" s="5"/>
        <tr r="J46" s="5"/>
        <tr r="G49" s="5"/>
        <tr r="G57" s="5"/>
        <tr r="J346" s="6"/>
        <tr r="D173" s="6"/>
        <tr r="G136" s="5"/>
        <tr r="M64" s="5"/>
        <tr r="B97" s="6"/>
        <tr r="B244" s="6"/>
        <tr r="B373" s="6"/>
        <tr r="D261" s="6"/>
        <tr r="K93" s="5"/>
        <tr r="C336" s="6"/>
        <tr r="K297" s="5"/>
        <tr r="J177" s="6"/>
        <tr r="O132" s="5"/>
        <tr r="D336" s="6"/>
        <tr r="G226" s="6"/>
        <tr r="B344" s="6"/>
        <tr r="H34" s="5"/>
        <tr r="E227" s="6"/>
        <tr r="F37" s="5"/>
        <tr r="D278" s="6"/>
        <tr r="I240" s="5"/>
        <tr r="G263" s="6"/>
        <tr r="J330" s="6"/>
        <tr r="O133" s="5"/>
        <tr r="G267" s="6"/>
        <tr r="J311" s="6"/>
        <tr r="I301" s="6"/>
        <tr r="C36" s="6"/>
        <tr r="D367" s="6"/>
        <tr r="I290" s="6"/>
        <tr r="D70" s="5"/>
        <tr r="K349" s="5"/>
        <tr r="B104" s="6"/>
        <tr r="C117" s="5"/>
        <tr r="C358" s="6"/>
        <tr r="H53" s="6"/>
        <tr r="K39" s="5"/>
        <tr r="H353" s="6"/>
        <tr r="F255" s="6"/>
        <tr r="M50" s="5"/>
        <tr r="F322" s="6"/>
        <tr r="E271" s="6"/>
        <tr r="I361" s="6"/>
        <tr r="B321" s="6"/>
        <tr r="H267" s="6"/>
        <tr r="D19" s="6"/>
        <tr r="D43" s="6"/>
        <tr r="H106" s="6"/>
        <tr r="K299" s="5"/>
        <tr r="F339" s="6"/>
        <tr r="H244" s="6"/>
        <tr r="P52" s="5"/>
        <tr r="E252" s="6"/>
        <tr r="L37" s="5"/>
        <tr r="B325" s="6"/>
        <tr r="C305" s="6"/>
        <tr r="I43" s="5"/>
        <tr r="H300" s="6"/>
        <tr r="F246" s="6"/>
        <tr r="D299" s="6"/>
        <tr r="H163" s="6"/>
        <tr r="C261" s="6"/>
        <tr r="K86" s="5"/>
        <tr r="E239" s="6"/>
        <tr r="K111" s="5"/>
        <tr r="K252" s="5"/>
        <tr r="J226" s="6"/>
        <tr r="I304" s="5"/>
        <tr r="I49" s="5"/>
        <tr r="J126" s="5"/>
        <tr r="I299" s="6"/>
        <tr r="I35" s="6"/>
        <tr r="C168" s="6"/>
        <tr r="D88" s="6"/>
        <tr r="J259" s="6"/>
        <tr r="J367" s="6"/>
        <tr r="I108" s="5"/>
        <tr r="H208" s="5"/>
        <tr r="B214" s="6"/>
        <tr r="F20" s="6"/>
        <tr r="I327" s="6"/>
        <tr r="K108" s="5"/>
        <tr r="G343" s="6"/>
        <tr r="D138" s="6"/>
        <tr r="E143" s="6"/>
        <tr r="K72" s="5"/>
        <tr r="F102" s="6"/>
        <tr r="K148" s="5"/>
        <tr r="E141" s="6"/>
        <tr r="F349" s="6"/>
        <tr r="C277" s="6"/>
        <tr r="G190" s="6"/>
        <tr r="E46" s="6"/>
        <tr r="D167" s="6"/>
        <tr r="I207" s="6"/>
        <tr r="G304" s="6"/>
        <tr r="E68" s="6"/>
        <tr r="B367" s="6"/>
        <tr r="H347" s="6"/>
        <tr r="D363" s="6"/>
        <tr r="L34" s="5"/>
        <tr r="G113" s="6"/>
        <tr r="I350" s="6"/>
        <tr r="B197" s="6"/>
        <tr r="P80" s="5"/>
        <tr r="F148" s="6"/>
        <tr r="I14" s="5"/>
        <tr r="I214" s="6"/>
        <tr r="K157" s="5"/>
        <tr r="B32" s="6"/>
        <tr r="D321" s="6"/>
        <tr r="P287" s="5"/>
        <tr r="H30" s="5"/>
        <tr r="K247" s="5"/>
        <tr r="I293" s="6"/>
        <tr r="I189" s="5"/>
        <tr r="E139" s="5"/>
        <tr r="G13" s="5"/>
        <tr r="I90" s="5"/>
        <tr r="F367" s="6"/>
        <tr r="F131" s="5"/>
        <tr r="I374" s="6"/>
        <tr r="I229" s="6"/>
        <tr r="E273" s="6"/>
        <tr r="D40" s="5"/>
        <tr r="C176" s="6"/>
        <tr r="M22" s="5"/>
        <tr r="G186" s="6"/>
        <tr r="D247" s="6"/>
        <tr r="K222" s="5"/>
        <tr r="E181" s="6"/>
        <tr r="K77" s="5"/>
        <tr r="G73" s="5"/>
        <tr r="E242" s="6"/>
        <tr r="F19" s="6"/>
        <tr r="B359" s="6"/>
        <tr r="M154" s="5"/>
        <tr r="J347" s="5"/>
        <tr r="K119" s="5"/>
        <tr r="J268" s="6"/>
        <tr r="H130" s="5"/>
        <tr r="G259" s="6"/>
        <tr r="G132" s="6"/>
        <tr r="H330" s="6"/>
        <tr r="B264" s="6"/>
        <tr r="G111" s="6"/>
        <tr r="E369" s="6"/>
        <tr r="B41" s="6"/>
        <tr r="B206" s="6"/>
        <tr r="J153" s="6"/>
        <tr r="C20" s="5"/>
        <tr r="C25" s="6"/>
        <tr r="E136" s="6"/>
        <tr r="K278" s="5"/>
        <tr r="H128" s="6"/>
        <tr r="E365" s="6"/>
        <tr r="D116" s="6"/>
        <tr r="E100" s="5"/>
        <tr r="L84" s="5"/>
        <tr r="H31" s="6"/>
        <tr r="D216" s="6"/>
        <tr r="B131" s="5"/>
        <tr r="O76" s="5"/>
        <tr r="I199" s="5"/>
        <tr r="D103" s="6"/>
        <tr r="F292" s="6"/>
        <tr r="K105" s="5"/>
        <tr r="O64" s="5"/>
        <tr r="M137" s="5"/>
        <tr r="C231" s="6"/>
        <tr r="G294" s="6"/>
        <tr r="E318" s="6"/>
        <tr r="C144" s="5"/>
        <tr r="B354" s="6"/>
        <tr r="H167" s="6"/>
        <tr r="H63" s="5"/>
        <tr r="I283" s="6"/>
        <tr r="J333" s="6"/>
        <tr r="F150" s="6"/>
        <tr r="L118" s="5"/>
        <tr r="D328" s="6"/>
        <tr r="G160" s="6"/>
        <tr r="G339" s="6"/>
        <tr r="D24" s="5"/>
        <tr r="H367" s="6"/>
        <tr r="P172" s="5"/>
        <tr r="F201" s="6"/>
        <tr r="B74" s="6"/>
        <tr r="G77" s="5"/>
        <tr r="C19" s="5"/>
        <tr r="J243" s="6"/>
        <tr r="I252" s="6"/>
        <tr r="G268" s="6"/>
        <tr r="J172" s="6"/>
        <tr r="K323" s="5"/>
        <tr r="H366" s="6"/>
        <tr r="B249" s="6"/>
        <tr r="G272" s="6"/>
        <tr r="H340" s="5"/>
        <tr r="E290" s="6"/>
        <tr r="F360" s="6"/>
        <tr r="B340" s="6"/>
        <tr r="D71" s="6"/>
        <tr r="J298" s="6"/>
        <tr r="F273" s="6"/>
        <tr r="C340" s="6"/>
        <tr r="E47" s="6"/>
        <tr r="F308" s="6"/>
        <tr r="D334" s="6"/>
        <tr r="J363" s="6"/>
        <tr r="G27" s="5"/>
        <tr r="K49" s="5"/>
        <tr r="I137" s="5"/>
        <tr r="B279" s="6"/>
        <tr r="F30" s="5"/>
        <tr r="E209" s="6"/>
        <tr r="F123" s="5"/>
        <tr r="D220" s="6"/>
        <tr r="N69" s="5"/>
        <tr r="B180" s="6"/>
        <tr r="G152" s="5"/>
        <tr r="J338" s="6"/>
        <tr r="B271" s="6"/>
        <tr r="E140" s="6"/>
        <tr r="K33" s="5"/>
        <tr r="K193" s="5"/>
        <tr r="K265" s="5"/>
        <tr r="J340" s="6"/>
        <tr r="D312" s="5"/>
        <tr r="K374" s="5"/>
        <tr r="C273" s="6"/>
        <tr r="G250" s="5"/>
        <tr r="O109" s="5"/>
        <tr r="I313" s="6"/>
        <tr r="B86" s="6"/>
        <tr r="D271" s="6"/>
        <tr r="E304" s="6"/>
        <tr r="C8" s="6"/>
        <tr r="K78" s="5"/>
        <tr r="F128" s="6"/>
        <tr r="I367" s="6"/>
        <tr r="K285" s="5"/>
        <tr r="K85" s="5"/>
        <tr r="K202" s="5"/>
        <tr r="C344" s="6"/>
        <tr r="F357" s="6"/>
        <tr r="B217" s="6"/>
        <tr r="G212" s="6"/>
        <tr r="J6" s="6"/>
        <tr r="C237" s="6"/>
        <tr r="C345" s="6"/>
        <tr r="D194" s="6"/>
        <tr r="G211" s="6"/>
        <tr r="G260" s="6"/>
        <tr r="H101" s="6"/>
        <tr r="J185" s="6"/>
        <tr r="M94" s="5"/>
        <tr r="G225" s="6"/>
        <tr r="B339" s="6"/>
        <tr r="E64" s="5"/>
        <tr r="D265" s="6"/>
        <tr r="N40" s="5"/>
        <tr r="M87" s="5"/>
        <tr r="B230" s="5"/>
        <tr r="B132" s="6"/>
        <tr r="C146" s="6"/>
        <tr r="K213" s="5"/>
        <tr r="D269" s="6"/>
        <tr r="M106" s="5"/>
        <tr r="G221" s="6"/>
        <tr r="B136" s="6"/>
        <tr r="L60" s="5"/>
        <tr r="G341" s="6"/>
        <tr r="L120" s="5"/>
        <tr r="B107" s="6"/>
        <tr r="M30" s="5"/>
        <tr r="H200" s="5"/>
        <tr r="I169" s="6"/>
        <tr r="D284" s="6"/>
        <tr r="B35" s="6"/>
        <tr r="J291" s="6"/>
        <tr r="E165" s="6"/>
        <tr r="B258" s="6"/>
        <tr r="K224" s="5"/>
        <tr r="H40" s="5"/>
        <tr r="F10" s="5"/>
        <tr r="G354" s="6"/>
        <tr r="I233" s="6"/>
        <tr r="L176" s="5"/>
        <tr r="K83" s="5"/>
        <tr r="I11" s="5"/>
        <tr r="D67" s="6"/>
        <tr r="D283" s="6"/>
        <tr r="C15" s="5"/>
        <tr r="H67" s="5"/>
        <tr r="N144" s="5"/>
        <tr r="K343" s="5"/>
        <tr r="B313" s="6"/>
        <tr r="H340" s="6"/>
        <tr r="E239" s="5"/>
        <tr r="D113" s="6"/>
        <tr r="P306" s="5"/>
        <tr r="K32" s="5"/>
        <tr r="I122" s="5"/>
        <tr r="E314" s="6"/>
        <tr r="I95" s="5"/>
        <tr r="F297" s="6"/>
        <tr r="K250" s="5"/>
        <tr r="E374" s="6"/>
        <tr r="G50" s="5"/>
        <tr r="J84" s="5"/>
        <tr r="I287" s="6"/>
        <tr r="B323" s="6"/>
        <tr r="L33" s="5"/>
        <tr r="E110" s="6"/>
        <tr r="C195" s="6"/>
        <tr r="D145" s="5"/>
        <tr r="J96" s="6"/>
        <tr r="C291" s="6"/>
        <tr r="E35" s="6"/>
        <tr r="E50" s="5"/>
        <tr r="C259" s="6"/>
        <tr r="H126" s="5"/>
        <tr r="E124" s="6"/>
        <tr r="D185" s="6"/>
        <tr r="F371" s="5"/>
        <tr r="G6" s="6"/>
        <tr r="E21" s="6"/>
        <tr r="I28" s="5"/>
        <tr r="F230" s="6"/>
        <tr r="I17" s="5"/>
        <tr r="D27" s="6"/>
        <tr r="F138" s="5"/>
        <tr r="C101" s="6"/>
        <tr r="B208" s="6"/>
        <tr r="D110" s="5"/>
        <tr r="O328" s="5"/>
        <tr r="K66" s="5"/>
        <tr r="K88" s="5"/>
        <tr r="H126" s="6"/>
        <tr r="E195" s="6"/>
        <tr r="J220" s="6"/>
        <tr r="I286" s="6"/>
        <tr r="F185" s="6"/>
        <tr r="B256" s="6"/>
        <tr r="M127" s="5"/>
        <tr r="P347" s="5"/>
        <tr r="E362" s="6"/>
        <tr r="J111" s="6"/>
        <tr r="F14" s="6"/>
        <tr r="G171" s="6"/>
        <tr r="D85" s="5"/>
        <tr r="F210" s="6"/>
        <tr r="H196" s="5"/>
        <tr r="J290" s="6"/>
        <tr r="F229" s="5"/>
        <tr r="D312" s="6"/>
        <tr r="B330" s="6"/>
        <tr r="J134" s="6"/>
        <tr r="M246" s="5"/>
        <tr r="I273" s="6"/>
        <tr r="E299" s="6"/>
        <tr r="E300" s="6"/>
        <tr r="F21" s="6"/>
        <tr r="J61" s="6"/>
        <tr r="K189" s="5"/>
        <tr r="K9" s="5"/>
        <tr r="D275" s="6"/>
        <tr r="I192" s="5"/>
        <tr r="C10" s="6"/>
        <tr r="I298" s="6"/>
        <tr r="F59" s="5"/>
        <tr r="L90" s="5"/>
        <tr r="E155" s="6"/>
        <tr r="J156" s="6"/>
        <tr r="H248" s="6"/>
        <tr r="C235" s="6"/>
        <tr r="K115" s="5"/>
        <tr r="E263" s="6"/>
        <tr r="C160" s="6"/>
        <tr r="G335" s="6"/>
        <tr r="B303" s="6"/>
        <tr r="H62" s="5"/>
        <tr r="J231" s="6"/>
        <tr r="H44" s="5"/>
        <tr r="G183" s="6"/>
        <tr r="J300" s="6"/>
        <tr r="K131" s="5"/>
        <tr r="D98" s="5"/>
        <tr r="M356" s="5"/>
        <tr r="G144" s="6"/>
        <tr r="D49" s="6"/>
        <tr r="B321" s="5"/>
        <tr r="L288" s="5"/>
        <tr r="H201" s="6"/>
        <tr r="C18" s="5"/>
        <tr r="E364" s="6"/>
        <tr r="L78" s="5"/>
        <tr r="K331" s="5"/>
        <tr r="C272" s="6"/>
        <tr r="B253" s="6"/>
        <tr r="E80" s="6"/>
        <tr r="L62" s="5"/>
        <tr r="B275" s="6"/>
        <tr r="D298" s="6"/>
        <tr r="D53" s="6"/>
        <tr r="J253" s="6"/>
        <tr r="O96" s="5"/>
        <tr r="F9" s="6"/>
        <tr r="B24" s="5"/>
        <tr r="C334" s="6"/>
        <tr r="I307" s="6"/>
        <tr r="J218" s="6"/>
        <tr r="I339" s="6"/>
        <tr r="G256" s="6"/>
        <tr r="B191" s="6"/>
        <tr r="J37" s="6"/>
        <tr r="G357" s="6"/>
        <tr r="E76" s="6"/>
        <tr r="P233" s="5"/>
        <tr r="G303" s="6"/>
        <tr r="G355" s="6"/>
        <tr r="B353" s="6"/>
        <tr r="J38" s="6"/>
        <tr r="M128" s="5"/>
        <tr r="E172" s="6"/>
        <tr r="I142" s="6"/>
        <tr r="B282" s="6"/>
        <tr r="I71" s="6"/>
        <tr r="I257" s="6"/>
        <tr r="B71" s="6"/>
        <tr r="E203" s="5"/>
        <tr r="K133" s="5"/>
        <tr r="D310" s="6"/>
        <tr r="H20" s="5"/>
        <tr r="C254" s="6"/>
        <tr r="H69" s="5"/>
        <tr r="H25" s="5"/>
        <tr r="C28" s="5"/>
        <tr r="B55" s="6"/>
        <tr r="D222" s="6"/>
        <tr r="I46" s="6"/>
        <tr r="G186" s="5"/>
        <tr r="C40" s="5"/>
        <tr r="M29" s="5"/>
        <tr r="I164" s="6"/>
        <tr r="G188" s="6"/>
        <tr r="F63" s="6"/>
        <tr r="K304" s="5"/>
        <tr r="H150" s="6"/>
        <tr r="E188" s="6"/>
        <tr r="E95" s="5"/>
        <tr r="B143" s="5"/>
        <tr r="I347" s="6"/>
        <tr r="D202" s="6"/>
        <tr r="H93" s="5"/>
        <tr r="B202" s="6"/>
        <tr r="J299" s="6"/>
        <tr r="B35" s="5"/>
        <tr r="D149" s="5"/>
        <tr r="M131" s="5"/>
        <tr r="F172" s="6"/>
        <tr r="M41" s="5"/>
        <tr r="D86" s="5"/>
        <tr r="K215" s="5"/>
        <tr r="I269" s="6"/>
        <tr r="D160" s="6"/>
        <tr r="C278" s="6"/>
        <tr r="I80" s="5"/>
        <tr r="M51" s="5"/>
        <tr r="I93" s="5"/>
        <tr r="I322" s="6"/>
        <tr r="B163" s="6"/>
        <tr r="K283" s="5"/>
        <tr r="K36" s="5"/>
        <tr r="J356" s="6"/>
        <tr r="F317" s="6"/>
        <tr r="B158" s="6"/>
        <tr r="B44" s="5"/>
        <tr r="I277" s="6"/>
        <tr r="J288" s="6"/>
        <tr r="M142" s="5"/>
        <tr r="M147" s="5"/>
        <tr r="B117" s="6"/>
        <tr r="E128" s="6"/>
        <tr r="I158" s="6"/>
        <tr r="H145" s="6"/>
        <tr r="I13" s="6"/>
        <tr r="B15" s="5"/>
        <tr r="E101" s="6"/>
        <tr r="I334" s="6"/>
        <tr r="G28" s="6"/>
        <tr r="K377" s="5"/>
        <tr r="O57" s="5"/>
        <tr r="C285" s="6"/>
        <tr r="D156" s="5"/>
        <tr r="H361" s="6"/>
        <tr r="E179" s="6"/>
        <tr r="F220" s="6"/>
        <tr r="C33" s="5"/>
        <tr r="I129" s="5"/>
        <tr r="G179" s="5"/>
        <tr r="I86" s="5"/>
        <tr r="G261" s="6"/>
        <tr r="E254" s="6"/>
        <tr r="F215" s="6"/>
        <tr r="H136" s="6"/>
        <tr r="D218" s="6"/>
        <tr r="I302" s="6"/>
        <tr r="H243" s="6"/>
        <tr r="K271" s="5"/>
        <tr r="H310" s="6"/>
        <tr r="C221" s="6"/>
        <tr r="H233" s="6"/>
        <tr r="D210" s="6"/>
        <tr r="B196" s="6"/>
        <tr r="M359" s="5"/>
        <tr r="I209" s="6"/>
        <tr r="F18" s="6"/>
        <tr r="F165" s="6"/>
        <tr r="F204" s="6"/>
        <tr r="D259" s="6"/>
        <tr r="F236" s="5"/>
        <tr r="I223" s="5"/>
        <tr r="B131" s="6"/>
        <tr r="F277" s="6"/>
        <tr r="O45" s="5"/>
        <tr r="F288" s="6"/>
        <tr r="F146" s="5"/>
        <tr r="I182" s="6"/>
        <tr r="N6" s="5"/>
        <tr r="D200" s="5"/>
        <tr r="I89" s="6"/>
        <tr r="H305" s="6"/>
        <tr r="J130" s="6"/>
        <tr r="K336" s="5"/>
        <tr r="P122" s="5"/>
        <tr r="I267" s="5"/>
        <tr r="K263" s="5"/>
        <tr r="B92" s="6"/>
        <tr r="B95" s="5"/>
        <tr r="M13" s="5"/>
        <tr r="K378" s="5"/>
        <tr r="C246" s="6"/>
        <tr r="B162" s="5"/>
        <tr r="G32" s="6"/>
        <tr r="K338" s="5"/>
        <tr r="I72" s="6"/>
        <tr r="F207" s="6"/>
        <tr r="G45" s="5"/>
        <tr r="J90" s="6"/>
        <tr r="J236" s="6"/>
        <tr r="D203" s="6"/>
        <tr r="G58" s="6"/>
        <tr r="B318" s="6"/>
        <tr r="I94" s="5"/>
        <tr r="J84" s="6"/>
        <tr r="K82" s="5"/>
        <tr r="K244" s="5"/>
        <tr r="E269" s="6"/>
        <tr r="D199" s="6"/>
        <tr r="M157" s="5"/>
        <tr r="B336" s="6"/>
        <tr r="I212" s="5"/>
        <tr r="I8" s="6"/>
        <tr r="C301" s="6"/>
        <tr r="G76" s="6"/>
        <tr r="I366" s="6"/>
        <tr r="E315" s="6"/>
        <tr r="D293" s="6"/>
        <tr r="K188" s="5"/>
        <tr r="K270" s="5"/>
        <tr r="K30" s="5"/>
        <tr r="K89" s="5"/>
        <tr r="B263" s="6"/>
        <tr r="F335" s="6"/>
        <tr r="B42" s="6"/>
        <tr r="N71" s="5"/>
        <tr r="B228" s="6"/>
        <tr r="O15" s="5"/>
        <tr r="C249" s="6"/>
        <tr r="G105" s="6"/>
        <tr r="G215" s="6"/>
        <tr r="B269" s="6"/>
        <tr r="G227" s="6"/>
        <tr r="M236" s="5"/>
        <tr r="F219" s="6"/>
        <tr r="I78" s="5"/>
        <tr r="G348" s="6"/>
        <tr r="F120" s="5"/>
        <tr r="I27" s="5"/>
        <tr r="I65" s="5"/>
        <tr r="I222" s="6"/>
        <tr r="J254" s="5"/>
        <tr r="I96" s="5"/>
        <tr r="K56" s="5"/>
        <tr r="C258" s="6"/>
        <tr r="D30" s="5"/>
        <tr r="D131" s="5"/>
        <tr r="E233" s="6"/>
        <tr r="G134" s="6"/>
        <tr r="B37" s="5"/>
        <tr r="F42" s="6"/>
        <tr r="J18" s="5"/>
        <tr r="J306" s="6"/>
        <tr r="G321" s="6"/>
        <tr r="C316" s="6"/>
        <tr r="C71" s="5"/>
        <tr r="F188" s="5"/>
        <tr r="E201" s="6"/>
        <tr r="J175" s="6"/>
        <tr r="G271" s="6"/>
        <tr r="E332" s="6"/>
        <tr r="B280" s="6"/>
        <tr r="E305" s="6"/>
        <tr r="E232" s="6"/>
        <tr r="G280" s="6"/>
        <tr r="H12" s="5"/>
        <tr r="C52" s="5"/>
        <tr r="B352" s="6"/>
        <tr r="H269" s="6"/>
        <tr r="E52" s="6"/>
        <tr r="E303" s="6"/>
        <tr r="F178" s="6"/>
        <tr r="J289" s="6"/>
        <tr r="I176" s="6"/>
        <tr r="E121" s="6"/>
        <tr r="K286" s="5"/>
        <tr r="J258" s="6"/>
        <tr r="I309" s="6"/>
        <tr r="D94" s="6"/>
        <tr r="D285" s="6"/>
        <tr r="J34" s="6"/>
        <tr r="H9" s="5"/>
        <tr r="J39" s="6"/>
        <tr r="D351" s="6"/>
        <tr r="F80" s="5"/>
        <tr r="H211" s="6"/>
        <tr r="K152" s="5"/>
        <tr r="H369" s="6"/>
        <tr r="I349" s="6"/>
        <tr r="J361" s="6"/>
        <tr r="K68" s="5"/>
        <tr r="K197" s="5"/>
        <tr r="G54" s="6"/>
        <tr r="K344" s="5"/>
        <tr r="C113" s="5"/>
        <tr r="H268" s="6"/>
        <tr r="D369" s="6"/>
        <tr r="K15" s="5"/>
        <tr r="E330" s="6"/>
        <tr r="I61" s="6"/>
        <tr r="K34" s="5"/>
        <tr r="K280" s="5"/>
        <tr r="K12" s="5"/>
        <tr r="I144" s="6"/>
        <tr r="C57" s="5"/>
        <tr r="F252" s="6"/>
        <tr r="J12" s="5"/>
        <tr r="H249" s="6"/>
        <tr r="C354" s="5"/>
        <tr r="K95" s="5"/>
        <tr r="F154" s="5"/>
        <tr r="B126" s="5"/>
        <tr r="E170" s="5"/>
        <tr r="H98" s="5"/>
        <tr r="G90" s="5"/>
        <tr r="B322" s="6"/>
        <tr r="G278" s="6"/>
        <tr r="C180" s="6"/>
        <tr r="G298" s="6"/>
        <tr r="D354" s="6"/>
        <tr r="E171" s="6"/>
        <tr r="E53" s="5"/>
        <tr r="E205" s="6"/>
        <tr r="J116" s="6"/>
        <tr r="I118" s="6"/>
        <tr r="G121" s="6"/>
        <tr r="K163" s="5"/>
        <tr r="F54" s="6"/>
        <tr r="B178" s="6"/>
        <tr r="K332" s="5"/>
        <tr r="P255" s="5"/>
        <tr r="G346" s="6"/>
        <tr r="B184" s="6"/>
        <tr r="D322" s="6"/>
        <tr r="H343" s="6"/>
        <tr r="M55" s="5"/>
        <tr r="L26" s="5"/>
        <tr r="P23" s="5"/>
        <tr r="D320" s="6"/>
        <tr r="F224" s="6"/>
        <tr r="J365" s="6"/>
        <tr r="O61" s="5"/>
        <tr r="G314" s="6"/>
        <tr r="D28" s="6"/>
        <tr r="H185" s="6"/>
        <tr r="D370" s="6"/>
        <tr r="K123" s="5"/>
        <tr r="C228" s="6"/>
        <tr r="E263" s="5"/>
        <tr r="C246" s="5"/>
        <tr r="H119" s="6"/>
        <tr r="J358" s="6"/>
        <tr r="K173" s="5"/>
        <tr r="E130" s="5"/>
        <tr r="D272" s="6"/>
        <tr r="E185" s="6"/>
        <tr r="B106" s="5"/>
        <tr r="L19" s="5"/>
        <tr r="D324" s="6"/>
        <tr r="G283" s="6"/>
        <tr r="G251" s="6"/>
        <tr r="F225" s="6"/>
        <tr r="D305" s="6"/>
        <tr r="C122" s="6"/>
        <tr r="C85" s="6"/>
        <tr r="C203" s="6"/>
        <tr r="K358" s="5"/>
        <tr r="H122" s="6"/>
        <tr r="D132" s="5"/>
        <tr r="E78" s="6"/>
        <tr r="J315" s="6"/>
        <tr r="P46" s="5"/>
        <tr r="I41" s="5"/>
        <tr r="C6" s="5"/>
        <tr r="B123" s="6"/>
        <tr r="I33" s="6"/>
        <tr r="E334" s="6"/>
        <tr r="G88" s="5"/>
        <tr r="O139" s="5"/>
        <tr r="D190" s="6"/>
        <tr r="D373" s="5"/>
        <tr r="O86" s="5"/>
        <tr r="B160" s="6"/>
        <tr r="D56" s="6"/>
        <tr r="B338" s="6"/>
        <tr r="C141" s="6"/>
        <tr r="K104" s="5"/>
        <tr r="J101" s="5"/>
        <tr r="K303" s="5"/>
        <tr r="C262" s="6"/>
        <tr r="B326" s="6"/>
        <tr r="F16" s="6"/>
        <tr r="D258" s="6"/>
        <tr r="H154" s="5"/>
        <tr r="J103" s="6"/>
        <tr r="G80" s="5"/>
        <tr r="J206" s="6"/>
        <tr r="J80" s="6"/>
        <tr r="F228" s="6"/>
        <tr r="K292" s="5"/>
        <tr r="I63" s="5"/>
        <tr r="O98" s="5"/>
        <tr r="B149" s="5"/>
        <tr r="F124" s="5"/>
        <tr r="I213" s="6"/>
        <tr r="I102" s="5"/>
        <tr r="D295" s="6"/>
        <tr r="I224" s="5"/>
        <tr r="K97" s="5"/>
        <tr r="E250" s="6"/>
        <tr r="F41" s="5"/>
        <tr r="L89" s="5"/>
        <tr r="K183" s="5"/>
        <tr r="F278" s="6"/>
        <tr r="H153" s="5"/>
        <tr r="D162" s="6"/>
        <tr r="C263" s="6"/>
        <tr r="D340" s="6"/>
        <tr r="L54" s="5"/>
        <tr r="H70" s="5"/>
        <tr r="E352" s="6"/>
        <tr r="I370" s="6"/>
        <tr r="O143" s="5"/>
        <tr r="B81" s="6"/>
        <tr r="H276" s="6"/>
        <tr r="K91" s="5"/>
        <tr r="H266" s="6"/>
        <tr r="I127" s="5"/>
        <tr r="M6" s="5"/>
        <tr r="B266" s="6"/>
        <tr r="D154" s="6"/>
        <tr r="J124" s="6"/>
        <tr r="C218" s="6"/>
        <tr r="C369" s="6"/>
        <tr r="K234" s="5"/>
        <tr r="L129" s="5"/>
        <tr r="E180" s="6"/>
        <tr r="J293" s="6"/>
        <tr r="B140" s="6"/>
        <tr r="E268" s="6"/>
        <tr r="I312" s="6"/>
        <tr r="K38" s="5"/>
        <tr r="F58" s="6"/>
        <tr r="H313" s="5"/>
        <tr r="J49" s="6"/>
        <tr r="G19" s="6"/>
        <tr r="I362" s="6"/>
        <tr r="B374" s="6"/>
        <tr r="K293" s="5"/>
        <tr r="J229" s="6"/>
        <tr r="K288" s="5"/>
        <tr r="K51" s="5"/>
        <tr r="J103" s="5"/>
        <tr r="K373" s="5"/>
        <tr r="I369" s="6"/>
        <tr r="F119" s="6"/>
        <tr r="E86" s="5"/>
        <tr r="J215" s="6"/>
        <tr r="K112" s="5"/>
        <tr r="H46" s="6"/>
        <tr r="I60" s="6"/>
        <tr r="F117" s="6"/>
        <tr r="C101" s="5"/>
        <tr r="I162" s="5"/>
        <tr r="K267" s="5"/>
        <tr r="K132" s="5"/>
        <tr r="G235" s="6"/>
        <tr r="M90" s="5"/>
        <tr r="D13" s="5"/>
        <tr r="I84" s="5"/>
        <tr r="J111" s="5"/>
        <tr r="C10" s="5"/>
        <tr r="P88" s="5"/>
        <tr r="G279" s="6"/>
        <tr r="E79" s="6"/>
        <tr r="J318" s="6"/>
        <tr r="C118" s="6"/>
        <tr r="C108" s="6"/>
        <tr r="B124" s="6"/>
        <tr r="C339" s="6"/>
        <tr r="F60" s="6"/>
        <tr r="H60" s="5"/>
        <tr r="C189" s="6"/>
        <tr r="F50" s="5"/>
        <tr r="C368" s="6"/>
        <tr r="K177" s="5"/>
        <tr r="D267" s="6"/>
        <tr r="I69" s="6"/>
        <tr r="H234" s="5"/>
        <tr r="L130" s="5"/>
        <tr r="I68" s="6"/>
        <tr r="H327" s="6"/>
        <tr r="E117" s="6"/>
        <tr r="D165" s="6"/>
        <tr r="D102" s="5"/>
        <tr r="K333" s="5"/>
        <tr r="I251" s="6"/>
        <tr r="F110" s="5"/>
        <tr r="F341" s="5"/>
        <tr r="N230" s="5"/>
        <tr r="B332" s="6"/>
        <tr r="C330" s="6"/>
        <tr r="H61" s="6"/>
        <tr r="G237" s="6"/>
        <tr r="F313" s="6"/>
        <tr r="H367" s="5"/>
        <tr r="D27" s="5"/>
        <tr r="B223" s="6"/>
        <tr r="C216" s="6"/>
        <tr r="E32" s="6"/>
        <tr r="D187" s="6"/>
        <tr r="I19" s="6"/>
        <tr r="K327" s="5"/>
        <tr r="G21" s="6"/>
        <tr r="N67" s="5"/>
        <tr r="I124" s="5"/>
        <tr r="B92" s="5"/>
        <tr r="C280" s="6"/>
        <tr r="G52" s="5"/>
        <tr r="G94" s="6"/>
        <tr r="D84" s="6"/>
        <tr r="G22" s="5"/>
        <tr r="N260" s="5"/>
        <tr r="H344" s="6"/>
        <tr r="J100" s="6"/>
        <tr r="E138" s="6"/>
        <tr r="K204" s="5"/>
        <tr r="C26" s="6"/>
        <tr r="D94" s="5"/>
        <tr r="E224" s="6"/>
        <tr r="G204" s="6"/>
        <tr r="E49" s="6"/>
        <tr r="D340" s="5"/>
        <tr r="F366" s="5"/>
        <tr r="C229" s="6"/>
        <tr r="G333" s="6"/>
        <tr r="G112" s="6"/>
        <tr r="D136" s="5"/>
        <tr r="J181" s="6"/>
        <tr r="H110" s="5"/>
        <tr r="J342" s="6"/>
        <tr r="D359" s="6"/>
        <tr r="B157" s="6"/>
        <tr r="F127" s="6"/>
        <tr r="H210" s="6"/>
        <tr r="C359" s="6"/>
        <tr r="B372" s="6"/>
        <tr r="G37" s="5"/>
        <tr r="G68" s="5"/>
        <tr r="G282" s="6"/>
        <tr r="I99" s="5"/>
        <tr r="F301" s="6"/>
        <tr r="B341" s="6"/>
        <tr r="G205" s="6"/>
        <tr r="G33" s="5"/>
        <tr r="D212" s="6"/>
        <tr r="E313" s="6"/>
        <tr r="H55" s="6"/>
        <tr r="G315" s="6"/>
        <tr r="E307" s="6"/>
        <tr r="E256" s="6"/>
        <tr r="C325" s="6"/>
        <tr r="F270" s="6"/>
        <tr r="I100" s="6"/>
        <tr r="F105" s="6"/>
        <tr r="K124" s="5"/>
        <tr r="C11" s="5"/>
        <tr r="M130" s="5"/>
        <tr r="D307" s="6"/>
        <tr r="F237" s="6"/>
        <tr r="K29" s="5"/>
        <tr r="E261" s="6"/>
        <tr r="C200" s="6"/>
        <tr r="D221" s="6"/>
        <tr r="G190" s="5"/>
        <tr r="J178" s="6"/>
        <tr r="E7" s="6"/>
        <tr r="F253" s="6"/>
        <tr r="I68" s="5"/>
        <tr r="D45" s="6"/>
        <tr r="K266" s="5"/>
        <tr r="F327" s="6"/>
        <tr r="D345" s="6"/>
        <tr r="C351" s="6"/>
        <tr r="E344" s="6"/>
        <tr r="F352" s="6"/>
        <tr r="G254" s="6"/>
        <tr r="I241" s="6"/>
        <tr r="C164" s="6"/>
        <tr r="I320" s="6"/>
        <tr r="K118" s="5"/>
        <tr r="E308" s="6"/>
        <tr r="J64" s="5"/>
        <tr r="F156" s="6"/>
        <tr r="B240" s="6"/>
        <tr r="C95" s="6"/>
        <tr r="F260" s="6"/>
        <tr r="P50" s="5"/>
        <tr r="D191" s="6"/>
        <tr r="J208" s="6"/>
        <tr r="I59" s="5"/>
        <tr r="G163" s="6"/>
        <tr r="K127" s="5"/>
        <tr r="K134" s="5"/>
        <tr r="I32" s="6"/>
        <tr r="I198" s="6"/>
        <tr r="N78" s="5"/>
        <tr r="J36" s="6"/>
        <tr r="B311" s="6"/>
        <tr r="L352" s="5"/>
        <tr r="J242" s="6"/>
        <tr r="F205" s="6"/>
        <tr r="C183" s="5"/>
        <tr r="K243" s="5"/>
        <tr r="C375" s="6"/>
        <tr r="C64" s="6"/>
        <tr r="G277" s="6"/>
        <tr r="E237" s="6"/>
        <tr r="I333" s="6"/>
        <tr r="F93" s="6"/>
        <tr r="C181" s="6"/>
        <tr r="C250" s="6"/>
        <tr r="O89" s="5"/>
        <tr r="G187" s="5"/>
        <tr r="G285" s="6"/>
        <tr r="K168" s="5"/>
        <tr r="F62" s="6"/>
        <tr r="H175" s="6"/>
        <tr r="I351" s="6"/>
        <tr r="I215" s="6"/>
        <tr r="D215" s="6"/>
        <tr r="P24" s="5"/>
        <tr r="I352" s="6"/>
        <tr r="I324" s="6"/>
        <tr r="P62" s="5"/>
        <tr r="M121" s="5"/>
        <tr r="G116" s="5"/>
        <tr r="M123" s="5"/>
        <tr r="H316" s="6"/>
        <tr r="P6" s="5"/>
        <tr r="L50" s="5"/>
        <tr r="I85" s="6"/>
        <tr r="L277" s="5"/>
        <tr r="G53" s="6"/>
        <tr r="C319" s="6"/>
        <tr r="B173" s="6"/>
        <tr r="F251" s="5"/>
        <tr r="C147" s="6"/>
        <tr r="J44" s="6"/>
        <tr r="C114" s="6"/>
        <tr r="F91" s="5"/>
        <tr r="J120" s="5"/>
        <tr r="E196" s="6"/>
        <tr r="E339" s="6"/>
        <tr r="B221" s="6"/>
        <tr r="E94" s="6"/>
        <tr r="F131" s="6"/>
        <tr r="K254" s="5"/>
        <tr r="C295" s="6"/>
        <tr r="D248" s="6"/>
        <tr r="C248" s="6"/>
        <tr r="J195" s="6"/>
        <tr r="D337" s="6"/>
        <tr r="C77" s="6"/>
        <tr r="J360" s="6"/>
        <tr r="D196" s="5"/>
        <tr r="L160" s="5"/>
        <tr r="H54" s="5"/>
        <tr r="I270" s="6"/>
        <tr r="K67" s="5"/>
        <tr r="G44" s="6"/>
        <tr r="H71" s="6"/>
        <tr r="K264" s="5"/>
        <tr r="I338" s="6"/>
        <tr r="P22" s="5"/>
        <tr r="K307" s="5"/>
        <tr r="D102" s="6"/>
        <tr r="G233" s="6"/>
        <tr r="P9" s="5"/>
        <tr r="O100" s="5"/>
        <tr r="E217" s="6"/>
        <tr r="D350" s="6"/>
        <tr r="K310" s="5"/>
        <tr r="D7" s="6"/>
        <tr r="D225" s="6"/>
        <tr r="D327" s="5"/>
        <tr r="I189" s="6"/>
        <tr r="I271" s="6"/>
        <tr r="H154" s="6"/>
        <tr r="H290" s="6"/>
        <tr r="H133" s="6"/>
        <tr r="C144" s="6"/>
        <tr r="B28" s="6"/>
        <tr r="F257" s="6"/>
        <tr r="D159" s="6"/>
        <tr r="F166" s="6"/>
        <tr r="G108" s="6"/>
        <tr r="H58" s="6"/>
        <tr r="H111" s="5"/>
        <tr r="F355" s="6"/>
        <tr r="M138" s="5"/>
        <tr r="G205" s="5"/>
        <tr r="I150" s="5"/>
        <tr r="B58" s="5"/>
        <tr r="K60" s="5"/>
        <tr r="E18" s="5"/>
        <tr r="B198" s="5"/>
        <tr r="I260" s="6"/>
        <tr r="E132" s="6"/>
        <tr r="J83" s="5"/>
        <tr r="J233" s="6"/>
        <tr r="B316" s="6"/>
        <tr r="P113" s="5"/>
        <tr r="K357" s="5"/>
        <tr r="I331" s="6"/>
        <tr r="B265" s="6"/>
        <tr r="K20" s="5"/>
        <tr r="I143" s="5"/>
        <tr r="K25" s="5"/>
        <tr r="D357" s="6"/>
        <tr r="D353" s="6"/>
        <tr r="H212" s="6"/>
        <tr r="C123" s="6"/>
        <tr r="G329" s="6"/>
        <tr r="B32" s="5"/>
        <tr r="F289" s="6"/>
        <tr r="E278" s="6"/>
        <tr r="O30" s="5"/>
        <tr r="I300" s="6"/>
        <tr r="F179" s="6"/>
        <tr r="J20" s="6"/>
        <tr r="L219" s="5"/>
        <tr r="M368" s="5"/>
        <tr r="D300" s="6"/>
        <tr r="I87" s="5"/>
        <tr r="P48" s="5"/>
        <tr r="H299" s="6"/>
        <tr r="C241" s="6"/>
        <tr r="M17" s="5"/>
        <tr r="D151" s="6"/>
        <tr r="H98" s="6"/>
        <tr r="D90" s="5"/>
        <tr r="C335" s="6"/>
        <tr r="J348" s="6"/>
        <tr r="J60" s="6"/>
        <tr r="C211" s="6"/>
        <tr r="J230" s="6"/>
        <tr r="K143" s="5"/>
        <tr r="P51" s="5"/>
        <tr r="D76" s="5"/>
        <tr r="K194" s="5"/>
        <tr r="D204" s="6"/>
        <tr r="H58" s="5"/>
        <tr r="J183" s="6"/>
        <tr r="F39" s="6"/>
        <tr r="G360" s="6"/>
        <tr r="B27" s="5"/>
        <tr r="D237" s="6"/>
        <tr r="M43" s="5"/>
        <tr r="G262" s="6"/>
        <tr r="O116" s="5"/>
        <tr r="L97" s="5"/>
        <tr r="H65" s="6"/>
        <tr r="F227" s="6"/>
        <tr r="D183" s="6"/>
        <tr r="B60" s="6"/>
        <tr r="G11" s="5"/>
        <tr r="E69" s="5"/>
        <tr r="P373" s="5"/>
        <tr r="J371" s="6"/>
        <tr r="I218" s="6"/>
        <tr r="J224" s="6"/>
        <tr r="F141" s="6"/>
        <tr r="H5" s="5"/>
        <tr r="M98" s="5"/>
        <tr r="P78" s="5"/>
        <tr r="F298" s="6"/>
        <tr r="J287" s="6"/>
        <tr r="I30" s="6"/>
        <tr r="C296" s="6"/>
        <tr r="G113" s="5"/>
        <tr r="J207" s="6"/>
        <tr r="I43" s="6"/>
        <tr r="D289" s="6"/>
        <tr r="B257" s="6"/>
        <tr r="I288" s="6"/>
        <tr r="I266" s="6"/>
        <tr r="E212" s="6"/>
        <tr r="I159" s="5"/>
        <tr r="G306" s="6"/>
        <tr r="H110" s="6"/>
        <tr r="E251" s="6"/>
        <tr r="G353" s="6"/>
        <tr r="B76" s="5"/>
        <tr r="F314" s="6"/>
        <tr r="D301" s="6"/>
        <tr r="E355" s="6"/>
        <tr r="F190" s="6"/>
        <tr r="F298" s="5"/>
        <tr r="B168" s="6"/>
        <tr r="J15" s="6"/>
        <tr r="I239" s="6"/>
        <tr r="K312" s="5"/>
        <tr r="O85" s="5"/>
        <tr r="B184" s="5"/>
        <tr r="B346" s="6"/>
        <tr r="K268" s="5"/>
        <tr r="K154" s="5"/>
        <tr r="L302" s="5"/>
        <tr r="D205" s="6"/>
        <tr r="B274" s="6"/>
        <tr r="P325" s="5"/>
        <tr r="G61" s="5"/>
        <tr r="I110" s="5"/>
        <tr r="C120" s="6"/>
        <tr r="I297" s="6"/>
        <tr r="N194" s="5"/>
        <tr r="N62" s="5"/>
        <tr r="D219" s="6"/>
        <tr r="K13" s="5"/>
        <tr r="M193" s="5"/>
        <tr r="J112" s="6"/>
        <tr r="C251" s="6"/>
        <tr r="I138" s="6"/>
        <tr r="H228" s="6"/>
        <tr r="M115" s="5"/>
        <tr r="G209" s="6"/>
        <tr r="M84" s="5"/>
        <tr r="C308" s="6"/>
        <tr r="D176" s="6"/>
        <tr r="H140" s="6"/>
        <tr r="J188" s="6"/>
        <tr r="G76" s="5"/>
        <tr r="F85" s="6"/>
        <tr r="H141" s="6"/>
        <tr r="I26" s="5"/>
        <tr r="H7" s="5"/>
        <tr r="I353" s="6"/>
        <tr r="C183" s="6"/>
        <tr r="K109" s="5"/>
        <tr r="C81" s="5"/>
        <tr r="F303" s="6"/>
        <tr r="I62" s="5"/>
        <tr r="H85" s="6"/>
        <tr r="K225" s="5"/>
        <tr r="P130" s="5"/>
        <tr r="B328" s="6"/>
        <tr r="B299" s="6"/>
        <tr r="J281" s="5"/>
        <tr r="F168" s="6"/>
        <tr r="P308" s="5"/>
        <tr r="B220" s="6"/>
        <tr r="G249" s="6"/>
        <tr r="I106" s="6"/>
        <tr r="K146" s="5"/>
        <tr r="B306" s="6"/>
        <tr r="N206" s="5"/>
        <tr r="I134" s="5"/>
        <tr r="J301" s="6"/>
        <tr r="I115" s="5"/>
        <tr r="G83" s="5"/>
        <tr r="D232" s="6"/>
        <tr r="C5" s="5"/>
        <tr r="I25" s="5"/>
        <tr r="C191" s="6"/>
        <tr r="K42" s="5"/>
        <tr r="G110" s="5"/>
        <tr r="J314" s="6"/>
        <tr r="J136" s="6"/>
        <tr r="C313" s="6"/>
        <tr r="K167" s="5"/>
        <tr r="M42" s="5"/>
        <tr r="N98" s="5"/>
        <tr r="K144" s="5"/>
        <tr r="D133" s="6"/>
        <tr r="M37" s="5"/>
        <tr r="H217" s="6"/>
        <tr r="J320" s="6"/>
        <tr r="L13" s="5"/>
        <tr r="K209" s="5"/>
        <tr r="B278" s="6"/>
        <tr r="M80" s="5"/>
        <tr r="J69" s="6"/>
        <tr r="E329" s="6"/>
        <tr r="H105" s="5"/>
        <tr r="G143" s="6"/>
        <tr r="J214" s="6"/>
        <tr r="B307" s="6"/>
        <tr r="E125" s="6"/>
        <tr r="E322" s="6"/>
        <tr r="K256" s="5"/>
        <tr r="G44" s="5"/>
        <tr r="M143" s="5"/>
        <tr r="C42" s="6"/>
        <tr r="E350" s="6"/>
        <tr r="I223" s="6"/>
        <tr r="F16" s="5"/>
        <tr r="G133" s="5"/>
        <tr r="J329" s="6"/>
        <tr r="D62" s="6"/>
        <tr r="D231" s="6"/>
        <tr r="J108" s="6"/>
        <tr r="K161" s="5"/>
        <tr r="F84" s="6"/>
        <tr r="H339" s="6"/>
        <tr r="I240" s="6"/>
        <tr r="E235" s="6"/>
        <tr r="I172" s="5"/>
        <tr r="G316" s="5"/>
        <tr r="C148" s="6"/>
        <tr r="J204" s="6"/>
        <tr r="B103" s="5"/>
        <tr r="C268" s="6"/>
        <tr r="I261" s="6"/>
        <tr r="F180" s="6"/>
        <tr r="K239" s="5"/>
        <tr r="C51" s="6"/>
        <tr r="J271" s="6"/>
        <tr r="P164" s="5"/>
        <tr r="P341" s="5"/>
        <tr r="G322" s="6"/>
        <tr r="H174" s="6"/>
        <tr r="E243" s="6"/>
        <tr r="E29" s="6"/>
        <tr r="F115" s="6"/>
        <tr r="E346" s="6"/>
        <tr r="I141" s="5"/>
        <tr r="F214" s="6"/>
        <tr r="M141" s="5"/>
        <tr r="D270" s="6"/>
        <tr r="E337" s="6"/>
        <tr r="H141" s="5"/>
        <tr r="K180" s="5"/>
        <tr r="I42" s="6"/>
        <tr r="F132" s="5"/>
        <tr r="J313" s="6"/>
        <tr r="H117" s="5"/>
        <tr r="J160" s="6"/>
        <tr r="G96" s="5"/>
        <tr r="I118" s="5"/>
        <tr r="F136" s="5"/>
        <tr r="G224" s="6"/>
        <tr r="B185" s="5"/>
        <tr r="B11" s="5"/>
        <tr r="E45" s="5"/>
        <tr r="E219" s="6"/>
        <tr r="O84" s="5"/>
        <tr r="B254" s="6"/>
        <tr r="D228" s="6"/>
        <tr r="K281" s="5"/>
        <tr r="K44" s="5"/>
        <tr r="C304" s="6"/>
        <tr r="G236" s="6"/>
        <tr r="G139" s="6"/>
        <tr r="B135" s="6"/>
        <tr r="J144" s="6"/>
        <tr r="I149" s="6"/>
        <tr r="J334" s="6"/>
        <tr r="F358" s="6"/>
        <tr r="E245" s="6"/>
        <tr r="E66" s="6"/>
        <tr r="D58" s="6"/>
        <tr r="J12" s="6"/>
        <tr r="F64" s="6"/>
        <tr r="J244" s="5"/>
        <tr r="H286" s="6"/>
        <tr r="C153" s="6"/>
        <tr r="B23" s="5"/>
        <tr r="H112" s="6"/>
        <tr r="D164" s="6"/>
        <tr r="C348" s="6"/>
        <tr r="I174" s="6"/>
        <tr r="C52" s="6"/>
        <tr r="J366" s="6"/>
        <tr r="F340" s="6"/>
        <tr r="I131" s="6"/>
        <tr r="G313" s="6"/>
        <tr r="I145" s="5"/>
        <tr r="F326" s="6"/>
        <tr r="J16" s="5"/>
        <tr r="B161" s="6"/>
        <tr r="F321" s="6"/>
        <tr r="F241" s="6"/>
        <tr r="H15" s="6"/>
        <tr r="B6" s="5"/>
        <tr r="M132" s="5"/>
        <tr r="C202" s="6"/>
        <tr r="G344" s="6"/>
        <tr r="J64" s="6"/>
        <tr r="K160" s="5"/>
        <tr r="K75" s="5"/>
        <tr r="K195" s="5"/>
        <tr r="G364" s="6"/>
        <tr r="H30" s="6"/>
        <tr r="I111" s="5"/>
        <tr r="H352" s="6"/>
        <tr r="H239" s="6"/>
        <tr r="I229" s="5"/>
        <tr r="H355" s="6"/>
        <tr r="E356" s="6"/>
        <tr r="H114" s="6"/>
        <tr r="L98" s="5"/>
        <tr r="J276" s="6"/>
        <tr r="C166" s="6"/>
        <tr r="B135" s="5"/>
        <tr r="D51" s="6"/>
        <tr r="H304" s="6"/>
        <tr r="I21" s="5"/>
        <tr r="I251" s="5"/>
        <tr r="N11" s="5"/>
        <tr r="C62" s="6"/>
        <tr r="B188" s="6"/>
        <tr r="K258" s="5"/>
        <tr r="P16" s="5"/>
        <tr r="C67" s="5"/>
        <tr r="B195" s="6"/>
        <tr r="D296" s="6"/>
        <tr r="I186" s="6"/>
        <tr r="H166" s="6"/>
        <tr r="G142" s="6"/>
        <tr r="E275" s="6"/>
        <tr r="B222" s="6"/>
        <tr r="J370" s="6"/>
        <tr r="J254" s="6"/>
        <tr r="J352" s="6"/>
        <tr r="I336" s="6"/>
        <tr r="E164" s="5"/>
        <tr r="C234" s="6"/>
        <tr r="F300" s="6"/>
        <tr r="H336" s="6"/>
        <tr r="E131" s="6"/>
        <tr r="H324" s="6"/>
        <tr r="D69" s="6"/>
        <tr r="C37" s="6"/>
        <tr r="K192" s="5"/>
        <tr r="J165" s="6"/>
        <tr r="B241" s="6"/>
        <tr r="B48" s="5"/>
        <tr r="C332" s="6"/>
        <tr r="E316" s="6"/>
        <tr r="H149" s="6"/>
        <tr r="G231" s="6"/>
        <tr r="F354" s="6"/>
        <tr r="B91" s="6"/>
        <tr r="K248" s="5"/>
        <tr r="E319" s="6"/>
        <tr r="C49" s="6"/>
        <tr r="G299" s="6"/>
        <tr r="C41" s="6"/>
        <tr r="H38" s="5"/>
        <tr r="B177" s="6"/>
        <tr r="J30" s="5"/>
        <tr r="B75" s="6"/>
        <tr r="M38" s="5"/>
        <tr r="G331" s="6"/>
        <tr r="J344" s="6"/>
        <tr r="E91" s="6"/>
        <tr r="E297" s="6"/>
        <tr r="F262" s="6"/>
        <tr r="I274" s="6"/>
        <tr r="J169" s="6"/>
        <tr r="E371" s="6"/>
        <tr r="K305" s="5"/>
        <tr r="E301" s="6"/>
        <tr r="M32" s="5"/>
        <tr r="E260" s="6"/>
        <tr r="N83" s="5"/>
        <tr r="F244" s="6"/>
        <tr r="O68" s="5"/>
        <tr r="F154" s="6"/>
        <tr r="D155" s="6"/>
        <tr r="B88" s="5"/>
        <tr r="I104" s="5"/>
        <tr r="N290" s="5"/>
        <tr r="B73" s="5"/>
        <tr r="H306" s="6"/>
        <tr r="H41" s="5"/>
        <tr r="M86" s="5"/>
        <tr r="L105" s="5"/>
        <tr r="B130" s="5"/>
        <tr r="I283" s="5"/>
        <tr r="B362" s="6"/>
        <tr r="K165" s="5"/>
        <tr r="N51" s="5"/>
        <tr r="E345" s="6"/>
        <tr r="K302" s="5"/>
        <tr r="I238" s="6"/>
        <tr r="J252" s="6"/>
        <tr r="B169" s="6"/>
        <tr r="K337" s="5"/>
        <tr r="G370" s="6"/>
        <tr r="F176" s="6"/>
        <tr r="H320" s="6"/>
        <tr r="G101" s="5"/>
        <tr r="B298" s="6"/>
        <tr r="D273" s="6"/>
        <tr r="J131" s="6"/>
        <tr r="N50" s="5"/>
        <tr r="L18" s="5"/>
        <tr r="B230" s="6"/>
        <tr r="P12" s="5"/>
        <tr r="B124" s="5"/>
        <tr r="J246" s="6"/>
        <tr r="I250" s="6"/>
        <tr r="H56" s="6"/>
        <tr r="K190" s="5"/>
        <tr r="B45" s="6"/>
        <tr r="K96" s="5"/>
        <tr r="C27" s="5"/>
        <tr r="C245" s="6"/>
        <tr r="K291" s="5"/>
        <tr r="D327" s="6"/>
        <tr r="J245" s="6"/>
        <tr r="B261" s="6"/>
        <tr r="G241" s="6"/>
        <tr r="G270" s="6"/>
        <tr r="H329" s="6"/>
        <tr r="N275" s="5"/>
        <tr r="K221" s="5"/>
        <tr r="H342" s="6"/>
        <tr r="M161" s="5"/>
        <tr r="D223" s="6"/>
        <tr r="C155" s="6"/>
        <tr r="F143" s="6"/>
        <tr r="C247" s="6"/>
        <tr r="H124" s="5"/>
        <tr r="I29" s="6"/>
        <tr r="I317" s="6"/>
        <tr r="B200" s="6"/>
        <tr r="D371" s="6"/>
        <tr r="O131" s="5"/>
        <tr r="K136" s="5"/>
        <tr r="K200" s="5"/>
        <tr r="C225" s="6"/>
        <tr r="D277" s="6"/>
        <tr r="H158" s="6"/>
        <tr r="G172" s="6"/>
        <tr r="H209" s="6"/>
        <tr r="B199" s="6"/>
        <tr r="E48" s="6"/>
        <tr r="J161" s="6"/>
        <tr r="F167" s="6"/>
        <tr r="H379" s="5"/>
        <tr r="G85" s="5"/>
        <tr r="G6" s="5"/>
        <tr r="F69" s="6"/>
        <tr r="J328" s="5"/>
        <tr r="E228" s="6"/>
        <tr r="K207" s="5"/>
        <tr r="G84" s="6"/>
        <tr r="N132" s="5"/>
        <tr r="H350" s="6"/>
        <tr r="H25" s="6"/>
        <tr r="E103" s="6"/>
        <tr r="B18" s="6"/>
        <tr r="J303" s="6"/>
        <tr r="I335" s="6"/>
        <tr r="H115" s="6"/>
        <tr r="J283" s="6"/>
        <tr r="J85" s="6"/>
        <tr r="J51" s="5"/>
        <tr r="G53" s="5"/>
        <tr r="F46" s="6"/>
        <tr r="G164" s="5"/>
        <tr r="E133" s="6"/>
        <tr r="J26" s="6"/>
        <tr r="H314" s="6"/>
        <tr r="H95" s="6"/>
        <tr r="H374" s="6"/>
        <tr r="D150" s="6"/>
        <tr r="I358" s="6"/>
        <tr r="B364" s="5"/>
        <tr r="J375" s="6"/>
        <tr r="G108" s="5"/>
        <tr r="E142" s="6"/>
        <tr r="E343" s="6"/>
        <tr r="G253" s="6"/>
        <tr r="J335" s="6"/>
        <tr r="C55" s="6"/>
        <tr r="I81" s="5"/>
        <tr r="H309" s="6"/>
        <tr r="J37" s="5"/>
        <tr r="C239" s="6"/>
        <tr r="H298" s="6"/>
        <tr r="B71" s="5"/>
        <tr r="I24" s="6"/>
        <tr r="H135" s="6"/>
        <tr r="E247" s="6"/>
        <tr r="K27" s="5"/>
        <tr r="G8" s="5"/>
        <tr r="O25" s="5"/>
        <tr r="L348" s="5"/>
        <tr r="B371" s="6"/>
        <tr r="O28" s="5"/>
        <tr r="B285" s="6"/>
        <tr r="J266" s="6"/>
        <tr r="K125" s="5"/>
        <tr r="I74" s="5"/>
        <tr r="P28" s="5"/>
        <tr r="J308" s="6"/>
        <tr r="E187" s="6"/>
        <tr r="D172" s="6"/>
        <tr r="J79" s="5"/>
        <tr r="D146" s="6"/>
        <tr r="C199" s="6"/>
        <tr r="D345" s="5"/>
        <tr r="H52" s="6"/>
        <tr r="K330" s="5"/>
        <tr r="H143" s="5"/>
        <tr r="E234" s="6"/>
        <tr r="F211" s="5"/>
        <tr r="G60" s="5"/>
        <tr r="D317" s="6"/>
        <tr r="C323" s="6"/>
        <tr r="F218" s="6"/>
        <tr r="E225" s="6"/>
        <tr r="O124" s="5"/>
        <tr r="M5" s="5"/>
        <tr r="H33" s="6"/>
        <tr r="J369" s="6"/>
        <tr r="K99" s="5"/>
        <tr r="C48" s="6"/>
        <tr r="B237" s="5"/>
        <tr r="D356" s="6"/>
        <tr r="B268" s="6"/>
        <tr r="M12" s="5"/>
        <tr r="K329" s="5"/>
        <tr r="L6" s="5"/>
        <tr r="J110" s="6"/>
        <tr r="C130" s="6"/>
        <tr r="I151" s="6"/>
        <tr r="J238" s="5"/>
        <tr r="O22" s="5"/>
        <tr r="F226" s="6"/>
        <tr r="D276" s="6"/>
        <tr r="F108" s="6"/>
        <tr r="E223" s="6"/>
        <tr r="I92" s="6"/>
        <tr r="H177" s="6"/>
        <tr r="C142" s="6"/>
        <tr r="F378" s="5"/>
        <tr r="G12" s="6"/>
        <tr r="J155" s="6"/>
        <tr r="J186" s="6"/>
        <tr r="F96" s="5"/>
        <tr r="H280" s="6"/>
        <tr r="K251" s="5"/>
        <tr r="M27" s="5"/>
        <tr r="G250" s="6"/>
        <tr r="D315" s="6"/>
        <tr r="D188" s="6"/>
        <tr r="C89" s="6"/>
        <tr r="H356" s="6"/>
        <tr r="C198" s="6"/>
        <tr r="J213" s="6"/>
        <tr r="K289" s="5"/>
        <tr r="H215" s="5"/>
        <tr r="C224" s="6"/>
        <tr r="F104" s="6"/>
        <tr r="F348" s="6"/>
        <tr r="H37" s="6"/>
        <tr r="H224" s="6"/>
        <tr r="K48" s="5"/>
        <tr r="H74" s="6"/>
        <tr r="H6" s="6"/>
        <tr r="I176" s="5"/>
        <tr r="K290" s="5"/>
        <tr r="B337" s="5"/>
        <tr r="M179" s="5"/>
        <tr r="M248" s="5"/>
        <tr r="F280" s="6"/>
        <tr r="K65" s="5"/>
        <tr r="K147" s="5"/>
        <tr r="B26" s="6"/>
        <tr r="H250" s="6"/>
        <tr r="E194" s="6"/>
        <tr r="E224" s="5"/>
        <tr r="I175" s="5"/>
        <tr r="I82" s="6"/>
        <tr r="E281" s="6"/>
        <tr r="F245" s="6"/>
        <tr r="J66" s="6"/>
        <tr r="C27" s="6"/>
        <tr r="I159" s="6"/>
        <tr r="E331" s="6"/>
        <tr r="G48" s="6"/>
        <tr r="G137" s="6"/>
        <tr r="J239" s="5"/>
        <tr r="M28" s="5"/>
        <tr r="D16" s="6"/>
        <tr r="G180" s="6"/>
        <tr r="C81" s="6"/>
        <tr r="I99" s="6"/>
        <tr r="L374" s="5"/>
        <tr r="J237" s="6"/>
        <tr r="F56" s="6"/>
        <tr r="J74" s="6"/>
        <tr r="H375" s="6"/>
        <tr r="E36" s="6"/>
        <tr r="K128" s="5"/>
        <tr r="I135" s="6"/>
        <tr r="B122" s="6"/>
        <tr r="F48" s="6"/>
        <tr r="H89" s="6"/>
        <tr r="B262" s="6"/>
        <tr r="I59" s="6"/>
        <tr r="B70" s="6"/>
        <tr r="I355" s="6"/>
        <tr r="F123" s="6"/>
        <tr r="D131" s="6"/>
        <tr r="M270" s="5"/>
        <tr r="D142" s="6"/>
        <tr r="E147" s="6"/>
        <tr r="G130" s="5"/>
        <tr r="B22" s="5"/>
        <tr r="E316" s="5"/>
        <tr r="B51" s="6"/>
        <tr r="I344" s="6"/>
        <tr r="H102" s="6"/>
        <tr r="D72" s="6"/>
        <tr r="B28" s="5"/>
        <tr r="I323" s="5"/>
        <tr r="G222" s="6"/>
        <tr r="P53" s="5"/>
        <tr r="M366" s="5"/>
        <tr r="C350" s="5"/>
        <tr r="I318" s="6"/>
        <tr r="F179" s="5"/>
        <tr r="I5" s="5"/>
        <tr r="C209" s="6"/>
        <tr r="E373" s="6"/>
        <tr r="C233" s="6"/>
        <tr r="K226" s="5"/>
        <tr r="K287" s="5"/>
        <tr r="E360" s="6"/>
        <tr r="C301" s="5"/>
        <tr r="H295" s="6"/>
        <tr r="I264" s="6"/>
        <tr r="F171" s="6"/>
        <tr r="H86" s="6"/>
        <tr r="G124" s="5"/>
        <tr r="H159" s="5"/>
        <tr r="E181" s="5"/>
        <tr r="I299" s="5"/>
        <tr r="K35" s="5"/>
        <tr r="D117" s="6"/>
        <tr r="H106" s="5"/>
        <tr r="G162" s="6"/>
        <tr r="E211" s="5"/>
        <tr r="B138" s="6"/>
        <tr r="H165" s="6"/>
        <tr r="O286" s="5"/>
        <tr r="G119" s="6"/>
        <tr r="G7" s="5"/>
        <tr r="I275" s="6"/>
        <tr r="I146" s="6"/>
        <tr r="E357" s="6"/>
        <tr r="J191" s="6"/>
        <tr r="I95" s="6"/>
        <tr r="E306" s="6"/>
        <tr r="H346" s="6"/>
        <tr r="H240" s="6"/>
        <tr r="F294" s="6"/>
        <tr r="C132" s="6"/>
        <tr r="H78" s="5"/>
        <tr r="G155" s="6"/>
        <tr r="F114" s="6"/>
        <tr r="I337" s="5"/>
        <tr r="D178" s="6"/>
        <tr r="H10" s="6"/>
        <tr r="H234" s="6"/>
        <tr r="H262" s="6"/>
        <tr r="G228" s="5"/>
        <tr r="D106" s="6"/>
        <tr r="K18" s="5"/>
        <tr r="E108" s="6"/>
        <tr r="G341" s="5"/>
        <tr r="D292" s="6"/>
        <tr r="C283" s="6"/>
        <tr r="B329" s="6"/>
        <tr r="B148" s="6"/>
        <tr r="J203" s="6"/>
        <tr r="F126" s="6"/>
        <tr r="I110" s="6"/>
        <tr r="H333" s="6"/>
        <tr r="I36" s="6"/>
        <tr r="C12" s="6"/>
        <tr r="I168" s="6"/>
        <tr r="F305" s="6"/>
        <tr r="B36" s="5"/>
        <tr r="C242" s="6"/>
        <tr r="E323" s="6"/>
        <tr r="L313" s="5"/>
        <tr r="J264" s="5"/>
        <tr r="F345" s="6"/>
        <tr r="C212" s="6"/>
        <tr r="L46" s="5"/>
        <tr r="H229" s="6"/>
        <tr r="C35" s="6"/>
        <tr r="C362" s="6"/>
        <tr r="C324" s="5"/>
        <tr r="E122" s="6"/>
        <tr r="I27" s="6"/>
        <tr r="F83" s="6"/>
        <tr r="K175" s="5"/>
        <tr r="C300" s="6"/>
        <tr r="H243" s="5"/>
        <tr r="J89" s="6"/>
        <tr r="E145" s="6"/>
        <tr r="H170" s="6"/>
        <tr r="B335" s="6"/>
        <tr r="B277" s="6"/>
        <tr r="I9" s="6"/>
        <tr r="B69" s="6"/>
        <tr r="C243" s="6"/>
        <tr r="F89" s="6"/>
        <tr r="H338" s="6"/>
        <tr r="M107" s="5"/>
        <tr r="G99" s="6"/>
        <tr r="C21" s="6"/>
        <tr r="J5" s="5"/>
        <tr r="G109" s="6"/>
        <tr r="F97" s="6"/>
        <tr r="G127" s="6"/>
        <tr r="E96" s="6"/>
        <tr r="D81" s="6"/>
        <tr r="E370" s="6"/>
        <tr r="I232" s="6"/>
        <tr r="I193" s="6"/>
        <tr r="B27" s="6"/>
        <tr r="F46" s="5"/>
        <tr r="D367" s="5"/>
        <tr r="H45" s="6"/>
        <tr r="K364" s="5"/>
        <tr r="E73" s="6"/>
        <tr r="G92" s="6"/>
        <tr r="F138" s="6"/>
        <tr r="G368" s="6"/>
        <tr r="I212" s="6"/>
        <tr r="D364" s="6"/>
        <tr r="H22" s="5"/>
        <tr r="I305" s="6"/>
        <tr r="E191" s="6"/>
        <tr r="P133" s="5"/>
        <tr r="I152" s="6"/>
        <tr r="I172" s="6"/>
        <tr r="E222" s="6"/>
        <tr r="B162" s="6"/>
        <tr r="G321" s="5"/>
        <tr r="F261" s="6"/>
        <tr r="K353" s="5"/>
        <tr r="I50" s="6"/>
        <tr r="K316" s="5"/>
        <tr r="D325" s="6"/>
        <tr r="F86" s="6"/>
        <tr r="H179" s="6"/>
        <tr r="E348" s="5"/>
        <tr r="F32" s="6"/>
        <tr r="B115" s="6"/>
        <tr r="C31" s="5"/>
        <tr r="F268" s="6"/>
        <tr r="E83" s="6"/>
        <tr r="I63" s="6"/>
        <tr r="N104" s="5"/>
        <tr r="F130" s="6"/>
        <tr r="K87" s="5"/>
        <tr r="M149" s="5"/>
        <tr r="I133" s="6"/>
        <tr r="K318" s="5"/>
        <tr r="I54" s="5"/>
        <tr r="I132" s="6"/>
        <tr r="I227" s="6"/>
        <tr r="K155" s="5"/>
        <tr r="G302" s="6"/>
        <tr r="K313" s="5"/>
        <tr r="M101" s="5"/>
        <tr r="F152" s="6"/>
        <tr r="K242" s="5"/>
        <tr r="B304" s="6"/>
        <tr r="H28" s="6"/>
        <tr r="H114" s="5"/>
        <tr r="D105" s="5"/>
        <tr r="E74" s="6"/>
        <tr r="B15" s="6"/>
        <tr r="E109" s="6"/>
        <tr r="G195" s="6"/>
        <tr r="J29" s="6"/>
        <tr r="I359" s="5"/>
        <tr r="H260" s="6"/>
        <tr r="I360" s="6"/>
        <tr r="I66" s="5"/>
        <tr r="B242" s="5"/>
        <tr r="D45" s="5"/>
        <tr r="K186" s="5"/>
        <tr r="E277" s="6"/>
        <tr r="I237" s="6"/>
        <tr r="F90" s="6"/>
        <tr r="E292" s="6"/>
        <tr r="D80" s="5"/>
        <tr r="K114" s="5"/>
        <tr r="I40" s="6"/>
        <tr r="I228" s="6"/>
        <tr r="H373" s="5"/>
        <tr r="J88" s="5"/>
        <tr r="H220" s="6"/>
        <tr r="J215" s="5"/>
        <tr r="K206" s="5"/>
        <tr r="J193" s="6"/>
        <tr r="K320" s="5"/>
        <tr r="K245" s="5"/>
        <tr r="F259" s="6"/>
        <tr r="N375" s="5"/>
        <tr r="K138" s="5"/>
        <tr r="J372" s="6"/>
        <tr r="J62" s="5"/>
        <tr r="I67" s="6"/>
        <tr r="D25" s="6"/>
        <tr r="I136" s="5"/>
        <tr r="G78" s="6"/>
        <tr r="I210" s="6"/>
        <tr r="C279" s="6"/>
        <tr r="J22" s="6"/>
        <tr r="C223" s="6"/>
        <tr r="E183" s="6"/>
        <tr r="D224" s="6"/>
        <tr r="E312" s="6"/>
        <tr r="F366" s="6"/>
        <tr r="E18" s="6"/>
        <tr r="B242" s="6"/>
        <tr r="E338" s="6"/>
        <tr r="I187" s="6"/>
        <tr r="K326" s="5"/>
        <tr r="C60" s="6"/>
        <tr r="E246" s="6"/>
        <tr r="B251" s="6"/>
        <tr r="J179" s="6"/>
        <tr r="C140" s="6"/>
        <tr r="H116" s="6"/>
        <tr r="E311" s="6"/>
        <tr r="F337" s="6"/>
        <tr r="F310" s="6"/>
        <tr r="K94" s="5"/>
        <tr r="C337" s="6"/>
        <tr r="F157" s="6"/>
        <tr r="B150" s="6"/>
        <tr r="B118" s="6"/>
        <tr r="C106" s="6"/>
        <tr r="B215" s="6"/>
        <tr r="D33" s="6"/>
        <tr r="J272" s="6"/>
        <tr r="F80" s="6"/>
        <tr r="D130" s="5"/>
        <tr r="H288" s="6"/>
        <tr r="H81" s="6"/>
        <tr r="G265" s="6"/>
        <tr r="B181" s="6"/>
        <tr r="D50" s="5"/>
        <tr r="C366" s="6"/>
        <tr r="J57" s="6"/>
        <tr r="B370" s="6"/>
        <tr r="F17" s="6"/>
        <tr r="M283" s="5"/>
        <tr r="G52" s="6"/>
        <tr r="F194" s="6"/>
        <tr r="E37" s="5"/>
        <tr r="D74" s="6"/>
        <tr r="G243" s="6"/>
        <tr r="D193" s="6"/>
        <tr r="P214" s="5"/>
        <tr r="H80" s="6"/>
        <tr r="G276" s="6"/>
        <tr r="C298" s="6"/>
        <tr r="D48" s="6"/>
        <tr r="I243" s="6"/>
        <tr r="B204" s="6"/>
        <tr r="E153" s="6"/>
        <tr r="E255" s="6"/>
        <tr r="E257" s="6"/>
        <tr r="J157" s="6"/>
        <tr r="C93" s="6"/>
        <tr r="F68" s="6"/>
        <tr r="C232" s="5"/>
        <tr r="J78" s="6"/>
        <tr r="B325" s="5"/>
        <tr r="C367" s="5"/>
        <tr r="B245" s="6"/>
        <tr r="G15" s="6"/>
        <tr r="I26" s="6"/>
        <tr r="C252" s="6"/>
        <tr r="D253" s="6"/>
        <tr r="D274" s="6"/>
        <tr r="B67" s="6"/>
        <tr r="I47" s="6"/>
        <tr r="B272" s="6"/>
        <tr r="F333" s="6"/>
        <tr r="D243" s="6"/>
        <tr r="F247" s="6"/>
        <tr r="D61" s="6"/>
        <tr r="E259" s="6"/>
        <tr r="F285" s="6"/>
        <tr r="O62" s="5"/>
        <tr r="F256" s="6"/>
        <tr r="E139" s="6"/>
        <tr r="G369" s="5"/>
        <tr r="P74" s="5"/>
        <tr r="C12" s="5"/>
        <tr r="I184" s="6"/>
        <tr r="E22" s="6"/>
        <tr r="C363" s="6"/>
        <tr r="D55" s="6"/>
        <tr r="I303" s="6"/>
        <tr r="D358" s="6"/>
        <tr r="G230" s="6"/>
        <tr r="G240" s="5"/>
        <tr r="K354" s="5"/>
        <tr r="N143" s="5"/>
        <tr r="D112" s="6"/>
        <tr r="F75" s="5"/>
        <tr r="K171" s="5"/>
        <tr r="C111" s="6"/>
        <tr r="H270" s="6"/>
        <tr r="L51" s="5"/>
        <tr r="H44" s="6"/>
        <tr r="E161" s="6"/>
        <tr r="G154" s="6"/>
        <tr r="F248" s="6"/>
        <tr r="C151" s="6"/>
        <tr r="E269" s="5"/>
        <tr r="M175" s="5"/>
        <tr r="G98" s="6"/>
        <tr r="E304" s="5"/>
        <tr r="G201" s="6"/>
        <tr r="C138" s="6"/>
        <tr r="I191" s="6"/>
        <tr r="E113" s="6"/>
        <tr r="J244" s="6"/>
        <tr r="C267" s="6"/>
        <tr r="J125" s="6"/>
        <tr r="G110" s="6"/>
        <tr r="E326" s="6"/>
        <tr r="B61" s="6"/>
        <tr r="J306" s="5"/>
        <tr r="G223" s="6"/>
        <tr r="J117" s="6"/>
        <tr r="E241" s="6"/>
        <tr r="H70" s="6"/>
        <tr r="B187" s="6"/>
        <tr r="G264" s="6"/>
        <tr r="F183" s="6"/>
        <tr r="P253" s="5"/>
        <tr r="H139" s="6"/>
        <tr r="E174" s="5"/>
        <tr r="E50" s="6"/>
        <tr r="C232" s="6"/>
        <tr r="C192" s="6"/>
        <tr r="G223" s="5"/>
        <tr r="C174" s="6"/>
        <tr r="G150" s="6"/>
        <tr r="I356" s="5"/>
        <tr r="H275" s="6"/>
        <tr r="K140" s="5"/>
        <tr r="O26" s="5"/>
        <tr r="K28" s="5"/>
        <tr r="H242" s="6"/>
        <tr r="H113" s="6"/>
        <tr r="D365" s="6"/>
        <tr r="I139" s="6"/>
        <tr r="N124" s="5"/>
        <tr r="D251" s="6"/>
        <tr r="H359" s="6"/>
        <tr r="C133" s="6"/>
        <tr r="C353" s="6"/>
        <tr r="J150" s="6"/>
        <tr r="G152" s="6"/>
        <tr r="D200" s="6"/>
        <tr r="K272" s="5"/>
        <tr r="H33" s="5"/>
        <tr r="J247" s="6"/>
        <tr r="C320" s="5"/>
        <tr r="E198" s="6"/>
        <tr r="G312" s="6"/>
        <tr r="I359" s="6"/>
        <tr r="I247" s="6"/>
        <tr r="F343" s="6"/>
        <tr r="G301" s="6"/>
        <tr r="J354" s="6"/>
        <tr r="G93" s="5"/>
        <tr r="G181" s="6"/>
        <tr r="B174" s="6"/>
        <tr r="J114" s="6"/>
        <tr r="M318" s="5"/>
        <tr r="J109" s="6"/>
        <tr r="B8" s="6"/>
        <tr r="F373" s="6"/>
        <tr r="J261" s="6"/>
        <tr r="J71" s="6"/>
        <tr r="K43" s="5"/>
        <tr r="F223" s="6"/>
        <tr r="C303" s="6"/>
        <tr r="H120" s="6"/>
        <tr r="D6" s="6"/>
        <tr r="D12" s="5"/>
        <tr r="E360" s="5"/>
        <tr r="K273" s="5"/>
        <tr r="I32" s="5"/>
        <tr r="I177" s="6"/>
        <tr r="I294" s="6"/>
        <tr r="D135" s="6"/>
        <tr r="F304" s="6"/>
        <tr r="F353" s="6"/>
        <tr r="B207" s="6"/>
        <tr r="C220" s="6"/>
        <tr r="D238" s="6"/>
        <tr r="E137" s="6"/>
        <tr r="B314" s="5"/>
        <tr r="F164" s="6"/>
        <tr r="J355" s="6"/>
        <tr r="D53" s="5"/>
        <tr r="C270" s="6"/>
        <tr r="G274" s="6"/>
        <tr r="H38" s="6"/>
        <tr r="C282" s="6"/>
        <tr r="F107" s="5"/>
        <tr r="K314" s="5"/>
        <tr r="F276" s="6"/>
        <tr r="J270" s="6"/>
        <tr r="D31" s="6"/>
        <tr r="G69" s="6"/>
        <tr r="B100" s="5"/>
        <tr r="H18" s="5"/>
        <tr r="E176" s="6"/>
        <tr r="F291" s="6"/>
        <tr r="I62" s="6"/>
        <tr r="J263" s="6"/>
        <tr r="H245" s="5"/>
        <tr r="G170" s="6"/>
        <tr r="K274" s="5"/>
        <tr r="I201" s="6"/>
        <tr r="H61" s="5"/>
        <tr r="D313" s="5"/>
        <tr r="J121" s="6"/>
        <tr r="G55" s="5"/>
        <tr r="B356" s="6"/>
        <tr r="D353" s="5"/>
        <tr r="G51" s="5"/>
        <tr r="B17" s="6"/>
        <tr r="I276" s="6"/>
        <tr r="F206" s="6"/>
        <tr r="P146" s="5"/>
        <tr r="D344" s="6"/>
        <tr r="F112" s="6"/>
        <tr r="H181" s="6"/>
        <tr r="O195" s="5"/>
        <tr r="H194" s="6"/>
        <tr r="F163" s="5"/>
        <tr r="H187" s="5"/>
        <tr r="K295" s="5"/>
        <tr r="C364" s="6"/>
        <tr r="D17" s="6"/>
        <tr r="F226" s="5"/>
        <tr r="L80" s="5"/>
        <tr r="J140" s="6"/>
        <tr r="B364" s="6"/>
        <tr r="G132" s="5"/>
        <tr r="J118" s="6"/>
        <tr r="J24" s="6"/>
        <tr r="H36" s="6"/>
        <tr r="H338" s="5"/>
        <tr r="E118" s="6"/>
        <tr r="C115" s="6"/>
        <tr r="C320" s="6"/>
        <tr r="C265" s="6"/>
        <tr r="H56" s="5"/>
        <tr r="D91" s="6"/>
        <tr r="J337" s="5"/>
        <tr r="D171" s="6"/>
        <tr r="B357" s="6"/>
        <tr r="O5" s="5"/>
        <tr r="E77" s="6"/>
        <tr r="B94" s="6"/>
        <tr r="D129" s="6"/>
        <tr r="F192" s="6"/>
        <tr r="I234" s="6"/>
        <tr r="F211" s="6"/>
        <tr r="C269" s="6"/>
        <tr r="D285" s="5"/>
        <tr r="I64" s="6"/>
        <tr r="D32" s="6"/>
        <tr r="O140" s="5"/>
        <tr r="E327" s="6"/>
        <tr r="H178" s="6"/>
        <tr r="C128" s="5"/>
        <tr r="E375" s="6"/>
        <tr r="E107" s="6"/>
        <tr r="E26" s="6"/>
        <tr r="E93" s="6"/>
        <tr r="I363" s="6"/>
        <tr r="J67" s="6"/>
        <tr r="I127" s="6"/>
        <tr r="H197" s="6"/>
        <tr r="D329" s="6"/>
        <tr r="B112" s="6"/>
        <tr r="E13" s="6"/>
        <tr r="H272" s="6"/>
        <tr r="B68" s="5"/>
        <tr r="B134" s="6"/>
        <tr r="F87" s="6"/>
        <tr r="L345" s="5"/>
        <tr r="I113" s="6"/>
        <tr r="I236" s="6"/>
        <tr r="H101" s="5"/>
        <tr r="E336" s="5"/>
        <tr r="E44" s="6"/>
        <tr r="F103" s="6"/>
        <tr r="J43" s="6"/>
        <tr r="F8" s="6"/>
        <tr r="H348" s="6"/>
        <tr r="P110" s="5"/>
        <tr r="G33" s="6"/>
        <tr r="D14" s="5"/>
        <tr r="H75" s="6"/>
        <tr r="I119" s="6"/>
        <tr r="C330" s="5"/>
        <tr r="J192" s="6"/>
        <tr r="E349" s="5"/>
        <tr r="I96" s="6"/>
        <tr r="J373" s="6"/>
        <tr r="H19" s="6"/>
        <tr r="H250" s="5"/>
        <tr r="J250" s="6"/>
        <tr r="F203" s="6"/>
        <tr r="C205" s="5"/>
        <tr r="J236" s="5"/>
        <tr r="J59" s="6"/>
        <tr r="F231" s="6"/>
        <tr r="J278" s="5"/>
        <tr r="I129" s="6"/>
        <tr r="D291" s="6"/>
        <tr r="B38" s="6"/>
        <tr r="H295" s="5"/>
        <tr r="J113" s="6"/>
        <tr r="G206" s="6"/>
        <tr r="J343" s="6"/>
        <tr r="B231" s="6"/>
        <tr r="H129" s="6"/>
        <tr r="D230" s="6"/>
        <tr r="E41" s="6"/>
        <tr r="K113" s="5"/>
        <tr r="G334" s="6"/>
        <tr r="I279" s="6"/>
        <tr r="D76" s="6"/>
        <tr r="G117" s="6"/>
        <tr r="I44" s="6"/>
        <tr r="I343" s="6"/>
        <tr r="F283" s="6"/>
        <tr r="F160" s="6"/>
        <tr r="L122" s="5"/>
        <tr r="D83" s="5"/>
        <tr r="I38" s="6"/>
        <tr r="G336" s="6"/>
        <tr r="H264" s="6"/>
        <tr r="D108" s="6"/>
        <tr r="H17" s="6"/>
        <tr r="E97" s="6"/>
        <tr r="O14" s="5"/>
        <tr r="D152" s="6"/>
        <tr r="D96" s="6"/>
        <tr r="F151" s="6"/>
        <tr r="H164" s="6"/>
        <tr r="G135" s="6"/>
        <tr r="D339" s="6"/>
        <tr r="I154" s="6"/>
        <tr r="G192" s="6"/>
        <tr r="G84" s="5"/>
        <tr r="D290" s="6"/>
        <tr r="B281" s="6"/>
        <tr r="C116" s="6"/>
        <tr r="F320" s="6"/>
        <tr r="I314" s="6"/>
        <tr r="J280" s="6"/>
        <tr r="G359" s="6"/>
        <tr r="J292" s="6"/>
        <tr r="I181" s="6"/>
        <tr r="B182" s="6"/>
        <tr r="I124" s="6"/>
        <tr r="P366" s="5"/>
        <tr r="C91" s="6"/>
        <tr r="D68" s="5"/>
        <tr r="B290" s="6"/>
        <tr r="C171" s="6"/>
        <tr r="I50" s="5"/>
        <tr r="J11" s="5"/>
        <tr r="B42" s="5"/>
        <tr r="D333" s="6"/>
        <tr r="D302" s="5"/>
        <tr r="O203" s="5"/>
        <tr r="F144" s="6"/>
        <tr r="M58" s="5"/>
        <tr r="B209" s="6"/>
        <tr r="F217" s="6"/>
        <tr r="F163" s="6"/>
        <tr r="E17" s="6"/>
        <tr r="H60" s="6"/>
        <tr r="F6" s="6"/>
        <tr r="O356" s="5"/>
        <tr r="K137" s="5"/>
        <tr r="C167" s="6"/>
        <tr r="G175" s="6"/>
        <tr r="I217" s="6"/>
        <tr r="B246" s="6"/>
        <tr r="O93" s="5"/>
        <tr r="F240" s="6"/>
        <tr r="B57" s="6"/>
        <tr r="D242" s="6"/>
        <tr r="H259" s="6"/>
        <tr r="F356" s="6"/>
        <tr r="G26" s="6"/>
        <tr r="I51" s="6"/>
        <tr r="E26" s="5"/>
        <tr r="I291" s="6"/>
        <tr r="O125" s="5"/>
        <tr r="F100" s="6"/>
        <tr r="P19" s="5"/>
        <tr r="G97" s="6"/>
        <tr r="F361" s="6"/>
        <tr r="F263" s="5"/>
        <tr r="I242" s="6"/>
        <tr r="L11" s="5"/>
        <tr r="J309" s="6"/>
        <tr r="F28" s="6"/>
        <tr r="E220" s="6"/>
        <tr r="E86" s="6"/>
        <tr r="E75" s="6"/>
        <tr r="G330" s="6"/>
        <tr r="D153" s="6"/>
        <tr r="I287" s="5"/>
        <tr r="J105" s="6"/>
        <tr r="M59" s="5"/>
        <tr r="F43" s="6"/>
        <tr r="E203" s="6"/>
        <tr r="G161" s="6"/>
        <tr r="G64" s="6"/>
        <tr r="C222" s="6"/>
        <tr r="E85" s="6"/>
        <tr r="H189" s="6"/>
        <tr r="M177" s="5"/>
        <tr r="D126" s="5"/>
        <tr r="D207" s="6"/>
        <tr r="G232" s="6"/>
        <tr r="D54" s="6"/>
        <tr r="C143" s="6"/>
        <tr r="D132" s="6"/>
        <tr r="O299" s="5"/>
        <tr r="B226" s="6"/>
        <tr r="E283" s="6"/>
        <tr r="G187" s="6"/>
        <tr r="N343" s="5"/>
        <tr r="H159" s="6"/>
        <tr r="E123" s="6"/>
        <tr r="H43" s="6"/>
        <tr r="C39" s="6"/>
        <tr r="C275" s="6"/>
        <tr r="D130" s="6"/>
        <tr r="G74" s="6"/>
        <tr r="P265" s="5"/>
        <tr r="G177" s="6"/>
        <tr r="K53" s="5"/>
        <tr r="F202" s="6"/>
        <tr r="B335" s="5"/>
        <tr r="K275" s="5"/>
        <tr r="F96" s="6"/>
        <tr r="E229" s="6"/>
        <tr r="B286" s="6"/>
        <tr r="J42" s="5"/>
        <tr r="D338" s="6"/>
        <tr r="G305" s="6"/>
        <tr r="H292" s="6"/>
        <tr r="D118" s="6"/>
        <tr r="E160" s="6"/>
        <tr r="G45" s="6"/>
        <tr r="B36" s="6"/>
        <tr r="H186" s="6"/>
        <tr r="B288" s="6"/>
        <tr r="H109" s="5"/>
        <tr r="B239" s="6"/>
        <tr r="E85" s="5"/>
        <tr r="E216" s="6"/>
        <tr r="F232" s="6"/>
        <tr r="O144" s="5"/>
        <tr r="P64" s="5"/>
        <tr r="F336" s="6"/>
        <tr r="J23" s="6"/>
        <tr r="I285" s="6"/>
        <tr r="H57" s="6"/>
        <tr r="K98" s="5"/>
        <tr r="D122" s="6"/>
        <tr r="B342" s="6"/>
        <tr r="H196" s="6"/>
        <tr r="C18" s="6"/>
        <tr r="I83" s="6"/>
        <tr r="C110" s="6"/>
        <tr r="G7" s="6"/>
        <tr r="H169" s="6"/>
        <tr r="G153" s="5"/>
        <tr r="G200" s="6"/>
        <tr r="M114" s="5"/>
        <tr r="N20" s="5"/>
        <tr r="G137" s="5"/>
        <tr r="N88" s="5"/>
        <tr r="C306" s="6"/>
        <tr r="F125" s="6"/>
        <tr r="E296" s="6"/>
        <tr r="F51" s="5"/>
        <tr r="K116" s="5"/>
        <tr r="E24" s="6"/>
        <tr r="H251" s="6"/>
        <tr r="E284" s="6"/>
        <tr r="G184" s="6"/>
        <tr r="D89" s="6"/>
        <tr r="I102" s="6"/>
        <tr r="H279" s="6"/>
        <tr r="H315" s="6"/>
        <tr r="G61" s="6"/>
        <tr r="I346" s="6"/>
        <tr r="E207" s="6"/>
        <tr r="I330" s="6"/>
        <tr r="L53" s="5"/>
        <tr r="M20" s="5"/>
        <tr r="J295" s="6"/>
        <tr r="H303" s="6"/>
        <tr r="B315" s="6"/>
        <tr r="G115" s="6"/>
        <tr r="P333" s="5"/>
        <tr r="H208" s="6"/>
        <tr r="B365" s="5"/>
        <tr r="H273" s="6"/>
        <tr r="C46" s="6"/>
        <tr r="F45" s="6"/>
        <tr r="D352" s="6"/>
        <tr r="J374" s="6"/>
        <tr r="G320" s="6"/>
        <tr r="E169" s="6"/>
        <tr r="C326" s="6"/>
        <tr r="F101" s="6"/>
        <tr r="J282" s="6"/>
        <tr r="B14" s="6"/>
        <tr r="C244" s="6"/>
        <tr r="H183" s="6"/>
        <tr r="E81" s="6"/>
        <tr r="D82" s="6"/>
        <tr r="D83" s="6"/>
        <tr r="G216" s="6"/>
        <tr r="C125" s="6"/>
        <tr r="K7" s="5"/>
        <tr r="K379" s="5"/>
        <tr r="H278" s="6"/>
        <tr r="F38" s="6"/>
        <tr r="J260" s="6"/>
        <tr r="I155" s="5"/>
        <tr r="K63" s="5"/>
        <tr r="C371" s="6"/>
        <tr r="F122" s="6"/>
        <tr r="H282" s="6"/>
        <tr r="D57" s="6"/>
        <tr r="F284" s="6"/>
        <tr r="C243" s="5"/>
        <tr r="K74" s="5"/>
        <tr r="G159" s="6"/>
        <tr r="H247" s="6"/>
        <tr r="J56" s="6"/>
        <tr r="H341" s="6"/>
        <tr r="I194" s="6"/>
        <tr r="N24" s="5"/>
        <tr r="B248" s="6"/>
        <tr r="J99" s="6"/>
        <tr r="C112" s="6"/>
        <tr r="C158" s="6"/>
        <tr r="H168" s="6"/>
        <tr r="D347" s="6"/>
        <tr r="F94" s="6"/>
        <tr r="G349" s="6"/>
        <tr r="I357" s="5"/>
        <tr r="G79" s="6"/>
        <tr r="G244" s="6"/>
        <tr r="I230" s="5"/>
        <tr r="E238" s="6"/>
        <tr r="E184" s="6"/>
        <tr r="E111" s="6"/>
        <tr r="E104" s="6"/>
        <tr r="J167" s="6"/>
        <tr r="C53" s="6"/>
        <tr r="O307" s="5"/>
        <tr r="C170" s="6"/>
        <tr r="J189" s="6"/>
        <tr r="D192" s="6"/>
        <tr r="B113" s="6"/>
        <tr r="J92" s="6"/>
        <tr r="C367" s="6"/>
        <tr r="H111" s="6"/>
        <tr r="E59" s="6"/>
        <tr r="G255" s="6"/>
        <tr r="C227" s="6"/>
        <tr r="F368" s="6"/>
        <tr r="E361" s="6"/>
        <tr r="D119" s="6"/>
        <tr r="G40" s="6"/>
        <tr r="G92" s="5"/>
        <tr r="B34" s="5"/>
        <tr r="I224" s="6"/>
        <tr r="D34" s="6"/>
        <tr r="C371" s="5"/>
        <tr r="D66" s="6"/>
        <tr r="B83" s="6"/>
        <tr r="D75" s="6"/>
        <tr r="B108" s="6"/>
        <tr r="C83" s="6"/>
        <tr r="J58" s="6"/>
        <tr r="H40" s="6"/>
        <tr r="I73" s="6"/>
        <tr r="B291" s="6"/>
        <tr r="J209" s="6"/>
        <tr r="H72" s="6"/>
        <tr r="H274" s="6"/>
        <tr r="J264" s="6"/>
        <tr r="H236" s="6"/>
        <tr r="B179" s="6"/>
        <tr r="H360" s="6"/>
        <tr r="I175" s="6"/>
        <tr r="F173" s="6"/>
        <tr r="B289" s="5"/>
        <tr r="C214" s="6"/>
        <tr r="D233" s="6"/>
        <tr r="G126" s="6"/>
        <tr r="H337" s="6"/>
        <tr r="J279" s="6"/>
        <tr r="N305" s="5"/>
        <tr r="E326" s="5"/>
        <tr r="H246" s="6"/>
        <tr r="G67" s="6"/>
        <tr r="D143" s="6"/>
        <tr r="E105" s="6"/>
        <tr r="B366" s="5"/>
        <tr r="E279" s="5"/>
        <tr r="K24" s="5"/>
        <tr r="E177" s="6"/>
        <tr r="C80" s="5"/>
        <tr r="G131" s="6"/>
        <tr r="F229" s="6"/>
        <tr r="O346" s="5"/>
        <tr r="D169" s="6"/>
        <tr r="F79" s="6"/>
        <tr r="G182" s="6"/>
        <tr r="H118" s="5"/>
        <tr r="C317" s="6"/>
        <tr r="D346" s="6"/>
        <tr r="P322" s="5"/>
        <tr r="G296" s="6"/>
        <tr r="I183" s="6"/>
        <tr r="B369" s="6"/>
        <tr r="C314" s="6"/>
        <tr r="J248" s="6"/>
        <tr r="O361" s="5"/>
        <tr r="E292" s="5"/>
        <tr r="I25" s="6"/>
        <tr r="H148" s="6"/>
        <tr r="M377" s="5"/>
        <tr r="K10" s="5"/>
        <tr r="D348" s="6"/>
        <tr r="G30" s="6"/>
        <tr r="E272" s="6"/>
        <tr r="D19" s="5"/>
        <tr r="C104" s="6"/>
        <tr r="F296" s="6"/>
        <tr r="J50" s="6"/>
        <tr r="E112" s="6"/>
        <tr r="P377" s="5"/>
        <tr r="H67" s="6"/>
        <tr r="B101" s="6"/>
        <tr r="J151" s="6"/>
        <tr r="I65" s="6"/>
        <tr r="C204" s="6"/>
        <tr r="I188" s="6"/>
        <tr r="I117" s="6"/>
        <tr r="E215" s="6"/>
        <tr r="J91" s="6"/>
        <tr r="C226" s="6"/>
        <tr r="J184" s="6"/>
        <tr r="I148" s="6"/>
        <tr r="C11" s="6"/>
        <tr r="E114" s="6"/>
        <tr r="C92" s="6"/>
        <tr r="B67" s="5"/>
        <tr r="J62" s="6"/>
        <tr r="J182" s="6"/>
        <tr r="D73" s="6"/>
        <tr r="E274" s="6"/>
        <tr r="G122" s="6"/>
        <tr r="D34" s="5"/>
        <tr r="E368" s="6"/>
        <tr r="H162" s="6"/>
        <tr r="C79" s="6"/>
        <tr r="D46" s="6"/>
        <tr r="F323" s="6"/>
        <tr r="D123" s="6"/>
        <tr r="O227" s="5"/>
        <tr r="H68" s="6"/>
        <tr r="I195" s="6"/>
        <tr r="H216" s="6"/>
        <tr r="J95" s="6"/>
        <tr r="D373" s="6"/>
        <tr r="J335" s="5"/>
        <tr r="F65" s="6"/>
        <tr r="B20" s="6"/>
        <tr r="D271" s="5"/>
        <tr r="D95" s="6"/>
        <tr r="F91" s="6"/>
        <tr r="C129" s="6"/>
        <tr r="J79" s="6"/>
        <tr r="G73" s="6"/>
        <tr r="H20" s="6"/>
        <tr r="C66" s="6"/>
        <tr r="D213" s="6"/>
        <tr r="F254" s="6"/>
        <tr r="F137" s="6"/>
        <tr r="F221" s="6"/>
        <tr r="C327" s="6"/>
        <tr r="M202" s="5"/>
        <tr r="J180" s="6"/>
        <tr r="D80" s="6"/>
        <tr r="I208" s="6"/>
        <tr r="C45" s="6"/>
        <tr r="D294" s="6"/>
        <tr r="D70" s="6"/>
        <tr r="E148" s="6"/>
        <tr r="G157" s="6"/>
        <tr r="D284" s="5"/>
        <tr r="O363" s="5"/>
        <tr r="J143" s="6"/>
        <tr r="H84" s="6"/>
        <tr r="J256" s="5"/>
        <tr r="G363" s="6"/>
        <tr r="E244" s="6"/>
        <tr r="G179" s="6"/>
        <tr r="E202" s="6"/>
        <tr r="F124" s="6"/>
        <tr r="H103" s="6"/>
        <tr r="P303" s="5"/>
        <tr r="B116" s="6"/>
        <tr r="I126" s="5"/>
        <tr r="I231" s="6"/>
        <tr r="B133" s="6"/>
        <tr r="P280" s="5"/>
        <tr r="B235" s="6"/>
        <tr r="O335" s="5"/>
        <tr r="G326" s="6"/>
        <tr r="B66" s="6"/>
        <tr r="D318" s="6"/>
        <tr r="I335" s="5"/>
        <tr r="H123" s="6"/>
        <tr r="H318" s="6"/>
        <tr r="H271" s="6"/>
        <tr r="D266" s="6"/>
        <tr r="F7" s="6"/>
        <tr r="I340" s="5"/>
        <tr r="J297" s="6"/>
        <tr r="C54" s="6"/>
        <tr r="F177" s="6"/>
        <tr r="F274" s="6"/>
        <tr r="I103" s="6"/>
        <tr r="E374" s="5"/>
        <tr r="F67" s="6"/>
        <tr r="G367" s="6"/>
        <tr r="G213" s="6"/>
        <tr r="E64" s="6"/>
        <tr r="G347" s="6"/>
        <tr r="D257" s="6"/>
        <tr r="B146" s="6"/>
        <tr r="N269" s="5"/>
        <tr r="I268" s="6"/>
        <tr r="C178" s="6"/>
        <tr r="B98" s="6"/>
        <tr r="L361" s="5"/>
        <tr r="C182" s="6"/>
        <tr r="J281" s="6"/>
        <tr r="L351" s="5"/>
        <tr r="J234" s="6"/>
        <tr r="E25" s="6"/>
        <tr r="G100" s="6"/>
        <tr r="H369" s="5"/>
        <tr r="B128" s="6"/>
        <tr r="C103" s="6"/>
        <tr r="J200" s="6"/>
        <tr r="B351" s="6"/>
        <tr r="I161" s="6"/>
        <tr r="G8" s="6"/>
        <tr r="B194" s="6"/>
        <tr r="H184" s="6"/>
        <tr r="J341" s="6"/>
        <tr r="C94" s="6"/>
        <tr r="I170" s="5"/>
        <tr r="J222" s="6"/>
        <tr r="J199" s="6"/>
        <tr r="I145" s="6"/>
        <tr r="M294" s="5"/>
        <tr r="I256" s="6"/>
        <tr r="O333" s="5"/>
        <tr r="J92" s="5"/>
        <tr r="L280" s="5"/>
        <tr r="D86" s="6"/>
        <tr r="B106" s="6"/>
        <tr r="I130" s="6"/>
        <tr r="D124" s="6"/>
        <tr r="I325" s="5"/>
        <tr r="J139" s="6"/>
        <tr r="J83" s="6"/>
        <tr r="D115" s="6"/>
        <tr r="O176" s="5"/>
        <tr r="J70" s="6"/>
        <tr r="J228" s="6"/>
        <tr r="C372" s="6"/>
        <tr r="C257" s="6"/>
        <tr r="H156" s="6"/>
        <tr r="B105" s="6"/>
        <tr r="H64" s="6"/>
        <tr r="E90" s="6"/>
        <tr r="C135" s="6"/>
        <tr r="I206" s="5"/>
        <tr r="C96" s="6"/>
        <tr r="G107" s="6"/>
        <tr r="F73" s="6"/>
        <tr r="J339" s="6"/>
        <tr r="O80" s="5"/>
        <tr r="P101" s="5"/>
        <tr r="C284" s="6"/>
        <tr r="E170" s="6"/>
        <tr r="B259" s="6"/>
        <tr r="D170" s="6"/>
        <tr r="H100" s="6"/>
        <tr r="E15" s="6"/>
        <tr r="F149" s="6"/>
        <tr r="E267" s="6"/>
        <tr r="D90" s="6"/>
        <tr r="H265" s="6"/>
        <tr r="E262" s="6"/>
        <tr r="D361" s="5"/>
        <tr r="J230" s="5"/>
        <tr r="P294" s="5"/>
        <tr r="J27" s="6"/>
        <tr r="F265" s="6"/>
        <tr r="O248" s="5"/>
        <tr r="E230" s="6"/>
        <tr r="C188" s="6"/>
        <tr r="N341" s="5"/>
        <tr r="E282" s="6"/>
        <tr r="D186" s="6"/>
        <tr r="B194" s="5"/>
        <tr r="H16" s="6"/>
        <tr r="D18" s="6"/>
        <tr r="I281" s="6"/>
        <tr r="H16" s="5"/>
        <tr r="B232" s="6"/>
        <tr r="I202" s="6"/>
        <tr r="I365" s="6"/>
        <tr r="K8" s="5"/>
        <tr r="D343" s="5"/>
        <tr r="G10" s="6"/>
        <tr r="F189" s="6"/>
        <tr r="I321" s="6"/>
        <tr r="J362" s="5"/>
        <tr r="I141" s="6"/>
        <tr r="E372" s="6"/>
        <tr r="E95" s="6"/>
        <tr r="H311" s="6"/>
        <tr r="I179" s="6"/>
        <tr r="H153" s="6"/>
        <tr r="F222" s="6"/>
        <tr r="G244" s="5"/>
        <tr r="B145" s="6"/>
        <tr r="I174" s="5"/>
        <tr r="J35" s="6"/>
        <tr r="B240" s="5"/>
        <tr r="J147" s="6"/>
        <tr r="D208" s="5"/>
        <tr r="G31" s="6"/>
        <tr r="H7" s="6"/>
        <tr r="F281" s="6"/>
        <tr r="J98" s="6"/>
        <tr r="B192" s="6"/>
        <tr r="H19" s="5"/>
        <tr r="E57" s="6"/>
        <tr r="D240" s="6"/>
        <tr r="G273" s="6"/>
        <tr r="C20" s="6"/>
        <tr r="H226" s="6"/>
        <tr r="F342" s="6"/>
        <tr r="C109" s="6"/>
        <tr r="H26" s="6"/>
        <tr r="H131" s="6"/>
        <tr r="E244" s="5"/>
        <tr r="I204" s="6"/>
        <tr r="B366" s="6"/>
        <tr r="F12" s="6"/>
        <tr r="I97" s="6"/>
        <tr r="I114" s="6"/>
        <tr r="C348" s="5"/>
        <tr r="N228" s="5"/>
        <tr r="D280" s="5"/>
        <tr r="F70" s="6"/>
        <tr r="E159" s="6"/>
        <tr r="H310" s="5"/>
        <tr r="G245" s="6"/>
        <tr r="F184" s="6"/>
        <tr r="E10" s="6"/>
        <tr r="B205" s="6"/>
        <tr r="B159" s="6"/>
        <tr r="J311" s="5"/>
        <tr r="H73" s="6"/>
        <tr r="B58" s="6"/>
        <tr r="I306" s="5"/>
        <tr r="H322" s="6"/>
        <tr r="J17" s="6"/>
        <tr r="I116" s="6"/>
        <tr r="F360" s="5"/>
        <tr r="B278" s="5"/>
        <tr r="D282" s="6"/>
        <tr r="B152" s="5"/>
        <tr r="G371" s="6"/>
        <tr r="F23" s="6"/>
        <tr r="J197" s="6"/>
        <tr r="G197" s="6"/>
        <tr r="I180" s="6"/>
        <tr r="C256" s="6"/>
        <tr r="F98" s="6"/>
        <tr r="J18" s="6"/>
        <tr r="F364" s="6"/>
        <tr r="I278" s="6"/>
        <tr r="J75" s="6"/>
        <tr r="H357" s="6"/>
        <tr r="B90" s="6"/>
        <tr r="O305" s="5"/>
        <tr r="P15" s="5"/>
        <tr r="D9" s="6"/>
        <tr r="F50" s="6"/>
        <tr r="H23" s="6"/>
        <tr r="J256" s="6"/>
        <tr r="C63" s="6"/>
        <tr r="C208" s="6"/>
        <tr r="I84" s="6"/>
        <tr r="F129" s="6"/>
        <tr r="H99" s="6"/>
        <tr r="D104" s="6"/>
        <tr r="G295" s="6"/>
        <tr r="H241" s="6"/>
        <tr r="D177" s="6"/>
        <tr r="B176" s="6"/>
        <tr r="H272" s="5"/>
        <tr r="D37" s="6"/>
        <tr r="D201" s="5"/>
        <tr r="D297" s="5"/>
        <tr r="B182" s="5"/>
        <tr r="G140" s="6"/>
        <tr r="J19" s="6"/>
        <tr r="K110" s="5"/>
        <tr r="M357" s="5"/>
        <tr r="G136" s="6"/>
        <tr r="H261" s="6"/>
        <tr r="I54" s="6"/>
        <tr r="H15" s="5"/>
        <tr r="H239" s="5"/>
        <tr r="K334" s="5"/>
        <tr r="G75" s="6"/>
        <tr r="D245" s="6"/>
        <tr r="G372" s="5"/>
        <tr r="C104" s="5"/>
        <tr r="L250" s="5"/>
        <tr r="M217" s="5"/>
        <tr r="C76" s="6"/>
        <tr r="D166" s="6"/>
        <tr r="C50" s="6"/>
        <tr r="B132" s="5"/>
        <tr r="B129" s="6"/>
        <tr r="J107" s="6"/>
        <tr r="J123" s="6"/>
        <tr r="E356" s="5"/>
        <tr r="D14" s="6"/>
        <tr r="B5" s="5"/>
        <tr r="N279" s="5"/>
        <tr r="F109" s="6"/>
        <tr r="G145" s="6"/>
        <tr r="F266" s="6"/>
        <tr r="C274" s="6"/>
        <tr r="B44" s="6"/>
        <tr r="J82" s="6"/>
        <tr r="N339" s="5"/>
        <tr r="C17" s="6"/>
        <tr r="B68" s="6"/>
        <tr r="G337" s="6"/>
        <tr r="H245" s="6"/>
        <tr r="I200" s="6"/>
        <tr r="G366" s="6"/>
        <tr r="J32" s="6"/>
        <tr r="G11" s="6"/>
        <tr r="D24" s="6"/>
        <tr r="C38" s="6"/>
        <tr r="I211" s="6"/>
        <tr r="G350" s="6"/>
        <tr r="G242" s="6"/>
        <tr r="F35" s="6"/>
        <tr r="M199" s="5"/>
        <tr r="E144" s="6"/>
        <tr r="C346" s="6"/>
        <tr r="J45" s="6"/>
        <tr r="I350" s="5"/>
        <tr r="C287" s="6"/>
        <tr r="G375" s="6"/>
        <tr r="F24" s="6"/>
        <tr r="I248" s="6"/>
        <tr r="N267" s="5"/>
        <tr r="J286" s="6"/>
        <tr r="L23" s="5"/>
        <tr r="J285" s="5"/>
        <tr r="O258" s="5"/>
        <tr r="C347" s="6"/>
        <tr r="F81" s="6"/>
        <tr r="M292" s="5"/>
        <tr r="G166" s="6"/>
        <tr r="B125" s="6"/>
        <tr r="C30" s="6"/>
        <tr r="D291" s="5"/>
        <tr r="B48" s="6"/>
        <tr r="J127" s="6"/>
        <tr r="E288" s="6"/>
        <tr r="I263" s="6"/>
        <tr r="D140" s="6"/>
        <tr r="F57" s="6"/>
        <tr r="C349" s="5"/>
        <tr r="C343" s="6"/>
        <tr r="F359" s="6"/>
        <tr r="I74" s="6"/>
        <tr r="G13" s="6"/>
        <tr r="G9" s="6"/>
        <tr r="B154" s="6"/>
        <tr r="C253" s="6"/>
        <tr r="J328" s="6"/>
        <tr r="I140" s="6"/>
        <tr r="H78" s="6"/>
        <tr r="O210" s="5"/>
        <tr r="C354" s="6"/>
        <tr r="I284" s="6"/>
        <tr r="G217" s="6"/>
        <tr r="O351" s="5"/>
        <tr r="I115" s="6"/>
        <tr r="K294" s="5"/>
        <tr r="J257" s="6"/>
        <tr r="I52" s="6"/>
        <tr r="F102" s="5"/>
        <tr r="I57" s="6"/>
        <tr r="G39" s="6"/>
        <tr r="J324" s="6"/>
        <tr r="G49" s="6"/>
        <tr r="G286" s="6"/>
        <tr r="J145" s="6"/>
        <tr r="G147" s="6"/>
        <tr r="H9" s="6"/>
        <tr r="E150" s="6"/>
        <tr r="F334" s="6"/>
        <tr r="F329" s="6"/>
        <tr r="B287" s="6"/>
        <tr r="J217" s="6"/>
        <tr r="K19" s="5"/>
        <tr r="G164" s="6"/>
        <tr r="P206" s="5"/>
        <tr r="J301" s="5"/>
        <tr r="J380" s="5"/>
        <tr r="D62" s="5"/>
        <tr r="G71" s="6"/>
        <tr r="C74" s="6"/>
        <tr r="P223" s="5"/>
        <tr r="K37" s="5"/>
        <tr r="J104" s="6"/>
        <tr r="E166" s="6"/>
        <tr r="J119" s="6"/>
        <tr r="I306" s="6"/>
        <tr r="K141" s="5"/>
        <tr r="C290" s="6"/>
        <tr r="K269" s="5"/>
        <tr r="L27" s="5"/>
        <tr r="H192" s="6"/>
        <tr r="I112" s="6"/>
        <tr r="G27" s="6"/>
        <tr r="B51" s="5"/>
        <tr r="J255" s="6"/>
        <tr r="E231" s="6"/>
        <tr r="B183" s="6"/>
        <tr r="N377" s="5"/>
        <tr r="D156" s="6"/>
        <tr r="C33" s="6"/>
        <tr r="E23" s="6"/>
        <tr r="C255" s="6"/>
        <tr r="H168" s="5"/>
        <tr r="B152" s="6"/>
        <tr r="F236" s="6"/>
        <tr r="B355" s="6"/>
        <tr r="N347" s="5"/>
        <tr r="D158" s="6"/>
        <tr r="C98" s="6"/>
        <tr r="P281" s="5"/>
        <tr r="H317" s="6"/>
        <tr r="O345" s="5"/>
        <tr r="H23" s="5"/>
        <tr r="J327" s="6"/>
        <tr r="J368" s="6"/>
        <tr r="H59" s="6"/>
        <tr r="G256" s="5"/>
        <tr r="J128" s="6"/>
        <tr r="B216" s="6"/>
        <tr r="D64" s="6"/>
        <tr r="K73" s="5"/>
        <tr r="D262" s="6"/>
        <tr r="M376" s="5"/>
        <tr r="C217" s="6"/>
        <tr r="J347" s="6"/>
        <tr r="I15" s="6"/>
        <tr r="B10" s="6"/>
        <tr r="J176" s="6"/>
        <tr r="O283" s="5"/>
        <tr r="E264" s="6"/>
        <tr r="G345" s="6"/>
        <tr r="G148" s="5"/>
        <tr r="E19" s="6"/>
        <tr r="N322" s="5"/>
        <tr r="C370" s="6"/>
        <tr r="H138" s="6"/>
        <tr r="H63" s="6"/>
        <tr r="F36" s="5"/>
        <tr r="J8" s="6"/>
        <tr r="D82" s="5"/>
        <tr r="C87" s="6"/>
        <tr r="F181" s="6"/>
        <tr r="B87" s="6"/>
        <tr r="J86" s="6"/>
        <tr r="D227" s="6"/>
        <tr r="D136" s="6"/>
        <tr r="F314" s="5"/>
        <tr r="I78" s="6"/>
        <tr r="F372" s="6"/>
        <tr r="C139" s="6"/>
        <tr r="I173" s="6"/>
        <tr r="D101" s="6"/>
        <tr r="F317" s="5"/>
        <tr r="P344" s="5"/>
        <tr r="J87" s="6"/>
        <tr r="J279" s="5"/>
        <tr r="F82" s="6"/>
        <tr r="H14" s="6"/>
        <tr r="K240" s="5"/>
        <tr r="J351" s="6"/>
        <tr r="O267" s="5"/>
        <tr r="I160" s="6"/>
        <tr r="C321" s="6"/>
        <tr r="E34" s="6"/>
        <tr r="P126" s="5"/>
        <tr r="B53" s="6"/>
        <tr r="C78" s="6"/>
        <tr r="G284" s="6"/>
        <tr r="K262" s="5"/>
        <tr r="D277" s="5"/>
        <tr r="E192" s="6"/>
        <tr r="J162" s="5"/>
        <tr r="D87" s="6"/>
        <tr r="I173" s="5"/>
        <tr r="I122" s="6"/>
        <tr r="J162" s="6"/>
        <tr r="I325" s="6"/>
        <tr r="E157" s="6"/>
        <tr r="E240" s="6"/>
        <tr r="I269" s="5"/>
        <tr r="E211" s="6"/>
        <tr r="H188" s="6"/>
        <tr r="F319" s="6"/>
        <tr r="C365" s="6"/>
        <tr r="I56" s="6"/>
        <tr r="D121" s="6"/>
        <tr r="E361" s="5"/>
        <tr r="F251" s="6"/>
        <tr r="I220" s="6"/>
        <tr r="D31" s="5"/>
        <tr r="C180" s="5"/>
        <tr r="G238" s="6"/>
        <tr r="E300" s="5"/>
        <tr r="E280" s="5"/>
        <tr r="J213" s="5"/>
        <tr r="D36" s="6"/>
        <tr r="I266" s="5"/>
        <tr r="H330" s="5"/>
        <tr r="M362" s="5"/>
        <tr r="O183" s="5"/>
        <tr r="E246" s="5"/>
        <tr r="H377" s="5"/>
        <tr r="B96" s="6"/>
        <tr r="B153" s="6"/>
        <tr r="D126" s="6"/>
        <tr r="O290" s="5"/>
        <tr r="I270" s="5"/>
        <tr r="E370" s="5"/>
        <tr r="M171" s="5"/>
        <tr r="I205" s="6"/>
        <tr r="F61" s="6"/>
        <tr r="G237" s="5"/>
        <tr r="F115" s="5"/>
        <tr r="I90" s="6"/>
        <tr r="E294" s="5"/>
        <tr r="E126" s="6"/>
        <tr r="C294" s="6"/>
        <tr r="J52" s="6"/>
        <tr r="B370" s="5"/>
        <tr r="J115" s="6"/>
        <tr r="E116" s="5"/>
        <tr r="O316" s="5"/>
        <tr r="D85" s="6"/>
        <tr r="C37" s="5"/>
        <tr r="F104" s="5"/>
        <tr r="J25" s="6"/>
        <tr r="G102" s="5"/>
        <tr r="F146" s="6"/>
        <tr r="N351" s="5"/>
        <tr r="J72" s="6"/>
        <tr r="H172" s="6"/>
        <tr r="D120" s="6"/>
        <tr r="E131" s="5"/>
        <tr r="F111" s="6"/>
        <tr r="L320" s="5"/>
        <tr r="J321" s="5"/>
        <tr r="B147" s="6"/>
        <tr r="G124" s="6"/>
        <tr r="I34" s="6"/>
        <tr r="J63" s="6"/>
        <tr r="L257" s="5"/>
        <tr r="B351" s="5"/>
        <tr r="F170" s="5"/>
        <tr r="G51" s="6"/>
        <tr r="C84" s="6"/>
        <tr r="H205" s="6"/>
        <tr r="D99" s="6"/>
        <tr r="H132" s="6"/>
        <tr r="I128" s="6"/>
        <tr r="N370" s="5"/>
        <tr r="H140" s="5"/>
        <tr r="A80" s="5"/>
        <tr r="E200" s="5"/>
        <tr r="D316" s="5"/>
        <tr r="I28" s="6"/>
        <tr r="B13" s="5"/>
        <tr r="C201" s="6"/>
        <tr r="C338" s="6"/>
        <tr r="F162" s="6"/>
        <tr r="L341" s="5"/>
        <tr r="E156" s="6"/>
        <tr r="G357" s="5"/>
        <tr r="H225" s="6"/>
        <tr r="B310" s="6"/>
        <tr r="M227" s="5"/>
        <tr r="H66" s="6"/>
        <tr r="D372" s="5"/>
        <tr r="F275" s="5"/>
        <tr r="F26" s="6"/>
        <tr r="K14" s="5"/>
        <tr r="E158" s="6"/>
        <tr r="L331" s="5"/>
        <tr r="M299" s="5"/>
        <tr r="N21" s="5"/>
        <tr r="C365" s="5"/>
        <tr r="B138" s="5"/>
        <tr r="P285" s="5"/>
        <tr r="C124" s="6"/>
        <tr r="N200" s="5"/>
        <tr r="K341" s="5"/>
        <tr r="B102" s="6"/>
        <tr r="G191" s="6"/>
        <tr r="I192" s="6"/>
        <tr r="H240" s="5"/>
        <tr r="I48" s="6"/>
        <tr r="O380" s="5"/>
        <tr r="I218" s="5"/>
        <tr r="C75" s="6"/>
        <tr r="L253" s="5"/>
        <tr r="B19" s="6"/>
        <tr r="C82" s="6"/>
        <tr r="I163" s="6"/>
        <tr r="H319" s="5"/>
        <tr r="I75" s="6"/>
        <tr r="C113" s="6"/>
        <tr r="E164" s="6"/>
        <tr r="D369" s="5"/>
        <tr r="G25" s="6"/>
        <tr r="L24" s="5"/>
        <tr r="C338" s="5"/>
        <tr r="G24" s="5"/>
        <tr r="F31" s="6"/>
        <tr r="J146" s="6"/>
        <tr r="E335" s="6"/>
        <tr r="B238" s="5"/>
        <tr r="H283" s="6"/>
        <tr r="N234" s="5"/>
        <tr r="E173" s="6"/>
        <tr r="J265" s="5"/>
        <tr r="H195" s="6"/>
        <tr r="C61" s="6"/>
        <tr r="H277" s="6"/>
        <tr r="P136" s="5"/>
        <tr r="C197" s="6"/>
        <tr r="N80" s="5"/>
        <tr r="C88" s="5"/>
        <tr r="C213" s="6"/>
        <tr r="G374" s="6"/>
        <tr r="B109" s="5"/>
        <tr r="H127" s="6"/>
        <tr r="E35" s="5"/>
        <tr r="K80" s="5"/>
        <tr r="C119" s="6"/>
        <tr r="F209" s="6"/>
        <tr r="B39" s="6"/>
        <tr r="F110" s="6"/>
        <tr r="I7" s="6"/>
        <tr r="I182" s="5"/>
        <tr r="I58" s="6"/>
        <tr r="C169" s="6"/>
        <tr r="J73" s="5"/>
        <tr r="M284" s="5"/>
        <tr r="H207" s="6"/>
        <tr r="J31" s="6"/>
        <tr r="K367" s="5"/>
        <tr r="I319" s="6"/>
        <tr r="J191" s="5"/>
        <tr r="B110" s="6"/>
        <tr r="F9" s="5"/>
        <tr r="O368" s="5"/>
        <tr r="B307" s="5"/>
        <tr r="C236" s="6"/>
        <tr r="H355" s="5"/>
        <tr r="I272" s="6"/>
        <tr r="M60" s="5"/>
        <tr r="J285" s="6"/>
        <tr r="J329" s="5"/>
        <tr r="D378" s="5"/>
        <tr r="C121" s="6"/>
        <tr r="H37" s="5"/>
        <tr r="P365" s="5"/>
        <tr r="E377" s="5"/>
        <tr r="E106" s="6"/>
        <tr r="H346" s="5"/>
        <tr r="N337" s="5"/>
        <tr r="C375" s="5"/>
        <tr r="E92" s="6"/>
        <tr r="B120" s="5"/>
        <tr r="D361" s="6"/>
        <tr r="L370" s="5"/>
        <tr r="E151" s="6"/>
        <tr r="J379" s="5"/>
        <tr r="G140" s="5"/>
        <tr r="B119" s="6"/>
        <tr r="D109" s="6"/>
        <tr r="G18" s="5"/>
        <tr r="P31" s="5"/>
        <tr r="D217" s="5"/>
        <tr r="F182" s="6"/>
        <tr r="M233" s="5"/>
        <tr r="P310" s="5"/>
        <tr r="J326" s="5"/>
        <tr r="I259" s="6"/>
        <tr r="D39" s="6"/>
        <tr r="G153" s="6"/>
        <tr r="G81" s="6"/>
        <tr r="D286" s="5"/>
        <tr r="J138" s="6"/>
        <tr r="I66" s="6"/>
        <tr r="H290" s="5"/>
        <tr r="B47" s="6"/>
        <tr r="H121" s="6"/>
        <tr r="A76" s="5"/>
        <tr r="G40" s="5"/>
        <tr r="C163" s="6"/>
        <tr r="J277" s="5"/>
        <tr r="B119" s="5"/>
        <tr r="C19" s="6"/>
        <tr r="D286" s="6"/>
        <tr r="B89" s="6"/>
        <tr r="G17" s="6"/>
        <tr r="G232" s="5"/>
        <tr r="C154" s="6"/>
        <tr r="B172" s="6"/>
        <tr r="E354" s="6"/>
        <tr r="O319" s="5"/>
        <tr r="C44" s="6"/>
        <tr r="J207" s="5"/>
        <tr r="P298" s="5"/>
        <tr r="I376" s="5"/>
        <tr r="H152" s="6"/>
        <tr r="O172" s="5"/>
        <tr r="D144" s="6"/>
        <tr r="H147" s="6"/>
        <tr r="H11" s="6"/>
        <tr r="D292" s="5"/>
        <tr r="P221" s="5"/>
        <tr r="G352" s="6"/>
        <tr r="H230" s="5"/>
        <tr r="J128" s="5"/>
        <tr r="F343" s="5"/>
        <tr r="B267" s="6"/>
        <tr r="K64" s="5"/>
        <tr r="G125" s="6"/>
        <tr r="D145" s="6"/>
        <tr r="D269" s="5"/>
        <tr r="N293" s="5"/>
        <tr r="J11" s="6"/>
        <tr r="L340" s="5"/>
        <tr r="E65" s="6"/>
        <tr r="C128" s="6"/>
        <tr r="F193" s="6"/>
        <tr r="E127" s="6"/>
        <tr r="I49" s="6"/>
        <tr r="F243" s="5"/>
        <tr r="F140" s="5"/>
        <tr r="F13" s="6"/>
        <tr r="L32" s="5"/>
        <tr r="H273" s="5"/>
        <tr r="N214" s="5"/>
        <tr r="G42" s="6"/>
        <tr r="C312" s="5"/>
        <tr r="B93" s="5"/>
        <tr r="J164" s="6"/>
        <tr r="I230" s="6"/>
        <tr r="E193" s="6"/>
        <tr r="H198" s="6"/>
        <tr r="B50" s="5"/>
        <tr r="B236" s="6"/>
        <tr r="M153" s="5"/>
        <tr r="B352" s="5"/>
        <tr r="D317" s="5"/>
        <tr r="E82" s="6"/>
        <tr r="G90" s="6"/>
        <tr r="N274" s="5"/>
        <tr r="E31" s="6"/>
        <tr r="H251" s="5"/>
        <tr r="J273" s="5"/>
        <tr r="I249" s="6"/>
        <tr r="O216" s="5"/>
        <tr r="F215" s="5"/>
        <tr r="H155" s="6"/>
        <tr r="L292" s="5"/>
        <tr r="D377" s="5"/>
        <tr r="E353" s="6"/>
        <tr r="K217" s="5"/>
        <tr r="B203" s="6"/>
        <tr r="F140" s="6"/>
        <tr r="G281" s="6"/>
        <tr r="C249" s="5"/>
        <tr r="B238" s="6"/>
        <tr r="B37" s="6"/>
        <tr r="D196" s="6"/>
        <tr r="H13" s="6"/>
        <tr r="B185" s="6"/>
        <tr r="J42" s="6"/>
        <tr r="M267" s="5"/>
        <tr r="G83" s="6"/>
        <tr r="D5" s="5"/>
        <tr r="I46" s="5"/>
        <tr r="E88" s="6"/>
        <tr r="D270" s="5"/>
        <tr r="O311" s="5"/>
        <tr r="I302" s="5"/>
        <tr r="E120" s="6"/>
        <tr r="I216" s="6"/>
        <tr r="M259" s="5"/>
        <tr r="C117" s="6"/>
        <tr r="O240" s="5"/>
        <tr r="J17" s="5"/>
        <tr r="F316" s="6"/>
        <tr r="J41" s="6"/>
        <tr r="E288" s="5"/>
        <tr r="G218" s="6"/>
        <tr r="H260" s="5"/>
        <tr r="H107" s="6"/>
        <tr r="G82" s="6"/>
        <tr r="F77" s="6"/>
        <tr r="J370" s="5"/>
        <tr r="E175" s="6"/>
        <tr r="H302" s="6"/>
        <tr r="I358" s="5"/>
        <tr r="P259" s="5"/>
        <tr r="J376" s="5"/>
        <tr r="F359" s="5"/>
        <tr r="B301" s="5"/>
        <tr r="M373" s="5"/>
        <tr r="F139" s="6"/>
        <tr r="D263" s="6"/>
        <tr r="H125" s="6"/>
        <tr r="J170" s="6"/>
        <tr r="M327" s="5"/>
        <tr r="O262" s="5"/>
        <tr r="C286" s="5"/>
        <tr r="I221" s="6"/>
        <tr r="E229" s="5"/>
        <tr r="I185" s="6"/>
        <tr r="B59" s="6"/>
        <tr r="J327" s="5"/>
        <tr r="N317" s="5"/>
        <tr r="F319" s="5"/>
        <tr r="C222" s="5"/>
        <tr r="G272" s="5"/>
        <tr r="J173" s="6"/>
        <tr r="H191" s="5"/>
        <tr r="C90" s="6"/>
        <tr r="C88" s="6"/>
        <tr r="J98" s="5"/>
        <tr r="H210" s="5"/>
        <tr r="J198" s="6"/>
        <tr r="L275" s="5"/>
        <tr r="H286" s="5"/>
        <tr r="L299" s="5"/>
        <tr r="I354" s="5"/>
        <tr r="J202" s="6"/>
        <tr r="J93" s="6"/>
        <tr r="J299" s="5"/>
        <tr r="E330" s="5"/>
        <tr r="F76" s="6"/>
        <tr r="E43" s="6"/>
        <tr r="G319" s="5"/>
        <tr r="L63" s="5"/>
        <tr r="N265" s="5"/>
        <tr r="F25" s="5"/>
        <tr r="N17" s="5"/>
        <tr r="B78" s="5"/>
        <tr r="L110" s="5"/>
        <tr r="K227" s="5"/>
        <tr r="M234" s="5"/>
        <tr r="B165" s="6"/>
        <tr r="C160" s="5"/>
        <tr r="J211" s="5"/>
        <tr r="I94" s="6"/>
        <tr r="M205" s="5"/>
        <tr r="I320" s="5"/>
        <tr r="I31" s="6"/>
        <tr r="I14" s="6"/>
        <tr r="B357" s="5"/>
        <tr r="H109" s="6"/>
        <tr r="D348" s="5"/>
        <tr r="I368" s="5"/>
        <tr r="K352" s="5"/>
        <tr r="F30" s="6"/>
        <tr r="N7" s="5"/>
        <tr r="B195" s="5"/>
        <tr r="G351" s="5"/>
        <tr r="J54" s="6"/>
        <tr r="B227" s="6"/>
        <tr r="E337" s="5"/>
        <tr r="F128" s="5"/>
        <tr r="L268" s="5"/>
        <tr r="B49" s="6"/>
        <tr r="B56" s="5"/>
        <tr r="N191" s="5"/>
        <tr r="E320" s="5"/>
        <tr r="C194" s="6"/>
        <tr r="E42" s="6"/>
        <tr r="F59" s="6"/>
        <tr r="K282" s="5"/>
        <tr r="H157" s="6"/>
        <tr r="J159" s="6"/>
        <tr r="E186" s="6"/>
        <tr r="E130" s="6"/>
        <tr r="N169" s="5"/>
        <tr r="D100" s="6"/>
        <tr r="F66" s="6"/>
        <tr r="C356" s="6"/>
        <tr r="C30" s="5"/>
        <tr r="G210" s="6"/>
        <tr r="H146" s="6"/>
        <tr r="C245" s="5"/>
        <tr r="B31" s="5"/>
        <tr r="D234" s="6"/>
        <tr r="H124" s="6"/>
        <tr r="M273" s="5"/>
        <tr r="C374" s="5"/>
        <tr r="F334" s="5"/>
        <tr r="E100" s="6"/>
        <tr r="C292" s="5"/>
        <tr r="D249" s="6"/>
        <tr r="C47" s="6"/>
        <tr r="I281" s="5"/>
        <tr r="L339" s="5"/>
        <tr r="I155" s="6"/>
        <tr r="D212" s="5"/>
        <tr r="E366" s="5"/>
        <tr r="J362" s="6"/>
        <tr r="C7" s="6"/>
        <tr r="G148" s="6"/>
        <tr r="E247" s="5"/>
        <tr r="D184" s="6"/>
        <tr r="G263" s="5"/>
        <tr r="E154" s="6"/>
        <tr r="G101" s="6"/>
        <tr r="L182" s="5"/>
        <tr r="I241" s="5"/>
        <tr r="N216" s="5"/>
        <tr r="D110" s="6"/>
        <tr r="D370" s="5"/>
        <tr r="E11" s="6"/>
        <tr r="D15" s="6"/>
        <tr r="B305" s="6"/>
        <tr r="C286" s="6"/>
        <tr r="P216" s="5"/>
        <tr r="B12" s="6"/>
        <tr r="H268" s="5"/>
        <tr r="E30" s="6"/>
        <tr r="B11" s="6"/>
        <tr r="I111" s="6"/>
        <tr r="I364" s="5"/>
        <tr r="D97" s="6"/>
        <tr r="J9" s="6"/>
        <tr r="G203" s="6"/>
        <tr r="G299" s="5"/>
        <tr r="C265" s="5"/>
        <tr r="H51" s="6"/>
        <tr r="B95" s="6"/>
        <tr r="E52" s="5"/>
        <tr r="M364" s="5"/>
        <tr r="E375" s="5"/>
        <tr r="G229" s="6"/>
        <tr r="H96" s="6"/>
        <tr r="E87" s="6"/>
        <tr r="G198" s="6"/>
        <tr r="B84" s="5"/>
        <tr r="E293" s="6"/>
        <tr r="G330" s="5"/>
        <tr r="E37" s="6"/>
        <tr r="D111" s="6"/>
        <tr r="D140" s="5"/>
        <tr r="F377" s="5"/>
        <tr r="E55" s="5"/>
        <tr r="G303" s="5"/>
        <tr r="I167" s="6"/>
        <tr r="F121" s="6"/>
        <tr r="C223" s="5"/>
        <tr r="B211" s="5"/>
        <tr r="C251" s="5"/>
        <tr r="J308" s="5"/>
        <tr r="D201" s="6"/>
        <tr r="H354" s="5"/>
        <tr r="P263" s="5"/>
        <tr r="B213" s="6"/>
        <tr r="F118" s="6"/>
        <tr r="J129" s="6"/>
        <tr r="B368" s="5"/>
        <tr r="C13" s="6"/>
        <tr r="E12" s="5"/>
        <tr r="D180" s="6"/>
        <tr r="I317" s="5"/>
        <tr r="J16" s="6"/>
        <tr r="D319" s="5"/>
        <tr r="L271" s="5"/>
        <tr r="H255" s="6"/>
        <tr r="G116" s="6"/>
        <tr r="F92" s="6"/>
        <tr r="H328" s="6"/>
        <tr r="B137" s="6"/>
        <tr r="I41" s="6"/>
        <tr r="D46" s="5"/>
        <tr r="F171" s="5"/>
        <tr r="I305" s="5"/>
        <tr r="D157" s="6"/>
        <tr r="M367" s="5"/>
        <tr r="C190" s="6"/>
        <tr r="H42" s="6"/>
        <tr r="J304" s="5"/>
        <tr r="D179" s="6"/>
        <tr r="B294" s="6"/>
        <tr r="H252" s="6"/>
        <tr r="F37" s="6"/>
        <tr r="F176" s="5"/>
        <tr r="L373" s="5"/>
        <tr r="E334" s="5"/>
        <tr r="D15" s="5"/>
        <tr r="D37" s="5"/>
        <tr r="E67" s="6"/>
        <tr r="D12" s="6"/>
        <tr r="G257" s="6"/>
        <tr r="D98" s="6"/>
        <tr r="B214" s="5"/>
        <tr r="D197" s="6"/>
        <tr r="J332" s="6"/>
        <tr r="C65" s="6"/>
        <tr r="C32" s="6"/>
        <tr r="J360" s="5"/>
        <tr r="J359" s="5"/>
        <tr r="C165" s="5"/>
        <tr r="F277" s="5"/>
        <tr r="B12" s="5"/>
        <tr r="D332" s="6"/>
        <tr r="F312" s="5"/>
        <tr r="C115" s="5"/>
        <tr r="J122" s="6"/>
        <tr r="O268" s="5"/>
        <tr r="B188" s="5"/>
        <tr r="F84" s="5"/>
        <tr r="B46" s="6"/>
        <tr r="H24" s="6"/>
        <tr r="D346" s="5"/>
        <tr r="K103" s="5"/>
        <tr r="H143" s="6"/>
        <tr r="K363" s="5"/>
        <tr r="G247" s="5"/>
        <tr r="L330" s="5"/>
        <tr r="L312" s="5"/>
        <tr r="G18" s="6"/>
        <tr r="I11" s="6"/>
        <tr r="K129" s="5"/>
        <tr r="L205" s="5"/>
        <tr r="J65" s="6"/>
        <tr r="H18" s="6"/>
        <tr r="G77" s="6"/>
        <tr r="B225" s="6"/>
        <tr r="I143" s="6"/>
        <tr r="D125" s="6"/>
        <tr r="I81" s="6"/>
        <tr r="H360" s="5"/>
        <tr r="C161" s="6"/>
        <tr r="H324" s="5"/>
        <tr r="B220" s="5"/>
        <tr r="M85" s="5"/>
        <tr r="E305" s="5"/>
        <tr r="M89" s="5"/>
        <tr r="P348" s="5"/>
        <tr r="G194" s="5"/>
        <tr r="B218" s="5"/>
        <tr r="O10" s="5"/>
        <tr r="L199" s="5"/>
        <tr r="H363" s="5"/>
        <tr r="E163" s="6"/>
        <tr r="M324" s="5"/>
        <tr r="G72" s="6"/>
        <tr r="P225" s="5"/>
        <tr r="F365" s="5"/>
        <tr r="N217" s="5"/>
        <tr r="D338" s="5"/>
        <tr r="J377" s="5"/>
        <tr r="D297" s="6"/>
        <tr r="I307" s="5"/>
        <tr r="E373" s="5"/>
        <tr r="N378" s="5"/>
        <tr r="C268" s="5"/>
        <tr r="F354" s="5"/>
        <tr r="D364" s="5"/>
        <tr r="C242" s="5"/>
        <tr r="B264" s="5"/>
        <tr r="N283" s="5"/>
        <tr r="E223" s="5"/>
        <tr r="E368" s="5"/>
        <tr r="G56" s="6"/>
        <tr r="C162" s="6"/>
        <tr r="E152" s="6"/>
        <tr r="I8" s="5"/>
        <tr r="B190" s="6"/>
        <tr r="H358" s="5"/>
        <tr r="J30" s="6"/>
        <tr r="H138" s="5"/>
        <tr r="P369" s="5"/>
        <tr r="H54" s="6"/>
        <tr r="B369" s="5"/>
        <tr r="C280" s="5"/>
        <tr r="J21" s="6"/>
        <tr r="G178" s="6"/>
        <tr r="H88" s="6"/>
        <tr r="E276" s="5"/>
        <tr r="D168" s="6"/>
        <tr r="C373" s="5"/>
        <tr r="C179" s="6"/>
        <tr r="N329" s="5"/>
        <tr r="I209" s="5"/>
        <tr r="K11" s="5"/>
        <tr r="C152" s="6"/>
        <tr r="E281" s="5"/>
        <tr r="O296" s="5"/>
        <tr r="J350" s="5"/>
        <tr r="B376" s="5"/>
        <tr r="I12" s="6"/>
        <tr r="F242" s="5"/>
        <tr r="G310" s="6"/>
        <tr r="E6" s="6"/>
        <tr r="C252" s="5"/>
        <tr r="G214" s="5"/>
        <tr r="H309" s="5"/>
        <tr r="B72" s="6"/>
        <tr r="H27" s="5"/>
        <tr r="N350" s="5"/>
        <tr r="E299" s="5"/>
        <tr r="J351" s="5"/>
        <tr r="E259" s="5"/>
        <tr r="E40" s="6"/>
        <tr r="H357" s="5"/>
        <tr r="D128" s="5"/>
        <tr r="M256" s="5"/>
        <tr r="P370" s="5"/>
        <tr r="C132" s="5"/>
        <tr r="F174" s="6"/>
        <tr r="F345" s="5"/>
        <tr r="H144" s="6"/>
        <tr r="L209" s="5"/>
        <tr r="I87" s="6"/>
        <tr r="M174" s="5"/>
        <tr r="C378" s="5"/>
        <tr r="C206" s="6"/>
        <tr r="C372" s="5"/>
        <tr r="M354" s="5"/>
        <tr r="O204" s="5"/>
        <tr r="F153" s="6"/>
        <tr r="M309" s="5"/>
        <tr r="D79" s="6"/>
        <tr r="G55" s="6"/>
        <tr r="D195" s="6"/>
        <tr r="D368" s="5"/>
        <tr r="C195" s="5"/>
        <tr r="F256" s="5"/>
        <tr r="E119" s="6"/>
        <tr r="N276" s="5"/>
        <tr r="E115" s="5"/>
        <tr r="C362" s="5"/>
        <tr r="O343" s="5"/>
        <tr r="J227" s="6"/>
        <tr r="B121" s="6"/>
        <tr r="F33" s="6"/>
        <tr r="I265" s="6"/>
        <tr r="F29" s="6"/>
        <tr r="B7" s="6"/>
        <tr r="B201" s="6"/>
        <tr r="G129" s="6"/>
        <tr r="O371" s="5"/>
        <tr r="I363" s="5"/>
        <tr r="J223" s="6"/>
        <tr r="G102" s="6"/>
        <tr r="B353" s="5"/>
        <tr r="L286" s="5"/>
        <tr r="M272" s="5"/>
        <tr r="I10" s="6"/>
        <tr r="C363" s="5"/>
        <tr r="H204" s="5"/>
        <tr r="I166" s="5"/>
        <tr r="B210" s="6"/>
        <tr r="D331" s="6"/>
        <tr r="L254" s="5"/>
        <tr r="E333" s="5"/>
        <tr r="D198" s="6"/>
        <tr r="G59" s="6"/>
        <tr r="B266" s="5"/>
        <tr r="B125" s="5"/>
        <tr r="H48" s="6"/>
        <tr r="J106" s="6"/>
        <tr r="C321" s="5"/>
        <tr r="J355" s="5"/>
        <tr r="C347" s="5"/>
        <tr r="B109" s="6"/>
        <tr r="E352" s="5"/>
        <tr r="I369" s="5"/>
        <tr r="N301" s="5"/>
        <tr r="J312" s="5"/>
        <tr r="I98" s="6"/>
        <tr r="B294" s="5"/>
        <tr r="C239" s="5"/>
        <tr r="H176" s="6"/>
        <tr r="P291" s="5"/>
        <tr r="L224" s="5"/>
        <tr r="J174" s="5"/>
        <tr r="E146" s="5"/>
        <tr r="F310" s="5"/>
        <tr r="E318" s="5"/>
        <tr r="C309" s="5"/>
        <tr r="J296" s="5"/>
        <tr r="H364" s="5"/>
        <tr r="P357" s="5"/>
        <tr r="D63" s="6"/>
        <tr r="H32" s="6"/>
        <tr r="E62" s="6"/>
        <tr r="N9" s="5"/>
        <tr r="F134" s="6"/>
        <tr r="B9" s="6"/>
        <tr r="O245" s="5"/>
        <tr r="G37" s="6"/>
        <tr r="E351" s="5"/>
        <tr r="M274" s="5"/>
        <tr r="G89" s="6"/>
        <tr r="M172" s="5"/>
        <tr r="H333" s="5"/>
        <tr r="I295" s="6"/>
        <tr r="B22" s="6"/>
        <tr r="G96" s="6"/>
        <tr r="I282" s="6"/>
        <tr r="L284" s="5"/>
        <tr r="G120" s="6"/>
        <tr r="P378" s="5"/>
        <tr r="G118" s="6"/>
        <tr r="E225" s="5"/>
        <tr r="F53" s="6"/>
        <tr r="B156" s="6"/>
        <tr r="G106" s="6"/>
        <tr r="C200" s="5"/>
        <tr r="N371" s="5"/>
        <tr r="I312" s="5"/>
        <tr r="P354" s="5"/>
        <tr r="D20" s="6"/>
        <tr r="E303" s="5"/>
        <tr r="C29" s="6"/>
        <tr r="C306" s="5"/>
        <tr r="G188" s="5"/>
        <tr r="L273" s="5"/>
        <tr r="J149" s="6"/>
        <tr r="I280" s="5"/>
        <tr r="J373" s="5"/>
        <tr r="O277" s="5"/>
        <tr r="J325" s="6"/>
        <tr r="P157" s="5"/>
        <tr r="G342" s="5"/>
        <tr r="J284" s="5"/>
        <tr r="G86" s="5"/>
        <tr r="O379" s="5"/>
        <tr r="M232" s="5"/>
        <tr r="M46" s="5"/>
        <tr r="C255" s="5"/>
        <tr r="J68" s="6"/>
        <tr r="I71" s="5"/>
        <tr r="N284" s="5"/>
        <tr r="B333" s="6"/>
        <tr r="F249" s="5"/>
        <tr r="M347" s="5"/>
        <tr r="B111" s="6"/>
        <tr r="B82" s="6"/>
        <tr r="H345" s="5"/>
        <tr r="E314" s="5"/>
        <tr r="G141" s="6"/>
        <tr r="G57" s="6"/>
        <tr r="C100" s="6"/>
        <tr r="B167" s="6"/>
        <tr r="I166" s="6"/>
        <tr r="H163" s="5"/>
        <tr r="G335" s="5"/>
        <tr r="N353" s="5"/>
        <tr r="D359" s="5"/>
        <tr r="J118" s="5"/>
        <tr r="O206" s="5"/>
        <tr r="B208" s="5"/>
        <tr r="G219" s="6"/>
        <tr r="E72" s="6"/>
        <tr r="J51" s="6"/>
        <tr r="B338" s="5"/>
        <tr r="F99" s="6"/>
        <tr r="N92" s="5"/>
        <tr r="I80" s="6"/>
        <tr r="C71" s="6"/>
        <tr r="H51" s="5"/>
        <tr r="D43" s="5"/>
        <tr r="M255" s="5"/>
        <tr r="B362" s="5"/>
        <tr r="E45" s="6"/>
        <tr r="J214" s="5"/>
        <tr r="L42" s="5"/>
        <tr r="I20" s="5"/>
        <tr r="I291" s="5"/>
        <tr r="F47" s="6"/>
        <tr r="E309" s="6"/>
        <tr r="N320" s="5"/>
        <tr r="E54" s="6"/>
        <tr r="D259" s="5"/>
        <tr r="P279" s="5"/>
        <tr r="J133" s="5"/>
        <tr r="I128" s="5"/>
        <tr r="G349" s="5"/>
        <tr r="H137" s="6"/>
        <tr r="C24" s="6"/>
        <tr r="P242" s="5"/>
        <tr r="B83" s="5"/>
        <tr r="F44" s="6"/>
        <tr r="H247" s="5"/>
        <tr r="F113" s="6"/>
        <tr r="C358" s="5"/>
        <tr r="D182" s="6"/>
        <tr r="J298" s="5"/>
        <tr r="B64" s="6"/>
        <tr r="C254" s="5"/>
        <tr r="I45" s="6"/>
        <tr r="J148" s="6"/>
        <tr r="F29" s="5"/>
        <tr r="D305" s="5"/>
        <tr r="D177" s="5"/>
        <tr r="O223" s="5"/>
        <tr r="B260" s="5"/>
        <tr r="F116" s="5"/>
        <tr r="D334" s="5"/>
        <tr r="P123" s="5"/>
        <tr r="H62" s="6"/>
        <tr r="P69" s="5"/>
        <tr r="E134" s="6"/>
        <tr r="K296" s="5"/>
        <tr r="L318" s="5"/>
        <tr r="J268" s="5"/>
        <tr r="N312" s="5"/>
        <tr r="D266" s="5"/>
        <tr r="G66" s="6"/>
        <tr r="J166" s="5"/>
        <tr r="M224" s="5"/>
        <tr r="C353" s="5"/>
        <tr r="J166" s="6"/>
        <tr r="H236" s="5"/>
        <tr r="N326" s="5"/>
        <tr r="H291" s="6"/>
        <tr r="H359" s="5"/>
        <tr r="H337" s="5"/>
        <tr r="E61" s="6"/>
        <tr r="E60" s="6"/>
        <tr r="G16" s="5"/>
        <tr r="E232" s="5"/>
        <tr r="F252" s="5"/>
        <tr r="P234" s="5"/>
        <tr r="F178" s="5"/>
        <tr r="C233" s="5"/>
        <tr r="J94" s="6"/>
        <tr r="B258" s="5"/>
        <tr r="L242" s="5"/>
        <tr r="H24" s="5"/>
        <tr r="H29" s="6"/>
        <tr r="O287" s="5"/>
        <tr r="B243" s="5"/>
        <tr r="C80" s="6"/>
        <tr r="B85" s="6"/>
        <tr r="H87" s="6"/>
        <tr r="H267" s="5"/>
        <tr r="P271" s="5"/>
        <tr r="E210" s="5"/>
        <tr r="B286" s="5"/>
        <tr r="M288" s="5"/>
        <tr r="F303" s="5"/>
        <tr r="G20" s="6"/>
        <tr r="N103" s="5"/>
        <tr r="G373" s="5"/>
        <tr r="C77" s="5"/>
        <tr r="I308" s="6"/>
        <tr r="H311" s="5"/>
        <tr r="D26" s="6"/>
        <tr r="I362" s="5"/>
        <tr r="A82" s="6"/>
        <tr r="O154" s="5"/>
        <tr r="C324" s="6"/>
        <tr r="I285" s="5"/>
        <tr r="I375" s="5"/>
        <tr r="F364" s="5"/>
        <tr r="G207" s="6"/>
        <tr r="H370" s="6"/>
        <tr r="F200" s="6"/>
        <tr r="H97" s="6"/>
        <tr r="J158" s="6"/>
        <tr r="F238" s="6"/>
        <tr r="B16" s="6"/>
        <tr r="B33" s="6"/>
        <tr r="G63" s="6"/>
        <tr r="C279" s="5"/>
        <tr r="P346" s="5"/>
        <tr r="C97" s="6"/>
        <tr r="D268" s="5"/>
        <tr r="B25" s="6"/>
        <tr r="C310" s="5"/>
        <tr r="H76" s="6"/>
        <tr r="C16" s="6"/>
        <tr r="C322" s="5"/>
        <tr r="I39" s="6"/>
        <tr r="K259" s="5"/>
        <tr r="J246" s="5"/>
        <tr r="P179" s="5"/>
        <tr r="D311" s="5"/>
        <tr r="C294" s="5"/>
        <tr r="B23" s="6"/>
        <tr r="F51" s="6"/>
        <tr r="I276" s="5"/>
        <tr r="D158" s="5"/>
        <tr r="F282" s="5"/>
        <tr r="P349" s="5"/>
        <tr r="G85" s="6"/>
        <tr r="P11" s="5"/>
        <tr r="E51" s="5"/>
        <tr r="C208" s="5"/>
        <tr r="J307" s="5"/>
        <tr r="C356" s="5"/>
        <tr r="J190" s="5"/>
        <tr r="N356" s="5"/>
        <tr r="O359" s="5"/>
        <tr r="H351" s="5"/>
        <tr r="D239" s="6"/>
        <tr r="G204" s="5"/>
        <tr r="J183" s="5"/>
        <tr r="F328" s="5"/>
        <tr r="J258" s="5"/>
        <tr r="H328" s="5"/>
        <tr r="D296" s="5"/>
        <tr r="G10" s="5"/>
        <tr r="E324" s="5"/>
        <tr r="J378" s="5"/>
        <tr r="I179" s="5"/>
        <tr r="I134" s="6"/>
        <tr r="H270" s="5"/>
        <tr r="D29" s="6"/>
        <tr r="H214" s="6"/>
        <tr r="E70" s="6"/>
        <tr r="E308" s="5"/>
        <tr r="O18" s="5"/>
        <tr r="C136" s="6"/>
        <tr r="L344" s="5"/>
        <tr r="G258" s="6"/>
        <tr r="C210" s="6"/>
        <tr r="L261" s="5"/>
        <tr r="E376" s="5"/>
        <tr r="D23" s="6"/>
        <tr r="P87" s="5"/>
        <tr r="E168" s="6"/>
        <tr r="C73" s="6"/>
        <tr r="D41" s="6"/>
        <tr r="G322" s="5"/>
        <tr r="L333" s="5"/>
        <tr r="J135" s="6"/>
        <tr r="F156" s="5"/>
        <tr r="J302" s="6"/>
        <tr r="H356" s="5"/>
        <tr r="M329" s="5"/>
        <tr r="E200" s="6"/>
        <tr r="J73" s="6"/>
        <tr r="N261" s="5"/>
        <tr r="B361" s="5"/>
        <tr r="J13" s="6"/>
        <tr r="H49" s="6"/>
        <tr r="O229" s="5"/>
        <tr r="I72" s="5"/>
        <tr r="E27" s="6"/>
        <tr r="L181" s="5"/>
        <tr r="N365" s="5"/>
        <tr r="M243" s="5"/>
        <tr r="E274" s="5"/>
        <tr r="L371" s="5"/>
        <tr r="C234" s="5"/>
        <tr r="H314" s="5"/>
        <tr r="D236" s="5"/>
        <tr r="L155" s="5"/>
        <tr r="M24" s="5"/>
        <tr r="D326" s="5"/>
        <tr r="N380" s="5"/>
        <tr r="N74" s="5"/>
        <tr r="N266" s="5"/>
        <tr r="B163" s="5"/>
        <tr r="O6" s="5"/>
        <tr r="C172" s="6"/>
        <tr r="E238" s="5"/>
        <tr r="O339" s="5"/>
        <tr r="J341" s="5"/>
        <tr r="N313" s="5"/>
        <tr r="G235" s="5"/>
        <tr r="I252" s="5"/>
        <tr r="O16" s="5"/>
        <tr r="N308" s="5"/>
        <tr r="G122" s="5"/>
        <tr r="J168" s="5"/>
        <tr r="D333" s="5"/>
        <tr r="G284" s="5"/>
        <tr r="D55" s="5"/>
        <tr r="F352" s="5"/>
        <tr r="I208" s="5"/>
        <tr r="M320" s="5"/>
        <tr r="H41" s="6"/>
        <tr r="I148" s="5"/>
        <tr r="J53" s="5"/>
        <tr r="B319" s="5"/>
        <tr r="P142" s="5"/>
        <tr r="O251" s="5"/>
        <tr r="O255" s="5"/>
        <tr r="L125" s="5"/>
        <tr r="N318" s="5"/>
        <tr r="N287" s="5"/>
        <tr r="F373" s="5"/>
        <tr r="G169" s="6"/>
        <tr r="G255" s="5"/>
        <tr r="M206" s="5"/>
        <tr r="F49" s="5"/>
        <tr r="B130" s="6"/>
        <tr r="O295" s="5"/>
        <tr r="J293" s="5"/>
        <tr r="N207" s="5"/>
        <tr r="E176" s="5"/>
        <tr r="O298" s="5"/>
        <tr r="J282" s="5"/>
        <tr r="H352" s="5"/>
        <tr r="B21" s="6"/>
        <tr r="D352" s="5"/>
        <tr r="H342" s="5"/>
        <tr r="H86" s="5"/>
        <tr r="C28" s="6"/>
        <tr r="L272" s="5"/>
        <tr r="F22" s="6"/>
        <tr r="O284" s="5"/>
        <tr r="B56" s="6"/>
        <tr r="J14" s="6"/>
        <tr r="P340" s="5"/>
        <tr r="F335" s="5"/>
        <tr r="D256" s="5"/>
        <tr r="C379" s="5"/>
        <tr r="O106" s="5"/>
        <tr r="G234" s="5"/>
        <tr r="C40" s="6"/>
        <tr r="P278" s="5"/>
        <tr r="J222" s="5"/>
        <tr r="F338" s="5"/>
        <tr r="H327" s="5"/>
        <tr r="O291" s="5"/>
        <tr r="G375" s="5"/>
        <tr r="L319" s="5"/>
        <tr r="O377" s="5"/>
        <tr r="J339" s="5"/>
        <tr r="G234" s="6"/>
        <tr r="B255" s="5"/>
        <tr r="C231" s="5"/>
        <tr r="I257" s="5"/>
        <tr r="I274" s="5"/>
        <tr r="C157" s="6"/>
        <tr r="D251" s="5"/>
        <tr r="P264" s="5"/>
        <tr r="B173" s="5"/>
        <tr r="M335" s="5"/>
        <tr r="L235" s="5"/>
        <tr r="F361" s="5"/>
        <tr r="P274" s="5"/>
        <tr r="C299" s="5"/>
        <tr r="A344" s="6"/>
        <tr r="F327" s="5"/>
        <tr r="A155" s="5"/>
        <tr r="E16" s="5"/>
        <tr r="G245" s="5"/>
        <tr r="G298" s="5"/>
        <tr r="F214" s="5"/>
        <tr r="H280" s="5"/>
        <tr r="H353" s="5"/>
        <tr r="C277" s="5"/>
        <tr r="J117" s="5"/>
        <tr r="J228" s="5"/>
        <tr r="J319" s="5"/>
        <tr r="D209" s="5"/>
        <tr r="B308" s="5"/>
        <tr r="E286" s="5"/>
        <tr r="D211" s="5"/>
        <tr r="C228" s="5"/>
        <tr r="J221" s="6"/>
        <tr r="G149" s="5"/>
        <tr r="G289" s="5"/>
        <tr r="F329" s="5"/>
        <tr r="F195" s="6"/>
        <tr r="I202" s="5"/>
        <tr r="M361" s="5"/>
        <tr r="M352" s="5"/>
        <tr r="L358" s="5"/>
        <tr r="E154" s="5"/>
        <tr r="D47" s="6"/>
        <tr r="J72" s="5"/>
        <tr r="C69" s="6"/>
        <tr r="M360" s="5"/>
        <tr r="F95" s="6"/>
        <tr r="P37" s="5"/>
        <tr r="F374" s="5"/>
        <tr r="C377" s="5"/>
        <tr r="L138" s="5"/>
        <tr r="H259" s="5"/>
        <tr r="H380" s="5"/>
        <tr r="G22" s="6"/>
        <tr r="L170" s="5"/>
        <tr r="I168" s="5"/>
        <tr r="J200" s="5"/>
        <tr r="B226" s="5"/>
        <tr r="F376" s="5"/>
        <tr r="E347" s="5"/>
        <tr r="I249" s="5"/>
        <tr r="L43" s="5"/>
        <tr r="G114" s="6"/>
        <tr r="E298" s="5"/>
        <tr r="P323" s="5"/>
        <tr r="N89" s="5"/>
        <tr r="D16" s="5"/>
        <tr r="C351" s="5"/>
        <tr r="B191" s="5"/>
        <tr r="C340" s="5"/>
        <tr r="B333" s="5"/>
        <tr r="B311" s="5"/>
        <tr r="P353" s="5"/>
        <tr r="O320" s="5"/>
        <tr r="B347" s="5"/>
        <tr r="H265" s="5"/>
        <tr r="M311" s="5"/>
        <tr r="J104" s="5"/>
        <tr r="H90" s="6"/>
        <tr r="B73" s="6"/>
        <tr r="J348" s="5"/>
        <tr r="L372" s="5"/>
        <tr r="N205" s="5"/>
        <tr r="I286" s="5"/>
        <tr r="E265" s="5"/>
        <tr r="L360" s="5"/>
        <tr r="O331" s="5"/>
        <tr r="I278" s="5"/>
        <tr r="I16" s="5"/>
        <tr r="I236" s="5"/>
        <tr r="J237" s="5"/>
        <tr r="I55" s="6"/>
        <tr r="O293" s="5"/>
        <tr r="L248" s="5"/>
        <tr r="E302" s="5"/>
        <tr r="P94" s="5"/>
        <tr r="F185" s="5"/>
        <tr r="E345" s="5"/>
        <tr r="D147" s="5"/>
        <tr r="M226" s="5"/>
        <tr r="F192" s="5"/>
        <tr r="E162" s="5"/>
        <tr r="I39" s="5"/>
        <tr r="B339" s="5"/>
        <tr r="D35" s="6"/>
        <tr r="N367" s="5"/>
        <tr r="C360" s="5"/>
        <tr r="F36" s="6"/>
        <tr r="I372" s="5"/>
        <tr r="D261" s="5"/>
        <tr r="D67" s="5"/>
        <tr r="D362" s="5"/>
        <tr r="E329" s="5"/>
        <tr r="N297" s="5"/>
        <tr r="B115" s="5"/>
        <tr r="P165" s="5"/>
        <tr r="O370" s="5"/>
        <tr r="E359" s="5"/>
        <tr r="I213" s="5"/>
        <tr r="F259" s="5"/>
        <tr r="N64" s="5"/>
        <tr r="O269" s="5"/>
        <tr r="E151" s="5"/>
        <tr r="I379" s="5"/>
        <tr r="P205" s="5"/>
        <tr r="G260" s="5"/>
        <tr r="L135" s="5"/>
        <tr r="G259" s="5"/>
        <tr r="N300" s="5"/>
        <tr r="N236" s="5"/>
        <tr r="H287" s="6"/>
        <tr r="O138" s="5"/>
        <tr r="L202" s="5"/>
        <tr r="G282" s="5"/>
        <tr r="E233" s="5"/>
        <tr r="O90" s="5"/>
        <tr r="H372" s="5"/>
        <tr r="G168" s="5"/>
        <tr r="N213" s="5"/>
        <tr r="D342" s="5"/>
        <tr r="N369" s="5"/>
        <tr r="G339" s="5"/>
        <tr r="A301" s="6"/>
        <tr r="I377" s="5"/>
        <tr r="I355" s="5"/>
        <tr r="O308" s="5"/>
        <tr r="E231" s="5"/>
        <tr r="I91" s="6"/>
        <tr r="D128" s="6"/>
        <tr r="D64" s="5"/>
        <tr r="L177" s="5"/>
        <tr r="F288" s="5"/>
        <tr r="J332" s="5"/>
        <tr r="P379" s="5"/>
        <tr r="M371" s="5"/>
        <tr r="J141" s="6"/>
        <tr r="F300" s="5"/>
        <tr r="H83" s="6"/>
        <tr r="B66" s="5"/>
        <tr r="I104" s="6"/>
        <tr r="O358" s="5"/>
        <tr r="O146" s="5"/>
        <tr r="D289" s="5"/>
        <tr r="O244" s="5"/>
        <tr r="C185" s="6"/>
        <tr r="H176" s="5"/>
        <tr r="C150" s="6"/>
        <tr r="H370" s="5"/>
        <tr r="E67" s="5"/>
        <tr r="H305" s="5"/>
        <tr r="H213" s="6"/>
        <tr r="M325" s="5"/>
        <tr r="D127" s="5"/>
        <tr r="I380" s="5"/>
        <tr r="C14" s="6"/>
        <tr r="G213" s="5"/>
        <tr r="B213" s="5"/>
        <tr r="F358" s="5"/>
        <tr r="G87" s="5"/>
        <tr r="I318" s="5"/>
        <tr r="N139" s="5"/>
        <tr r="C192" s="5"/>
        <tr r="I290" s="5"/>
        <tr r="E20" s="5"/>
        <tr r="B199" s="5"/>
        <tr r="G239" s="5"/>
        <tr r="E296" s="5"/>
        <tr r="M285" s="5"/>
        <tr r="J356" s="5"/>
        <tr r="P360" s="5"/>
        <tr r="I147" s="6"/>
        <tr r="C141" s="5"/>
        <tr r="B244" s="5"/>
        <tr r="I161" s="5"/>
        <tr r="B257" s="5"/>
        <tr r="I18" s="6"/>
        <tr r="B358" s="5"/>
        <tr r="I319" s="5"/>
        <tr r="I265" s="5"/>
        <tr r="F221" s="5"/>
        <tr r="P251" s="5"/>
        <tr r="D101" s="5"/>
        <tr r="C238" s="6"/>
        <tr r="C241" s="5"/>
        <tr r="E245" s="5"/>
        <tr r="E135" s="5"/>
        <tr r="B354" s="5"/>
        <tr r="H244" s="5"/>
        <tr r="I98" s="5"/>
        <tr r="I371" s="5"/>
        <tr r="G287" s="5"/>
        <tr r="L210" s="5"/>
        <tr r="H179" s="5"/>
        <tr r="M221" s="5"/>
        <tr r="O317" s="5"/>
        <tr r="L72" s="5"/>
        <tr r="F339" s="5"/>
        <tr r="G35" s="6"/>
        <tr r="O306" s="5"/>
        <tr r="K5" s="5"/>
        <tr r="J302" s="5"/>
        <tr r="G24" s="6"/>
        <tr r="D175" s="5"/>
        <tr r="I151" s="5"/>
        <tr r="B309" s="5"/>
        <tr r="E190" s="5"/>
        <tr r="B43" s="6"/>
        <tr r="N257" s="5"/>
        <tr r="H91" s="6"/>
        <tr r="I334" s="5"/>
        <tr r="F357" s="5"/>
        <tr r="N331" s="5"/>
        <tr r="L240" s="5"/>
        <tr r="O247" s="5"/>
        <tr r="J253" s="5"/>
        <tr r="F219" s="5"/>
        <tr r="E71" s="6"/>
        <tr r="J25" s="5"/>
        <tr r="B252" s="5"/>
        <tr r="G80" s="6"/>
        <tr r="D7" s="5"/>
        <tr r="I264" s="5"/>
        <tr r="G363" s="5"/>
        <tr r="E260" s="5"/>
        <tr r="M287" s="5"/>
        <tr r="G60" s="6"/>
        <tr r="I157" s="6"/>
        <tr r="F55" s="6"/>
        <tr r="N232" s="5"/>
        <tr r="F353" s="5"/>
        <tr r="J224" s="5"/>
        <tr r="I103" s="5"/>
        <tr r="P335" s="5"/>
        <tr r="I353" s="5"/>
        <tr r="F40" s="6"/>
        <tr r="C327" s="5"/>
        <tr r="L87" s="5"/>
        <tr r="F344" s="5"/>
        <tr r="D365" s="5"/>
        <tr r="N250" s="5"/>
        <tr r="D235" s="5"/>
        <tr r="H271" s="5"/>
        <tr r="G147" s="5"/>
        <tr r="M16" s="5"/>
        <tr r="B77" s="5"/>
        <tr r="P47" s="5"/>
        <tr r="N286" s="5"/>
        <tr r="A315" s="5"/>
        <tr r="B347" s="6"/>
        <tr r="B128" s="5"/>
        <tr r="L326" s="5"/>
        <tr r="D22" s="6"/>
        <tr r="G353" s="5"/>
        <tr r="H235" s="5"/>
        <tr r="H302" s="5"/>
        <tr r="O334" s="5"/>
        <tr r="B270" s="5"/>
        <tr r="D232" s="5"/>
        <tr r="B6" s="6"/>
        <tr r="M315" s="5"/>
        <tr r="H116" s="5"/>
        <tr r="C345" s="5"/>
        <tr r="O332" s="5"/>
        <tr r="O342" s="5"/>
        <tr r="D267" s="5"/>
        <tr r="L314" s="5"/>
        <tr r="H233" s="5"/>
        <tr r="J159" s="5"/>
        <tr r="E364" s="5"/>
        <tr r="M49" s="5"/>
        <tr r="H193" s="6"/>
        <tr r="L377" s="5"/>
        <tr r="F325" s="5"/>
        <tr r="H105" s="6"/>
        <tr r="C9" s="6"/>
        <tr r="H165" s="5"/>
        <tr r="I332" s="5"/>
        <tr r="F17" s="5"/>
        <tr r="M305" s="5"/>
        <tr r="H69" s="6"/>
        <tr r="C300" s="5"/>
        <tr r="N376" s="5"/>
        <tr r="P302" s="5"/>
        <tr r="B9" s="5"/>
        <tr r="I22" s="6"/>
        <tr r="F210" s="5"/>
        <tr r="C311" s="6"/>
        <tr r="F268" s="5"/>
        <tr r="O360" s="5"/>
        <tr r="C366" s="5"/>
        <tr r="B155" s="6"/>
        <tr r="O364" s="5"/>
        <tr r="F311" s="5"/>
        <tr r="I303" s="5"/>
        <tr r="I321" s="5"/>
        <tr r="H219" s="5"/>
        <tr r="J13" s="5"/>
        <tr r="H223" s="6"/>
        <tr r="B269" s="5"/>
        <tr r="D349" s="5"/>
        <tr r="D294" s="5"/>
        <tr r="D240" s="5"/>
        <tr r="P359" s="5"/>
        <tr r="P139" s="5"/>
        <tr r="M308" s="5"/>
        <tr r="C41" s="5"/>
        <tr r="O348" s="5"/>
        <tr r="M330" s="5"/>
        <tr r="L243" s="5"/>
        <tr r="K4" s="5"/>
        <tr r="B161" s="5"/>
        <tr r="M258" s="5"/>
        <tr r="C257" s="5"/>
        <tr r="F330" s="5"/>
        <tr r="P228" s="5"/>
        <tr r="M268" s="5"/>
        <tr r="N254" s="5"/>
        <tr r="E8" s="5"/>
        <tr r="C329" s="5"/>
        <tr r="E191" s="5"/>
        <tr r="F122" s="5"/>
        <tr r="B291" s="5"/>
        <tr r="M126" s="5"/>
        <tr r="P174" s="5"/>
        <tr r="B200" s="5"/>
        <tr r="E350" s="5"/>
        <tr r="G315" s="5"/>
        <tr r="F246" s="5"/>
        <tr r="B283" s="5"/>
        <tr r="E301" s="5"/>
        <tr r="H306" s="5"/>
        <tr r="G174" s="5"/>
        <tr r="C346" s="5"/>
        <tr r="M269" s="5"/>
        <tr r="L376" s="5"/>
        <tr r="H325" s="5"/>
        <tr r="C105" s="6"/>
        <tr r="G376" s="5"/>
        <tr r="N244" s="5"/>
        <tr r="B380" s="5"/>
        <tr r="D208" s="6"/>
        <tr r="N374" s="5"/>
        <tr r="H368" s="5"/>
        <tr r="D150" s="5"/>
        <tr r="J154" s="6"/>
        <tr r="J248" s="5"/>
        <tr r="P368" s="5"/>
        <tr r="L290" s="5"/>
        <tr r="I105" s="5"/>
        <tr r="N358" s="5"/>
        <tr r="G361" s="5"/>
        <tr r="M345" s="5"/>
        <tr r="I268" s="5"/>
        <tr r="D13" s="6"/>
        <tr r="D360" s="5"/>
        <tr r="O301" s="5"/>
        <tr r="N311" s="5"/>
        <tr r="C137" s="6"/>
        <tr r="M62" s="5"/>
        <tr r="E313" s="5"/>
        <tr r="F293" s="5"/>
        <tr r="J212" s="6"/>
        <tr r="B224" s="5"/>
        <tr r="C134" s="6"/>
        <tr r="O264" s="5"/>
        <tr r="I256" s="5"/>
        <tr r="E116" s="6"/>
        <tr r="M215" s="5"/>
        <tr r="O357" s="5"/>
        <tr r="E129" s="6"/>
        <tr r="F10" s="6"/>
        <tr r="J257" s="5"/>
        <tr r="I228" s="5"/>
        <tr r="E309" s="5"/>
        <tr r="G348" s="5"/>
        <tr r="I365" s="5"/>
        <tr r="E362" s="5"/>
        <tr r="G70" s="6"/>
        <tr r="J223" s="5"/>
        <tr r="E169" s="5"/>
        <tr r="F336" s="5"/>
        <tr r="E272" s="5"/>
        <tr r="M289" s="5"/>
        <tr r="N366" s="5"/>
        <tr r="O234" s="5"/>
        <tr r="F323" s="5"/>
        <tr r="J295" s="5"/>
        <tr r="L349" s="5"/>
        <tr r="O314" s="5"/>
        <tr r="L196" s="5"/>
        <tr r="E205" s="5"/>
        <tr r="D190" s="5"/>
        <tr r="H261" s="5"/>
        <tr r="A230" s="5"/>
        <tr r="P315" s="5"/>
        <tr r="G230" s="5"/>
        <tr r="E173" s="5"/>
        <tr r="F269" s="5"/>
        <tr r="O66" s="5"/>
        <tr r="H301" s="5"/>
        <tr r="P275" s="5"/>
        <tr r="N379" s="5"/>
        <tr r="C217" s="5"/>
        <tr r="L233" s="5"/>
        <tr r="F305" s="5"/>
        <tr r="P89" s="5"/>
        <tr r="B129" s="5"/>
        <tr r="L150" s="5"/>
        <tr r="P249" s="5"/>
        <tr r="M333" s="5"/>
        <tr r="L294" s="5"/>
        <tr r="P220" s="5"/>
        <tr r="B169" s="5"/>
        <tr r="N135" s="5"/>
        <tr r="B76" s="6"/>
        <tr r="O350" s="5"/>
        <tr r="N66" s="5"/>
        <tr r="J270" s="5"/>
        <tr r="H31" s="5"/>
        <tr r="C34" s="6"/>
        <tr r="B40" s="6"/>
        <tr r="J47" s="6"/>
        <tr r="G261" s="5"/>
        <tr r="F372" s="5"/>
        <tr r="P162" s="5"/>
        <tr r="J313" s="5"/>
        <tr r="G194" s="6"/>
        <tr r="D308" s="6"/>
        <tr r="B279" s="5"/>
        <tr r="A7" s="6"/>
        <tr r="I116" s="5"/>
        <tr r="B318" s="5"/>
        <tr r="I289" s="5"/>
        <tr r="D265" s="5"/>
        <tr r="H50" s="6"/>
        <tr r="H162" s="5"/>
        <tr r="E271" s="5"/>
        <tr r="F257" s="5"/>
        <tr r="D354" s="5"/>
        <tr r="C212" s="5"/>
        <tr r="D161" s="6"/>
        <tr r="L359" s="5"/>
        <tr r="E287" s="5"/>
        <tr r="C14" s="5"/>
        <tr r="F379" s="5"/>
        <tr r="B54" s="5"/>
        <tr r="H92" s="6"/>
        <tr r="G149" s="6"/>
        <tr r="I329" s="5"/>
        <tr r="F158" s="5"/>
        <tr r="D283" s="5"/>
        <tr r="D191" s="5"/>
        <tr r="F203" s="5"/>
        <tr r="C380" s="5"/>
        <tr r="O170" s="5"/>
        <tr r="O312" s="5"/>
        <tr r="M108" s="5"/>
        <tr r="H323" s="5"/>
        <tr r="B54" s="6"/>
        <tr r="P203" s="5"/>
        <tr r="D119" s="5"/>
        <tr r="F71" s="6"/>
        <tr r="E110" s="5"/>
        <tr r="D245" s="5"/>
        <tr r="L266" s="5"/>
        <tr r="D347" s="5"/>
        <tr r="F52" s="5"/>
        <tr r="C219" s="5"/>
        <tr r="M326" s="5"/>
        <tr r="D336" s="5"/>
        <tr r="B251" s="5"/>
        <tr r="G333" s="5"/>
        <tr r="D314" s="5"/>
        <tr r="B93" s="6"/>
        <tr r="J97" s="5"/>
        <tr r="N220" s="5"/>
        <tr r="B377" s="5"/>
        <tr r="G68" s="6"/>
        <tr r="P67" s="5"/>
        <tr r="B229" s="6"/>
        <tr r="P311" s="5"/>
        <tr r="F272" s="5"/>
        <tr r="D330" s="5"/>
        <tr r="O225" s="5"/>
        <tr r="J132" s="6"/>
        <tr r="E357" s="5"/>
        <tr r="G374" s="5"/>
        <tr r="I327" s="5"/>
        <tr r="E72" s="5"/>
        <tr r="E235" s="5"/>
        <tr r="N13" s="5"/>
        <tr r="M278" s="5"/>
        <tr r="O322" s="5"/>
        <tr r="O272" s="5"/>
        <tr r="D165" s="5"/>
        <tr r="I314" s="5"/>
        <tr r="B341" s="5"/>
        <tr r="O285" s="5"/>
        <tr r="A176" s="5"/>
        <tr r="C85" s="5"/>
        <tr r="D88" s="5"/>
        <tr r="M245" s="5"/>
        <tr r="B344" s="5"/>
        <tr r="P355" s="5"/>
        <tr r="B239" s="5"/>
        <tr r="B378" s="5"/>
        <tr r="H152" s="5"/>
        <tr r="O209" s="5"/>
        <tr r="F287" s="5"/>
        <tr r="D380" s="5"/>
        <tr r="H292" s="5"/>
        <tr r="E198" s="5"/>
        <tr r="F157" s="5"/>
        <tr r="F107" s="6"/>
        <tr r="B205" s="5"/>
        <tr r="H253" s="5"/>
        <tr r="E278" s="5"/>
        <tr r="A173" s="5"/>
        <tr r="G106" s="5"/>
        <tr r="O160" s="5"/>
        <tr r="H316" s="5"/>
        <tr r="J115" s="5"/>
        <tr r="B313" s="5"/>
        <tr r="P237" s="5"/>
        <tr r="B290" s="5"/>
        <tr r="B29" s="5"/>
        <tr r="C369" s="5"/>
        <tr r="F223" s="5"/>
        <tr r="L193" s="5"/>
        <tr r="G276" s="5"/>
        <tr r="P330" s="5"/>
        <tr r="M75" s="5"/>
        <tr r="O329" s="5"/>
        <tr r="O191" s="5"/>
        <tr r="P272" s="5"/>
        <tr r="P236" s="5"/>
        <tr r="C244" s="5"/>
        <tr r="N5" s="5"/>
        <tr r="L282" s="5"/>
        <tr r="F15" s="6"/>
        <tr r="N189" s="5"/>
        <tr r="H185" s="5"/>
        <tr r="M105" s="5"/>
        <tr r="A261" s="6"/>
        <tr r="B193" s="5"/>
        <tr r="D59" s="5"/>
        <tr r="C284" s="5"/>
        <tr r="C361" s="5"/>
        <tr r="B105" s="5"/>
        <tr r="J330" s="5"/>
        <tr r="E346" s="5"/>
        <tr r="M314" s="5"/>
        <tr r="A299" s="6"/>
        <tr r="M279" s="5"/>
        <tr r="E219" s="5"/>
        <tr r="F301" s="5"/>
        <tr r="N240" s="5"/>
        <tr r="P193" s="5"/>
        <tr r="M271" s="5"/>
        <tr r="D299" s="5"/>
        <tr r="M363" s="5"/>
        <tr r="M322" s="5"/>
        <tr r="H289" s="5"/>
        <tr r="G130" s="6"/>
        <tr r="P153" s="5"/>
        <tr r="A208" s="6"/>
        <tr r="I292" s="5"/>
        <tr r="B336" s="5"/>
        <tr r="L175" s="5"/>
        <tr r="F255" s="5"/>
        <tr r="F274" s="5"/>
        <tr r="J38" s="5"/>
        <tr r="J21" s="5"/>
        <tr r="D371" s="5"/>
        <tr r="C289" s="5"/>
        <tr r="B334" s="5"/>
        <tr r="M190" s="5"/>
        <tr r="N243" s="5"/>
        <tr r="F348" s="5"/>
        <tr r="C98" s="5"/>
        <tr r="F240" s="5"/>
        <tr r="O349" s="5"/>
        <tr r="G380" s="5"/>
        <tr r="C288" s="5"/>
        <tr r="O373" s="5"/>
        <tr r="F100" s="5"/>
        <tr r="B262" s="5"/>
        <tr r="D379" s="5"/>
        <tr r="D331" s="5"/>
        <tr r="G119" s="5"/>
        <tr r="J123" s="5"/>
        <tr r="B374" s="5"/>
        <tr r="G310" s="5"/>
        <tr r="I36" s="5"/>
        <tr r="B104" s="5"/>
        <tr r="E175" s="5"/>
        <tr r="H349" s="5"/>
        <tr r="N263" s="5"/>
        <tr r="F78" s="6"/>
        <tr r="M328" s="5"/>
        <tr r="J35" s="5"/>
        <tr r="L192" s="5"/>
        <tr r="A335" s="5"/>
        <tr r="C46" s="5"/>
        <tr r="C70" s="6"/>
        <tr r="F227" s="5"/>
        <tr r="E319" s="5"/>
        <tr r="D374" s="5"/>
        <tr r="C140" s="5"/>
        <tr r="D109" s="5"/>
        <tr r="E38" s="6"/>
        <tr r="I310" s="5"/>
        <tr r="N249" s="5"/>
        <tr r="O200" s="5"/>
        <tr r="H103" s="5"/>
        <tr r="O369" s="5"/>
        <tr r="L267" s="5"/>
        <tr r="H184" s="5"/>
        <tr r="I106" s="5"/>
        <tr r="L354" s="5"/>
        <tr r="D114" s="5"/>
        <tr r="F232" s="5"/>
        <tr r="H27" s="6"/>
        <tr r="G362" s="5"/>
        <tr r="C256" s="5"/>
        <tr r="N187" s="5"/>
        <tr r="M332" s="5"/>
        <tr r="G343" s="5"/>
        <tr r="C229" s="5"/>
        <tr r="H350" s="5"/>
        <tr r="G360" s="5"/>
        <tr r="P295" s="5"/>
        <tr r="E81" s="5"/>
        <tr r="C331" s="5"/>
        <tr r="O215" s="5"/>
        <tr r="E257" s="5"/>
        <tr r="F114" s="5"/>
        <tr r="P314" s="5"/>
        <tr r="O186" s="5"/>
        <tr r="F83" s="5"/>
        <tr r="C333" s="5"/>
        <tr r="E23" s="5"/>
        <tr r="G352" s="5"/>
        <tr r="I195" s="5"/>
        <tr r="P256" s="5"/>
        <tr r="B340" s="5"/>
        <tr r="O318" s="5"/>
        <tr r="G210" s="5"/>
        <tr r="M242" s="5"/>
        <tr r="I295" s="5"/>
        <tr r="E312" s="5"/>
        <tr r="D8" s="6"/>
        <tr r="J70" s="5"/>
        <tr r="B248" s="5"/>
        <tr r="F297" s="5"/>
        <tr r="E253" s="5"/>
        <tr r="C16" s="5"/>
        <tr r="G337" s="5"/>
        <tr r="P300" s="5"/>
        <tr r="C225" s="5"/>
        <tr r="J361" s="5"/>
        <tr r="B232" s="5"/>
        <tr r="A84" s="5"/>
        <tr r="F175" s="6"/>
        <tr r="L342" s="5"/>
        <tr r="G326" s="5"/>
        <tr r="M351" s="5"/>
        <tr r="M250" s="5"/>
        <tr r="F290" s="5"/>
        <tr r="G133" s="6"/>
        <tr r="H201" s="5"/>
        <tr r="C136" s="5"/>
        <tr r="C357" s="5"/>
        <tr r="E68" s="5"/>
        <tr r="J292" s="5"/>
        <tr r="L223" s="5"/>
        <tr r="P149" s="5"/>
        <tr r="P231" s="5"/>
        <tr r="C99" s="5"/>
        <tr r="J88" s="6"/>
        <tr r="P192" s="5"/>
        <tr r="E353" s="5"/>
        <tr r="I85" s="5"/>
        <tr r="L83" s="5"/>
        <tr r="N184" s="5"/>
        <tr r="N29" s="5"/>
        <tr r="H235" s="6"/>
        <tr r="O337" s="5"/>
        <tr r="J364" s="5"/>
        <tr r="H341" s="5"/>
        <tr r="E365" s="5"/>
        <tr r="E234" s="5"/>
        <tr r="G346" s="5"/>
        <tr r="P329" s="5"/>
        <tr r="H378" s="5"/>
        <tr r="C368" s="5"/>
        <tr r="H254" s="5"/>
        <tr r="J283" s="5"/>
        <tr r="O233" s="5"/>
        <tr r="G268" s="5"/>
        <tr r="D116" s="5"/>
        <tr r="O161" s="5"/>
        <tr r="L367" s="5"/>
        <tr r="G354" s="5"/>
        <tr r="G356" s="5"/>
        <tr r="D134" s="5"/>
        <tr r="D35" s="5"/>
        <tr r="C295" s="5"/>
        <tr r="P232" s="5"/>
        <tr r="F129" s="5"/>
        <tr r="F245" s="5"/>
        <tr r="G368" s="5"/>
        <tr r="H258" s="5"/>
        <tr r="F168" s="5"/>
        <tr r="D127" s="6"/>
        <tr r="G359" s="5"/>
        <tr r="O263" s="5"/>
        <tr r="G185" s="5"/>
        <tr r="D366" s="5"/>
        <tr r="J61" s="5"/>
        <tr r="J235" s="5"/>
        <tr r="B96" s="5"/>
        <tr r="M344" s="5"/>
        <tr r="B295" s="5"/>
        <tr r="J135" s="5"/>
        <tr r="I346" s="5"/>
        <tr r="E141" s="5"/>
        <tr r="E9" s="5"/>
        <tr r="P372" s="5"/>
        <tr r="J324" s="5"/>
        <tr r="M253" s="5"/>
        <tr r="C56" s="6"/>
        <tr r="G278" s="5"/>
        <tr r="P219" s="5"/>
        <tr r="B24" s="6"/>
        <tr r="M331" s="5"/>
        <tr r="O219" s="5"/>
        <tr r="F182" s="5"/>
        <tr r="F233" s="5"/>
        <tr r="G281" s="5"/>
        <tr r="J322" s="5"/>
        <tr r="O260" s="5"/>
        <tr r="P326" s="5"/>
        <tr r="F367" s="5"/>
        <tr r="C314" s="5"/>
        <tr r="H257" s="5"/>
        <tr r="N235" s="5"/>
        <tr r="E378" s="5"/>
        <tr r="L281" s="5"/>
        <tr r="J56" s="5"/>
        <tr r="L246" s="5"/>
        <tr r="H214" s="5"/>
        <tr r="L171" s="5"/>
        <tr r="A281" s="6"/>
        <tr r="J153" s="5"/>
        <tr r="N93" s="5"/>
        <tr r="B303" s="5"/>
        <tr r="C89" s="5"/>
        <tr r="F34" s="6"/>
        <tr r="D358" s="5"/>
        <tr r="D38" s="6"/>
        <tr r="N270" s="5"/>
        <tr r="O270" s="5"/>
        <tr r="A100" s="5"/>
        <tr r="I120" s="5"/>
        <tr r="G345" s="5"/>
        <tr r="G364" s="5"/>
        <tr r="I86" s="6"/>
        <tr r="L225" s="5"/>
        <tr r="D225" s="5"/>
        <tr r="G258" s="5"/>
        <tr r="N345" s="5"/>
        <tr r="D287" s="5"/>
        <tr r="G313" s="5"/>
        <tr r="C170" s="5"/>
        <tr r="L244" s="5"/>
        <tr r="J318" s="5"/>
        <tr r="I352" s="5"/>
        <tr r="G370" s="5"/>
        <tr r="E87" s="5"/>
        <tr r="P186" s="5"/>
        <tr r="E331" s="5"/>
        <tr r="I361" s="5"/>
        <tr r="J275" s="5"/>
        <tr r="P318" s="5"/>
        <tr r="G294" s="5"/>
        <tr r="N201" s="5"/>
        <tr r="L167" s="5"/>
        <tr r="O297" s="5"/>
        <tr r="D96" s="5"/>
        <tr r="P252" s="5"/>
        <tr r="H365" s="5"/>
        <tr r="B349" s="5"/>
        <tr r="C211" s="5"/>
        <tr r="I328" s="5"/>
        <tr r="A277" s="5"/>
        <tr r="B346" s="5"/>
        <tr r="L234" s="5"/>
        <tr r="G334" s="5"/>
        <tr r="J216" s="5"/>
        <tr r="I142" s="5"/>
        <tr r="N121" s="5"/>
        <tr r="F270" s="5"/>
        <tr r="E28" s="5"/>
        <tr r="O147" s="5"/>
        <tr r="O353" s="5"/>
        <tr r="F273" s="5"/>
        <tr r="P297" s="5"/>
        <tr r="F258" s="5"/>
        <tr r="H318" s="5"/>
        <tr r="N215" s="5"/>
        <tr r="O221" s="5"/>
        <tr r="O304" s="5"/>
        <tr r="D339" s="5"/>
        <tr r="J274" s="5"/>
        <tr r="L201" s="5"/>
        <tr r="N225" s="5"/>
        <tr r="P111" s="5"/>
        <tr r="D229" s="5"/>
        <tr r="G145" s="5"/>
        <tr r="P364" s="5"/>
        <tr r="D376" s="5"/>
        <tr r="P276" s="5"/>
        <tr r="L212" s="5"/>
        <tr r="O281" s="5"/>
        <tr r="P358" s="5"/>
        <tr r="J365" s="5"/>
        <tr r="B170" s="6"/>
        <tr r="J363" s="5"/>
        <tr r="B310" s="5"/>
        <tr r="D248" s="5"/>
        <tr r="G347" s="5"/>
        <tr r="C63" s="5"/>
        <tr r="F72" s="6"/>
        <tr r="M323" s="5"/>
        <tr r="B166" s="5"/>
        <tr r="G238" s="5"/>
        <tr r="G29" s="6"/>
        <tr r="F65" s="5"/>
        <tr r="H108" s="6"/>
        <tr r="G178" s="5"/>
        <tr r="O220" s="5"/>
        <tr r="L153" s="5"/>
        <tr r="G312" s="5"/>
        <tr r="N352" s="5"/>
        <tr r="F321" s="5"/>
        <tr r="I262" s="5"/>
        <tr r="J371" s="5"/>
        <tr r="B323" s="5"/>
        <tr r="O310" s="5"/>
        <tr r="G344" s="5"/>
        <tr r="H212" s="5"/>
        <tr r="D258" s="5"/>
        <tr r="F142" s="5"/>
        <tr r="D281" s="5"/>
        <tr r="M321" s="5"/>
        <tr r="D21" s="6"/>
        <tr r="F191" s="5"/>
        <tr r="C326" s="5"/>
        <tr r="B114" s="6"/>
        <tr r="G323" s="5"/>
        <tr r="O294" s="5"/>
        <tr r="G325" s="5"/>
        <tr r="E147" s="5"/>
        <tr r="B331" s="5"/>
        <tr r="L335" s="5"/>
        <tr r="G41" s="6"/>
        <tr r="A327" s="6"/>
        <tr r="O185" s="5"/>
        <tr r="E187" s="5"/>
        <tr r="H335" s="5"/>
        <tr r="N323" s="5"/>
        <tr r="N223" s="5"/>
        <tr r="F254" s="5"/>
        <tr r="F119" s="5"/>
        <tr r="F294" s="5"/>
        <tr r="D66" s="5"/>
        <tr r="J175" s="5"/>
        <tr r="P293" s="5"/>
        <tr r="I194" s="5"/>
        <tr r="N309" s="5"/>
        <tr r="O261" s="5"/>
        <tr r="N188" s="5"/>
        <tr r="P331" s="5"/>
        <tr r="L264" s="5"/>
        <tr r="D222" s="5"/>
        <tr r="M342" s="5"/>
        <tr r="D375" s="5"/>
        <tr r="P292" s="5"/>
        <tr r="J210" s="5"/>
        <tr r="C344" s="5"/>
        <tr r="M240" s="5"/>
        <tr r="H375" s="5"/>
        <tr r="F220" s="5"/>
        <tr r="E325" s="5"/>
        <tr r="B65" s="5"/>
        <tr r="P321" s="5"/>
        <tr r="N346" s="5"/>
        <tr r="I167" s="5"/>
        <tr r="H374" s="5"/>
        <tr r="F253" s="5"/>
        <tr r="D255" s="5"/>
        <tr r="P241" s="5"/>
        <tr r="J180" s="5"/>
        <tr r="P248" s="5"/>
        <tr r="B247" s="5"/>
        <tr r="E129" s="5"/>
        <tr r="N181" s="5"/>
        <tr r="C197" s="5"/>
        <tr r="D301" s="5"/>
        <tr r="F244" s="5"/>
        <tr r="P342" s="5"/>
        <tr r="C281" s="5"/>
        <tr r="I76" s="6"/>
        <tr r="J320" s="5"/>
        <tr r="M203" s="5"/>
        <tr r="B330" s="5"/>
        <tr r="I343" s="5"/>
        <tr r="L346" s="5"/>
        <tr r="E355" s="5"/>
        <tr r="J163" s="5"/>
        <tr r="P208" s="5"/>
        <tr r="D282" s="5"/>
        <tr r="F370" s="5"/>
        <tr r="B284" s="5"/>
        <tr r="G216" s="5"/>
        <tr r="G248" s="5"/>
        <tr r="N349" s="5"/>
        <tr r="F199" s="5"/>
        <tr r="N359" s="5"/>
        <tr r="P161" s="5"/>
        <tr r="E33" s="6"/>
        <tr r="H300" s="5"/>
        <tr r="L259" s="5"/>
        <tr r="H348" s="5"/>
        <tr r="E186" s="5"/>
        <tr r="B234" s="5"/>
        <tr r="O35" s="5"/>
        <tr r="C58" s="6"/>
        <tr r="G162" s="5"/>
        <tr r="O309" s="5"/>
        <tr r="D329" s="5"/>
        <tr r="L334" s="5"/>
        <tr r="D309" s="5"/>
        <tr r="O169" s="5"/>
        <tr r="J305" s="5"/>
        <tr r="N310" s="5"/>
        <tr r="O174" s="5"/>
        <tr r="L336" s="5"/>
        <tr r="A62" s="5"/>
        <tr r="D181" s="5"/>
        <tr r="G328" s="5"/>
        <tr r="B280" s="5"/>
        <tr r="H329" s="5"/>
        <tr r="P262" s="5"/>
        <tr r="B157" s="5"/>
        <tr r="G366" s="5"/>
        <tr r="N333" s="5"/>
        <tr r="L230" s="5"/>
        <tr r="N373" s="5"/>
        <tr r="F193" s="5"/>
        <tr r="M336" s="5"/>
        <tr r="O327" s="5"/>
        <tr r="G340" s="5"/>
        <tr r="E204" s="6"/>
        <tr r="O344" s="5"/>
        <tr r="F75" s="6"/>
        <tr r="P202" s="5"/>
        <tr r="G62" s="6"/>
        <tr r="E321" s="5"/>
        <tr r="B348" s="5"/>
        <tr r="F195" s="5"/>
        <tr r="J345" s="5"/>
        <tr r="G14" s="6"/>
        <tr r="O156" s="5"/>
        <tr r="D306" s="5"/>
        <tr r="B363" s="5"/>
        <tr r="H284" s="5"/>
        <tr r="I258" s="5"/>
        <tr r="I52" s="5"/>
        <tr r="C122" s="5"/>
        <tr r="P117" s="5"/>
        <tr r="C196" s="5"/>
        <tr r="O107" s="5"/>
        <tr r="P245" s="5"/>
        <tr r="L229" s="5"/>
        <tr r="F49" s="6"/>
        <tr r="B87" s="5"/>
        <tr r="A296" s="5"/>
        <tr r="M125" s="5"/>
        <tr r="D207" s="5"/>
        <tr r="M365" s="5"/>
        <tr r="J234" s="5"/>
        <tr r="P334" s="5"/>
        <tr r="P270" s="5"/>
        <tr r="G218" s="5"/>
        <tr r="M237" s="5"/>
        <tr r="L245" s="5"/>
        <tr r="G59" s="5"/>
        <tr r="D357" s="5"/>
        <tr r="H218" s="5"/>
        <tr r="H88" s="5"/>
        <tr r="J271" s="5"/>
        <tr r="C133" s="5"/>
        <tr r="L207" s="5"/>
        <tr r="B328" s="5"/>
        <tr r="C342" s="5"/>
        <tr r="L215" s="5"/>
        <tr r="O354" s="5"/>
        <tr r="N255" s="5"/>
        <tr r="N108" s="5"/>
        <tr r="C359" s="5"/>
        <tr r="J286" s="5"/>
        <tr r="A209" s="5"/>
        <tr r="L321" s="5"/>
        <tr r="C259" s="5"/>
        <tr r="A122" s="5"/>
        <tr r="O211" s="5"/>
        <tr r="H226" s="5"/>
        <tr r="O303" s="5"/>
        <tr r="F380" s="5"/>
        <tr r="C376" s="5"/>
        <tr r="B202" s="5"/>
        <tr r="F283" s="5"/>
        <tr r="A337" s="5"/>
        <tr r="N262" s="5"/>
        <tr r="H347" s="5"/>
        <tr r="C116" s="5"/>
        <tr r="G47" s="6"/>
        <tr r="N281" s="5"/>
        <tr r="C271" s="5"/>
        <tr r="B293" s="5"/>
        <tr r="J226" s="5"/>
        <tr r="H238" s="5"/>
        <tr r="G225" s="5"/>
        <tr r="F52" s="6"/>
        <tr r="E207" s="5"/>
        <tr r="D115" s="5"/>
        <tr r="N303" s="5"/>
        <tr r="B281" s="5"/>
        <tr r="F187" s="6"/>
        <tr r="N248" s="5"/>
        <tr r="F309" s="5"/>
        <tr r="M343" s="5"/>
        <tr r="C248" s="5"/>
        <tr r="N159" s="5"/>
        <tr r="C311" s="5"/>
        <tr r="I144" s="5"/>
        <tr r="C173" s="5"/>
        <tr r="C154" s="5"/>
        <tr r="F264" s="5"/>
        <tr r="A360" s="5"/>
        <tr r="H242" s="5"/>
        <tr r="O347" s="5"/>
        <tr r="I234" s="5"/>
        <tr r="J165" s="5"/>
        <tr r="F284" s="5"/>
        <tr r="H307" s="5"/>
        <tr r="H197" s="5"/>
        <tr r="N170" s="5"/>
        <tr r="A317" s="6"/>
        <tr r="L307" s="5"/>
        <tr r="J251" s="5"/>
        <tr r="D253" s="5"/>
        <tr r="B256" s="5"/>
        <tr r="D318" s="5"/>
        <tr r="M304" s="5"/>
        <tr r="B317" s="5"/>
        <tr r="H279" s="5"/>
        <tr r="J199" s="5"/>
        <tr r="H229" s="5"/>
        <tr r="C186" s="6"/>
        <tr r="J40" s="5"/>
        <tr r="P362" s="5"/>
        <tr r="N295" s="5"/>
        <tr r="M231" s="5"/>
        <tr r="O271" s="5"/>
        <tr r="H102" s="5"/>
        <tr r="F333" s="5"/>
        <tr r="P328" s="5"/>
        <tr r="J75" s="5"/>
        <tr r="O168" s="5"/>
        <tr r="M102" s="5"/>
        <tr r="B170" s="5"/>
        <tr r="E192" s="5"/>
        <tr r="F285" s="5"/>
        <tr r="C125" s="5"/>
        <tr r="I219" s="5"/>
        <tr r="G209" s="5"/>
        <tr r="A46" s="5"/>
        <tr r="J242" s="5"/>
        <tr r="L220" s="5"/>
        <tr r="J203" s="5"/>
        <tr r="B107" s="5"/>
        <tr r="B118" s="5"/>
        <tr r="B275" s="5"/>
        <tr r="D298" s="5"/>
        <tr r="F239" s="5"/>
        <tr r="F153" s="5"/>
        <tr r="O158" s="5"/>
        <tr r="P327" s="5"/>
        <tr r="I217" s="5"/>
        <tr r="E339" s="5"/>
        <tr r="A237" s="6"/>
        <tr r="F209" s="5"/>
        <tr r="F207" s="5"/>
        <tr r="D210" s="5"/>
        <tr r="M198" s="5"/>
        <tr r="I196" s="5"/>
        <tr r="C186" s="5"/>
        <tr r="F189" s="5"/>
        <tr r="J366" s="5"/>
        <tr r="H115" s="5"/>
        <tr r="B160" s="5"/>
        <tr r="C171" s="5"/>
        <tr r="P171" s="5"/>
        <tr r="L283" s="5"/>
        <tr r="N354" s="5"/>
        <tr r="G285" s="5"/>
        <tr r="E255" s="5"/>
        <tr r="A166" s="5"/>
        <tr r="D257" s="5"/>
        <tr r="P282" s="5"/>
        <tr r="P25" s="5"/>
        <tr r="B222" s="5"/>
        <tr r="E284" s="5"/>
        <tr r="B141" s="5"/>
        <tr r="C111" s="5"/>
        <tr r="A198" s="6"/>
        <tr r="L252" s="5"/>
        <tr r="N151" s="5"/>
        <tr r="P158" s="5"/>
        <tr r="G365" s="5"/>
        <tr r="B299" s="5"/>
        <tr r="B359" s="5"/>
        <tr r="J261" s="5"/>
        <tr r="P178" s="5"/>
        <tr r="G177" s="5"/>
        <tr r="J309" s="5"/>
        <tr r="L103" s="5"/>
        <tr r="F375" s="5"/>
        <tr r="N221" s="5"/>
        <tr r="B212" s="5"/>
        <tr r="M307" s="5"/>
        <tr r="P320" s="5"/>
        <tr r="P289" s="5"/>
        <tr r="G291" s="5"/>
        <tr r="O128" s="5"/>
        <tr r="F133" s="5"/>
        <tr r="C176" s="5"/>
        <tr r="D139" s="6"/>
        <tr r="N111" s="5"/>
        <tr r="E209" s="5"/>
        <tr r="F68" s="5"/>
        <tr r="M225" s="5"/>
        <tr r="C168" s="5"/>
        <tr r="J289" s="5"/>
        <tr r="P91" s="5"/>
        <tr r="D276" s="5"/>
        <tr r="C158" s="5"/>
        <tr r="B203" s="5"/>
        <tr r="A55" s="6"/>
        <tr r="D224" s="5"/>
        <tr r="F250" s="5"/>
        <tr r="D231" s="5"/>
        <tr r="J357" s="5"/>
        <tr r="L107" s="5"/>
        <tr r="O246" s="5"/>
        <tr r="D322" s="5"/>
        <tr r="G91" s="5"/>
        <tr r="M244" s="5"/>
        <tr r="O372" s="5"/>
        <tr r="P131" s="5"/>
        <tr r="I370" s="5"/>
        <tr r="I374" s="5"/>
        <tr r="P269" s="5"/>
        <tr r="A178" s="6"/>
        <tr r="O192" s="5"/>
        <tr r="B342" s="5"/>
        <tr r="I133" s="5"/>
        <tr r="A162" s="6"/>
        <tr r="C293" s="5"/>
        <tr r="B271" s="5"/>
        <tr r="F86" s="5"/>
        <tr r="P43" s="5"/>
        <tr r="O153" s="5"/>
        <tr r="E256" s="5"/>
        <tr r="N302" s="5"/>
        <tr r="M350" s="5"/>
        <tr r="O276" s="5"/>
        <tr r="I210" s="5"/>
        <tr r="D216" s="5"/>
        <tr r="N202" s="5"/>
        <tr r="C269" s="5"/>
        <tr r="E99" s="5"/>
        <tr r="G67" s="5"/>
        <tr r="I339" s="5"/>
        <tr r="B304" s="5"/>
        <tr r="E135" s="6"/>
        <tr r="G151" s="5"/>
        <tr r="O142" s="5"/>
        <tr r="C172" s="5"/>
        <tr r="A135" s="5"/>
        <tr r="E48" s="5"/>
        <tr r="O205" s="5"/>
        <tr r="J325" s="5"/>
        <tr r="L158" s="5"/>
        <tr r="A123" s="5"/>
        <tr r="N325" s="5"/>
        <tr r="J9" s="5"/>
        <tr r="O189" s="5"/>
        <tr r="P376" s="5"/>
        <tr r="N65" s="5"/>
        <tr r="G331" s="5"/>
        <tr r="N342" s="5"/>
        <tr r="D274" s="5"/>
        <tr r="G350" s="5"/>
        <tr r="I351" s="5"/>
        <tr r="B372" s="5"/>
        <tr r="O20" s="5"/>
        <tr r="O94" s="5"/>
        <tr r="O201" s="5"/>
        <tr r="B17" s="5"/>
        <tr r="I207" s="5"/>
        <tr r="N229" s="5"/>
        <tr r="B371" s="5"/>
        <tr r="D180" s="5"/>
        <tr r="E217" s="5"/>
        <tr r="H366" s="5"/>
        <tr r="N57" s="5"/>
        <tr r="B241" s="5"/>
        <tr r="I293" s="5"/>
        <tr r="B343" s="5"/>
        <tr r="B144" s="5"/>
        <tr r="P309" s="5"/>
        <tr r="A75" s="6"/>
        <tr r="E214" s="5"/>
        <tr r="N321" s="5"/>
        <tr r="L161" s="5"/>
        <tr r="A368" s="5"/>
        <tr r="I131" s="5"/>
        <tr r="E343" s="5"/>
        <tr r="B287" s="5"/>
        <tr r="C328" s="5"/>
        <tr r="L228" s="5"/>
        <tr r="L221" s="5"/>
        <tr r="G128" s="6"/>
        <tr r="I345" s="5"/>
        <tr r="N327" s="5"/>
        <tr r="H361" s="5"/>
        <tr r="L357" s="5"/>
        <tr r="M162" s="5"/>
        <tr r="H39" s="5"/>
        <tr r="I246" s="5"/>
        <tr r="E250" s="5"/>
        <tr r="G286" s="5"/>
        <tr r="P104" s="5"/>
        <tr r="I297" s="5"/>
        <tr r="E148" s="5"/>
        <tr r="L256" s="5"/>
        <tr r="J197" s="5"/>
        <tr r="A106" s="6"/>
        <tr r="F331" s="5"/>
        <tr r="L311" s="5"/>
        <tr r="J90" s="5"/>
        <tr r="A280" s="5"/>
        <tr r="B64" s="5"/>
        <tr r="J167" s="5"/>
        <tr r="L104" s="5"/>
        <tr r="P124" s="5"/>
        <tr r="C317" s="5"/>
        <tr r="M104" s="5"/>
        <tr r="N285" s="5"/>
        <tr r="C227" s="5"/>
        <tr r="A319" s="5"/>
        <tr r="C364" s="5"/>
        <tr r="C275" s="5"/>
        <tr r="E293" s="5"/>
        <tr r="E226" s="5"/>
        <tr r="P197" s="5"/>
        <tr r="D138" s="5"/>
        <tr r="G182" s="5"/>
        <tr r="C282" s="5"/>
        <tr r="H198" s="5"/>
        <tr r="A104" s="5"/>
        <tr r="I284" s="5"/>
        <tr r="L141" s="5"/>
        <tr r="I180" s="5"/>
        <tr r="C102" s="6"/>
        <tr r="I254" s="5"/>
        <tr r="L232" s="5"/>
        <tr r="D188" s="5"/>
        <tr r="O321" s="5"/>
        <tr r="D77" s="5"/>
        <tr r="C119" s="5"/>
        <tr r="F148" s="5"/>
        <tr r="G231" s="5"/>
        <tr r="M135" s="5"/>
        <tr r="P288" s="5"/>
        <tr r="F58" s="5"/>
        <tr r="B217" s="5"/>
        <tr r="D303" s="5"/>
        <tr r="M337" s="5"/>
        <tr r="M167" s="5"/>
        <tr r="P299" s="5"/>
        <tr r="D184" s="5"/>
        <tr r="H192" s="5"/>
        <tr r="E311" s="5"/>
        <tr r="L296" s="5"/>
        <tr r="E15" s="5"/>
        <tr r="J344" s="5"/>
        <tr r="P209" s="5"/>
        <tr r="L40" s="5"/>
        <tr r="I373" s="5"/>
        <tr r="I344" s="5"/>
        <tr r="N49" s="5"/>
        <tr r="L325" s="5"/>
        <tr r="H224" s="5"/>
        <tr r="F363" s="5"/>
        <tr r="B190" s="5"/>
        <tr r="G21" s="5"/>
        <tr r="B231" s="5"/>
        <tr r="O376" s="5"/>
        <tr r="D159" s="5"/>
        <tr r="E295" s="5"/>
        <tr r="M334" s="5"/>
        <tr r="H376" s="5"/>
        <tr r="P218" s="5"/>
        <tr r="D79" s="5"/>
        <tr r="I367" s="5"/>
        <tr r="J204" s="5"/>
        <tr r="E273" s="5"/>
        <tr r="L328" s="5"/>
        <tr r="O362" s="5"/>
        <tr r="P317" s="5"/>
        <tr r="H277" s="5"/>
        <tr r="P141" s="5"/>
        <tr r="D205" s="5"/>
        <tr r="H206" s="5"/>
        <tr r="O326" s="5"/>
        <tr r="C274" s="5"/>
        <tr r="E156" s="5"/>
        <tr r="F225" s="5"/>
        <tr r="M183" s="5"/>
        <tr r="G379" s="5"/>
        <tr r="H169" s="5"/>
        <tr r="C313" s="5"/>
        <tr r="F89" s="5"/>
        <tr r="M317" s="5"/>
        <tr r="A49" s="5"/>
        <tr r="M211" s="5"/>
        <tr r="P129" s="5"/>
        <tr r="J247" s="5"/>
        <tr r="E185" s="5"/>
        <tr r="N77" s="5"/>
        <tr r="A119" s="5"/>
        <tr r="H232" s="5"/>
        <tr r="I235" s="5"/>
        <tr r="I336" s="5"/>
        <tr r="A140" s="5"/>
        <tr r="D363" s="5"/>
        <tr r="G301" s="5"/>
        <tr r="F340" s="5"/>
        <tr r="O279" s="5"/>
        <tr r="M163" s="5"/>
        <tr r="C323" s="5"/>
        <tr r="N298" s="5"/>
        <tr r="E372" s="5"/>
        <tr r="J28" s="5"/>
        <tr r="E182" s="5"/>
        <tr r="E340" s="5"/>
        <tr r="A86" s="5"/>
        <tr r="E277" s="5"/>
        <tr r="J219" s="5"/>
        <tr r="I171" s="5"/>
        <tr r="G358" s="5"/>
        <tr r="M223" s="5"/>
        <tr r="P352" s="5"/>
        <tr r="C273" s="5"/>
        <tr r="L369" s="5"/>
        <tr r="N133" s="5"/>
        <tr r="G279" s="5"/>
        <tr r="E136" s="5"/>
        <tr r="J154" s="5"/>
        <tr r="H326" s="5"/>
        <tr r="M136" s="5"/>
        <tr r="N46" s="5"/>
        <tr r="D263" s="5"/>
        <tr r="D193" s="5"/>
        <tr r="M176" s="5"/>
        <tr r="M296" s="5"/>
        <tr r="G79" s="5"/>
        <tr r="M379" s="5"/>
        <tr r="G311" s="5"/>
        <tr r="L237" s="5"/>
        <tr r="N238" s="5"/>
        <tr r="E20" s="6"/>
        <tr r="P356" s="5"/>
        <tr r="B274" s="5"/>
        <tr r="J171" s="6"/>
        <tr r="G173" s="6"/>
        <tr r="P212" s="5"/>
        <tr r="E261" s="5"/>
        <tr r="N328" s="5"/>
        <tr r="P371" s="5"/>
        <tr r="P246" s="5"/>
        <tr r="I6" s="6"/>
        <tr r="G157" s="5"/>
        <tr r="P380" s="5"/>
        <tr r="J198" s="5"/>
        <tr r="I211" s="5"/>
        <tr r="N289" s="5"/>
        <tr r="F369" s="5"/>
        <tr r="O256" s="5"/>
        <tr r="F320" s="5"/>
        <tr r="J358" s="5"/>
        <tr r="F356" s="5"/>
        <tr r="B207" s="5"/>
        <tr r="I200" s="5"/>
        <tr r="J193" s="5"/>
        <tr r="F108" s="5"/>
        <tr r="P175" s="5"/>
        <tr r="D249" s="5"/>
        <tr r="L308" s="5"/>
        <tr r="N157" s="5"/>
        <tr r="C221" s="5"/>
        <tr r="D293" s="5"/>
        <tr r="E21" s="5"/>
        <tr r="G118" s="5"/>
        <tr r="A78" s="6"/>
        <tr r="D4" s="5"/>
        <tr r="A95" s="6"/>
        <tr r="C86" s="6"/>
        <tr r="M47" s="5"/>
        <tr r="J138" s="5"/>
        <tr r="I67" s="5"/>
        <tr r="O278" s="5"/>
        <tr r="C190" s="5"/>
        <tr r="N218" s="5"/>
        <tr r="N158" s="5"/>
        <tr r="A14" s="5"/>
        <tr r="C262" s="5"/>
        <tr r="F350" s="5"/>
        <tr r="D5" s="6"/>
        <tr r="B298" s="5"/>
        <tr r="B175" s="5"/>
        <tr r="L276" s="5"/>
        <tr r="B277" s="5"/>
        <tr r="I35" s="5"/>
        <tr r="O42" s="5"/>
        <tr r="P258" s="5"/>
        <tr r="P95" s="5"/>
        <tr r="N222" s="5"/>
        <tr r="D341" s="5"/>
        <tr r="P332" s="5"/>
        <tr r="P312" s="5"/>
        <tr r="B332" s="5"/>
        <tr r="L270" s="5"/>
        <tr r="G309" s="5"/>
        <tr r="O235" s="5"/>
        <tr r="M187" s="5"/>
        <tr r="E283" s="5"/>
        <tr r="P338" s="5"/>
        <tr r="G241" s="5"/>
        <tr r="E125" s="5"/>
        <tr r="C187" s="5"/>
        <tr r="C31" s="6"/>
        <tr r="A262" s="6"/>
        <tr r="H339" s="5"/>
        <tr r="B101" s="5"/>
        <tr r="J336" s="5"/>
        <tr r="D192" s="5"/>
        <tr r="H145" s="5"/>
        <tr r="O188" s="5"/>
        <tr r="L263" s="5"/>
        <tr r="D228" s="5"/>
        <tr r="P187" s="5"/>
        <tr r="N357" s="5"/>
        <tr r="F262" s="5"/>
        <tr r="D304" s="5"/>
        <tr r="H231" s="5"/>
        <tr r="F279" s="5"/>
        <tr r="J291" s="5"/>
        <tr r="G34" s="5"/>
        <tr r="D197" s="5"/>
        <tr r="L112" s="5"/>
        <tr r="I31" s="5"/>
        <tr r="J189" s="5"/>
        <tr r="C194" s="5"/>
        <tr r="N282" s="5"/>
        <tr r="A342" s="5"/>
        <tr r="G131" s="5"/>
        <tr r="A127" s="5"/>
        <tr r="I282" s="5"/>
        <tr r="P195" s="5"/>
        <tr r="E160" s="5"/>
        <tr r="J49" s="5"/>
        <tr r="F87" s="5"/>
        <tr r="C235" s="5"/>
        <tr r="G314" s="5"/>
        <tr r="F222" s="5"/>
        <tr r="P185" s="5"/>
        <tr r="I231" s="5"/>
        <tr r="A129" s="6"/>
        <tr r="H287" s="5"/>
        <tr r="A101" s="6"/>
        <tr r="D272" s="5"/>
        <tr r="E369" s="5"/>
        <tr r="J205" s="5"/>
        <tr r="D218" s="5"/>
        <tr r="O238" s="5"/>
        <tr r="J137" s="5"/>
        <tr r="G329" s="5"/>
        <tr r="J229" s="5"/>
        <tr r="D244" s="5"/>
        <tr r="F105" s="5"/>
        <tr r="M316" s="5"/>
        <tr r="J276" s="5"/>
        <tr r="L309" s="5"/>
        <tr r="M251" s="5"/>
        <tr r="D199" s="5"/>
        <tr r="C189" s="5"/>
        <tr r="F5" s="5"/>
        <tr r="O79" s="5"/>
        <tr r="I301" s="5"/>
        <tr r="A215" s="5"/>
        <tr r="A53" s="5"/>
        <tr r="N25" s="5"/>
        <tr r="L306" s="5"/>
        <tr r="F231" s="5"/>
        <tr r="L186" s="5"/>
        <tr r="O243" s="5"/>
        <tr r="L279" s="5"/>
        <tr r="G125" s="5"/>
        <tr r="G208" s="5"/>
        <tr r="J331" s="5"/>
        <tr r="P267" s="5"/>
        <tr r="F158" s="6"/>
        <tr r="O288" s="5"/>
        <tr r="F291" s="5"/>
        <tr r="D112" s="5"/>
        <tr r="A71" s="5"/>
        <tr r="I188" s="5"/>
        <tr r="P211" s="5"/>
        <tr r="D279" s="5"/>
        <tr r="J196" s="5"/>
        <tr r="O265" s="5"/>
        <tr r="O237" s="5"/>
        <tr r="B70" s="5"/>
        <tr r="L236" s="5"/>
        <tr r="J263" s="5"/>
        <tr r="I309" s="5"/>
        <tr r="A358" s="6"/>
        <tr r="B154" s="5"/>
        <tr r="C173" s="6"/>
        <tr r="B8" s="5"/>
        <tr r="J334" s="5"/>
        <tr r="I313" s="5"/>
        <tr r="O217" s="5"/>
        <tr r="H303" s="5"/>
        <tr r="E228" s="5"/>
        <tr r="J129" s="5"/>
        <tr r="D254" s="5"/>
        <tr r="M374" s="5"/>
        <tr r="H278" s="5"/>
        <tr r="L310" s="5"/>
        <tr r="M151" s="5"/>
        <tr r="L157" s="5"/>
        <tr r="A254" s="6"/>
        <tr r="L165" s="5"/>
        <tr r="E163" s="5"/>
        <tr r="A350" s="6"/>
        <tr r="E126" s="5"/>
        <tr r="G308" s="5"/>
        <tr r="E24" s="5"/>
        <tr r="J86" s="5"/>
        <tr r="G271" s="5"/>
        <tr r="P177" s="5"/>
        <tr r="D344" s="5"/>
        <tr r="L343" s="5"/>
        <tr r="P301" s="5"/>
        <tr r="P375" s="5"/>
        <tr r="E75" s="5"/>
        <tr r="H225" s="5"/>
        <tr r="G249" s="5"/>
        <tr r="F313" s="5"/>
        <tr r="H171" s="5"/>
        <tr r="L99" s="5"/>
        <tr r="P226" s="5"/>
        <tr r="N362" s="5"/>
        <tr r="O280" s="5"/>
        <tr r="J262" s="5"/>
        <tr r="I298" s="5"/>
        <tr r="I45" s="5"/>
        <tr r="L300" s="5"/>
        <tr r="F43" s="5"/>
        <tr r="I250" s="5"/>
        <tr r="D133" s="5"/>
        <tr r="A36" s="6"/>
        <tr r="I163" s="5"/>
        <tr r="L364" s="5"/>
        <tr r="E341" s="5"/>
        <tr r="D58" s="5"/>
        <tr r="D356" s="5"/>
        <tr r="O302" s="5"/>
        <tr r="F237" s="5"/>
        <tr r="E29" s="5"/>
        <tr r="J346" s="5"/>
        <tr r="A237" s="5"/>
        <tr r="F121" s="5"/>
        <tr r="D151" s="5"/>
        <tr r="C335" s="5"/>
        <tr r="M222" s="5"/>
        <tr r="E189" s="5"/>
        <tr r="D144" s="5"/>
        <tr r="H174" s="5"/>
        <tr r="M355" s="5"/>
        <tr r="I56" s="5"/>
        <tr r="M188" s="5"/>
        <tr r="G274" s="5"/>
        <tr r="O355" s="5"/>
        <tr r="D87" s="5"/>
        <tr r="E379" s="5"/>
        <tr r="G224" s="5"/>
        <tr r="I360" s="5"/>
        <tr r="G176" s="5"/>
        <tr r="G206" s="5"/>
        <tr r="I348" s="5"/>
        <tr r="M319" s="5"/>
        <tr r="E137" s="5"/>
        <tr r="B172" s="5"/>
        <tr r="E36" s="5"/>
        <tr r="L322" s="5"/>
        <tr r="A161" s="5"/>
        <tr r="J240" s="5"/>
        <tr r="P345" s="5"/>
        <tr r="L379" s="5"/>
        <tr r="E237" s="5"/>
        <tr r="E254" s="5"/>
        <tr r="C114" s="5"/>
        <tr r="H371" s="5"/>
        <tr r="O236" s="5"/>
        <tr r="D68" s="6"/>
        <tr r="H189" s="5"/>
        <tr r="P222" s="5"/>
        <tr r="B143" s="6"/>
        <tr r="N348" s="5"/>
        <tr r="L151" s="5"/>
        <tr r="J372" s="5"/>
        <tr r="B209" s="5"/>
        <tr r="H262" s="5"/>
        <tr r="A203" s="6"/>
        <tr r="M118" s="5"/>
        <tr r="P351" s="5"/>
        <tr r="L317" s="5"/>
        <tr r="H21" s="5"/>
        <tr r="A146" s="5"/>
        <tr r="D238" s="5"/>
        <tr r="G191" s="5"/>
        <tr r="P217" s="5"/>
        <tr r="G220" s="5"/>
        <tr r="I239" s="5"/>
        <tr r="J342" s="5"/>
        <tr r="E323" s="5"/>
        <tr r="N168" s="5"/>
        <tr r="O266" s="5"/>
        <tr r="A314" s="5"/>
        <tr r="E358" s="5"/>
        <tr r="P350" s="5"/>
        <tr r="B79" s="6"/>
        <tr r="L301" s="5"/>
        <tr r="M170" s="5"/>
        <tr r="J48" s="5"/>
        <tr r="M214" s="5"/>
        <tr r="E258" s="5"/>
        <tr r="D246" s="5"/>
        <tr r="D328" s="5"/>
        <tr r="F248" s="5"/>
        <tr r="L59" s="5"/>
        <tr r="A321" s="6"/>
        <tr r="A275" s="5"/>
        <tr r="I198" s="5"/>
        <tr r="E338" s="5"/>
        <tr r="B306" s="5"/>
        <tr r="M39" s="5"/>
        <tr r="B246" s="5"/>
        <tr r="G267" s="5"/>
        <tr r="C266" s="5"/>
        <tr r="J252" s="5"/>
        <tr r="L366" s="5"/>
        <tr r="M249" s="5"/>
        <tr r="J314" s="5"/>
        <tr r="L241" s="5"/>
        <tr r="J102" s="5"/>
        <tr r="M348" s="5"/>
        <tr r="P361" s="5"/>
        <tr r="I279" s="5"/>
        <tr r="A130" s="5"/>
        <tr r="N299" s="5"/>
        <tr r="L239" s="5"/>
        <tr r="B263" s="5"/>
        <tr r="B62" s="5"/>
        <tr r="O341" s="5"/>
        <tr r="I347" s="5"/>
        <tr r="I101" s="5"/>
        <tr r="P170" s="5"/>
        <tr r="D176" s="5"/>
        <tr r="F142" s="6"/>
        <tr r="D252" s="5"/>
        <tr r="B327" s="5"/>
        <tr r="D173" s="5"/>
        <tr r="I89" s="5"/>
        <tr r="A188" s="5"/>
        <tr r="J116" s="5"/>
        <tr r="H84" s="5"/>
        <tr r="O207" s="5"/>
        <tr r="B94" s="5"/>
        <tr r="D260" s="5"/>
        <tr r="N60" s="5"/>
        <tr r="G123" s="5"/>
        <tr r="C305" s="5"/>
        <tr r="C303" s="5"/>
        <tr r="C334" s="5"/>
        <tr r="O60" s="5"/>
        <tr r="H320" s="5"/>
        <tr r="P213" s="5"/>
        <tr r="M77" s="5"/>
        <tr r="N171" s="5"/>
        <tr r="E289" s="5"/>
        <tr r="B98" s="5"/>
        <tr r="A50" s="5"/>
        <tr r="A365" s="6"/>
        <tr r="P296" s="5"/>
        <tr r="A23" s="5"/>
        <tr r="O367" s="5"/>
        <tr r="H194" s="5"/>
        <tr r="H344" s="5"/>
        <tr r="L91" s="5"/>
        <tr r="J255" s="5"/>
        <tr r="F355" s="5"/>
        <tr r="A310" s="5"/>
        <tr r="A183" s="6"/>
        <tr r="A174" s="6"/>
        <tr r="D221" s="5"/>
        <tr r="G327" s="5"/>
        <tr r="C8" s="5"/>
        <tr r="D295" s="5"/>
        <tr r="I203" s="5"/>
        <tr r="M207" s="5"/>
        <tr r="D148" s="5"/>
        <tr r="E291" s="5"/>
        <tr r="M134" s="5"/>
        <tr r="E178" s="5"/>
        <tr r="L178" s="5"/>
        <tr r="M218" s="5"/>
        <tr r="B112" s="5"/>
        <tr r="O134" s="5"/>
        <tr r="J188" s="5"/>
        <tr r="O122" s="5"/>
        <tr r="L378" s="5"/>
        <tr r="G70" s="5"/>
        <tr r="G296" s="5"/>
        <tr r="I165" s="5"/>
        <tr r="L55" s="5"/>
        <tr r="A192" s="6"/>
        <tr r="B300" s="5"/>
        <tr r="N55" s="5"/>
        <tr r="N149" s="5"/>
        <tr r="O282" s="5"/>
        <tr r="D325" s="5"/>
        <tr r="H68" s="5"/>
        <tr r="E222" s="5"/>
        <tr r="E152" s="5"/>
        <tr r="M346" s="5"/>
        <tr r="A366" s="6"/>
        <tr r="O149" s="5"/>
        <tr r="N288" s="5"/>
        <tr r="A266" s="6"/>
        <tr r="L216" s="5"/>
        <tr r="H343" s="5"/>
        <tr r="P307" s="5"/>
        <tr r="A332" s="5"/>
        <tr r="L249" s="5"/>
        <tr r="A11" s="5"/>
        <tr r="A303" s="6"/>
        <tr r="N185" s="5"/>
        <tr r="A284" s="6"/>
        <tr r="C278" s="5"/>
        <tr r="L251" s="5"/>
        <tr r="H266" s="5"/>
        <tr r="A369" s="5"/>
        <tr r="O74" s="5"/>
        <tr r="G295" s="5"/>
        <tr r="D307" s="5"/>
        <tr r="I5" s="6"/>
        <tr r="M282" s="5"/>
        <tr r="J139" s="5"/>
        <tr r="I294" s="5"/>
        <tr r="J47" s="5"/>
        <tr r="L338" s="5"/>
        <tr r="P105" s="5"/>
        <tr r="J184" s="5"/>
        <tr r="A231" s="6"/>
        <tr r="O338" s="5"/>
        <tr r="L355" s="5"/>
        <tr r="A69" s="6"/>
        <tr r="A260" s="5"/>
        <tr r="G150" s="5"/>
        <tr r="B350" s="5"/>
        <tr r="J354" s="5"/>
        <tr r="L117" s="5"/>
        <tr r="E41" s="5"/>
        <tr r="B57" s="5"/>
        <tr r="C79" s="5"/>
        <tr r="D206" s="5"/>
        <tr r="B261" s="5"/>
        <tr r="I214" s="5"/>
        <tr r="J269" s="5"/>
        <tr r="D324" s="5"/>
        <tr r="J250" s="5"/>
        <tr r="O31" s="5"/>
        <tr r="G338" s="5"/>
        <tr r="A150" s="5"/>
        <tr r="H334" s="5"/>
        <tr r="E327" s="5"/>
        <tr r="G336" s="5"/>
        <tr r="C264" s="5"/>
        <tr r="L200" s="5"/>
        <tr r="M229" s="5"/>
        <tr r="H322" s="5"/>
        <tr r="D107" s="5"/>
        <tr r="L35" s="5"/>
        <tr r="A313" s="6"/>
        <tr r="O254" s="5"/>
        <tr r="E7" s="5"/>
        <tr r="A173" s="6"/>
        <tr r="A197" s="5"/>
        <tr r="A239" s="5"/>
        <tr r="I378" s="5"/>
        <tr r="C283" s="5"/>
        <tr r="J259" s="5"/>
        <tr r="B174" s="5"/>
        <tr r="G251" s="5"/>
        <tr r="M33" s="5"/>
        <tr r="B345" s="5"/>
        <tr r="N142" s="5"/>
        <tr r="B312" s="5"/>
        <tr r="A370" s="6"/>
        <tr r="E159" s="5"/>
        <tr r="J114" s="5"/>
        <tr r="M181" s="5"/>
        <tr r="A170" s="5"/>
        <tr r="M235" s="5"/>
        <tr r="A194" s="6"/>
        <tr r="A39" s="6"/>
        <tr r="G367" s="5"/>
        <tr r="A114" s="5"/>
        <tr r="C118" s="5"/>
        <tr r="A52" s="5"/>
        <tr r="A41" s="5"/>
        <tr r="C214" s="5"/>
        <tr r="M349" s="5"/>
        <tr r="G297" s="5"/>
        <tr r="E332" s="5"/>
        <tr r="N224" s="5"/>
        <tr r="M129" s="5"/>
        <tr r="H362" s="5"/>
        <tr r="P61" s="5"/>
        <tr r="L198" s="5"/>
        <tr r="N199" s="5"/>
        <tr r="A97" s="6"/>
        <tr r="A83" s="5"/>
        <tr r="J181" s="5"/>
        <tr r="C236" s="5"/>
        <tr r="A217" s="5"/>
        <tr r="H158" s="5"/>
        <tr r="L147" s="5"/>
        <tr r="N147" s="5"/>
        <tr r="A295" s="6"/>
        <tr r="E161" s="5"/>
        <tr r="J310" s="5"/>
        <tr r="A157" s="5"/>
        <tr r="D234" s="5"/>
        <tr r="C193" s="5"/>
        <tr r="A225" s="6"/>
        <tr r="E96" s="5"/>
        <tr r="C142" s="5"/>
        <tr r="E113" s="5"/>
        <tr r="A30" s="5"/>
        <tr r="J333" s="5"/>
        <tr r="C247" s="5"/>
        <tr r="L214" s="5"/>
        <tr r="H170" s="5"/>
        <tr r="J272" s="5"/>
        <tr r="H256" s="5"/>
        <tr r="L353" s="5"/>
        <tr r="L128" s="5"/>
        <tr r="H161" s="5"/>
        <tr r="A250" s="5"/>
        <tr r="A20" s="5"/>
        <tr r="A98" s="6"/>
        <tr r="N252" s="5"/>
        <tr r="E184" s="5"/>
        <tr r="N42" s="5"/>
        <tr r="M178" s="5"/>
        <tr r="P143" s="5"/>
        <tr r="A201" s="5"/>
        <tr r="N48" s="5"/>
        <tr r="A341" s="6"/>
        <tr r="A227" s="6"/>
        <tr r="B245" s="5"/>
        <tr r="E216" s="5"/>
        <tr r="I300" s="5"/>
        <tr r="A94" s="6"/>
        <tr r="N175" s="5"/>
        <tr r="C304" s="5"/>
        <tr r="C218" s="5"/>
        <tr r="O375" s="5"/>
        <tr r="A71" s="6"/>
        <tr r="H123" s="5"/>
        <tr r="E328" s="5"/>
        <tr r="A139" s="6"/>
        <tr r="H312" s="5"/>
        <tr r="F113" s="5"/>
        <tr r="N167" s="5"/>
        <tr r="N363" s="5"/>
        <tr r="G175" s="5"/>
        <tr r="L323" s="5"/>
        <tr r="P200" s="5"/>
        <tr r="A64" s="6"/>
        <tr r="H217" s="5"/>
        <tr r="I112" s="5"/>
        <tr r="M54" s="5"/>
        <tr r="F161" s="5"/>
        <tr r="J182" s="5"/>
        <tr r="M169" s="5"/>
        <tr r="L116" s="5"/>
        <tr r="J144" s="5"/>
        <tr r="N148" s="5"/>
        <tr r="E344" s="5"/>
        <tr r="B273" s="5"/>
        <tr r="C43" s="5"/>
        <tr r="H177" s="5"/>
        <tr r="C207" s="5"/>
        <tr r="L265" s="5"/>
        <tr r="E354" s="5"/>
        <tr r="L102" s="5"/>
        <tr r="B285" s="5"/>
        <tr r="G293" s="5"/>
        <tr r="N152" s="5"/>
        <tr r="G378" s="5"/>
        <tr r="P72" s="5"/>
        <tr r="D214" s="5"/>
        <tr r="B379" s="5"/>
        <tr r="A64" s="5"/>
        <tr r="F4" s="5"/>
        <tr r="M72" s="5"/>
        <tr r="M36" s="5"/>
        <tr r="H222" s="5"/>
        <tr r="M297" s="5"/>
        <tr r="L31" s="5"/>
        <tr r="H220" s="5"/>
        <tr r="C150" s="5"/>
        <tr r="L79" s="5"/>
        <tr r="A331" s="5"/>
        <tr r="E180" s="5"/>
        <tr r="A98" s="5"/>
        <tr r="A110" s="6"/>
        <tr r="P273" s="5"/>
        <tr r="H147" s="5"/>
        <tr r="L285" s="5"/>
        <tr r="D95" s="5"/>
        <tr r="C143" s="5"/>
        <tr r="E172" s="5"/>
        <tr r="A252" s="5"/>
        <tr r="I60" s="5"/>
        <tr r="E83" s="5"/>
        <tr r="G207" s="5"/>
        <tr r="A174" s="5"/>
        <tr r="A202" s="5"/>
        <tr r="H72" s="5"/>
        <tr r="P207" s="5"/>
        <tr r="A286" s="5"/>
        <tr r="D99" s="5"/>
        <tr r="O59" s="5"/>
        <tr r="A78" s="5"/>
        <tr r="B236" s="5"/>
        <tr r="P135" s="5"/>
        <tr r="D233" s="5"/>
        <tr r="G161" s="5"/>
        <tr r="C61" s="5"/>
        <tr r="E242" s="5"/>
        <tr r="A351" s="6"/>
        <tr r="M219" s="5"/>
        <tr r="E138" s="5"/>
        <tr r="G318" s="5"/>
        <tr r="C216" s="5"/>
        <tr r="E89" s="5"/>
        <tr r="N90" s="5"/>
        <tr r="L258" s="5"/>
        <tr r="B233" s="5"/>
        <tr r="C287" s="5"/>
        <tr r="E134" s="5"/>
        <tr r="N81" s="5"/>
        <tr r="A251" s="6"/>
        <tr r="A73" s="5"/>
        <tr r="M159" s="5"/>
        <tr r="J145" s="5"/>
        <tr r="L291" s="5"/>
        <tr r="A322" s="6"/>
        <tr r="H183" s="5"/>
        <tr r="L144" s="5"/>
        <tr r="M145" s="5"/>
        <tr r="E183" s="5"/>
        <tr r="H213" s="5"/>
        <tr r="A138" s="5"/>
        <tr r="C291" s="5"/>
        <tr r="H205" s="5"/>
        <tr r="L208" s="5"/>
        <tr r="A276" s="6"/>
        <tr r="G66" s="5"/>
        <tr r="A123" s="6"/>
        <tr r="M4" s="5"/>
        <tr r="C297" s="5"/>
        <tr r="N294" s="5"/>
        <tr r="B253" s="5"/>
        <tr r="J65" s="5"/>
        <tr r="C204" s="5"/>
        <tr r="A338" s="6"/>
        <tr r="H181" s="5"/>
        <tr r="C318" s="5"/>
        <tr r="O115" s="5"/>
        <tr r="L22" s="5"/>
        <tr r="J29" s="5"/>
        <tr r="E168" s="5"/>
        <tr r="C220" s="5"/>
        <tr r="A256" s="6"/>
        <tr r="E44" s="5"/>
        <tr r="D93" s="6"/>
        <tr r="D241" s="5"/>
        <tr r="M261" s="5"/>
        <tr r="M213" s="5"/>
        <tr r="L375" s="5"/>
        <tr r="O213" s="5"/>
        <tr r="B215" s="5"/>
        <tr r="N203" s="5"/>
        <tr r="O336" s="5"/>
        <tr r="O378" s="5"/>
        <tr r="B79" s="5"/>
        <tr r="D242" s="5"/>
        <tr r="H202" s="5"/>
        <tr r="M358" s="5"/>
        <tr r="M298" s="5"/>
        <tr r="I158" s="5"/>
        <tr r="L293" s="5"/>
        <tr r="I186" s="5"/>
        <tr r="G377" s="5"/>
        <tr r="G160" s="5"/>
        <tr r="A102" s="6"/>
        <tr r="C177" s="5"/>
        <tr r="C148" s="5"/>
        <tr r="J161" s="5"/>
        <tr r="A258" s="6"/>
        <tr r="A214" s="5"/>
        <tr r="P116" s="5"/>
        <tr r="B167" s="5"/>
        <tr r="I260" s="5"/>
        <tr r="A91" s="5"/>
        <tr r="E194" s="5"/>
        <tr r="E133" s="5"/>
        <tr r="A235" s="6"/>
        <tr r="P63" s="5"/>
        <tr r="A300" s="5"/>
        <tr r="P257" s="5"/>
        <tr r="B180" s="5"/>
        <tr r="A299" s="5"/>
        <tr r="A87" s="6"/>
        <tr r="E218" s="5"/>
        <tr r="A8" s="5"/>
        <tr r="I366" s="5"/>
        <tr r="A194" s="5"/>
        <tr r="P189" s="5"/>
        <tr r="M241" s="5"/>
        <tr r="P240" s="5"/>
        <tr r="G193" s="5"/>
        <tr r="G198" s="5"/>
        <tr r="O123" s="5"/>
        <tr r="N219" s="5"/>
        <tr r="N85" s="5"/>
        <tr r="N211" s="5"/>
        <tr r="M265" s="5"/>
        <tr r="A316" s="5"/>
        <tr r="L213" s="5"/>
        <tr r="A206" s="6"/>
        <tr r="C188" s="5"/>
        <tr r="C260" s="5"/>
        <tr r="E380" s="5"/>
        <tr r="C95" s="5"/>
        <tr r="L305" s="5"/>
        <tr r="N112" s="5"/>
        <tr r="A57" s="6"/>
        <tr r="A70" s="6"/>
        <tr r="O44" s="5"/>
        <tr r="D250" s="5"/>
        <tr r="A15" s="5"/>
        <tr r="M341" s="5"/>
        <tr r="N160" s="5"/>
        <tr r="E149" s="5"/>
        <tr r="L96" s="5"/>
        <tr r="M210" s="5"/>
        <tr r="P184" s="5"/>
        <tr r="B322" s="5"/>
        <tr r="O137" s="5"/>
        <tr r="L304" s="5"/>
        <tr r="A138" s="6"/>
        <tr r="G184" s="5"/>
        <tr r="N96" s="5"/>
        <tr r="E252" s="5"/>
        <tr r="A208" s="5"/>
        <tr r="A348" s="6"/>
        <tr r="A363" s="5"/>
        <tr r="A337" s="6"/>
        <tr r="G5" s="6"/>
        <tr r="G212" s="5"/>
        <tr r="P65" s="5"/>
        <tr r="P374" s="5"/>
        <tr r="A34" s="6"/>
        <tr r="C210" s="5"/>
        <tr r="A308" s="6"/>
        <tr r="H178" s="5"/>
        <tr r="A339" s="6"/>
        <tr r="F98" s="5"/>
        <tr r="O249" s="5"/>
        <tr r="C224" s="5"/>
        <tr r="P250" s="5"/>
        <tr r="B227" s="5"/>
        <tr r="P41" s="5"/>
        <tr r="M73" s="5"/>
        <tr r="L140" s="5"/>
        <tr r="L247" s="5"/>
        <tr r="M194" s="5"/>
        <tr r="A297" s="5"/>
        <tr r="E105" s="5"/>
        <tr r="F271" s="5"/>
        <tr r="G306" s="5"/>
        <tr r="I10" s="5"/>
        <tr r="D139" s="5"/>
        <tr r="D124" s="5"/>
        <tr r="A92" s="5"/>
        <tr r="M276" s="5"/>
        <tr r="L218" s="5"/>
        <tr r="L347" s="5"/>
        <tr r="O232" s="5"/>
        <tr r="J349" s="5"/>
        <tr r="C135" s="5"/>
        <tr r="L327" s="5"/>
        <tr r="H79" s="5"/>
        <tr r="O208" s="5"/>
        <tr r="O214" s="5"/>
        <tr r="D308" s="5"/>
        <tr r="D262" s="5"/>
        <tr r="N172" s="5"/>
        <tr r="A332" s="6"/>
        <tr r="L356" s="5"/>
        <tr r="M74" s="5"/>
        <tr r="F322" s="5"/>
        <tr r="B113" s="5"/>
        <tr r="F286" s="5"/>
        <tr r="I271" s="5"/>
        <tr r="A24" s="6"/>
        <tr r="C240" s="5"/>
        <tr r="J266" s="5"/>
        <tr r="O152" s="5"/>
        <tr r="O274" s="5"/>
        <tr r="P79" s="5"/>
        <tr r="A46" s="6"/>
        <tr r="N340" s="5"/>
        <tr r="A198" s="5"/>
        <tr r="A68" s="5"/>
        <tr r="A68" s="6"/>
        <tr r="N307" s="5"/>
        <tr r="P227" s="5"/>
        <tr r="E322" s="5"/>
        <tr r="G120" s="5"/>
        <tr r="M40" s="5"/>
        <tr r="A305" s="6"/>
        <tr r="I341" s="5"/>
        <tr r="H167" s="5"/>
        <tr r="H285" s="5"/>
        <tr r="O75" s="5"/>
        <tr r="A290" s="5"/>
        <tr r="J338" s="5"/>
        <tr r="I191" s="5"/>
        <tr r="B360" s="5"/>
        <tr r="N163" s="5"/>
        <tr r="H55" s="5"/>
        <tr r="I109" s="5"/>
        <tr r="E367" s="5"/>
        <tr r="A54" s="6"/>
        <tr r="A75" s="5"/>
        <tr r="A201" s="6"/>
        <tr r="E103" s="5"/>
        <tr r="A177" s="5"/>
        <tr r="L185" s="5"/>
        <tr r="C106" s="5"/>
        <tr r="H288" s="5"/>
        <tr r="O111" s="5"/>
        <tr r="L194" s="5"/>
        <tr r="B158" s="5"/>
        <tr r="N106" s="5"/>
        <tr r="O226" s="5"/>
        <tr r="C34" s="5"/>
        <tr r="N116" s="5"/>
        <tr r="P151" s="5"/>
        <tr r="A148" s="5"/>
        <tr r="A193" s="5"/>
        <tr r="B179" s="5"/>
        <tr r="L82" s="5"/>
        <tr r="O323" s="5"/>
        <tr r="P147" s="5"/>
        <tr r="A130" s="6"/>
        <tr r="A229" s="6"/>
        <tr r="O222" s="5"/>
        <tr r="N192" s="5"/>
        <tr r="A72" s="5"/>
        <tr r="A225" s="5"/>
        <tr r="J227" s="5"/>
        <tr r="I288" s="5"/>
        <tr r="L10" s="5"/>
        <tr r="G75" s="5"/>
        <tr r="O300" s="5"/>
        <tr r="L303" s="5"/>
        <tr r="A6" s="5"/>
        <tr r="G144" s="5"/>
        <tr r="A145" s="5"/>
        <tr r="J164" s="5"/>
        <tr r="G107" s="5"/>
        <tr r="A25" s="6"/>
        <tr r="G273" s="5"/>
        <tr r="C29" s="5"/>
        <tr r="B324" s="5"/>
        <tr r="J60" s="5"/>
        <tr r="P224" s="5"/>
        <tr r="J232" s="5"/>
        <tr r="N355" s="5"/>
        <tr r="A302" s="6"/>
        <tr r="O239" s="5"/>
        <tr r="C339" s="5"/>
        <tr r="A312" s="6"/>
        <tr r="A255" s="6"/>
        <tr r="A158" s="5"/>
        <tr r="G254" s="5"/>
        <tr r="J201" s="5"/>
        <tr r="H104" s="5"/>
        <tr r="M353" s="5"/>
        <tr r="P191" s="5"/>
        <tr r="I222" s="5"/>
        <tr r="O324" s="5"/>
        <tr r="C17" s="5"/>
        <tr r="A343" s="5"/>
        <tr r="D174" s="5"/>
        <tr r="F164" s="5"/>
        <tr r="C302" s="5"/>
        <tr r="B159" s="5"/>
        <tr r="E285" s="5"/>
        <tr r="B178" s="5"/>
        <tr r="F324" s="5"/>
        <tr r="M378" s="5"/>
        <tr r="D111" s="5"/>
        <tr r="A364" s="5"/>
        <tr r="P5" s="5"/>
        <tr r="C5" s="6"/>
        <tr r="A166" s="6"/>
        <tr r="C174" s="5"/>
        <tr r="J374" s="5"/>
        <tr r="C290" s="5"/>
        <tr r="L189" s="5"/>
        <tr r="H331" s="5"/>
        <tr r="I333" s="5"/>
        <tr r="J340" s="5"/>
        <tr r="A238" s="5"/>
        <tr r="E84" s="5"/>
        <tr r="N360" s="5"/>
        <tr r="O241" s="5"/>
        <tr r="L156" s="5"/>
        <tr r="E150" s="5"/>
        <tr r="B228" s="5"/>
        <tr r="E213" s="5"/>
        <tr r="L289" s="5"/>
        <tr r="M302" s="5"/>
        <tr r="H276" s="5"/>
        <tr r="L295" s="5"/>
        <tr r="G163" s="5"/>
        <tr r="G42" s="5"/>
        <tr r="A114" s="6"/>
        <tr r="E167" s="5"/>
        <tr r="L260" s="5"/>
        <tr r="D137" s="5"/>
        <tr r="G82" s="5"/>
        <tr r="A200" s="5"/>
        <tr r="A132" s="5"/>
        <tr r="N178" s="5"/>
        <tr r="L274" s="5"/>
        <tr r="M300" s="5"/>
        <tr r="M158" s="5"/>
        <tr r="M254" s="5"/>
        <tr r="M303" s="5"/>
        <tr r="P304" s="5"/>
        <tr r="B197" s="5"/>
        <tr r="P201" s="5"/>
        <tr r="N43" s="5"/>
        <tr r="E82" s="5"/>
        <tr r="A115" s="6"/>
        <tr r="G277" s="5"/>
        <tr r="M263" s="5"/>
        <tr r="L159" s="5"/>
        <tr r="O252" s="5"/>
        <tr r="N136" s="5"/>
        <tr r="G35" s="5"/>
        <tr r="G227" s="5"/>
        <tr r="L109" s="5"/>
        <tr r="D247" s="5"/>
        <tr r="E63" s="5"/>
        <tr r="G236" s="5"/>
        <tr r="A65" s="5"/>
        <tr r="L363" s="5"/>
        <tr r="A137" s="6"/>
        <tr r="N227" s="5"/>
        <tr r="N23" s="5"/>
        <tr r="G371" s="5"/>
        <tr r="G229" s="5"/>
        <tr r="A83" s="6"/>
        <tr r="M281" s="5"/>
        <tr r="A257" s="6"/>
        <tr r="L297" s="5"/>
        <tr r="A108" s="5"/>
        <tr r="L174" s="5"/>
        <tr r="N47" s="5"/>
        <tr r="A310" s="6"/>
        <tr r="I273" s="5"/>
        <tr r="A367" s="6"/>
        <tr r="B268" s="5"/>
        <tr r="G305" s="5"/>
        <tr r="G292" s="5"/>
        <tr r="A246" s="5"/>
        <tr r="P13" s="5"/>
        <tr r="A51" s="5"/>
        <tr r="M306" s="5"/>
        <tr r="A121" s="6"/>
        <tr r="H281" s="5"/>
        <tr r="A326" s="6"/>
        <tr r="G99" s="5"/>
        <tr r="E317" s="5"/>
        <tr r="G211" s="5"/>
        <tr r="J96" s="5"/>
        <tr r="H332" s="5"/>
        <tr r="P33" s="5"/>
        <tr r="M291" s="5"/>
        <tr r="D65" s="5"/>
        <tr r="B229" s="5"/>
        <tr r="N241" s="5"/>
        <tr r="G307" s="5"/>
        <tr r="O313" s="5"/>
        <tr r="J287" s="5"/>
        <tr r="B265" s="5"/>
        <tr r="B85" s="5"/>
        <tr r="M310" s="5"/>
        <tr r="H336" s="5"/>
        <tr r="E363" s="5"/>
        <tr r="I184" s="5"/>
        <tr r="N314" s="5"/>
        <tr r="B235" s="5"/>
        <tr r="F332" s="5"/>
        <tr r="F187" s="5"/>
        <tr r="G112" s="5"/>
        <tr r="M301" s="5"/>
        <tr r="N291" s="5"/>
        <tr r="J77" s="6"/>
        <tr r="N72" s="5"/>
        <tr r="G269" s="5"/>
        <tr r="G302" s="5"/>
        <tr r="H291" s="5"/>
        <tr r="C253" s="5"/>
        <tr r="H269" s="5"/>
        <tr r="A45" s="5"/>
        <tr r="E33" s="5"/>
        <tr r="L222" s="5"/>
        <tr r="G134" s="5"/>
        <tr r="G115" s="5"/>
        <tr r="M67" s="5"/>
        <tr r="J171" s="5"/>
        <tr r="O34" s="5"/>
        <tr r="A273" s="6"/>
        <tr r="O273" s="5"/>
        <tr r="J260" s="5"/>
        <tr r="J148" s="5"/>
        <tr r="A228" s="5"/>
        <tr r="A126" s="5"/>
        <tr r="G219" s="5"/>
        <tr r="G180" s="5"/>
        <tr r="J375" s="5"/>
        <tr r="N145" s="5"/>
        <tr r="L365" s="5"/>
        <tr r="B204" s="5"/>
        <tr r="J113" s="5"/>
        <tr r="J185" s="5"/>
        <tr r="J353" s="5"/>
        <tr r="J142" s="5"/>
        <tr r="A169" s="5"/>
        <tr r="M216" s="5"/>
        <tr r="A153" s="6"/>
        <tr r="A20" s="6"/>
        <tr r="P319" s="5"/>
        <tr r="M338" s="5"/>
        <tr r="N246" s="5"/>
        <tr r="B276" s="5"/>
        <tr r="N33" s="5"/>
        <tr r="N338" s="5"/>
        <tr r="B10" s="5"/>
        <tr r="M370" s="5"/>
        <tr r="E73" s="5"/>
        <tr r="M152" s="5"/>
        <tr r="P83" s="5"/>
        <tr r="H252" s="5"/>
        <tr r="A240" s="5"/>
        <tr r="M293" s="5"/>
        <tr r="A111" s="5"/>
        <tr r="N273" s="5"/>
        <tr r="G288" s="5"/>
        <tr r="P121" s="5"/>
        <tr r="P324" s="5"/>
        <tr r="C191" s="5"/>
        <tr r="A345" s="5"/>
        <tr r="I263" s="5"/>
        <tr r="A135" s="6"/>
        <tr r="D22" s="5"/>
        <tr r="C152" s="5"/>
        <tr r="A335" s="6"/>
        <tr r="A34" s="5"/>
        <tr r="H17" s="5"/>
        <tr r="P167" s="5"/>
        <tr r="B219" s="5"/>
        <tr r="C319" s="5"/>
        <tr r="A349" s="5"/>
        <tr r="H207" s="5"/>
        <tr r="C38" s="5"/>
        <tr r="O325" s="5"/>
        <tr r="H274" s="5"/>
        <tr r="H304" s="5"/>
        <tr r="A118" s="5"/>
        <tr r="B192" s="5"/>
        <tr r="A355" s="5"/>
        <tr r="M340" s="5"/>
        <tr r="A141" s="5"/>
        <tr r="M266" s="5"/>
        <tr r="P145" s="5"/>
        <tr r="A232" s="5"/>
        <tr r="A55" s="5"/>
        <tr r="H246" s="5"/>
        <tr r="I349" s="5"/>
        <tr r="B171" s="5"/>
        <tr r="E371" s="5"/>
        <tr r="A182" s="6"/>
        <tr r="H283" s="5"/>
        <tr r="A59" s="6"/>
        <tr r="P261" s="5"/>
        <tr r="E220" s="5"/>
        <tr r="G320" s="5"/>
        <tr r="A85" s="5"/>
        <tr r="P290" s="5"/>
        <tr r="B267" s="5"/>
        <tr r="D185" s="5"/>
        <tr r="C270" s="5"/>
        <tr r="J134" s="5"/>
        <tr r="C82" s="5"/>
        <tr r="N330" s="5"/>
        <tr r="G181" s="5"/>
        <tr r="A116" s="6"/>
        <tr r="H90" s="5"/>
        <tr r="P367" s="5"/>
        <tr r="L350" s="5"/>
        <tr r="M116" s="5"/>
        <tr r="I316" s="5"/>
        <tr r="D278" s="5"/>
        <tr r="D351" s="5"/>
        <tr r="F265" s="5"/>
        <tr r="G111" s="5"/>
        <tr r="D169" s="5"/>
        <tr r="M186" s="5"/>
        <tr r="C124" s="5"/>
        <tr r="J231" s="5"/>
        <tr r="M184" s="5"/>
        <tr r="A214" s="6"/>
        <tr r="M312" s="5"/>
        <tr r="N372" s="5"/>
        <tr r="E306" s="5"/>
        <tr r="A172" s="6"/>
        <tr r="N306" s="5"/>
        <tr r="G165" s="5"/>
        <tr r="O374" s="5"/>
        <tr r="N119" s="5"/>
        <tr r="P268" s="5"/>
        <tr r="A69" s="5"/>
        <tr r="H241" s="5"/>
        <tr r="A106" s="5"/>
        <tr r="P336" s="5"/>
        <tr r="E202" s="5"/>
        <tr r="P313" s="5"/>
        <tr r="I220" s="5"/>
        <tr r="J317" s="5"/>
        <tr r="M160" s="5"/>
        <tr r="A333" s="5"/>
        <tr r="L269" s="5"/>
        <tr r="B189" s="5"/>
        <tr r="O352" s="5"/>
        <tr r="A374" s="5"/>
        <tr r="C102" s="5"/>
        <tr r="A226" s="5"/>
        <tr r="J106" s="5"/>
        <tr r="N239" s="5"/>
        <tr r="O70" s="5"/>
        <tr r="D320" s="5"/>
        <tr r="C83" s="5"/>
        <tr r="J187" s="5"/>
        <tr r="B221" s="5"/>
        <tr r="A40" s="6"/>
        <tr r="N361" s="5"/>
        <tr r="A206" s="5"/>
        <tr r="P109" s="5"/>
        <tr r="A137" s="5"/>
        <tr r="B356" s="5"/>
        <tr r="C213" s="5"/>
        <tr r="O330" s="5"/>
        <tr r="M113" s="5"/>
        <tr r="D219" s="5"/>
        <tr r="O127" s="5"/>
        <tr r="E307" s="5"/>
        <tr r="J303" s="5"/>
        <tr r="A136" s="5"/>
        <tr r="N364" s="5"/>
        <tr r="A156" s="6"/>
        <tr r="P204" s="5"/>
        <tr r="A290" s="6"/>
        <tr r="P283" s="5"/>
        <tr r="A189" s="6"/>
        <tr r="D350" s="5"/>
        <tr r="A302" s="5"/>
        <tr r="B216" s="5"/>
        <tr r="A105" s="5"/>
        <tr r="I77" s="5"/>
        <tr r="B150" s="5"/>
        <tr r="C267" s="5"/>
        <tr r="O110" s="5"/>
        <tr r="H195" s="5"/>
        <tr r="A89" s="5"/>
        <tr r="B292" s="5"/>
        <tr r="O136" s="5"/>
        <tr r="A30" s="6"/>
        <tr r="G270" s="5"/>
        <tr r="H263" s="5"/>
        <tr r="E101" s="5"/>
        <tr r="N117" s="5"/>
        <tr r="H10" s="5"/>
        <tr r="J66" s="5"/>
        <tr r="I183" s="5"/>
        <tr r="E270" s="5"/>
        <tr r="E112" s="5"/>
        <tr r="E297" s="5"/>
        <tr r="J149" s="5"/>
        <tr r="C355" s="5"/>
        <tr r="D163" s="5"/>
        <tr r="A325" s="6"/>
        <tr r="L56" s="5"/>
        <tr r="O224" s="5"/>
        <tr r="B254" s="5"/>
        <tr r="O179" s="5"/>
        <tr r="N128" s="5"/>
        <tr r="C276" s="5"/>
        <tr r="A5" s="5"/>
        <tr r="D243" s="5"/>
        <tr r="I225" s="5"/>
        <tr r="C237" s="5"/>
        <tr r="P90" s="5"/>
        <tr r="B223" s="5"/>
        <tr r="D120" s="5"/>
        <tr r="A355" s="6"/>
        <tr r="A251" s="5"/>
        <tr r="P199" s="5"/>
        <tr r="D273" s="5"/>
        <tr r="H107" s="5"/>
        <tr r="H216" s="5"/>
        <tr r="A152" s="5"/>
        <tr r="A360" s="6"/>
        <tr r="P210" s="5"/>
        <tr r="A136" s="6"/>
        <tr r="A316" s="6"/>
        <tr r="A370" s="5"/>
        <tr r="G202" s="5"/>
        <tr r="A61" s="5"/>
        <tr r="A60" s="5"/>
        <tr r="A218" s="5"/>
        <tr r="O196" s="5"/>
        <tr r="A278" s="6"/>
        <tr r="A273" s="5"/>
        <tr r="I4" s="5"/>
        <tr r="A31" s="5"/>
        <tr r="P115" s="5"/>
        <tr r="L38" s="5"/>
        <tr r="A23" s="6"/>
        <tr r="B4" s="5"/>
        <tr r="A304" s="5"/>
        <tr r="I178" s="5"/>
        <tr r="A249" s="6"/>
        <tr r="E128" s="5"/>
        <tr r="A306" s="5"/>
        <tr r="B136" s="5"/>
        <tr r="A199" s="6"/>
        <tr r="A353" s="6"/>
        <tr r="A56" s="5"/>
        <tr r="A336" s="6"/>
        <tr r="A291" s="5"/>
        <tr r="A56" s="6"/>
        <tr r="A303" s="5"/>
        <tr r="A185" s="6"/>
        <tr r="A296" s="6"/>
        <tr r="A124" s="5"/>
        <tr r="A60" s="6"/>
        <tr r="A265" s="6"/>
        <tr r="A12" s="6"/>
        <tr r="L7" s="5"/>
        <tr r="A117" s="5"/>
        <tr r="A39" s="5"/>
        <tr r="A294" s="6"/>
        <tr r="A163" s="5"/>
        <tr r="A126" s="6"/>
        <tr r="A233" s="6"/>
        <tr r="E4" s="5"/>
        <tr r="A163" s="6"/>
        <tr r="A73" s="6"/>
        <tr r="A373" s="6"/>
        <tr r="G154" s="5"/>
        <tr r="A244" s="6"/>
        <tr r="B134" s="5"/>
        <tr r="P196" s="5"/>
        <tr r="A67" s="5"/>
        <tr r="P96" s="5"/>
        <tr r="A168" s="6"/>
        <tr r="A255" s="5"/>
        <tr r="B210" s="5"/>
        <tr r="A52" s="6"/>
        <tr r="A125" s="5"/>
        <tr r="A347" s="5"/>
        <tr r="A142" s="5"/>
        <tr r="A142" s="6"/>
        <tr r="A37" s="6"/>
        <tr r="J4" s="5"/>
        <tr r="A150" s="6"/>
        <tr r="A109" s="6"/>
        <tr r="P229" s="5"/>
        <tr r="A57" s="5"/>
        <tr r="B355" s="5"/>
        <tr r="A66" s="5"/>
        <tr r="A185" s="5"/>
        <tr r="A280" s="6"/>
        <tr r="P26" s="5"/>
        <tr r="H133" s="5"/>
        <tr r="M212" s="5"/>
        <tr r="A131" s="5"/>
        <tr r="A215" s="6"/>
        <tr r="A344" s="5"/>
        <tr r="A120" s="6"/>
        <tr r="G264" s="5"/>
        <tr r="I248" s="5"/>
        <tr r="E262" s="5"/>
        <tr r="L211" s="5"/>
        <tr r="H89" s="5"/>
        <tr r="L25" s="5"/>
        <tr r="A220" s="6"/>
        <tr r="B305" s="5"/>
        <tr r="N212" s="5"/>
        <tr r="A287" s="6"/>
        <tr r="E124" s="5"/>
        <tr r="O112" s="5"/>
        <tr r="M247" s="5"/>
        <tr r="A121" s="5"/>
        <tr r="N336" s="5"/>
        <tr r="C184" s="5"/>
        <tr r="N251" s="5"/>
        <tr r="O4" s="5"/>
        <tr r="A371" s="6"/>
        <tr r="N182" s="5"/>
        <tr r="O365" s="5"/>
        <tr r="D310" s="5"/>
        <tr r="B326" s="5"/>
        <tr r="P112" s="5"/>
        <tr r="P148" s="5"/>
        <tr r="A167" s="6"/>
        <tr r="A309" s="5"/>
        <tr r="A247" s="6"/>
        <tr r="A102" s="5"/>
        <tr r="A282" s="5"/>
        <tr r="A180" s="6"/>
        <tr r="A122" s="6"/>
        <tr r="I324" s="5"/>
        <tr r="A228" s="6"/>
        <tr r="L149" s="5"/>
        <tr r="A234" s="6"/>
        <tr r="A294" s="5"/>
        <tr r="A151" s="5"/>
        <tr r="B117" s="5"/>
        <tr r="A242" s="6"/>
        <tr r="A134" s="5"/>
        <tr r="A340" s="5"/>
        <tr r="A319" s="6"/>
        <tr r="P32" s="5"/>
        <tr r="A242" s="5"/>
        <tr r="A377" s="5"/>
        <tr r="M56" s="5"/>
        <tr r="A223" s="6"/>
        <tr r="A221" s="5"/>
        <tr r="A259" s="6"/>
        <tr r="A153" s="5"/>
        <tr r="A312" s="5"/>
        <tr r="A36" s="5"/>
        <tr r="A109" s="5"/>
        <tr r="A35" s="5"/>
        <tr r="A354" s="5"/>
        <tr r="A236" s="5"/>
        <tr r="A131" s="6"/>
        <tr r="A307" s="6"/>
        <tr r="E251" s="5"/>
        <tr r="O39" s="5"/>
        <tr r="N233" s="5"/>
        <tr r="A263" s="6"/>
        <tr r="G266" s="5"/>
        <tr r="E56" s="5"/>
        <tr r="A256" s="5"/>
        <tr r="A149" s="5"/>
        <tr r="N91" s="5"/>
        <tr r="A151" s="6"/>
        <tr r="H5" s="6"/>
        <tr r="A33" s="6"/>
        <tr r="B164" s="5"/>
        <tr r="A49" s="6"/>
        <tr r="A196" s="6"/>
        <tr r="A66" s="6"/>
        <tr r="E282" s="5"/>
        <tr r="A224" s="5"/>
        <tr r="I121" s="5"/>
        <tr r="C134" s="5"/>
        <tr r="A67" s="6"/>
        <tr r="A141" s="6"/>
        <tr r="A169" s="6"/>
        <tr r="A110" s="5"/>
        <tr r="A246" s="6"/>
        <tr r="A15" s="6"/>
        <tr r="P254" s="5"/>
        <tr r="A336" s="5"/>
        <tr r="A143" s="5"/>
        <tr r="A248" s="5"/>
        <tr r="A325" s="5"/>
        <tr r="A358" s="5"/>
        <tr r="A281" s="5"/>
        <tr r="A79" s="5"/>
        <tr r="I227" s="5"/>
        <tr r="A271" s="6"/>
        <tr r="I261" s="5"/>
        <tr r="A298" s="6"/>
        <tr r="A180" s="5"/>
        <tr r="A203" s="5"/>
        <tr r="A262" s="5"/>
        <tr r="A202" s="6"/>
        <tr r="A103" s="5"/>
        <tr r="A357" s="6"/>
        <tr r="A327" s="5"/>
        <tr r="A116" s="5"/>
        <tr r="A211" s="6"/>
        <tr r="J55" s="5"/>
        <tr r="J74" s="5"/>
        <tr r="A152" s="6"/>
        <tr r="G222" s="5"/>
        <tr r="A77" s="5"/>
        <tr r="O366" s="5"/>
        <tr r="A244" s="5"/>
        <tr r="A6" s="6"/>
        <tr r="J218" s="5"/>
        <tr r="A216" s="6"/>
        <tr r="P339" s="5"/>
        <tr r="G290" s="5"/>
        <tr r="H99" s="5"/>
        <tr r="D332" s="5"/>
        <tr r="C206" s="5"/>
        <tr r="E65" s="5"/>
        <tr r="N73" s="5"/>
        <tr r="D103" s="5"/>
        <tr r="A298" s="5"/>
        <tr r="L123" s="5"/>
        <tr r="B367" s="5"/>
        <tr r="A259" s="5"/>
        <tr r="O135" s="5"/>
        <tr r="J297" s="5"/>
        <tr r="A175" s="5"/>
        <tr r="A221" s="6"/>
        <tr r="A268" s="6"/>
        <tr r="A112" s="5"/>
        <tr r="A331" s="6"/>
        <tr r="A197" s="6"/>
        <tr r="A167" s="5"/>
        <tr r="A42" s="6"/>
        <tr r="A89" s="6"/>
        <tr r="A289" s="5"/>
        <tr r="A341" s="5"/>
        <tr r="A88" s="5"/>
        <tr r="A27" s="6"/>
        <tr r="A96" s="5"/>
        <tr r="A62" s="6"/>
        <tr r="A323" s="6"/>
        <tr r="A97" s="5"/>
        <tr r="A175" s="6"/>
        <tr r="A72" s="6"/>
        <tr r="A229" s="5"/>
        <tr r="A205" s="6"/>
        <tr r="E109" s="5"/>
        <tr r="A212" s="6"/>
        <tr r="D84" s="5"/>
        <tr r="C307" s="5"/>
        <tr r="N334" s="5"/>
        <tr r="A16" s="6"/>
        <tr r="I156" s="5"/>
        <tr r="A263" s="5"/>
        <tr r="A101" s="5"/>
        <tr r="A285" s="6"/>
        <tr r="A270" s="6"/>
        <tr r="G39" s="5"/>
        <tr r="A176" s="6"/>
        <tr r="A107" s="6"/>
        <tr r="A243" s="6"/>
        <tr r="H6" s="5"/>
        <tr r="L217" s="5"/>
        <tr r="H193" s="5"/>
        <tr r="A48" s="5"/>
        <tr r="A374" s="6"/>
        <tr r="P180" s="5"/>
        <tr r="A120" s="5"/>
        <tr r="A326" s="5"/>
        <tr r="N253" s="5"/>
        <tr r="A271" s="5"/>
        <tr r="A172" s="5"/>
        <tr r="A222" s="5"/>
        <tr r="A41" s="6"/>
        <tr r="A267" s="6"/>
        <tr r="A232" s="6"/>
        <tr r="A209" s="6"/>
        <tr r="A16" s="5"/>
        <tr r="J343" s="5"/>
        <tr r="A291" s="6"/>
        <tr r="J294" s="5"/>
        <tr r="A270" s="5"/>
        <tr r="A38" s="5"/>
        <tr r="A191" s="6"/>
        <tr r="A269" s="6"/>
        <tr r="A342" s="6"/>
        <tr r="B20" s="5"/>
        <tr r="P70" s="5"/>
        <tr r="A95" s="5"/>
        <tr r="P59" s="5"/>
        <tr r="A87" s="5"/>
        <tr r="P305" s="5"/>
        <tr r="B1" s="5"/>
        <tr r="A292" s="5"/>
        <tr r="A353" s="5"/>
        <tr r="A79" s="6"/>
        <tr r="G283" s="5"/>
        <tr r="H36" s="5"/>
        <tr r="I326" s="5"/>
        <tr r="A184" s="6"/>
        <tr r="A179" s="6"/>
        <tr r="A127" s="6"/>
        <tr r="A347" s="6"/>
        <tr r="B97" s="5"/>
        <tr r="A96" s="6"/>
        <tr r="A305" s="5"/>
        <tr r="A338" s="5"/>
        <tr r="A37" s="5"/>
        <tr r="A186" s="6"/>
        <tr r="J33" s="5"/>
        <tr r="N344" s="5"/>
        <tr r="D106" s="5"/>
        <tr r="E196" s="5"/>
        <tr r="D178" s="5"/>
        <tr r="G197" s="5"/>
        <tr r="O56" s="5"/>
        <tr r="H223" s="5"/>
        <tr r="A226" s="6"/>
        <tr r="E4" s="6"/>
        <tr r="C32" s="5"/>
        <tr r="C169" s="5"/>
        <tr r="L362" s="5"/>
        <tr r="B5" s="6"/>
        <tr r="A94" s="5"/>
        <tr r="I242" s="5"/>
        <tr r="A42" s="5"/>
        <tr r="H321" s="5"/>
        <tr r="A31" s="6"/>
        <tr r="O212" s="5"/>
        <tr r="A295" s="5"/>
        <tr r="N242" s="5"/>
        <tr r="A300" s="6"/>
        <tr r="O202" s="5"/>
        <tr r="O194" s="5"/>
        <tr r="A318" s="5"/>
        <tr r="O171" s="5"/>
        <tr r="P108" s="5"/>
        <tr r="A93" s="6"/>
        <tr r="A187" s="5"/>
        <tr r="A100" s="6"/>
        <tr r="A80" s="6"/>
        <tr r="A317" s="5"/>
        <tr r="A200" s="6"/>
        <tr r="L163" s="5"/>
        <tr r="E143" s="5"/>
        <tr r="A249" s="5"/>
        <tr r="D323" s="5"/>
        <tr r="B183" s="5"/>
        <tr r="B375" s="5"/>
        <tr r="A92" s="6"/>
        <tr r="A145" s="6"/>
        <tr r="C157" s="5"/>
        <tr r="A313" s="5"/>
        <tr r="A328" s="6"/>
        <tr r="A99" s="6"/>
        <tr r="I226" s="5"/>
        <tr r="A348" s="5"/>
        <tr r="A140" s="6"/>
        <tr r="A113" s="5"/>
        <tr r="N264" s="5"/>
        <tr r="B329" s="5"/>
        <tr r="N268" s="5"/>
        <tr r="A160" s="5"/>
        <tr r="A159" s="6"/>
        <tr r="A196" s="5"/>
        <tr r="A231" s="5"/>
        <tr r="A354" s="6"/>
        <tr r="P44" s="5"/>
        <tr r="J156" s="5"/>
        <tr r="G4" s="5"/>
        <tr r="A86" s="6"/>
        <tr r="O162" s="5"/>
        <tr r="O228" s="5"/>
        <tr r="I135" s="5"/>
        <tr r="A107" s="5"/>
        <tr r="A63" s="6"/>
        <tr r="A47" s="6"/>
        <tr r="A351" s="5"/>
        <tr r="A252" s="6"/>
        <tr r="A253" s="5"/>
        <tr r="A184" s="5"/>
        <tr r="A84" s="6"/>
        <tr r="C261" s="5"/>
        <tr r="A264" s="6"/>
        <tr r="A25" s="5"/>
        <tr r="A70" s="5"/>
        <tr r="A339" s="5"/>
        <tr r="E32" s="5"/>
        <tr r="C4" s="5"/>
        <tr r="A178" s="5"/>
        <tr r="I255" s="5"/>
        <tr r="H157" s="5"/>
        <tr r="L226" s="5"/>
        <tr r="A359" s="6"/>
        <tr r="A223" s="5"/>
        <tr r="A13" s="6"/>
        <tr r="L143" s="5"/>
        <tr r="A90" s="6"/>
        <tr r="A156" s="5"/>
        <tr r="A243" s="5"/>
        <tr r="A47" s="5"/>
        <tr r="A297" s="6"/>
        <tr r="E38" s="5"/>
        <tr r="N4" s="5"/>
        <tr r="A333" s="6"/>
        <tr r="A129" s="5"/>
        <tr r="A287" s="5"/>
        <tr r="A356" s="6"/>
        <tr r="O253" s="5"/>
        <tr r="H135" s="5"/>
        <tr r="J195" s="5"/>
        <tr r="P97" s="5"/>
        <tr r="A8" s="6"/>
        <tr r="A188" s="6"/>
        <tr r="A207" s="6"/>
        <tr r="A272" s="5"/>
        <tr r="A29" s="6"/>
        <tr r="P4" s="5"/>
        <tr r="A234" s="5"/>
        <tr r="A329" s="6"/>
        <tr r="A261" s="5"/>
        <tr r="A301" s="5"/>
        <tr r="L380" s="5"/>
        <tr r="A143" s="6"/>
        <tr r="A272" s="6"/>
        <tr r="G324" s="5"/>
        <tr r="A227" s="5"/>
        <tr r="N332" s="5"/>
        <tr r="A154" s="6"/>
        <tr r="D187" s="5"/>
        <tr r="M372" s="5"/>
        <tr r="G172" s="5"/>
        <tr r="M286" s="5"/>
        <tr r="L324" s="5"/>
        <tr r="N210" s="5"/>
        <tr r="G304" s="5"/>
        <tr r="N138" s="5"/>
        <tr r="C68" s="5"/>
        <tr r="O24" s="5"/>
        <tr r="A186" s="5"/>
        <tr r="A24" s="5"/>
        <tr r="A54" s="5"/>
        <tr r="L154" s="5"/>
        <tr r="A76" s="6"/>
        <tr r="E157" s="5"/>
        <tr r="P18" s="5"/>
        <tr r="A44" s="5"/>
        <tr r="A288" s="5"/>
        <tr r="A119" s="6"/>
        <tr r="A171" s="6"/>
        <tr r="A144" s="5"/>
        <tr r="G196" s="5"/>
        <tr r="G243" s="5"/>
        <tr r="H294" s="5"/>
        <tr r="A245" s="5"/>
        <tr r="A17" s="6"/>
        <tr r="A269" s="5"/>
        <tr r="A288" s="6"/>
        <tr r="A324" s="5"/>
        <tr r="A13" s="5"/>
        <tr r="A19" s="6"/>
        <tr r="A238" s="6"/>
        <tr r="A115" s="5"/>
        <tr r="A77" s="6"/>
        <tr r="H151" s="5"/>
        <tr r="A379" s="5"/>
        <tr r="B373" s="5"/>
        <tr r="A165" s="5"/>
        <tr r="A58" s="6"/>
        <tr r="A22" s="5"/>
        <tr r="A363" s="6"/>
        <tr r="A58" s="5"/>
        <tr r="A171" s="5"/>
        <tr r="L47" s="5"/>
        <tr r="P120" s="5"/>
        <tr r="A27" s="5"/>
        <tr r="G98" s="5"/>
        <tr r="G20" s="5"/>
        <tr r="A12" s="5"/>
        <tr r="I42" s="5"/>
        <tr r="P163" s="5"/>
        <tr r="B61" s="5"/>
        <tr r="A330" s="5"/>
        <tr r="A352" s="6"/>
        <tr r="A74" s="6"/>
        <tr r="A340" s="6"/>
        <tr r="H120" s="5"/>
        <tr r="A33" s="5"/>
        <tr r="A219" s="5"/>
        <tr r="A265" s="5"/>
        <tr r="A18" s="5"/>
        <tr r="A133" s="6"/>
        <tr r="A133" s="5"/>
        <tr r="A204" s="5"/>
        <tr r="O231" s="5"/>
        <tr r="H199" s="5"/>
        <tr r="I233" s="5"/>
        <tr r="A306" s="6"/>
        <tr r="C74" s="5"/>
        <tr r="A26" s="5"/>
        <tr r="A53" s="6"/>
        <tr r="A104" s="6"/>
        <tr r="A369" s="6"/>
        <tr r="H156" s="5"/>
        <tr r="A154" s="5"/>
        <tr r="A372" s="5"/>
        <tr r="A346" s="5"/>
        <tr r="C75" s="5"/>
        <tr r="A189" s="5"/>
        <tr r="A128" s="5"/>
        <tr r="A14" s="6"/>
        <tr r="A239" s="6"/>
        <tr r="H83" s="5"/>
        <tr r="M262" s="5"/>
        <tr r="O242" s="5"/>
        <tr r="A274" s="5"/>
        <tr r="A293" s="5"/>
        <tr r="A158" s="6"/>
        <tr r="A205" s="5"/>
        <tr r="A364" s="6"/>
        <tr r="A323" s="5"/>
        <tr r="A328" s="5"/>
        <tr r="A44" s="6"/>
        <tr r="A380" s="5"/>
        <tr r="C272" s="5"/>
        <tr r="C325" s="5"/>
        <tr r="H95" s="5"/>
        <tr r="A343" s="6"/>
        <tr r="A264" s="5"/>
        <tr r="A147" s="6"/>
        <tr r="A22" s="6"/>
        <tr r="G355" s="5"/>
        <tr r="P343" s="5"/>
        <tr r="B297" s="5"/>
        <tr r="A91" s="6"/>
        <tr r="A267" s="5"/>
        <tr r="A50" s="6"/>
        <tr r="P286" s="5"/>
        <tr r="H299" s="5"/>
        <tr r="M375" s="5"/>
        <tr r="D204" s="5"/>
        <tr r="M252" s="5"/>
        <tr r="A373" s="5"/>
        <tr r="N193" s="5"/>
        <tr r="A283" s="6"/>
        <tr r="L332" s="5"/>
        <tr r="A260" s="6"/>
        <tr r="A7" s="5"/>
        <tr r="A279" s="5"/>
        <tr r="A182" s="5"/>
        <tr r="L5" s="5"/>
        <tr r="A219" s="6"/>
        <tr r="A375" s="6"/>
        <tr r="A278" s="5"/>
        <tr r="I33" s="5"/>
        <tr r="A247" s="5"/>
        <tr r="A21" s="5"/>
        <tr r="M93" s="5"/>
        <tr r="A170" s="6"/>
        <tr r="A268" s="5"/>
        <tr r="A103" s="6"/>
        <tr r="A125" s="6"/>
        <tr r="A160" s="6"/>
        <tr r="A304" s="6"/>
        <tr r="N82" s="5"/>
        <tr r="H248" s="5"/>
        <tr r="A38" s="6"/>
        <tr r="A82" s="5"/>
        <tr r="N56" s="5"/>
        <tr r="D51" s="5"/>
        <tr r="E206" s="5"/>
        <tr r="E34" s="5"/>
        <tr r="A181" s="5"/>
        <tr r="A266" s="5"/>
        <tr r="A21" s="6"/>
        <tr r="A85" s="6"/>
        <tr r="A213" s="5"/>
        <tr r="A212" s="5"/>
        <tr r="J99" s="5"/>
        <tr r="B1" s="6"/>
        <tr r="M380" s="5"/>
        <tr r="A183" s="5"/>
        <tr r="N110" s="5"/>
        <tr r="A112" s="6"/>
        <tr r="L68" s="5"/>
        <tr r="A40" s="5"/>
        <tr r="A147" s="5"/>
        <tr r="A191" s="5"/>
        <tr r="A162" s="5"/>
        <tr r="G43" s="5"/>
        <tr r="H4" s="5"/>
        <tr r="A105" s="6"/>
        <tr r="A236" s="6"/>
        <tr r="A195" s="6"/>
        <tr r="M9" s="5"/>
        <tr r="A144" s="6"/>
        <tr r="A349" s="6"/>
        <tr r="E268" s="5"/>
        <tr r="L329" s="5"/>
        <tr r="L197" s="5"/>
        <tr r="L206" s="5"/>
        <tr r="A90" s="5"/>
        <tr r="A193" s="6"/>
        <tr r="A199" s="5"/>
        <tr r="A159" s="5"/>
        <tr r="A217" s="6"/>
        <tr r="A190" s="6"/>
        <tr r="A284" s="5"/>
        <tr r="A314" s="6"/>
        <tr r="A35" s="6"/>
        <tr r="A286" s="6"/>
        <tr r="A320" s="5"/>
        <tr r="A132" s="6"/>
        <tr r="A308" s="5"/>
        <tr r="P35" s="5"/>
        <tr r="P363" s="5"/>
        <tr r="C226" s="5"/>
        <tr r="N195" s="5"/>
        <tr r="B89" s="5"/>
        <tr r="H297" s="5"/>
        <tr r="A282" s="6"/>
        <tr r="A277" s="6"/>
        <tr r="A283" s="5"/>
        <tr r="A10" s="5"/>
        <tr r="A155" s="6"/>
        <tr r="A181" s="6"/>
        <tr r="A26" s="6"/>
        <tr r="J5" s="6"/>
        <tr r="A99" s="5"/>
        <tr r="A257" s="5"/>
        <tr r="A168" s="5"/>
        <tr r="A334" s="6"/>
        <tr r="L4" s="5"/>
        <tr r="A117" s="6"/>
        <tr r="A365" s="5"/>
        <tr r="A366" s="5"/>
        <tr r="A210" s="5"/>
        <tr r="B4" s="6"/>
        <tr r="O120" s="5"/>
        <tr r="C109" s="5"/>
        <tr r="P107" s="5"/>
        <tr r="A245" s="6"/>
        <tr r="G38" s="5"/>
        <tr r="A161" s="6"/>
        <tr r="A210" s="6"/>
        <tr r="A311" s="5"/>
        <tr r="A29" s="5"/>
        <tr r="A157" s="6"/>
        <tr r="L73" s="5"/>
        <tr r="A318" s="6"/>
        <tr r="B302" s="5"/>
        <tr r="J124" s="5"/>
        <tr r="H81" s="5"/>
        <tr r="A292" s="6"/>
        <tr r="P247" s="5"/>
        <tr r="G142" s="5"/>
        <tr r="E70" s="5"/>
        <tr r="A28" s="5"/>
        <tr r="A9" s="6"/>
        <tr r="E97" s="5"/>
        <tr r="A81" s="5"/>
        <tr r="A330" s="6"/>
        <tr r="B272" s="5"/>
        <tr r="N44" s="5"/>
        <tr r="N245" s="5"/>
        <tr r="A164" s="5"/>
        <tr r="A45" s="6"/>
        <tr r="A250" s="6"/>
        <tr r="A293" s="6"/>
        <tr r="P73" s="5"/>
        <tr r="A59" s="5"/>
        <tr r="A345" s="6"/>
        <tr r="A88" s="6"/>
        <tr r="A10" s="6"/>
        <tr r="A378" s="5"/>
        <tr r="A276" s="5"/>
        <tr r="M25" s="5"/>
        <tr r="A81" s="6"/>
        <tr r="A350" s="5"/>
        <tr r="A235" s="5"/>
        <tr r="M313" s="5"/>
        <tr r="E227" s="5"/>
        <tr r="H190" s="5"/>
        <tr r="A211" s="5"/>
        <tr r="A11" s="6"/>
        <tr r="J288" s="5"/>
        <tr r="H4" s="6"/>
        <tr r="A307" s="5"/>
        <tr r="A248" s="6"/>
        <tr r="A51" s="6"/>
        <tr r="A222" s="6"/>
        <tr r="A240" s="6"/>
        <tr r="A241" s="6"/>
        <tr r="A361" s="6"/>
        <tr r="E199" s="5"/>
        <tr r="A361" s="5"/>
        <tr r="A320" s="6"/>
        <tr r="A18" s="6"/>
        <tr r="M264" s="5"/>
        <tr r="P159" s="5"/>
        <tr r="M201" s="5"/>
        <tr r="M148" s="5"/>
        <tr r="A315" s="6"/>
        <tr r="N164" s="5"/>
        <tr r="A334" s="5"/>
        <tr r="A274" s="6"/>
        <tr r="A311" s="6"/>
        <tr r="A289" s="6"/>
        <tr r="A165" s="6"/>
        <tr r="E59" s="5"/>
        <tr r="A253" s="6"/>
        <tr r="A195" s="5"/>
        <tr r="A43" s="6"/>
        <tr r="A108" s="6"/>
        <tr r="D227" s="5"/>
        <tr r="A309" s="6"/>
        <tr r="A258" s="5"/>
        <tr r="A74" s="5"/>
        <tr r="P154" s="5"/>
        <tr r="G300" s="5"/>
        <tr r="A367" s="5"/>
        <tr r="A17" s="5"/>
        <tr r="P266" s="5"/>
        <tr r="E221" s="5"/>
        <tr r="G226" s="5"/>
        <tr r="C352" s="5"/>
        <tr r="M200" s="5"/>
        <tr r="O180" s="5"/>
        <tr r="J108" s="5"/>
        <tr r="C308" s="5"/>
        <tr r="J243" s="5"/>
        <tr r="N278" s="5"/>
        <tr r="E79" s="5"/>
        <tr r="G159" s="5"/>
        <tr r="A279" s="6"/>
        <tr r="E310" s="5"/>
        <tr r="A356" s="5"/>
        <tr r="O148" s="5"/>
        <tr r="A241" s="5"/>
        <tr r="A28" s="6"/>
        <tr r="A220" s="5"/>
        <tr r="A177" s="6"/>
        <tr r="A111" s="6"/>
        <tr r="A139" s="5"/>
        <tr r="A375" s="5"/>
        <tr r="A190" s="5"/>
        <tr r="A216" s="5"/>
        <tr r="E102" s="5"/>
        <tr r="I154" s="5"/>
        <tr r="A61" s="6"/>
        <tr r="B196" s="5"/>
        <tr r="A254" s="5"/>
        <tr r="A213" s="6"/>
        <tr r="E5" s="6"/>
        <tr r="L115" s="5"/>
        <tr r="A179" s="5"/>
        <tr r="L255" s="5"/>
        <tr r="D288" s="5"/>
        <tr r="A372" s="6"/>
        <tr r="A275" s="6"/>
        <tr r="A230" s="6"/>
        <tr r="A285" s="5"/>
        <tr r="A218" s="6"/>
        <tr r="C185" s="5"/>
        <tr r="A48" s="6"/>
        <tr r="A204" s="6"/>
        <tr r="E249" s="5"/>
        <tr r="A346" s="6"/>
        <tr r="C47" s="5"/>
        <tr r="I308" s="5"/>
        <tr r="A128" s="6"/>
        <tr r="A113" s="6"/>
        <tr r="A134" s="6"/>
        <tr r="A32" s="6"/>
        <tr r="A362" s="5"/>
        <tr r="A324" s="6"/>
        <tr r="A321" s="5"/>
        <tr r="A43" s="5"/>
        <tr r="A207" s="5"/>
        <tr r="A362" s="6"/>
        <tr r="A371" s="5"/>
        <tr r="A329" s="5"/>
        <tr r="A357" s="5"/>
        <tr r="L39" s="5"/>
        <tr r="A192" s="5"/>
        <tr r="A9" s="5"/>
        <tr r="H129" s="5"/>
        <tr r="C103" s="5"/>
        <tr r="D237" s="5"/>
        <tr r="A65" s="6"/>
        <tr r="L124" s="5"/>
        <tr r="E236" s="5"/>
        <tr r="A352" s="5"/>
        <tr r="E144" s="5"/>
        <tr r="A224" s="6"/>
        <tr r="A148" s="6"/>
        <tr r="A322" s="5"/>
        <tr r="A63" s="5"/>
        <tr r="A187" s="6"/>
        <tr r="A233" s="5"/>
        <tr r="A118" s="6"/>
        <tr r="C36" s="5"/>
        <tr r="M63" s="5"/>
        <tr r="A149" s="6"/>
        <tr r="N63" s="5"/>
        <tr r="A19" s="5"/>
        <tr r="A93" s="5"/>
        <tr r="D39" s="5"/>
        <tr r="E195" s="5"/>
        <tr r="A164" s="6"/>
        <tr r="A146" s="6"/>
        <tr r="F5" s="6"/>
        <tr r="A32" s="5"/>
        <tr r="A124" s="6"/>
        <tr r="A359" s="5"/>
        <tr r="A368" s="6"/>
        <tr r="A376" s="5"/>
      </tp>
    </main>
    <main first="pbiazure://api.powerbi.com e2324605-5df0-4e1a-a31e-0edd63db7f20 Model">
      <tp t="e">
        <v>#N/A</v>
        <stp>1</stp>
        <tr r="CE298" s="2"/>
        <tr r="CE429" s="2"/>
        <tr r="CF339" s="2"/>
        <tr r="AG22" s="2"/>
        <tr r="CF257" s="2"/>
        <tr r="CD454" s="2"/>
        <tr r="CF232" s="2"/>
        <tr r="CF204" s="2"/>
        <tr r="CE354" s="2"/>
        <tr r="CF277" s="2"/>
        <tr r="CE437" s="2"/>
        <tr r="CD335" s="2"/>
        <tr r="AG58" s="2"/>
        <tr r="CF286" s="2"/>
        <tr r="CF65" s="2"/>
        <tr r="AG319" s="2"/>
        <tr r="CF431" s="2"/>
        <tr r="CC147" s="2"/>
        <tr r="AF25" s="2"/>
        <tr r="AF269" s="2"/>
        <tr r="CF194" s="2"/>
        <tr r="CF351" s="2"/>
        <tr r="CE106" s="2"/>
        <tr r="CF331" s="2"/>
        <tr r="CD203" s="2"/>
        <tr r="CF27" s="2"/>
        <tr r="CE411" s="2"/>
        <tr r="CF445" s="2"/>
        <tr r="CF46" s="2"/>
        <tr r="CF24" s="2"/>
        <tr r="CF265" s="2"/>
        <tr r="CF89" s="2"/>
        <tr r="CF407" s="2"/>
        <tr r="CF276" s="2"/>
        <tr r="CD59" s="2"/>
        <tr r="CF124" s="2"/>
        <tr r="CE195" s="2"/>
        <tr r="CF239" s="2"/>
        <tr r="CF174" s="2"/>
        <tr r="CC200" s="2"/>
        <tr r="CE34" s="2"/>
        <tr r="CF295" s="2"/>
        <tr r="CB401" s="2"/>
        <tr r="CF244" s="2"/>
        <tr r="CF76" s="2"/>
        <tr r="CC348" s="2"/>
        <tr r="CF397" s="2"/>
        <tr r="CE212" s="2"/>
        <tr r="CE227" s="2"/>
        <tr r="CF451" s="2"/>
        <tr r="CF367" s="2"/>
        <tr r="CF90" s="2"/>
        <tr r="CE290" s="2"/>
        <tr r="CF130" s="2"/>
        <tr r="CE62" s="2"/>
        <tr r="CE412" s="2"/>
        <tr r="CF137" s="2"/>
        <tr r="AF104" s="2"/>
        <tr r="CE272" s="2"/>
        <tr r="CE395" s="2"/>
        <tr r="CF410" s="2"/>
        <tr r="CF117" s="2"/>
        <tr r="BV360" s="2"/>
        <tr r="CF371" s="2"/>
        <tr r="BV21" s="2"/>
        <tr r="CF213" s="2"/>
        <tr r="CF63" s="2"/>
        <tr r="CF368" s="2"/>
        <tr r="CF91" s="2"/>
        <tr r="CF153" s="2"/>
        <tr r="CF414" s="2"/>
        <tr r="CE462" s="2"/>
        <tr r="CD372" s="2"/>
        <tr r="BW202" s="2"/>
        <tr r="BU382" s="2"/>
        <tr r="CF21" s="2"/>
        <tr r="BV306" s="2"/>
        <tr r="BV93" s="2"/>
        <tr r="BU465" s="2"/>
        <tr r="BV235" s="2"/>
        <tr r="CE316" s="2"/>
        <tr r="CF38" s="2"/>
        <tr r="BU21" s="2"/>
        <tr r="CF18" s="2"/>
        <tr r="CF73" s="2"/>
        <tr r="CE460" s="2"/>
        <tr r="BV86" s="2"/>
        <tr r="CF158" s="2"/>
        <tr r="BU180" s="2"/>
        <tr r="CF87" s="2"/>
        <tr r="BV381" s="2"/>
        <tr r="AF38" s="2"/>
        <tr r="BV288" s="2"/>
        <tr r="BW366" s="2"/>
        <tr r="BW166" s="2"/>
        <tr r="BY233" s="2"/>
        <tr r="CD222" s="2"/>
        <tr r="CF405" s="2"/>
        <tr r="BU118" s="2"/>
        <tr r="BU270" s="2"/>
        <tr r="BX106" s="2"/>
        <tr r="BW107" s="2"/>
        <tr r="BY84" s="2"/>
        <tr r="BV69" s="2"/>
        <tr r="BU323" s="2"/>
        <tr r="BY102" s="2"/>
        <tr r="BY247" s="2"/>
        <tr r="CB284" s="2"/>
        <tr r="BU255" s="2"/>
        <tr r="BW316" s="2"/>
        <tr r="BY194" s="2"/>
        <tr r="BY138" s="2"/>
        <tr r="BU351" s="2"/>
        <tr r="BW354" s="2"/>
        <tr r="BY428" s="2"/>
        <tr r="BW439" s="2"/>
        <tr r="BX455" s="2"/>
        <tr r="BX252" s="2"/>
        <tr r="BX423" s="2"/>
        <tr r="CA67" s="2"/>
        <tr r="BU179" s="2"/>
        <tr r="BW191" s="2"/>
        <tr r="BW143" s="2"/>
        <tr r="BW27" s="2"/>
        <tr r="BZ428" s="2"/>
        <tr r="BV404" s="2"/>
        <tr r="BX238" s="2"/>
        <tr r="BU170" s="2"/>
        <tr r="BX371" s="2"/>
        <tr r="BU411" s="2"/>
        <tr r="BU129" s="2"/>
        <tr r="BW235" s="2"/>
        <tr r="BV41" s="2"/>
        <tr r="BY261" s="2"/>
        <tr r="BX290" s="2"/>
        <tr r="CB252" s="2"/>
        <tr r="CA172" s="2"/>
        <tr r="CC37" s="2"/>
        <tr r="CC26" s="2"/>
        <tr r="BJ220" s="2"/>
        <tr r="BZ260" s="2"/>
        <tr r="CB86" s="2"/>
        <tr r="CD236" s="2"/>
        <tr r="CD20" s="2"/>
        <tr r="BJ163" s="2"/>
        <tr r="CE24" s="2"/>
        <tr r="CA368" s="2"/>
        <tr r="CD400" s="2"/>
        <tr r="BW285" s="2"/>
        <tr r="BZ56" s="2"/>
        <tr r="BU254" s="2"/>
        <tr r="BV95" s="2"/>
        <tr r="BY135" s="2"/>
        <tr r="BY136" s="2"/>
        <tr r="CC126" s="2"/>
        <tr r="BU294" s="2"/>
        <tr r="BW461" s="2"/>
        <tr r="BY357" s="2"/>
        <tr r="BZ80" s="2"/>
        <tr r="BU350" s="2"/>
        <tr r="BW355" s="2"/>
        <tr r="BY425" s="2"/>
        <tr r="BY94" s="2"/>
        <tr r="BU121" s="2"/>
        <tr r="BX454" s="2"/>
        <tr r="BY406" s="2"/>
        <tr r="CB392" s="2"/>
        <tr r="BU340" s="2"/>
        <tr r="BW224" s="2"/>
        <tr r="BW234" s="2"/>
        <tr r="BW221" s="2"/>
        <tr r="CA280" s="2"/>
        <tr r="BV405" s="2"/>
        <tr r="BX119" s="2"/>
        <tr r="BV74" s="2"/>
        <tr r="BY407" s="2"/>
        <tr r="BU134" s="2"/>
        <tr r="BU333" s="2"/>
        <tr r="BW405" s="2"/>
        <tr r="BW318" s="2"/>
        <tr r="BY437" s="2"/>
        <tr r="BX461" s="2"/>
        <tr r="CB445" s="2"/>
        <tr r="CB184" s="2"/>
        <tr r="CC415" s="2"/>
        <tr r="CD462" s="2"/>
        <tr r="BI443" s="2"/>
        <tr r="CA175" s="2"/>
        <tr r="CB196" s="2"/>
        <tr r="CD437" s="2"/>
        <tr r="CD221" s="2"/>
        <tr r="CI89" s="2"/>
        <tr r="CD62" s="2"/>
        <tr r="CA149" s="2"/>
        <tr r="CE243" s="2"/>
        <tr r="BW79" s="2"/>
        <tr r="BW430" s="2"/>
        <tr r="BU321" s="2"/>
        <tr r="BX390" s="2"/>
        <tr r="BY164" s="2"/>
        <tr r="BZ250" s="2"/>
        <tr r="BV58" s="2"/>
        <tr r="BW339" s="2"/>
        <tr r="BV244" s="2"/>
        <tr r="BY12" s="2"/>
        <tr r="BV40" s="2"/>
        <tr r="BW369" s="2"/>
        <tr r="BY215" s="2"/>
        <tr r="BY184" s="2"/>
        <tr r="BU24" s="2"/>
        <tr r="BW77" s="2"/>
        <tr r="BY322" s="2"/>
        <tr r="BY245" s="2"/>
        <tr r="BU341" s="2"/>
        <tr r="BU272" s="2"/>
        <tr r="BV403" s="2"/>
        <tr r="BX148" s="2"/>
        <tr r="BY418" s="2"/>
        <tr r="BU37" s="2"/>
        <tr r="BW225" s="2"/>
        <tr r="BV283" s="2"/>
        <tr r="BZ431" s="2"/>
        <tr r="BU242" s="2"/>
        <tr r="BW59" s="2"/>
        <tr r="BX95" s="2"/>
        <tr r="BX433" s="2"/>
        <tr r="BZ104" s="2"/>
        <tr r="BY447" s="2"/>
        <tr r="CC425" s="2"/>
        <tr r="CC47" s="2"/>
        <tr r="CD375" s="2"/>
        <tr r="CD195" s="2"/>
        <tr r="CF66" s="2"/>
        <tr r="BJ428" s="2"/>
        <tr r="BZ79" s="2"/>
        <tr r="CC135" s="2"/>
        <tr r="CD149" s="2"/>
        <tr r="BI359" s="2"/>
        <tr r="CA444" s="2"/>
        <tr r="AU149" s="2"/>
        <tr r="CD86" s="2"/>
        <tr r="BU387" s="2"/>
        <tr r="BV184" s="2"/>
        <tr r="BV297" s="2"/>
        <tr r="BV442" s="2"/>
        <tr r="BW276" s="2"/>
        <tr r="BY229" s="2"/>
        <tr r="BV364" s="2"/>
        <tr r="BU89" s="2"/>
        <tr r="BV36" s="2"/>
        <tr r="BY189" s="2"/>
        <tr r="BY412" s="2"/>
        <tr r="BV351" s="2"/>
        <tr r="BY263" s="2"/>
        <tr r="BY264" s="2"/>
        <tr r="CC15" s="2"/>
        <tr r="BU292" s="2"/>
        <tr r="BW458" s="2"/>
        <tr r="BY399" s="2"/>
        <tr r="BY19" s="2"/>
        <tr r="BU50" s="2"/>
        <tr r="BU289" s="2"/>
        <tr r="BV231" s="2"/>
        <tr r="BX7" s="2"/>
        <tr r="BW185" s="2"/>
        <tr r="BU107" s="2"/>
        <tr r="BU214" s="2"/>
        <tr r="BV287" s="2"/>
        <tr r="BX98" s="2"/>
        <tr r="BX426" s="2"/>
        <tr r="BU235" s="2"/>
        <tr r="BV146" s="2"/>
        <tr r="BX266" s="2"/>
        <tr r="BZ324" s="2"/>
        <tr r="BX245" s="2"/>
        <tr r="BY259" s="2"/>
        <tr r="CA42" s="2"/>
        <tr r="CD87" s="2"/>
        <tr r="CD396" s="2"/>
        <tr r="CE349" s="2"/>
        <tr r="BJ342" s="2"/>
        <tr r="CB369" s="2"/>
        <tr r="CC310" s="2"/>
        <tr r="CB229" s="2"/>
        <tr r="CE204" s="2"/>
        <tr r="CA257" s="2"/>
        <tr r="CE400" s="2"/>
        <tr r="CB443" s="2"/>
        <tr r="BU462" s="2"/>
        <tr r="BU182" s="2"/>
        <tr r="BW220" s="2"/>
        <tr r="BZ171" s="2"/>
        <tr r="CF449" s="2"/>
        <tr r="BU135" s="2"/>
        <tr r="BV24" s="2"/>
        <tr r="BX193" s="2"/>
        <tr r="BZ176" s="2"/>
        <tr r="CA144" s="2"/>
        <tr r="BU11" s="2"/>
        <tr r="BV402" s="2"/>
        <tr r="BX402" s="2"/>
        <tr r="BZ173" s="2"/>
        <tr r="BU440" s="2"/>
        <tr r="BV91" s="2"/>
        <tr r="BX444" s="2"/>
        <tr r="BW237" s="2"/>
        <tr r="BV422" s="2"/>
        <tr r="BX398" s="2"/>
        <tr r="BW152" s="2"/>
        <tr r="BV78" s="2"/>
        <tr r="BU297" s="2"/>
        <tr r="BV111" s="2"/>
        <tr r="BX240" s="2"/>
        <tr r="BZ42" s="2"/>
        <tr r="BU209" s="2"/>
        <tr r="BV259" s="2"/>
        <tr r="BW181" s="2"/>
        <tr r="BY217" s="2"/>
        <tr r="BW324" s="2"/>
        <tr r="BV253" s="2"/>
        <tr r="BU152" s="2"/>
        <tr r="BW205" s="2"/>
        <tr r="BY450" s="2"/>
        <tr r="BY204" s="2"/>
        <tr r="BV29" s="2"/>
        <tr r="BX310" s="2"/>
        <tr r="BW45" s="2"/>
        <tr r="BZ50" s="2"/>
        <tr r="BZ188" s="2"/>
        <tr r="CA206" s="2"/>
        <tr r="CB204" s="2"/>
        <tr r="CC394" s="2"/>
        <tr r="CD172" s="2"/>
        <tr r="CD157" s="2"/>
        <tr r="AU92" s="2"/>
        <tr r="CB249" s="2"/>
        <tr r="CC131" s="2"/>
        <tr r="CE436" s="2"/>
        <tr r="CA378" s="2"/>
        <tr r="CE341" s="2"/>
        <tr r="CD294" s="2"/>
        <tr r="BW129" s="2"/>
        <tr r="BY371" s="2"/>
        <tr r="CA422" s="2"/>
        <tr r="BV85" s="2"/>
        <tr r="BX430" s="2"/>
        <tr r="BV158" s="2"/>
        <tr r="BX381" s="2"/>
        <tr r="BU436" s="2"/>
        <tr r="BW287" s="2"/>
        <tr r="BY298" s="2"/>
        <tr r="BY29" s="2"/>
        <tr r="BV164" s="2"/>
        <tr r="BY17" s="2"/>
        <tr r="BY221" s="2"/>
        <tr r="BV114" s="2"/>
        <tr r="BW117" s="2"/>
        <tr r="BY153" s="2"/>
        <tr r="BW299" s="2"/>
        <tr r="BU277" s="2"/>
        <tr r="BU380" s="2"/>
        <tr r="BX154" s="2"/>
        <tr r="BX67" s="2"/>
        <tr r="BU405" s="2"/>
        <tr r="BV100" s="2"/>
        <tr r="BY403" s="2"/>
        <tr r="BU181" s="2"/>
        <tr r="BX101" s="2"/>
        <tr r="BY177" s="2"/>
        <tr r="CA364" s="2"/>
        <tr r="CE198" s="2"/>
        <tr r="BJ75" s="2"/>
        <tr r="CC58" s="2"/>
        <tr r="CF92" s="2"/>
        <tr r="CF335" s="2"/>
        <tr r="BV291" s="2"/>
        <tr r="BX350" s="2"/>
        <tr r="BX389" s="2"/>
        <tr r="BU445" s="2"/>
        <tr r="BX97" s="2"/>
        <tr r="BW365" s="2"/>
        <tr r="BX108" s="2"/>
        <tr r="BY239" s="2"/>
        <tr r="CE254" s="2"/>
        <tr r="AE108" s="2"/>
        <tr r="CE373" s="2"/>
        <tr r="CE268" s="2"/>
        <tr r="CE187" s="2"/>
        <tr r="CF255" s="2"/>
        <tr r="CF358" s="2"/>
        <tr r="CF345" s="2"/>
        <tr r="BU143" s="2"/>
        <tr r="AF356" s="2"/>
        <tr r="BV106" s="2"/>
        <tr r="BW78" s="2"/>
        <tr r="BU28" s="2"/>
        <tr r="CF166" s="2"/>
        <tr r="CF115" s="2"/>
        <tr r="BU231" s="2"/>
        <tr r="CF68" s="2"/>
        <tr r="CF262" s="2"/>
        <tr r="BU157" s="2"/>
        <tr r="CF208" s="2"/>
        <tr r="BU344" s="2"/>
        <tr r="CF268" s="2"/>
        <tr r="BW7" s="2"/>
        <tr r="BW293" s="2"/>
        <tr r="BV354" s="2"/>
        <tr r="BV319" s="2"/>
        <tr r="BV398" s="2"/>
        <tr r="CF323" s="2"/>
        <tr r="BU280" s="2"/>
        <tr r="BV356" s="2"/>
        <tr r="BW353" s="2"/>
        <tr r="BW145" s="2"/>
        <tr r="AI275" s="2"/>
        <tr r="BU126" s="2"/>
        <tr r="BV279" s="2"/>
        <tr r="BW177" s="2"/>
        <tr r="BY23" s="2"/>
        <tr r="BY255" s="2"/>
        <tr r="BU262" s="2"/>
        <tr r="BW450" s="2"/>
        <tr r="BW209" s="2"/>
        <tr r="BU443" s="2"/>
        <tr r="BW32" s="2"/>
        <tr r="BW201" s="2"/>
        <tr r="BW188" s="2"/>
        <tr r="BZ208" s="2"/>
        <tr r="BV141" s="2"/>
        <tr r="BV248" s="2"/>
        <tr r="BW63" s="2"/>
        <tr r="BY324" s="2"/>
        <tr r="BW135" s="2"/>
        <tr r="BW97" s="2"/>
        <tr r="BV42" s="2"/>
        <tr r="BZ55" s="2"/>
        <tr r="BV324" s="2"/>
        <tr r="BU377" s="2"/>
        <tr r="BX303" s="2"/>
        <tr r="BY405" s="2"/>
        <tr r="CB448" s="2"/>
        <tr r="BU459" s="2"/>
        <tr r="BV180" s="2"/>
        <tr r="BX51" s="2"/>
        <tr r="BZ430" s="2"/>
        <tr r="BV143" s="2"/>
        <tr r="BW138" s="2"/>
        <tr r="BY79" s="2"/>
        <tr r="BY393" s="2"/>
        <tr r="BY202" s="2"/>
        <tr r="BZ220" s="2"/>
        <tr r="CA275" s="2"/>
        <tr r="CA329" s="2"/>
        <tr r="CA317" s="2"/>
        <tr r="CE330" s="2"/>
        <tr r="BI87" s="2"/>
        <tr r="CB35" s="2"/>
        <tr r="BY274" s="2"/>
        <tr r="CC187" s="2"/>
        <tr r="CF359" s="2"/>
        <tr r="BZ361" s="2"/>
        <tr r="CF54" s="2"/>
        <tr r="BY158" s="2"/>
        <tr r="BW210" s="2"/>
        <tr r="BU460" s="2"/>
        <tr r="BY433" s="2"/>
        <tr r="BU215" s="2"/>
        <tr r="BU106" s="2"/>
        <tr r="BW412" s="2"/>
        <tr r="BV298" s="2"/>
        <tr r="BU149" s="2"/>
        <tr r="BW217" s="2"/>
        <tr r="BW348" s="2"/>
        <tr r="BX342" s="2"/>
        <tr r="BX283" s="2"/>
        <tr r="BW408" s="2"/>
        <tr r="BW54" s="2"/>
        <tr r="BW178" s="2"/>
        <tr r="BZ10" s="2"/>
        <tr r="BU48" s="2"/>
        <tr r="BW130" s="2"/>
        <tr r="BW175" s="2"/>
        <tr r="BZ112" s="2"/>
        <tr r="BV325" s="2"/>
        <tr r="BU399" s="2"/>
        <tr r="BY358" s="2"/>
        <tr r="BY284" s="2"/>
        <tr r="CB244" s="2"/>
        <tr r="BU117" s="2"/>
        <tr r="BW102" s="2"/>
        <tr r="BX37" s="2"/>
        <tr r="BW306" s="2"/>
        <tr r="BU191" s="2"/>
        <tr r="BV224" s="2"/>
        <tr r="BW139" s="2"/>
        <tr r="BY285" s="2"/>
        <tr r="BY163" s="2"/>
        <tr r="BY396" s="2"/>
        <tr r="BZ443" s="2"/>
        <tr r="CA101" s="2"/>
        <tr r="CA207" s="2"/>
        <tr r="CB209" s="2"/>
        <tr r="CC217" s="2"/>
        <tr r="BI170" s="2"/>
        <tr r="CB420" s="2"/>
        <tr r="CA356" s="2"/>
        <tr r="CD439" s="2"/>
        <tr r="CF233" s="2"/>
        <tr r="BZ358" s="2"/>
        <tr r="CD176" s="2"/>
        <tr r="CA338" s="2"/>
        <tr r="BY32" s="2"/>
        <tr r="BY316" s="2"/>
        <tr r="BV150" s="2"/>
        <tr r="BW186" s="2"/>
        <tr r="BW448" s="2"/>
        <tr r="BX136" s="2"/>
        <tr r="BY149" s="2"/>
        <tr r="BU241" s="2"/>
        <tr r="BV101" s="2"/>
        <tr r="BX237" s="2"/>
        <tr r="BZ14" s="2"/>
        <tr r="BU320" s="2"/>
        <tr r="BV25" s="2"/>
        <tr r="BX171" s="2"/>
        <tr r="BY262" s="2"/>
        <tr r="BW160" s="2"/>
        <tr r="BW50" s="2"/>
        <tr r="BW93" s="2"/>
        <tr r="CA463" s="2"/>
        <tr r="BW174" s="2"/>
        <tr r="BU313" s="2"/>
        <tr r="BX134" s="2"/>
        <tr r="BY356" s="2"/>
        <tr r="BZ425" s="2"/>
        <tr r="BU336" s="2"/>
        <tr r="BW359" s="2"/>
        <tr r="BX157" s="2"/>
        <tr r="BX355" s="2"/>
        <tr r="BV305" s="2"/>
        <tr r="BU93" s="2"/>
        <tr r="BV83" s="2"/>
        <tr r="BY408" s="2"/>
        <tr r="BY385" s="2"/>
        <tr r="BX102" s="2"/>
        <tr r="BZ204" s="2"/>
        <tr r="CA342" s="2"/>
        <tr r="CA442" s="2"/>
        <tr r="CB372" s="2"/>
        <tr r="CE433" s="2"/>
        <tr r="BJ185" s="2"/>
        <tr r="CB81" s="2"/>
        <tr r="CE423" s="2"/>
        <tr r="CF161" s="2"/>
        <tr r="BG415" s="2"/>
        <tr r="CC219" s="2"/>
        <tr r="BZ205" s="2"/>
        <tr r="CF427" s="2"/>
        <tr r="BV192" s="2"/>
        <tr r="BZ407" s="2"/>
        <tr r="BU82" s="2"/>
        <tr r="BV320" s="2"/>
        <tr r="BX393" s="2"/>
        <tr r="BZ355" s="2"/>
        <tr r="BU74" s="2"/>
        <tr r="BV440" s="2"/>
        <tr r="BX208" s="2"/>
        <tr r="BW43" s="2"/>
        <tr r="BU35" s="2"/>
        <tr r="BW244" s="2"/>
        <tr r="BV108" s="2"/>
        <tr r="BU174" s="2"/>
        <tr r="BU439" s="2"/>
        <tr r="BU428" s="2"/>
        <tr r="BX278" s="2"/>
        <tr r="BZ209" s="2"/>
        <tr r="BU438" s="2"/>
        <tr r="BV178" s="2"/>
        <tr r="BW20" s="2"/>
        <tr r="BY352" s="2"/>
        <tr r="BZ350" s="2"/>
        <tr r="BV252" s="2"/>
        <tr r="BU360" s="2"/>
        <tr r="BW44" s="2"/>
        <tr r="BY109" s="2"/>
        <tr r="BY208" s="2"/>
        <tr r="BV28" s="2"/>
        <tr r="BW317" s="2"/>
        <tr r="BW298" s="2"/>
        <tr r="BZ281" s="2"/>
        <tr r="BZ195" s="2"/>
        <tr r="BZ390" s="2"/>
        <tr r="CB395" s="2"/>
        <tr r="CC465" s="2"/>
        <tr r="CD450" s="2"/>
        <tr r="CD50" s="2"/>
        <tr r="CB24" s="2"/>
        <tr r="CC281" s="2"/>
        <tr r="CE130" s="2"/>
        <tr r="BZ265" s="2"/>
        <tr r="CF452" s="2"/>
        <tr r="CC42" s="2"/>
        <tr r="BU101" s="2"/>
        <tr r="BU312" s="2"/>
        <tr r="BX327" s="2"/>
        <tr r="BZ225" s="2"/>
        <tr r="CF82" s="2"/>
        <tr r="BV264" s="2"/>
        <tr r="BV272" s="2"/>
        <tr r="BW132" s="2"/>
        <tr r="BX369" s="2"/>
        <tr r="BX227" s="2"/>
        <tr r="BZ405" s="2"/>
        <tr r="BU63" s="2"/>
        <tr r="BV156" s="2"/>
        <tr r="BW445" s="2"/>
        <tr r="BW115" s="2"/>
        <tr r="BZ409" s="2"/>
        <tr r="BV148" s="2"/>
        <tr r="BW384" s="2"/>
        <tr r="BY459" s="2"/>
        <tr r="BX276" s="2"/>
        <tr r="BU228" s="2"/>
        <tr r="BW395" s="2"/>
        <tr r="BY224" s="2"/>
        <tr r="BY244" s="2"/>
        <tr r="BV186" s="2"/>
        <tr r="BW308" s="2"/>
        <tr r="BV437" s="2"/>
        <tr r="BZ6" s="2"/>
        <tr r="BV464" s="2"/>
        <tr r="BU56" s="2"/>
        <tr r="BU338" s="2"/>
        <tr r="BV361" s="2"/>
        <tr r="BX90" s="2"/>
        <tr r="BZ92" s="2"/>
        <tr r="BU29" s="2"/>
        <tr r="BW304" s="2"/>
        <tr r="BW410" s="2"/>
        <tr r="BW349" s="2"/>
        <tr r="CA216" s="2"/>
        <tr r="BU116" s="2"/>
        <tr r="BW65" s="2"/>
        <tr r="BY415" s="2"/>
        <tr r="CA46" s="2"/>
        <tr r="BZ102" s="2"/>
        <tr r="CA10" s="2"/>
        <tr r="CA390" s="2"/>
        <tr r="CC32" s="2"/>
        <tr r="CC437" s="2"/>
        <tr r="CF183" s="2"/>
        <tr r="BJ308" s="2"/>
        <tr r="CA359" s="2"/>
        <tr r="CB201" s="2"/>
        <tr r="CC306" s="2"/>
        <tr r="BJ202" s="2"/>
        <tr r="CA340" s="2"/>
        <tr r="BG302" s="2"/>
        <tr r="CD127" s="2"/>
        <tr r="BX66" s="2"/>
        <tr r="BV263" s="2"/>
        <tr r="BX155" s="2"/>
        <tr r="BU172" s="2"/>
        <tr r="BV53" s="2"/>
        <tr r="BX451" s="2"/>
        <tr r="BU290" s="2"/>
        <tr r="BU164" s="2"/>
        <tr r="BV173" s="2"/>
        <tr r="BX459" s="2"/>
        <tr r="BV289" s="2"/>
        <tr r="BV97" s="2"/>
        <tr r="BX33" s="2"/>
        <tr r="BW195" s="2"/>
        <tr r="BV463" s="2"/>
        <tr r="BU274" s="2"/>
        <tr r="BV233" s="2"/>
        <tr r="BX10" s="2"/>
        <tr r="BZ316" s="2"/>
        <tr r="BU115" s="2"/>
        <tr r="BV193" s="2"/>
        <tr r="BX250" s="2"/>
        <tr r="BZ190" s="2"/>
        <tr r="BW238" s="2"/>
        <tr r="BX198" s="2"/>
        <tr r="BZ306" s="2"/>
        <tr r="BW14" s="2"/>
        <tr r="BX104" s="2"/>
        <tr r="BV202" s="2"/>
        <tr r="CB397" s="2"/>
        <tr r="CE78" s="2"/>
        <tr r="BQ259" s="2"/>
        <tr r="CC93" s="2"/>
        <tr r="CF420" s="2"/>
        <tr r="BX165" s="2"/>
        <tr r="BW232" s="2"/>
        <tr r="BZ118" s="2"/>
        <tr r="BV13" s="2"/>
        <tr r="BY424" s="2"/>
        <tr r="BX202" s="2"/>
        <tr r="BW12" s="2"/>
        <tr r="BW121" s="2"/>
        <tr r="CF357" s="2"/>
        <tr r="CE190" s="2"/>
        <tr r="CE45" s="2"/>
        <tr r="CF360" s="2"/>
        <tr r="CF202" s="2"/>
        <tr r="CF196" s="2"/>
        <tr r="CC151" s="2"/>
        <tr r="CE244" s="2"/>
        <tr r="CF385" s="2"/>
        <tr r="AE253" s="2"/>
        <tr r="CF435" s="2"/>
        <tr r="BV329" s="2"/>
        <tr r="BW111" s="2"/>
        <tr r="CB36" s="2"/>
        <tr r="BU385" s="2"/>
        <tr r="BU407" s="2"/>
        <tr r="CC85" s="2"/>
        <tr r="BU41" s="2"/>
        <tr r="CF252" s="2"/>
        <tr r="BU213" s="2"/>
        <tr r="BV428" s="2"/>
        <tr r="BU245" s="2"/>
        <tr r="BV290" s="2"/>
        <tr r="BV39" s="2"/>
        <tr r="CF408" s="2"/>
        <tr r="BU249" s="2"/>
        <tr r="BU306" s="2"/>
        <tr r="BX233" s="2"/>
        <tr r="BZ247" s="2"/>
        <tr r="CF79" s="2"/>
        <tr r="BU243" s="2"/>
        <tr r="BU342" s="2"/>
        <tr r="BV112" s="2"/>
        <tr r="BX274" s="2"/>
        <tr r="BX156" s="2"/>
        <tr r="BV271" s="2"/>
        <tr r="BW233" s="2"/>
        <tr r="BY174" s="2"/>
        <tr r="BY16" s="2"/>
        <tr r="BV133" s="2"/>
        <tr r="BU188" s="2"/>
        <tr r="BY166" s="2"/>
        <tr r="BY311" s="2"/>
        <tr r="CB274" s="2"/>
        <tr r="BX223" s="2"/>
        <tr r="BX124" s="2"/>
        <tr r="BX263" s="2"/>
        <tr r="CA82" s="2"/>
        <tr r="BU123" s="2"/>
        <tr r="BW215" s="2"/>
        <tr r="BX29" s="2"/>
        <tr r="BX146" s="2"/>
        <tr r="BV183" s="2"/>
        <tr r="BU6" s="2"/>
        <tr r="BW194" s="2"/>
        <tr r="BW375" s="2"/>
        <tr r="BZ216" s="2"/>
        <tr r="BU40" s="2"/>
        <tr r="BV414" s="2"/>
        <tr r="BX246" s="2"/>
        <tr r="BW268" s="2"/>
        <tr r="BZ380" s="2"/>
        <tr r="BV399" s="2"/>
        <tr r="BU159" s="2"/>
        <tr r="BU185" s="2"/>
        <tr r="BW157" s="2"/>
        <tr r="BZ319" s="2"/>
        <tr r="BZ415" s="2"/>
        <tr r="BX211" s="2"/>
        <tr r="BZ228" s="2"/>
        <tr r="CC291" s="2"/>
        <tr r="CD54" s="2"/>
        <tr r="CE145" s="2"/>
        <tr r="BJ330" s="2"/>
        <tr r="CA165" s="2"/>
        <tr r="CA404" s="2"/>
        <tr r="CE451" s="2"/>
        <tr r="CF108" s="2"/>
        <tr r="BZ210" s="2"/>
        <tr r="CE39" s="2"/>
        <tr r="BZ329" s="2"/>
        <tr r="BV194" s="2"/>
        <tr r="BX123" s="2"/>
        <tr r="BY61" s="2"/>
        <tr r="BV352" s="2"/>
        <tr r="BW266" s="2"/>
        <tr r="BY207" s="2"/>
        <tr r="BY82" s="2"/>
        <tr r="BU318" s="2"/>
        <tr r="BV223" s="2"/>
        <tr r="BY199" s="2"/>
        <tr r="BY200" s="2"/>
        <tr r="CC382" s="2"/>
        <tr r="BU32" s="2"/>
        <tr r="BX405" s="2"/>
        <tr r="BY342" s="2"/>
        <tr r="CB254" s="2"/>
        <tr r="BU454" s="2"/>
        <tr r="BW240" s="2"/>
        <tr r="BX319" s="2"/>
        <tr r="BY14" s="2"/>
        <tr r="BV415" s="2"/>
        <tr r="BU302" s="2"/>
        <tr r="BU415" s="2"/>
        <tr r="BU319" s="2"/>
        <tr r="BW426" s="2"/>
        <tr r="BV295" s="2"/>
        <tr r="BU201" s="2"/>
        <tr r="BV390" s="2"/>
        <tr r="BU119" s="2"/>
        <tr r="BX422" s="2"/>
        <tr r="BZ340" s="2"/>
        <tr r="BU352" s="2"/>
        <tr r="BU389" s="2"/>
        <tr r="BX23" s="2"/>
        <tr r="BZ465" s="2"/>
        <tr r="BW411" s="2"/>
        <tr r="BX336" s="2"/>
        <tr r="CA150" s="2"/>
        <tr r="CC197" s="2"/>
        <tr r="CD128" s="2"/>
        <tr r="CE274" s="2"/>
        <tr r="BI392" s="2"/>
        <tr r="CB191" s="2"/>
        <tr r="CB391" s="2"/>
        <tr r="CE428" s="2"/>
        <tr r="CF439" s="2"/>
        <tr r="BZ175" s="2"/>
        <tr r="CC362" s="2"/>
        <tr r="CA410" s="2"/>
        <tr r="BX127" s="2"/>
        <tr r="BZ258" s="2"/>
        <tr r="BU207" s="2"/>
        <tr r="BV217" s="2"/>
        <tr r="BY24" s="2"/>
        <tr r="BY429" s="2"/>
        <tr r="BU42" s="2"/>
        <tr r="BX462" s="2"/>
        <tr r="BY228" s="2"/>
        <tr r="BZ419" s="2"/>
        <tr r="BU431" s="2"/>
        <tr r="BW13" s="2"/>
        <tr r="BY258" s="2"/>
        <tr r="BY131" s="2"/>
        <tr r="BU325" s="2"/>
        <tr r="BY294" s="2"/>
        <tr r="BY439" s="2"/>
        <tr r="CB388" s="2"/>
        <tr r="BU239" s="2"/>
        <tr r="BW409" s="2"/>
        <tr r="BW460" s="2"/>
        <tr r="BX71" s="2"/>
        <tr r="BY142" s="2"/>
        <tr r="BW390" s="2"/>
        <tr r="BX105" s="2"/>
        <tr r="BW183" s="2"/>
        <tr r="BY300" s="2"/>
        <tr r="BU256" s="2"/>
        <tr r="BV56" s="2"/>
        <tr r="BX351" s="2"/>
        <tr r="BW42" s="2"/>
        <tr r="BZ166" s="2"/>
        <tr r="BY325" s="2"/>
        <tr r="BV419" s="2"/>
        <tr r="CB315" s="2"/>
        <tr r="CD399" s="2"/>
        <tr r="CD81" s="2"/>
        <tr r="BH445" s="2"/>
        <tr r="CA154" s="2"/>
        <tr r="CC78" s="2"/>
        <tr r="CE142" s="2"/>
        <tr r="CE456" s="2"/>
        <tr r="BX228" s="2"/>
        <tr r="CD364" s="2"/>
        <tr r="CB353" s="2"/>
        <tr r="CF398" s="2"/>
        <tr r="BW230" s="2"/>
        <tr r="BZ238" s="2"/>
        <tr r="BU110" s="2"/>
        <tr r="BV75" s="2"/>
        <tr r="BW284" s="2"/>
        <tr r="BW80" s="2"/>
        <tr r="BZ343" s="2"/>
        <tr r="BV67" s="2"/>
        <tr r="BW396" s="2"/>
        <tr r="BY25" s="2"/>
        <tr r="BW47" s="2"/>
        <tr r="BU67" s="2"/>
        <tr r="BW394" s="2"/>
        <tr r="BY335" s="2"/>
        <tr r="BY290" s="2"/>
        <tr r="BV145" s="2"/>
        <tr r="BW300" s="2"/>
        <tr r="BV435" s="2"/>
        <tr r="BY314" s="2"/>
        <tr r="BU51" s="2"/>
        <tr r="BU446" s="2"/>
        <tr r="BU361" s="2"/>
        <tr r="BV239" s="2"/>
        <tr r="BX49" s="2"/>
        <tr r="BZ106" s="2"/>
        <tr r="BU251" s="2"/>
        <tr r="BW279" s="2"/>
        <tr r="BW335" s="2"/>
        <tr r="BW179" s="2"/>
        <tr r="BZ60" s="2"/>
        <tr r="BU419" s="2"/>
        <tr r="BW383" s="2"/>
        <tr r="BY382" s="2"/>
        <tr r="BZ411" s="2"/>
        <tr r="BY205" s="2"/>
        <tr r="CA89" s="2"/>
        <tr r="BZ20" s="2"/>
        <tr r="CC206" s="2"/>
        <tr r="CC59" s="2"/>
        <tr r="CF278" s="2"/>
        <tr r="BJ361" s="2"/>
        <tr r="BZ37" s="2"/>
        <tr r="CA269" s="2"/>
        <tr r="CF173" s="2"/>
        <tr r="CI172" s="2"/>
        <tr r="BZ293" s="2"/>
        <tr r="CC410" s="2"/>
        <tr r="BV370" s="2"/>
        <tr r="BX295" s="2"/>
        <tr r="CF16" s="2"/>
        <tr r="BU331" s="2"/>
        <tr r="BV293" s="2"/>
        <tr r="BY337" s="2"/>
        <tr r="BY282" s="2"/>
        <tr r="BV200" s="2"/>
        <tr r="BU83" s="2"/>
        <tr r="BW8" s="2"/>
        <tr r="BY31" s="2"/>
        <tr r="BZ196" s="2"/>
        <tr r="BU75" s="2"/>
        <tr r="BV99" s="2"/>
        <tr r="BX131" s="2"/>
        <tr r="BZ237" s="2"/>
        <tr r="BU233" s="2"/>
        <tr r="BV454" s="2"/>
        <tr r="BX72" s="2"/>
        <tr r="BZ403" s="2"/>
        <tr r="BU130" s="2"/>
        <tr r="BU369" s="2"/>
        <tr r="BV357" s="2"/>
        <tr r="BX365" s="2"/>
        <tr r="BZ167" s="2"/>
        <tr r="BV366" s="2"/>
        <tr r="BU366" s="2"/>
        <tr r="BV331" s="2"/>
        <tr r="BW189" s="2"/>
        <tr r="BW441" s="2"/>
        <tr r="BZ89" s="2"/>
        <tr r="BV9" s="2"/>
        <tr r="BU62" s="2"/>
        <tr r="BV118" s="2"/>
        <tr r="BY422" s="2"/>
        <tr r="BY173" s="2"/>
        <tr r="CB181" s="2"/>
        <tr r="BV449" s="2"/>
        <tr r="BX464" s="2"/>
        <tr r="BV318" s="2"/>
        <tr r="BX187" s="2"/>
        <tr r="CA8" s="2"/>
        <tr r="CB331" s="2"/>
        <tr r="CB257" s="2"/>
        <tr r="CC423" s="2"/>
        <tr r="CE443" s="2"/>
        <tr r="CF258" s="2"/>
        <tr r="BT424" s="2"/>
        <tr r="CB21" s="2"/>
        <tr r="CD449" s="2"/>
        <tr r="CE265" s="2"/>
        <tr r="CI333" s="2"/>
        <tr r="BZ120" s="2"/>
        <tr r="BH251" s="2"/>
        <tr r="CD66" s="2"/>
        <tr r="BX386" s="2"/>
        <tr r="BX20" s="2"/>
        <tr r="CA322" s="2"/>
        <tr r="BU232" s="2"/>
        <tr r="BV157" s="2"/>
        <tr r="BX438" s="2"/>
        <tr r="BW301" s="2"/>
        <tr r="BZ354" s="2"/>
        <tr r="BV149" s="2"/>
        <tr r="BX279" s="2"/>
        <tr r="BV47" s="2"/>
        <tr r="BY30" s="2"/>
        <tr r="BU365" s="2"/>
        <tr r="BW53" s="2"/>
        <tr r="BY89" s="2"/>
        <tr r="BW170" s="2"/>
        <tr r="BV267" s="2"/>
        <tr r="BW125" s="2"/>
        <tr r="BW265" s="2"/>
        <tr r="BZ464" s="2"/>
        <tr r="BU408" s="2"/>
        <tr r="BU194" s="2"/>
        <tr r="BV456" s="2"/>
        <tr r="BW101" s="2"/>
        <tr r="BU183" s="2"/>
        <tr r="BZ119" s="2"/>
        <tr r="BU192" s="2"/>
        <tr r="BW277" s="2"/>
        <tr r="BX222" s="2"/>
        <tr r="BX261" s="2"/>
        <tr r="BY116" s="2"/>
        <tr r="BX181" s="2"/>
        <tr r="CE159" s="2"/>
        <tr r="BI283" s="2"/>
        <tr r="CD158" s="2"/>
        <tr r="BQ309" s="2"/>
        <tr r="BI339" s="2"/>
        <tr r="BV237" s="2"/>
        <tr r="BW414" s="2"/>
        <tr r="BX232" s="2"/>
        <tr r="BW15" s="2"/>
        <tr r="BU404" s="2"/>
        <tr r="BV214" s="2"/>
        <tr r="BZ429" s="2"/>
        <tr r="BV341" s="2"/>
        <tr r="CF191" s="2"/>
        <tr r="CE42" s="2"/>
        <tr r="BV89" s="2"/>
        <tr r="CF402" s="2"/>
        <tr r="CF134" s="2"/>
        <tr r="AF231" s="2"/>
        <tr r="CD357" s="2"/>
        <tr r="CF282" s="2"/>
        <tr r="CF123" s="2"/>
        <tr r="CD150" s="2"/>
        <tr r="CE97" s="2"/>
        <tr r="BW168" s="2"/>
        <tr r="CF444" s="2"/>
        <tr r="CF272" s="2"/>
        <tr r="CF74" s="2"/>
        <tr r="CF403" s="2"/>
        <tr r="CF366" s="2"/>
        <tr r="CE131" s="2"/>
        <tr r="CF31" s="2"/>
        <tr r="CF136" s="2"/>
        <tr r="CF387" s="2"/>
        <tr r="BU248" s="2"/>
        <tr r="CE372" s="2"/>
        <tr r="BU171" s="2"/>
        <tr r="BV401" s="2"/>
        <tr r="CF32" s="2"/>
        <tr r="BV50" s="2"/>
        <tr r="BX366" s="2"/>
        <tr r="BX447" s="2"/>
        <tr r="CF343" s="2"/>
        <tr r="CD361" s="2"/>
        <tr r="BW89" s="2"/>
        <tr r="BU401" s="2"/>
        <tr r="BU113" s="2"/>
        <tr r="CE390" s="2"/>
        <tr r="BW310" s="2"/>
        <tr r="BU317" s="2"/>
        <tr r="BV218" s="2"/>
        <tr r="CF8" s="2"/>
        <tr r="CF285" s="2"/>
        <tr r="BU442" s="2"/>
        <tr r="BU453" s="2"/>
        <tr r="BY98" s="2"/>
        <tr r="CD156" s="2"/>
        <tr r="BV380" s="2"/>
        <tr r="BU111" s="2"/>
        <tr r="BW172" s="2"/>
        <tr r="BY66" s="2"/>
        <tr r="BY329" s="2"/>
        <tr r="BU334" s="2"/>
        <tr r="BX170" s="2"/>
        <tr r="BW243" s="2"/>
        <tr r="BY172" s="2"/>
        <tr r="BU326" s="2"/>
        <tr r="BW464" s="2"/>
        <tr r="BW393" s="2"/>
        <tr r="BU324" s="2"/>
        <tr r="BW33" s="2"/>
        <tr r="BV161" s="2"/>
        <tr r="BZ366" s="2"/>
        <tr r="BV277" s="2"/>
        <tr r="BX320" s="2"/>
        <tr r="BW150" s="2"/>
        <tr r="BY161" s="2"/>
        <tr r="BV43" s="2"/>
        <tr r="BV15" s="2"/>
        <tr r="BW336" s="2"/>
        <tr r="BX112" s="2"/>
        <tr r="BY350" s="2"/>
        <tr r="BU311" s="2"/>
        <tr r="BV49" s="2"/>
        <tr r="BU52" s="2"/>
        <tr r="BW432" s="2"/>
        <tr r="BY351" s="2"/>
        <tr r="BZ463" s="2"/>
        <tr r="BV296" s="2"/>
        <tr r="BW146" s="2"/>
        <tr r="BU234" s="2"/>
        <tr r="BY305" s="2"/>
        <tr r="BZ456" s="2"/>
        <tr r="BZ18" s="2"/>
        <tr r="CB288" s="2"/>
        <tr r="CB92" s="2"/>
        <tr r="CC163" s="2"/>
        <tr r="CC98" s="2"/>
        <tr r="BI266" s="2"/>
        <tr r="CA107" s="2"/>
        <tr r="CB153" s="2"/>
        <tr r="CD453" s="2"/>
        <tr r="CA234" s="2"/>
        <tr r="CE55" s="2"/>
        <tr r="CB44" s="2"/>
        <tr r="BW333" s="2"/>
        <tr r="BY363" s="2"/>
        <tr r="BZ438" s="2"/>
        <tr r="BU391" s="2"/>
        <tr r="BU162" s="2"/>
        <tr r="BW413" s="2"/>
        <tr r="BZ136" s="2"/>
        <tr r="BU359" s="2"/>
        <tr r="BU362" s="2"/>
        <tr r="BW116" s="2"/>
        <tr r="BV163" s="2"/>
        <tr r="BU457" s="2"/>
        <tr r="BW66" s="2"/>
        <tr r="BW358" s="2"/>
        <tr r="BZ48" s="2"/>
        <tr r="BW262" s="2"/>
        <tr r="BX235" s="2"/>
        <tr r="BW401" s="2"/>
        <tr r="BY77" s="2"/>
        <tr r="BV125" s="2"/>
        <tr r="BV96" s="2"/>
        <tr r="BW10" s="2"/>
        <tr r="BY430" s="2"/>
        <tr r="BY9" s="2"/>
        <tr r="BV441" s="2"/>
        <tr r="BV90" s="2"/>
        <tr r="BU189" s="2"/>
        <tr r="BW34" s="2"/>
        <tr r="BY240" s="2"/>
        <tr r="CA313" s="2"/>
        <tr r="BV337" s="2"/>
        <tr r="BW147" s="2"/>
        <tr r="BV82" s="2"/>
        <tr r="BY125" s="2"/>
        <tr r="BZ217" s="2"/>
        <tr r="BZ460" s="2"/>
        <tr r="CB185" s="2"/>
        <tr r="CB384" s="2"/>
        <tr r="CC343" s="2"/>
        <tr r="CD223" s="2"/>
        <tr r="BI29" s="2"/>
        <tr r="CA45" s="2"/>
        <tr r="CB374" s="2"/>
        <tr r="CE158" s="2"/>
        <tr r="CB167" s="2"/>
        <tr r="CE371" s="2"/>
        <tr r="CC378" s="2"/>
        <tr r="BV27" s="2"/>
        <tr r="BY219" s="2"/>
        <tr r="BU33" s="2"/>
        <tr r="BV126" s="2"/>
        <tr r="BX142" s="2"/>
        <tr r="BW327" s="2"/>
        <tr r="BV427" s="2"/>
        <tr r="BW250" s="2"/>
        <tr r="BX126" s="2"/>
        <tr r="BX9" s="2"/>
        <tr r="BY362" s="2"/>
        <tr r="BW96" s="2"/>
        <tr r="BW377" s="2"/>
        <tr r="BW340" s="2"/>
        <tr r="CA198" s="2"/>
        <tr r="BU186" s="2"/>
        <tr r="BW131" s="2"/>
        <tr r="BW242" s="2"/>
        <tr r="BV326" s="2"/>
        <tr r="BU383" s="2"/>
        <tr r="BV176" s="2"/>
        <tr r="BY391" s="2"/>
        <tr r="BY392" s="2"/>
        <tr r="CC328" s="2"/>
        <tr r="BV46" s="2"/>
        <tr r="BW367" s="2"/>
        <tr r="BX343" s="2"/>
        <tr r="BX418" s="2"/>
        <tr r="BV142" s="2"/>
        <tr r="BV265" s="2"/>
        <tr r="BW148" s="2"/>
        <tr r="BY203" s="2"/>
        <tr r="BU193" s="2"/>
        <tr r="BZ111" s="2"/>
        <tr r="BZ13" s="2"/>
        <tr r="CA71" s="2"/>
        <tr r="CB457" s="2"/>
        <tr r="CB259" s="2"/>
        <tr r="CD262" s="2"/>
        <tr r="BI28" s="2"/>
        <tr r="CB278" s="2"/>
        <tr r="CB195" s="2"/>
        <tr r="CD401" s="2"/>
        <tr r="CF58" s="2"/>
        <tr r="BX63" s="2"/>
        <tr r="CD286" s="2"/>
        <tr r="CA376" s="2"/>
        <tr r="BU296" s="2"/>
        <tr r="BV55" s="2"/>
        <tr r="BY139" s="2"/>
        <tr r="BZ185" s="2"/>
        <tr r="BV119" s="2"/>
        <tr r="BU154" s="2"/>
        <tr r="BW342" s="2"/>
        <tr r="BX432" s="2"/>
        <tr r="BZ162" s="2"/>
        <tr r="BU146" s="2"/>
        <tr r="BV448" s="2"/>
        <tr r="BX147" s="2"/>
        <tr r="BZ179" s="2"/>
        <tr r="BU72" s="2"/>
        <tr r="BU91" s="2"/>
        <tr r="BX150" s="2"/>
        <tr r="BZ145" s="2"/>
        <tr r="BV115" s="2"/>
        <tr r="BU208" s="2"/>
        <tr r="BV275" s="2"/>
        <tr r="BX60" s="2"/>
        <tr r="BY226" s="2"/>
        <tr r="BU429" s="2"/>
        <tr r="BV250" s="2"/>
        <tr r="BW28" s="2"/>
        <tr r="BW158" s="2"/>
        <tr r="BZ86" s="2"/>
        <tr r="BU220" s="2"/>
        <tr r="BV388" s="2"/>
        <tr r="BU98" s="2"/>
        <tr r="BX463" s="2"/>
        <tr r="BY55" s="2"/>
        <tr r="CB296" s="2"/>
        <tr r="BV327" s="2"/>
        <tr r="BX129" s="2"/>
        <tr r="BZ88" s="2"/>
        <tr r="CA16" s="2"/>
        <tr r="CA286" s="2"/>
        <tr r="CB275" s="2"/>
        <tr r="CB32" s="2"/>
        <tr r="CB429" s="2"/>
        <tr r="CE417" s="2"/>
        <tr r="CF121" s="2"/>
        <tr r="CI420" s="2"/>
        <tr r="CB66" s="2"/>
        <tr r="CD232" s="2"/>
        <tr r="CE120" s="2"/>
        <tr r="CH171" s="2"/>
        <tr r="CB111" s="2"/>
        <tr r="BI390" s="2"/>
        <tr r="CC170" s="2"/>
        <tr r="BU357" s="2"/>
        <tr r="BU18" s="2"/>
        <tr r="BX312" s="2"/>
        <tr r="CF67" s="2"/>
        <tr r="CF185" s="2"/>
        <tr r="BU238" s="2"/>
        <tr r="BU458" s="2"/>
        <tr r="BV266" s="2"/>
        <tr r="BX465" s="2"/>
        <tr r="BW372" s="2"/>
        <tr r="BU199" s="2"/>
        <tr r="BV152" s="2"/>
        <tr r="BX257" s="2"/>
        <tr r="BZ384" s="2"/>
        <tr r="BV120" s="2"/>
        <tr r="BV220" s="2"/>
        <tr r="BW416" s="2"/>
        <tr r="BW259" s="2"/>
        <tr r="BZ274" s="2"/>
        <tr r="BV122" s="2"/>
        <tr r="BW403" s="2"/>
        <tr r="BV109" s="2"/>
        <tr r="BY180" s="2"/>
        <tr r="BU356" s="2"/>
        <tr r="BX264" s="2"/>
        <tr r="BZ94" s="2"/>
        <tr r="BZ388" s="2"/>
        <tr r="BV375" s="2"/>
        <tr r="BU410" s="2"/>
        <tr r="BW255" s="2"/>
        <tr r="BY254" s="2"/>
        <tr r="BZ370" s="2"/>
        <tr r="BU23" s="2"/>
        <tr r="BU96" s="2"/>
        <tr r="BW91" s="2"/>
        <tr r="BV216" s="2"/>
        <tr r="BV72" s="2"/>
        <tr r="BW229" s="2"/>
        <tr r="BX322" s="2"/>
        <tr r="BX260" s="2"/>
        <tr r="CA273" s="2"/>
        <tr r="BY426" s="2"/>
        <tr r="BZ252" s="2"/>
        <tr r="CC419" s="2"/>
        <tr r="CD377" s="2"/>
        <tr r="CD389" s="2"/>
        <tr r="BI185" s="2"/>
        <tr r="CA418" s="2"/>
        <tr r="CC380" s="2"/>
        <tr r="CE64" s="2"/>
        <tr r="BG424" s="2"/>
        <tr r="CA137" s="2"/>
        <tr r="BJ124" s="2"/>
        <tr r="CE57" s="2"/>
        <tr r="BY170" s="2"/>
        <tr r="BY115" s="2"/>
        <tr r="BV241" s="2"/>
        <tr r="BU244" s="2"/>
        <tr r="BW193" s="2"/>
        <tr r="BY37" s="2"/>
        <tr r="CA415" s="2"/>
        <tr r="BU236" s="2"/>
        <tr r="BV181" s="2"/>
        <tr r="BX380" s="2"/>
        <tr r="BV167" s="2"/>
        <tr r="BU210" s="2"/>
        <tr r="BV105" s="2"/>
        <tr r="BX100" s="2"/>
        <tr r="BZ363" s="2"/>
        <tr r="BU138" s="2"/>
        <tr r="BU346" s="2"/>
        <tr r="BW151" s="2"/>
        <tr r="BY190" s="2"/>
        <tr r="BZ122" s="2"/>
        <tr r="BV73" s="2"/>
        <tr r="BU112" s="2"/>
        <tr r="BV44" s="2"/>
        <tr r="BX388" s="2"/>
        <tr r="BX8" s="2"/>
        <tr r="BV201" s="2"/>
        <tr r="BY420" s="2"/>
        <tr r="BW104" s="2"/>
        <tr r="BY252" s="2"/>
        <tr r="CA87" s="2"/>
        <tr r="CA288" s="2"/>
        <tr r="CF226" s="2"/>
        <tr r="BH159" s="2"/>
        <tr r="CC320" s="2"/>
        <tr r="BJ60" s="2"/>
        <tr r="BZ41" s="2"/>
        <tr r="BX325" s="2"/>
        <tr r="BU393" s="2"/>
        <tr r="BU451" s="2"/>
        <tr r="BZ356" s="2"/>
        <tr r="BX40" s="2"/>
        <tr r="BV294" s="2"/>
        <tr r="BZ67" s="2"/>
        <tr r="BU53" s="2"/>
        <tr r="BV247" s="2"/>
        <tr r="CF64" s="2"/>
        <tr r="BU173" s="2"/>
        <tr r="CC403" s="2"/>
        <tr r="BU168" s="2"/>
        <tr r="BW162" s="2"/>
        <tr r="BX326" s="2"/>
        <tr r="CF59" s="2"/>
        <tr r="BU441" s="2"/>
        <tr r="BW122" s="2"/>
        <tr r="CF291" s="2"/>
        <tr r="BV177" s="2"/>
        <tr r="BX403" s="2"/>
        <tr r="BX286" s="2"/>
        <tr r="CF344" s="2"/>
        <tr r="CE140" s="2"/>
        <tr r="CF101" s="2"/>
        <tr r="BV317" s="2"/>
        <tr r="BU165" s="2"/>
        <tr r="BW163" s="2"/>
        <tr r="BW137" s="2"/>
        <tr r="CE191" s="2"/>
        <tr r="BU20" s="2"/>
        <tr r="BW407" s="2"/>
        <tr r="BW192" s="2"/>
        <tr r="BW435" s="2"/>
        <tr r="BZ333" s="2"/>
        <tr r="BV343" s="2"/>
        <tr r="BW241" s="2"/>
        <tr r="BY87" s="2"/>
        <tr r="BY93" s="2"/>
        <tr r="BV335" s="2"/>
        <tr r="BW297" s="2"/>
        <tr r="BY238" s="2"/>
        <tr r="BY144" s="2"/>
        <tr r="BV383" s="2"/>
        <tr r="BW119" s="2"/>
        <tr r="BX284" s="2"/>
        <tr r="BX337" s="2"/>
        <tr r="BU327" s="2"/>
        <tr r="BW239" s="2"/>
        <tr r="BX421" s="2"/>
        <tr r="BX409" s="2"/>
        <tr r="BU315" s="2"/>
        <tr r="BV57" s="2"/>
        <tr r="BU78" s="2"/>
        <tr r="BX443" s="2"/>
        <tr r="BW106" s="2"/>
        <tr r="BY27" s="2"/>
        <tr r="BU176" s="2"/>
        <tr r="BV321" s="2"/>
        <tr r="BX204" s="2"/>
        <tr r="BU279" s="2"/>
        <tr r="BX249" s="2"/>
        <tr r="BU247" s="2"/>
        <tr r="BV66" s="2"/>
        <tr r="BX59" s="2"/>
        <tr r="BY320" s="2"/>
        <tr r="BY78" s="2"/>
        <tr r="BY243" s="2"/>
        <tr r="CC160" s="2"/>
        <tr r="CB319" s="2"/>
        <tr r="CE435" s="2"/>
        <tr r="CE346" s="2"/>
        <tr r="BG449" s="2"/>
        <tr r="CC39" s="2"/>
        <tr r="CD441" s="2"/>
        <tr r="CF240" s="2"/>
        <tr r="BJ446" s="2"/>
        <tr r="CB430" s="2"/>
        <tr r="CB421" s="2"/>
        <tr r="BW219" s="2"/>
        <tr r="BX86" s="2"/>
        <tr r="BW155" s="2"/>
        <tr r="BV424" s="2"/>
        <tr r="BW274" s="2"/>
        <tr r="BU261" s="2"/>
        <tr r="BY348" s="2"/>
        <tr r="BV416" s="2"/>
        <tr r="BW330" s="2"/>
        <tr r="BY271" s="2"/>
        <tr r="BY186" s="2"/>
        <tr r="BU153" s="2"/>
        <tr r="BW176" s="2"/>
        <tr r="BX135" s="2"/>
        <tr r="BX287" s="2"/>
        <tr r="BV23" s="2"/>
        <tr r="BW248" s="2"/>
        <tr r="BY246" s="2"/>
        <tr r="BX407" s="2"/>
        <tr r="BV328" s="2"/>
        <tr r="BV98" s="2"/>
        <tr r="BU31" s="2"/>
        <tr r="BU392" s="2"/>
        <tr r="BW252" s="2"/>
        <tr r="BZ383" s="2"/>
        <tr r="BU337" s="2"/>
        <tr r="BV12" s="2"/>
        <tr r="BU99" s="2"/>
        <tr r="BV76" s="2"/>
        <tr r="BY360" s="2"/>
        <tr r="BU49" s="2"/>
        <tr r="BV228" s="2"/>
        <tr r="BX45" s="2"/>
        <tr r="BY43" s="2"/>
        <tr r="BY192" s="2"/>
        <tr r="BZ155" s="2"/>
        <tr r="CC449" s="2"/>
        <tr r="CB74" s="2"/>
        <tr r="CE396" s="2"/>
        <tr r="CE179" s="2"/>
        <tr r="BJ126" s="2"/>
        <tr r="CC424" s="2"/>
        <tr r="CD242" s="2"/>
        <tr r="CF290" s="2"/>
        <tr r="BJ109" s="2"/>
        <tr r="CB51" s="2"/>
        <tr r="BX428" s="2"/>
        <tr r="BX109" s="2"/>
        <tr r="BY69" s="2"/>
        <tr r="BV393" s="2"/>
        <tr r="BW267" s="2"/>
        <tr r="BY96" s="2"/>
        <tr r="BY349" s="2"/>
        <tr r="BU335" s="2"/>
        <tr r="BV345" s="2"/>
        <tr r="BY88" s="2"/>
        <tr r="BY65" s="2"/>
        <tr r="BU69" s="2"/>
        <tr r="BY230" s="2"/>
        <tr r="BY375" s="2"/>
        <tr r="CB324" s="2"/>
        <tr r="BU225" s="2"/>
        <tr r="BW425" s="2"/>
        <tr r="BY366" s="2"/>
        <tr r="BY435" s="2"/>
        <tr r="BV51" s="2"/>
        <tr r="BU73" s="2"/>
        <tr r="BU128" s="2"/>
        <tr r="BU196" s="2"/>
        <tr r="BW149" s="2"/>
        <tr r="BV245" s="2"/>
        <tr r="BU178" s="2"/>
        <tr r="BW312" s="2"/>
        <tr r="BU316" s="2"/>
        <tr r="BX57" s="2"/>
        <tr r="BV175" s="2"/>
        <tr r="BU395" s="2"/>
        <tr r="BV64" s="2"/>
        <tr r="BX217" s="2"/>
        <tr r="BZ11" s="2"/>
        <tr r="BX348" s="2"/>
        <tr r="BY120" s="2"/>
        <tr r="CA113" s="2"/>
        <tr r="CD46" s="2"/>
        <tr r="CD354" s="2"/>
        <tr r="CE107" s="2"/>
        <tr r="BQ332" s="2"/>
        <tr r="CB144" s="2"/>
        <tr r="CB242" s="2"/>
        <tr r="CE464" s="2"/>
        <tr r="CC397" s="2"/>
        <tr r="BU461" s="2"/>
        <tr r="CD122" s="2"/>
        <tr r="CB463" s="2"/>
        <tr r="BV191" s="2"/>
        <tr r="BY332" s="2"/>
        <tr r="BU246" s="2"/>
        <tr r="BU375" s="2"/>
        <tr r="BX192" s="2"/>
        <tr r="BZ359" s="2"/>
        <tr r="BZ15" s="2"/>
        <tr r="BV139" s="2"/>
        <tr r="BW428" s="2"/>
        <tr r="BW256" s="2"/>
        <tr r="BZ360" s="2"/>
        <tr r="BV81" s="2"/>
        <tr r="BW402" s="2"/>
        <tr r="BV135" s="2"/>
        <tr r="BY210" s="2"/>
        <tr r="BU57" s="2"/>
        <tr r="BX70" s="2"/>
        <tr r="BY251" s="2"/>
        <tr r="BZ297" s="2"/>
        <tr r="BV270" s="2"/>
        <tr r="BU433" s="2"/>
        <tr r="BV453" s="2"/>
        <tr r="BX429" s="2"/>
        <tr r="BZ39" s="2"/>
        <tr r="BU70" s="2"/>
        <tr r="BW258" s="2"/>
        <tr r="BW24" s="2"/>
        <tr r="BZ9" s="2"/>
        <tr r="BU332" s="2"/>
        <tr r="BW68" s="2"/>
        <tr r="BX281" s="2"/>
        <tr r="BX434" s="2"/>
        <tr r="BZ149" s="2"/>
        <tr r="BY201" s="2"/>
        <tr r="BZ62" s="2"/>
        <tr r="CC9" s="2"/>
        <tr r="CD160" s="2"/>
        <tr r="CD188" s="2"/>
        <tr r="CF219" s="2"/>
        <tr r="BI31" s="2"/>
        <tr r="CA104" s="2"/>
        <tr r="CC409" s="2"/>
        <tr r="CE303" s="2"/>
        <tr r="BH434" s="2"/>
        <tr r="CC422" s="2"/>
        <tr r="BJ6" s="2"/>
        <tr r="CD404" s="2"/>
        <tr r="BU90" s="2"/>
        <tr r="BX305" s="2"/>
        <tr r="CF340" s="2"/>
        <tr r="CF302" s="2"/>
        <tr r="BU161" s="2"/>
        <tr r="BV439" s="2"/>
        <tr r="BV20" s="2"/>
        <tr r="BW373" s="2"/>
        <tr r="BY409" s="2"/>
        <tr r="BX120" s="2"/>
        <tr r="BV336" s="2"/>
        <tr r="BW196" s="2"/>
        <tr r="BX457" s="2"/>
        <tr r="BX395" s="2"/>
        <tr r="BZ47" s="2"/>
        <tr r="BU147" s="2"/>
        <tr r="BW72" s="2"/>
        <tr r="BY95" s="2"/>
        <tr r="BZ189" s="2"/>
        <tr r="BU305" s="2"/>
        <tr r="BV229" s="2"/>
        <tr r="BX301" s="2"/>
        <tr r="BZ246" s="2"/>
        <tr r="BW378" s="2"/>
        <tr r="BX382" s="2"/>
        <tr r="BX177" s="2"/>
        <tr r="BY52" s="2"/>
        <tr r="BU367" s="2"/>
        <tr r="BV71" s="2"/>
        <tr r="BX440" s="2"/>
        <tr r="BZ296" s="2"/>
        <tr r="CA223" s="2"/>
        <tr r="BV160" s="2"/>
        <tr r="BW74" s="2"/>
        <tr r="BY15" s="2"/>
        <tr r="BY265" s="2"/>
        <tr r="BV400" s="2"/>
        <tr r="BV249" s="2"/>
        <tr r="BW440" s="2"/>
        <tr r="BY106" s="2"/>
        <tr r="BY11" s="2"/>
        <tr r="BX191" s="2"/>
        <tr r="CA54" s="2"/>
        <tr r="CB8" s="2"/>
        <tr r="CA261" s="2"/>
        <tr r="CC136" s="2"/>
        <tr r="CF401" s="2"/>
        <tr r="BI368" s="2"/>
        <tr r="CC280" s="2"/>
        <tr r="CB332" s="2"/>
        <tr r="CC370" s="2"/>
        <tr r="CI166" s="2"/>
        <tr r="CA386" s="2"/>
        <tr r="BY307" s="2"/>
        <tr r="CD337" s="2"/>
        <tr r="BX458" s="2"/>
        <tr r="BU464" s="2"/>
        <tr r="BU17" s="2"/>
        <tr r="BV234" s="2"/>
        <tr r="BX130" s="2"/>
        <tr r="BV128" s="2"/>
        <tr r="BX220" s="2"/>
        <tr r="BV221" s="2"/>
        <tr r="BX311" s="2"/>
        <tr r="BW429" s="2"/>
        <tr r="BZ35" s="2"/>
        <tr r="BV203" s="2"/>
        <tr r="BW61" s="2"/>
        <tr r="BW81" s="2"/>
        <tr r="BZ64" s="2"/>
        <tr r="BV350" s="2"/>
        <tr r="BX152" s="2"/>
        <tr r="BZ367" s="2"/>
        <tr r="CA302" s="2"/>
        <tr r="BV121" s="2"/>
        <tr r="BX174" s="2"/>
        <tr r="BY287" s="2"/>
        <tr r="BU384" s="2"/>
        <tr r="BX340" s="2"/>
        <tr r="BW214" s="2"/>
        <tr r="BW69" s="2"/>
        <tr r="BZ46" s="2"/>
        <tr r="CA393" s="2"/>
        <tr r="CF15" s="2"/>
        <tr r="BZ12" s="2"/>
        <tr r="CD64" s="2"/>
        <tr r="CB34" s="2"/>
        <tr r="BZ450" s="2"/>
        <tr r="BY168" s="2"/>
        <tr r="BV418" s="2"/>
        <tr r="BX324" s="2"/>
        <tr r="CA169" s="2"/>
        <tr r="BW290" s="2"/>
        <tr r="BV219" s="2"/>
        <tr r="BU203" s="2"/>
        <tr r="BX55" s="2"/>
        <tr r="BU54" s="2"/>
        <tr r="CF120" s="2"/>
        <tr r="CE161" s="2"/>
        <tr r="BU304" s="2"/>
        <tr r="BU151" s="2"/>
        <tr r="BU71" s="2"/>
        <tr r="CE403" s="2"/>
        <tr r="BU463" s="2"/>
        <tr r="CF293" s="2"/>
        <tr r="BV313" s="2"/>
        <tr r="CF373" s="2"/>
        <tr r="BW294" s="2"/>
        <tr r="AE407" s="2"/>
        <tr r="BU265" s="2"/>
        <tr r="CF119" s="2"/>
        <tr r="BV102" s="2"/>
        <tr r="BX213" s="2"/>
        <tr r="BU370" s="2"/>
        <tr r="CB423" s="2"/>
        <tr r="BV459" s="2"/>
        <tr r="BU27" s="2"/>
        <tr r="BY38" s="2"/>
        <tr r="BY183" s="2"/>
        <tr r="CB210" s="2"/>
        <tr r="BU363" s="2"/>
        <tr r="BU406" s="2"/>
        <tr r="BV240" s="2"/>
        <tr r="BX346" s="2"/>
        <tr r="BX253" s="2"/>
        <tr r="BU398" s="2"/>
        <tr r="BX234" s="2"/>
        <tr r="BW371" s="2"/>
        <tr r="BZ78" s="2"/>
        <tr r="BV213" s="2"/>
        <tr r="BX128" s="2"/>
        <tr r="BV373" s="2"/>
        <tr r="BY33" s="2"/>
        <tr r="BU76" s="2"/>
        <tr r="BW334" s="2"/>
        <tr r="BU155" s="2"/>
        <tr r="BX80" s="2"/>
        <tr r="BZ245" s="2"/>
        <tr r="BU64" s="2"/>
        <tr r="BV87" s="2"/>
        <tr r="BW368" s="2"/>
        <tr r="BY310" s="2"/>
        <tr r="BY70" s="2"/>
        <tr r="BU145" s="2"/>
        <tr r="BV185" s="2"/>
        <tr r="BW165" s="2"/>
        <tr r="BX242" s="2"/>
        <tr r="BX347" s="2"/>
        <tr r="CA17" s="2"/>
        <tr r="BU216" s="2"/>
        <tr r="BW269" s="2"/>
        <tr r="BY155" s="2"/>
        <tr r="BZ110" s="2"/>
        <tr r="BZ227" s="2"/>
        <tr r="CB158" s="2"/>
        <tr r="CA53" s="2"/>
        <tr r="CA420" s="2"/>
        <tr r="CD317" s="2"/>
        <tr r="CD352" s="2"/>
        <tr r="BH232" s="2"/>
        <tr r="CA143" s="2"/>
        <tr r="CC139" s="2"/>
        <tr r="CD420" s="2"/>
        <tr r="BI65" s="2"/>
        <tr r="BZ264" s="2"/>
        <tr r="BT217" s="2"/>
        <tr r="CD143" s="2"/>
        <tr r="BY71" s="2"/>
        <tr r="BY72" s="2"/>
        <tr r="CB311" s="2"/>
        <tr r="BU85" s="2"/>
        <tr r="BU16" s="2"/>
        <tr r="BV322" s="2"/>
        <tr r="BX275" s="2"/>
        <tr r="BY185" s="2"/>
        <tr r="BU8" s="2"/>
        <tr r="BU418" s="2"/>
        <tr r="BX22" s="2"/>
        <tr r="BZ416" s="2"/>
        <tr r="BW223" s="2"/>
        <tr r="BX425" s="2"/>
        <tr r="BW249" s="2"/>
        <tr r="BY75" s="2"/>
        <tr r="BV410" s="2"/>
        <tr r="BU86" s="2"/>
        <tr r="BV31" s="2"/>
        <tr r="BX172" s="2"/>
        <tr r="BX185" s="2"/>
        <tr r="BU202" s="2"/>
        <tr r="BV168" s="2"/>
        <tr r="BW18" s="2"/>
        <tr r="BY343" s="2"/>
        <tr r="BY13" s="2"/>
        <tr r="BV278" s="2"/>
        <tr r="BV226" s="2"/>
        <tr r="BX158" s="2"/>
        <tr r="BX99" s="2"/>
        <tr r="BX197" s="2"/>
        <tr r="BZ294" s="2"/>
        <tr r="BU455" s="2"/>
        <tr r="BX262" s="2"/>
        <tr r="BY36" s="2"/>
        <tr r="BZ172" s="2"/>
        <tr r="BZ125" s="2"/>
        <tr r="CB431" s="2"/>
        <tr r="CA382" s="2"/>
        <tr r="CB9" s="2"/>
        <tr r="CE87" s="2"/>
        <tr r="CE289" s="2"/>
        <tr r="BG159" s="2"/>
        <tr r="CB96" s="2"/>
        <tr r="CC101" s="2"/>
        <tr r="CD205" s="2"/>
        <tr r="BH246" s="2"/>
        <tr r="CA180" s="2"/>
        <tr r="BI410" s="2"/>
        <tr r="BZ311" s="2"/>
        <tr r="BY100" s="2"/>
        <tr r="BZ66" s="2"/>
        <tr r="BU105" s="2"/>
        <tr r="BV134" s="2"/>
        <tr r="BX375" s="2"/>
        <tr r="BZ51" s="2"/>
        <tr r="BU97" s="2"/>
        <tr r="BV254" s="2"/>
        <tr r="BX270" s="2"/>
        <tr r="BW424" s="2"/>
        <tr r="BU412" s="2"/>
        <tr r="BW67" s="2"/>
        <tr r="BW90" s="2"/>
        <tr r="BV6" s="2"/>
        <tr r="BU14" s="2"/>
        <tr r="BU38" s="2"/>
        <tr r="BW124" s="2"/>
        <tr r="BZ382" s="2"/>
        <tr r="BW110" s="2"/>
        <tr r="BV137" s="2"/>
        <tr r="BW11" s="2"/>
        <tr r="BY463" s="2"/>
        <tr r="BY267" s="2"/>
        <tr r="BV171" s="2"/>
        <tr r="BU30" s="2"/>
        <tr r="BW35" s="2"/>
        <tr r="BY105" s="2"/>
        <tr r="BX400" s="2"/>
        <tr r="BV378" s="2"/>
        <tr r="BW156" s="2"/>
        <tr r="BW247" s="2"/>
        <tr r="BZ127" s="2"/>
        <tr r="BZ219" s="2"/>
        <tr r="BZ85" s="2"/>
        <tr r="CB355" s="2"/>
        <tr r="CC199" s="2"/>
        <tr r="CD393" s="2"/>
        <tr r="CD97" s="2"/>
        <tr r="BH329" s="2"/>
        <tr r="CB302" s="2"/>
        <tr r="CC7" s="2"/>
        <tr r="CE223" s="2"/>
        <tr r="CB155" s="2"/>
        <tr r="CF200" s="2"/>
        <tr r="CB178" s="2"/>
        <tr r="BU371" s="2"/>
        <tr r="BW399" s="2"/>
        <tr r="BV255" s="2"/>
        <tr r="BW187" s="2"/>
        <tr r="BX288" s="2"/>
        <tr r="BX308" s="2"/>
        <tr r="BZ441" s="2"/>
        <tr r="BU218" s="2"/>
        <tr r="BW438" s="2"/>
        <tr r="BY62" s="2"/>
        <tr r="BZ410" s="2"/>
        <tr r="BU144" s="2"/>
        <tr r="BV147" s="2"/>
        <tr r="BX420" s="2"/>
        <tr r="BY18" s="2"/>
        <tr r="BW345" s="2"/>
        <tr r="BW228" s="2"/>
        <tr r="BX328" s="2"/>
        <tr r="BX141" s="2"/>
        <tr r="BW199" s="2"/>
        <tr r="BU227" s="2"/>
        <tr r="BX15" s="2"/>
        <tr r="BZ182" s="2"/>
        <tr r="BZ436" s="2"/>
        <tr r="BV79" s="2"/>
        <tr r="BW41" s="2"/>
        <tr r="BX376" s="2"/>
        <tr r="BY47" s="2"/>
        <tr r="BU310" s="2"/>
        <tr r="BV127" s="2"/>
        <tr r="BV165" s="2"/>
        <tr r="BY273" s="2"/>
        <tr r="BY218" s="2"/>
        <tr r="BV332" s="2"/>
        <tr r="BZ453" s="2"/>
        <tr r="CB270" s="2"/>
        <tr r="CA52" s="2"/>
        <tr r="CB453" s="2"/>
        <tr r="CF40" s="2"/>
        <tr r="BJ99" s="2"/>
        <tr r="CB246" s="2"/>
        <tr r="CE105" s="2"/>
        <tr r="CF372" s="2"/>
        <tr r="BQ189" s="2"/>
        <tr r="CD440" s="2"/>
        <tr r="BW88" s="2"/>
        <tr r="CB176" s="2"/>
        <tr r="BW123" s="2"/>
        <tr r="BX216" s="2"/>
        <tr r="CF379" s="2"/>
        <tr r="BV22" s="2"/>
        <tr r="BU403" s="2"/>
        <tr r="BV274" s="2"/>
        <tr r="BX338" s="2"/>
        <tr r="BZ109" s="2"/>
        <tr r="BU448" s="2"/>
        <tr r="BV397" s="2"/>
        <tr r="BY401" s="2"/>
        <tr r="BY346" s="2"/>
        <tr r="BV280" s="2"/>
        <tr r="BX321" s="2"/>
        <tr r="BZ49" s="2"/>
        <tr r="BV406" s="2"/>
        <tr r="BU298" s="2"/>
        <tr r="BX367" s="2"/>
        <tr r="BZ30" s="2"/>
        <tr r="BZ251" s="2"/>
        <tr r="BU388" s="2"/>
        <tr r="BV130" s="2"/>
        <tr r="BY216" s="2"/>
        <tr r="BY193" s="2"/>
        <tr r="BV80" s="2"/>
        <tr r="BW443" s="2"/>
        <tr r="BX113" s="2"/>
        <tr r="BX306" s="2"/>
        <tr r="BZ291" s="2"/>
        <tr r="BU95" s="2"/>
        <tr r="BU160" s="2"/>
        <tr r="BW29" s="2"/>
        <tr r="BZ432" s="2"/>
        <tr r="BU394" s="2"/>
        <tr r="BV300" s="2"/>
        <tr r="BX394" s="2"/>
        <tr r="BX255" s="2"/>
        <tr r="BX153" s="2"/>
        <tr r="BY171" s="2"/>
        <tr r="BZ292" s="2"/>
        <tr r="CC303" s="2"/>
        <tr r="CD385" s="2"/>
        <tr r="CD141" s="2"/>
        <tr r="BJ281" s="2"/>
        <tr r="CA93" s="2"/>
        <tr r="CC450" s="2"/>
        <tr r="CE114" s="2"/>
        <tr r="CE281" s="2"/>
        <tr r="BZ234" s="2"/>
        <tr r="CE253" s="2"/>
        <tr r="BX251" s="2"/>
        <tr r="CD353" s="2"/>
        <tr r="BU205" s="2"/>
        <tr r="BX205" s="2"/>
        <tr r="BV377" s="2"/>
        <tr r="BW357" s="2"/>
        <tr r="BX450" s="2"/>
        <tr r="BX84" s="2"/>
        <tr r="CA26" s="2"/>
        <tr r="BU308" s="2"/>
        <tr r="BW257" s="2"/>
        <tr r="BY365" s="2"/>
        <tr r="CA79" s="2"/>
        <tr r="BU282" s="2"/>
        <tr r="BW55" s="2"/>
        <tr r="BY126" s="2"/>
        <tr r="BZ243" s="2"/>
        <tr r="BW379" s="2"/>
        <tr r="BX25" s="2"/>
        <tr r="BX218" s="2"/>
        <tr r="BZ115" s="2"/>
        <tr r="BU195" s="2"/>
        <tr r="BV52" s="2"/>
        <tr r="BU260" s="2"/>
        <tr r="BU358" s="2"/>
        <tr r="BY237" s="2"/>
        <tr r="BU288" s="2"/>
        <tr r="BZ36" s="2"/>
        <tr r="CA320" s="2"/>
        <tr r="CC307" s="2"/>
        <tr r="CD255" s="2"/>
        <tr r="CB404" s="2"/>
        <tr r="CE44" s="2"/>
        <tr r="CB415" s="2"/>
        <tr r="CB359" s="2"/>
        <tr r="BX62" s="2"/>
        <tr r="BU92" s="2"/>
        <tr r="BV391" s="2"/>
        <tr r="BV303" s="2"/>
        <tr r="BX46" s="2"/>
        <tr r="BV348" s="2"/>
        <tr r="BU390" s="2"/>
        <tr r="BV451" s="2"/>
        <tr r="BV63" s="2"/>
        <tr r="CF221" s="2"/>
        <tr r="BU386" s="2"/>
        <tr r="CF393" s="2"/>
        <tr r="CF51" s="2"/>
        <tr r="CD37" s="2"/>
        <tr r="CF95" s="2"/>
        <tr r="CE98" s="2"/>
        <tr r="CE382" s="2"/>
        <tr r="BU190" s="2"/>
        <tr r="BW203" s="2"/>
        <tr r="CF322" s="2"/>
        <tr r="BU450" s="2"/>
        <tr r="CE76" s="2"/>
        <tr r="BV62" s="2"/>
        <tr r="BU432" s="2"/>
        <tr r="BU329" s="2"/>
        <tr r="CF455" s="2"/>
        <tr r="BW389" s="2"/>
        <tr r="CE16" s="2"/>
        <tr r="BU36" s="2"/>
        <tr r="BV369" s="2"/>
        <tr r="BW211" s="2"/>
        <tr r="BV34" s="2"/>
        <tr r="BU374" s="2"/>
        <tr r="BV174" s="2"/>
        <tr r="BX285" s="2"/>
        <tr r="CE283" s="2"/>
        <tr r="CD216" s="2"/>
        <tr r="BU198" s="2"/>
        <tr r="BW386" s="2"/>
        <tr r="BW57" s="2"/>
        <tr r="BU449" s="2"/>
        <tr r="BV444" s="2"/>
        <tr r="BU175" s="2"/>
        <tr r="BW236" s="2"/>
        <tr r="BY130" s="2"/>
        <tr r="BY452" s="2"/>
        <tr r="BV407" s="2"/>
        <tr r="BW305" s="2"/>
        <tr r="BY151" s="2"/>
        <tr r="BY56" s="2"/>
        <tr r="BU437" s="2"/>
        <tr r="BW127" s="2"/>
        <tr r="BX357" s="2"/>
        <tr r="BX161" s="2"/>
        <tr r="BU400" s="2"/>
        <tr r="BW418" s="2"/>
        <tr r="BY301" s="2"/>
        <tr r="BW197" s="2"/>
        <tr r="BU43" s="2"/>
        <tr r="BU150" s="2"/>
        <tr r="BV159" s="2"/>
        <tr r="BX18" s="2"/>
        <tr r="BX26" s="2"/>
        <tr r="BU322" s="2"/>
        <tr r="BW382" s="2"/>
        <tr r="BY42" s="2"/>
        <tr r="BY157" s="2"/>
        <tr r="BW25" s="2"/>
        <tr r="BW51" s="2"/>
        <tr r="BW462" s="2"/>
        <tr r="BV411" s="2"/>
        <tr r="BX34" s="2"/>
        <tr r="CC240" s="2"/>
        <tr r="CB182" s="2"/>
        <tr r="CC29" s="2"/>
        <tr r="CC439" s="2"/>
        <tr r="CE20" s="2"/>
        <tr r="BJ49" s="2"/>
        <tr r="CC276" s="2"/>
        <tr r="CB393" s="2"/>
        <tr r="CD42" s="2"/>
        <tr r="BJ339" s="2"/>
        <tr r="CB26" s="2"/>
        <tr r="BI432" s="2"/>
        <tr r="CE447" s="2"/>
        <tr r="BW363" s="2"/>
        <tr r="BV417" s="2"/>
        <tr r="BV445" s="2"/>
        <tr r="BU416" s="2"/>
        <tr r="BW397" s="2"/>
        <tr r="BY21" s="2"/>
        <tr r="BZ423" s="2"/>
        <tr r="BV17" s="2"/>
        <tr r="BW338" s="2"/>
        <tr r="BV190" s="2"/>
        <tr r="BY114" s="2"/>
        <tr r="BV382" s="2"/>
        <tr r="BW184" s="2"/>
        <tr r="BY182" s="2"/>
        <tr r="BX397" s="2"/>
        <tr r="BU414" s="2"/>
        <tr r="BW419" s="2"/>
        <tr r="BY227" s="2"/>
        <tr r="BY454" s="2"/>
        <tr r="BU204" s="2"/>
        <tr r="BU103" s="2"/>
        <tr r="BV281" s="2"/>
        <tr r="BX180" s="2"/>
        <tr r="BY431" s="2"/>
        <tr r="BU259" s="2"/>
        <tr r="BW40" s="2"/>
        <tr r="BU141" s="2"/>
        <tr r="BY188" s="2"/>
        <tr r="BU104" s="2"/>
        <tr r="BW58" s="2"/>
        <tr r="BW261" s="2"/>
        <tr r="BX224" s="2"/>
        <tr r="BY248" s="2"/>
        <tr r="BX269" s="2"/>
        <tr r="CC112" s="2"/>
        <tr r="CC158" s="2"/>
        <tr r="CC383" s="2"/>
        <tr r="CD463" s="2"/>
        <tr r="CF144" s="2"/>
        <tr r="BJ90" s="2"/>
        <tr r="BY367" s="2"/>
        <tr r="CB399" s="2"/>
        <tr r="CD355" s="2"/>
        <tr r="BI302" s="2"/>
        <tr r="CC364" s="2"/>
        <tr r="BG208" s="2"/>
        <tr r="CE156" s="2"/>
        <tr r="BX24" s="2"/>
        <tr r="BY113" s="2"/>
        <tr r="BV465" s="2"/>
        <tr r="BW275" s="2"/>
        <tr r="BV379" s="2"/>
        <tr r="BY436" s="2"/>
        <tr r="BV457" s="2"/>
        <tr r="BW331" s="2"/>
        <tr r="BY160" s="2"/>
        <tr r="BY156" s="2"/>
        <tr r="BU456" s="2"/>
        <tr r="BW361" s="2"/>
        <tr r="BY302" s="2"/>
        <tr r="BY400" s="2"/>
        <tr r="BV104" s="2"/>
        <tr r="BW433" s="2"/>
        <tr r="BY279" s="2"/>
        <tr r="BY440" s="2"/>
        <tr r="BW71" s="2"/>
        <tr r="BV260" s="2"/>
        <tr r="BU200" s="2"/>
        <tr r="BU252" s="2"/>
        <tr r="BX406" s="2"/>
        <tr r="BZ273" s="2"/>
        <tr r="BU314" s="2"/>
        <tr r="BV430" s="2"/>
        <tr r="BV330" s="2"/>
        <tr r="BW144" s="2"/>
        <tr r="BZ255" s="2"/>
        <tr r="BU26" s="2"/>
        <tr r="BW126" s="2"/>
        <tr r="BX359" s="2"/>
        <tr r="BZ97" s="2"/>
        <tr r="BY372" s="2"/>
        <tr r="CA94" s="2"/>
        <tr r="BZ71" s="2"/>
        <tr r="CB37" s="2"/>
        <tr r="CE125" s="2"/>
        <tr r="CE421" s="2"/>
        <tr r="BJ72" s="2"/>
        <tr r="BW128" s="2"/>
        <tr r="CA384" s="2"/>
        <tr r="CF195" s="2"/>
        <tr r="BG360" s="2"/>
        <tr r="CC103" s="2"/>
        <tr r="CB108" s="2"/>
        <tr r="BV11" s="2"/>
        <tr r="BZ151" s="2"/>
        <tr r="BU25" s="2"/>
        <tr r="BV339" s="2"/>
        <tr r="BY292" s="2"/>
        <tr r="BY339" s="2"/>
        <tr r="BV94" s="2"/>
        <tr r="BX448" s="2"/>
        <tr r="BZ304" s="2"/>
        <tr r="BZ303" s="2"/>
        <tr r="BU263" s="2"/>
        <tr r="BX6" s="2"/>
        <tr r="BY67" s="2"/>
        <tr r="BZ25" s="2"/>
        <tr r="BU287" s="2"/>
        <tr r="BV48" s="2"/>
        <tr r="BY327" s="2"/>
        <tr r="BY328" s="2"/>
        <tr r="CC407" s="2"/>
        <tr r="BV450" s="2"/>
        <tr r="BW442" s="2"/>
        <tr r="BX335" s="2"/>
        <tr r="BX265" s="2"/>
        <tr r="BZ142" s="2"/>
        <tr r="BU142" s="2"/>
        <tr r="BX372" s="2"/>
        <tr r="BW282" s="2"/>
        <tr r="BY179" s="2"/>
        <tr r="BU417" s="2"/>
        <tr r="BV138" s="2"/>
        <tr r="BX377" s="2"/>
        <tr r="BW204" s="2"/>
        <tr r="BW280" s="2"/>
        <tr r="BY353" s="2"/>
        <tr r="BZ295" s="2"/>
        <tr r="CB365" s="2"/>
        <tr r="CD168" s="2"/>
        <tr r="CD18" s="2"/>
        <tr r="BJ215" s="2"/>
        <tr r="CA243" s="2"/>
        <tr r="CC431" s="2"/>
        <tr r="CE384" s="2"/>
        <tr r="CE136" s="2"/>
        <tr r="BY283" s="2"/>
        <tr r="CE49" s="2"/>
        <tr r="CB390" s="2"/>
        <tr r="CB217" s="2"/>
        <tr r="BV211" s="2"/>
        <tr r="BX331" s="2"/>
        <tr r="CF390" s="2"/>
        <tr r="BU87" s="2"/>
        <tr r="BU424" s="2"/>
        <tr r="BV92" s="2"/>
        <tr r="BW381" s="2"/>
        <tr r="BW332" s="2"/>
        <tr r="BZ345" s="2"/>
        <tr r="BU379" s="2"/>
        <tr r="BV394" s="2"/>
        <tr r="BX419" s="2"/>
        <tr r="BW109" s="2"/>
        <tr r="BU58" s="2"/>
        <tr r="BW260" s="2"/>
        <tr r="BX387" s="2"/>
        <tr r="BX268" s="2"/>
        <tr r="CA6" s="2"/>
        <tr r="BW314" s="2"/>
        <tr r="BX254" s="2"/>
        <tr r="BX89" s="2"/>
        <tr r="BY317" s="2"/>
        <tr r="BV16" s="2"/>
        <tr r="BV103" s="2"/>
        <tr r="BX391" s="2"/>
        <tr r="BW9" s="2"/>
        <tr r="BU281" s="2"/>
        <tr r="BV420" s="2"/>
        <tr r="BY145" s="2"/>
        <tr r="BY90" s="2"/>
        <tr r="BV232" s="2"/>
        <tr r="BW82" s="2"/>
        <tr r="BU224" s="2"/>
        <tr r="BY49" s="2"/>
        <tr r="BU376" s="2"/>
        <tr r="BV374" s="2"/>
        <tr r="BX302" s="2"/>
        <tr r="BU219" s="2"/>
        <tr r="BX53" s="2"/>
        <tr r="BZ378" s="2"/>
        <tr r="CA126" s="2"/>
        <tr r="CB80" s="2"/>
        <tr r="CB304" s="2"/>
        <tr r="CC31" s="2"/>
        <tr r="CD419" s="2"/>
        <tr r="BG144" s="2"/>
        <tr r="BZ229" s="2"/>
        <tr r="CC102" s="2"/>
        <tr r="CD381" s="2"/>
        <tr r="CF453" s="2"/>
        <tr r="BZ433" s="2"/>
        <tr r="CF126" s="2"/>
        <tr r="CA369" s="2"/>
        <tr r="BV436" s="2"/>
        <tr r="BX243" s="2"/>
        <tr r="BZ239" s="2"/>
        <tr r="BU355" s="2"/>
        <tr r="BW207" s="2"/>
        <tr r="BY234" s="2"/>
        <tr r="BY355" s="2"/>
        <tr r="BV362" s="2"/>
        <tr r="BX194" s="2"/>
        <tr r="BV33" s="2"/>
        <tr r="BX272" s="2"/>
        <tr r="BV222" s="2"/>
        <tr r="BX64" s="2"/>
        <tr r="BZ183" s="2"/>
        <tr r="CA118" s="2"/>
        <tr r="BV206" s="2"/>
        <tr r="BV292" s="2"/>
        <tr r="BY81" s="2"/>
        <tr r="BY26" s="2"/>
        <tr r="BV340" s="2"/>
        <tr r="BW264" s="2"/>
        <tr r="BX163" s="2"/>
        <tr r="BU77" s="2"/>
        <tr r="BW38" s="2"/>
        <tr r="BV154" s="2"/>
        <tr r="BX195" s="2"/>
        <tr r="CA254" s="2"/>
        <tr r="CA270" s="2"/>
        <tr r="CD154" s="2"/>
        <tr r="CA116" s="2"/>
        <tr r="CE209" s="2"/>
        <tr r="CB287" s="2"/>
        <tr r="CE261" s="2"/>
        <tr r="BY195" s="2"/>
        <tr r="BU309" s="2"/>
        <tr r="BX229" s="2"/>
        <tr r="BU301" s="2"/>
        <tr r="BX132" s="2"/>
        <tr r="BX82" s="2"/>
        <tr r="BV355" s="2"/>
        <tr r="BU276" s="2"/>
        <tr r="BV169" s="2"/>
        <tr r="BU132" s="2"/>
        <tr r="CF57" s="2"/>
        <tr r="BU65" s="2"/>
        <tr r="CF281" s="2"/>
        <tr r="CF457" s="2"/>
        <tr r="CF315" s="2"/>
        <tr r="CF37" s="2"/>
        <tr r="AF134" s="2"/>
        <tr r="CE109" s="2"/>
        <tr r="BX14" s="2"/>
        <tr r="BV113" s="2"/>
        <tr r="BW6" s="2"/>
        <tr r="CC417" s="2"/>
        <tr r="BV268" s="2"/>
        <tr r="CF210" s="2"/>
        <tr r="BU423" s="2"/>
        <tr r="CD418" s="2"/>
        <tr r="BV208" s="2"/>
        <tr r="BU108" s="2"/>
        <tr r="BY253" s="2"/>
        <tr r="BU158" s="2"/>
        <tr r="BX408" s="2"/>
        <tr r="CE126" s="2"/>
        <tr r="AF352" s="2"/>
        <tr r="BU212" s="2"/>
        <tr r="BU343" s="2"/>
        <tr r="BV207" s="2"/>
        <tr r="BW169" s="2"/>
        <tr r="BY110" s="2"/>
        <tr r="BY340" s="2"/>
        <tr r="BU84" s="2"/>
        <tr r="BW328" s="2"/>
        <tr r="BW17" s="2"/>
        <tr r="BW60" s="2"/>
        <tr r="BZ374" s="2"/>
        <tr r="BU271" s="2"/>
        <tr r="BV368" s="2"/>
        <tr r="BX410" s="2"/>
        <tr r="BX439" s="2"/>
        <tr r="BW270" s="2"/>
        <tr r="BU283" s="2"/>
        <tr r="BX416" s="2"/>
        <tr r="BZ117" s="2"/>
        <tr r="BV269" s="2"/>
        <tr r="BV129" s="2"/>
        <tr r="BW311" s="2"/>
        <tr r="BY165" s="2"/>
        <tr r="BV188" s="2"/>
        <tr r="BU295" s="2"/>
        <tr r="BW380" s="2"/>
        <tr r="BY308" s="2"/>
        <tr r="BY213" s="2"/>
        <tr r="BU275" s="2"/>
        <tr r="BV172" s="2"/>
        <tr r="BX330" s="2"/>
        <tr r="BX358" s="2"/>
        <tr r="BU240" s="2"/>
        <tr r="BV246" s="2"/>
        <tr r="BY7" s="2"/>
        <tr r="BY8" s="2"/>
        <tr r="CB437" s="2"/>
        <tr r="BZ267" s="2"/>
        <tr r="CA75" s="2"/>
        <tr r="CA352" s="2"/>
        <tr r="CA13" s="2"/>
        <tr r="CE452" s="2"/>
        <tr r="CI425" s="2"/>
        <tr r="CA383" s="2"/>
        <tr r="CD45" s="2"/>
        <tr r="CE413" s="2"/>
        <tr r="BJ242" s="2"/>
        <tr r="CA161" s="2"/>
        <tr r="BR40" s="2"/>
        <tr r="CE129" s="2"/>
        <tr r="BY143" s="2"/>
        <tr r="BY379" s="2"/>
        <tr r="BU221" s="2"/>
        <tr r="BW153" s="2"/>
        <tr r="BW347" s="2"/>
        <tr r="BX214" s="2"/>
        <tr r="BX87" s="2"/>
        <tr r="BU80" s="2"/>
        <tr r="BV19" s="2"/>
        <tr r="BX116" s="2"/>
        <tr r="BY441" s="2"/>
        <tr r="BU22" s="2"/>
        <tr r="BV310" s="2"/>
        <tr r="BX203" s="2"/>
        <tr r="BX160" s="2"/>
        <tr r="BW87" s="2"/>
        <tr r="BW350" s="2"/>
        <tr r="BW362" s="2"/>
        <tr r="BZ402" s="2"/>
        <tr r="BV189" s="2"/>
        <tr r="BU88" s="2"/>
        <tr r="BW141" s="2"/>
        <tr r="BY386" s="2"/>
        <tr r="BY323" s="2"/>
        <tr r="BU45" s="2"/>
        <tr r="BW94" s="2"/>
        <tr r="BX219" s="2"/>
        <tr r="BW292" s="2"/>
        <tr r="BU12" s="2"/>
        <tr r="BU378" s="2"/>
        <tr r="BV432" s="2"/>
        <tr r="BY388" s="2"/>
        <tr r="BY395" s="2"/>
        <tr r="BV434" s="2"/>
        <tr r="BZ235" s="2"/>
        <tr r="CA29" s="2"/>
        <tr r="CA242" s="2"/>
        <tr r="CB17" s="2"/>
        <tr r="CE141" s="2"/>
        <tr r="BJ390" s="2"/>
        <tr r="CA125" s="2"/>
        <tr r="CD350" s="2"/>
        <tr r="CF159" s="2"/>
        <tr r="BI256" s="2"/>
        <tr r="CB343" s="2"/>
        <tr r="BZ248" s="2"/>
        <tr r="CE333" s="2"/>
        <tr r="BY101" s="2"/>
        <tr r="BV14" s="2"/>
        <tr r="BU177" s="2"/>
        <tr r="BV438" s="2"/>
        <tr r="BX173" s="2"/>
        <tr r="BY108" s="2"/>
        <tr r="BU169" s="2"/>
        <tr r="BV262" s="2"/>
        <tr r="BX384" s="2"/>
        <tr r="BZ187" s="2"/>
        <tr r="BU223" s="2"/>
        <tr r="BX298" s="2"/>
        <tr r="BW436" s="2"/>
        <tr r="BZ198" s="2"/>
        <tr r="BU122" s="2"/>
        <tr r="BU39" s="2"/>
        <tr r="BV153" s="2"/>
        <tr r="BX339" s="2"/>
        <tr r="BY111" s="2"/>
        <tr r="BU131" s="2"/>
        <tr r="BV209" s="2"/>
        <tr r="BW19" s="2"/>
        <tr r="BV376" s="2"/>
        <tr r="BY91" s="2"/>
        <tr r="BV197" s="2"/>
        <tr r="BV307" s="2"/>
        <tr r="BX39" s="2"/>
        <tr r="BX85" s="2"/>
        <tr r="BY22" s="2"/>
        <tr r="CA68" s="2"/>
        <tr r="BU13" s="2"/>
        <tr r="BX159" s="2"/>
        <tr r="BZ454" s="2"/>
        <tr r="BZ261" s="2"/>
        <tr r="BZ462" s="2"/>
        <tr r="CB161" s="2"/>
        <tr r="CB318" s="2"/>
        <tr r="CB276" s="2"/>
        <tr r="CE232" s="2"/>
        <tr r="CE440" s="2"/>
        <tr r="CH160" s="2"/>
        <tr r="CB321" s="2"/>
        <tr r="CC264" s="2"/>
        <tr r="CE463" s="2"/>
        <tr r="BH227" s="2"/>
        <tr r="CA192" s="2"/>
        <tr r="BJ33" s="2"/>
        <tr r="CB316" s="2"/>
        <tr r="BU269" s="2"/>
        <tr r="BY449" s="2"/>
        <tr r="BU10" s="2"/>
        <tr r="BV312" s="2"/>
        <tr r="BX56" s="2"/>
        <tr r="BW370" s="2"/>
        <tr r="BU81" s="2"/>
        <tr r="BW251" s="2"/>
        <tr r="BX48" s="2"/>
        <tr r="BX50" s="2"/>
        <tr r="BZ123" s="2"/>
        <tr r="BW281" s="2"/>
        <tr r="BW100" s="2"/>
        <tr r="BX183" s="2"/>
        <tr r="BX436" s="2"/>
        <tr r="BU413" s="2"/>
        <tr r="BU347" s="2"/>
        <tr r="BW21" s="2"/>
        <tr r="BV460" s="2"/>
        <tr r="BU120" s="2"/>
        <tr r="BV258" s="2"/>
        <tr r="BY280" s="2"/>
        <tr r="BY257" s="2"/>
        <tr r="BV151" s="2"/>
        <tr r="BW49" s="2"/>
        <tr r="BY374" s="2"/>
        <tr r="BY398" s="2"/>
        <tr r="BV60" s="2"/>
        <tr r="BV387" s="2"/>
        <tr r="BW309" s="2"/>
        <tr r="BY345" s="2"/>
        <tr r="BX271" s="2"/>
        <tr r="BZ81" s="2"/>
        <tr r="BZ254" s="2"/>
        <tr r="CB414" s="2"/>
        <tr r="CB68" s="2"/>
        <tr r="CB55" s="2"/>
        <tr r="CD9" s="2"/>
        <tr r="BH6" s="2"/>
        <tr r="BZ344" s="2"/>
        <tr r="CB220" s="2"/>
        <tr r="CD458" s="2"/>
        <tr r="CF212" s="2"/>
        <tr r="BY85" s="2"/>
        <tr r="CE194" s="2"/>
        <tr r="BX32" s="2"/>
        <tr r="BU46" s="2"/>
        <tr r="BW212" s="2"/>
        <tr r="BW218" s="2"/>
        <tr r="CF198" s="2"/>
        <tr r="BV136" s="2"/>
        <tr r="BU19" s="2"/>
        <tr r="BW447" s="2"/>
        <tr r="BY446" s="2"/>
        <tr r="BZ44" s="2"/>
        <tr r="BV84" s="2"/>
        <tr r="BW437" s="2"/>
        <tr r="BY123" s="2"/>
        <tr r="BX353" s="2"/>
        <tr r="BU66" s="2"/>
        <tr r="BV446" s="2"/>
        <tr r="BY465" s="2"/>
        <tr r="BY410" s="2"/>
        <tr r="BV458" s="2"/>
        <tr r="BY152" s="2"/>
        <tr r="BY129" s="2"/>
        <tr r="BV32" s="2"/>
        <tr r="BW459" s="2"/>
        <tr r="BY288" s="2"/>
        <tr r="BZ70" s="2"/>
        <tr r="BU140" s="2"/>
        <tr r="BU266" s="2"/>
        <tr r="BV353" s="2"/>
        <tr r="BX209" s="2"/>
        <tr r="BW451" s="2"/>
        <tr r="BU268" s="2"/>
        <tr r="BU167" s="2"/>
        <tr r="BV409" s="2"/>
        <tr r="BX412" s="2"/>
        <tr r="BY64" s="2"/>
        <tr r="BU44" s="2"/>
        <tr r="BV308" s="2"/>
        <tr r="BX115" s="2"/>
        <tr r="BZ87" s="2"/>
        <tr r="BY423" s="2"/>
        <tr r="BY364" s="2"/>
        <tr r="CA19" s="2"/>
        <tr r="BX329" s="2"/>
        <tr r="CD238" s="2"/>
        <tr r="CF206" s="2"/>
        <tr r="BJ192" s="2"/>
        <tr r="BZ334" s="2"/>
        <tr r="CC256" s="2"/>
        <tr r="CC292" s="2"/>
        <tr r="CF350" s="2"/>
        <tr r="CA446" s="2"/>
        <tr r="CE235" s="2"/>
        <tr r="CC311" s="2"/>
        <tr r="BX374" s="2"/>
        <tr r="BW173" s="2"/>
        <tr r="BZ218" s="2"/>
        <tr r="BU100" s="2"/>
        <tr r="BV45" s="2"/>
        <tr r="BX291" s="2"/>
        <tr r="BV198" s="2"/>
        <tr r="BU148" s="2"/>
        <tr r="BW421" s="2"/>
        <tr r="BX267" s="2"/>
        <tr r="BX188" s="2"/>
        <tr r="BX239" s="2"/>
        <tr r="BW315" s="2"/>
        <tr r="BX176" s="2"/>
        <tr r="BX138" s="2"/>
        <tr r="BZ82" s="2"/>
        <tr r="BV179" s="2"/>
        <tr r="BV225" s="2"/>
        <tr r="BX121" s="2"/>
        <tr r="BW323" s="2"/>
        <tr r="BU291" s="2"/>
        <tr r="BX307" s="2"/>
        <tr r="BX230" s="2"/>
        <tr r="BW75" s="2"/>
        <tr r="BY444" s="2"/>
        <tr r="BV371" s="2"/>
        <tr r="BV70" s="2"/>
        <tr r="BX27" s="2"/>
        <tr r="CB233" s="2"/>
        <tr r="CC185" s="2"/>
        <tr r="CC225" s="2"/>
        <tr r="CC277" s="2"/>
        <tr r="CC38" s="2"/>
        <tr r="CE38" s="2"/>
        <tr r="CA416" s="2"/>
        <tr r="BW142" s="2"/>
        <tr r="BX151" s="2"/>
        <tr r="BW134" s="2"/>
        <tr r="BV77" s="2"/>
        <tr r="BY53" s="2"/>
        <tr r="BX118" s="2"/>
        <tr r="BU284" s="2"/>
        <tr r="BX316" s="2"/>
        <tr r="BW444" s="2"/>
        <tr r="BX79" s="2"/>
        <tr r="BZ318" s="2"/>
        <tr r="BZ133" s="2"/>
        <tr r="BW39" s="2"/>
        <tr r="BU197" s="2"/>
        <tr r="BX145" s="2"/>
        <tr r="BV205" s="2"/>
        <tr r="BX296" s="2"/>
        <tr r="CA209" s="2"/>
        <tr r="CC86" s="2"/>
        <tr r="BZ193" s="2"/>
        <tr r="CE143" s="2"/>
        <tr r="CE319" s="2"/>
        <tr r="BJ81" s="2"/>
        <tr r="CB292" s="2"/>
        <tr r="CC232" s="2"/>
        <tr r="CF62" s="2"/>
        <tr r="BZ232" s="2"/>
        <tr r="CE21" s="2"/>
        <tr r="CC224" s="2"/>
        <tr r="BV443" s="2"/>
        <tr r="BW64" s="2"/>
        <tr r="BU339" s="2"/>
        <tr r="BW278" s="2"/>
        <tr r="BV462" s="2"/>
        <tr r="BW329" s="2"/>
        <tr r="BZ369" s="2"/>
        <tr r="BW231" s="2"/>
        <tr r="BV182" s="2"/>
        <tr r="BX401" s="2"/>
        <tr r="BX78" s="2"/>
        <tr r="BV285" s="2"/>
        <tr r="BX200" s="2"/>
        <tr r="BX38" s="2"/>
        <tr r="BZ371" s="2"/>
        <tr r="BV187" s="2"/>
        <tr r="BU230" s="2"/>
        <tr r="BV210" s="2"/>
        <tr r="BY167" s="2"/>
        <tr r="BV107" s="2"/>
        <tr r="BV54" s="2"/>
        <tr r="BW364" s="2"/>
        <tr r="BY41" s="2"/>
        <tr r="BX47" s="2"/>
        <tr r="BU330" s="2"/>
        <tr r="BV10" s="2"/>
        <tr r="BX289" s="2"/>
        <tr r="BW76" s="2"/>
        <tr r="BW302" s="2"/>
        <tr r="BU354" s="2"/>
        <tr r="BX352" s="2"/>
        <tr r="BY119" s="2"/>
        <tr r="CB225" s="2"/>
        <tr r="BZ233" s="2"/>
        <tr r="CA90" s="2"/>
        <tr r="BZ206" s="2"/>
        <tr r="CA238" s="2"/>
        <tr r="CE66" s="2"/>
        <tr r="BG114" s="2"/>
        <tr r="CB14" s="2"/>
        <tr r="CD67" s="2"/>
        <tr r="CE260" s="2"/>
        <tr r="BG285" s="2"/>
        <tr r="CD408" s="2"/>
        <tr r="BJ460" s="2"/>
        <tr r="CD69" s="2"/>
        <tr r="CD409" s="2"/>
        <tr r="CE276" s="2"/>
        <tr r="BG193" s="2"/>
        <tr r="CA265" s="2"/>
        <tr r="BZ27" s="2"/>
        <tr r="CD403" s="2"/>
        <tr r="CE133" s="2"/>
        <tr r="CD431" s="2"/>
        <tr r="BH18" s="2"/>
        <tr r="BZ213" s="2"/>
        <tr r="CB58" s="2"/>
        <tr r="CC16" s="2"/>
        <tr r="CC36" s="2"/>
        <tr r="CA127" s="2"/>
        <tr r="BH210" s="2"/>
        <tr r="CA427" s="2"/>
        <tr r="CA210" s="2"/>
        <tr r="CC202" s="2"/>
        <tr r="CE75" s="2"/>
        <tr r="CE337" s="2"/>
        <tr r="BI198" s="2"/>
        <tr r="BJ305" s="2"/>
        <tr r="BZ75" s="2"/>
        <tr r="CA213" s="2"/>
        <tr r="CA163" s="2"/>
        <tr r="BY309" s="2"/>
        <tr r="CE220" s="2"/>
        <tr r="CE379" s="2"/>
        <tr r="BI269" s="2"/>
        <tr r="BJ427" s="2"/>
        <tr r="CC88" s="2"/>
        <tr r="CA461" s="2"/>
        <tr r="CD181" s="2"/>
        <tr r="CD227" s="2"/>
        <tr r="AT164" s="2"/>
        <tr r="BY354" s="2"/>
        <tr r="BZ331" s="2"/>
        <tr r="CC270" s="2"/>
        <tr r="CD257" s="2"/>
        <tr r="CE450" s="2"/>
        <tr r="CF261" s="2"/>
        <tr r="BI160" s="2"/>
        <tr r="BW388" s="2"/>
        <tr r="CB464" s="2"/>
        <tr r="CB212" s="2"/>
        <tr r="CC460" s="2"/>
        <tr r="CD253" s="2"/>
        <tr r="CC313" s="2"/>
        <tr r="BI7" s="2"/>
        <tr r="CI57" s="2"/>
        <tr r="BG247" s="2"/>
        <tr r="CH259" s="2"/>
        <tr r="CI454" s="2"/>
        <tr r="BT267" s="2"/>
        <tr r="BG411" s="2"/>
        <tr r="BS182" s="2"/>
        <tr r="CI133" s="2"/>
        <tr r="BH360" s="2"/>
        <tr r="BI146" s="2"/>
        <tr r="CI428" s="2"/>
        <tr r="CI444" s="2"/>
        <tr r="BG22" s="2"/>
        <tr r="BZ178" s="2"/>
        <tr r="CA99" s="2"/>
        <tr r="CA222" s="2"/>
        <tr r="CA74" s="2"/>
        <tr r="CF182" s="2"/>
        <tr r="CE183" s="2"/>
        <tr r="CH304" s="2"/>
        <tr r="BJ435" s="2"/>
        <tr r="CB360" s="2"/>
        <tr r="CC349" s="2"/>
        <tr r="CE430" s="2"/>
        <tr r="CD30" s="2"/>
        <tr r="BI409" s="2"/>
        <tr r="AU191" s="2"/>
        <tr r="BY140" s="2"/>
        <tr r="CA156" s="2"/>
        <tr r="CA55" s="2"/>
        <tr r="CD365" s="2"/>
        <tr r="CD13" s="2"/>
        <tr r="BJ116" s="2"/>
        <tr r="BX58" s="2"/>
        <tr r="CB188" s="2"/>
        <tr r="CA347" s="2"/>
        <tr r="CC308" s="2"/>
        <tr r="CE30" s="2"/>
        <tr r="CF105" s="2"/>
        <tr r="BJ417" s="2"/>
        <tr r="AX394" s="2"/>
        <tr r="BI207" s="2"/>
        <tr r="BI403" s="2"/>
        <tr r="BT365" s="2"/>
        <tr r="AV46" s="2"/>
        <tr r="BI388" s="2"/>
        <tr r="BI163" s="2"/>
        <tr r="BR282" s="2"/>
        <tr r="CG151" s="2"/>
        <tr r="CI352" s="2"/>
        <tr r="BH67" s="2"/>
        <tr r="BQ50" s="2"/>
        <tr r="BY443" s="2"/>
        <tr r="BZ221" s="2"/>
        <tr r="CC18" s="2"/>
        <tr r="CD266" s="2"/>
        <tr r="CE420" s="2"/>
        <tr r="CD84" s="2"/>
        <tr r="BH44" s="2"/>
        <tr r="BI86" s="2"/>
        <tr r="CB363" s="2"/>
        <tr r="CA305" s="2"/>
        <tr r="CC387" s="2"/>
        <tr r="CD398" s="2"/>
        <tr r="CF456" s="2"/>
        <tr r="BJ97" s="2"/>
        <tr r="BY378" s="2"/>
        <tr r="BX452" s="2"/>
        <tr r="CB189" s="2"/>
        <tr r="CB70" s="2"/>
        <tr r="CC293" s="2"/>
        <tr r="CE446" s="2"/>
        <tr r="CF425" s="2"/>
        <tr r="BJ210" s="2"/>
        <tr r="CA349" s="2"/>
        <tr r="CA130" s="2"/>
        <tr r="CB90" s="2"/>
        <tr r="CC245" s="2"/>
        <tr r="CE154" s="2"/>
        <tr r="AS320" s="2"/>
        <tr r="BW85" s="2"/>
        <tr r="CA81" s="2"/>
        <tr r="CB328" s="2"/>
        <tr r="BX122" s="2"/>
        <tr r="CD170" s="2"/>
        <tr r="CD88" s="2"/>
        <tr r="CH330" s="2"/>
        <tr r="BZ259" s="2"/>
        <tr r="CA37" s="2"/>
        <tr r="CA397" s="2"/>
        <tr r="CB25" s="2"/>
        <tr r="CF352" s="2"/>
        <tr r="CF9" s="2"/>
        <tr r="BG125" s="2"/>
        <tr r="BJ218" s="2"/>
        <tr r="BS202" s="2"/>
        <tr r="CI308" s="2"/>
        <tr r="AT343" s="2"/>
        <tr r="BH152" s="2"/>
        <tr r="BG277" s="2"/>
        <tr r="BR64" s="2"/>
        <tr r="AP78" s="2"/>
        <tr r="BG399" s="2"/>
        <tr r="AO401" s="2"/>
        <tr r="AF186" s="2"/>
        <tr r="CF25" s="2"/>
        <tr r="BJ222" s="2"/>
        <tr r="BZ22" s="2"/>
        <tr r="CA400" s="2"/>
        <tr r="BY121" s="2"/>
        <tr r="CD362" s="2"/>
        <tr r="CE36" s="2"/>
        <tr r="CD285" s="2"/>
        <tr r="BG233" s="2"/>
        <tr r="BI193" s="2"/>
        <tr r="CB125" s="2"/>
        <tr r="CA167" s="2"/>
        <tr r="CC229" s="2"/>
        <tr r="CE318" s="2"/>
        <tr r="CF361" s="2"/>
        <tr r="BJ138" s="2"/>
        <tr r="BY76" s="2"/>
        <tr r="BY462" s="2"/>
        <tr r="CB327" s="2"/>
        <tr r="CB426" s="2"/>
        <tr r="CD142" s="2"/>
        <tr r="CE48" s="2"/>
        <tr r="CF250" s="2"/>
        <tr r="BJ108" s="2"/>
        <tr r="CB38" s="2"/>
        <tr r="CA171" s="2"/>
        <tr r="CB69" s="2"/>
        <tr r="CD423" s="2"/>
        <tr r="CE424" s="2"/>
        <tr r="BJ429" s="2"/>
        <tr r="BX226" s="2"/>
        <tr r="CA450" s="2"/>
        <tr r="CC247" s="2"/>
        <tr r="CA417" s="2"/>
        <tr r="CD44" s="2"/>
        <tr r="CD298" s="2"/>
        <tr r="BT358" s="2"/>
        <tr r="BZ212" s="2"/>
        <tr r="CA358" s="2"/>
        <tr r="CB273" s="2"/>
        <tr r="CB460" s="2"/>
        <tr r="CF337" s="2"/>
        <tr r="CF146" s="2"/>
        <tr r="BT450" s="2"/>
        <tr r="BJ434" s="2"/>
        <tr r="AW253" s="2"/>
        <tr r="BR460" s="2"/>
        <tr r="CG122" s="2"/>
        <tr r="BH289" s="2"/>
        <tr r="BG251" s="2"/>
        <tr r="BJ349" s="2"/>
        <tr r="BI52" s="2"/>
        <tr r="BG448" s="2"/>
        <tr r="BR20" s="2"/>
        <tr r="CD373" s="2"/>
        <tr r="CD139" s="2"/>
        <tr r="BJ15" s="2"/>
        <tr r="CB412" s="2"/>
        <tr r="CC455" s="2"/>
        <tr r="CC459" s="2"/>
        <tr r="CE394" s="2"/>
        <tr r="BH113" s="2"/>
        <tr r="BV123" s="2"/>
        <tr r="CB106" s="2"/>
        <tr r="CB183" s="2"/>
        <tr r="CC354" s="2"/>
        <tr r="CD436" s="2"/>
        <tr r="CF406" s="2"/>
        <tr r="BJ31" s="2"/>
        <tr r="BZ459" s="2"/>
        <tr r="CA293" s="2"/>
        <tr r="CB207" s="2"/>
        <tr r="CB427" s="2"/>
        <tr r="CF81" s="2"/>
        <tr r="CF433" s="2"/>
        <tr r="CI165" s="2"/>
        <tr r="BZ328" s="2"/>
        <tr r="BZ269" s="2"/>
        <tr r="CB46" s="2"/>
        <tr r="CB434" s="2"/>
        <tr r="CB93" s="2"/>
        <tr r="CF316" s="2"/>
        <tr r="CF100" s="2"/>
        <tr r="CH225" s="2"/>
        <tr r="BZ186" s="2"/>
        <tr r="CC174" s="2"/>
        <tr r="CD193" s="2"/>
        <tr r="CE386" s="2"/>
        <tr r="CF197" s="2"/>
        <tr r="BI399" s="2"/>
        <tr r="BZ395" s="2"/>
        <tr r="CB30" s="2"/>
        <tr r="CA228" s="2"/>
        <tr r="CA35" s="2"/>
        <tr r="BZ147" s="2"/>
        <tr r="CE60" s="2"/>
        <tr r="AT120" s="2"/>
        <tr r="BJ141" s="2"/>
        <tr r="BY369" s="2"/>
        <tr r="CA244" s="2"/>
        <tr r="CD23" s="2"/>
        <tr r="CD299" s="2"/>
        <tr r="CD395" s="2"/>
        <tr r="CF11" s="2"/>
        <tr r="BJ297" s="2"/>
        <tr r="BH324" s="2"/>
        <tr r="BJ440" s="2"/>
        <tr r="BI215" s="2"/>
        <tr r="BH407" s="2"/>
        <tr r="BG179" s="2"/>
        <tr r="CH416" s="2"/>
        <tr r="BH63" s="2"/>
        <tr r="BH383" s="2"/>
        <tr r="AV428" s="2"/>
        <tr r="BS323" s="2"/>
        <tr r="CF362" s="2"/>
        <tr r="BJ360" s="2"/>
        <tr r="BY222" s="2"/>
        <tr r="BY266" s="2"/>
        <tr r="CA394" s="2"/>
        <tr r="CD72" s="2"/>
        <tr r="CD36" s="2"/>
        <tr r="CD211" s="2"/>
        <tr r="CF13" s="2"/>
        <tr r="BJ82" s="2"/>
        <tr r="CB113" s="2"/>
        <tr r="CC327" s="2"/>
        <tr r="CC392" s="2"/>
        <tr r="CF132" s="2"/>
        <tr r="AF84" s="2"/>
        <tr r="AT172" s="2"/>
        <tr r="BX164" s="2"/>
        <tr r="CC272" s="2"/>
        <tr r="CC30" s="2"/>
        <tr r="CC413" s="2"/>
        <tr r="CE407" s="2"/>
        <tr r="CD126" s="2"/>
        <tr r="BI423" s="2"/>
        <tr r="CG247" s="2"/>
        <tr r="CA134" s="2"/>
        <tr r="CB140" s="2"/>
        <tr r="CC330" s="2"/>
        <tr r="CD111" s="2"/>
        <tr r="CC148" s="2"/>
        <tr r="BG259" s="2"/>
        <tr r="BI154" s="2"/>
        <tr r="BT52" s="2"/>
        <tr r="BG368" s="2"/>
        <tr r="BT438" s="2"/>
        <tr r="BT158" s="2"/>
        <tr r="BG265" s="2"/>
        <tr r="BR146" s="2"/>
        <tr r="BJ93" s="2"/>
        <tr r="BS143" s="2"/>
        <tr r="BH78" s="2"/>
        <tr r="BX179" s="2"/>
        <tr r="BZ29" s="2"/>
        <tr r="CC388" s="2"/>
        <tr r="CD334" s="2"/>
        <tr r="CC365" s="2"/>
        <tr r="CF438" s="2"/>
        <tr r="AV297" s="2"/>
        <tr r="BZ351" s="2"/>
        <tr r="CB203" s="2"/>
        <tr r="CC50" s="2"/>
        <tr r="CD166" s="2"/>
        <tr r="CC284" s="2"/>
        <tr r="BG41" s="2"/>
        <tr r="BZ181" s="2"/>
        <tr r="CA248" s="2"/>
        <tr r="CB141" s="2"/>
        <tr r="CC396" s="2"/>
        <tr r="CD41" s="2"/>
        <tr r="CC454" s="2"/>
        <tr r="BT369" s="2"/>
        <tr r="CA301" s="2"/>
        <tr r="CA236" s="2"/>
        <tr r="CE6" s="2"/>
        <tr r="CD461" s="2"/>
        <tr r="BJ381" s="2"/>
        <tr r="BZ52" s="2"/>
        <tr r="CA413" s="2"/>
        <tr r="CA194" s="2"/>
        <tr r="CB306" s="2"/>
        <tr r="CC341" s="2"/>
        <tr r="CE218" s="2"/>
        <tr r="BJ310" s="2"/>
        <tr r="BZ424" s="2"/>
        <tr r="CA411" s="2"/>
        <tr r="CA129" s="2"/>
        <tr r="CC116" s="2"/>
        <tr r="CE315" s="2"/>
        <tr r="CE81" s="2"/>
        <tr r="BJ187" s="2"/>
        <tr r="BJ392" s="2"/>
        <tr r="BJ244" s="2"/>
        <tr r="BJ106" s="2"/>
        <tr r="CH343" s="2"/>
        <tr r="AV156" s="2"/>
        <tr r="BI400" s="2"/>
        <tr r="AU439" s="2"/>
        <tr r="BH77" s="2"/>
        <tr r="BX456" s="2"/>
        <tr r="BX345" s="2"/>
        <tr r="BZ272" s="2"/>
        <tr r="BU94" s="2"/>
        <tr r="BW99" s="2"/>
        <tr r="BY169" s="2"/>
        <tr r="BX282" s="2"/>
        <tr r="BZ417" s="2"/>
        <tr r="CA284" s="2"/>
        <tr r="CA114" s="2"/>
        <tr r="CC371" s="2"/>
        <tr r="CD322" s="2"/>
        <tr r="CF163" s="2"/>
        <tr r="BI176" s="2"/>
        <tr r="CA323" s="2"/>
        <tr r="CC23" s="2"/>
        <tr r="CD455" s="2"/>
        <tr r="BJ53" s="2"/>
        <tr r="CB85" s="2"/>
        <tr r="BI343" s="2"/>
        <tr r="CB132" s="2"/>
        <tr r="BW31" s="2"/>
        <tr r="BX225" s="2"/>
        <tr r="BV68" s="2"/>
        <tr r="BX399" s="2"/>
        <tr r="BX277" s="2"/>
        <tr r="BY214" s="2"/>
        <tr r="CA326" s="2"/>
        <tr r="BU286" s="2"/>
        <tr r="BW291" s="2"/>
        <tr r="BY361" s="2"/>
        <tr r="BX445" s="2"/>
        <tr r="BU420" s="2"/>
        <tr r="BW321" s="2"/>
        <tr r="BY48" s="2"/>
        <tr r="CA72" s="2"/>
        <tr r="BX30" s="2"/>
        <tr r="BX332" s="2"/>
        <tr r="BX69" s="2"/>
        <tr r="BZ457" s="2"/>
        <tr r="BU250" s="2"/>
        <tr r="BV389" s="2"/>
        <tr r="BV425" s="2"/>
        <tr r="BW288" s="2"/>
        <tr r="BZ38" s="2"/>
        <tr r="BV323" s="2"/>
        <tr r="BW245" s="2"/>
        <tr r="BY281" s="2"/>
        <tr r="BX143" s="2"/>
        <tr r="BU409" s="2"/>
        <tr r="BW322" s="2"/>
        <tr r="BW208" s="2"/>
        <tr r="BZ73" s="2"/>
        <tr r="BY272" s="2"/>
        <tr r="BW213" s="2"/>
        <tr r="CB356" s="2"/>
        <tr r="BZ439" s="2"/>
        <tr r="CC75" s="2"/>
        <tr r="CF96" s="2"/>
        <tr r="BZ271" s="2"/>
        <tr r="CA331" s="2"/>
        <tr r="CD186" s="2"/>
        <tr r="CD130" s="2"/>
        <tr r="CI321" s="2"/>
        <tr r="CD187" s="2"/>
        <tr r="CA401" s="2"/>
        <tr r="CD265" s="2"/>
        <tr r="CE252" s="2"/>
        <tr r="CF389" s="2"/>
        <tr r="BI328" s="2"/>
        <tr r="CB42" s="2"/>
        <tr r="CB39" s="2"/>
        <tr r="CC290" s="2"/>
        <tr r="CD252" s="2"/>
        <tr r="CF342" s="2"/>
        <tr r="BJ312" s="2"/>
        <tr r="BY122" s="2"/>
        <tr r="CA151" s="2"/>
        <tr r="BZ65" s="2"/>
        <tr r="CB293" s="2"/>
        <tr r="CE271" s="2"/>
        <tr r="CD407" s="2"/>
        <tr r="BG55" s="2"/>
        <tr r="CB53" s="2"/>
        <tr r="CB202" s="2"/>
        <tr r="CC283" s="2"/>
        <tr r="CD460" s="2"/>
        <tr r="CF114" s="2"/>
        <tr r="BJ189" s="2"/>
        <tr r="BH456" s="2"/>
        <tr r="BV461" s="2"/>
        <tr r="CB135" s="2"/>
        <tr r="CB20" s="2"/>
        <tr r="CC227" s="2"/>
        <tr r="CD61" s="2"/>
        <tr r="CB283" s="2"/>
        <tr r="BI214" s="2"/>
        <tr r="CA164" s="2"/>
        <tr r="CA426" s="2"/>
        <tr r="CE445" s="2"/>
        <tr r="CE416" s="2"/>
        <tr r="CH397" s="2"/>
        <tr r="BJ13" s="2"/>
        <tr r="BZ440" s="2"/>
        <tr r="CB248" s="2"/>
        <tr r="CB294" s="2"/>
        <tr r="CC462" s="2"/>
        <tr r="CF459" s="2"/>
        <tr r="CF341" s="2"/>
        <tr r="BT301" s="2"/>
        <tr r="BZ169" s="2"/>
        <tr r="CA18" s="2"/>
        <tr r="BZ349" s="2"/>
        <tr r="BZ286" s="2"/>
        <tr r="CE358" s="2"/>
        <tr r="CE366" s="2"/>
        <tr r="BT168" s="2"/>
        <tr r="CG339" s="2"/>
        <tr r="BG155" s="2"/>
        <tr r="BJ294" s="2"/>
        <tr r="CH404" s="2"/>
        <tr r="CH457" s="2"/>
        <tr r="BQ310" s="2"/>
        <tr r="BJ40" s="2"/>
        <tr r="AX253" s="2"/>
        <tr r="BS94" s="2"/>
        <tr r="AF455" s="2"/>
        <tr r="BJ413" s="2"/>
        <tr r="CH227" s="2"/>
        <tr r="BJ95" s="2"/>
        <tr r="BY137" s="2"/>
        <tr r="BX17" s="2"/>
        <tr r="CB436" s="2"/>
        <tr r="CA259" s="2"/>
        <tr r="CC260" s="2"/>
        <tr r="CD183" s="2"/>
        <tr r="CF88" s="2"/>
        <tr r="BJ161" s="2"/>
        <tr r="CA140" s="2"/>
        <tr r="CA233" s="2"/>
        <tr r="CB352" s="2"/>
        <tr r="CC298" s="2"/>
        <tr r="CE25" s="2"/>
        <tr r="AV277" s="2"/>
        <tr r="BI33" s="2"/>
        <tr r="CA111" s="2"/>
        <tr r="CB269" s="2"/>
        <tr r="CC115" s="2"/>
        <tr r="CD217" s="2"/>
        <tr r="CD22" s="2"/>
        <tr r="BT416" s="2"/>
        <tr r="BZ299" s="2"/>
        <tr r="CA91" s="2"/>
        <tr r="CA272" s="2"/>
        <tr r="CA61" s="2"/>
        <tr r="CF446" s="2"/>
        <tr r="CF326" s="2"/>
        <tr r="BG375" s="2"/>
        <tr r="BJ344" s="2"/>
        <tr r="BT385" s="2"/>
        <tr r="AV85" s="2"/>
        <tr r="BT26" s="2"/>
        <tr r="BH15" s="2"/>
        <tr r="BG221" s="2"/>
        <tr r="CH301" s="2"/>
        <tr r="CG62" s="2"/>
        <tr r="BH415" s="2"/>
        <tr r="BS27" s="2"/>
        <tr r="BG110" s="2"/>
        <tr r="BI194" s="2"/>
        <tr r="CA182" s="2"/>
        <tr r="CB136" s="2"/>
        <tr r="CA389" s="2"/>
        <tr r="CC127" s="2"/>
        <tr r="CD442" s="2"/>
        <tr r="CE37" s="2"/>
        <tr r="CI306" s="2"/>
        <tr r="BZ194" s="2"/>
        <tr r="CA123" s="2"/>
        <tr r="BZ90" s="2"/>
        <tr r="CA122" s="2"/>
        <tr r="CF190" s="2"/>
        <tr r="CE326" s="2"/>
        <tr r="BH68" s="2"/>
        <tr r="BY299" s="2"/>
        <tr r="BZ266" s="2"/>
        <tr r="CA148" s="2"/>
        <tr r="CA403" s="2"/>
        <tr r="CB31" s="2"/>
        <tr r="CF111" s="2"/>
        <tr r="CF311" s="2"/>
        <tr r="BG34" s="2"/>
        <tr r="CB280" s="2"/>
        <tr r="CB10" s="2"/>
        <tr r="CD230" s="2"/>
        <tr r="CE112" s="2"/>
        <tr r="CF314" s="2"/>
        <tr r="BJ172" s="2"/>
        <tr r="BZ289" s="2"/>
        <tr r="CA132" s="2"/>
        <tr r="CA324" s="2"/>
        <tr r="CC402" s="2"/>
        <tr r="CE291" s="2"/>
        <tr r="CE146" s="2"/>
        <tr r="BI312" s="2"/>
        <tr r="BJ402" s="2"/>
        <tr r="BX215" s="2"/>
        <tr r="CA22" s="2"/>
        <tr r="CC133" s="2"/>
        <tr r="CD24" s="2"/>
        <tr r="CD246" s="2"/>
        <tr r="CF320" s="2"/>
        <tr r="BJ62" s="2"/>
        <tr r="BI420" s="2"/>
        <tr r="BJ355" s="2"/>
        <tr r="BI419" s="2"/>
        <tr r="BH378" s="2"/>
        <tr r="BG217" s="2"/>
        <tr r="BT461" s="2"/>
        <tr r="BI37" s="2"/>
        <tr r="BH84" s="2"/>
        <tr r="BS240" s="2"/>
        <tr r="BH40" s="2"/>
        <tr r="CI385" s="2"/>
        <tr r="BI460" s="2"/>
        <tr r="CA232" s="2"/>
        <tr r="CB361" s="2"/>
        <tr r="CB78" s="2"/>
        <tr r="CC401" s="2"/>
        <tr r="CD11" s="2"/>
        <tr r="CE422" s="2"/>
        <tr r="BJ110" s="2"/>
        <tr r="BZ138" s="2"/>
        <tr r="CA84" s="2"/>
        <tr r="CA395" s="2"/>
        <tr r="CB334" s="2"/>
        <tr r="CF464" s="2"/>
        <tr r="CF55" s="2"/>
        <tr r="BG210" s="2"/>
        <tr r="BY260" s="2"/>
        <tr r="BZ420" s="2"/>
        <tr r="CA357" s="2"/>
        <tr r="CB48" s="2"/>
        <tr r="CB138" s="2"/>
        <tr r="CF145" s="2"/>
        <tr r="CF203" s="2"/>
        <tr r="BT14" s="2"/>
        <tr r="BY181" s="2"/>
        <tr r="CB364" s="2"/>
        <tr r="CD320" s="2"/>
        <tr r="CE257" s="2"/>
        <tr r="CF267" s="2"/>
        <tr r="BJ454" s="2"/>
        <tr r="BZ451" s="2"/>
        <tr r="CA341" s="2"/>
        <tr r="CA316" s="2"/>
        <tr r="BZ43" s="2"/>
        <tr r="CE385" s="2"/>
        <tr r="CE360" s="2"/>
        <tr r="BH265" s="2"/>
        <tr r="BJ155" s="2"/>
        <tr r="BY413" s="2"/>
        <tr r="CA33" s="2"/>
        <tr r="CC368" s="2"/>
        <tr r="CD465" s="2"/>
        <tr r="CD376" s="2"/>
        <tr r="CF228" s="2"/>
        <tr r="BJ407" s="2"/>
        <tr r="BH343" s="2"/>
        <tr r="BJ85" s="2"/>
        <tr r="BI239" s="2"/>
        <tr r="BH20" s="2"/>
        <tr r="BG414" s="2"/>
        <tr r="BT82" s="2"/>
        <tr r="BH22" s="2"/>
        <tr r="BH13" s="2"/>
        <tr r="CH158" s="2"/>
        <tr r="BH428" s="2"/>
        <tr r="CH459" s="2"/>
        <tr r="CB47" s="2"/>
        <tr r="CE188" s="2"/>
        <tr r="CI273" s="2"/>
        <tr r="BJ301" s="2"/>
        <tr r="BZ256" s="2"/>
        <tr r="CB165" s="2"/>
        <tr r="CE207" s="2"/>
        <tr r="CD231" s="2"/>
        <tr r="BH260" s="2"/>
        <tr r="BZ96" s="2"/>
        <tr r="CA449" s="2"/>
        <tr r="CC314" s="2"/>
        <tr r="BY191" s="2"/>
        <tr r="CE269" s="2"/>
        <tr r="CE426" s="2"/>
        <tr r="BI285" s="2"/>
        <tr r="BY461" s="2"/>
        <tr r="CA39" s="2"/>
        <tr r="CC389" s="2"/>
        <tr r="CD113" s="2"/>
        <tr r="CD199" s="2"/>
        <tr r="CF241" s="2"/>
        <tr r="BJ352" s="2"/>
        <tr r="BX75" s="2"/>
        <tr r="BY341" s="2"/>
        <tr r="CA457" s="2"/>
        <tr r="CD446" s="2"/>
        <tr r="CD146" s="2"/>
        <tr r="CD417" s="2"/>
        <tr r="CF19" s="2"/>
        <tr r="BJ41" s="2"/>
        <tr r="CB279" s="2"/>
        <tr r="CB389" s="2"/>
        <tr r="CC358" s="2"/>
        <tr r="CF275" s="2"/>
        <tr r="CF253" s="2"/>
        <tr r="AT78" s="2"/>
        <tr r="BX241" s="2"/>
        <tr r="CC446" s="2"/>
        <tr r="CB341" s="2"/>
        <tr r="CC92" s="2"/>
        <tr r="CD343" s="2"/>
        <tr r="CC236" s="2"/>
        <tr r="BI320" s="2"/>
        <tr r="CI400" s="2"/>
        <tr r="BZ270" s="2"/>
        <tr r="CB235" s="2"/>
        <tr r="CC353" s="2"/>
        <tr r="CC429" s="2"/>
        <tr r="CC208" s="2"/>
        <tr r="BH293" s="2"/>
        <tr r="BJ372" s="2"/>
        <tr r="BG220" s="2"/>
        <tr r="BG319" s="2"/>
        <tr r="BG141" s="2"/>
        <tr r="CI357" s="2"/>
        <tr r="CI370" s="2"/>
        <tr r="BG432" s="2"/>
        <tr r="CH115" s="2"/>
        <tr r="BJ379" s="2"/>
        <tr r="BT174" s="2"/>
        <tr r="BH35" s="2"/>
        <tr r="BZ387" s="2"/>
        <tr r="BZ240" s="2"/>
        <tr r="CB419" s="2"/>
        <tr r="CC122" s="2"/>
        <tr r="CD390" s="2"/>
        <tr r="CC99" s="2"/>
        <tr r="BG297" s="2"/>
        <tr r="CA92" s="2"/>
        <tr r="CA38" s="2"/>
        <tr r="CD301" s="2"/>
        <tr r="CD260" s="2"/>
        <tr r="BJ52" s="2"/>
        <tr r="BZ386" s="2"/>
        <tr r="CA204" s="2"/>
        <tr r="CA321" s="2"/>
        <tr r="CB344" s="2"/>
        <tr r="CC427" s="2"/>
        <tr r="CE89" s="2"/>
        <tr r="BT76" s="2"/>
        <tr r="BI218" s="2"/>
        <tr r="CA363" s="2"/>
        <tr r="CA158" s="2"/>
        <tr r="CC184" s="2"/>
        <tr r="CE369" s="2"/>
        <tr r="CE351" s="2"/>
        <tr r="BJ384" s="2"/>
        <tr r="BJ83" s="2"/>
        <tr r="BJ257" s="2"/>
        <tr r="CI70" s="2"/>
        <tr r="BT292" s="2"/>
        <tr r="BQ424" s="2"/>
        <tr r="CH288" s="2"/>
        <tr r="BS419" s="2"/>
        <tr r="BS430" s="2"/>
        <tr r="BH449" s="2"/>
        <tr r="BJ366" s="2"/>
        <tr r="BZ154" s="2"/>
        <tr r="CB88" s="2"/>
        <tr r="CB29" s="2"/>
        <tr r="CE169" s="2"/>
        <tr r="CE184" s="2"/>
        <tr r="BI274" s="2"/>
        <tr r="CA345" s="2"/>
        <tr r="BZ158" s="2"/>
        <tr r="CC399" s="2"/>
        <tr r="CE113" s="2"/>
        <tr r="CE47" s="2"/>
        <tr r="BJ70" s="2"/>
        <tr r="BZ455" s="2"/>
        <tr r="CA346" s="2"/>
        <tr r="CA56" s="2"/>
        <tr r="CC273" s="2"/>
        <tr r="CE306" s="2"/>
        <tr r="CE256" s="2"/>
        <tr r="BJ401" s="2"/>
        <tr r="BJ80" s="2"/>
        <tr r="CB367" s="2"/>
        <tr r="CC13" s="2"/>
        <tr r="CD74" s="2"/>
        <tr r="CD392" s="2"/>
        <tr r="CI42" s="2"/>
        <tr r="BY319" s="2"/>
        <tr r="CC6" s="2"/>
        <tr r="CB154" s="2"/>
        <tr r="CD374" s="2"/>
        <tr r="CE176" s="2"/>
        <tr r="CF378" s="2"/>
        <tr r="BJ236" s="2"/>
        <tr r="CA185" s="2"/>
        <tr r="CB116" s="2"/>
        <tr r="CB379" s="2"/>
        <tr r="CC81" s="2"/>
        <tr r="CD178" s="2"/>
        <tr r="CF283" s="2"/>
        <tr r="BJ292" s="2"/>
        <tr r="BH59" s="2"/>
        <tr r="BH336" s="2"/>
        <tr r="BI446" s="2"/>
        <tr r="AU141" s="2"/>
        <tr r="CH465" s="2"/>
        <tr r="AT150" s="2"/>
        <tr r="BG42" s="2"/>
        <tr r="BG269" s="2"/>
        <tr r="AO129" s="2"/>
        <tr r="CA32" s="2"/>
        <tr r="BU264" s="2"/>
        <tr r="BU133" s="2"/>
        <tr r="BX431" s="2"/>
        <tr r="BZ401" s="2"/>
        <tr r="BU435" s="2"/>
        <tr r="BW190" s="2"/>
        <tr r="BX427" s="2"/>
        <tr r="BW453" s="2"/>
        <tr r="BX76" s="2"/>
        <tr r="BY212" s="2"/>
        <tr r="CA303" s="2"/>
        <tr r="CC121" s="2"/>
        <tr r="CD162" s="2"/>
        <tr r="CD207" s="2"/>
        <tr r="BJ130" s="2"/>
        <tr r="CB398" s="2"/>
        <tr r="CC76" s="2"/>
        <tr r="CE404" s="2"/>
        <tr r="CE251" s="2"/>
        <tr r="CA199" s="2"/>
        <tr r="CD56" s="2"/>
        <tr r="CA433" s="2"/>
        <tr r="CE54" s="2"/>
        <tr r="BZ54" s="2"/>
        <tr r="BV282" s="2"/>
        <tr r="BU381" s="2"/>
        <tr r="BW226" s="2"/>
        <tr r="BY432" s="2"/>
        <tr r="BU68" s="2"/>
        <tr r="BU373" s="2"/>
        <tr r="BW23" s="2"/>
        <tr r="BX293" s="2"/>
        <tr r="BX144" s="2"/>
        <tr r="BU139" s="2"/>
        <tr r="BV227" s="2"/>
        <tr r="BX315" s="2"/>
        <tr r="BZ365" s="2"/>
        <tr r="BV212" s="2"/>
        <tr r="BU307" s="2"/>
        <tr r="BW200" s="2"/>
        <tr r="BY223" s="2"/>
        <tr r="BZ445" s="2"/>
        <tr r="BU136" s="2"/>
        <tr r="BU137" s="2"/>
        <tr r="BV413" s="2"/>
        <tr r="BU166" s="2"/>
        <tr r="BX294" s="2"/>
        <tr r="BZ203" s="2"/>
        <tr r="BU184" s="2"/>
        <tr r="BV386" s="2"/>
        <tr r="BY344" s="2"/>
        <tr r="BY321" s="2"/>
        <tr r="BW62" s="2"/>
        <tr r="BV251" s="2"/>
        <tr r="BW392" s="2"/>
        <tr r="BZ8" s="2"/>
        <tr r="CA456" s="2"/>
        <tr r="CB373" s="2"/>
        <tr r="CB428" s="2"/>
        <tr r="CC218" s="2"/>
        <tr r="CE295" s="2"/>
        <tr r="CC19" s="2"/>
        <tr r="BH247" s="2"/>
        <tr r="CC222" s="2"/>
        <tr r="CA225" s="2"/>
        <tr r="CC173" s="2"/>
        <tr r="BG237" s="2"/>
        <tr r="CC323" s="2"/>
        <tr r="CC412" s="2"/>
        <tr r="BW103" s="2"/>
        <tr r="BY150" s="2"/>
        <tr r="BU229" s="2"/>
        <tr r="BW417" s="2"/>
        <tr r="BV365" s="2"/>
        <tr r="BZ447" s="2"/>
        <tr r="BW374" s="2"/>
        <tr r="BV333" s="2"/>
        <tr r="BW26" s="2"/>
        <tr r="BZ442" s="2"/>
        <tr r="BV59" s="2"/>
        <tr r="BX258" s="2"/>
        <tr r="BV385" s="2"/>
        <tr r="BY286" s="2"/>
        <tr r="BV124" s="2"/>
        <tr r="BW415" s="2"/>
        <tr r="BU34" s="2"/>
        <tr r="BY60" s="2"/>
        <tr r="BV243" s="2"/>
        <tr r="BX368" s="2"/>
        <tr r="BX21" s="2"/>
        <tr r="BX304" s="2"/>
        <tr r="CA59" s="2"/>
        <tr r="BU402" s="2"/>
        <tr r="BV18" s="2"/>
        <tr r="BX178" s="2"/>
        <tr r="BZ164" s="2"/>
        <tr r="BV38" s="2"/>
        <tr r="BW105" s="2"/>
        <tr r="BY46" s="2"/>
        <tr r="BY231" s="2"/>
        <tr r="BY380" s="2"/>
        <tr r="BZ305" s="2"/>
        <tr r="CA162" s="2"/>
        <tr r="BW180" s="2"/>
        <tr r="CA64" s="2"/>
        <tr r="CE201" s="2"/>
        <tr r="BJ438" s="2"/>
        <tr r="CB297" s="2"/>
        <tr r="CD215" s="2"/>
        <tr r="CB146" s="2"/>
        <tr r="CE286" s="2"/>
        <tr r="BY457" s="2"/>
        <tr r="CE122" s="2"/>
        <tr r="CB170" s="2"/>
        <tr r="CF23" s="2"/>
        <tr r="CF43" s="2"/>
        <tr r="CF175" s="2"/>
        <tr r="AU272" s="2"/>
        <tr r="CA361" s="2"/>
        <tr r="CC250" s="2"/>
        <tr r="CD427" s="2"/>
        <tr r="CE205" s="2"/>
        <tr r="CE170" s="2"/>
        <tr r="BI157" s="2"/>
        <tr r="BZ279" s="2"/>
        <tr r="CB289" s="2"/>
        <tr r="CB247" s="2"/>
        <tr r="CB348" s="2"/>
        <tr r="CC336" s="2"/>
        <tr r="CF334" s="2"/>
        <tr r="BJ409" s="2"/>
        <tr r="BI353" s="2"/>
        <tr r="CA215" s="2"/>
        <tr r="BY370" s="2"/>
        <tr r="CD131" s="2"/>
        <tr r="CE100" s="2"/>
        <tr r="CD349" s="2"/>
        <tr r="BG138" s="2"/>
        <tr r="BI42" s="2"/>
        <tr r="BZ192" s="2"/>
        <tr r="CA306" s="2"/>
        <tr r="BZ139" s="2"/>
        <tr r="BY148" s="2"/>
        <tr r="CE325" s="2"/>
        <tr r="CE118" s="2"/>
        <tr r="CH366" s="2"/>
        <tr r="BG314" s="2"/>
        <tr r="CB277" s="2"/>
        <tr r="CC448" s="2"/>
        <tr r="CD159" s="2"/>
        <tr r="CC436" s="2"/>
        <tr r="BI240" s="2"/>
        <tr r="CI278" s="2"/>
        <tr r="BY442" s="2"/>
        <tr r="CA315" s="2"/>
        <tr r="CD200" s="2"/>
        <tr r="CD164" s="2"/>
        <tr r="CD19" s="2"/>
        <tr r="CF181" s="2"/>
        <tr r="BJ226" s="2"/>
        <tr r="BW52" s="2"/>
        <tr r="CB347" s="2"/>
        <tr r="BZ93" s="2"/>
        <tr r="CC11" s="2"/>
        <tr r="CD325" s="2"/>
        <tr r="CF39" s="2"/>
        <tr r="BJ128" s="2"/>
        <tr r="CH270" s="2"/>
        <tr r="BJ376" s="2"/>
        <tr r="BI304" s="2"/>
        <tr r="AT431" s="2"/>
        <tr r="AW407" s="2"/>
        <tr r="BI331" s="2"/>
        <tr r="BI66" s="2"/>
        <tr r="BS54" s="2"/>
        <tr r="BS180" s="2"/>
        <tr r="AW385" s="2"/>
        <tr r="BH401" s="2"/>
        <tr r="CE356" s="2"/>
        <tr r="BH14" s="2"/>
        <tr r="BY417" s="2"/>
        <tr r="BZ322" s="2"/>
        <tr r="CA291" s="2"/>
        <tr r="BZ157" s="2"/>
        <tr r="CA187" s="2"/>
        <tr r="CF254" s="2"/>
        <tr r="CE368" s="2"/>
        <tr r="BH433" s="2"/>
        <tr r="CB253" s="2"/>
        <tr r="CB462" s="2"/>
        <tr r="CC357" s="2"/>
        <tr r="CE431" s="2"/>
        <tr r="CF107" s="2"/>
        <tr r="BJ322" s="2"/>
        <tr r="BZ391" s="2"/>
        <tr r="CA251" s="2"/>
        <tr r="CA41" s="2"/>
        <tr r="CC211" s="2"/>
        <tr r="CE434" s="2"/>
        <tr r="CE17" s="2"/>
        <tr r="BJ347" s="2"/>
        <tr r="BJ272" s="2"/>
        <tr r="BX314" s="2"/>
        <tr r="BZ298" s="2"/>
        <tr r="CC171" s="2"/>
        <tr r="CC288" s="2"/>
        <tr r="CC53" s="2"/>
        <tr r="CF110" s="2"/>
        <tr r="AX105" s="2"/>
        <tr r="BI434" s="2"/>
        <tr r="BJ250" s="2"/>
        <tr r="BI354" s="2"/>
        <tr r="BH281" s="2"/>
        <tr r="BG384" s="2"/>
        <tr r="CH222" s="2"/>
        <tr r="BI44" s="2"/>
        <tr r="BH11" s="2"/>
        <tr r="BI438" s="2"/>
        <tr r="BS88" s="2"/>
        <tr r="BJ112" s="2"/>
        <tr r="BY277" s="2"/>
        <tr r="BZ421" s="2"/>
        <tr r="CC63" s="2"/>
        <tr r="CD282" s="2"/>
        <tr r="CE27" s="2"/>
        <tr r="CF199" s="2"/>
        <tr r="BI73" s="2"/>
        <tr r="BX73" s="2"/>
        <tr r="BZ57" s="2"/>
        <tr r="CC132" s="2"/>
        <tr r="CC205" s="2"/>
        <tr r="CC91" s="2"/>
        <tr r="CE181" s="2"/>
        <tr r="BR125" s="2"/>
        <tr r="BV117" s="2"/>
        <tr r="BX396" s="2"/>
        <tr r="BZ437" s="2"/>
        <tr r="CC180" s="2"/>
        <tr r="CD464" s="2"/>
        <tr r="CC463" s="2"/>
        <tr r="CF248" s="2"/>
        <tr r="BJ447" s="2"/>
        <tr r="CA421" s="2"/>
        <tr r="CB240" s="2"/>
        <tr r="CB354" s="2"/>
        <tr r="CF209" s="2"/>
        <tr r="CF188" s="2"/>
        <tr r="AW119" s="2"/>
        <tr r="CA203" s="2"/>
        <tr r="CB245" s="2"/>
        <tr r="CB251" s="2"/>
        <tr r="CC66" s="2"/>
        <tr r="CD356" s="2"/>
        <tr r="CF306" s="2"/>
        <tr r="BJ445" s="2"/>
        <tr r="BG65" s="2"/>
        <tr r="BZ156" s="2"/>
        <tr r="CB121" s="2"/>
        <tr r="CB239" s="2"/>
        <tr r="CB366" s="2"/>
        <tr r="CE137" s="2"/>
        <tr r="BI76" s="2"/>
        <tr r="BQ226" s="2"/>
        <tr r="BH355" s="2"/>
        <tr r="BH391" s="2"/>
        <tr r="BG171" s="2"/>
        <tr r="CH12" s="2"/>
        <tr r="BH351" s="2"/>
        <tr r="BG108" s="2"/>
        <tr r="CI169" s="2"/>
        <tr r="BJ224" s="2"/>
        <tr r="BT397" s="2"/>
        <tr r="BI159" s="2"/>
        <tr r="BZ126" s="2"/>
        <tr r="CA343" s="2"/>
        <tr r="CC337" s="2"/>
        <tr r="CD378" s="2"/>
        <tr r="CE108" s="2"/>
        <tr r="CD138" s="2"/>
        <tr r="BI259" s="2"/>
        <tr r="BX12" s="2"/>
        <tr r="BZ285" s="2"/>
        <tr r="CC44" s="2"/>
        <tr r="CD279" s="2"/>
        <tr r="CC461" s="2"/>
        <tr r="CF303" s="2"/>
        <tr r="BJ46" s="2"/>
        <tr r="BX96" s="2"/>
        <tr r="BY175" s="2"/>
        <tr r="CA375" s="2"/>
        <tr r="CC453" s="2"/>
        <tr r="CD209" s="2"/>
        <tr r="CD360" s="2"/>
        <tr r="CF329" s="2"/>
        <tr r="BJ39" s="2"/>
        <tr r="CB110" s="2"/>
        <tr r="CB371" s="2"/>
        <tr r="CB221" s="2"/>
        <tr r="CF34" s="2"/>
        <tr r="CF436" s="2"/>
        <tr r="BS384" s="2"/>
        <tr r="BW273" s="2"/>
        <tr r="CB232" s="2"/>
        <tr r="CB148" s="2"/>
        <tr r="CC228" s="2"/>
        <tr r="CD189" s="2"/>
        <tr r="CC55" s="2"/>
        <tr r="BI382" s="2"/>
        <tr r="AU90" s="2"/>
        <tr r="BZ21" s="2"/>
        <tr r="CB139" s="2"/>
        <tr r="CC87" s="2"/>
        <tr r="CC35" s="2"/>
        <tr r="CE266" s="2"/>
        <tr r="BH400" s="2"/>
        <tr r="AS162" s="2"/>
        <tr r="BG272" s="2"/>
        <tr r="BH453" s="2"/>
        <tr r="BG44" s="2"/>
        <tr r="CH35" s="2"/>
        <tr r="AW311" s="2"/>
        <tr r="BG383" s="2"/>
        <tr r="BG253" s="2"/>
        <tr r="CI234" s="2"/>
        <tr r="BJ385" s="2"/>
        <tr r="BS315" s="2"/>
        <tr r="CE22" s="2"/>
        <tr r="CC181" s="2"/>
        <tr r="BI427" s="2"/>
        <tr r="CH249" s="2"/>
        <tr r="CB446" s="2"/>
        <tr r="CB107" s="2"/>
        <tr r="CC359" s="2"/>
        <tr r="CF270" s="2"/>
        <tr r="BJ345" s="2"/>
        <tr r="BI265" s="2"/>
        <tr r="BW222" s="2"/>
        <tr r="BW246" s="2"/>
        <tr r="CC332" s="2"/>
        <tr r="CC363" s="2"/>
        <tr r="CA124" s="2"/>
        <tr r="CE353" s="2"/>
        <tr r="BI219" s="2"/>
        <tr r="BZ452" s="2"/>
        <tr r="CB377" s="2"/>
        <tr r="CC302" s="2"/>
        <tr r="CC352" s="2"/>
        <tr r="CE10" s="2"/>
        <tr r="BI197" s="2"/>
        <tr r="BZ114" s="2"/>
        <tr r="BZ341" s="2"/>
        <tr r="CB194" s="2"/>
        <tr r="CC49" s="2"/>
        <tr r="CC117" s="2"/>
        <tr r="CB73" s="2"/>
        <tr r="BH291" s="2"/>
        <tr r="CA147" s="2"/>
        <tr r="CD136" s="2"/>
        <tr r="CD100" s="2"/>
        <tr r="CD435" s="2"/>
        <tr r="CF93" s="2"/>
        <tr r="BJ146" s="2"/>
        <tr r="BZ426" s="2"/>
        <tr r="CA435" s="2"/>
        <tr r="CA296" s="2"/>
        <tr r="CA51" s="2"/>
        <tr r="CA195" s="2"/>
        <tr r="CE375" s="2"/>
        <tr r="CI114" s="2"/>
        <tr r="BJ160" s="2"/>
        <tr r="CA304" s="2"/>
        <tr r="BZ268" s="2"/>
        <tr r="CC110" s="2"/>
        <tr r="CE224" s="2"/>
        <tr r="CE238" s="2"/>
        <tr r="BT178" s="2"/>
        <tr r="BJ18" s="2"/>
        <tr r="BJ96" s="2"/>
        <tr r="AW257" s="2"/>
        <tr r="CH104" s="2"/>
        <tr r="BS113" s="2"/>
        <tr r="CI80" s="2"/>
        <tr r="BT454" s="2"/>
        <tr r="BG284" s="2"/>
        <tr r="BH272" s="2"/>
        <tr r="BG461" s="2"/>
        <tr r="BY20" s="2"/>
        <tr r="CA425" s="2"/>
        <tr r="BZ446" s="2"/>
        <tr r="CC432" s="2"/>
        <tr r="CE177" s="2"/>
        <tr r="CE111" s="2"/>
        <tr r="BJ134" s="2"/>
        <tr r="CB205" s="2"/>
        <tr r="CC51" s="2"/>
        <tr r="CD137" s="2"/>
        <tr r="CC96" s="2"/>
        <tr r="CI447" s="2"/>
        <tr r="BX125" s="2"/>
        <tr r="CB317" s="2"/>
        <tr r="CB159" s="2"/>
        <tr r="CC421" s="2"/>
        <tr r="CE31" s="2"/>
        <tr r="CF307" s="2"/>
        <tr r="BJ387" s="2"/>
        <tr r="CA447" s="2"/>
        <tr r="CB171" s="2"/>
        <tr r="CB193" s="2"/>
        <tr r="CC430" s="2"/>
        <tr r="CD225" s="2"/>
        <tr r="CF33" s="2"/>
        <tr r="BJ131" s="2"/>
        <tr r="BI333" s="2"/>
        <tr r="BH369" s="2"/>
        <tr r="BI387" s="2"/>
        <tr r="BT451" s="2"/>
        <tr r="CI329" s="2"/>
        <tr r="AX334" s="2"/>
        <tr r="BH142" s="2"/>
        <tr r="CI135" s="2"/>
        <tr r="CH458" s="2"/>
        <tr r="BI351" s="2"/>
        <tr r="BJ348" s="2"/>
        <tr r="AV341" s="2"/>
        <tr r="BY414" s="2"/>
        <tr r="BZ368" s="2"/>
        <tr r="CC65" s="2"/>
        <tr r="CB104" s="2"/>
        <tr r="CD254" s="2"/>
        <tr r="CD12" s="2"/>
        <tr r="BJ337" s="2"/>
        <tr r="CB98" s="2"/>
        <tr r="CB224" s="2"/>
        <tr r="CB432" s="2"/>
        <tr r="CD152" s="2"/>
        <tr r="CF160" s="2"/>
        <tr r="BJ426" s="2"/>
        <tr r="BI84" s="2"/>
        <tr r="CA392" s="2"/>
        <tr r="CB339" s="2"/>
        <tr r="CB266" s="2"/>
        <tr r="CC216" s="2"/>
        <tr r="CD339" s="2"/>
        <tr r="CF353" s="2"/>
        <tr r="BJ100" s="2"/>
        <tr r="BH256" s="2"/>
        <tr r="CA235" s="2"/>
        <tr r="CC338" s="2"/>
        <tr r="CE203" s="2"/>
        <tr r="CE82" s="2"/>
        <tr r="BI279" s="2"/>
        <tr r="BJ258" s="2"/>
        <tr r="BZ124" s="2"/>
        <tr r="CA230" s="2"/>
        <tr r="CB89" s="2"/>
        <tr r="CB267" s="2"/>
        <tr r="CF273" s="2"/>
        <tr r="CF42" s="2"/>
        <tr r="CH215" s="2"/>
        <tr r="BY28" s="2"/>
        <tr r="CA102" s="2"/>
        <tr r="BX363" s="2"/>
        <tr r="CD90" s="2"/>
        <tr r="CE307" s="2"/>
        <tr r="CD93" s="2"/>
        <tr r="BG351" s="2"/>
        <tr r="BI112" s="2"/>
        <tr r="BJ399" s="2"/>
        <tr r="BR353" s="2"/>
        <tr r="CI221" s="2"/>
        <tr r="BT41" s="2"/>
        <tr r="BI232" s="2"/>
        <tr r="BT115" s="2"/>
        <tr r="AO224" s="2"/>
        <tr r="BJ444" s="2"/>
        <tr r="BU258" s="2"/>
        <tr r="BW286" s="2"/>
        <tr r="BY293" s="2"/>
        <tr r="BY268" s="2"/>
        <tr r="BV273" s="2"/>
        <tr r="BW83" s="2"/>
        <tr r="BV257" s="2"/>
        <tr r="BY331" s="2"/>
        <tr r="BU349" s="2"/>
        <tr r="BV358" s="2"/>
        <tr r="BX247" s="2"/>
        <tr r="BV426" s="2"/>
        <tr r="BY460" s="2"/>
        <tr r="BZ338" s="2"/>
        <tr r="CA295" s="2"/>
        <tr r="CB305" s="2"/>
        <tr r="CC183" s="2"/>
        <tr r="CC305" s="2"/>
        <tr r="CD85" s="2"/>
        <tr r="CA31" s="2"/>
        <tr r="CC60" s="2"/>
        <tr r="CE86" s="2"/>
        <tr r="CD201" s="2"/>
        <tr r="BZ23" s="2"/>
        <tr r="CF354" s="2"/>
        <tr r="CA287" s="2"/>
        <tr r="BX356" s="2"/>
        <tr r="BX446" s="2"/>
        <tr r="BU444" s="2"/>
        <tr r="BV396" s="2"/>
        <tr r="BV7" s="2"/>
        <tr r="BW22" s="2"/>
        <tr r="BY50" s="2"/>
        <tr r="BW206" s="2"/>
        <tr r="BU226" s="2"/>
        <tr r="BX415" s="2"/>
        <tr r="BZ53" s="2"/>
        <tr r="BV284" s="2"/>
        <tr r="BX54" s="2"/>
        <tr r="BW387" s="2"/>
        <tr r="BZ394" s="2"/>
        <tr r="BV65" s="2"/>
        <tr r="BX449" s="2"/>
        <tr r="BU299" s="2"/>
        <tr r="BX206" s="2"/>
        <tr r="BV26" s="2"/>
        <tr r="BU125" s="2"/>
        <tr r="BW449" s="2"/>
        <tr r="BY176" s="2"/>
        <tr r="CA57" s="2"/>
        <tr r="BU353" s="2"/>
        <tr r="BV359" s="2"/>
        <tr r="BX111" s="2"/>
        <tr r="BW337" s="2"/>
        <tr r="BV316" s="2"/>
        <tr r="BX103" s="2"/>
        <tr r="BX149" s="2"/>
        <tr r="BY86" s="2"/>
        <tr r="CA21" s="2"/>
        <tr r="BZ135" s="2"/>
        <tr r="CA177" s="2"/>
        <tr r="BZ393" s="2"/>
        <tr r="CD219" s="2"/>
        <tr r="CE304" s="2"/>
        <tr r="BH132" s="2"/>
        <tr r="CA325" s="2"/>
        <tr r="CD256" s="2"/>
        <tr r="CE171" s="2"/>
        <tr r="AW104" s="2"/>
        <tr r="CC203" s="2"/>
        <tr r="CI285" s="2"/>
        <tr r="CD198" s="2"/>
        <tr r="BV452" s="2"/>
        <tr r="BX207" s="2"/>
        <tr r="BX68" s="2"/>
        <tr r="BV166" s="2"/>
        <tr r="BW48" s="2"/>
        <tr r="BX349" s="2"/>
        <tr r="BX13" s="2"/>
        <tr r="BV132" s="2"/>
        <tr r="BU422" s="2"/>
        <tr r="BX341" s="2"/>
        <tr r="BY278" s="2"/>
        <tr r="CA328" s="2"/>
        <tr r="BW296" s="2"/>
        <tr r="BX435" s="2"/>
        <tr r="BX460" s="2"/>
        <tr r="BY236" s="2"/>
        <tr r="BU217" s="2"/>
        <tr r="BV421" s="2"/>
        <tr r="BX43" s="2"/>
        <tr r="BW272" s="2"/>
        <tr r="BU127" s="2"/>
        <tr r="BU348" s="2"/>
        <tr r="BW161" s="2"/>
        <tr r="BV338" s="2"/>
        <tr r="BZ231" s="2"/>
        <tr r="BU430" s="2"/>
        <tr r="BV395" s="2"/>
        <tr r="BW253" s="2"/>
        <tr r="BW114" s="2"/>
        <tr r="BZ153" s="2"/>
        <tr r="BU59" s="2"/>
        <tr r="BU206" s="2"/>
        <tr r="BX42" s="2"/>
        <tr r="BW434" s="2"/>
        <tr r="BY445" s="2"/>
        <tr r="BZ301" s="2"/>
        <tr r="BX318" s="2"/>
        <tr r="BY147" s="2"/>
        <tr r="CC386" s="2"/>
        <tr r="CC28" s="2"/>
        <tr r="CE350" s="2"/>
        <tr r="AV67" s="2"/>
        <tr r="CA260" s="2"/>
        <tr r="CC140" s="2"/>
        <tr r="CE58" s="2"/>
        <tr r="CF279" s="2"/>
        <tr r="BY58" s="2"/>
        <tr r="CD202" s="2"/>
        <tr r="CC278" s="2"/>
        <tr r="CD332" s="2"/>
        <tr r="CD331" s="2"/>
        <tr r="CF349" s="2"/>
        <tr r="BJ411" s="2"/>
        <tr r="CB114" s="2"/>
        <tr r="CC443" s="2"/>
        <tr r="CC367" s="2"/>
        <tr r="BZ103" s="2"/>
        <tr r="CE208" s="2"/>
        <tr r="BI313" s="2"/>
        <tr r="BY80" s="2"/>
        <tr r="BX334" s="2"/>
        <tr r="CC175" s="2"/>
        <tr r="CD47" s="2"/>
        <tr r="CE432" s="2"/>
        <tr r="CD273" s="2"/>
        <tr r="BI284" s="2"/>
        <tr r="BJ441" s="2"/>
        <tr r="CB425" s="2"/>
        <tr r="CB142" s="2"/>
        <tr r="CC315" s="2"/>
        <tr r="CD107" s="2"/>
        <tr r="CE415" s="2"/>
        <tr r="BJ151" s="2"/>
        <tr r="BY383" s="2"/>
        <tr r="BW455" s="2"/>
        <tr r="CB290" s="2"/>
        <tr r="BY381" s="2"/>
        <tr r="CC243" s="2"/>
        <tr r="CD133" s="2"/>
        <tr r="CF247" s="2"/>
        <tr r="BJ223" s="2"/>
        <tr r="CA267" s="2"/>
        <tr r="CA103" s="2"/>
        <tr r="CA458" s="2"/>
        <tr r="BZ140" s="2"/>
        <tr r="CE247" s="2"/>
        <tr r="BT238" s="2"/>
        <tr r="BJ448" s="2"/>
        <tr r="CA70" s="2"/>
        <tr r="CB76" s="2"/>
        <tr r="CC266" s="2"/>
        <tr r="CD7" s="2"/>
        <tr r="CC356" s="2"/>
        <tr r="BG430" s="2"/>
        <tr r="BZ241" s="2"/>
        <tr r="CA98" s="2"/>
        <tr r="CC340" s="2"/>
        <tr r="CA406" s="2"/>
        <tr r="CE327" s="2"/>
        <tr r="CE180" s="2"/>
        <tr r="BH73" s="2"/>
        <tr r="BJ159" s="2"/>
        <tr r="BG156" s="2"/>
        <tr r="AX400" s="2"/>
        <tr r="AU105" s="2"/>
        <tr r="BI303" s="2"/>
        <tr r="BG407" s="2"/>
        <tr r="CI168" s="2"/>
        <tr r="BS11" s="2"/>
        <tr r="BH21" s="2"/>
        <tr r="BT231" s="2"/>
        <tr r="BG164" s="2"/>
        <tr r="CE226" s="2"/>
        <tr r="BI20" s="2"/>
        <tr r="BZ310" s="2"/>
        <tr r="BX273" s="2"/>
        <tr r="BZ321" s="2"/>
        <tr r="CC372" s="2"/>
        <tr r="CC309" s="2"/>
        <tr r="CC251" s="2"/>
        <tr r="CE365" s="2"/>
        <tr r="AW321" s="2"/>
        <tr r="CA212" s="2"/>
        <tr r="CA188" s="2"/>
        <tr r="CB376" s="2"/>
        <tr r="CF287" s="2"/>
        <tr r="CF288" s="2"/>
        <tr r="BG219" s="2"/>
        <tr r="CA121" s="2"/>
        <tr r="CB52" s="2"/>
        <tr r="CB163" s="2"/>
        <tr r="CC296" s="2"/>
        <tr r="CD82" s="2"/>
        <tr r="CF83" s="2"/>
        <tr r="BJ228" s="2"/>
        <tr r="BH234" s="2"/>
        <tr r="BZ244" s="2"/>
        <tr r="CB303" s="2"/>
        <tr r="CB260" s="2"/>
        <tr r="CE344" s="2"/>
        <tr r="CE401" s="2"/>
        <tr r="BI433" s="2"/>
        <tr r="CH134" s="2"/>
        <tr r="BH422" s="2"/>
        <tr r="BH12" s="2"/>
        <tr r="BG382" s="2"/>
        <tr r="CI175" s="2"/>
        <tr r="BH426" s="2"/>
        <tr r="BG235" s="2"/>
        <tr r="CH25" s="2"/>
        <tr r="BJ14" s="2"/>
        <tr r="AV142" s="2"/>
        <tr r="BJ158" s="2"/>
        <tr r="CA318" s="2"/>
        <tr r="CB208" s="2"/>
        <tr r="CC182" s="2"/>
        <tr r="CC335" s="2"/>
        <tr r="CF395" s="2"/>
        <tr r="CF296" s="2"/>
        <tr r="AW356" s="2"/>
        <tr r="BZ330" s="2"/>
        <tr r="CB215" s="2"/>
        <tr r="CB218" s="2"/>
        <tr r="CE88" s="2"/>
        <tr r="CE103" s="2"/>
        <tr r="BI415" s="2"/>
        <tr r="BZ168" s="2"/>
        <tr r="BZ418" s="2"/>
        <tr r="CB216" s="2"/>
        <tr r="CB285" s="2"/>
        <tr r="CE297" s="2"/>
        <tr r="CE312" s="2"/>
        <tr r="BI267" s="2"/>
        <tr r="CA48" s="2"/>
        <tr r="CC319" s="2"/>
        <tr r="CD289" s="2"/>
        <tr r="CD80" s="2"/>
        <tr r="CF441" s="2"/>
        <tr r="BJ167" s="2"/>
        <tr r="BZ191" s="2"/>
        <tr r="CA344" s="2"/>
        <tr r="BZ40" s="2"/>
        <tr r="CD27" s="2"/>
        <tr r="CE364" s="2"/>
        <tr r="CD326" s="2"/>
        <tr r="BG230" s="2"/>
        <tr r="BI348" s="2"/>
        <tr r="BZ98" s="2"/>
        <tr r="CC385" s="2"/>
        <tr r="CB219" s="2"/>
        <tr r="CE14" s="2"/>
        <tr r="CD21" s="2"/>
        <tr r="BJ341" s="2"/>
        <tr r="BJ8" s="2"/>
        <tr r="BJ58" s="2"/>
        <tr r="BG133" s="2"/>
        <tr r="CI293" s="2"/>
        <tr r="AT286" s="2"/>
        <tr r="BT48" s="2"/>
        <tr r="BT152" s="2"/>
        <tr r="BT319" s="2"/>
        <tr r="BH379" s="2"/>
        <tr r="BI116" s="2"/>
        <tr r="BJ56" s="2"/>
        <tr r="BI119" s="2"/>
        <tr r="CA24" s="2"/>
        <tr r="CB433" s="2"/>
        <tr r="CC8" s="2"/>
        <tr r="CC339" s="2"/>
        <tr r="CF237" s="2"/>
        <tr r="CD79" s="2"/>
        <tr r="BJ420" s="2"/>
        <tr r="BZ282" s="2"/>
        <tr r="CB152" s="2"/>
        <tr r="CB157" s="2"/>
        <tr r="CE233" s="2"/>
        <tr r="CE248" s="2"/>
        <tr r="BI450" s="2"/>
        <tr r="BZ146" s="2"/>
        <tr r="BZ68" s="2"/>
        <tr r="CB441" s="2"/>
        <tr r="CC398" s="2"/>
        <tr r="CC220" s="2"/>
        <tr r="CE74" s="2"/>
        <tr r="BI453" s="2"/>
        <tr r="CA354" s="2"/>
        <tr r="CD303" s="2"/>
        <tr r="CD290" s="2"/>
        <tr r="CD250" s="2"/>
        <tr r="CF299" s="2"/>
        <tr r="BJ105" s="2"/>
        <tr r="BZ105" s="2"/>
        <tr r="CA387" s="2"/>
        <tr r="BZ101" s="2"/>
        <tr r="BZ315" s="2"/>
        <tr r="CE453" s="2"/>
        <tr r="CE246" s="2"/>
        <tr r="CH102" s="2"/>
        <tr r="BG366" s="2"/>
        <tr r="BZ320" s="2"/>
        <tr r="BY276" s="2"/>
        <tr r="CB228" s="2"/>
        <tr r="CE79" s="2"/>
        <tr r="CD318" s="2"/>
        <tr r="BI397" s="2"/>
        <tr r="BJ169" s="2"/>
        <tr r="BJ367" s="2"/>
        <tr r="BT262" s="2"/>
        <tr r="CI231" s="2"/>
        <tr r="CH389" s="2"/>
        <tr r="AV106" s="2"/>
        <tr r="CI149" s="2"/>
        <tr r="BG296" s="2"/>
        <tr r="BH135" s="2"/>
        <tr r="CB370" s="2"/>
        <tr r="CE72" s="2"/>
        <tr r="BR284" s="2"/>
        <tr r="BJ170" s="2"/>
        <tr r="CC111" s="2"/>
        <tr r="CD384" s="2"/>
        <tr r="CE296" s="2"/>
        <tr r="CD177" s="2"/>
        <tr r="BI156" s="2"/>
        <tr r="BJ249" s="2"/>
        <tr r="BZ280" s="2"/>
        <tr r="CA119" s="2"/>
        <tr r="CB271" s="2"/>
        <tr r="CE398" s="2"/>
        <tr r="CD368" s="2"/>
        <tr r="BI230" s="2"/>
        <tr r="BZ165" s="2"/>
        <tr r="BX28" s="2"/>
        <tr r="CB451" s="2"/>
        <tr r="CE294" s="2"/>
        <tr r="CD277" s="2"/>
        <tr r="BI393" s="2"/>
        <tr r="BY330" s="2"/>
        <tr r="CA191" s="2"/>
        <tr r="BZ362" s="2"/>
        <tr r="CB358" s="2"/>
        <tr r="CE32" s="2"/>
        <tr r="CE46" s="2"/>
        <tr r="CB12" s="2"/>
        <tr r="CC194" s="2"/>
        <tr r="CD327" s="2"/>
        <tr r="CC259" s="2"/>
        <tr r="BG330" s="2"/>
        <tr r="BX259" s="2"/>
        <tr r="CB124" s="2"/>
        <tr r="CA355" s="2"/>
        <tr r="CC100" s="2"/>
        <tr r="CD344" s="2"/>
        <tr r="CF41" s="2"/>
        <tr r="BJ353" s="2"/>
        <tr r="CA174" s="2"/>
        <tr r="CB59" s="2"/>
        <tr r="CB312" s="2"/>
        <tr r="CB301" s="2"/>
        <tr r="CD15" s="2"/>
        <tr r="CF280" s="2"/>
        <tr r="BJ66" s="2"/>
        <tr r="BI458" s="2"/>
        <tr r="BI325" s="2"/>
        <tr r="BI138" s="2"/>
        <tr r="CH279" s="2"/>
        <tr r="CG148" s="2"/>
        <tr r="CH462" s="2"/>
        <tr r="BG388" s="2"/>
        <tr r="BT293" s="2"/>
        <tr r="CI170" s="2"/>
        <tr r="BI296" s="2"/>
        <tr r="BJ179" s="2"/>
        <tr r="BJ194" s="2"/>
        <tr r="BI26" s="2"/>
        <tr r="CA440" s="2"/>
        <tr r="CB162" s="2"/>
        <tr r="CB440" s="2"/>
        <tr r="CC118" s="2"/>
        <tr r="CD280" s="2"/>
        <tr r="CF424" s="2"/>
        <tr r="BJ363" s="2"/>
        <tr r="BI340" s="2"/>
        <tr r="CA184" s="2"/>
        <tr r="CC369" s="2"/>
        <tr r="CE370" s="2"/>
        <tr r="CE320" s="2"/>
        <tr r="BJ122" s="2"/>
        <tr r="BJ144" s="2"/>
        <tr r="BZ99" s="2"/>
        <tr r="CA332" s="2"/>
        <tr r="CA141" s="2"/>
        <tr r="CB168" s="2"/>
        <tr r="CF56" s="2"/>
        <tr r="CF112" s="2"/>
        <tr r="BG28" s="2"/>
        <tr r="BY338" s="2"/>
        <tr r="BZ307" s="2"/>
        <tr r="CC457" s="2"/>
        <tr r="CD313" s="2"/>
        <tr r="CE442" s="2"/>
        <tr r="CD147" s="2"/>
        <tr r="BH146" s="2"/>
        <tr r="BJ229" s="2"/>
        <tr r="BJ304" s="2"/>
        <tr r="BQ338" s="2"/>
        <tr r="BS425" s="2"/>
        <tr r="CH262" s="2"/>
        <tr r="BQ207" s="2"/>
        <tr r="AX215" s="2"/>
        <tr r="CH44" s="2"/>
        <tr r="BT266" s="2"/>
        <tr r="BG33" s="2"/>
        <tr r="CI53" s="2"/>
        <tr r="CI343" s="2"/>
        <tr r="BZ372" s="2"/>
        <tr r="CB382" s="2"/>
        <tr r="CA181" s="2"/>
        <tr r="CA278" s="2"/>
        <tr r="CB101" s="2"/>
        <tr r="CE444" s="2"/>
        <tr r="BT272" s="2"/>
        <tr r="BJ334" s="2"/>
        <tr r="BZ257" s="2"/>
        <tr r="CC201" s="2"/>
        <tr r="CD57" s="2"/>
        <tr r="CE186" s="2"/>
        <tr r="CD402" s="2"/>
        <tr r="BH287" s="2"/>
        <tr r="BJ68" s="2"/>
        <tr r="BY51" s="2"/>
        <tr r="BZ326" s="2"/>
        <tr r="CC146" s="2"/>
        <tr r="CD259" s="2"/>
        <tr r="CE83" s="2"/>
        <tr r="CD212" s="2"/>
        <tr r="BH368" s="2"/>
        <tr r="BI454" s="2"/>
        <tr r="CB458" s="2"/>
        <tr r="CC444" s="2"/>
        <tr r="CD291" s="2"/>
        <tr r="CF242" s="2"/>
        <tr r="BJ357" s="2"/>
        <tr r="BG194" s="2"/>
        <tr r="BY411" s="2"/>
        <tr r="CA176" s="2"/>
        <tr r="CC152" s="2"/>
        <tr r="CD369" s="2"/>
        <tr r="CD184" s="2"/>
        <tr r="CF259" s="2"/>
        <tr r="BJ231" s="2"/>
        <tr r="CA7" s="2"/>
        <tr r="CB169" s="2"/>
        <tr r="CA351" s="2"/>
        <tr r="CC89" s="2"/>
        <tr r="CD330" s="2"/>
        <tr r="CE357" s="2"/>
        <tr r="AW268" s="2"/>
        <tr r="AV170" s="2"/>
        <tr r="BJ331" s="2"/>
        <tr r="BJ421" s="2"/>
        <tr r="CH447" s="2"/>
        <tr r="AU162" s="2"/>
        <tr r="CI280" s="2"/>
        <tr r="CI238" s="2"/>
        <tr r="BZ404" s="2"/>
        <tr r="BY275" s="2"/>
        <tr r="BV35" s="2"/>
        <tr r="BU211" s="2"/>
        <tr r="BW136" s="2"/>
        <tr r="BY159" s="2"/>
        <tr r="BZ317" s="2"/>
        <tr r="BW37" s="2"/>
        <tr r="BX74" s="2"/>
        <tr r="BX83" s="2"/>
        <tr r="CA23" s="2"/>
        <tr r="BU273" s="2"/>
        <tr r="BV315" s="2"/>
        <tr r="BU372" s="2"/>
        <tr r="BV155" s="2"/>
        <tr r="BY104" s="2"/>
        <tr r="BV242" s="2"/>
        <tr r="BW84" s="2"/>
        <tr r="BY416" s="2"/>
        <tr r="BZ95" s="2"/>
        <tr r="BU79" s="2"/>
        <tr r="BW289" s="2"/>
        <tr r="BV204" s="2"/>
        <tr r="BZ400" s="2"/>
        <tr r="BY198" s="2"/>
        <tr r="BU124" s="2"/>
        <tr r="CB340" s="2"/>
        <tr r="CB320" s="2"/>
        <tr r="CC226" s="2"/>
        <tr r="CF109" s="2"/>
        <tr r="CH243" s="2"/>
        <tr r="BY249" s="2"/>
        <tr r="CD48" s="2"/>
        <tr r="CD328" s="2"/>
        <tr r="BI99" s="2"/>
        <tr r="CC109" s="2"/>
        <tr r="BZ277" s="2"/>
        <tr r="CA77" s="2"/>
        <tr r="BW376" s="2"/>
        <tr r="BX196" s="2"/>
        <tr r="BW95" s="2"/>
        <tr r="BX297" s="2"/>
        <tr r="BW216" s="2"/>
        <tr r="BY306" s="2"/>
        <tr r="BU293" s="2"/>
        <tr r="BW452" s="2"/>
        <tr r="BW118" s="2"/>
        <tr r="BZ392" s="2"/>
        <tr r="BW351" s="2"/>
        <tr r="BU55" s="2"/>
        <tr r="BY389" s="2"/>
        <tr r="BV276" s="2"/>
        <tr r="BX424" s="2"/>
        <tr r="BV344" s="2"/>
        <tr r="BY390" s="2"/>
        <tr r="BV392" s="2"/>
        <tr r="BU303" s="2"/>
        <tr r="BW295" s="2"/>
        <tr r="BX93" s="2"/>
        <tr r="BX362" s="2"/>
        <tr r="BV346" s="2"/>
        <tr r="BV8" s="2"/>
        <tr r="BU267" s="2"/>
        <tr r="BW319" s="2"/>
        <tr r="BY318" s="2"/>
        <tr r="BZ211" s="2"/>
        <tr r="BV215" s="2"/>
        <tr r="BW113" s="2"/>
        <tr r="BY438" s="2"/>
        <tr r="BY103" s="2"/>
        <tr r="BY92" s="2"/>
        <tr r="BZ377" s="2"/>
        <tr r="CB190" s="2"/>
        <tr r="CB465" s="2"/>
        <tr r="CB459" s="2"/>
        <tr r="CF434" s="2"/>
        <tr r="BI222" s="2"/>
        <tr r="CA106" s="2"/>
        <tr r="CA253" s="2"/>
        <tr r="CD411" s="2"/>
        <tr r="BZ312" s="2"/>
        <tr r="CD234" s="2"/>
        <tr r="BW465" s="2"/>
        <tr r="CD383" s="2"/>
        <tr r="CC61" s="2"/>
        <tr r="BG92" s="2"/>
        <tr r="CA374" s="2"/>
        <tr r="CB134" s="2"/>
        <tr r="CE278" s="2"/>
        <tr r="CD391" s="2"/>
        <tr r="BI150" s="2"/>
        <tr r="BZ69" s="2"/>
        <tr r="CA247" s="2"/>
        <tr r="CA379" s="2"/>
        <tr r="CB456" s="2"/>
        <tr r="CD94" s="2"/>
        <tr r="CE267" s="2"/>
        <tr r="BJ59" s="2"/>
        <tr r="BZ278" s="2"/>
        <tr r="CA40" s="2"/>
        <tr r="CC433" s="2"/>
        <tr r="CD171" s="2"/>
        <tr r="CE172" s="2"/>
        <tr r="CD28" s="2"/>
        <tr r="BI435" s="2"/>
        <tr r="BY40" s="2"/>
        <tr r="BZ33" s="2"/>
        <tr r="CA155" s="2"/>
        <tr r="CC442" s="2"/>
        <tr r="BZ19" s="2"/>
        <tr r="CE397" s="2"/>
        <tr r="CE99" s="2"/>
        <tr r="BH270" s="2"/>
        <tr r="CB60" s="2"/>
        <tr r="CA186" s="2"/>
        <tr r="CC12" s="2"/>
        <tr r="CD367" s="2"/>
        <tr r="CF336" s="2"/>
        <tr r="BJ289" s="2"/>
        <tr r="BY196" s="2"/>
        <tr r="CA83" s="2"/>
        <tr r="CA30" s="2"/>
        <tr r="CC215" s="2"/>
        <tr r="CE305" s="2"/>
        <tr r="CE239" s="2"/>
        <tr r="BJ319" s="2"/>
        <tr r="BW325" s="2"/>
        <tr r="BY74" s="2"/>
        <tr r="CC322" s="2"/>
        <tr r="CC435" s="2"/>
        <tr r="CC113" s="2"/>
        <tr r="CE339" s="2"/>
        <tr r="BH189" s="2"/>
        <tr r="BI249" s="2"/>
        <tr r="BJ377" s="2"/>
        <tr r="BI337" s="2"/>
        <tr r="BH144" s="2"/>
        <tr r="BG335" s="2"/>
        <tr r="CI399" s="2"/>
        <tr r="BI418" s="2"/>
        <tr r="BH345" s="2"/>
        <tr r="BI147" s="2"/>
        <tr r="CH145" s="2"/>
        <tr r="BI318" s="2"/>
        <tr r="BZ214" s="2"/>
        <tr r="BZ458" s="2"/>
        <tr r="CB439" s="2"/>
        <tr r="CB67" s="2"/>
        <tr r="CE152" s="2"/>
        <tr r="CE167" s="2"/>
        <tr r="BI89" s="2"/>
        <tr r="BZ414" s="2"/>
        <tr r="CC452" s="2"/>
        <tr r="CD95" s="2"/>
        <tr r="CC440" s="2"/>
        <tr r="CF71" s="2"/>
        <tr r="BJ87" s="2"/>
        <tr r="BY117" s="2"/>
        <tr r="BZ352" s="2"/>
        <tr r="BW171" s="2"/>
        <tr r="CD26" s="2"/>
        <tr r="CE211" s="2"/>
        <tr r="CD29" s="2"/>
        <tr r="BG95" s="2"/>
        <tr r="BI24" s="2"/>
        <tr r="BY377" s="2"/>
        <tr r="CC48" s="2"/>
        <tr r="CB150" s="2"/>
        <tr r="CD309" s="2"/>
        <tr r="CD43" s="2"/>
        <tr r="AR277" s="2"/>
        <tr r="BJ358" s="2"/>
        <tr r="BQ12" s="2"/>
        <tr r="BG36" s="2"/>
        <tr r="CH106" s="2"/>
        <tr r="BT418" s="2"/>
        <tr r="CI394" s="2"/>
        <tr r="BG213" s="2"/>
        <tr r="CH94" s="2"/>
        <tr r="CH439" s="2"/>
        <tr r="BI228" s="2"/>
        <tr r="BR123" s="2"/>
        <tr r="BS105" s="2"/>
        <tr r="BY99" s="2"/>
        <tr r="CA299" s="2"/>
        <tr r="BZ129" s="2"/>
        <tr r="CD109" s="2"/>
        <tr r="CD68" s="2"/>
        <tr r="CF223" s="2"/>
        <tr r="BJ147" s="2"/>
        <tr r="BW341" s="2"/>
        <tr r="CC167" s="2"/>
        <tr r="CA276" s="2"/>
        <tr r="CD53" s="2"/>
        <tr r="CD218" s="2"/>
        <tr r="AV73" s="2"/>
        <tr r="BY295" s="2"/>
        <tr r="BZ201" s="2"/>
        <tr r="CC193" s="2"/>
        <tr r="CB145" s="2"/>
        <tr r="CD135" s="2"/>
        <tr r="CD140" s="2"/>
        <tr r="BJ410" s="2"/>
        <tr r="CB250" s="2"/>
        <tr r="CC351" s="2"/>
        <tr r="CC234" s="2"/>
        <tr r="CE138" s="2"/>
        <tr r="BH54" s="2"/>
        <tr r="CA208" s="2"/>
        <tr r="CB91" s="2"/>
        <tr r="CB71" s="2"/>
        <tr r="CC74" s="2"/>
        <tr r="CD60" s="2"/>
        <tr r="CF150" s="2"/>
        <tr r="BJ118" s="2"/>
        <tr r="BZ61" s="2"/>
        <tr r="CB231" s="2"/>
        <tr r="CA262" s="2"/>
        <tr r="CB112" s="2"/>
        <tr r="CC275" s="2"/>
        <tr r="CE285" s="2"/>
        <tr r="BJ23" s="2"/>
        <tr r="BI430" s="2"/>
        <tr r="BI18" s="2"/>
        <tr r="BI55" s="2"/>
        <tr r="AW216" s="2"/>
        <tr r="CH40" s="2"/>
        <tr r="CH278" s="2"/>
        <tr r="AX200" s="2"/>
        <tr r="CI16" s="2"/>
        <tr r="BS343" s="2"/>
        <tr r="AT137" s="2"/>
        <tr r="BJ104" s="2"/>
        <tr r="BG134" s="2"/>
        <tr r="BI258" s="2"/>
        <tr r="BJ343" s="2"/>
        <tr r="BZ302" s="2"/>
        <tr r="CA109" s="2"/>
        <tr r="CA298" s="2"/>
        <tr r="CD103" s="2"/>
        <tr r="CD269" s="2"/>
        <tr r="BJ69" s="2"/>
        <tr r="BZ128" s="2"/>
        <tr r="CC129" s="2"/>
        <tr r="CB272" s="2"/>
        <tr r="CD366" s="2"/>
        <tr r="CD76" s="2"/>
        <tr r="BJ396" s="2"/>
        <tr r="BY57" s="2"/>
        <tr r="BZ373" s="2"/>
        <tr r="BY39" s="2"/>
        <tr r="CB99" s="2"/>
        <tr r="CE414" s="2"/>
        <tr r="CD341" s="2"/>
        <tr r="BI242" s="2"/>
        <tr r="CB322" s="2"/>
        <tr r="CC153" s="2"/>
        <tr r="CC213" s="2"/>
        <tr r="CB11" s="2"/>
        <tr r="BH364" s="2"/>
        <tr r="BW420" s="2"/>
        <tr r="CB187" s="2"/>
        <tr r="BZ26" s="2"/>
        <tr r="CC252" s="2"/>
        <tr r="CD261" s="2"/>
        <tr r="CF312" s="2"/>
        <tr r="BJ456" s="2"/>
        <tr r="BZ342" s="2"/>
        <tr r="CB97" s="2"/>
        <tr r="CB198" s="2"/>
        <tr r="CB147" s="2"/>
        <tr r="CC333" s="2"/>
        <tr r="CF142" s="2"/>
        <tr r="BJ217" s="2"/>
        <tr r="BI9" s="2"/>
        <tr r="BI91" s="2"/>
        <tr r="BI456" s="2"/>
        <tr r="CI23" s="2"/>
        <tr r="BT108" s="2"/>
        <tr r="CI36" s="2"/>
        <tr r="CG56" s="2"/>
        <tr r="CH224" s="2"/>
        <tr r="CI192" s="2"/>
        <tr r="BJ437" s="2"/>
        <tr r="BJ265" s="2"/>
        <tr r="CE94" s="2"/>
        <tr r="CF169" s="2"/>
        <tr r="BJ370" s="2"/>
        <tr r="CA462" s="2"/>
        <tr r="CA211" s="2"/>
        <tr r="CB179" s="2"/>
        <tr r="CC408" s="2"/>
        <tr r="CE410" s="2"/>
        <tr r="BJ290" s="2"/>
        <tr r="BX360" s="2"/>
        <tr r="CA337" s="2"/>
        <tr r="CC214" s="2"/>
        <tr r="BZ357" s="2"/>
        <tr r="CD428" s="2"/>
        <tr r="CD169" s="2"/>
        <tr r="AX276" s="2"/>
        <tr r="CB128" s="2"/>
        <tr r="CA224" s="2"/>
        <tr r="CB282" s="2"/>
        <tr r="CC84" s="2"/>
        <tr r="CE406" s="2"/>
        <tr r="BJ336" s="2"/>
        <tr r="BI96" s="2"/>
        <tr r="BZ376" s="2"/>
        <tr r="CB417" s="2"/>
        <tr r="CB23" s="2"/>
        <tr r="CB236" s="2"/>
        <tr r="CD190" s="2"/>
        <tr r="CF462" s="2"/>
        <tr r="BJ346" s="2"/>
        <tr r="BI114" s="2"/>
        <tr r="BZ399" s="2"/>
        <tr r="CC95" s="2"/>
        <tr r="CE241" s="2"/>
        <tr r="CE175" s="2"/>
        <tr r="BJ374" s="2"/>
        <tr r="BZ107" s="2"/>
        <tr r="CA11" s="2"/>
        <tr r="CA336" s="2"/>
        <tr r="CA108" s="2"/>
        <tr r="CF382" s="2"/>
        <tr r="CF230" s="2"/>
        <tr r="BH303" s="2"/>
        <tr r="BY73" s="2"/>
        <tr r="BY404" s="2"/>
        <tr r="CC192" s="2"/>
        <tr r="CD96" s="2"/>
        <tr r="CE313" s="2"/>
        <tr r="CD451" s="2"/>
        <tr r="BI405" s="2"/>
        <tr r="BJ283" s="2"/>
        <tr r="AV348" s="2"/>
        <tr r="CH431" s="2"/>
        <tr r="CH297" s="2"/>
        <tr r="AW179" s="2"/>
        <tr r="BS49" s="2"/>
        <tr r="BT57" s="2"/>
        <tr r="BR299" s="2"/>
        <tr r="CH375" s="2"/>
        <tr r="BG8" s="2"/>
        <tr r="CI433" s="2"/>
        <tr r="BS252" s="2"/>
        <tr r="BI412" s="2"/>
        <tr r="BJ274" s="2"/>
        <tr r="BY34" s="2"/>
        <tr r="BZ226" s="2"/>
        <tr r="CC265" s="2"/>
        <tr r="CD121" s="2"/>
        <tr r="CE250" s="2"/>
        <tr r="CD251" s="2"/>
        <tr r="BH168" s="2"/>
        <tr r="BJ260" s="2"/>
        <tr r="CB394" s="2"/>
        <tr r="CC40" s="2"/>
        <tr r="CD448" s="2"/>
        <tr r="CF417" s="2"/>
        <tr r="BJ164" s="2"/>
        <tr r="BH393" s="2"/>
        <tr r="BX317" s="2"/>
        <tr r="BZ375" s="2"/>
        <tr r="CC69" s="2"/>
        <tr r="CD359" s="2"/>
        <tr r="CD102" s="2"/>
        <tr r="CF383" s="2"/>
        <tr r="BJ359" s="2"/>
        <tr r="BZ408" s="2"/>
        <tr r="CB455" s="2"/>
        <tr r="CA197" s="2"/>
        <tr r="CC438" s="2"/>
        <tr r="CD329" s="2"/>
        <tr r="CE196" s="2"/>
        <tr r="BG311" s="2"/>
        <tr r="BJ234" s="2"/>
        <tr r="BJ212" s="2"/>
        <tr r="AV28" s="2"/>
        <tr r="BQ443" s="2"/>
        <tr r="BI270" s="2"/>
        <tr r="BJ246" s="2"/>
        <tr r="CH392" s="2"/>
        <tr r="AV243" s="2"/>
        <tr r="CH417" s="2"/>
        <tr r="BI108" s="2"/>
        <tr r="AT283" s="2"/>
        <tr r="BX442" s="2"/>
        <tr r="CC79" s="2"/>
        <tr r="CB454" s="2"/>
        <tr r="CC157" s="2"/>
        <tr r="CE150" s="2"/>
        <tr r="CC381" s="2"/>
        <tr r="BI153" s="2"/>
        <tr r="BR191" s="2"/>
        <tr r="CB375" s="2"/>
        <tr r="CA252" s="2"/>
        <tr r="CC14" s="2"/>
        <tr r="CD336" s="2"/>
        <tr r="CE324" s="2"/>
        <tr r="BI171" s="2"/>
        <tr r="BX244" s="2"/>
        <tr r="CA438" s="2"/>
        <tr r="CB336" s="2"/>
        <tr r="CA294" s="2"/>
        <tr r="CC248" s="2"/>
        <tr r="CD10" s="2"/>
        <tr r="CE165" s="2"/>
        <tr r="CI374" s="2"/>
        <tr r="CA128" s="2"/>
        <tr r="BZ327" s="2"/>
        <tr r="CD316" s="2"/>
        <tr r="CE228" s="2"/>
        <tr r="CD206" s="2"/>
        <tr r="BG195" s="2"/>
        <tr r="BI107" s="2"/>
        <tr r="BZ236" s="2"/>
        <tr r="CB378" s="2"/>
        <tr r="CC400" s="2"/>
        <tr r="CC267" s="2"/>
        <tr r="CE202" s="2"/>
        <tr r="BH310" s="2"/>
        <tr r="BY132" s="2"/>
        <tr r="CA350" s="2"/>
        <tr r="CC25" s="2"/>
        <tr r="CD98" s="2"/>
        <tr r="CE459" s="2"/>
        <tr r="CC301" s="2"/>
        <tr r="BI178" s="2"/>
        <tr r="BR397" s="2"/>
        <tr r="BH315" s="2"/>
        <tr r="BG198" s="2"/>
        <tr r="AW85" s="2"/>
        <tr r="BI375" s="2"/>
        <tr r="AU288" s="2"/>
        <tr r="BT359" s="2"/>
        <tr r="AS266" s="2"/>
        <tr r="CA157" s="2"/>
        <tr r="BW254" s="2"/>
        <tr r="BY250" s="2"/>
        <tr r="BV408" s="2"/>
        <tr r="BX385" s="2"/>
        <tr r="BU257" s="2"/>
        <tr r="BW313" s="2"/>
        <tr r="BV433" s="2"/>
        <tr r="BW182" s="2"/>
        <tr r="BY45" s="2"/>
        <tr r="BY211" s="2"/>
        <tr r="BV162" s="2"/>
        <tr r="BX94" s="2"/>
        <tr r="BX35" s="2"/>
        <tr r="BX133" s="2"/>
        <tr r="BZ339" s="2"/>
        <tr r="BU425" s="2"/>
        <tr r="BV367" s="2"/>
        <tr r="BX137" s="2"/>
        <tr r="BZ202" s="2"/>
        <tr r="BU109" s="2"/>
        <tr r="BW423" s="2"/>
        <tr r="BX221" s="2"/>
        <tr r="BX323" s="2"/>
        <tr r="BY63" s="2"/>
        <tr r="BZ144" s="2"/>
        <tr r="CA281" s="2"/>
        <tr r="CC178" s="2"/>
        <tr r="CD243" s="2"/>
        <tr r="CE279" s="2"/>
        <tr r="BJ380" s="2"/>
        <tr r="CB72" s="2"/>
        <tr r="CC261" s="2"/>
        <tr r="CE189" s="2"/>
        <tr r="CE455" s="2"/>
        <tr r="BX190" s="2"/>
        <tr r="CD445" s="2"/>
        <tr r="CA407" s="2"/>
        <tr r="CE387" s="2"/>
        <tr r="BW400" s="2"/>
        <tr r="BX236" s="2"/>
        <tr r="BV238" s="2"/>
        <tr r="BW56" s="2"/>
        <tr r="BY54" s="2"/>
        <tr r="BX92" s="2"/>
        <tr r="BV230" s="2"/>
        <tr r="BW112" s="2"/>
        <tr r="BX413" s="2"/>
        <tr r="BX373" s="2"/>
        <tr r="BW46" s="2"/>
        <tr r="BV301" s="2"/>
        <tr r="BX364" s="2"/>
        <tr r="BW360" s="2"/>
        <tr r="BU396" s="2"/>
        <tr r="BV429" s="2"/>
        <tr r="BX140" s="2"/>
        <tr r="BW263" s="2"/>
        <tr r="BV342" s="2"/>
        <tr r="BW326" s="2"/>
        <tr r="BX41" s="2"/>
        <tr r="BW422" s="2"/>
        <tr r="BY289" s="2"/>
        <tr r="BU7" s="2"/>
        <tr r="BV199" s="2"/>
        <tr r="BX65" s="2"/>
        <tr r="BZ24" s="2"/>
        <tr r="CA263" s="2"/>
        <tr r="BU278" s="2"/>
        <tr r="BV423" s="2"/>
        <tr r="BX186" s="2"/>
        <tr r="BX91" s="2"/>
        <tr r="BX212" s="2"/>
        <tr r="CA292" s="2"/>
        <tr r="CC344" s="2"/>
        <tr r="CA330" s="2"/>
        <tr r="CE288" s="2"/>
        <tr r="CE217" s="2"/>
        <tr r="BI355" s="2"/>
        <tr r="CB461" s="2"/>
        <tr r="CD224" s="2"/>
        <tr r="CF375" s="2"/>
        <tr r="CA170" s="2"/>
        <tr r="CF428" s="2"/>
        <tr r="CA86" s="2"/>
        <tr r="CE50" s="2"/>
        <tr r="CE457" s="2"/>
        <tr r="BJ111" s="2"/>
        <tr r="CC150" s="2"/>
        <tr r="BZ131" s="2"/>
        <tr r="CD371" s="2"/>
        <tr r="CD89" s="2"/>
        <tr r="CH365" s="2"/>
        <tr r="BY232" s="2"/>
        <tr r="BX11" s="2"/>
        <tr r="CB307" s="2"/>
        <tr r="CD55" s="2"/>
        <tr r="CE65" s="2"/>
        <tr r="CF140" s="2"/>
        <tr r="BJ277" s="2"/>
        <tr r="CA88" s="2"/>
        <tr r="CB234" s="2"/>
        <tr r="CC128" s="2"/>
        <tr r="BY451" s="2"/>
        <tr r="CF301" s="2"/>
        <tr r="CD281" s="2"/>
        <tr r="BJ92" s="2"/>
        <tr r="BZ45" s="2"/>
        <tr r="BW457" s="2"/>
        <tr r="BX299" s="2"/>
        <tr r="CC114" s="2"/>
        <tr r="CC434" s="2"/>
        <tr r="CB291" s="2"/>
        <tr r="CE458" s="2"/>
        <tr r="BI13" s="2"/>
        <tr r="CA459" s="2"/>
        <tr r="BZ288" s="2"/>
        <tr r="CA139" s="2"/>
        <tr r="CF318" s="2"/>
        <tr r="CF102" s="2"/>
        <tr r="BH253" s="2"/>
        <tr r="CA239" s="2"/>
        <tr r="CB402" s="2"/>
        <tr r="CB129" s="2"/>
        <tr r="CC326" s="2"/>
        <tr r="CD145" s="2"/>
        <tr r="CF304" s="2"/>
        <tr r="BJ67" s="2"/>
        <tr r="BI77" s="2"/>
        <tr r="BZ313" s="2"/>
        <tr r="CB118" s="2"/>
        <tr r="CB281" s="2"/>
        <tr r="CE199" s="2"/>
        <tr r="CE334" s="2"/>
        <tr r="BI88" s="2"/>
        <tr r="CI201" s="2"/>
        <tr r="BI220" s="2"/>
        <tr r="BH370" s="2"/>
        <tr r="BG209" s="2"/>
        <tr r="BQ64" s="2"/>
        <tr r="BH76" s="2"/>
        <tr r="BG50" s="2"/>
        <tr r="CI452" s="2"/>
        <tr r="BT183" s="2"/>
        <tr r="CH247" s="2"/>
        <tr r="BX77" s="2"/>
        <tr r="BX354" s="2"/>
        <tr r="CC287" s="2"/>
        <tr r="CA205" s="2"/>
        <tr r="CD117" s="2"/>
        <tr r="CD386" s="2"/>
        <tr r="AV53" s="2"/>
        <tr r="CB400" s="2"/>
        <tr r="CB413" s="2"/>
        <tr r="BZ336" s="2"/>
        <tr r="CE9" s="2"/>
        <tr r="BI407" s="2"/>
        <tr r="CA439" s="2"/>
        <tr r="CB105" s="2"/>
        <tr r="CA183" s="2"/>
        <tr r="CC360" s="2"/>
        <tr r="CD194" s="2"/>
        <tr r="CE293" s="2"/>
        <tr r="CH117" s="2"/>
        <tr r="BZ364" s="2"/>
        <tr r="CB94" s="2"/>
        <tr r="CA388" s="2"/>
        <tr r="CA44" s="2"/>
        <tr r="CA227" s="2"/>
        <tr r="CE124" s="2"/>
        <tr r="CI311" s="2"/>
        <tr r="BJ213" s="2"/>
        <tr r="BI344" s="2"/>
        <tr r="BJ382" s="2"/>
        <tr r="BT102" s="2"/>
        <tr r="CI167" s="2"/>
        <tr r="BS396" s="2"/>
        <tr r="BS345" s="2"/>
        <tr r="AV185" s="2"/>
        <tr r="CH179" s="2"/>
        <tr r="BR16" s="2"/>
        <tr r="BJ391" s="2"/>
        <tr r="BG146" s="2"/>
        <tr r="BJ235" s="2"/>
        <tr r="CA63" s="2"/>
        <tr r="CB13" s="2"/>
        <tr r="CC347" s="2"/>
        <tr r="CD144" s="2"/>
        <tr r="CC269" s="2"/>
        <tr r="CA231" s="2"/>
        <tr r="CA36" s="2"/>
        <tr r="CA226" s="2"/>
        <tr r="CE317" s="2"/>
        <tr r="CE355" s="2"/>
        <tr r="BG412" s="2"/>
        <tr r="BJ252" s="2"/>
        <tr r="BZ108" s="2"/>
        <tr r="CB351" s="2"/>
        <tr r="CA309" s="2"/>
        <tr r="CB214" s="2"/>
        <tr r="CC104" s="2"/>
        <tr r="CE93" s="2"/>
        <tr r="BQ62" s="2"/>
        <tr r="BI70" s="2"/>
        <tr r="BY347" s="2"/>
        <tr r="CB308" s="2"/>
        <tr r="CE383" s="2"/>
        <tr r="CD405" s="2"/>
        <tr r="BI379" s="2"/>
        <tr r="BZ224" s="2"/>
        <tr r="CA105" s="2"/>
        <tr r="CC34" s="2"/>
        <tr r="CD35" s="2"/>
        <tr r="CE13" s="2"/>
        <tr r="CE425" s="2"/>
        <tr r="BI164" s="2"/>
        <tr r="BX117" s="2"/>
        <tr r="CC24" s="2"/>
        <tr r="CC94" s="2"/>
        <tr r="CC191" s="2"/>
        <tr r="CE23" s="2"/>
        <tr r="CD278" s="2"/>
        <tr r="BI82" s="2"/>
        <tr r="AR83" s="2"/>
        <tr r="CH298" s="2"/>
        <tr r="CI328" s="2"/>
        <tr r="AS219" s="2"/>
        <tr r="CH453" s="2"/>
        <tr r="BT320" s="2"/>
        <tr r="CH388" s="2"/>
        <tr r="CI106" s="2"/>
        <tr r="AW254" s="2"/>
        <tr r="BH356" s="2"/>
        <tr r="BH338" s="2"/>
        <tr r="CH430" s="2"/>
        <tr r="AX311" s="2"/>
        <tr r="BW271" s="2"/>
        <tr r="CA96" s="2"/>
        <tr r="CB310" s="2"/>
        <tr r="CC420" s="2"/>
        <tr r="CD370" s="2"/>
        <tr r="CD248" s="2"/>
        <tr r="CI216" s="2"/>
        <tr r="CB143" s="2"/>
        <tr r="CA245" s="2"/>
        <tr r="CA264" s="2"/>
        <tr r="CC262" s="2"/>
        <tr r="CE29" s="2"/>
        <tr r="BS347" s="2"/>
        <tr r="BJ287" s="2"/>
        <tr r="BZ381" s="2"/>
        <tr r="CB192" s="2"/>
        <tr r="CA432" s="2"/>
        <tr r="CB243" s="2"/>
        <tr r="CC21" s="2"/>
        <tr r="CE391" s="2"/>
        <tr r="BJ25" s="2"/>
        <tr r="BI184" s="2"/>
        <tr r="BZ308" s="2"/>
        <tr r="CB263" s="2"/>
        <tr r="CE96" s="2"/>
        <tr r="CE110" s="2"/>
        <tr r="CH307" s="2"/>
        <tr r="BZ177" s="2"/>
        <tr r="CA34" s="2"/>
        <tr r="CC68" s="2"/>
        <tr r="BZ63" s="2"/>
        <tr r="CE374" s="2"/>
        <tr r="CE12" s="2"/>
        <tr r="BH192" s="2"/>
        <tr r="BY303" s="2"/>
        <tr r="CC361" s="2"/>
        <tr r="CC376" s="2"/>
        <tr r="CD167" s="2"/>
        <tr r="CE168" s="2"/>
        <tr r="CD17" s="2"/>
        <tr r="BI187" s="2"/>
        <tr r="BJ424" s="2"/>
        <tr r="CH328" s="2"/>
        <tr r="CI219" s="2"/>
        <tr r="CI265" s="2"/>
        <tr r="BQ111" s="2"/>
        <tr r="CH325" s="2"/>
        <tr r="BT163" s="2"/>
        <tr r="CH394" s="2"/>
        <tr r="CI351" s="2"/>
        <tr r="BH413" s="2"/>
        <tr r="BG287" s="2"/>
        <tr r="BQ53" s="2"/>
        <tr r="CF167" s="2"/>
        <tr r="CF430" s="2"/>
        <tr r="BG168" s="2"/>
        <tr r="BX167" s="2"/>
        <tr r="CB19" s="2"/>
        <tr r="CD424" s="2"/>
        <tr r="CE409" s="2"/>
        <tr r="CF347" s="2"/>
        <tr r="BJ125" s="2"/>
        <tr r="BZ290" s="2"/>
        <tr r="CA85" s="2"/>
        <tr r="CA282" s="2"/>
        <tr r="CC428" s="2"/>
        <tr r="CE92" s="2"/>
        <tr r="CE402" s="2"/>
        <tr r="BI51" s="2"/>
        <tr r="BJ354" s="2"/>
        <tr r="CC105" s="2"/>
        <tr r="CC350" s="2"/>
        <tr r="CD70" s="2"/>
        <tr r="CE287" s="2"/>
        <tr r="CD263" s="2"/>
        <tr r="BI426" s="2"/>
        <tr r="BJ183" s="2"/>
        <tr r="BY336" s="2"/>
        <tr r="BY6" s="2"/>
        <tr r="CC144" s="2"/>
        <tr r="CD287" s="2"/>
        <tr r="CE121" s="2"/>
        <tr r="CD433" s="2"/>
        <tr r="BI21" s="2"/>
        <tr r="BJ34" s="2"/>
        <tr r="CB65" s="2"/>
        <tr r="CC230" s="2"/>
        <tr r="CD49" s="2"/>
        <tr r="CF80" s="2"/>
        <tr r="BJ452" s="2"/>
        <tr r="BI422" s="2"/>
        <tr r="BX114" s="2"/>
        <tr r="BZ276" s="2"/>
        <tr r="CC107" s="2"/>
        <tr r="CC295" s="2"/>
        <tr r="CC124" s="2"/>
        <tr r="CE408" s="2"/>
        <tr r="CH22" s="2"/>
        <tr r="BZ389" s="2"/>
        <tr r="CB166" s="2"/>
        <tr r="CA412" s="2"/>
        <tr r="CB325" s="2"/>
        <tr r="CD175" s="2"/>
        <tr r="CE115" s="2"/>
        <tr r="BI56" s="2"/>
        <tr r="BG10" s="2"/>
        <tr r="BJ369" s="2"/>
        <tr r="BJ51" s="2"/>
        <tr r="BT360" s="2"/>
        <tr r="BR22" s="2"/>
        <tr r="BJ373" s="2"/>
        <tr r="BJ276" s="2"/>
        <tr r="AU397" s="2"/>
        <tr r="AU398" s="2"/>
        <tr r="AW298" s="2"/>
        <tr r="BI195" s="2"/>
        <tr r="AT463" s="2"/>
        <tr r="BJ284" s="2"/>
        <tr r="BW283" s="2"/>
        <tr r="BZ143" s="2"/>
        <tr r="CB424" s="2"/>
        <tr r="CA460" s="2"/>
        <tr r="CC134" s="2"/>
        <tr r="CD73" s="2"/>
        <tr r="CE393" s="2"/>
        <tr r="BI439" s="2"/>
        <tr r="BZ215" s="2"/>
        <tr r="CC210" s="2"/>
        <tr r="CD284" s="2"/>
        <tr r="CE147" s="2"/>
        <tr r="CD300" s="2"/>
        <tr r="BH229" s="2"/>
        <tr r="BI47" s="2"/>
        <tr r="BZ283" s="2"/>
        <tr r="CB57" s="2"/>
        <tr r="CB342" s="2"/>
        <tr r="CA138" s="2"/>
        <tr r="CE73" s="2"/>
        <tr r="BI315" s="2"/>
        <tr r="BY434" s="2"/>
        <tr r="BZ284" s="2"/>
        <tr r="CC374" s="2"/>
        <tr r="CD321" s="2"/>
        <tr r="CE347" s="2"/>
        <tr r="CF325" s="2"/>
        <tr r="BI248" s="2"/>
        <tr r="BH334" s="2"/>
        <tr r="BH421" s="2"/>
        <tr r="AW145" s="2"/>
        <tr r="AO338" s="2"/>
        <tr r="BH27" s="2"/>
        <tr r="BG394" s="2"/>
        <tr r="AV215" s="2"/>
        <tr r="BH79" s="2"/>
        <tr r="CI422" s="2"/>
        <tr r="BG218" s="2"/>
        <tr r="BJ19" s="2"/>
        <tr r="BZ444" s="2"/>
        <tr r="CA451" s="2"/>
        <tr r="CA256" s="2"/>
        <tr r="CA310" s="2"/>
        <tr r="CC366" s="2"/>
        <tr r="CE200" s="2"/>
        <tr r="BT390" s="2"/>
        <tr r="BJ29" s="2"/>
        <tr r="BZ242" s="2"/>
        <tr r="CB447" s="2"/>
        <tr r="CD65" s="2"/>
        <tr r="CE258" s="2"/>
        <tr r="CF69" s="2"/>
        <tr r="BI95" s="2"/>
        <tr r="BX378" s="2"/>
        <tr r="BY387" s="2"/>
        <tr r="BZ263" s="2"/>
        <tr r="CC391" s="2"/>
        <tr r="CD283" s="2"/>
        <tr r="CE155" s="2"/>
        <tr r="CF168" s="2"/>
        <tr r="BI329" s="2"/>
        <tr r="CB346" s="2"/>
        <tr r="CB350" s="2"/>
        <tr r="CC456" s="2"/>
        <tr r="CD388" s="2"/>
        <tr r="CF86" s="2"/>
        <tr r="BJ184" s="2"/>
        <tr r="BY313" s="2"/>
        <tr r="BZ199" s="2"/>
        <tr r="BY178" s="2"/>
        <tr r="CB100" s="2"/>
        <tr r="CE15" s="2"/>
        <tr r="CD182" s="2"/>
        <tr r="BI141" s="2"/>
        <tr r="CA95" s="2"/>
        <tr r="CB241" s="2"/>
        <tr r="CC71" s="2"/>
        <tr r="CC209" s="2"/>
        <tr r="CF45" s="2"/>
        <tr r="CA430" s="2"/>
        <tr r="BJ400" s="2"/>
        <tr r="BI134" s="2"/>
        <tr r="BJ55" s="2"/>
        <tr r="BI103" s="2"/>
        <tr r="BI271" s="2"/>
        <tr r="BH431" s="2"/>
        <tr r="AT294" s="2"/>
        <tr r="BH71" s="2"/>
        <tr r="AT119" s="2"/>
        <tr r="CA307" s="2"/>
        <tr r="BU9" s="2"/>
        <tr r="BU447" s="2"/>
        <tr r="BW404" s="2"/>
        <tr r="BW133" s="2"/>
        <tr r="BX231" s="2"/>
        <tr r="BY359" s="2"/>
        <tr r="BU253" s="2"/>
        <tr r="BW98" s="2"/>
        <tr r="BY304" s="2"/>
        <tr r="CA441" s="2"/>
        <tr r="BZ72" s="2"/>
        <tr r="CA428" s="2"/>
        <tr r="CA217" s="2"/>
        <tr r="CC404" s="2"/>
        <tr r="CD151" s="2"/>
        <tr r="CF404" s="2"/>
        <tr r="BJ328" s="2"/>
        <tr r="CA297" s="2"/>
        <tr r="CB422" s="2"/>
        <tr r="CC253" s="2"/>
        <tr r="BJ275" s="2"/>
        <tr r="CB160" s="2"/>
        <tr r="BJ306" s="2"/>
        <tr r="BX333" s="2"/>
        <tr r="BX31" s="2"/>
        <tr r="BZ100" s="2"/>
        <tr r="BU237" s="2"/>
        <tr r="BW406" s="2"/>
        <tr r="BX44" s="2"/>
        <tr r="BX88" s="2"/>
        <tr r="BU285" s="2"/>
        <tr r="BX414" s="2"/>
        <tr r="BX36" s="2"/>
        <tr r="BX453" s="2"/>
        <tr r="CA290" s="2"/>
        <tr r="BW356" s="2"/>
        <tr r="BX404" s="2"/>
        <tr r="BX19" s="2"/>
        <tr r="CA334" s="2"/>
        <tr r="BV261" s="2"/>
        <tr r="BV347" s="2"/>
        <tr r="BX162" s="2"/>
        <tr r="BW352" s="2"/>
        <tr r="BU187" s="2"/>
        <tr r="BW344" s="2"/>
        <tr r="BU163" s="2"/>
        <tr r="BY124" s="2"/>
        <tr r="BV314" s="2"/>
        <tr r="BW92" s="2"/>
        <tr r="BW454" s="2"/>
        <tr r="BZ398" s="2"/>
        <tr r="BV196" s="2"/>
        <tr r="BW463" s="2"/>
        <tr r="BX169" s="2"/>
        <tr r="BW391" s="2"/>
        <tr r="BY373" s="2"/>
        <tr r="BZ28" s="2"/>
        <tr r="BV384" s="2"/>
        <tr r="CB50" s="2"/>
        <tr r="CC441" s="2"/>
        <tr r="CC46" s="2"/>
        <tr r="CD430" s="2"/>
        <tr r="CI95" s="2"/>
        <tr r="CA250" s="2"/>
        <tr r="CC458" s="2"/>
        <tr r="CE151" s="2"/>
        <tr r="CE173" s="2"/>
        <tr r="BX16" s="2"/>
        <tr r="CC451" s="2"/>
        <tr r="CB122" s="2"/>
        <tr r="BV116" s="2"/>
        <tr r="BZ113" s="2"/>
        <tr r="BW167" s="2"/>
        <tr r="BV30" s="2"/>
        <tr r="BX313" s="2"/>
        <tr r="BW427" s="2"/>
        <tr r="BW159" s="2"/>
        <tr r="BX361" s="2"/>
        <tr r="BW73" s="2"/>
        <tr r="BY394" s="2"/>
        <tr r="BV131" s="2"/>
        <tr r="BX168" s="2"/>
        <tr r="BV447" s="2"/>
        <tr r="BY206" s="2"/>
        <tr r="BV349" s="2"/>
        <tr r="BU102" s="2"/>
        <tr r="BX166" s="2"/>
        <tr r="BZ332" s="2"/>
        <tr r="BW198" s="2"/>
        <tr r="BU421" s="2"/>
        <tr r="BU368" s="2"/>
        <tr r="BW303" s="2"/>
        <tr r="BX175" s="2"/>
        <tr r="BX210" s="2"/>
        <tr r="BV61" s="2"/>
        <tr r="BV144" s="2"/>
        <tr r="BW456" s="2"/>
        <tr r="BX201" s="2"/>
        <tr r="BX370" s="2"/>
        <tr r="BZ132" s="2"/>
        <tr r="BU47" s="2"/>
        <tr r="BW108" s="2"/>
        <tr r="BY421" s="2"/>
        <tr r="BY464" s="2"/>
        <tr r="BZ58" s="2"/>
        <tr r="CA190" s="2"/>
        <tr r="CA115" s="2"/>
        <tr r="CA166" s="2"/>
        <tr r="CD116" s="2"/>
        <tr r="CF60" s="2"/>
        <tr r="BI204" s="2"/>
        <tr r="CA117" s="2"/>
        <tr r="CC289" s="2"/>
        <tr r="CD114" s="2"/>
        <tr r="BI175" s="2"/>
        <tr r="CC137" s="2"/>
        <tr r="BH31" s="2"/>
        <tr r="CC418" s="2"/>
        <tr r="CD305" s="2"/>
        <tr r="CF97" s="2"/>
        <tr r="BJ195" s="2"/>
        <tr r="BI461" s="2"/>
        <tr r="CA178" s="2"/>
        <tr r="CC196" s="2"/>
        <tr r="CE28" s="2"/>
        <tr r="CE338" s="2"/>
        <tr r="BI330" s="2"/>
        <tr r="BJ154" s="2"/>
        <tr r="BZ141" s="2"/>
        <tr r="CA431" s="2"/>
        <tr r="CB18" s="2"/>
        <tr r="CB156" s="2"/>
        <tr r="CF227" s="2"/>
        <tr r="CF458" s="2"/>
        <tr r="BT284" s="2"/>
        <tr r="BZ31" s="2"/>
        <tr r="CA173" s="2"/>
        <tr r="CA348" s="2"/>
        <tr r="CD295" s="2"/>
        <tr r="CD333" s="2"/>
        <tr r="BJ205" s="2"/>
        <tr r="BY35" s="2"/>
        <tr r="BZ121" s="2"/>
        <tr r="CA455" s="2"/>
        <tr r="CB56" s="2"/>
        <tr r="CE7" s="2"/>
        <tr r="CE102" s="2"/>
        <tr r="BI23" s="2"/>
        <tr r="BZ346" s="2"/>
        <tr r="CC43" s="2"/>
        <tr r="CC405" s="2"/>
        <tr r="CC324" s="2"/>
        <tr r="CE342" s="2"/>
        <tr r="AV14" s="2"/>
        <tr r="BY242" s="2"/>
        <tr r="BZ170" s="2"/>
        <tr r="CC393" s="2"/>
        <tr r="CD249" s="2"/>
        <tr r="CE378" s="2"/>
        <tr r="CD51" s="2"/>
        <tr r="BH305" s="2"/>
        <tr r="BJ149" s="2"/>
        <tr r="CA283" s="2"/>
        <tr r="CC447" s="2"/>
        <tr r="CA436" s="2"/>
        <tr r="CD108" s="2"/>
        <tr r="CD155" s="2"/>
        <tr r="CH133" s="2"/>
        <tr r="BJ190" s="2"/>
        <tr r="BS248" s="2"/>
        <tr r="BG163" s="2"/>
        <tr r="CH407" s="2"/>
        <tr r="BT35" s="2"/>
        <tr r="BG100" s="2"/>
        <tr r="BT264" s="2"/>
        <tr r="CI464" s="2"/>
        <tr r="BI306" s="2"/>
        <tr r="BR382" s="2"/>
        <tr r="BI276" s="2"/>
        <tr r="BJ251" s="2"/>
        <tr r="BZ59" s="2"/>
        <tr r="CA391" s="2"/>
        <tr r="CA100" s="2"/>
        <tr r="CA58" s="2"/>
        <tr r="CE381" s="2"/>
        <tr r="CE300" s="2"/>
        <tr r="CI110" s="2"/>
        <tr r="BJ316" s="2"/>
        <tr r="CC257" s="2"/>
        <tr r="CB329" s="2"/>
        <tr r="CD319" s="2"/>
        <tr r="CD204" s="2"/>
        <tr r="BJ156" s="2"/>
        <tr r="BY44" s="2"/>
        <tr r="CA142" s="2"/>
        <tr r="CC120" s="2"/>
        <tr r="CD34" s="2"/>
        <tr r="CE323" s="2"/>
        <tr r="CC426" s="2"/>
        <tr r="BI10" s="2"/>
        <tr r="BX441" s="2"/>
        <tr r="CC375" s="2"/>
        <tr r="CB405" s="2"/>
        <tr r="CC268" s="2"/>
        <tr r="CD312" s="2"/>
        <tr r="CC77" s="2"/>
        <tr r="BI408" s="2"/>
        <tr r="CH192" s="2"/>
        <tr r="CI182" s="2"/>
        <tr r="BG91" s="2"/>
        <tr r="BT339" s="2"/>
        <tr r="CI427" s="2"/>
        <tr r="CI274" s="2"/>
        <tr r="CH43" s="2"/>
        <tr r="CI143" s="2"/>
        <tr r="CH267" s="2"/>
        <tr r="BH233" s="2"/>
        <tr r="BI12" s="2"/>
        <tr r="CI449" s="2"/>
        <tr r="BZ422" s="2"/>
        <tr r="CA146" s="2"/>
        <tr r="CA47" s="2"/>
        <tr r="CC57" s="2"/>
        <tr r="CE178" s="2"/>
        <tr r="CE128" s="2"/>
        <tr r="BJ327" s="2"/>
        <tr r="BJ247" s="2"/>
        <tr r="CC254" s="2"/>
        <tr r="CB149" s="2"/>
        <tr r="CC355" s="2"/>
        <tr r="CD270" s="2"/>
        <tr r="CC123" s="2"/>
        <tr r="BI64" s="2"/>
        <tr r="CI99" s="2"/>
        <tr r="BX139" s="2"/>
        <tr r="CC223" s="2"/>
        <tr r="CB383" s="2"/>
        <tr r="CC285" s="2"/>
        <tr r="CE302" s="2"/>
        <tr r="CC176" s="2"/>
        <tr r="BI321" s="2"/>
        <tr r="AU430" s="2"/>
        <tr r="CB62" s="2"/>
        <tr r="CB82" s="2"/>
        <tr r="CC125" s="2"/>
        <tr r="CF14" s="2"/>
        <tr r="BJ89" s="2"/>
        <tr r="BI352" s="2"/>
        <tr r="CA9" s="2"/>
        <tr r="CB323" s="2"/>
        <tr r="CC241" s="2"/>
        <tr r="CB410" s="2"/>
        <tr r="CF127" s="2"/>
        <tr r="CD293" s="2"/>
        <tr r="BI110" s="2"/>
        <tr r="BZ83" s="2"/>
        <tr r="CA300" s="2"/>
        <tr r="CA409" s="2"/>
        <tr r="CB120" s="2"/>
        <tr r="CC83" s="2"/>
        <tr r="CE153" s="2"/>
        <tr r="BQ288" s="2"/>
        <tr r="BI100" s="2"/>
        <tr r="BJ47" s="2"/>
        <tr r="BJ137" s="2"/>
        <tr r="AX267" s="2"/>
        <tr r="AS47" s="2"/>
        <tr r="AX454" s="2"/>
        <tr r="BJ50" s="2"/>
        <tr r="CH311" s="2"/>
        <tr r="BS118" s="2"/>
        <tr r="CI326" s="2"/>
        <tr r="BI464" s="2"/>
        <tr r="BR319" s="2"/>
        <tr r="BJ203" s="2"/>
        <tr r="BZ17" s="2"/>
        <tr r="CA219" s="2"/>
        <tr r="CA385" s="2"/>
        <tr r="CC130" s="2"/>
        <tr r="CE11" s="2"/>
        <tr r="CE273" s="2"/>
        <tr r="BJ414" s="2"/>
        <tr r="BJ241" s="2"/>
        <tr r="CC143" s="2"/>
        <tr r="CB223" s="2"/>
        <tr r="CC221" s="2"/>
        <tr r="CE214" s="2"/>
        <tr r="CC255" s="2"/>
        <tr r="BI241" s="2"/>
        <tr r="AX406" s="2"/>
        <tr r="BY270" s="2"/>
        <tr r="CC169" s="2"/>
        <tr r="CC414" s="2"/>
        <tr r="CD134" s="2"/>
        <tr r="CE376" s="2"/>
        <tr r="CD432" s="2"/>
        <tr r="BI243" s="2"/>
        <tr r="BJ24" s="2"/>
        <tr r="CB127" s="2"/>
        <tr r="CB45" s="2"/>
        <tr r="CD406" s="2"/>
        <tr r="CF215" s="2"/>
        <tr r="BJ307" s="2"/>
        <tr r="BI202" s="2"/>
        <tr r="BW164" s="2"/>
        <tr r="BY384" s="2"/>
        <tr r="CC258" s="2"/>
        <tr r="CC155" s="2"/>
        <tr r="CC207" s="2"/>
        <tr r="CE123" s="2"/>
        <tr r="BH187" s="2"/>
        <tr r="BZ116" s="2"/>
        <tr r="CA214" s="2"/>
        <tr r="CA314" s="2"/>
        <tr r="CB211" s="2"/>
        <tr r="CC445" s="2"/>
        <tr r="CE282" s="2"/>
        <tr r="BJ48" s="2"/>
        <tr r="BH406" s="2"/>
        <tr r="BJ208" s="2"/>
        <tr r="BJ364" s="2"/>
        <tr r="CH198" s="2"/>
        <tr r="BT429" s="2"/>
        <tr r="AS179" s="2"/>
        <tr r="BJ115" s="2"/>
        <tr r="BT34" s="2"/>
        <tr r="BR139" s="2"/>
        <tr r="CH335" s="2"/>
        <tr r="BI347" s="2"/>
        <tr r="AU312" s="2"/>
        <tr r="CC149" s="2"/>
        <tr r="CF238" s="2"/>
        <tr r="BT426" s="2"/>
        <tr r="CA271" s="2"/>
        <tr r="CB450" s="2"/>
        <tr r="CB28" s="2"/>
        <tr r="CF465" s="2"/>
        <tr r="CF346" s="2"/>
        <tr r="CH361" s="2"/>
        <tr r="BV88" s="2"/>
        <tr r="CB262" s="2"/>
        <tr r="CB227" s="2"/>
        <tr r="CC346" s="2"/>
        <tr r="CD244" s="2"/>
        <tr r="CA333" s="2"/>
        <tr r="BI38" s="2"/>
        <tr r="BG54" s="2"/>
        <tr r="CA221" s="2"/>
        <tr r="CA396" s="2"/>
        <tr r="CB298" s="2"/>
        <tr r="CC45" s="2"/>
        <tr r="CE26" s="2"/>
        <tr r="AV118" s="2"/>
        <tr r="BX392" s="2"/>
        <tr r="BZ197" s="2"/>
        <tr r="CA360" s="2"/>
        <tr r="CA43" s="2"/>
        <tr r="CB268" s="2"/>
        <tr r="CD422" s="2"/>
        <tr r="CE332" s="2"/>
        <tr r="BJ173" s="2"/>
        <tr r="BZ347" s="2"/>
        <tr r="CC329" s="2"/>
        <tr r="CD185" s="2"/>
        <tr r="CE314" s="2"/>
        <tr r="CD292" s="2"/>
        <tr r="BH49" s="2"/>
        <tr r="BJ324" s="2"/>
        <tr r="BZ323" s="2"/>
        <tr r="CB103" s="2"/>
        <tr r="CB83" s="2"/>
        <tr r="CE280" s="2"/>
        <tr r="CE335" s="2"/>
        <tr r="BI345" s="2"/>
        <tr r="BY225" s="2"/>
        <tr r="BZ150" s="2"/>
        <tr r="CB237" s="2"/>
        <tr r="CD104" s="2"/>
        <tr r="CE449" s="2"/>
        <tr r="CF308" s="2"/>
        <tr r="BI46" s="2"/>
        <tr r="BI404" s="2"/>
        <tr r="BI212" s="2"/>
        <tr r="BH241" s="2"/>
        <tr r="AU34" s="2"/>
        <tr r="AS390" s="2"/>
        <tr r="BH169" s="2"/>
        <tr r="BG31" s="2"/>
        <tr r="AV420" s="2"/>
        <tr r="BH38" s="2"/>
        <tr r="CI74" s="2"/>
        <tr r="BG447" s="2"/>
        <tr r="CF396" s="2"/>
        <tr r="BJ365" s="2"/>
        <tr r="BW446" s="2"/>
        <tr r="BY146" s="2"/>
        <tr r="BZ379" s="2"/>
        <tr r="CC54" s="2"/>
        <tr r="CD129" s="2"/>
        <tr r="CE322" s="2"/>
        <tr r="CF133" s="2"/>
        <tr r="BI183" s="2"/>
        <tr r="CB41" s="2"/>
        <tr r="CA414" s="2"/>
        <tr r="CC64" s="2"/>
        <tr r="CD106" s="2"/>
        <tr r="CE229" s="2"/>
        <tr r="CH313" s="2"/>
        <tr r="BY133" s="2"/>
        <tr r="BZ163" s="2"/>
        <tr r="CC321" s="2"/>
        <tr r="CB186" s="2"/>
        <tr r="CD288" s="2"/>
        <tr r="CD276" s="2"/>
        <tr r="BJ45" s="2"/>
        <tr r="CA62" s="2"/>
        <tr r="CB16" s="2"/>
        <tr r="CB175" s="2"/>
        <tr r="CC168" s="2"/>
        <tr r="CF300" s="2"/>
        <tr r="CF421" s="2"/>
        <tr r="BS239" s="2"/>
        <tr r="BJ197" s="2"/>
        <tr r="BR381" s="2"/>
        <tr r="BI54" s="2"/>
        <tr r="BI295" s="2"/>
        <tr r="BH28" s="2"/>
        <tr r="BI167" s="2"/>
        <tr r="BH30" s="2"/>
        <tr r="BG243" s="2"/>
        <tr r="BR306" s="2"/>
        <tr r="CH143" s="2"/>
        <tr r="BX300" s="2"/>
        <tr r="CB61" s="2"/>
        <tr r="CA381" s="2"/>
        <tr r="CC165" s="2"/>
        <tr r="CE222" s="2"/>
        <tr r="CF297" s="2"/>
        <tr r="BJ10" s="2"/>
        <tr r="BZ159" s="2"/>
        <tr r="CB7" s="2"/>
        <tr r="CB133" s="2"/>
        <tr r="CC142" s="2"/>
        <tr r="CF418" s="2"/>
        <tr r="CF85" s="2"/>
        <tr r="AV426" s="2"/>
        <tr r="BZ348" s="2"/>
        <tr r="CA255" s="2"/>
        <tr r="CB49" s="2"/>
        <tr r="CC390" s="2"/>
        <tr r="CC80" s="2"/>
        <tr r="CF12" s="2"/>
        <tr r="AF343" s="2"/>
        <tr r="AO465" s="2"/>
        <tr r="CA25" s="2"/>
        <tr r="CC300" s="2"/>
        <tr r="CD348" s="2"/>
        <tr r="CE388" s="2"/>
        <tr r="CD447" s="2"/>
        <tr r="BI36" s="2"/>
        <tr r="BZ222" s="2"/>
        <tr r="CB33" s="2"/>
        <tr r="CB126" s="2"/>
        <tr r="CB258" s="2"/>
        <tr r="CC237" s="2"/>
        <tr r="CF78" s="2"/>
        <tr r="BJ153" s="2"/>
        <tr r="BI440" s="2"/>
        <tr r="BY220" s="2"/>
        <tr r="CA220" s="2"/>
        <tr r="CA49" s="2"/>
        <tr r="CD429" s="2"/>
        <tr r="CD77" s="2"/>
        <tr r="BJ180" s="2"/>
        <tr r="BI113" s="2"/>
        <tr r="BH136" s="2"/>
        <tr r="BG327" s="2"/>
        <tr r="AW362" s="2"/>
        <tr r="BH123" s="2"/>
        <tr r="BH86" s="2"/>
        <tr r="CB345" s="2"/>
        <tr r="BU328" s="2"/>
        <tr r="BV412" s="2"/>
        <tr r="BX182" s="2"/>
        <tr r="BW140" s="2"/>
        <tr r="BZ427" s="2"/>
        <tr r="BU15" s="2"/>
        <tr r="BV304" s="2"/>
        <tr r="BY455" s="2"/>
        <tr r="BY456" s="2"/>
        <tr r="CC233" s="2"/>
        <tr r="BV140" s="2"/>
        <tr r="BU452" s="2"/>
        <tr r="BV372" s="2"/>
        <tr r="BY269" s="2"/>
        <tr r="CA249" s="2"/>
        <tr r="CB180" s="2"/>
        <tr r="CB452" s="2"/>
        <tr r="CC177" s="2"/>
        <tr r="CE69" s="2"/>
        <tr r="CF388" s="2"/>
        <tr r="BI286" s="2"/>
        <tr r="CB326" s="2"/>
        <tr r="CD258" s="2"/>
        <tr r="CC90" s="2"/>
        <tr r="BI74" s="2"/>
        <tr r="CB444" s="2"/>
        <tr r="BT208" s="2"/>
        <tr r="CE367" s="2"/>
        <tr r="BY368" s="2"/>
        <tr r="CA402" s="2"/>
        <tr r="BW70" s="2"/>
        <tr r="BX344" s="2"/>
        <tr r="BV236" s="2"/>
        <tr r="BY296" s="2"/>
        <tr r="BU156" s="2"/>
        <tr r="BW320" s="2"/>
        <tr r="BV256" s="2"/>
        <tr r="BZ230" s="2"/>
        <tr r="BW86" s="2"/>
        <tr r="BY419" s="2"/>
        <tr r="BY59" s="2"/>
        <tr r="BV195" s="2"/>
        <tr r="BX110" s="2"/>
        <tr r="BY333" s="2"/>
        <tr r="BX379" s="2"/>
        <tr r="BV311" s="2"/>
        <tr r="BU364" s="2"/>
        <tr r="BV455" s="2"/>
        <tr r="BX107" s="2"/>
        <tr r="BW154" s="2"/>
        <tr r="BU434" s="2"/>
        <tr r="BV334" s="2"/>
        <tr r="BU427" s="2"/>
        <tr r="BW30" s="2"/>
        <tr r="BX199" s="2"/>
        <tr r="BZ184" s="2"/>
        <tr r="BV110" s="2"/>
        <tr r="BW431" s="2"/>
        <tr r="BX184" s="2"/>
        <tr r="BX411" s="2"/>
        <tr r="BY402" s="2"/>
        <tr r="BZ16" s="2"/>
        <tr r="CA246" s="2"/>
        <tr r="CA327" s="2"/>
        <tr r="CE263" s="2"/>
        <tr r="CF52" s="2"/>
        <tr r="BJ61" s="2"/>
        <tr r="CA366" s="2"/>
        <tr r="CA423" s="2"/>
        <tr r="CD226" s="2"/>
        <tr r="CF437" s="2"/>
        <tr r="CC190" s="2"/>
        <tr r="CC316" s="2"/>
        <tr r="CA372" s="2"/>
        <tr r="BV299" s="2"/>
        <tr r="BV431" s="2"/>
        <tr r="CA277" s="2"/>
        <tr r="BV363" s="2"/>
        <tr r="BU222" s="2"/>
        <tr r="BW227" s="2"/>
        <tr r="BY297" s="2"/>
        <tr r="BX292" s="2"/>
        <tr r="BV302" s="2"/>
        <tr r="BW120" s="2"/>
        <tr r="BY118" s="2"/>
        <tr r="BX61" s="2"/>
        <tr r="BU300" s="2"/>
        <tr r="BV309" s="2"/>
        <tr r="BX52" s="2"/>
        <tr r="BV170" s="2"/>
        <tr r="BU61" s="2"/>
        <tr r="BW385" s="2"/>
        <tr r="BY112" s="2"/>
        <tr r="CA200" s="2"/>
        <tr r="BU114" s="2"/>
        <tr r="BW398" s="2"/>
        <tr r="BU60" s="2"/>
        <tr r="BX280" s="2"/>
        <tr r="BU426" s="2"/>
        <tr r="BU345" s="2"/>
        <tr r="BV37" s="2"/>
        <tr r="BY209" s="2"/>
        <tr r="BY154" s="2"/>
        <tr r="BW343" s="2"/>
        <tr r="BW16" s="2"/>
        <tr r="BW307" s="2"/>
        <tr r="BZ77" s="2"/>
        <tr r="BW36" s="2"/>
        <tr r="CC62" s="2"/>
        <tr r="CB300" s="2"/>
        <tr r="CC67" s="2"/>
        <tr r="CC235" s="2"/>
        <tr r="CE63" s="2"/>
        <tr r="BS226" s="2"/>
        <tr r="CC73" s="2"/>
        <tr r="CA398" s="2"/>
        <tr r="CD119" s="2"/>
        <tr r="BJ256" s="2"/>
        <tr r="CD415" s="2"/>
        <tr r="BJ386" s="2"/>
        <tr r="CD75" s="2"/>
        <tr r="CE331" s="2"/>
        <tr r="CD379" s="2"/>
        <tr r="BH402" s="2"/>
        <tr r="BJ198" s="2"/>
        <tr r="CB75" s="2"/>
        <tr r="CC282" s="2"/>
        <tr r="CD180" s="2"/>
        <tr r="CA112" s="2"/>
        <tr r="BJ439" s="2"/>
        <tr r="BG27" s="2"/>
        <tr r="BY376" s="2"/>
        <tr r="CA289" s="2"/>
        <tr r="CD174" s="2"/>
        <tr r="CD412" s="2"/>
        <tr r="CD241" s="2"/>
        <tr r="CF266" s="2"/>
        <tr r="BJ200" s="2"/>
        <tr r="CA160" s="2"/>
        <tr r="CB438" s="2"/>
        <tr r="CC52" s="2"/>
        <tr r="CD315" s="2"/>
        <tr r="CD63" s="2"/>
        <tr r="CH424" s="2"/>
        <tr r="BX417" s="2"/>
        <tr r="CA465" s="2"/>
        <tr r="CC342" s="2"/>
        <tr r="CA159" s="2"/>
        <tr r="CD267" s="2"/>
        <tr r="CD345" s="2"/>
        <tr r="BT235" s="2"/>
        <tr r="CB15" s="2"/>
        <tr r="CB435" s="2"/>
        <tr r="CE216" s="2"/>
        <tr r="CE231" s="2"/>
        <tr r="BI257" s="2"/>
        <tr r="BZ160" s="2"/>
        <tr r="CB255" s="2"/>
        <tr r="CA133" s="2"/>
        <tr r="CC334" s="2"/>
        <tr r="CD233" s="2"/>
        <tr r="CE132" s="2"/>
        <tr r="BH362" s="2"/>
        <tr r="BZ412" s="2"/>
        <tr r="CA405" s="2"/>
        <tr r="CA27" s="2"/>
        <tr r="BZ174" s="2"/>
        <tr r="CE61" s="2"/>
        <tr r="CE43" s="2"/>
        <tr r="BH451" s="2"/>
        <tr r="BJ219" s="2"/>
        <tr r="BI406" s="2"/>
        <tr r="BJ332" s="2"/>
        <tr r="CI229" s="2"/>
        <tr r="AU382" s="2"/>
        <tr r="CH10" s="2"/>
        <tr r="AX238" s="2"/>
        <tr r="BT64" s="2"/>
        <tr r="CI344" s="2"/>
        <tr r="AW142" s="2"/>
        <tr r="BJ259" s="2"/>
        <tr r="BG337" s="2"/>
        <tr r="BI126" s="2"/>
        <tr r="BX248" s="2"/>
        <tr r="CC318" s="2"/>
        <tr r="CB213" s="2"/>
        <tr r="CC212" s="2"/>
        <tr r="CD382" s="2"/>
        <tr r="CC331" s="2"/>
        <tr r="BI152" s="2"/>
        <tr r="BT421" s="2"/>
        <tr r="CA373" s="2"/>
        <tr r="CB256" s="2"/>
        <tr r="CC244" s="2"/>
        <tr r="CE157" s="2"/>
        <tr r="AU326" s="2"/>
        <tr r="BI158" s="2"/>
        <tr r="CA15" s="2"/>
        <tr r="CB177" s="2"/>
        <tr r="CC312" s="2"/>
        <tr r="CC97" s="2"/>
        <tr r="CF356" s="2"/>
        <tr r="AE385" s="2"/>
        <tr r="BJ174" s="2"/>
        <tr r="BZ91" s="2"/>
        <tr r="CA452" s="2"/>
        <tr r="CA135" s="2"/>
        <tr r="CA60" s="2"/>
        <tr r="CB416" s="2"/>
        <tr r="CE8" s="2"/>
        <tr r="CH402" s="2"/>
        <tr r="BJ321" s="2"/>
        <tr r="AX229" s="2"/>
        <tr r="BJ368" s="2"/>
        <tr r="BQ117" s="2"/>
        <tr r="BT91" s="2"/>
        <tr r="AR164" s="2"/>
        <tr r="BJ201" s="2"/>
        <tr r="CI414" s="2"/>
        <tr r="CH261" s="2"/>
        <tr r="BI182" s="2"/>
        <tr r="BS19" s="2"/>
        <tr r="CA136" s="2"/>
        <tr r="CB27" s="2"/>
        <tr r="CB385" s="2"/>
        <tr r="CC119" s="2"/>
        <tr r="CD210" s="2"/>
        <tr r="CF225" s="2"/>
        <tr r="BJ459" s="2"/>
        <tr r="BH119" s="2"/>
        <tr r="CA362" s="2"/>
        <tr r="CA78" s="2"/>
        <tr r="CA258" s="2"/>
        <tr r="CF118" s="2"/>
        <tr r="CE119" s="2"/>
        <tr r="CI96" s="2"/>
        <tr r="AR228" s="2"/>
        <tr r="BZ130" s="2"/>
        <tr r="CA76" s="2"/>
        <tr r="CA153" s="2"/>
        <tr r="CB238" s="2"/>
        <tr r="CC10" s="2"/>
        <tr r="CE328" s="2"/>
        <tr r="BT49" s="2"/>
        <tr r="BI143" s="2"/>
        <tr r="CC271" s="2"/>
        <tr r="CD214" s="2"/>
        <tr r="CE40" s="2"/>
        <tr r="CD112" s="2"/>
        <tr r="BI411" s="2"/>
        <tr r="BJ88" s="2"/>
        <tr r="BZ223" s="2"/>
        <tr r="CA365" s="2"/>
        <tr r="CA189" s="2"/>
        <tr r="CE70" s="2"/>
        <tr r="CD302" s="2"/>
        <tr r="BJ318" s="2"/>
        <tr r="BX309" s="2"/>
        <tr r="CB381" s="2"/>
        <tr r="CB40" s="2"/>
        <tr r="CC231" s="2"/>
        <tr r="CE95" s="2"/>
        <tr r="CF116" s="2"/>
        <tr r="BJ11" s="2"/>
        <tr r="BJ145" s="2"/>
        <tr r="BI97" s="2"/>
        <tr r="BI43" s="2"/>
        <tr r="BS447" s="2"/>
        <tr r="AU322" s="2"/>
        <tr r="BH46" s="2"/>
        <tr r="BI389" s="2"/>
        <tr r="BQ317" s="2"/>
        <tr r="BI60" s="2"/>
        <tr r="AU282" s="2"/>
        <tr r="BH140" s="2"/>
        <tr r="CF217" s="2"/>
        <tr r="CA377" s="2"/>
        <tr r="CB396" s="2"/>
        <tr r="CB130" s="2"/>
        <tr r="CC377" s="2"/>
        <tr r="CD387" s="2"/>
        <tr r="CF50" s="2"/>
        <tr r="BJ117" s="2"/>
        <tr r="BH61" s="2"/>
        <tr r="CA12" s="2"/>
        <tr r="CA65" s="2"/>
        <tr r="CA312" s="2"/>
        <tr r="CC17" s="2"/>
        <tr r="CE264" s="2"/>
        <tr r="AW170" s="2"/>
        <tr r="BJ335" s="2"/>
        <tr r="BZ435" s="2"/>
        <tr r="CA285" s="2"/>
        <tr r="CA66" s="2"/>
        <tr r="CB403" s="2"/>
        <tr r="CC141" s="2"/>
        <tr r="CE90" s="2"/>
        <tr r="AU100" s="2"/>
        <tr r="BY128" s="2"/>
        <tr r="CC416" s="2"/>
        <tr r="CD264" s="2"/>
        <tr r="CE185" s="2"/>
        <tr r="CD314" s="2"/>
        <tr r="BI149" s="2"/>
        <tr r="BJ98" s="2"/>
        <tr r="BZ249" s="2"/>
        <tr r="CB54" s="2"/>
        <tr r="CB137" s="2"/>
        <tr r="CE135" s="2"/>
        <tr r="CE230" s="2"/>
        <tr r="BI199" s="2"/>
        <tr r="BY315" s="2"/>
        <tr r="CC70" s="2"/>
        <tr r="CB386" s="2"/>
        <tr r="CD191" s="2"/>
        <tr r="CE240" s="2"/>
        <tr r="CF442" s="2"/>
        <tr r="BJ412" s="2"/>
        <tr r="BI30" s="2"/>
        <tr r="BI282" s="2"/>
        <tr r="BI261" s="2"/>
        <tr r="BQ83" s="2"/>
        <tr r="BT27" s="2"/>
        <tr r="BH215" s="2"/>
        <tr r="BH82" s="2"/>
        <tr r="AU150" s="2"/>
        <tr r="BI53" s="2"/>
        <tr r="CI283" s="2"/>
        <tr r="BH69" s="2"/>
        <tr r="CE41" s="2"/>
        <tr r="CE56" s="2"/>
        <tr r="BI106" s="2"/>
        <tr r="CA201" s="2"/>
        <tr r="CD110" s="2"/>
        <tr r="CD235" s="2"/>
        <tr r="CD161" s="2"/>
        <tr r="CF154" s="2"/>
        <tr r="BJ136" s="2"/>
        <tr r="BZ448" s="2"/>
        <tr r="CA353" s="2"/>
        <tr r="BZ34" s="2"/>
        <tr r="CD452" s="2"/>
        <tr r="CE197" s="2"/>
        <tr r="CD416" s="2"/>
        <tr r="CI202" s="2"/>
        <tr r="BH172" s="2"/>
        <tr r="CB151" s="2"/>
        <tr r="CB409" s="2"/>
        <tr r="CD78" s="2"/>
        <tr r="CE448" s="2"/>
        <tr r="CF186" s="2"/>
        <tr r="BJ356" s="2"/>
        <tr r="BV286" s="2"/>
        <tr r="BY235" s="2"/>
        <tr r="BY256" s="2"/>
        <tr r="CB172" s="2"/>
        <tr r="CD311" s="2"/>
        <tr r="CE193" s="2"/>
        <tr r="CF75" s="2"/>
        <tr r="BJ453" s="2"/>
        <tr r="CB79" s="2"/>
        <tr r="CA69" s="2"/>
        <tr r="CC238" s="2"/>
        <tr r="CD153" s="2"/>
        <tr r="CE68" s="2"/>
        <tr r="BH128" s="2"/>
        <tr r="BX437" s="2"/>
        <tr r="BY453" s="2"/>
        <tr r="CC384" s="2"/>
        <tr r="CA367" s="2"/>
        <tr r="CD245" s="2"/>
        <tr r="CD459" s="2"/>
        <tr r="BS291" s="2"/>
        <tr r="BZ461" s="2"/>
        <tr r="CB286" s="2"/>
        <tr r="CB387" s="2"/>
        <tr r="CB206" s="2"/>
        <tr r="CF162" s="2"/>
        <tr r="CF443" s="2"/>
        <tr r="CH340" s="2"/>
        <tr r="BJ44" s="2"/>
        <tr r="BS79" s="2"/>
        <tr r="BJ285" s="2"/>
        <tr r="BI451" s="2"/>
        <tr r="BH386" s="2"/>
        <tr r="BG252" s="2"/>
        <tr r="BI118" s="2"/>
        <tr r="BI45" s="2"/>
        <tr r="BG58" s="2"/>
        <tr r="AW279" s="2"/>
        <tr r="AV344" s="2"/>
        <tr r="CF251" s="2"/>
        <tr r="AT314" s="2"/>
        <tr r="BZ337" s="2"/>
        <tr r="BZ335" s="2"/>
        <tr r="CB87" s="2"/>
        <tr r="CB261" s="2"/>
        <tr r="CC246" s="2"/>
        <tr r="CF99" s="2"/>
        <tr r="CF165" s="2"/>
        <tr r="CH383" s="2"/>
        <tr r="CA14" s="2"/>
        <tr r="CC464" s="2"/>
        <tr r="CD340" s="2"/>
        <tr r="CE219" s="2"/>
        <tr r="CA241" s="2"/>
        <tr r="BI417" s="2"/>
        <tr r="BZ396" s="2"/>
        <tr r="CB63" s="2"/>
        <tr r="CA437" s="2"/>
        <tr r="CB407" s="2"/>
        <tr r="CC242" s="2"/>
        <tr r="CE221" s="2"/>
        <tr r="BJ326" s="2"/>
        <tr r="BI238" s="2"/>
        <tr r="BY187" s="2"/>
        <tr r="CA268" s="2"/>
        <tr r="CD304" s="2"/>
        <tr r="CD228" s="2"/>
        <tr r="CD123" s="2"/>
        <tr r="CF269" s="2"/>
        <tr r="BJ450" s="2"/>
        <tr r="BG422" s="2"/>
        <tr r="BI231" s="2"/>
        <tr r="BH443" s="2"/>
        <tr r="BH461" s="2"/>
        <tr r="BG52" s="2"/>
        <tr r="BR185" s="2"/>
        <tr r="BH200" s="2"/>
        <tr r="BG391" s="2"/>
        <tr r="CI144" s="2"/>
        <tr r="CI450" s="2"/>
        <tr r="CI423" s="2"/>
        <tr r="BJ175" s="2"/>
        <tr r="BZ74" s="2"/>
        <tr r="CA20" s="2"/>
        <tr r="CA202" s="2"/>
        <tr r="CB6" s="2"/>
        <tr r="CF216" s="2"/>
        <tr r="CF184" s="2"/>
        <tr r="BG257" s="2"/>
        <tr r="BY162" s="2"/>
        <tr r="CA266" s="2"/>
        <tr r="CD8" s="2"/>
        <tr r="CD268" s="2"/>
        <tr r="CD346" s="2"/>
        <tr r="CF156" s="2"/>
        <tr r="BJ371" s="2"/>
        <tr r="BY312" s="2"/>
        <tr r="BY197" s="2"/>
        <tr r="CA28" s="2"/>
        <tr r="BZ309" s="2"/>
        <tr r="CD237" s="2"/>
        <tr r="CD196" s="2"/>
        <tr r="CF328" s="2"/>
        <tr r="BJ315" s="2"/>
        <tr r="CB123" s="2"/>
        <tr r="CC145" s="2"/>
        <tr r="CB22" s="2"/>
        <tr r="CF429" s="2"/>
        <tr r="CD92" s="2"/>
        <tr r="BJ254" s="2"/>
        <tr r="BY127" s="2"/>
        <tr r="CC297" s="2"/>
        <tr r="CC72" s="2"/>
        <tr r="CD358" s="2"/>
        <tr r="CE104" s="2"/>
        <tr r="CD208" s="2"/>
        <tr r="BI67" s="2"/>
        <tr r="BJ280" s="2"/>
        <tr r="CA319" s="2"/>
        <tr r="CB333" s="2"/>
        <tr r="CC179" s="2"/>
        <tr r="CD297" s="2"/>
        <tr r="CD118" s="2"/>
        <tr r="CI383" s="2"/>
        <tr r="BG104" s="2"/>
        <tr r="BR249" s="2"/>
        <tr r="BG201" s="2"/>
        <tr r="AR198" s="2"/>
        <tr r="BI319" s="2"/>
        <tr r="BT126" s="2"/>
        <tr r="BT186" s="2"/>
        <tr r="CC108" s="2"/>
        <tr r="CI197" s="2"/>
        <tr r="BI6" s="2"/>
        <tr r="CG33" s="2"/>
        <tr r="BJ186" s="2"/>
        <tr r="BX256" s="2"/>
        <tr r="CC41" s="2"/>
        <tr r="CC286" s="2"/>
        <tr r="CD6" s="2"/>
        <tr r="CE215" s="2"/>
        <tr r="CD71" s="2"/>
        <tr r="BI338" s="2"/>
        <tr r="BJ119" s="2"/>
        <tr r="CB200" s="2"/>
        <tr r="CA453" s="2"/>
        <tr r="CC263" s="2"/>
        <tr r="CD363" s="2"/>
        <tr r="CE101" s="2"/>
        <tr r="CI301" s="2"/>
        <tr r="BX189" s="2"/>
        <tr r="CA80" s="2"/>
        <tr r="CB226" s="2"/>
        <tr r="CB230" s="2"/>
        <tr r="CC188" s="2"/>
        <tr r="CD307" s="2"/>
        <tr r="CF22" s="2"/>
        <tr r="BJ432" s="2"/>
        <tr r="CA131" s="2"/>
        <tr r="BZ84" s="2"/>
        <tr r="BZ449" s="2"/>
        <tr r="CE389" s="2"/>
        <tr r="CE182" s="2"/>
        <tr r="BR458" s="2"/>
        <tr r="BG202" s="2"/>
        <tr r="BZ134" s="2"/>
        <tr r="CB442" s="2"/>
        <tr r="CC249" s="2"/>
        <tr r="CC317" s="2"/>
        <tr r="CB222" s="2"/>
        <tr r="BH37" s="2"/>
        <tr r="BZ207" s="2"/>
        <tr r="CA193" s="2"/>
        <tr r="CC106" s="2"/>
        <tr r="CD99" s="2"/>
        <tr r="CE77" s="2"/>
        <tr r="CE144" s="2"/>
        <tr r="BI292" s="2"/>
        <tr r="BJ54" s="2"/>
        <tr r="BG232" s="2"/>
        <tr r="AW157" s="2"/>
        <tr r="BI327" s="2"/>
        <tr r="BH349" s="2"/>
        <tr r="BR405" s="2"/>
        <tr r="AS389" s="2"/>
        <tr r="BH19" s="2"/>
        <tr r="CI213" s="2"/>
        <tr r="BG291" s="2"/>
        <tr r="CG223" s="2"/>
        <tr r="BH110" s="2"/>
        <tr r="BI121" s="2"/>
        <tr r="CI121" s="2"/>
        <tr r="BS93" s="2"/>
        <tr r="CI436" s="2"/>
        <tr r="AR349" s="2"/>
        <tr r="BG53" s="2"/>
        <tr r="BT81" s="2"/>
        <tr r="BI188" s="2"/>
        <tr r="BH414" s="2"/>
        <tr r="BG119" s="2"/>
        <tr r="BI342" s="2"/>
        <tr r="BH214" s="2"/>
        <tr r="BH205" s="2"/>
        <tr r="BG435" s="2"/>
        <tr r="BT103" s="2"/>
        <tr r="BH223" s="2"/>
        <tr r="AW187" s="2"/>
        <tr r="AV247" s="2"/>
        <tr r="BH288" s="2"/>
        <tr r="BI35" s="2"/>
        <tr r="BT47" s="2"/>
        <tr r="CI47" s="2"/>
        <tr r="BS221" s="2"/>
        <tr r="BG425" s="2"/>
        <tr r="AX108" s="2"/>
        <tr r="BI275" s="2"/>
        <tr r="BH164" s="2"/>
        <tr r="BI335" s="2"/>
        <tr r="CH265" s="2"/>
        <tr r="BT154" s="2"/>
        <tr r="AV149" s="2"/>
        <tr r="AX225" s="2"/>
        <tr r="CI277" s="2"/>
        <tr r="CI412" s="2"/>
        <tr r="BS132" s="2"/>
        <tr r="BJ57" s="2"/>
        <tr r="BI17" s="2"/>
        <tr r="BH199" s="2"/>
        <tr r="BG15" s="2"/>
        <tr r="BH206" s="2"/>
        <tr r="BR334" s="2"/>
        <tr r="BG94" s="2"/>
        <tr r="BS48" s="2"/>
        <tr r="BR14" s="2"/>
        <tr r="BJ430" s="2"/>
        <tr r="BI308" s="2"/>
        <tr r="BH275" s="2"/>
        <tr r="BG206" s="2"/>
        <tr r="BS200" s="2"/>
        <tr r="AT47" s="2"/>
        <tr r="CH293" s="2"/>
        <tr r="AV129" s="2"/>
        <tr r="BJ152" s="2"/>
        <tr r="BI272" s="2"/>
        <tr r="BH399" s="2"/>
        <tr r="BH405" s="2"/>
        <tr r="BG392" s="2"/>
        <tr r="AX425" s="2"/>
        <tr r="BR206" s="2"/>
        <tr r="BR356" s="2"/>
        <tr r="AS378" s="2"/>
        <tr r="AV187" s="2"/>
        <tr r="CI59" s="2"/>
        <tr r="CI185" s="2"/>
        <tr r="BS454" s="2"/>
        <tr r="BQ319" s="2"/>
        <tr r="BI49" s="2"/>
        <tr r="BT463" s="2"/>
        <tr r="BT410" s="2"/>
        <tr r="BI291" s="2"/>
        <tr r="BI15" s="2"/>
        <tr r="BJ455" s="2"/>
        <tr r="BI80" s="2"/>
        <tr r="BH222" s="2"/>
        <tr r="BH213" s="2"/>
        <tr r="BJ165" s="2"/>
        <tr r="CI21" s="2"/>
        <tr r="AW427" s="2"/>
        <tr r="BI311" s="2"/>
        <tr r="BJ43" s="2"/>
        <tr r="CI199" s="2"/>
        <tr r="BT327" s="2"/>
        <tr r="CI111" s="2"/>
        <tr r="AV293" s="2"/>
        <tr r="BI216" s="2"/>
        <tr r="AU342" s="2"/>
        <tr r="AX85" s="2"/>
        <tr r="BI235" s="2"/>
        <tr r="BI127" s="2"/>
        <tr r="AU26" s="2"/>
        <tr r="CI220" s="2"/>
        <tr r="AV62" s="2"/>
        <tr r="AU324" s="2"/>
        <tr r="BG441" s="2"/>
        <tr r="BT240" s="2"/>
        <tr r="BT112" s="2"/>
        <tr r="BG131" s="2"/>
        <tr r="AT342" s="2"/>
        <tr r="BI124" s="2"/>
        <tr r="BH420" s="2"/>
        <tr r="BJ102" s="2"/>
        <tr r="BG228" s="2"/>
        <tr r="CI359" s="2"/>
        <tr r="BR417" s="2"/>
        <tr r="CH127" s="2"/>
        <tr r="BG197" s="2"/>
        <tr r="BH452" s="2"/>
        <tr r="CI379" s="2"/>
        <tr r="AV78" s="2"/>
        <tr r="CH410" s="2"/>
        <tr r="AU15" s="2"/>
        <tr r="BG234" s="2"/>
        <tr r="CH65" s="2"/>
        <tr r="CI240" s="2"/>
        <tr r="CI140" s="2"/>
        <tr r="AW214" s="2"/>
        <tr r="BI373" s="2"/>
        <tr r="BG215" s="2"/>
        <tr r="BQ406" s="2"/>
        <tr r="BG278" s="2"/>
        <tr r="CI124" s="2"/>
        <tr r="BT97" s="2"/>
        <tr r="CI266" s="2"/>
        <tr r="CI407" s="2"/>
        <tr r="AW201" s="2"/>
        <tr r="BH134" s="2"/>
        <tr r="BQ100" s="2"/>
        <tr r="AR138" s="2"/>
        <tr r="AW310" s="2"/>
        <tr r="BI117" s="2"/>
        <tr r="BH439" s="2"/>
        <tr r="BJ22" s="2"/>
        <tr r="BG406" s="2"/>
        <tr r="CH152" s="2"/>
        <tr r="CH283" s="2"/>
        <tr r="BS349" s="2"/>
        <tr r="AV40" s="2"/>
        <tr r="BG129" s="2"/>
        <tr r="CH452" s="2"/>
        <tr r="CI119" s="2"/>
        <tr r="AX340" s="2"/>
        <tr r="CH354" s="2"/>
        <tr r="BG262" s="2"/>
        <tr r="CI356" s="2"/>
        <tr r="CH412" s="2"/>
        <tr r="CH246" s="2"/>
        <tr r="AV218" s="2"/>
        <tr r="BH374" s="2"/>
        <tr r="BG456" s="2"/>
        <tr r="BJ273" s="2"/>
        <tr r="BG37" s="2"/>
        <tr r="CI132" s="2"/>
        <tr r="AV438" s="2"/>
        <tr r="BT78" s="2"/>
        <tr r="CH168" s="2"/>
        <tr r="BS259" s="2"/>
        <tr r="BH175" s="2"/>
        <tr r="AX239" s="2"/>
        <tr r="BS9" s="2"/>
        <tr r="CI159" s="2"/>
        <tr r="BG463" s="2"/>
        <tr r="BS413" s="2"/>
        <tr r="BI201" s="2"/>
        <tr r="CI419" s="2"/>
        <tr r="BR60" s="2"/>
        <tr r="CH111" s="2"/>
        <tr r="AQ150" s="2"/>
        <tr r="BJ238" s="2"/>
        <tr r="BJ232" s="2"/>
        <tr r="AT356" s="2"/>
        <tr r="BQ245" s="2"/>
        <tr r="AV444" s="2"/>
        <tr r="BJ135" s="2"/>
        <tr r="AW369" s="2"/>
        <tr r="CH333" s="2"/>
        <tr r="BJ240" s="2"/>
        <tr r="AV407" s="2"/>
        <tr r="AW61" s="2"/>
        <tr r="BJ458" s="2"/>
        <tr r="BT204" s="2"/>
        <tr r="CH7" s="2"/>
        <tr r="BR168" s="2"/>
        <tr r="BJ296" s="2"/>
        <tr r="CE345" s="2"/>
        <tr r="AX123" s="2"/>
        <tr r="BY83" s="2"/>
        <tr r="BZ406" s="2"/>
        <tr r="CC159" s="2"/>
        <tr r="CD426" s="2"/>
        <tr r="CE91" s="2"/>
        <tr r="CF391" s="2"/>
        <tr r="BI161" s="2"/>
        <tr r="BX383" s="2"/>
        <tr r="BZ7" s="2"/>
        <tr r="CA168" s="2"/>
        <tr r="CC395" s="2"/>
        <tr r="CD347" s="2"/>
        <tr r="CE236" s="2"/>
        <tr r="CD229" s="2"/>
        <tr r="BI75" s="2"/>
        <tr r="CB418" s="2"/>
        <tr r="BZ32" s="2"/>
        <tr r="CC411" s="2"/>
        <tr r="CD197" s="2"/>
        <tr r="CF463" s="2"/>
        <tr r="BJ383" s="2"/>
        <tr r="BY107" s="2"/>
        <tr r="CA120" s="2"/>
        <tr r="BZ314" s="2"/>
        <tr r="CB408" s="2"/>
        <tr r="CE160" s="2"/>
        <tr r="CE174" s="2"/>
        <tr r="BT278" s="2"/>
        <tr r="BU397" s="2"/>
        <tr r="CB380" s="2"/>
        <tr r="CC345" s="2"/>
        <tr r="CB164" s="2"/>
        <tr r="CF319" s="2"/>
        <tr r="CD456" s="2"/>
        <tr r="BI136" s="2"/>
        <tr r="BI72" s="2"/>
        <tr r="BJ216" s="2"/>
        <tr r="BI336" s="2"/>
        <tr r="BH7" s="2"/>
        <tr r="BH350" s="2"/>
        <tr r="BI401" s="2"/>
        <tr r="BH208" s="2"/>
        <tr r="BG349" s="2"/>
        <tr r="AU291" s="2"/>
        <tr r="BH216" s="2"/>
        <tr r="BG158" s="2"/>
        <tr r="BQ372" s="2"/>
        <tr r="CI163" s="2"/>
        <tr r="AV79" s="2"/>
        <tr r="BT72" s="2"/>
        <tr r="BJ263" s="2"/>
        <tr r="BI16" s="2"/>
        <tr r="BH158" s="2"/>
        <tr r="BH149" s="2"/>
        <tr r="BI79" s="2"/>
        <tr r="BG112" s="2"/>
        <tr r="CH137" s="2"/>
        <tr r="CH175" s="2"/>
        <tr r="CG398" s="2"/>
        <tr r="BH194" s="2"/>
        <tr r="BG398" s="2"/>
        <tr r="CI123" s="2"/>
        <tr r="BT123" s="2"/>
        <tr r="CI300" s="2"/>
        <tr r="BR232" s="2"/>
        <tr r="BJ416" s="2"/>
        <tr r="BI39" s="2"/>
        <tr r="BI429" s="2"/>
        <tr r="BH382" s="2"/>
        <tr r="BG343" s="2"/>
        <tr r="CH173" s="2"/>
        <tr r="BQ393" s="2"/>
        <tr r="BS184" s="2"/>
        <tr r="AT305" s="2"/>
        <tr r="AX26" s="2"/>
        <tr r="CI386" s="2"/>
        <tr r="BJ230" s="2"/>
        <tr r="BI307" s="2"/>
        <tr r="BH50" s="2"/>
        <tr r="BG426" s="2"/>
        <tr r="BT294" s="2"/>
        <tr r="BJ404" s="2"/>
        <tr r="BJ298" s="2"/>
        <tr r="CI83" s="2"/>
        <tr r="AX247" s="2"/>
        <tr r="AX92" s="2"/>
        <tr r="BH278" s="2"/>
        <tr r="BH269" s="2"/>
        <tr r="BG101" s="2"/>
        <tr r="BT193" s="2"/>
        <tr r="BJ253" s="2"/>
        <tr r="CI310" s="2"/>
        <tr r="AV112" s="2"/>
        <tr r="BI40" s="2"/>
        <tr r="BI210" s="2"/>
        <tr r="BH209" s="2"/>
        <tr r="BG312" s="2"/>
        <tr r="CH223" s="2"/>
        <tr r="CI302" s="2"/>
        <tr r="BS214" s="2"/>
        <tr r="AR208" s="2"/>
        <tr r="AW182" s="2"/>
        <tr r="BG408" s="2"/>
        <tr r="AX441" s="2"/>
        <tr r="CI227" s="2"/>
        <tr r="AV296" s="2"/>
        <tr r="AE449" s="2"/>
        <tr r="CH429" s="2"/>
        <tr r="BQ48" s="2"/>
        <tr r="BH166" s="2"/>
        <tr r="BG200" s="2"/>
        <tr r="CH400" s="2"/>
        <tr r="BI449" s="2"/>
        <tr r="BH17" s="2"/>
        <tr r="BG120" s="2"/>
        <tr r="CI411" s="2"/>
        <tr r="BG293" s="2"/>
        <tr r="BR465" s="2"/>
        <tr r="BH411" s="2"/>
        <tr r="BH201" s="2"/>
        <tr r="CI126" s="2"/>
        <tr r="BT11" s="2"/>
        <tr r="CI13" s="2"/>
        <tr r="BG283" s="2"/>
        <tr r="CH77" s="2"/>
        <tr r="AV55" s="2"/>
        <tr r="BI437" s="2"/>
        <tr r="BG279" s="2"/>
        <tr r="BH160" s="2"/>
        <tr r="CI29" s="2"/>
        <tr r="CI73" s="2"/>
        <tr r="CH49" s="2"/>
        <tr r="AV355" s="2"/>
        <tr r="AW129" s="2"/>
        <tr r="CH309" s="2"/>
        <tr r="BS111" s="2"/>
        <tr r="BQ465" s="2"/>
        <tr r="BI255" s="2"/>
        <tr r="BH94" s="2"/>
        <tr r="BH85" s="2"/>
        <tr r="BI94" s="2"/>
        <tr r="BT260" s="2"/>
        <tr r="CI338" s="2"/>
        <tr r="AW174" s="2"/>
        <tr r="AW109" s="2"/>
        <tr r="BH106" s="2"/>
        <tr r="BJ78" s="2"/>
        <tr r="CH409" s="2"/>
        <tr r="CI275" s="2"/>
        <tr r="AU336" s="2"/>
        <tr r="BJ340" s="2"/>
        <tr r="CH245" s="2"/>
        <tr r="CI22" s="2"/>
        <tr r="AX155" s="2"/>
        <tr r="BI209" s="2"/>
        <tr r="BH16" s="2"/>
        <tr r="BG207" s="2"/>
        <tr r="BJ214" s="2"/>
        <tr r="CH299" s="2"/>
        <tr r="CI78" s="2"/>
        <tr r="BS254" s="2"/>
        <tr r="AV338" s="2"/>
        <tr r="CI100" s="2"/>
        <tr r="BG32" s="2"/>
        <tr r="AX335" s="2"/>
        <tr r="AU433" s="2"/>
        <tr r="BR462" s="2"/>
        <tr r="BG6" s="2"/>
        <tr r="BI32" s="2"/>
        <tr r="AO298" s="2"/>
        <tr r="CH419" s="2"/>
        <tr r="CI94" s="2"/>
        <tr r="AN448" s="2"/>
        <tr r="BT127" s="2"/>
        <tr r="BJ71" s="2"/>
        <tr r="BT19" s="2"/>
        <tr r="CH420" s="2"/>
        <tr r="BS456" s="2"/>
        <tr r="BJ140" s="2"/>
        <tr r="CI298" s="2"/>
        <tr r="AX370" s="2"/>
        <tr r="CH39" s="2"/>
        <tr r="CG444" s="2"/>
        <tr r="BI226" s="2"/>
        <tr r="BH153" s="2"/>
        <tr r="BG256" s="2"/>
        <tr r="CI75" s="2"/>
        <tr r="BI223" s="2"/>
        <tr r="AX79" s="2"/>
        <tr r="CH95" s="2"/>
        <tr r="CI256" s="2"/>
        <tr r="BQ47" s="2"/>
        <tr r="CH21" s="2"/>
        <tr r="BH432" s="2"/>
        <tr r="BG354" s="2"/>
        <tr r="AW368" s="2"/>
        <tr r="AP344" s="2"/>
        <tr r="CH449" s="2"/>
        <tr r="AE353" s="2"/>
        <tr r="AV234" s="2"/>
        <tr r="BS199" s="2"/>
        <tr r="CI380" s="2"/>
        <tr r="AU129" s="2"/>
        <tr r="BT332" s="2"/>
        <tr r="AT383" s="2"/>
        <tr r="BI264" s="2"/>
        <tr r="BI322" s="2"/>
        <tr r="BS433" s="2"/>
        <tr r="BR340" s="2"/>
        <tr r="BI189" s="2"/>
        <tr r="BI217" s="2"/>
        <tr r="BG258" s="2"/>
        <tr r="BT321" s="2"/>
        <tr r="BI350" s="2"/>
        <tr r="BS444" s="2"/>
        <tr r="AS69" s="2"/>
        <tr r="BI133" s="2"/>
        <tr r="CI362" s="2"/>
        <tr r="AU373" s="2"/>
        <tr r="BJ239" s="2"/>
        <tr r="CI319" s="2"/>
        <tr r="BR313" s="2"/>
        <tr r="BI83" s="2"/>
        <tr r="BI71" s="2"/>
        <tr r="AU395" s="2"/>
        <tr r="BT141" s="2"/>
        <tr r="BY134" s="2"/>
        <tr r="CB406" s="2"/>
        <tr r="CB265" s="2"/>
        <tr r="CD14" s="2"/>
        <tr r="CE311" s="2"/>
        <tr r="CF122" s="2"/>
        <tr r="BJ291" s="2"/>
        <tr r="CA454" s="2"/>
        <tr r="CB368" s="2"/>
        <tr r="CC294" s="2"/>
        <tr r="CC304" s="2"/>
        <tr r="CF220" s="2"/>
        <tr r="AE399" s="2"/>
        <tr r="AU223" s="2"/>
        <tr r="BZ300" s="2"/>
        <tr r="CA152" s="2"/>
        <tr r="CB362" s="2"/>
        <tr r="CC33" s="2"/>
        <tr r="CA434" s="2"/>
        <tr r="CF365" s="2"/>
        <tr r="CD274" s="2"/>
        <tr r="BJ261" s="2"/>
        <tr r="CA443" s="2"/>
        <tr r="CC299" s="2"/>
        <tr r="BZ76" s="2"/>
        <tr r="CE461" s="2"/>
        <tr r="CE275" s="2"/>
        <tr r="BH55" s="2"/>
        <tr r="CA110" s="2"/>
        <tr r="CB330" s="2"/>
        <tr r="CB335" s="2"/>
        <tr r="CB173" s="2"/>
        <tr r="CD351" s="2"/>
        <tr r="CF423" s="2"/>
        <tr r="BJ436" s="2"/>
        <tr r="BI370" s="2"/>
        <tr r="BZ200" s="2"/>
        <tr r="CA429" s="2"/>
        <tr r="CA445" s="2"/>
        <tr r="CE134" s="2"/>
        <tr r="CD414" s="2"/>
        <tr r="BJ271" s="2"/>
        <tr r="CI334" s="2"/>
        <tr r="BI298" s="2"/>
        <tr r="BH273" s="2"/>
        <tr r="BG376" s="2"/>
        <tr r="CH89" s="2"/>
        <tr r="BH459" s="2"/>
        <tr r="BG273" s="2"/>
        <tr r="BT55" s="2"/>
        <tr r="AX369" s="2"/>
        <tr r="CI406" s="2"/>
        <tr r="BG281" s="2"/>
        <tr r="BR275" s="2"/>
        <tr r="BJ114" s="2"/>
        <tr r="CH256" s="2"/>
        <tr r="BS207" s="2"/>
        <tr r="BI369" s="2"/>
        <tr r="BH328" s="2"/>
        <tr r="BG56" s="2"/>
        <tr r="BG333" s="2"/>
        <tr r="CI235" s="2"/>
        <tr r="BJ338" s="2"/>
        <tr r="BJ464" s="2"/>
        <tr r="CI10" s="2"/>
        <tr r="CH395" s="2"/>
        <tr r="BR77" s="2"/>
        <tr r="BI293" s="2"/>
        <tr r="BH340" s="2"/>
        <tr r="BG350" s="2"/>
        <tr r="CI45" s="2"/>
        <tr r="BJ84" s="2"/>
        <tr r="AX114" s="2"/>
        <tr r="BQ318" s="2"/>
        <tr r="BI142" s="2"/>
        <tr r="BI25" s="2"/>
        <tr r="BH72" s="2"/>
        <tr r="BG263" s="2"/>
        <tr r="BG61" s="2"/>
        <tr r="AW55" s="2"/>
        <tr r="BT205" s="2"/>
        <tr r="BT173" s="2"/>
        <tr r="BQ322" s="2"/>
        <tr r="BH430" s="2"/>
        <tr r="AT11" s="2"/>
        <tr r="BH361" s="2"/>
        <tr r="BS392" s="2"/>
        <tr r="BG298" s="2"/>
        <tr r="CI90" s="2"/>
        <tr r="CH448" s="2"/>
        <tr r="BH108" s="2"/>
        <tr r="BI462" s="2"/>
        <tr r="BQ201" s="2"/>
        <tr r="CI390" s="2"/>
        <tr r="AO24" s="2"/>
        <tr r="BG176" s="2"/>
        <tr r="CH242" s="2"/>
        <tr r="CH41" s="2"/>
        <tr r="BG169" s="2"/>
        <tr r="BQ284" s="2"/>
        <tr r="BI139" s="2"/>
        <tr r="BH100" s="2"/>
        <tr r="BT129" s="2"/>
        <tr r="BG62" s="2"/>
        <tr r="AX175" s="2"/>
        <tr r="CI259" s="2"/>
        <tr r="BT459" s="2"/>
        <tr r="BS10" s="2"/>
        <tr r="AT130" s="2"/>
        <tr r="BS18" s="2"/>
        <tr r="AX40" s="2"/>
        <tr r="BT422" s="2"/>
        <tr r="BQ99" s="2"/>
        <tr r="CH320" s="2"/>
        <tr r="BQ382" s="2"/>
        <tr r="BJ418" s="2"/>
        <tr r="BI34" s="2"/>
        <tr r="BH352" s="2"/>
        <tr r="BG64" s="2"/>
        <tr r="AU13" s="2"/>
        <tr r="AX235" s="2"/>
        <tr r="BG457" s="2"/>
        <tr r="CI339" s="2"/>
        <tr r="CI63" s="2"/>
        <tr r="BI374" s="2"/>
        <tr r="BI301" s="2"/>
        <tr r="BH348" s="2"/>
        <tr r="BJ423" s="2"/>
        <tr r="CI337" s="2"/>
        <tr r="AX67" s="2"/>
        <tr r="AV108" s="2"/>
        <tr r="BJ313" s="2"/>
        <tr r="BI273" s="2"/>
        <tr r="BH80" s="2"/>
        <tr r="BG271" s="2"/>
        <tr r="BG225" s="2"/>
        <tr r="AX445" s="2"/>
        <tr r="CH6" s="2"/>
        <tr r="AX241" s="2"/>
        <tr r="AO210" s="2"/>
        <tr r="AO202" s="2"/>
        <tr r="CH228" s="2"/>
        <tr r="AW383" s="2"/>
        <tr r="BI281" s="2"/>
        <tr r="BH264" s="2"/>
        <tr r="BG455" s="2"/>
        <tr r="BG174" s="2"/>
        <tr r="CI65" s="2"/>
        <tr r="BR82" s="2"/>
        <tr r="CH47" s="2"/>
        <tr r="CH63" s="2"/>
        <tr r="BT6" s="2"/>
        <tr r="BJ389" s="2"/>
        <tr r="BI263" s="2"/>
        <tr r="BQ20" s="2"/>
        <tr r="BS154" s="2"/>
        <tr r="BI250" s="2"/>
        <tr r="BH320" s="2"/>
        <tr r="BR220" s="2"/>
        <tr r="BT225" s="2"/>
        <tr r="CI179" s="2"/>
        <tr r="BI371" s="2"/>
        <tr r="BH242" s="2"/>
        <tr r="BG81" s="2"/>
        <tr r="BS295" s="2"/>
        <tr r="BG274" s="2"/>
        <tr r="BT305" s="2"/>
        <tr r="CI250" s="2"/>
        <tr r="CI417" s="2"/>
        <tr r="BT452" s="2"/>
        <tr r="BT180" s="2"/>
        <tr r="BG295" s="2"/>
        <tr r="AX48" s="2"/>
        <tr r="AO377" s="2"/>
        <tr r="BT229" s="2"/>
        <tr r="CH132" s="2"/>
        <tr r="CI408" s="2"/>
        <tr r="CH364" s="2"/>
        <tr r="BT345" s="2"/>
        <tr r="BS188" s="2"/>
        <tr r="BS101" s="2"/>
        <tr r="BI326" s="2"/>
        <tr r="BI129" s="2"/>
        <tr r="BT121" s="2"/>
        <tr r="BS258" s="2"/>
        <tr r="BI68" s="2"/>
        <tr r="BH125" s="2"/>
        <tr r="CI117" s="2"/>
        <tr r="AU103" s="2"/>
        <tr r="CH348" s="2"/>
        <tr r="BI414" s="2"/>
        <tr r="BH323" s="2"/>
        <tr r="BG450" s="2"/>
        <tr r="BT232" s="2"/>
        <tr r="AU441" s="2"/>
        <tr r="CH123" s="2"/>
        <tr r="CH435" s="2"/>
        <tr r="CG96" s="2"/>
        <tr r="AO152" s="2"/>
        <tr r="BG344" s="2"/>
        <tr r="AW440" s="2"/>
        <tr r="AS318" s="2"/>
        <tr r="CH451" s="2"/>
        <tr r="CH281" s="2"/>
        <tr r="BS403" s="2"/>
        <tr r="BJ178" s="2"/>
        <tr r="CH177" s="2"/>
        <tr r="BS408" s="2"/>
        <tr r="AM362" s="2"/>
        <tr r="BJ225" s="2"/>
        <tr r="BS263" s="2"/>
        <tr r="CI446" s="2"/>
        <tr r="AX373" s="2"/>
        <tr r="BH271" s="2"/>
        <tr r="BG289" s="2"/>
        <tr r="AU88" s="2"/>
        <tr r="AX56" s="2"/>
        <tr r="AU16" s="2"/>
        <tr r="CH195" s="2"/>
        <tr r="BS365" s="2"/>
        <tr r="CG149" s="2"/>
        <tr r="AW445" s="2"/>
        <tr r="BJ74" s="2"/>
        <tr r="AX381" s="2"/>
        <tr r="BJ209" s="2"/>
        <tr r="CI69" s="2"/>
        <tr r="AT14" s="2"/>
        <tr r="BG315" s="2"/>
        <tr r="CH376" s="2"/>
        <tr r="CI112" s="2"/>
        <tr r="BJ177" s="2"/>
        <tr r="BZ275" s="2"/>
        <tr r="CA229" s="2"/>
        <tr r="CB119" s="2"/>
        <tr r="CB314" s="2"/>
        <tr r="CF17" s="2"/>
        <tr r="CF321" s="2"/>
        <tr r="BY427" s="2"/>
        <tr r="CA308" s="2"/>
        <tr r="BZ434" s="2"/>
        <tr r="CD173" s="2"/>
        <tr r="CD132" s="2"/>
        <tr r="CF447" s="2"/>
        <tr r="BJ211" s="2"/>
        <tr r="BY10" s="2"/>
        <tr r="BZ287" s="2"/>
        <tr r="CA237" s="2"/>
        <tr r="CA380" s="2"/>
        <tr r="CD240" s="2"/>
        <tr r="CD397" s="2"/>
        <tr r="BJ293" s="2"/>
        <tr r="BY334" s="2"/>
        <tr r="CC186" s="2"/>
        <tr r="CC27" s="2"/>
        <tr r="CB357" s="2"/>
        <tr r="CE380" s="2"/>
        <tr r="BH9" s="2"/>
        <tr r="BY141" s="2"/>
        <tr r="BY291" s="2"/>
        <tr r="CC56" s="2"/>
        <tr r="CD32" s="2"/>
        <tr r="CE249" s="2"/>
        <tr r="CD179" s="2"/>
        <tr r="BI277" s="2"/>
        <tr r="BJ362" s="2"/>
        <tr r="CA145" s="2"/>
        <tr r="CC22" s="2"/>
        <tr r="BY458" s="2"/>
        <tr r="CD306" s="2"/>
        <tr r="CD192" s="2"/>
        <tr r="BR96" s="2"/>
        <tr r="AU287" s="2"/>
        <tr r="AU78" s="2"/>
        <tr r="BG342" s="2"/>
        <tr r="CI222" s="2"/>
        <tr r="CI77" s="2"/>
        <tr r="BG227" s="2"/>
        <tr r="BT62" s="2"/>
        <tr r="BI247" s="2"/>
        <tr r="AT15" s="2"/>
        <tr r="CH438" s="2"/>
        <tr r="BI383" s="2"/>
        <tr r="AX23" s="2"/>
        <tr r="BR219" s="2"/>
        <tr r="BH32" s="2"/>
        <tr r="CH269" s="2"/>
        <tr r="BG393" s="2"/>
        <tr r="CI440" s="2"/>
        <tr r="BT85" s="2"/>
        <tr r="BH95" s="2"/>
        <tr r="BI179" s="2"/>
        <tr r="CH188" s="2"/>
        <tr r="BR352" s="2"/>
        <tr r="BT132" s="2"/>
        <tr r="BG127" s="2"/>
        <tr r="BG364" s="2"/>
        <tr r="CI395" s="2"/>
        <tr r="BQ35" s="2"/>
        <tr r="BH438" s="2"/>
        <tr r="BQ79" s="2"/>
        <tr r="AS7" s="2"/>
        <tr r="BH266" s="2"/>
        <tr r="CH450" s="2"/>
        <tr r="BG137" s="2"/>
        <tr r="AX297" s="2"/>
        <tr r="AV441" s="2"/>
        <tr r="CH305" s="2"/>
        <tr r="BT377" s="2"/>
        <tr r="AS91" s="2"/>
        <tr r="AR374" s="2"/>
        <tr r="BS328" s="2"/>
        <tr r="BH83" s="2"/>
        <tr r="BG444" s="2"/>
        <tr r="BJ12" s="2"/>
        <tr r="CI215" s="2"/>
        <tr r="BR300" s="2"/>
        <tr r="CI125" s="2"/>
        <tr r="AW207" s="2"/>
        <tr r="BJ123" s="2"/>
        <tr r="AW54" s="2"/>
        <tr r="AW189" s="2"/>
        <tr r="CH346" s="2"/>
        <tr r="AX299" s="2"/>
        <tr r="BJ65" s="2"/>
        <tr r="CH272" s="2"/>
        <tr r="BT134" s="2"/>
        <tr r="BR447" s="2"/>
        <tr r="BI287" s="2"/>
        <tr r="BI365" s="2"/>
        <tr r="BH412" s="2"/>
        <tr r="BJ107" s="2"/>
        <tr r="CI131" s="2"/>
        <tr r="BT460" s="2"/>
        <tr r="CI288" s="2"/>
        <tr r="AT94" s="2"/>
        <tr r="BS157" s="2"/>
        <tr r="AW226" s="2"/>
        <tr r="BH117" s="2"/>
        <tr r="BS303" s="2"/>
        <tr r="AX184" s="2"/>
        <tr r="CI184" s="2"/>
        <tr r="CI120" s="2"/>
        <tr r="AX151" s="2"/>
        <tr r="BI431" s="2"/>
        <tr r="BI85" s="2"/>
        <tr r="BH131" s="2"/>
        <tr r="BG401" s="2"/>
        <tr r="AU284" s="2"/>
        <tr r="BJ133" s="2"/>
        <tr r="BJ299" s="2"/>
        <tr r="CH252" s="2"/>
        <tr r="BQ73" s="2"/>
        <tr r="BQ370" s="2"/>
        <tr r="BH375" s="2"/>
        <tr r="BG135" s="2"/>
        <tr r="BG372" s="2"/>
        <tr r="CI93" s="2"/>
        <tr r="BI190" s="2"/>
        <tr r="BT63" s="2"/>
        <tr r="BQ25" s="2"/>
        <tr r="BI233" s="2"/>
        <tr r="BI92" s="2"/>
        <tr r="BH306" s="2"/>
        <tr r="BG145" s="2"/>
        <tr r="BR398" s="2"/>
        <tr r="CI258" s="2"/>
        <tr r="BQ236" s="2"/>
        <tr r="AN177" s="2"/>
        <tr r="AV23" s="2"/>
        <tr r="BG241" s="2"/>
        <tr r="AW393" s="2"/>
        <tr r="BQ337" s="2"/>
        <tr r="CI284" s="2"/>
        <tr r="BG329" s="2"/>
        <tr r="AE320" s="2"/>
        <tr r="AU77" s="2"/>
        <tr r="CH193" s="2"/>
        <tr r="BJ168" s="2"/>
        <tr r="AU295" s="2"/>
        <tr r="BR163" s="2"/>
        <tr r="AW444" s="2"/>
        <tr r="BJ255" s="2"/>
        <tr r="BG410" s="2"/>
        <tr r="BS316" s="2"/>
        <tr r="BR186" s="2"/>
        <tr r="BI245" s="2"/>
        <tr r="BG23" s="2"/>
        <tr r="BJ38" s="2"/>
        <tr r="CI232" s="2"/>
        <tr r="BQ218" s="2"/>
        <tr r="AX194" s="2"/>
        <tr r="BR288" s="2"/>
        <tr r="BG35" s="2"/>
        <tr r="CI230" s="2"/>
        <tr r="CH302" s="2"/>
        <tr r="BJ303" s="2"/>
        <tr r="BR377" s="2"/>
        <tr r="BT257" s="2"/>
        <tr r="AV417" s="2"/>
        <tr r="AV384" s="2"/>
        <tr r="AV200" s="2"/>
        <tr r="CH122" s="2"/>
        <tr r="AW27" s="2"/>
        <tr r="CH454" s="2"/>
        <tr r="AS35" s="2"/>
        <tr r="CI249" s="2"/>
        <tr r="CH433" s="2"/>
        <tr r="BJ329" s="2"/>
        <tr r="CI153" s="2"/>
        <tr r="BT8" s="2"/>
        <tr r="AO144" s="2"/>
        <tr r="BJ64" s="2"/>
        <tr r="AX125" s="2"/>
        <tr r="AX448" s="2"/>
        <tr r="BH230" s="2"/>
        <tr r="BG264" s="2"/>
        <tr r="BJ30" s="2"/>
        <tr r="CH440" s="2"/>
        <tr r="CI85" s="2"/>
        <tr r="AS235" s="2"/>
        <tr r="BS394" s="2"/>
        <tr r="BG325" s="2"/>
        <tr r="CI312" s="2"/>
        <tr r="BT440" s="2"/>
        <tr r="AT221" s="2"/>
        <tr r="BJ73" s="2"/>
        <tr r="BT71" s="2"/>
        <tr r="AU24" s="2"/>
        <tr r="BQ38" s="2"/>
        <tr r="AU444" s="2"/>
        <tr r="AU417" s="2"/>
        <tr r="BS326" s="2"/>
        <tr r="AV436" s="2"/>
        <tr r="AW46" s="2"/>
        <tr r="BH239" s="2"/>
        <tr r="CH460" s="2"/>
        <tr r="AU250" s="2"/>
        <tr r="BH182" s="2"/>
        <tr r="AX250" s="2"/>
        <tr r="BQ248" s="2"/>
        <tr r="BH96" s="2"/>
        <tr r="BI211" s="2"/>
        <tr r="BJ35" s="2"/>
        <tr r="BI459" s="2"/>
        <tr r="BH122" s="2"/>
        <tr r="BG182" s="2"/>
        <tr r="CH244" s="2"/>
        <tr r="BH259" s="2"/>
        <tr r="BQ442" s="2"/>
        <tr r="BI132" s="2"/>
        <tr r="BI203" s="2"/>
        <tr r="BH250" s="2"/>
        <tr r="BT432" s="2"/>
        <tr r="BQ239" s="2"/>
        <tr r="AO74" s="2"/>
        <tr r="BH442" s="2"/>
        <tr r="BQ82" s="2"/>
        <tr r="AU23" s="2"/>
        <tr r="BH388" s="2"/>
        <tr r="BY326" s="2"/>
        <tr r="CA335" s="2"/>
        <tr r="CC325" s="2"/>
        <tr r="CD33" s="2"/>
        <tr r="CD39" s="2"/>
        <tr r="CF129" s="2"/>
        <tr r="BJ295" s="2"/>
        <tr r="CA279" s="2"/>
        <tr r="CB77" s="2"/>
        <tr r="CC164" s="2"/>
        <tr r="CD272" s="2"/>
        <tr r="CC373" s="2"/>
        <tr r="BW346" s="2"/>
        <tr r="CA240" s="2"/>
        <tr r="CB199" s="2"/>
        <tr r="CC204" s="2"/>
        <tr r="CD444" s="2"/>
        <tr r="CD239" s="2"/>
        <tr r="BS22" s="2"/>
        <tr r="CA408" s="2"/>
        <tr r="CB264" s="2"/>
        <tr r="CE71" s="2"/>
        <tr r="CE166" s="2"/>
        <tr r="BI111" s="2"/>
        <tr r="BZ325" s="2"/>
        <tr r="CB102" s="2"/>
        <tr r="CA371" s="2"/>
        <tr r="CB197" s="2"/>
        <tr r="CD31" s="2"/>
        <tr r="CE51" s="2"/>
        <tr r="BI367" s="2"/>
        <tr r="BZ353" s="2"/>
        <tr r="CA196" s="2"/>
        <tr r="CA50" s="2"/>
        <tr r="CC195" s="2"/>
        <tr r="CE427" s="2"/>
        <tr r="CE210" s="2"/>
        <tr r="BI137" s="2"/>
        <tr r="BJ26" s="2"/>
        <tr r="BJ461" s="2"/>
        <tr r="BJ171" s="2"/>
        <tr r="CH129" s="2"/>
        <tr r="BT138" s="2"/>
        <tr r="CI393" s="2"/>
        <tr r="BT28" s="2"/>
        <tr r="CH30" s="2"/>
        <tr r="CI248" s="2"/>
        <tr r="BR42" s="2"/>
        <tr r="BS369" s="2"/>
        <tr r="BG242" s="2"/>
        <tr r="CI289" s="2"/>
        <tr r="BT146" s="2"/>
        <tr r="BQ93" s="2"/>
        <tr r="AQ363" s="2"/>
        <tr r="BH450" s="2"/>
        <tr r="BG379" s="2"/>
        <tr r="BJ378" s="2"/>
        <tr r="CH314" s="2"/>
        <tr r="BT368" s="2"/>
        <tr r="BR304" s="2"/>
        <tr r="AS397" s="2"/>
        <tr r="CH218" s="2"/>
        <tr r="BT15" s="2"/>
        <tr r="CI58" s="2"/>
        <tr r="BR451" s="2"/>
        <tr r="BJ279" s="2"/>
        <tr r="BR270" s="2"/>
        <tr r="CI245" s="2"/>
        <tr r="BT45" s="2"/>
        <tr r="BJ351" s="2"/>
        <tr r="BI372" s="2"/>
        <tr r="BH339" s="2"/>
        <tr r="BG453" s="2"/>
        <tr r="BJ42" s="2"/>
        <tr r="CH230" s="2"/>
        <tr r="AU148" s="2"/>
        <tr r="AV454" s="2"/>
        <tr r="CH74" s="2"/>
        <tr r="AX109" s="2"/>
        <tr r="BH188" s="2"/>
        <tr r="BT317" s="2"/>
        <tr r="AQ251" s="2"/>
        <tr r="CH296" s="2"/>
        <tr r="BG307" s="2"/>
        <tr r="CH442" s="2"/>
        <tr r="BH196" s="2"/>
        <tr r="CI226" s="2"/>
        <tr r="AX189" s="2"/>
        <tr r="CH329" s="2"/>
        <tr r="AX78" s="2"/>
        <tr r="BJ27" s="2"/>
        <tr r="BJ101" s="2"/>
        <tr r="CI187" s="2"/>
        <tr r="AW191" s="2"/>
        <tr r="BI191" s="2"/>
        <tr r="BI323" s="2"/>
        <tr r="CH165" s="2"/>
        <tr r="CI206" s="2"/>
        <tr r="BS416" s="2"/>
        <tr r="BH8" s="2"/>
        <tr r="BG199" s="2"/>
        <tr r="BG436" s="2"/>
        <tr r="CH362" s="2"/>
        <tr r="BH42" s="2"/>
        <tr r="CI14" s="2"/>
        <tr r="BS30" s="2"/>
        <tr r="CI294" s="2"/>
        <tr r="AU206" s="2"/>
        <tr r="AU304" s="2"/>
        <tr r="BH462" s="2"/>
        <tr r="BG326" s="2"/>
        <tr r="BS424" s="2"/>
        <tr r="AW354" s="2"/>
        <tr r="AU410" s="2"/>
        <tr r="AU163" s="2"/>
        <tr r="AP165" s="2"/>
        <tr r="BH155" s="2"/>
        <tr r="BT59" s="2"/>
        <tr r="BG355" s="2"/>
        <tr r="CH378" s="2"/>
        <tr r="BQ181" s="2"/>
        <tr r="BG464" s="2"/>
        <tr r="BH64" s="2"/>
        <tr r="BT287" s="2"/>
        <tr r="BT167" s="2"/>
        <tr r="CI122" s="2"/>
        <tr r="CH391" s="2"/>
        <tr r="BG9" s="2"/>
        <tr r="BR55" s="2"/>
        <tr r="BQ367" s="2"/>
        <tr r="BQ43" s="2"/>
        <tr r="BI380" s="2"/>
        <tr r="BH157" s="2"/>
        <tr r="BT263" s="2"/>
        <tr r="BG99" s="2"/>
        <tr r="CH310" s="2"/>
        <tr r="BT215" s="2"/>
        <tr r="AT353" s="2"/>
        <tr r="BR193" s="2"/>
        <tr r="AO348" s="2"/>
        <tr r="BR73" s="2"/>
        <tr r="AW100" s="2"/>
        <tr r="CI342" s="2"/>
        <tr r="BQ445" s="2"/>
        <tr r="BI398" s="2"/>
        <tr r="BJ266" s="2"/>
        <tr r="CH209" s="2"/>
        <tr r="CH327" s="2"/>
        <tr r="BT310" s="2"/>
        <tr r="BI234" s="2"/>
        <tr r="BS312" s="2"/>
        <tr r="BS197" s="2"/>
        <tr r="BI125" s="2"/>
        <tr r="BI416" s="2"/>
        <tr r="BJ121" s="2"/>
        <tr r="BI81" s="2"/>
        <tr r="BH263" s="2"/>
        <tr r="BG79" s="2"/>
        <tr r="BI102" s="2"/>
        <tr r="CH381" s="2"/>
        <tr r="BR133" s="2"/>
        <tr r="BI169" s="2"/>
        <tr r="BJ204" s="2"/>
        <tr r="CI426" s="2"/>
        <tr r="AW411" s="2"/>
        <tr r="CH323" s="2"/>
        <tr r="BT100" s="2"/>
        <tr r="BI385" s="2"/>
        <tr r="BT140" s="2"/>
        <tr r="AX157" s="2"/>
        <tr r="BI324" s="2"/>
        <tr r="BI360" s="2"/>
        <tr r="CH87" s="2"/>
        <tr r="CH181" s="2"/>
        <tr r="AU55" s="2"/>
        <tr r="CI81" s="2"/>
        <tr r="BG458" s="2"/>
        <tr r="CI403" s="2"/>
        <tr r="AX166" s="2"/>
        <tr r="BI140" s="2"/>
        <tr r="BR104" s="2"/>
        <tr r="BQ249" s="2"/>
        <tr r="BH302" s="2"/>
        <tr r="BI90" s="2"/>
        <tr r="BJ419" s="2"/>
        <tr r="BI98" s="2"/>
        <tr r="BH25" s="2"/>
        <tr r="BG128" s="2"/>
        <tr r="CI72" s="2"/>
        <tr r="BI48" s="2"/>
        <tr r="AX404" s="2"/>
        <tr r="BR209" s="2"/>
        <tr r="BI314" s="2"/>
        <tr r="BJ405" s="2"/>
        <tr r="CH52" s="2"/>
        <tr r="CI462" s="2"/>
        <tr r="BT395" s="2"/>
        <tr r="AW82" s="2"/>
        <tr r="BI363" s="2"/>
        <tr r="BS165" s="2"/>
        <tr r="AV272" s="2"/>
        <tr r="BI445" s="2"/>
        <tr r="BI361" s="2"/>
        <tr r="BT409" s="2"/>
        <tr r="AX387" s="2"/>
        <tr r="AT408" s="2"/>
        <tr r="CH105" s="2"/>
        <tr r="BS370" s="2"/>
        <tr r="BT213" s="2"/>
        <tr r="AW328" s="2"/>
        <tr r="AQ401" s="2"/>
        <tr r="BH66" s="2"/>
        <tr r="BG189" s="2"/>
        <tr r="BT298" s="2"/>
        <tr r="BH177" s="2"/>
        <tr r="BH268" s="2"/>
        <tr r="BG341" s="2"/>
        <tr r="CI189" s="2"/>
        <tr r="BG69" s="2"/>
        <tr r="CH350" s="2"/>
        <tr r="BG328" s="2"/>
        <tr r="CH156" s="2"/>
        <tr r="CI363" s="2"/>
        <tr r="CH36" s="2"/>
        <tr r="CI397" s="2"/>
        <tr r="BT29" s="2"/>
        <tr r="BS297" s="2"/>
        <tr r="BS218" s="2"/>
        <tr r="BJ278" s="2"/>
        <tr r="BH228" s="2"/>
        <tr r="AV423" s="2"/>
        <tr r="BH353" s="2"/>
        <tr r="BS86" s="2"/>
        <tr r="BG130" s="2"/>
        <tr r="BG294" s="2"/>
        <tr r="BI448" s="2"/>
        <tr r="BZ180" s="2"/>
        <tr r="CB313" s="2"/>
        <tr r="CC198" s="2"/>
        <tr r="CC166" s="2"/>
        <tr r="CE329" s="2"/>
        <tr r="BI69" s="2"/>
        <tr r="CA218" s="2"/>
        <tr r="CA399" s="2"/>
        <tr r="CC161" s="2"/>
        <tr r="CE242" s="2"/>
        <tr r="CE192" s="2"/>
        <tr r="BJ17" s="2"/>
        <tr r="BJ16" s="2"/>
        <tr r="BZ161" s="2"/>
        <tr r="CA464" s="2"/>
        <tr r="CA370" s="2"/>
        <tr r="CC274" s="2"/>
        <tr r="CE139" s="2"/>
        <tr r="CE18" s="2"/>
        <tr r="BI366" s="2"/>
        <tr r="BJ433" s="2"/>
        <tr r="CC406" s="2"/>
        <tr r="CA73" s="2"/>
        <tr r="CD324" s="2"/>
        <tr r="CD425" s="2"/>
        <tr r="AU268" s="2"/>
        <tr r="BY97" s="2"/>
        <tr r="BY397" s="2"/>
        <tr r="CB109" s="2"/>
        <tr r="CD40" s="2"/>
        <tr r="CE321" s="2"/>
        <tr r="CF28" s="2"/>
        <tr r="BJ463" s="2"/>
        <tr r="CA419" s="2"/>
        <tr r="CB309" s="2"/>
        <tr r="CB411" s="2"/>
        <tr r="CC138" s="2"/>
        <tr r="CD52" s="2"/>
        <tr r="CF370" s="2"/>
        <tr r="BJ270" s="2"/>
        <tr r="BG321" s="2"/>
        <tr r="BG82" s="2"/>
        <tr r="BH298" s="2"/>
        <tr r="CI103" s="2"/>
        <tr r="BS322" s="2"/>
        <tr r="CH382" s="2"/>
        <tr r="BG40" s="2"/>
        <tr r="CH337" s="2"/>
        <tr r="CH428" s="2"/>
        <tr r="BI452" s="2"/>
        <tr r="BI465" s="2"/>
        <tr r="BS304" s="2"/>
        <tr r="CH398" s="2"/>
        <tr r="AV308" s="2"/>
        <tr r="BI101" s="2"/>
        <tr r="BH148" s="2"/>
        <tr r="BG170" s="2"/>
        <tr r="CI208" s="2"/>
        <tr r="BH183" s="2"/>
        <tr r="CH208" s="2"/>
        <tr r="CH437" s="2"/>
        <tr r="CI281" s="2"/>
        <tr r="BG29" s="2"/>
        <tr r="BJ395" s="2"/>
        <tr r="BJ403" s="2"/>
        <tr r="BR375" s="2"/>
        <tr r="BR445" s="2"/>
        <tr r="BJ415" s="2"/>
        <tr r="BI377" s="2"/>
        <tr r="CI204" s="2"/>
        <tr r="AW247" s="2"/>
        <tr r="CH275" s="2"/>
        <tr r="BG387" s="2"/>
        <tr r="BH342" s="2"/>
        <tr r="BH333" s="2"/>
        <tr r="BG405" s="2"/>
        <tr r="BT392" s="2"/>
        <tr r="BI349" s="2"/>
        <tr r="AV59" s="2"/>
        <tr r="CH432" s="2"/>
        <tr r="BT299" s="2"/>
        <tr r="BT153" s="2"/>
        <tr r="BT241" s="2"/>
        <tr r="BH427" s="2"/>
        <tr r="BG212" s="2"/>
        <tr r="BT389" s="2"/>
        <tr r="BQ129" s="2"/>
        <tr r="CH119" s="2"/>
        <tr r="CH271" s="2"/>
        <tr r="CI261" s="2"/>
        <tr r="BJ28" s="2"/>
        <tr r="CH291" s="2"/>
        <tr r="CI194" s="2"/>
        <tr r="AW70" s="2"/>
        <tr r="CH359" s="2"/>
        <tr r="BH137" s="2"/>
        <tr r="BG336" s="2"/>
        <tr r="BS321" s="2"/>
        <tr r="AN56" s="2"/>
        <tr r="BH347" s="2"/>
        <tr r="BR411" s="2"/>
        <tr r="BT113" s="2"/>
        <tr r="CI115" s="2"/>
        <tr r="BR383" s="2"/>
        <tr r="CI162" s="2"/>
        <tr r="BG73" s="2"/>
        <tr r="BQ137" s="2"/>
        <tr r="AW441" s="2"/>
        <tr r="BJ143" s="2"/>
        <tr r="CI178" s="2"/>
        <tr r="AW204" s="2"/>
        <tr r="AU38" s="2"/>
        <tr r="AW131" s="2"/>
        <tr r="AW284" s="2"/>
        <tr r="BG109" s="2"/>
        <tr r="AS345" s="2"/>
        <tr r="BQ433" s="2"/>
        <tr r="BR416" s="2"/>
        <tr r="AV266" s="2"/>
        <tr r="BI109" s="2"/>
        <tr r="BH156" s="2"/>
        <tr r="BJ157" s="2"/>
        <tr r="CH88" s="2"/>
        <tr r="CH427" s="2"/>
        <tr r="CH211" s="2"/>
        <tr r="CG399" s="2"/>
        <tr r="BI57" s="2"/>
        <tr r="AQ222" s="2"/>
        <tr r="CI55" s="2"/>
        <tr r="BR224" s="2"/>
        <tr r="BQ346" s="2"/>
        <tr r="BJ442" s="2"/>
        <tr r="CI268" s="2"/>
        <tr r="AW344" s="2"/>
        <tr r="AW69" s="2"/>
        <tr r="BI208" s="2"/>
        <tr r="BH358" s="2"/>
        <tr r="BH341" s="2"/>
        <tr r="BJ268" s="2"/>
        <tr r="CI68" s="2"/>
        <tr r="AV300" s="2"/>
        <tr r="CH353" s="2"/>
        <tr r="BR92" s="2"/>
        <tr r="CH263" s="2"/>
        <tr r="AS258" s="2"/>
        <tr r="BG38" s="2"/>
        <tr r="BQ55" s="2"/>
        <tr r="AW91" s="2"/>
        <tr r="CI267" s="2"/>
        <tr r="AN287" s="2"/>
        <tr r="BH91" s="2"/>
        <tr r="BH335" s="2"/>
        <tr r="CI138" s="2"/>
        <tr r="CH396" s="2"/>
        <tr r="CI176" s="2"/>
        <tr r="CH81" s="2"/>
        <tr r="BT295" s="2"/>
        <tr r="BQ237" s="2"/>
        <tr r="BH207" s="2"/>
        <tr r="BG161" s="2"/>
        <tr r="CI39" s="2"/>
        <tr r="BI27" s="2"/>
        <tr r="BH114" s="2"/>
        <tr r="BG142" s="2"/>
        <tr r="BT176" s="2"/>
        <tr r="BR131" s="2"/>
        <tr r="BI316" s="2"/>
        <tr r="BH93" s="2"/>
        <tr r="BH381" s="2"/>
        <tr r="CI303" s="2"/>
        <tr r="AT163" s="2"/>
        <tr r="CH373" s="2"/>
        <tr r="CH79" s="2"/>
        <tr r="BT25" s="2"/>
        <tr r="AU228" s="2"/>
        <tr r="BH447" s="2"/>
        <tr r="BG290" s="2"/>
        <tr r="BH297" s="2"/>
        <tr r="CI355" s="2"/>
        <tr r="CH97" s="2"/>
        <tr r="BS175" s="2"/>
        <tr r="AU425" s="2"/>
        <tr r="BS91" s="2"/>
        <tr r="CI155" s="2"/>
        <tr r="CH384" s="2"/>
        <tr r="CH268" s="2"/>
        <tr r="BT362" s="2"/>
        <tr r="AQ77" s="2"/>
        <tr r="BH376" s="2"/>
        <tr r="BG186" s="2"/>
        <tr r="CI171" s="2"/>
        <tr r="BI213" s="2"/>
        <tr r="BH195" s="2"/>
        <tr r="BG465" s="2"/>
        <tr r="CI418" s="2"/>
        <tr r="CH135" s="2"/>
        <tr r="BQ446" s="2"/>
        <tr r="BI309" s="2"/>
        <tr r="BG151" s="2"/>
        <tr r="BG429" s="2"/>
        <tr r="BT391" s="2"/>
        <tr r="CI401" s="2"/>
        <tr r="AT223" s="2"/>
        <tr r="CH441" s="2"/>
        <tr r="BQ280" s="2"/>
        <tr r="AS392" s="2"/>
        <tr r="BH88" s="2"/>
        <tr r="BG306" s="2"/>
        <tr r="BH394" s="2"/>
        <tr r="CH444" s="2"/>
        <tr r="BS415" s="2"/>
        <tr r="CI460" s="2"/>
        <tr r="AT233" s="2"/>
        <tr r="BR268" s="2"/>
        <tr r="BT366" s="2"/>
        <tr r="AU33" s="2"/>
        <tr r="BJ317" s="2"/>
        <tr r="BI165" s="2"/>
        <tr r="BH212" s="2"/>
        <tr r="BG346" s="2"/>
        <tr r="CI313" s="2"/>
        <tr r="BJ103" s="2"/>
        <tr r="BJ79" s="2"/>
        <tr r="BG292" s="2"/>
        <tr r="CI49" s="2"/>
        <tr r="BQ419" s="2"/>
        <tr r="AV279" s="2"/>
        <tr r="CH114" s="2"/>
        <tr r="BR281" s="2"/>
        <tr r="CH80" s="2"/>
        <tr r="BI123" s="2"/>
        <tr r="CI416" s="2"/>
        <tr r="BR134" s="2"/>
        <tr r="BQ81" s="2"/>
        <tr r="AX80" s="2"/>
        <tr r="CH14" s="2"/>
        <tr r="AT61" s="2"/>
        <tr r="AN432" s="2"/>
        <tr r="BY448" s="2"/>
        <tr r="BZ148" s="2"/>
        <tr r="BX81" s="2"/>
        <tr r="CB115" s="2"/>
        <tr r="CE206" s="2"/>
        <tr r="CD213" s="2"/>
        <tr r="BI224" s="2"/>
        <tr r="CB131" s="2"/>
        <tr r="CB449" s="2"/>
        <tr r="CC239" s="2"/>
        <tr r="CD394" s="2"/>
        <tr r="CF289" s="2"/>
        <tr r="BJ36" s="2"/>
        <tr r="BH458" s="2"/>
        <tr r="CA274" s="2"/>
        <tr r="CB117" s="2"/>
        <tr r="CB338" s="2"/>
        <tr r="CC156" s="2"/>
        <tr r="CD83" s="2"/>
        <tr r="CF178" s="2"/>
        <tr r="BJ269" s="2"/>
        <tr r="BG183" s="2"/>
        <tr r="CA339" s="2"/>
        <tr r="BZ385" s="2"/>
        <tr r="CE340" s="2"/>
        <tr r="CE308" s="2"/>
        <tr r="BH457" s="2"/>
        <tr r="BJ91" s="2"/>
        <tr r="BZ397" s="2"/>
        <tr r="CB174" s="2"/>
        <tr r="CB43" s="2"/>
        <tr r="CB349" s="2"/>
        <tr r="CF98" s="2"/>
        <tr r="CF171" s="2"/>
        <tr r="CI188" s="2"/>
        <tr r="BZ152" s="2"/>
        <tr r="CA97" s="2"/>
        <tr r="BZ137" s="2"/>
        <tr r="CD91" s="2"/>
        <tr r="CE465" s="2"/>
        <tr r="CD438" s="2"/>
        <tr r="BI341" s="2"/>
        <tr r="BI148" s="2"/>
        <tr r="BJ176" s="2"/>
        <tr r="CI243" s="2"/>
        <tr r="AV213" s="2"/>
        <tr r="BT338" s="2"/>
        <tr r="BJ422" s="2"/>
        <tr r="CH445" s="2"/>
        <tr r="CH456" s="2"/>
        <tr r="BG380" s="2"/>
        <tr r="AX139" s="2"/>
        <tr r="CI376" s="2"/>
        <tr r="BT361" s="2"/>
        <tr r="BG105" s="2"/>
        <tr r="BH417" s="2"/>
        <tr r="BG172" s="2"/>
        <tr r="AU259" s="2"/>
        <tr r="CG261" s="2"/>
        <tr r="AT244" s="2"/>
        <tr r="AS224" s="2"/>
        <tr r="BS41" s="2"/>
        <tr r="BR455" s="2"/>
        <tr r="BH359" s="2"/>
        <tr r="BI205" s="2"/>
        <tr r="BH419" s="2"/>
        <tr r="BS440" s="2"/>
        <tr r="AS351" s="2"/>
        <tr r="BH74" s="2"/>
        <tr r="BT375" s="2"/>
        <tr r="CH334" s="2"/>
        <tr r="CI320" s="2"/>
        <tr r="BT324" s="2"/>
        <tr r="CI151" s="2"/>
        <tr r="BG240" s="2"/>
        <tr r="CH180" s="2"/>
        <tr r="CH146" s="2"/>
        <tr r="BS272" s="2"/>
        <tr r="CI318" s="2"/>
        <tr r="BT447" s="2"/>
        <tr r="AV349" s="2"/>
        <tr r="AU187" s="2"/>
        <tr r="AU427" s="2"/>
        <tr r="BG12" s="2"/>
        <tr r="BT171" s="2"/>
        <tr r="BR351" s="2"/>
        <tr r="CI82" s="2"/>
        <tr r="AV194" s="2"/>
        <tr r="CH130" s="2"/>
        <tr r="BS196" s="2"/>
        <tr r="BI151" s="2"/>
        <tr r="BR413" s="2"/>
        <tr r="BT258" s="2"/>
        <tr r="BI186" s="2"/>
        <tr r="BJ286" s="2"/>
        <tr r="BJ262" s="2"/>
        <tr r="BI310" s="2"/>
        <tr r="BI237" s="2"/>
        <tr r="BH284" s="2"/>
        <tr r="BJ20" s="2"/>
        <tr r="BQ457" s="2"/>
        <tr r="BR26" s="2"/>
        <tr r="BI14" s="2"/>
        <tr r="BJ451" s="2"/>
        <tr r="CI429" s="2"/>
        <tr r="AV313" s="2"/>
        <tr r="AV257" s="2"/>
        <tr r="BI278" s="2"/>
        <tr r="BT161" s="2"/>
        <tr r="AX185" s="2"/>
        <tr r="BI297" s="2"/>
        <tr r="BI78" s="2"/>
        <tr r="BG324" s="2"/>
        <tr r="AX415" s="2"/>
        <tr r="CH170" s="2"/>
        <tr r="AX173" s="2"/>
        <tr r="BT290" s="2"/>
        <tr r="BG413" s="2"/>
        <tr r="BH465" s="2"/>
        <tr r="BG180" s="2"/>
        <tr r="AW438" s="2"/>
        <tr r="BG378" s="2"/>
        <tr r="CH107" s="2"/>
        <tr r="CI30" s="2"/>
        <tr r="BQ459" s="2"/>
        <tr r="AU408" s="2"/>
        <tr r="BJ188" s="2"/>
        <tr r="BI22" s="2"/>
        <tr r="CH356" s="2"/>
        <tr r="BS121" s="2"/>
        <tr r="BI41" s="2"/>
        <tr r="BI93" s="2"/>
        <tr r="AX361" s="2"/>
        <tr r="CH235" s="2"/>
        <tr r="CI361" s="2"/>
        <tr r="BI130" s="2"/>
        <tr r="BH145" s="2"/>
        <tr r="BG248" s="2"/>
        <tr r="CH110" s="2"/>
        <tr r="BG46" s="2"/>
        <tr r="CH31" s="2"/>
        <tr r="CI207" s="2"/>
        <tr r="BT39" s="2"/>
        <tr r="CH8" s="2"/>
        <tr r="CH72" s="2"/>
        <tr r="BH429" s="2"/>
        <tr r="BQ279" s="2"/>
        <tr r="AU69" s="2"/>
        <tr r="CH200" s="2"/>
        <tr r="BH92" s="2"/>
        <tr r="AX396" s="2"/>
        <tr r="BS47" s="2"/>
        <tr r="BT286" s="2"/>
        <tr r="BT437" s="2"/>
        <tr r="BJ443" s="2"/>
        <tr r="BI299" s="2"/>
        <tr r="BH58" s="2"/>
        <tr r="BG442" s="2"/>
        <tr r="CH306" s="2"/>
        <tr r="AV231" s="2"/>
        <tr r="CI66" s="2"/>
        <tr r="BG309" s="2"/>
        <tr r="CI147" s="2"/>
        <tr r="CH163" s="2"/>
        <tr r="BI144" s="2"/>
        <tr r="BH286" s="2"/>
        <tr r="BH277" s="2"/>
        <tr r="BJ94" s="2"/>
        <tr r="CH83" s="2"/>
        <tr r="CI438" s="2"/>
        <tr r="BT67" s="2"/>
        <tr r="BJ162" s="2"/>
        <tr r="BI290" s="2"/>
        <tr r="BH217" s="2"/>
        <tr r="BG320" s="2"/>
        <tr r="CI260" s="2"/>
        <tr r="BG454" s="2"/>
        <tr r="CH54" s="2"/>
        <tr r="BT40" s="2"/>
        <tr r="BT371" s="2"/>
        <tr r="CG260" s="2"/>
        <tr r="BH39" s="2"/>
        <tr r="BQ314" s="2"/>
        <tr r="BQ461" s="2"/>
        <tr r="BJ132" s="2"/>
        <tr r="BI172" s="2"/>
        <tr r="BH139" s="2"/>
        <tr r="BG409" s="2"/>
        <tr r="AX306" s="2"/>
        <tr r="BJ120" s="2"/>
        <tr r="AO168" s="2"/>
        <tr r="BG419" s="2"/>
        <tr r="CH316" s="2"/>
        <tr r="AX317" s="2"/>
        <tr r="BI145" s="2"/>
        <tr r="BH423" s="2"/>
        <tr r="BG143" s="2"/>
        <tr r="BJ199" s="2"/>
        <tr r="BS442" s="2"/>
        <tr r="BT239" s="2"/>
        <tr r="AW448" s="2"/>
        <tr r="BJ227" s="2"/>
        <tr r="BI227" s="2"/>
        <tr r="BH314" s="2"/>
        <tr r="BG153" s="2"/>
        <tr r="BT98" s="2"/>
        <tr r="BG187" s="2"/>
        <tr r="BT104" s="2"/>
        <tr r="AV416" s="2"/>
        <tr r="CG224" s="2"/>
        <tr r="CG91" s="2"/>
        <tr r="BH176" s="2"/>
        <tr r="BR433" s="2"/>
        <tr r="BI155" s="2"/>
        <tr r="BG361" s="2"/>
        <tr r="BG254" s="2"/>
        <tr r="BG236" s="2"/>
        <tr r="CI8" s="2"/>
        <tr r="CI233" s="2"/>
        <tr r="BI177" s="2"/>
        <tr r="BI174" s="2"/>
        <tr r="BS55" s="2"/>
        <tr r="CI20" s="2"/>
        <tr r="AV15" s="2"/>
        <tr r="BT335" s="2"/>
        <tr r="BS46" s="2"/>
        <tr r="BH294" s="2"/>
        <tr r="AV206" s="2"/>
        <tr r="BG420" s="2"/>
        <tr r="CH18" s="2"/>
        <tr r="BT23" s="2"/>
        <tr r="CG65" s="2"/>
        <tr r="BT270" s="2"/>
        <tr r="BJ243" s="2"/>
        <tr r="BH33" s="2"/>
        <tr r="CH116" s="2"/>
        <tr r="BG149" s="2"/>
        <tr r="CI6" s="2"/>
        <tr r="BH337" s="2"/>
        <tr r="BG440" s="2"/>
        <tr r="CH352" s="2"/>
        <tr r="CH113" s="2"/>
        <tr r="CH332" s="2"/>
        <tr r="BI346" s="2"/>
        <tr r="BZ253" s="2"/>
        <tr r="CB64" s="2"/>
        <tr r="CA311" s="2"/>
        <tr r="CB337" s="2"/>
        <tr r="CC172" s="2"/>
        <tr r="CE270" s="2"/>
        <tr r="BJ248" s="2"/>
        <tr r="BI8" s="2"/>
        <tr r="BZ413" s="2"/>
        <tr r="CC82" s="2"/>
        <tr r="CD410" s="2"/>
        <tr r="CE19" s="2"/>
        <tr r="CD148" s="2"/>
        <tr r="BH300" s="2"/>
        <tr r="BI166" s="2"/>
        <tr r="BZ262" s="2"/>
        <tr r="CA448" s="2"/>
        <tr r="BY68" s="2"/>
        <tr r="CD323" s="2"/>
        <tr r="CE164" s="2"/>
        <tr r="CD413" s="2"/>
        <tr r="BG78" s="2"/>
        <tr r="BI386" s="2"/>
        <tr r="CB84" s="2"/>
        <tr r="CC379" s="2"/>
        <tr r="CD125" s="2"/>
        <tr r="CB95" s="2"/>
        <tr r="BI294" s="2"/>
        <tr r="AW193" s="2"/>
        <tr r="BY241" s="2"/>
        <tr r="CA179" s="2"/>
        <tr r="CD296" s="2"/>
        <tr r="CD434" s="2"/>
        <tr r="CD115" s="2"/>
        <tr r="CF172" s="2"/>
        <tr r="BJ233" s="2"/>
        <tr r="CA424" s="2"/>
        <tr r="CB299" s="2"/>
        <tr r="CB295" s="2"/>
        <tr r="CC154" s="2"/>
        <tr r="CD124" s="2"/>
        <tr r="CF214" s="2"/>
        <tr r="BJ206" s="2"/>
        <tr r="CI161" s="2"/>
        <tr r="BJ77" s="2"/>
        <tr r="BI358" s="2"/>
        <tr r="BT283" s="2"/>
        <tr r="AW250" s="2"/>
        <tr r="BI425" s="2"/>
        <tr r="BI384" s="2"/>
        <tr r="CH197" s="2"/>
        <tr r="AU7" s="2"/>
        <tr r="CH194" s="2"/>
        <tr r="BH127" s="2"/>
        <tr r="BH102" s="2"/>
        <tr r="AV49" s="2"/>
        <tr r="BJ63" s="2"/>
        <tr r="BT434" s="2"/>
        <tr r="CI330" s="2"/>
        <tr r="BT136" s="2"/>
        <tr r="BJ375" s="2"/>
        <tr r="CH418" s="2"/>
        <tr r="BT53" s="2"/>
        <tr r="BI395" s="2"/>
        <tr r="BJ300" s="2"/>
        <tr r="AU75" s="2"/>
        <tr r="BJ302" s="2"/>
        <tr r="BI244" s="2"/>
        <tr r="BH211" s="2"/>
        <tr r="BG301" s="2"/>
        <tr r="BJ394" s="2"/>
        <tr r="CH220" s="2"/>
        <tr r="BS458" s="2"/>
        <tr r="BJ129" s="2"/>
        <tr r="BT376" s="2"/>
        <tr r="BT88" s="2"/>
        <tr r="BR296" s="2"/>
        <tr r="BJ333" s="2"/>
        <tr r="CH406" s="2"/>
        <tr r="AV316" s="2"/>
        <tr r="BI168" s="2"/>
        <tr r="BJ309" s="2"/>
        <tr r="BG451" s="2"/>
        <tr r="CH405" s="2"/>
        <tr r="BR386" s="2"/>
        <tr r="BQ37" s="2"/>
        <tr r="CI150" s="2"/>
        <tr r="BH181" s="2"/>
        <tr r="BT24" s="2"/>
        <tr r="CH50" s="2"/>
        <tr r="BS36" s="2"/>
        <tr r="BI181" s="2"/>
        <tr r="BG14" s="2"/>
        <tr r="BG214" s="2"/>
        <tr r="BI280" s="2"/>
        <tr r="BH255" s="2"/>
        <tr r="BG71" s="2"/>
        <tr r="BG308" s="2"/>
        <tr r="CI190" s="2"/>
        <tr r="BH236" s="2"/>
        <tr r="BR158" s="2"/>
        <tr r="CG282" s="2"/>
        <tr r="BH202" s="2"/>
        <tr r="BI221" s="2"/>
        <tr r="AW426" s="2"/>
        <tr r="CH385" s="2"/>
        <tr r="CH336" s="2"/>
        <tr r="BG439" s="2"/>
        <tr r="AX180" s="2"/>
        <tr r="BI444" s="2"/>
        <tr r="BH285" s="2"/>
        <tr r="BH23" s="2"/>
        <tr r="BS233" s="2"/>
        <tr r="AU95" s="2"/>
        <tr r="CI25" s="2"/>
        <tr r="AW290" s="2"/>
        <tr r="BT214" s="2"/>
        <tr r="BQ302" s="2"/>
        <tr r="BT427" s="2"/>
        <tr r="BT306" s="2"/>
        <tr r="BJ7" s="2"/>
        <tr r="BT233" s="2"/>
        <tr r="CH27" s="2"/>
        <tr r="AS164" s="2"/>
        <tr r="BJ462" s="2"/>
        <tr r="BH317" s="2"/>
        <tr r="BG348" s="2"/>
        <tr r="BS393" s="2"/>
        <tr r="BI252" s="2"/>
        <tr r="BH29" s="2"/>
        <tr r="BS464" s="2"/>
        <tr r="AV400" s="2"/>
        <tr r="CH284" s="2"/>
        <tr r="AW340" s="2"/>
        <tr r="CH358" s="2"/>
        <tr r="BG434" s="2"/>
        <tr r="BT169" s="2"/>
        <tr r="CI345" s="2"/>
        <tr r="BJ166" s="2"/>
        <tr r="CH11" s="2"/>
        <tr r="CH411" s="2"/>
        <tr r="BR114" s="2"/>
        <tr r="AV287" s="2"/>
        <tr r="AV128" s="2"/>
        <tr r="CI314" s="2"/>
        <tr r="AX90" s="2"/>
        <tr r="CH426" s="2"/>
        <tr r="AU407" s="2"/>
        <tr r="BG116" s="2"/>
        <tr r="AX61" s="2"/>
        <tr r="BJ398" s="2"/>
        <tr r="CH345" s="2"/>
        <tr r="CG458" s="2"/>
        <tr r="BI424" s="2"/>
        <tr r="BH296" s="2"/>
        <tr r="BH204" s="2"/>
        <tr r="BG322" s="2"/>
        <tr r="CI28" s="2"/>
        <tr r="BI62" s="2"/>
        <tr r="BJ76" s="2"/>
        <tr r="CI424" s="2"/>
        <tr r="BQ451" s="2"/>
        <tr r="CI327" s="2"/>
        <tr r="AU178" s="2"/>
        <tr r="BH81" s="2"/>
        <tr r="BG184" s="2"/>
        <tr r="CI309" s="2"/>
        <tr r="BI128" s="2"/>
        <tr r="AW381" s="2"/>
        <tr r="BQ260" s="2"/>
        <tr r="BI442" s="2"/>
        <tr r="BH118" s="2"/>
        <tr r="BH387" s="2"/>
        <tr r="BG102" s="2"/>
        <tr r="CI86" s="2"/>
        <tr r="CH300" s="2"/>
        <tr r="CH155" s="2"/>
        <tr r="AU391" s="2"/>
        <tr r="BQ454" s="2"/>
        <tr r="BT181" s="2"/>
        <tr r="BG18" s="2"/>
        <tr r="AV242" s="2"/>
        <tr r="BI58" s="2"/>
        <tr r="BH101" s="2"/>
        <tr r="BH133" s="2"/>
        <tr r="BG363" s="2"/>
        <tr r="BT425" s="2"/>
        <tr r="BI463" s="2"/>
        <tr r="BJ237" s="2"/>
        <tr r="CH9" s="2"/>
        <tr r="BT65" s="2"/>
        <tr r="BT415" s="2"/>
        <tr r="BR434" s="2"/>
        <tr r="BH178" s="2"/>
        <tr r="BG17" s="2"/>
        <tr r="BT51" s="2"/>
        <tr r="BI305" s="2"/>
        <tr r="BT187" s="2"/>
        <tr r="BQ21" s="2"/>
        <tr r="BI196" s="2"/>
        <tr r="BH99" s="2"/>
        <tr r="BH460" s="2"/>
        <tr r="BG107" s="2"/>
        <tr r="CH219" s="2"/>
        <tr r="CI421" s="2"/>
        <tr r="BR402" s="2"/>
        <tr r="AX397" s="2"/>
        <tr r="AX279" s="2"/>
        <tr r="BR347" s="2"/>
        <tr r="BG203" s="2"/>
        <tr r="BS99" s="2"/>
        <tr r="BG72" s="2"/>
        <tr r="BJ127" s="2"/>
        <tr r="BT101" s="2"/>
        <tr r="CI458" s="2"/>
        <tr r="BT42" s="2"/>
        <tr r="CI118" s="2"/>
        <tr r="BQ246" s="2"/>
        <tr r="CH379" s="2"/>
        <tr r="CH425" s="2"/>
        <tr r="BJ325" s="2"/>
        <tr r="BT131" s="2"/>
        <tr r="AX17" s="2"/>
        <tr r="BQ182" s="2"/>
        <tr r="BG89" s="2"/>
        <tr r="BI376" s="2"/>
        <tr r="BT417" s="2"/>
        <tr r="BS176" s="2"/>
        <tr r="BG370" s="2"/>
        <tr r="CI87" s="2"/>
        <tr r="AW351" s="2"/>
        <tr r="BI381" s="2"/>
        <tr r="BG16" s="2"/>
        <tr r="BH389" s="2"/>
        <tr r="BG318" s="2"/>
        <tr r="CI157" s="2"/>
        <tr r="AX270" s="2"/>
        <tr r="BT279" s="2"/>
        <tr r="CI116" s="2"/>
        <tr r="AW345" s="2"/>
        <tr r="AW352" s="2"/>
        <tr r="AW232" s="2"/>
        <tr r="BG173" s="2"/>
        <tr r="AX461" s="2"/>
        <tr r="BI61" s="2"/>
        <tr r="BG48" s="2"/>
        <tr r="BG446" s="2"/>
        <tr r="CH216" s="2"/>
        <tr r="CH62" s="2"/>
        <tr r="BI362" s="2"/>
        <tr r="BI120" s="2"/>
        <tr r="CI297" s="2"/>
        <tr r="CH414" s="2"/>
        <tr r="CI183" s="2"/>
        <tr r="CG297" s="2"/>
        <tr r="BH332" s="2"/>
        <tr r="BG310" s="2"/>
        <tr r="CH103" s="2"/>
        <tr r="BI455" s="2"/>
        <tr r="BQ118" s="2"/>
        <tr r="AV107" s="2"/>
        <tr r="BH87" s="2"/>
        <tr r="BG347" s="2"/>
        <tr r="BG255" s="2"/>
        <tr r="BG45" s="2"/>
        <tr r="CI196" s="2"/>
        <tr r="CI17" s="2"/>
        <tr r="AW275" s="2"/>
        <tr r="CH45" s="2"/>
        <tr r="AW10" s="2"/>
        <tr r="AV321" s="2"/>
        <tr r="AV236" s="2"/>
        <tr r="AV350" s="2"/>
        <tr r="BT439" s="2"/>
        <tr r="BS374" s="2"/>
        <tr r="BJ142" s="2"/>
        <tr r="BI246" s="2"/>
        <tr r="BI173" s="2"/>
        <tr r="BH220" s="2"/>
        <tr r="BJ465" s="2"/>
        <tr r="BG317" s="2"/>
        <tr r="BG63" s="2"/>
        <tr r="BG300" s="2"/>
        <tr r="CI113" s="2"/>
        <tr r="BT255" s="2"/>
        <tr r="BR203" s="2"/>
        <tr r="CG315" s="2"/>
        <tr r="BH97" s="2"/>
        <tr r="BG390" s="2"/>
        <tr r="AW76" s="2"/>
        <tr r="CH423" s="2"/>
        <tr r="CH455" s="2"/>
        <tr r="BS190" s="2"/>
        <tr r="BS422" s="2"/>
        <tr r="BJ408" s="2"/>
        <tr r="BI436" s="2"/>
        <tr r="BH403" s="2"/>
        <tr r="BH390" s="2"/>
        <tr r="CI212" s="2"/>
        <tr r="CH212" s="2"/>
        <tr r="BT87" s="2"/>
        <tr r="AO364" s="2"/>
        <tr r="BQ103" s="2"/>
        <tr r="CH367" s="2"/>
        <tr r="AS419" s="2"/>
        <tr r="BT79" s="2"/>
        <tr r="BQ436" s="2"/>
        <tr r="BQ334" s="2"/>
        <tr r="AR438" s="2"/>
        <tr r="AX143" s="2"/>
        <tr r="AU158" s="2"/>
        <tr r="AS281" s="2"/>
        <tr r="BG286" s="2"/>
        <tr r="CH53" s="2"/>
        <tr r="BQ157" s="2"/>
        <tr r="BS174" s="2"/>
        <tr r="AX15" s="2"/>
        <tr r="AV345" s="2"/>
        <tr r="BH290" s="2"/>
        <tr r="AU299" s="2"/>
        <tr r="AW198" s="2"/>
        <tr r="BS178" s="2"/>
        <tr r="BH435" s="2"/>
        <tr r="BT394" s="2"/>
        <tr r="AV315" s="2"/>
        <tr r="BT347" s="2"/>
        <tr r="BH47" s="2"/>
        <tr r="AX258" s="2"/>
        <tr r="BT381" s="2"/>
        <tr r="BS177" s="2"/>
        <tr r="AU453" s="2"/>
        <tr r="BS185" s="2"/>
        <tr r="AW135" s="2"/>
        <tr r="AV33" s="2"/>
        <tr r="AV18" s="2"/>
        <tr r="CG289" s="2"/>
        <tr r="CG459" s="2"/>
        <tr r="AW171" s="2"/>
        <tr r="CI128" s="2"/>
        <tr r="CI104" s="2"/>
        <tr r="BS161" s="2"/>
        <tr r="CI441" s="2"/>
        <tr r="CH295" s="2"/>
        <tr r="AV361" s="2"/>
        <tr r="AU354" s="2"/>
        <tr r="CH19" s="2"/>
        <tr r="BH171" s="2"/>
        <tr r="BG190" s="2"/>
        <tr r="BT145" s="2"/>
        <tr r="BR118" s="2"/>
        <tr r="BH308" s="2"/>
        <tr r="BG117" s="2"/>
        <tr r="BS378" s="2"/>
        <tr r="BQ388" s="2"/>
        <tr r="BH440" s="2"/>
        <tr r="BG249" s="2"/>
        <tr r="AV336" s="2"/>
        <tr r="AW33" s="2"/>
        <tr r="AT241" s="2"/>
        <tr r="BH416" s="2"/>
        <tr r="BR84" s="2"/>
        <tr r="BS231" s="2"/>
        <tr r="BT363" s="2"/>
        <tr r="BT221" s="2"/>
        <tr r="AW102" s="2"/>
        <tr r="AV358" s="2"/>
        <tr r="CH154" s="2"/>
        <tr r="AV148" s="2"/>
        <tr r="CI64" s="2"/>
        <tr r="CI193" s="2"/>
        <tr r="CH312" s="2"/>
        <tr r="BR344" s="2"/>
        <tr r="CH58" s="2"/>
        <tr r="BT10" s="2"/>
        <tr r="AU276" s="2"/>
        <tr r="BR141" s="2"/>
        <tr r="BR290" s="2"/>
        <tr r="BH244" s="2"/>
        <tr r="BG13" s="2"/>
        <tr r="BS457" s="2"/>
        <tr r="BQ266" s="2"/>
        <tr r="BH237" s="2"/>
        <tr r="BR345" s="2"/>
        <tr r="AW462" s="2"/>
        <tr r="BH121" s="2"/>
        <tr r="BG26" s="2"/>
        <tr r="AU25" s="2"/>
        <tr r="AV181" s="2"/>
        <tr r="AP463" s="2"/>
        <tr r="BG431" s="2"/>
        <tr r="AX230" s="2"/>
        <tr r="BR444" s="2"/>
        <tr r="BS308" s="2"/>
        <tr r="BS310" s="2"/>
        <tr r="AU385" s="2"/>
        <tr r="AU112" s="2"/>
        <tr r="AR294" s="2"/>
        <tr r="CH32" s="2"/>
        <tr r="BT151" s="2"/>
        <tr r="AU49" s="2"/>
        <tr r="AR166" s="2"/>
        <tr r="CH446" s="2"/>
        <tr r="CH341" s="2"/>
        <tr r="BR108" s="2"/>
        <tr r="AR10" s="2"/>
        <tr r="AW280" s="2"/>
        <tr r="AU423" s="2"/>
        <tr r="AO288" s="2"/>
        <tr r="AV232" s="2"/>
        <tr r="AS338" s="2"/>
        <tr r="BH373" s="2"/>
        <tr r="BR91" s="2"/>
        <tr r="BT411" s="2"/>
        <tr r="AP150" s="2"/>
        <tr r="BG303" s="2"/>
        <tr r="BQ13" s="2"/>
        <tr r="BR343" s="2"/>
        <tr r="AR16" s="2"/>
        <tr r="BH418" s="2"/>
        <tr r="AU166" s="2"/>
        <tr r="AW432" s="2"/>
        <tr r="BS126" s="2"/>
        <tr r="BH111" s="2"/>
        <tr r="AX347" s="2"/>
        <tr r="BS159" s="2"/>
        <tr r="BR295" s="2"/>
        <tr r="BR208" s="2"/>
        <tr r="AX153" s="2"/>
        <tr r="AQ179" s="2"/>
        <tr r="AT194" s="2"/>
        <tr r="CH308" s="2"/>
        <tr r="BS352" s="2"/>
        <tr r="CI33" s="2"/>
        <tr r="AX243" s="2"/>
        <tr r="CH86" s="2"/>
        <tr r="CI209" s="2"/>
        <tr r="BS388" s="2"/>
        <tr r="CH326" s="2"/>
        <tr r="CH187" s="2"/>
        <tr r="BG39" s="2"/>
        <tr r="BQ163" s="2"/>
        <tr r="AV435" s="2"/>
        <tr r="BG152" s="2"/>
        <tr r="AX221" s="2"/>
        <tr r="AT319" s="2"/>
        <tr r="BH299" s="2"/>
        <tr r="BG84" s="2"/>
        <tr r="BT243" s="2"/>
        <tr r="BR415" s="2"/>
        <tr r="BH48" s="2"/>
        <tr r="BG313" s="2"/>
        <tr r="AV192" s="2"/>
        <tr r="AW19" s="2"/>
        <tr r="AX70" s="2"/>
        <tr r="AX135" s="2"/>
        <tr r="AP431" s="2"/>
        <tr r="AX358" s="2"/>
        <tr r="AW285" s="2"/>
        <tr r="BH45" s="2"/>
        <tr r="CH150" s="2"/>
        <tr r="AW295" s="2"/>
        <tr r="CH214" s="2"/>
        <tr r="BS344" s="2"/>
        <tr r="AU167" s="2"/>
        <tr r="BH138" s="2"/>
        <tr r="BT334" s="2"/>
        <tr r="AS160" s="2"/>
        <tr r="CI180" s="2"/>
        <tr r="BG196" s="2"/>
        <tr r="BS28" s="2"/>
        <tr r="BQ324" s="2"/>
        <tr r="BH24" s="2"/>
        <tr r="BG417" s="2"/>
        <tr r="BJ406" s="2"/>
        <tr r="CH61" s="2"/>
        <tr r="CI142" s="2"/>
        <tr r="AU43" s="2"/>
        <tr r="BT149" s="2"/>
        <tr r="BS382" s="2"/>
        <tr r="BH312" s="2"/>
        <tr r="AW461" s="2"/>
        <tr r="BR274" s="2"/>
        <tr r="BT68" s="2"/>
        <tr r="BH143" s="2"/>
        <tr r="BG97" s="2"/>
        <tr r="BJ288" s="2"/>
        <tr r="CI430" s="2"/>
        <tr r="CH68" s="2"/>
        <tr r="BS357" s="2"/>
        <tr r="CI286" s="2"/>
        <tr r="CI387" s="2"/>
        <tr r="BS83" s="2"/>
        <tr r="BT340" s="2"/>
        <tr r="BR251" s="2"/>
        <tr r="BJ207" s="2"/>
        <tr r="BG356" s="2"/>
        <tr r="CI434" s="2"/>
        <tr r="AX84" s="2"/>
        <tr r="CH98" s="2"/>
        <tr r="AW434" s="2"/>
        <tr r="AT274" s="2"/>
        <tr r="BH161" s="2"/>
        <tr r="BG59" s="2"/>
        <tr r="BJ32" s="2"/>
        <tr r="AX336" s="2"/>
        <tr r="CH159" s="2"/>
        <tr r="BS432" s="2"/>
        <tr r="CI46" s="2"/>
        <tr r="BS327" s="2"/>
        <tr r="BH34" s="2"/>
        <tr r="AU47" s="2"/>
        <tr r="AX112" s="2"/>
        <tr r="CG394" s="2"/>
        <tr r="CI48" s="2"/>
        <tr r="BT318" s="2"/>
        <tr r="AU27" s="2"/>
        <tr r="BI192" s="2"/>
        <tr r="BH191" s="2"/>
        <tr r="BG7" s="2"/>
        <tr r="BG244" s="2"/>
        <tr r="AU367" s="2"/>
        <tr r="BJ425" s="2"/>
        <tr r="BJ191" s="2"/>
        <tr r="BS255" s="2"/>
        <tr r="CI84" s="2"/>
        <tr r="BT43" s="2"/>
        <tr r="BI300" s="2"/>
        <tr r="BH267" s="2"/>
        <tr r="BG282" s="2"/>
        <tr r="AU254" s="2"/>
        <tr r="BJ323" s="2"/>
        <tr r="CH205" s="2"/>
        <tr r="BS68" s="2"/>
        <tr r="BJ181" s="2"/>
        <tr r="BI135" s="2"/>
        <tr r="BH367" s="2"/>
        <tr r="BH397" s="2"/>
        <tr r="BG358" s="2"/>
        <tr r="BS130" s="2"/>
        <tr r="CH184" s="2"/>
        <tr r="AU452" s="2"/>
        <tr r="BR44" s="2"/>
        <tr r="BH424" s="2"/>
        <tr r="BR116" s="2"/>
        <tr r="CH370" s="2"/>
        <tr r="BT166" s="2"/>
        <tr r="AU248" s="2"/>
        <tr r="AX234" s="2"/>
        <tr r="BS319" s="2"/>
        <tr r="AV235" s="2"/>
        <tr r="CG133" s="2"/>
        <tr r="BG93" s="2"/>
        <tr r="AT344" s="2"/>
        <tr r="CI382" s="2"/>
        <tr r="AW392" s="2"/>
        <tr r="BR61" s="2"/>
        <tr r="CI186" s="2"/>
        <tr r="BH90" s="2"/>
        <tr r="BG83" s="2"/>
        <tr r="AT7" s="2"/>
        <tr r="AU297" s="2"/>
        <tr r="BH235" s="2"/>
        <tr r="BG20" s="2"/>
        <tr r="BT211" s="2"/>
        <tr r="BR308" s="2"/>
        <tr r="BH318" s="2"/>
        <tr r="BG416" s="2"/>
        <tr r="AW134" s="2"/>
        <tr r="BQ199" s="2"/>
        <tr r="AX161" s="2"/>
        <tr r="BH53" s="2"/>
        <tr r="BS117" s="2"/>
        <tr r="CG453" s="2"/>
        <tr r="AU317" s="2"/>
        <tr r="AU457" s="2"/>
        <tr r="BQ230" s="2"/>
        <tr r="BR380" s="2"/>
        <tr r="AS244" s="2"/>
        <tr r="AV207" s="2"/>
        <tr r="BT281" s="2"/>
        <tr r="CH213" s="2"/>
        <tr r="AS300" s="2"/>
        <tr r="AV121" s="2"/>
        <tr r="CI156" s="2"/>
        <tr r="CH37" s="2"/>
        <tr r="AU454" s="2"/>
        <tr r="AW160" s="2"/>
        <tr r="AW288" s="2"/>
        <tr r="BG395" s="2"/>
        <tr r="CH436" s="2"/>
        <tr r="BS100" s="2"/>
        <tr r="AV425" s="2"/>
        <tr r="BG332" s="2"/>
        <tr r="AX359" s="2"/>
        <tr r="BR253" s="2"/>
        <tr r="AO8" s="2"/>
        <tr r="BG49" s="2"/>
        <tr r="AV47" s="2"/>
        <tr r="BR144" s="2"/>
        <tr r="BH365" s="2"/>
        <tr r="BR292" s="2"/>
        <tr r="AW210" s="2"/>
        <tr r="AS432" s="2"/>
        <tr r="AS232" s="2"/>
        <tr r="AO54" s="2"/>
        <tr r="AX351" s="2"/>
        <tr r="AX453" s="2"/>
        <tr r="AO378" s="2"/>
        <tr r="CI134" s="2"/>
        <tr r="CI389" s="2"/>
        <tr r="AX178" s="2"/>
        <tr r="CG141" s="2"/>
        <tr r="CH23" s="2"/>
        <tr r="CH101" s="2"/>
        <tr r="AX144" s="2"/>
        <tr r="AT112" s="2"/>
        <tr r="BS266" s="2"/>
        <tr r="BS363" s="2"/>
        <tr r="BG268" s="2"/>
        <tr r="BQ373" s="2"/>
        <tr r="BR298" s="2"/>
        <tr r="AT228" s="2"/>
        <tr r="AO216" s="2"/>
        <tr r="AX374" s="2"/>
        <tr r="BR408" s="2"/>
        <tr r="BG362" s="2"/>
        <tr r="BT144" s="2"/>
        <tr r="AU97" s="2"/>
        <tr r="BQ101" s="2"/>
        <tr r="BG231" s="2"/>
        <tr r="AE98" s="2"/>
        <tr r="AX302" s="2"/>
        <tr r="AU294" s="2"/>
        <tr r="CG40" s="2"/>
        <tr r="CG460" s="2"/>
        <tr r="AP306" s="2"/>
        <tr r="AV169" s="2"/>
        <tr r="CI109" s="2"/>
        <tr r="CH202" s="2"/>
        <tr r="BR78" s="2"/>
        <tr r="AU118" s="2"/>
        <tr r="CI139" s="2"/>
        <tr r="CH217" s="2"/>
        <tr r="BT254" s="2"/>
        <tr r="BQ450" s="2"/>
        <tr r="BS29" s="2"/>
        <tr r="AU269" s="2"/>
        <tr r="AR344" s="2"/>
        <tr r="CI348" s="2"/>
        <tr r="CI52" s="2"/>
        <tr r="BH173" s="2"/>
        <tr r="BR435" s="2"/>
        <tr r="AX357" s="2"/>
        <tr r="BG103" s="2"/>
        <tr r="BQ85" s="2"/>
        <tr r="AV131" s="2"/>
        <tr r="BH218" s="2"/>
        <tr r="BG211" s="2"/>
        <tr r="AS100" s="2"/>
        <tr r="AS448" s="2"/>
        <tr r="BH446" s="2"/>
        <tr r="BG154" s="2"/>
        <tr r="AW271" s="2"/>
        <tr r="AX366" s="2"/>
        <tr r="BR93" s="2"/>
        <tr r="BQ286" s="2"/>
        <tr r="AT373" s="2"/>
        <tr r="AS25" s="2"/>
        <tr r="AO448" s="2"/>
        <tr r="BT256" s="2"/>
        <tr r="AW428" s="2"/>
        <tr r="BS138" s="2"/>
        <tr r="AT75" s="2"/>
        <tr r="AU240" s="2"/>
        <tr r="AW152" s="2"/>
        <tr r="BT207" s="2"/>
        <tr r="AS461" s="2"/>
        <tr r="BS411" s="2"/>
        <tr r="BS125" s="2"/>
        <tr r="CH38" s="2"/>
        <tr r="AW334" s="2"/>
        <tr r="AX289" s="2"/>
        <tr r="BT202" s="2"/>
        <tr r="AV360" s="2"/>
        <tr r="AV397" s="2"/>
        <tr r="BG245" s="2"/>
        <tr r="BT311" s="2"/>
        <tr r="BR54" s="2"/>
        <tr r="AV133" s="2"/>
        <tr r="BG113" s="2"/>
        <tr r="AV264" s="2"/>
        <tr r="BR188" s="2"/>
        <tr r="AN64" s="2"/>
        <tr r="AT167" s="2"/>
        <tr r="BQ131" s="2"/>
        <tr r="AV258" s="2"/>
        <tr r="BR388" s="2"/>
        <tr r="BG389" s="2"/>
        <tr r="AV42" s="2"/>
        <tr r="AW324" s="2"/>
        <tr r="CI451" s="2"/>
        <tr r="BH226" s="2"/>
        <tr r="BR49" s="2"/>
        <tr r="BG437" s="2"/>
        <tr r="BS285" s="2"/>
        <tr r="CG452" s="2"/>
        <tr r="BR183" s="2"/>
        <tr r="AS176" s="2"/>
        <tr r="BQ177" s="2"/>
        <tr r="BH112" s="2"/>
        <tr r="BG377" s="2"/>
        <tr r="AV337" s="2"/>
        <tr r="AX64" s="2"/>
        <tr r="CI228" s="2"/>
        <tr r="BG266" s="2"/>
        <tr r="CH280" s="2"/>
        <tr r="BI394" s="2"/>
        <tr r="CH250" s="2"/>
        <tr r="CH229" s="2"/>
        <tr r="BT433" s="2"/>
        <tr r="BJ431" s="2"/>
        <tr r="BJ393" s="2"/>
        <tr r="CI396" s="2"/>
        <tr r="BT185" s="2"/>
        <tr r="CG424" s="2"/>
        <tr r="BI262" s="2"/>
        <tr r="BS198" s="2"/>
        <tr r="CI181" s="2"/>
        <tr r="AU65" s="2"/>
        <tr r="AT462" s="2"/>
        <tr r="BI364" s="2"/>
        <tr r="BH331" s="2"/>
        <tr r="BG229" s="2"/>
        <tr r="CI225" s="2"/>
        <tr r="BI50" s="2"/>
        <tr r="CH166" s="2"/>
        <tr r="AU218" s="2"/>
        <tr r="CH20" s="2"/>
        <tr r="BG132" s="2"/>
        <tr r="AU134" s="2"/>
        <tr r="BH249" s="2"/>
        <tr r="BG250" s="2"/>
        <tr r="AU212" s="2"/>
        <tr r="AW124" s="2"/>
        <tr r="CH189" s="2"/>
        <tr r="BR255" s="2"/>
        <tr r="BR167" s="2"/>
        <tr r="BH174" s="2"/>
        <tr r="CH186" s="2"/>
        <tr r="BG402" s="2"/>
        <tr r="BT277" s="2"/>
        <tr r="BS135" s="2"/>
        <tr r="BI332" s="2"/>
        <tr r="BI289" s="2"/>
        <tr r="CI19" s="2"/>
        <tr r="AX206" s="2"/>
        <tr r="CH56" s="2"/>
        <tr r="BH261" s="2"/>
        <tr r="BG85" s="2"/>
        <tr r="BS391" s="2"/>
        <tr r="BH104" s="2"/>
        <tr r="AV376" s="2"/>
        <tr r="AU249" s="2"/>
        <tr r="BH408" s="2"/>
        <tr r="CH24" s="2"/>
        <tr r="BG304" s="2"/>
        <tr r="CH149" s="2"/>
        <tr r="CH84" s="2"/>
        <tr r="CI255" s="2"/>
        <tr r="AX208" s="2"/>
        <tr r="AV125" s="2"/>
        <tr r="AU172" s="2"/>
        <tr r="AT9" s="2"/>
        <tr r="AU104" s="2"/>
        <tr r="BT95" s="2"/>
        <tr r="AX50" s="2"/>
        <tr r="BS305" s="2"/>
        <tr r="AT266" s="2"/>
        <tr r="BT367" s="2"/>
        <tr r="BQ128" s="2"/>
        <tr r="CI244" s="2"/>
        <tr r="AT464" s="2"/>
        <tr r="AX20" s="2"/>
        <tr r="CH257" s="2"/>
        <tr r="CI108" s="2"/>
        <tr r="AW437" s="2"/>
        <tr r="BR65" s="2"/>
        <tr r="BR129" s="2"/>
        <tr r="BG418" s="2"/>
        <tr r="CI331" s="2"/>
        <tr r="AT87" s="2"/>
        <tr r="AX237" s="2"/>
        <tr r="BG459" s="2"/>
        <tr r="CH422" s="2"/>
        <tr r="BS261" s="2"/>
        <tr r="AV346" s="2"/>
        <tr r="BG216" s="2"/>
        <tr r="AW206" s="2"/>
        <tr r="AS374" s="2"/>
        <tr r="BH436" s="2"/>
        <tr r="BG421" s="2"/>
        <tr r="BS189" s="2"/>
        <tr r="BQ423" s="2"/>
        <tr r="CG417" s="2"/>
        <tr r="AO376" s="2"/>
        <tr r="AT316" s="2"/>
        <tr r="AU181" s="2"/>
        <tr r="AR233" s="2"/>
        <tr r="CH121" s="2"/>
        <tr r="BR215" s="2"/>
        <tr r="AO435" s="2"/>
        <tr r="CI9" s="2"/>
        <tr r="CH331" s="2"/>
        <tr r="AV342" s="2"/>
        <tr r="AN128" s="2"/>
        <tr r="AM281" s="2"/>
        <tr r="CH408" s="2"/>
        <tr r="BT105" s="2"/>
        <tr r="BQ112" s="2"/>
        <tr r="AT449" s="2"/>
        <tr r="BS66" s="2"/>
        <tr r="AT415" s="2"/>
        <tr r="AX323" s="2"/>
        <tr r="AG104" s="2"/>
        <tr r="AO388" s="2"/>
        <tr r="AU337" s="2"/>
        <tr r="AT125" s="2"/>
        <tr r="CI456" s="2"/>
        <tr r="AX81" s="2"/>
        <tr r="BQ166" s="2"/>
        <tr r="AR375" s="2"/>
        <tr r="AT269" s="2"/>
        <tr r="AU59" s="2"/>
        <tr r="BQ228" s="2"/>
        <tr r="AI391" s="2"/>
        <tr r="CI291" s="2"/>
        <tr r="BS24" s="2"/>
        <tr r="BQ179" s="2"/>
        <tr r="CH33" s="2"/>
        <tr r="BS448" s="2"/>
        <tr r="BR323" s="2"/>
        <tr r="AS441" s="2"/>
        <tr r="BJ350" s="2"/>
        <tr r="BG68" s="2"/>
        <tr r="BT312" s="2"/>
        <tr r="AV327" s="2"/>
        <tr r="AX315" s="2"/>
        <tr r="AN316" s="2"/>
        <tr r="CI413" s="2"/>
        <tr r="CI137" s="2"/>
        <tr r="AW355" s="2"/>
        <tr r="AX342" s="2"/>
        <tr r="CI152" s="2"/>
        <tr r="AQ13" s="2"/>
        <tr r="AO81" s="2"/>
        <tr r="CH17" s="2"/>
        <tr r="AW146" s="2"/>
        <tr r="AW208" s="2"/>
        <tr r="AN281" s="2"/>
        <tr r="AR56" s="2"/>
        <tr r="AO160" s="2"/>
        <tr r="AX100" s="2"/>
        <tr r="CH167" s="2"/>
        <tr r="BT449" s="2"/>
        <tr r="BS215" s="2"/>
        <tr r="AO303" s="2"/>
        <tr r="CH174" s="2"/>
        <tr r="BT175" s="2"/>
        <tr r="BT218" s="2"/>
        <tr r="AR360" s="2"/>
        <tr r="BT297" s="2"/>
        <tr r="AX363" s="2"/>
        <tr r="CI405" s="2"/>
        <tr r="AT236" s="2"/>
        <tr r="BS235" s="2"/>
        <tr r="BS53" s="2"/>
        <tr r="BG462" s="2"/>
        <tr r="BS420" s="2"/>
        <tr r="BQ223" s="2"/>
        <tr r="BR47" s="2"/>
        <tr r="CH151" s="2"/>
        <tr r="AW449" s="2"/>
        <tr r="AX12" s="2"/>
        <tr r="BG11" s="2"/>
        <tr r="CI239" s="2"/>
        <tr r="AS325" s="2"/>
        <tr r="AW456" s="2"/>
        <tr r="BG280" s="2"/>
        <tr r="AW343" s="2"/>
        <tr r="CG143" s="2"/>
        <tr r="AO145" s="2"/>
        <tr r="AO217" s="2"/>
        <tr r="AP256" s="2"/>
        <tr r="AU230" s="2"/>
        <tr r="AV240" s="2"/>
        <tr r="BR99" s="2"/>
        <tr r="BS407" s="2"/>
        <tr r="AW260" s="2"/>
        <tr r="CI371" s="2"/>
        <tr r="CH226" s="2"/>
        <tr r="BQ297" s="2"/>
        <tr r="AQ174" s="2"/>
        <tr r="BI104" s="2"/>
        <tr r="CI322" s="2"/>
        <tr r="CH240" s="2"/>
        <tr r="AV282" s="2"/>
        <tr r="AU320" s="2"/>
        <tr r="CH390" s="2"/>
        <tr r="BS112" s="2"/>
        <tr r="AU253" s="2"/>
        <tr r="BG323" s="2"/>
        <tr r="CH434" s="2"/>
        <tr r="BT111" s="2"/>
        <tr r="BQ66" s="2"/>
        <tr r="AT251" s="2"/>
        <tr r="CI41" s="2"/>
        <tr r="AU196" s="2"/>
        <tr r="AS168" s="2"/>
        <tr r="AN270" s="2"/>
        <tr r="AU91" s="2"/>
        <tr r="AV330" s="2"/>
        <tr r="AS13" s="2"/>
        <tr r="AU183" s="2"/>
        <tr r="CI307" s="2"/>
        <tr r="BT346" s="2"/>
        <tr r="BG19" s="2"/>
        <tr r="AR188" s="2"/>
        <tr r="AX183" s="2"/>
        <tr r="AU437" s="2"/>
        <tr r="CI195" s="2"/>
        <tr r="BH372" s="2"/>
        <tr r="CH172" s="2"/>
        <tr r="AU353" s="2"/>
        <tr r="BG385" s="2"/>
        <tr r="CH67" s="2"/>
        <tr r="CI296" s="2"/>
        <tr r="AW317" s="2"/>
        <tr r="BH274" s="2"/>
        <tr r="BH396" s="2"/>
        <tr r="BG43" s="2"/>
        <tr r="CH48" s="2"/>
        <tr r="BT94" s="2"/>
        <tr r="CI160" s="2"/>
        <tr r="BR210" s="2"/>
        <tr r="AU257" s="2"/>
        <tr r="BT182" s="2"/>
        <tr r="BT302" s="2"/>
        <tr r="BG177" s="2"/>
        <tr r="AV409" s="2"/>
        <tr r="AF203" s="2"/>
        <tr r="BR278" s="2"/>
        <tr r="CI346" s="2"/>
        <tr r="CI315" s="2"/>
        <tr r="CH357" s="2"/>
        <tr r="CI217" s="2"/>
        <tr r="BS293" s="2"/>
        <tr r="BJ267" s="2"/>
        <tr r="BI441" s="2"/>
        <tr r="BI268" s="2"/>
        <tr r="BR173" s="2"/>
        <tr r="AX409" s="2"/>
        <tr r="BH398" s="2"/>
        <tr r="AW110" s="2"/>
        <tr r="CH377" s="2"/>
        <tr r="CH34" s="2"/>
        <tr r="BG223" s="2"/>
        <tr r="BH325" s="2"/>
        <tr r="BG373" s="2"/>
        <tr r="CI353" s="2"/>
        <tr r="BR164" s="2"/>
        <tr r="CI432" s="2"/>
        <tr r="CH368" s="2"/>
        <tr r="BT408" s="2"/>
        <tr r="BS311" s="2"/>
        <tr r="BR86" s="2"/>
        <tr r="BR150" s="2"/>
        <tr r="BG222" s="2"/>
        <tr r="CI415" s="2"/>
        <tr r="AU420" s="2"/>
        <tr r="AW148" s="2"/>
        <tr r="BQ220" s="2"/>
        <tr r="AO65" s="2"/>
        <tr r="BH280" s="2"/>
        <tr r="BG74" s="2"/>
        <tr r="BJ449" s="2"/>
        <tr r="CI26" s="2"/>
        <tr r="BQ438" s="2"/>
        <tr r="AX152" s="2"/>
        <tr r="BR406" s="2"/>
        <tr r="CI445" s="2"/>
        <tr r="CI262" s="2"/>
        <tr r="AS158" s="2"/>
        <tr r="BT316" s="2"/>
        <tr r="BJ150" s="2"/>
        <tr r="CH178" s="2"/>
        <tr r="AX272" s="2"/>
        <tr r="AW88" s="2"/>
        <tr r="BI131" s="2"/>
        <tr r="BH258" s="2"/>
        <tr r="BG124" s="2"/>
        <tr r="BJ193" s="2"/>
        <tr r="AX14" s="2"/>
        <tr r="BT242" s="2"/>
        <tr r="BR442" s="2"/>
        <tr r="CI457" s="2"/>
        <tr r="BQ369" s="2"/>
        <tr r="BH115" s="2"/>
        <tr r="AT168" s="2"/>
        <tr r="AU161" s="2"/>
        <tr r="CI88" s="2"/>
        <tr r="CG140" s="2"/>
        <tr r="BS439" s="2"/>
        <tr r="BT191" s="2"/>
        <tr r="AX131" s="2"/>
        <tr r="AN257" s="2"/>
        <tr r="BT13" s="2"/>
        <tr r="AO88" s="2"/>
        <tr r="BR143" s="2"/>
        <tr r="AT42" s="2"/>
        <tr r="AU205" s="2"/>
        <tr r="CI368" s="2"/>
        <tr r="BR172" s="2"/>
        <tr r="CG263" s="2"/>
        <tr r="AS112" s="2"/>
        <tr r="AS233" s="2"/>
        <tr r="CI200" s="2"/>
        <tr r="CH318" s="2"/>
        <tr r="BR446" s="2"/>
        <tr r="AT369" s="2"/>
        <tr r="CH393" s="2"/>
        <tr r="BT107" s="2"/>
        <tr r="BQ313" s="2"/>
        <tr r="AT363" s="2"/>
        <tr r="BT268" s="2"/>
        <tr r="AV251" s="2"/>
        <tr r="AU144" s="2"/>
        <tr r="BG460" s="2"/>
        <tr r="AU152" s="2"/>
        <tr r="BQ232" s="2"/>
        <tr r="BT157" s="2"/>
        <tr r="AO408" s="2"/>
        <tr r="AT140" s="2"/>
        <tr r="AV65" s="2"/>
        <tr r="AP322" s="2"/>
        <tr r="AW273" s="2"/>
        <tr r="CH78" s="2"/>
        <tr r="AU156" s="2"/>
        <tr r="AW283" s="2"/>
        <tr r="AU311" s="2"/>
        <tr r="CI367" s="2"/>
        <tr r="AX408" s="2"/>
        <tr r="AX395" s="2"/>
        <tr r="BI253" s="2"/>
        <tr r="CI214" s="2"/>
        <tr r="CH260" s="2"/>
        <tr r="BR160" s="2"/>
        <tr r="BQ301" s="2"/>
        <tr r="BT89" s="2"/>
        <tr r="AX434" s="2"/>
        <tr r="BQ110" s="2"/>
        <tr r="AW47" s="2"/>
        <tr r="AW183" s="2"/>
        <tr r="CH369" s="2"/>
        <tr r="BT93" s="2"/>
        <tr r="BG86" s="2"/>
        <tr r="BS110" s="2"/>
        <tr r="CI35" s="2"/>
        <tr r="AW173" s="2"/>
        <tr r="AW399" s="2"/>
        <tr r="AW270" s="2"/>
        <tr r="AU222" s="2"/>
        <tr r="BS373" s="2"/>
        <tr r="AO425" s="2"/>
        <tr r="BR332" s="2"/>
        <tr r="AV421" s="2"/>
        <tr r="BT128" s="2"/>
        <tr r="AU388" s="2"/>
        <tr r="AV139" s="2"/>
        <tr r="BS128" s="2"/>
        <tr r="BT288" s="2"/>
        <tr r="BT50" s="2"/>
        <tr r="BQ26" s="2"/>
        <tr r="AW50" s="2"/>
        <tr r="BH238" s="2"/>
        <tr r="BT400" s="2"/>
        <tr r="BQ18" s="2"/>
        <tr r="CH251" s="2"/>
        <tr r="AX437" s="2"/>
        <tr r="AV405" s="2"/>
        <tr r="AW332" s="2"/>
        <tr r="CH70" s="2"/>
        <tr r="AV455" s="2"/>
        <tr r="AV379" s="2"/>
        <tr r="CI292" s="2"/>
        <tr r="BS405" s="2"/>
        <tr r="CI384" s="2"/>
        <tr r="CH204" s="2"/>
        <tr r="AV463" s="2"/>
        <tr r="BS313" s="2"/>
        <tr r="AV87" s="2"/>
        <tr r="AT255" s="2"/>
        <tr r="AX343" s="2"/>
        <tr r="AP136" s="2"/>
        <tr r="CH294" s="2"/>
        <tr r="AU116" s="2"/>
        <tr r="BQ72" s="2"/>
        <tr r="AW319" s="2"/>
        <tr r="CH210" s="2"/>
        <tr r="CH139" s="2"/>
        <tr r="AW231" s="2"/>
        <tr r="AN82" s="2"/>
        <tr r="BS119" s="2"/>
        <tr r="CI347" s="2"/>
        <tr r="BQ225" s="2"/>
        <tr r="AS387" s="2"/>
        <tr r="BI334" s="2"/>
        <tr r="BG165" s="2"/>
        <tr r="CI15" s="2"/>
        <tr r="CI32" s="2"/>
        <tr r="AW26" s="2"/>
        <tr r="BQ154" s="2"/>
        <tr r="CI12" s="2"/>
        <tr r="CH161" s="2"/>
        <tr r="AV195" s="2"/>
        <tr r="AO32" s="2"/>
        <tr r="CI146" s="2"/>
        <tr r="CH360" s="2"/>
        <tr r="BR80" s="2"/>
        <tr r="AT261" s="2"/>
        <tr r="BS71" s="2"/>
        <tr r="AV402" s="2"/>
        <tr r="AU275" s="2"/>
        <tr r="AN327" s="2"/>
        <tr r="BS441" s="2"/>
        <tr r="AW77" s="2"/>
        <tr r="BS449" s="2"/>
        <tr r="BT195" s="2"/>
        <tr r="BR431" s="2"/>
        <tr r="BT227" s="2"/>
        <tr r="AX95" s="2"/>
        <tr r="CH191" s="2"/>
        <tr r="CH157" s="2"/>
        <tr r="AW20" s="2"/>
        <tr r="AT55" s="2"/>
        <tr r="BH41" s="2"/>
        <tr r="CI31" s="2"/>
        <tr r="CI317" s="2"/>
        <tr r="BT190" s="2"/>
        <tr r="AU80" s="2"/>
        <tr r="CH321" s="2"/>
        <tr r="BT184" s="2"/>
        <tr r="AV323" s="2"/>
        <tr r="CG108" s="2"/>
        <tr r="CH399" s="2"/>
        <tr r="BT351" s="2"/>
        <tr r="AX459" s="2"/>
        <tr r="AX7" s="2"/>
        <tr r="AV104" s="2"/>
        <tr r="BT370" s="2"/>
        <tr r="BT382" s="2"/>
        <tr r="AT315" s="2"/>
        <tr r="AS286" s="2"/>
        <tr r="BR414" s="2"/>
        <tr r="BR95" s="2"/>
        <tr r="AU377" s="2"/>
        <tr r="BG452" s="2"/>
        <tr r="CI299" s="2"/>
        <tr r="AS6" s="2"/>
        <tr r="AW307" s="2"/>
        <tr r="AW376" s="2"/>
        <tr r="CI246" s="2"/>
        <tr r="BS249" s="2"/>
        <tr r="BT341" s="2"/>
        <tr r="AW450" s="2"/>
        <tr r="BR121" s="2"/>
        <tr r="CI372" s="2"/>
        <tr r="AX25" s="2"/>
        <tr r="AV57" s="2"/>
        <tr r="BJ388" s="2"/>
        <tr r="BT199" s="2"/>
        <tr r="BS229" s="2"/>
        <tr r="BJ245" s="2"/>
        <tr r="AS40" s="2"/>
        <tr r="AS161" s="2"/>
        <tr r="CH199" s="2"/>
        <tr r="CI98" s="2"/>
        <tr r="BS290" s="2"/>
        <tr r="CI373" s="2"/>
        <tr r="BH98" s="2"/>
        <tr r="BH75" s="2"/>
        <tr r="BG345" s="2"/>
        <tr r="BQ251" s="2"/>
        <tr r="BI356" s="2"/>
        <tr r="BR119" s="2"/>
        <tr r="CI61" s="2"/>
        <tr r="AU346" s="2"/>
        <tr r="BG400" s="2"/>
        <tr r="BJ113" s="2"/>
        <tr r="BJ282" s="2"/>
        <tr r="CH282" s="2"/>
        <tr r="BS242" s="2"/>
        <tr r="AM423" s="2"/>
        <tr r="BI200" s="2"/>
        <tr r="CH59" s="2"/>
        <tr r="BT38" s="2"/>
        <tr r="CI360" s="2"/>
        <tr r="AO268" s="2"/>
        <tr r="BI357" s="2"/>
        <tr r="BH404" s="2"/>
        <tr r="BG51" s="2"/>
        <tr r="CI358" s="2"/>
        <tr r="BI115" s="2"/>
        <tr r="BT248" s="2"/>
        <tr r="CI224" s="2"/>
        <tr r="BR37" s="2"/>
        <tr r="CH355" s="2"/>
        <tr r="BH346" s="2"/>
        <tr r="BG339" s="2"/>
        <tr r="AR239" s="2"/>
        <tr r="BS367" s="2"/>
        <tr r="CI102" s="2"/>
        <tr r="AU348" s="2"/>
        <tr r="BT106" s="2"/>
        <tr r="BS463" s="2"/>
        <tr r="BT114" s="2"/>
        <tr r="AX94" s="2"/>
        <tr r="AW382" s="2"/>
        <tr r="AU40" s="2"/>
        <tr r="AX433" s="2"/>
        <tr r="AV385" s="2"/>
        <tr r="BS32" s="2"/>
        <tr r="BR315" s="2"/>
        <tr r="AR400" s="2"/>
        <tr r="BI260" s="2"/>
        <tr r="CH141" s="2"/>
        <tr r="CI91" s="2"/>
        <tr r="CH338" s="2"/>
        <tr r="BR180" s="2"/>
        <tr r="CH286" s="2"/>
        <tr r="CH253" s="2"/>
        <tr r="BQ146" s="2"/>
        <tr r="AX6" s="2"/>
        <tr r="AF448" s="2"/>
        <tr r="BT30" s="2"/>
        <tr r="BR247" s="2"/>
        <tr r="AU239" s="2"/>
        <tr r="BG260" s="2"/>
        <tr r="BQ148" s="2"/>
        <tr r="CI316" s="2"/>
        <tr r="AX196" s="2"/>
        <tr r="AN391" s="2"/>
        <tr r="BQ135" s="2"/>
        <tr r="AW325" s="2"/>
        <tr r="BT61" s="2"/>
        <tr r="BR422" s="2"/>
        <tr r="BT374" s="2"/>
        <tr r="AX167" s="2"/>
        <tr r="BH65" s="2"/>
        <tr r="AV408" s="2"/>
        <tr r="BQ255" s="2"/>
        <tr r="BQ458" s="2"/>
        <tr r="AP32" s="2"/>
        <tr r="BQ126" s="2"/>
        <tr r="AU106" s="2"/>
        <tr r="BG87" s="2"/>
        <tr r="CH232" s="2"/>
        <tr r="BT18" s="2"/>
        <tr r="BT12" s="2"/>
        <tr r="AP134" s="2"/>
        <tr r="BS96" s="2"/>
        <tr r="CI295" s="2"/>
        <tr r="BS342" s="2"/>
        <tr r="AS464" s="2"/>
        <tr r="BS211" s="2"/>
        <tr r="AU328" s="2"/>
        <tr r="CH264" s="2"/>
        <tr r="AS104" s="2"/>
        <tr r="CI54" s="2"/>
        <tr r="CI431" s="2"/>
        <tr r="CH128" s="2"/>
        <tr r="AV34" s="2"/>
        <tr r="AW378" s="2"/>
        <tr r="AW451" s="2"/>
        <tr r="AU340" s="2"/>
        <tr r="AV153" s="2"/>
        <tr r="BG47" s="2"/>
        <tr r="BQ88" s="2"/>
        <tr r="BS298" s="2"/>
        <tr r="AX367" s="2"/>
        <tr r="BH162" s="2"/>
        <tr r="AU42" s="2"/>
        <tr r="AX307" s="2"/>
        <tr r="AU31" s="2"/>
        <tr r="BH326" s="2"/>
        <tr r="AX31" s="2"/>
        <tr r="BT137" s="2"/>
        <tr r="BG136" s="2"/>
        <tr r="BT333" s="2"/>
        <tr r="AU333" s="2"/>
        <tr r="BS37" s="2"/>
        <tr r="AT133" s="2"/>
        <tr r="CI290" s="2"/>
        <tr r="CI378" s="2"/>
        <tr r="BQ90" s="2"/>
        <tr r="CG346" s="2"/>
        <tr r="CI198" s="2"/>
        <tr r="CI145" s="2"/>
        <tr r="BT405" s="2"/>
        <tr r="CG283" s="2"/>
        <tr r="CI218" s="2"/>
        <tr r="CH176" s="2"/>
        <tr r="BT37" s="2"/>
        <tr r="AU243" s="2"/>
        <tr r="AV11" s="2"/>
        <tr r="AV324" s="2"/>
        <tr r="BT265" s="2"/>
        <tr r="AU235" s="2"/>
        <tr r="BQ164" s="2"/>
        <tr r="AW453" s="2"/>
        <tr r="BH198" s="2"/>
        <tr r="BQ325" s="2"/>
        <tr r="CG10" s="2"/>
        <tr r="AV356" s="2"/>
        <tr r="BS275" s="2"/>
        <tr r="AU213" s="2"/>
        <tr r="BR137" s="2"/>
        <tr r="AV143" s="2"/>
        <tr r="AS175" s="2"/>
        <tr r="AX442" s="2"/>
        <tr r="AV259" s="2"/>
        <tr r="BH279" s="2"/>
        <tr r="AW460" s="2"/>
        <tr r="BT44" s="2"/>
        <tr r="CI269" s="2"/>
        <tr r="AV326" s="2"/>
        <tr r="CI272" s="2"/>
        <tr r="CH118" s="2"/>
        <tr r="BT120" s="2"/>
        <tr r="AU18" s="2"/>
        <tr r="AT142" s="2"/>
        <tr r="CI437" s="2"/>
        <tr r="CH277" s="2"/>
        <tr r="BQ102" s="2"/>
        <tr r="BT448" s="2"/>
        <tr r="BQ329" s="2"/>
        <tr r="AT31" s="2"/>
        <tr r="AU127" s="2"/>
        <tr r="AU137" s="2"/>
        <tr r="BT464" s="2"/>
        <tr r="AV81" s="2"/>
        <tr r="AW465" s="2"/>
        <tr r="AX82" s="2"/>
        <tr r="AU296" s="2"/>
        <tr r="BH316" s="2"/>
        <tr r="BS95" s="2"/>
        <tr r="AU396" s="2"/>
        <tr r="AW304" s="2"/>
        <tr r="BH129" s="2"/>
        <tr r="AV137" s="2"/>
        <tr r="BQ353" s="2"/>
        <tr r="BG122" s="2"/>
        <tr r="CI354" s="2"/>
        <tr r="CH90" s="2"/>
        <tr r="AV403" s="2"/>
        <tr r="AT338" s="2"/>
        <tr r="CH76" s="2"/>
        <tr r="BR365" s="2"/>
        <tr r="AW7" s="2"/>
        <tr r="AO314" s="2"/>
        <tr r="CH258" s="2"/>
        <tr r="BS160" s="2"/>
        <tr r="BT383" s="2"/>
        <tr r="AF439" s="2"/>
        <tr r="BR18" s="2"/>
        <tr r="CI375" s="2"/>
        <tr r="CH185" s="2"/>
        <tr r="AS225" s="2"/>
        <tr r="BT179" s="2"/>
        <tr r="BT387" s="2"/>
        <tr r="BR245" s="2"/>
        <tr r="AU438" s="2"/>
        <tr r="BS40" s="2"/>
        <tr r="BQ243" s="2"/>
        <tr r="BR63" s="2"/>
        <tr r="BS268" s="2"/>
        <tr r="BT32" s="2"/>
        <tr r="BH26" s="2"/>
        <tr r="CH233" s="2"/>
        <tr r="AX236" s="2"/>
        <tr r="CH203" s="2"/>
        <tr r="AW65" s="2"/>
        <tr r="BS158" s="2"/>
        <tr r="AV110" s="2"/>
        <tr r="CI252" s="2"/>
        <tr r="BS224" s="2"/>
        <tr r="BH384" s="2"/>
        <tr r="AU189" s="2"/>
        <tr r="BH151" s="2"/>
        <tr r="BI378" s="2"/>
        <tr r="AU154" s="2"/>
        <tr r="AV334" s="2"/>
        <tr r="BS414" s="2"/>
        <tr r="CI67" s="2"/>
        <tr r="BQ366" s="2"/>
        <tr r="BQ380" s="2"/>
        <tr r="BH163" s="2"/>
        <tr r="BT212" s="2"/>
        <tr r="AN38" s="2"/>
        <tr r="BH10" s="2"/>
        <tr r="BI413" s="2"/>
        <tr r="BJ196" s="2"/>
        <tr r="BI236" s="2"/>
        <tr r="BH203" s="2"/>
        <tr r="BG66" s="2"/>
        <tr r="AV220" s="2"/>
        <tr r="BI402" s="2"/>
        <tr r="BS338" s="2"/>
        <tr r="AX310" s="2"/>
        <tr r="BI317" s="2"/>
        <tr r="BI288" s="2"/>
        <tr r="BT246" s="2"/>
        <tr r="BT444" s="2"/>
        <tr r="CI465" s="2"/>
        <tr r="AT128" s="2"/>
        <tr r="BH448" s="2"/>
        <tr r="AV164" s="2"/>
        <tr r="CG32" s="2"/>
        <tr r="BH105" s="2"/>
        <tr r="BI447" s="2"/>
        <tr r="CI287" s="2"/>
        <tr r="CH254" s="2"/>
        <tr r="BR357" s="2"/>
        <tr r="CI459" s="2"/>
        <tr r="BG299" s="2"/>
        <tr r="BT54" s="2"/>
        <tr r="BR339" s="2"/>
        <tr r="AX212" s="2"/>
        <tr r="CH241" s="2"/>
        <tr r="AX24" s="2"/>
        <tr r="BI225" s="2"/>
        <tr r="BI11" s="2"/>
        <tr r="BH392" s="2"/>
        <tr r="AW63" s="2"/>
        <tr r="AW415" s="2"/>
        <tr r="BH224" s="2"/>
        <tr r="CH124" s="2"/>
        <tr r="CG428" s="2"/>
        <tr r="BS270" s="2"/>
        <tr r="AW447" s="2"/>
        <tr r="BG67" s="2"/>
        <tr r="BG191" s="2"/>
        <tr r="BG428" s="2"/>
        <tr r="CI11" s="2"/>
        <tr r="CI158" s="2"/>
        <tr r="CH292" s="2"/>
        <tr r="BT159" s="2"/>
        <tr r="CI461" s="2"/>
        <tr r="BR154" s="2"/>
        <tr r="BQ115" s="2"/>
        <tr r="BQ252" s="2"/>
        <tr r="BG139" s="2"/>
        <tr r="CH147" s="2"/>
        <tr r="AR59" s="2"/>
        <tr r="AV286" s="2"/>
        <tr r="BR170" s="2"/>
        <tr r="AW433" s="2"/>
        <tr r="BH252" s="2"/>
        <tr r="BS6" s="2"/>
        <tr r="AU306" s="2"/>
        <tr r="BQ36" s="2"/>
        <tr r="BH327" s="2"/>
        <tr r="AW71" s="2"/>
        <tr r="BS20" s="2"/>
        <tr r="BS421" s="2"/>
        <tr r="AO455" s="2"/>
        <tr r="BS429" s="2"/>
        <tr r="AW13" s="2"/>
        <tr r="BH221" s="2"/>
        <tr r="CI24" s="2"/>
        <tr r="CH303" s="2"/>
        <tr r="AV92" s="2"/>
        <tr r="AO73" s="2"/>
        <tr r="CH153" s="2"/>
        <tr r="BT357" s="2"/>
        <tr r="BT237" s="2"/>
        <tr r="AN455" s="2"/>
        <tr r="CH403" s="2"/>
        <tr r="BT99" s="2"/>
        <tr r="AU11" s="2"/>
        <tr r="AO208" s="2"/>
        <tr r="BT398" s="2"/>
        <tr r="AV21" s="2"/>
        <tr r="CI279" s="2"/>
        <tr r="AW185" s="2"/>
        <tr r="AX313" s="2"/>
        <tr r="AX386" s="2"/>
        <tr r="AV250" s="2"/>
        <tr r="AX47" s="2"/>
        <tr r="BR394" s="2"/>
        <tr r="AX145" s="2"/>
        <tr r="BH240" s="2"/>
        <tr r="BG178" s="2"/>
        <tr r="AV155" s="2"/>
        <tr r="AV111" s="2"/>
        <tr r="CG178" s="2"/>
        <tr r="BG175" s="2"/>
        <tr r="BQ42" s="2"/>
        <tr r="BS253" s="2"/>
        <tr r="CH109" s="2"/>
        <tr r="BT280" s="2"/>
        <tr r="AU202" s="2"/>
        <tr r="AQ252" s="2"/>
        <tr r="AW106" s="2"/>
        <tr r="BS74" s="2"/>
        <tr r="AT435" s="2"/>
        <tr r="AN329" s="2"/>
        <tr r="AX16" s="2"/>
        <tr r="CI341" s="2"/>
        <tr r="AV83" s="2"/>
        <tr r="AT155" s="2"/>
        <tr r="BT170" s="2"/>
        <tr r="CI205" s="2"/>
        <tr r="AX278" s="2"/>
        <tr r="AO82" s="2"/>
        <tr r="AV102" s="2"/>
        <tr r="AV103" s="2"/>
        <tr r="AT279" s="2"/>
        <tr r="BR41" s="2"/>
        <tr r="BQ160" s="2"/>
        <tr r="AW357" s="2"/>
        <tr r="BH377" s="2"/>
        <tr r="BG166" s="2"/>
        <tr r="AU229" s="2"/>
        <tr r="AU265" s="2"/>
        <tr r="BH126" s="2"/>
        <tr r="BG224" s="2"/>
        <tr r="AX458" s="2"/>
        <tr r="BQ425" s="2"/>
        <tr r="AX41" s="2"/>
        <tr r="BS241" s="2"/>
        <tr r="AT70" s="2"/>
        <tr r="AP376" s="2"/>
        <tr r="CI127" s="2"/>
        <tr r="BR321" s="2"/>
        <tr r="AT81" s="2"/>
        <tr r="AM388" s="2"/>
        <tr r="AX233" s="2"/>
        <tr r="BT406" s="2"/>
        <tr r="AV163" s="2"/>
        <tr r="CI253" s="2"/>
        <tr r="BT70" s="2"/>
        <tr r="AS288" s="2"/>
        <tr r="CG120" s="2"/>
        <tr r="AU175" s="2"/>
        <tr r="AU153" s="2"/>
        <tr r="BT337" s="2"/>
        <tr r="BQ68" s="2"/>
        <tr r="AU89" s="2"/>
        <tr r="AL12" s="2"/>
        <tr r="BG96" s="2"/>
        <tr r="AX163" s="2"/>
        <tr r="BR213" s="2"/>
        <tr r="AW459" s="2"/>
        <tr r="BH243" s="2"/>
        <tr r="CG97" s="2"/>
        <tr r="AV39" s="2"/>
        <tr r="AX420" s="2"/>
        <tr r="BH441" s="2"/>
        <tr r="AW168" s="2"/>
        <tr r="BS181" s="2"/>
        <tr r="BG246" s="2"/>
        <tr r="CI71" s="2"/>
        <tr r="CI242" s="2"/>
        <tr r="BQ136" s="2"/>
        <tr r="CG204" s="2"/>
        <tr r="CI251" s="2"/>
        <tr r="CH28" s="2"/>
        <tr r="AU96" s="2"/>
        <tr r="AS71" s="2"/>
        <tr r="CI443" s="2"/>
        <tr r="CH169" s="2"/>
        <tr r="CH69" s="2"/>
        <tr r="AO201" s="2"/>
        <tr r="CH99" s="2"/>
        <tr r="BT165" s="2"/>
        <tr r="AP176" s="2"/>
        <tr r="AU93" s="2"/>
        <tr r="AU414" s="2"/>
        <tr r="BS418" s="2"/>
        <tr r="AO256" s="2"/>
        <tr r="AW74" s="2"/>
        <tr r="BS186" s="2"/>
        <tr r="BH116" s="2"/>
        <tr r="BG340" s="2"/>
        <tr r="BS167" s="2"/>
        <tr r="BQ23" s="2"/>
        <tr r="BH304" s="2"/>
        <tr r="BG386" s="2"/>
        <tr r="AV45" s="2"/>
        <tr r="AV328" s="2"/>
        <tr r="CH55" s="2"/>
        <tr r="AX69" s="2"/>
        <tr r="BR426" s="2"/>
        <tr r="AX419" s="2"/>
        <tr r="BT372" s="2"/>
        <tr r="BS35" s="2"/>
        <tr r="BQ404" s="2"/>
        <tr r="AW84" s="2"/>
        <tr r="BT192" s="2"/>
        <tr r="BT194" s="2"/>
        <tr r="BS97" s="2"/>
        <tr r="AM80" s="2"/>
        <tr r="AW408" s="2"/>
        <tr r="CH142" s="2"/>
        <tr r="AU165" s="2"/>
        <tr r="AS92" s="2"/>
        <tr r="BT403" s="2"/>
        <tr r="BT420" s="2"/>
        <tr r="BR25" s="2"/>
        <tr r="CG18" s="2"/>
        <tr r="AS99" s="2"/>
        <tr r="CH234" s="2"/>
        <tr r="CG123" s="2"/>
        <tr r="BR207" s="2"/>
        <tr r="AX154" s="2"/>
        <tr r="CI62" s="2"/>
        <tr r="AX252" s="2"/>
        <tr r="AU365" s="2"/>
        <tr r="CH138" s="2"/>
        <tr r="BQ344" s="2"/>
        <tr r="BQ191" s="2"/>
        <tr r="BT147" s="2"/>
        <tr r="BG181" s="2"/>
        <tr r="CG361" s="2"/>
        <tr r="BH225" s="2"/>
        <tr r="BG123" s="2"/>
        <tr r="BH36" s="2"/>
        <tr r="BQ437" s="2"/>
        <tr r="CI410" s="2"/>
        <tr r="CH290" s="2"/>
        <tr r="AS227" s="2"/>
        <tr r="BR9" s="2"/>
        <tr r="AW387" s="2"/>
        <tr r="CI391" s="2"/>
        <tr r="AS218" s="2"/>
        <tr r="BJ182" s="2"/>
        <tr r="BI180" s="2"/>
        <tr r="BH147" s="2"/>
        <tr r="BG77" s="2"/>
        <tr r="AW44" s="2"/>
        <tr r="BH357" s="2"/>
        <tr r="BH197" s="2"/>
        <tr r="BG427" s="2"/>
        <tr r="BT116" s="2"/>
        <tr r="CI340" s="2"/>
        <tr r="AV262" s="2"/>
        <tr r="BH455" s="2"/>
        <tr r="BG353" s="2"/>
        <tr r="BQ452" s="2"/>
        <tr r="CI392" s="2"/>
        <tr r="BS60" s="2"/>
        <tr r="AV271" s="2"/>
        <tr r="BT86" s="2"/>
        <tr r="BJ221" s="2"/>
        <tr r="BI251" s="2"/>
        <tr r="BH322" s="2"/>
        <tr r="BG188" s="2"/>
        <tr r="BH463" s="2"/>
        <tr r="BT269" s="2"/>
        <tr r="CI43" s="2"/>
        <tr r="BR439" s="2"/>
        <tr r="CG274" s="2"/>
        <tr r="BQ358" s="2"/>
        <tr r="CI335" s="2"/>
        <tr r="CH207" s="2"/>
        <tr r="CI60" s="2"/>
        <tr r="BS7" s="2"/>
        <tr r="BJ37" s="2"/>
        <tr r="CI130" s="2"/>
        <tr r="AX378" s="2"/>
        <tr r="BI63" s="2"/>
        <tr r="BJ139" s="2"/>
        <tr r="CI7" s="2"/>
        <tr r="AW373" s="2"/>
        <tr r="AP424" s="2"/>
        <tr r="BH130" s="2"/>
        <tr r="BG445" s="2"/>
        <tr r="BJ457" s="2"/>
        <tr r="CI51" s="2"/>
        <tr r="BT323" s="2"/>
        <tr r="AO193" s="2"/>
        <tr r="BJ320" s="2"/>
        <tr r="BQ431" s="2"/>
        <tr r="CH46" s="2"/>
        <tr r="BS318" s="2"/>
        <tr r="BJ148" s="2"/>
        <tr r="AW51" s="2"/>
        <tr r="BQ209" s="2"/>
        <tr r="BI206" s="2"/>
        <tr r="AT399" s="2"/>
        <tr r="AS458" s="2"/>
        <tr r="CI37" s="2"/>
        <tr r="CH386" s="2"/>
        <tr r="BR297" s="2"/>
        <tr r="AW267" s="2"/>
        <tr r="BH179" s="2"/>
        <tr r="AW172" s="2"/>
        <tr r="BH52" s="2"/>
        <tr r="BG276" s="2"/>
        <tr r="BS78" s="2"/>
        <tr r="BR147" s="2"/>
        <tr r="BH103" s="2"/>
        <tr r="BG374" s="2"/>
        <tr r="AW315" s="2"/>
        <tr r="AX35" s="2"/>
        <tr r="AT169" s="2"/>
        <tr r="BH309" s="2"/>
        <tr r="BR56" s="2"/>
        <tr r="BT209" s="2"/>
        <tr r="CI164" s="2"/>
        <tr r="BQ9" s="2"/>
        <tr r="AW229" s="2"/>
        <tr r="AQ37" s="2"/>
        <tr r="BT350" s="2"/>
        <tr r="BT441" s="2"/>
        <tr r="CG179" s="2"/>
        <tr r="AP437" s="2"/>
        <tr r="CH13" s="2"/>
        <tr r="AX398" s="2"/>
        <tr r="AV319" s="2"/>
        <tr r="AT98" s="2"/>
        <tr r="BQ265" s="2"/>
        <tr r="CH108" s="2"/>
        <tr r="BR127" s="2"/>
        <tr r="AS297" s="2"/>
        <tr r="AX213" s="2"/>
        <tr r="AW302" s="2"/>
        <tr r="AU262" s="2"/>
        <tr r="BS348" s="2"/>
        <tr r="BQ186" s="2"/>
        <tr r="BS225" s="2"/>
        <tr r="BG305" s="2"/>
        <tr r="AV339" s="2"/>
        <tr r="BQ327" s="2"/>
        <tr r="BG30" s="2"/>
        <tr r="BQ114" s="2"/>
        <tr r="AV199" s="2"/>
        <tr r="CI211" s="2"/>
        <tr r="AN273" s="2"/>
        <tr r="BQ214" s="2"/>
        <tr r="AT455" s="2"/>
        <tr r="BQ206" s="2"/>
        <tr r="BS446" s="2"/>
        <tr r="AW107" s="2"/>
        <tr r="BS462" s="2"/>
        <tr r="AX36" s="2"/>
        <tr r="CI402" s="2"/>
        <tr r="BQ24" s="2"/>
        <tr r="AW118" s="2"/>
        <tr r="AU73" s="2"/>
        <tr r="CI409" s="2"/>
        <tr r="BQ8" s="2"/>
        <tr r="AV174" s="2"/>
        <tr r="AV191" s="2"/>
        <tr r="AT56" s="2"/>
        <tr r="AW34" s="2"/>
        <tr r="CI442" s="2"/>
        <tr r="AX43" s="2"/>
        <tr r="BQ219" s="2"/>
        <tr r="BG90" s="2"/>
        <tr r="CI369" s="2"/>
        <tr r="AU301" s="2"/>
        <tr r="AX403" s="2"/>
        <tr r="BG24" s="2"/>
        <tr r="AX339" s="2"/>
        <tr r="AU380" s="2"/>
        <tr r="CH380" s="2"/>
        <tr r="BT414" s="2"/>
        <tr r="AX170" s="2"/>
        <tr r="BT430" s="2"/>
        <tr r="AX322" s="2"/>
        <tr r="BR461" s="2"/>
        <tr r="AS180" s="2"/>
        <tr r="BR7" s="2"/>
        <tr r="AV56" s="2"/>
        <tr r="CH162" s="2"/>
        <tr r="BQ96" s="2"/>
        <tr r="AV431" s="2"/>
        <tr r="AR409" s="2"/>
        <tr r="CH26" s="2"/>
        <tr r="AV178" s="2"/>
        <tr r="BR68" s="2"/>
        <tr r="AX197" s="2"/>
        <tr r="AU399" s="2"/>
        <tr r="AU225" s="2"/>
        <tr r="BS292" s="2"/>
        <tr r="AU216" s="2"/>
        <tr r="BR27" s="2"/>
        <tr r="BG359" s="2"/>
        <tr r="AX9" s="2"/>
        <tr r="AU233" s="2"/>
        <tr r="BH43" s="2"/>
        <tr r="BG21" s="2"/>
        <tr r="BT230" s="2"/>
        <tr r="BS404" s="2"/>
        <tr r="BH167" s="2"/>
        <tr r="BG57" s="2"/>
        <tr r="AW36" s="2"/>
        <tr r="AX308" s="2"/>
        <tr r="CI38" s="2"/>
        <tr r="BR424" s="2"/>
        <tr r="AT183" s="2"/>
        <tr r="CH443" s="2"/>
        <tr r="AW329" s="2"/>
        <tr r="BR257" s="2"/>
        <tr r="AX259" s="2"/>
        <tr r="CH126" s="2"/>
        <tr r="AW234" s="2"/>
        <tr r="AT95" s="2"/>
        <tr r="AM32" s="2"/>
        <tr r="BT142" s="2"/>
        <tr r="AW24" s="2"/>
        <tr r="AU329" s="2"/>
        <tr r="AS428" s="2"/>
        <tr r="AT36" s="2"/>
        <tr r="AS335" s="2"/>
        <tr r="BS427" s="2"/>
        <tr r="AX452" s="2"/>
        <tr r="AV189" s="2"/>
        <tr r="AT198" s="2"/>
        <tr r="BG140" s="2"/>
        <tr r="BS147" s="2"/>
        <tr r="BR21" s="2"/>
        <tr r="AU12" s="2"/>
        <tr r="BG369" s="2"/>
        <tr r="AV117" s="2"/>
        <tr r="BQ176" s="2"/>
        <tr r="BT331" s="2"/>
        <tr r="BQ92" s="2"/>
        <tr r="AN392" s="2"/>
        <tr r="BQ287" s="2"/>
        <tr r="AU323" s="2"/>
        <tr r="AT152" s="2"/>
        <tr r="BH409" s="2"/>
        <tr r="AX249" s="2"/>
        <tr r="BT156" s="2"/>
        <tr r="BT423" s="2"/>
        <tr r="AV359" s="2"/>
        <tr r="AS403" s="2"/>
        <tr r="BQ299" s="2"/>
        <tr r="CI323" s="2"/>
        <tr r="AX424" s="2"/>
        <tr r="AW255" s="2"/>
        <tr r="AU290" s="2"/>
        <tr r="BS325" s="2"/>
        <tr r="BR182" s="2"/>
        <tr r="AX54" s="2"/>
        <tr r="BR327" s="2"/>
        <tr r="AU277" s="2"/>
        <tr r="BS260" s="2"/>
        <tr r="BH245" s="2"/>
        <tr r="BR279" s="2"/>
        <tr r="BS139" s="2"/>
        <tr r="CI34" s="2"/>
        <tr r="AV29" s="2"/>
        <tr r="BQ296" s="2"/>
        <tr r="BG88" s="2"/>
        <tr r="AX244" s="2"/>
        <tr r="BG334" s="2"/>
        <tr r="AO436" s="2"/>
        <tr r="CI97" s="2"/>
        <tr r="BS362" s="2"/>
        <tr r="BQ361" s="2"/>
        <tr r="CH387" s="2"/>
        <tr r="BI162" s="2"/>
        <tr r="BH89" s="2"/>
        <tr r="BG192" s="2"/>
        <tr r="CI18" s="2"/>
        <tr r="BJ9" s="2"/>
        <tr r="CH71" s="2"/>
        <tr r="AV270" s="2"/>
        <tr r="BS341" s="2"/>
        <tr r="BJ21" s="2"/>
        <tr r="BI428" s="2"/>
        <tr r="BH395" s="2"/>
        <tr r="BG126" s="2"/>
        <tr r="CH42" s="2"/>
        <tr r="BG60" s="2"/>
        <tr r="AV377" s="2"/>
        <tr r="CH255" s="2"/>
        <tr r="BT110" s="2"/>
        <tr r="AP15" s="2"/>
        <tr r="BH313" s="2"/>
        <tr r="BS31" s="2"/>
        <tr r="BQ444" s="2"/>
        <tr r="BI254" s="2"/>
        <tr r="BH150" s="2"/>
        <tr r="BH141" s="2"/>
        <tr r="BG371" s="2"/>
        <tr r="CH421" s="2"/>
        <tr r="BJ264" s="2"/>
        <tr r="BJ86" s="2"/>
        <tr r="CH73" s="2"/>
        <tr r="BT378" s="2"/>
        <tr r="BQ46" s="2"/>
        <tr r="BI59" s="2"/>
        <tr r="BH186" s="2"/>
        <tr r="BG25" s="2"/>
        <tr r="CH237" s="2"/>
        <tr r="BJ314" s="2"/>
        <tr r="CI236" s="2"/>
        <tr r="BT355" s="2"/>
        <tr r="BJ311" s="2"/>
        <tr r="BI421" s="2"/>
        <tr r="BH366" s="2"/>
        <tr r="BG115" s="2"/>
        <tr r="CH75" s="2"/>
        <tr r="BG157" s="2"/>
        <tr r="CI455" s="2"/>
        <tr r="BT251" s="2"/>
        <tr r="BS465" s="2"/>
        <tr r="AQ423" s="2"/>
        <tr r="BH410" s="2"/>
        <tr r="BS103" s="2"/>
        <tr r="CH66" s="2"/>
        <tr r="BR57" s="2"/>
        <tr r="AU115" s="2"/>
        <tr r="BG80" s="2"/>
        <tr r="AN67" s="2"/>
        <tr r="AP148" s="2"/>
        <tr r="BH283" s="2"/>
        <tr r="BH170" s="2"/>
        <tr r="BJ397" s="2"/>
        <tr r="BI229" s="2"/>
        <tr r="BH276" s="2"/>
        <tr r="BG381" s="2"/>
        <tr r="CI154" s="2"/>
        <tr r="BI396" s="2"/>
        <tr r="BR276" s="2"/>
        <tr r="AW235" s="2"/>
        <tr r="BH344" s="2"/>
        <tr r="BI457" s="2"/>
        <tr r="CI365" s="2"/>
        <tr r="AV168" s="2"/>
        <tr r="CH82" s="2"/>
        <tr r="BG205" s="2"/>
        <tr r="BH165" s="2"/>
        <tr r="AX224" s="2"/>
        <tr r="AO229" s="2"/>
        <tr r="BH330" s="2"/>
        <tr r="BI391" s="2"/>
        <tr r="CI241" s="2"/>
        <tr r="CH351" s="2"/>
        <tr r="BT33" s="2"/>
        <tr r="BQ65" s="2"/>
        <tr r="BQ295" s="2"/>
        <tr r="CI264" s="2"/>
        <tr r="BR361" s="2"/>
        <tr r="BG76" s="2"/>
        <tr r="BS150" s="2"/>
        <tr r="BR200" s="2"/>
        <tr r="AU330" s="2"/>
        <tr r="BG106" s="2"/>
        <tr r="AW443" s="2"/>
        <tr r="BS410" s="2"/>
        <tr r="BH109" s="2"/>
        <tr r="BR128" s="2"/>
        <tr r="AX380" s="2"/>
        <tr r="CI404" s="2"/>
        <tr r="BT77" s="2"/>
        <tr r="BR136" s="2"/>
        <tr r="AV351" s="2"/>
        <tr r="BS82" s="2"/>
        <tr r="CH461" s="2"/>
        <tr r="AW94" s="2"/>
        <tr r="AT378" s="2"/>
        <tr r="BQ272" s="2"/>
        <tr r="BS302" s="2"/>
        <tr r="BR259" s="2"/>
        <tr r="BQ262" s="2"/>
        <tr r="AW197" s="2"/>
        <tr r="AU60" s="2"/>
        <tr r="BS324" s="2"/>
        <tr r="CG77" s="2"/>
        <tr r="AM65" s="2"/>
        <tr r="AX285" s="2"/>
        <tr r="AW446" s="2"/>
        <tr r="AU406" s="2"/>
        <tr r="AX331" s="2"/>
        <tr r="AW158" s="2"/>
        <tr r="AK282" s="2"/>
        <tr r="BS169" s="2"/>
        <tr r="AT191" s="2"/>
        <tr r="CG190" s="2"/>
        <tr r="CI237" s="2"/>
        <tr r="AX293" s="2"/>
        <tr r="AX71" s="2"/>
        <tr r="CI448" s="2"/>
        <tr r="AU309" s="2"/>
        <tr r="BH371" s="2"/>
        <tr r="BT73" s="2"/>
        <tr r="AV401" s="2"/>
        <tr r="BR412" s="2"/>
        <tr r="BH311" s="2"/>
        <tr r="BS250" s="2"/>
        <tr r="AT79" s="2"/>
        <tr r="AT40" s="2"/>
        <tr r="BH184" s="2"/>
        <tr r="AW195" s="2"/>
        <tr r="BR120" s="2"/>
        <tr r="BR360" s="2"/>
        <tr r="AO219" s="2"/>
        <tr r="BR368" s="2"/>
        <tr r="AV122" s="2"/>
        <tr r="AU450" s="2"/>
        <tr r="AU211" s="2"/>
        <tr r="BR364" s="2"/>
        <tr r="AQ185" s="2"/>
        <tr r="CI381" s="2"/>
        <tr r="AV456" s="2"/>
        <tr r="AV304" s="2"/>
        <tr r="BQ84" s="2"/>
        <tr r="CI364" s="2"/>
        <tr r="BS141" s="2"/>
        <tr r="AP448" s="2"/>
        <tr r="AF112" s="2"/>
        <tr r="BT118" s="2"/>
        <tr r="AV182" s="2"/>
        <tr r="AV177" s="2"/>
        <tr r="BT16" s="2"/>
        <tr r="BS286" s="2"/>
        <tr r="BH444" s="2"/>
        <tr r="BS385" s="2"/>
        <tr r="AU359" s="2"/>
        <tr r="CG210" s="2"/>
        <tr r="BH437" s="2"/>
        <tr r="BR273" s="2"/>
        <tr r="BT228" s="2"/>
        <tr r="AO426" s="2"/>
        <tr r="BH321" s="2"/>
        <tr r="AV172" s="2"/>
        <tr r="BQ414" s="2"/>
        <tr r="AX223" s="2"/>
        <tr r="BH70" s="2"/>
        <tr r="BQ107" s="2"/>
        <tr r="AT222" s="2"/>
        <tr r="AO128" s="2"/>
        <tr r="AM117" s="2"/>
        <tr r="BQ432" s="2"/>
        <tr r="AR68" s="2"/>
        <tr r="AU247" s="2"/>
        <tr r="CH60" s="2"/>
        <tr r="AW180" s="2"/>
        <tr r="AW436" s="2"/>
        <tr r="BG267" s="2"/>
        <tr r="CH339" s="2"/>
        <tr r="BS314" s="2"/>
        <tr r="AV126" s="2"/>
        <tr r="BG338" s="2"/>
        <tr r="AW108" s="2"/>
        <tr r="BS205" s="2"/>
        <tr r="BQ212" s="2"/>
        <tr r="BR214" s="2"/>
        <tr r="AT202" s="2"/>
        <tr r="BR222" s="2"/>
        <tr r="AW342" s="2"/>
        <tr r="AX22" s="2"/>
        <tr r="BQ89" s="2"/>
        <tr r="AU435" s="2"/>
        <tr r="BR142" s="2"/>
        <tr r="AX371" s="2"/>
        <tr r="AU9" s="2"/>
        <tr r="BS230" s="2"/>
        <tr r="BS124" s="2"/>
        <tr r="BQ261" s="2"/>
        <tr r="AX214" s="2"/>
        <tr r="AV86" s="2"/>
        <tr r="AT413" s="2"/>
        <tr r="CG79" s="2"/>
        <tr r="BR452" s="2"/>
        <tr r="AS18" s="2"/>
        <tr r="AS292" s="2"/>
        <tr r="BG70" s="2"/>
        <tr r="BT177" s="2"/>
        <tr r="AX148" s="2"/>
        <tr r="AX254" s="2"/>
        <tr r="AO373" s="2"/>
        <tr r="AU171" s="2"/>
        <tr r="AT422" s="2"/>
        <tr r="CG172" s="2"/>
        <tr r="CI263" s="2"/>
        <tr r="CG404" s="2"/>
        <tr r="BG239" s="2"/>
        <tr r="BQ27" s="2"/>
        <tr r="BR46" s="2"/>
        <tr r="BH254" s="2"/>
        <tr r="BG352" s="2"/>
        <tr r="AX149" s="2"/>
        <tr r="BQ363" s="2"/>
        <tr r="BR233" s="2"/>
        <tr r="BH60" s="2"/>
        <tr r="BT458" s="2"/>
        <tr r="AV109" s="2"/>
        <tr r="BT253" s="2"/>
        <tr r="BH248" s="2"/>
        <tr r="AW348" s="2"/>
        <tr r="BR403" s="2"/>
        <tr r="BQ377" s="2"/>
        <tr r="BQ194" s="2"/>
        <tr r="AV171" s="2"/>
        <tr r="AX326" s="2"/>
        <tr r="BR244" s="2"/>
        <tr r="AU428" s="2"/>
        <tr r="BQ387" s="2"/>
        <tr r="AE84" s="2"/>
        <tr r="BR13" s="2"/>
        <tr r="AU203" s="2"/>
        <tr r="BI105" s="2"/>
        <tr r="CH363" s="2"/>
        <tr r="AU436" s="2"/>
        <tr r="AX142" s="2"/>
        <tr r="BR11" s="2"/>
        <tr r="BR342" s="2"/>
        <tr r="BS84" s="2"/>
        <tr r="AV246" s="2"/>
        <tr r="BS375" s="2"/>
        <tr r="AE443" s="2"/>
        <tr r="CH120" s="2"/>
        <tr r="BH190" s="2"/>
        <tr r="BG288" s="2"/>
        <tr r="AX172" s="2"/>
        <tr r="BQ178" s="2"/>
        <tr r="BH319" s="2"/>
        <tr r="BG185" s="2"/>
        <tr r="AV38" s="2"/>
        <tr r="AW463" s="2"/>
        <tr r="BQ456" s="2"/>
        <tr r="BH464" s="2"/>
        <tr r="BS395" s="2"/>
        <tr r="AS261" s="2"/>
        <tr r="BT325" s="2"/>
        <tr r="BH385" s="2"/>
        <tr r="AV357" s="2"/>
        <tr r="AX294" s="2"/>
        <tr r="AX34" s="2"/>
        <tr r="AX51" s="2"/>
        <tr r="BT402" s="2"/>
        <tr r="AW409" s="2"/>
        <tr r="CG187" s="2"/>
        <tr r="BT196" s="2"/>
        <tr r="CI435" s="2"/>
        <tr r="CH92" s="2"/>
        <tr r="AV333" s="2"/>
        <tr r="CI324" s="2"/>
        <tr r="CH322" s="2"/>
        <tr r="BS25" s="2"/>
        <tr r="BQ76" s="2"/>
        <tr r="BT249" s="2"/>
        <tr r="BT313" s="2"/>
        <tr r="BG357" s="2"/>
        <tr r="AW221" s="2"/>
        <tr r="BS452" s="2"/>
        <tr r="BG162" s="2"/>
        <tr r="CH16" s="2"/>
        <tr r="AU199" s="2"/>
        <tr r="BQ203" s="2"/>
        <tr r="BH301" s="2"/>
        <tr r="BR178" s="2"/>
        <tr r="AW105" s="2"/>
        <tr r="BH282" s="2"/>
        <tr r="BG275" s="2"/>
        <tr r="CG156" s="2"/>
        <tr r="AO56" s="2"/>
        <tr r="AV32" s="2"/>
        <tr r="AV241" s="2"/>
        <tr r="AP275" s="2"/>
        <tr r="BS406" s="2"/>
        <tr r="AX190" s="2"/>
        <tr r="AP337" s="2"/>
        <tr r="CH112" s="2"/>
        <tr r="BT172" s="2"/>
        <tr r="BS204" s="2"/>
        <tr r="AT336" s="2"/>
        <tr r="BT300" s="2"/>
        <tr r="AV451" s="2"/>
        <tr r="BS219" s="2"/>
        <tr r="AT308" s="2"/>
        <tr r="AW80" s="2"/>
        <tr r="AW121" s="2"/>
        <tr r="CI439" s="2"/>
        <tr r="CG54" s="2"/>
        <tr r="CG338" s="2"/>
        <tr r="CI305" s="2"/>
        <tr r="CH415" s="2"/>
        <tr r="BR231" s="2"/>
        <tr r="AT203" s="2"/>
        <tr r="CH96" s="2"/>
        <tr r="AW41" s="2"/>
        <tr r="AX327" s="2"/>
        <tr r="BG150" s="2"/>
        <tr r="BT289" s="2"/>
        <tr r="BR283" s="2"/>
        <tr r="AU46" s="2"/>
        <tr r="AS184" s="2"/>
        <tr r="AS93" s="2"/>
        <tr r="AW96" s="2"/>
        <tr r="AS278" s="2"/>
        <tr r="BQ142" s="2"/>
        <tr r="AV289" s="2"/>
        <tr r="AO300" s="2"/>
        <tr r="AS191" s="2"/>
        <tr r="AS171" s="2"/>
        <tr r="AT256" s="2"/>
        <tr r="AT433" s="2"/>
        <tr r="AO10" s="2"/>
        <tr r="AR126" s="2"/>
        <tr r="AV370" s="2"/>
        <tr r="AO96" s="2"/>
        <tr r="BT148" s="2"/>
        <tr r="AT165" s="2"/>
        <tr r="BQ290" s="2"/>
        <tr r="BQ60" s="2"/>
        <tr r="AW227" s="2"/>
        <tr r="AV446" s="2"/>
        <tr r="AX268" s="2"/>
        <tr r="AR446" s="2"/>
        <tr r="AN461" s="2"/>
        <tr r="AN300" s="2"/>
        <tr r="AR53" s="2"/>
        <tr r="AP366" s="2"/>
        <tr r="AM168" s="2"/>
        <tr r="AV75" s="2"/>
        <tr r="AR63" s="2"/>
        <tr r="BT75" s="2"/>
        <tr r="AT176" s="2"/>
        <tr r="AO312" s="2"/>
        <tr r="AO218" s="2"/>
        <tr r="AN203" s="2"/>
        <tr r="AT320" s="2"/>
        <tr r="CG195" s="2"/>
        <tr r="AO290" s="2"/>
        <tr r="AS425" s="2"/>
        <tr r="AS43" s="2"/>
        <tr r="AS86" s="2"/>
        <tr r="AQ199" s="2"/>
        <tr r="AU84" s="2"/>
        <tr r="BS377" s="2"/>
        <tr r="BS173" s="2"/>
        <tr r="BT446" s="2"/>
        <tr r="AX107" s="2"/>
        <tr r="AX444" s="2"/>
        <tr r="AV196" s="2"/>
        <tr r="AU192" s="2"/>
        <tr r="AV288" s="2"/>
        <tr r="AQ376" s="2"/>
        <tr r="BS237" s="2"/>
        <tr r="AQ290" s="2"/>
        <tr r="AP354" s="2"/>
        <tr r="BR30" s="2"/>
        <tr r="AU157" s="2"/>
        <tr r="BS65" s="2"/>
        <tr r="BS212" s="2"/>
        <tr r="BT465" s="2"/>
        <tr r="AO91" s="2"/>
        <tr r="AS312" s="2"/>
        <tr r="AR249" s="2"/>
        <tr r="AS299" s="2"/>
        <tr r="AW112" s="2"/>
        <tr r="AW14" s="2"/>
        <tr r="AW313" s="2"/>
        <tr r="AU210" s="2"/>
        <tr r="AU261" s="2"/>
        <tr r="AV98" s="2"/>
        <tr r="AV51" s="2"/>
        <tr r="AR110" s="2"/>
        <tr r="AT450" s="2"/>
        <tr r="AP417" s="2"/>
        <tr r="AN51" s="2"/>
        <tr r="AX73" s="2"/>
        <tr r="AX146" s="2"/>
        <tr r="AV10" s="2"/>
        <tr r="AV373" s="2"/>
        <tr r="AX63" s="2"/>
        <tr r="CG175" s="2"/>
        <tr r="AR297" s="2"/>
        <tr r="AO36" s="2"/>
        <tr r="CG95" s="2"/>
        <tr r="CG113" s="2"/>
        <tr r="AT403" s="2"/>
        <tr r="AQ64" s="2"/>
        <tr r="AT420" s="2"/>
        <tr r="BS279" s="2"/>
        <tr r="BR112" s="2"/>
        <tr r="BS26" s="2"/>
        <tr r="AT456" s="2"/>
        <tr r="AS73" s="2"/>
        <tr r="AQ397" s="2"/>
        <tr r="AK415" s="2"/>
        <tr r="BQ211" s="2"/>
        <tr r="AO106" s="2"/>
        <tr r="AR282" s="2"/>
        <tr r="AO125" s="2"/>
        <tr r="CG244" s="2"/>
        <tr r="CG285" s="2"/>
        <tr r="AS94" s="2"/>
        <tr r="AN180" s="2"/>
        <tr r="BS227" s="2"/>
        <tr r="BQ19" s="2"/>
        <tr r="AX286" s="2"/>
        <tr r="BQ311" s="2"/>
        <tr r="AV253" s="2"/>
        <tr r="AU422" s="2"/>
        <tr r="BS460" s="2"/>
        <tr r="BR190" s="2"/>
        <tr r="CG23" s="2"/>
        <tr r="AX113" s="2"/>
        <tr r="AX412" s="2"/>
        <tr r="AX350" s="2"/>
        <tr r="BR316" s="2"/>
        <tr r="AX122" s="2"/>
        <tr r="AX389" s="2"/>
        <tr r="AX96" s="2"/>
        <tr r="BS283" s="2"/>
        <tr r="BQ258" s="2"/>
        <tr r="BQ376" s="2"/>
        <tr r="BQ169" s="2"/>
        <tr r="AO244" s="2"/>
        <tr r="AO228" s="2"/>
        <tr r="AN339" s="2"/>
        <tr r="AV413" s="2"/>
        <tr r="AW299" s="2"/>
        <tr r="AV94" s="2"/>
        <tr r="AW79" s="2"/>
        <tr r="AX77" s="2"/>
        <tr r="AV37" s="2"/>
        <tr r="AU81" s="2"/>
        <tr r="AV145" s="2"/>
        <tr r="BQ360" s="2"/>
        <tr r="AW120" s="2"/>
        <tr r="AW211" s="2"/>
        <tr r="BR400" s="2"/>
        <tr r="AS163" s="2"/>
        <tr r="AS77" s="2"/>
        <tr r="AO402" s="2"/>
        <tr r="AQ384" s="2"/>
        <tr r="AX27" s="2"/>
        <tr r="AV450" s="2"/>
        <tr r="AU390" s="2"/>
        <tr r="AU122" s="2"/>
        <tr r="AX300" s="2"/>
        <tr r="AV52" s="2"/>
        <tr r="AU48" s="2"/>
        <tr r="AU355" s="2"/>
        <tr r="AW35" s="2"/>
        <tr r="AT250" s="2"/>
        <tr r="AS326" s="2"/>
        <tr r="BR303" s="2"/>
        <tr r="AS424" s="2"/>
        <tr r="AN185" s="2"/>
        <tr r="AV424" s="2"/>
        <tr r="AO266" s="2"/>
        <tr r="CG180" s="2"/>
        <tr r="AV465" s="2"/>
        <tr r="AO230" s="2"/>
        <tr r="AX137" s="2"/>
        <tr r="AR434" s="2"/>
        <tr r="BT206" s="2"/>
        <tr r="BQ221" s="2"/>
        <tr r="BH185" s="2"/>
        <tr r="BG98" s="2"/>
        <tr r="AU242" s="2"/>
        <tr r="AU142" s="2"/>
        <tr r="AW111" s="2"/>
        <tr r="AW272" s="2"/>
        <tr r="AO97" s="2"/>
        <tr r="AU318" s="2"/>
        <tr r="AN80" s="2"/>
        <tr r="CI247" s="2"/>
        <tr r="CH64" s="2"/>
        <tr r="AW306" s="2"/>
        <tr r="AR105" s="2"/>
        <tr r="CH287" s="2"/>
        <tr r="BT304" s="2"/>
        <tr r="BT314" s="2"/>
        <tr r="AR333" s="2"/>
        <tr r="AX418" s="2"/>
        <tr r="AX132" s="2"/>
        <tr r="AV249" s="2"/>
        <tr r="AU169" s="2"/>
        <tr r="AT297" s="2"/>
        <tr r="CI463" s="2"/>
        <tr r="AO64" s="2"/>
        <tr r="CG205" s="2"/>
        <tr r="CI223" s="2"/>
        <tr r="AX120" s="2"/>
        <tr r="BR109" s="2"/>
        <tr r="BG75" s="2"/>
        <tr r="CH15" s="2"/>
        <tr r="CG358" s="2"/>
        <tr r="AW90" s="2"/>
        <tr r="CG299" s="2"/>
        <tr r="CG405" s="2"/>
        <tr r="BQ54" s="2"/>
        <tr r="AO113" s="2"/>
        <tr r="AU316" s="2"/>
        <tr r="BR432" s="2"/>
        <tr r="CH371" s="2"/>
        <tr r="AT417" s="2"/>
        <tr r="BQ273" s="2"/>
        <tr r="AW416" s="2"/>
        <tr r="BQ192" s="2"/>
        <tr r="BS120" s="2"/>
        <tr r="AV269" s="2"/>
        <tr r="AQ63" s="2"/>
        <tr r="BI19" s="2"/>
        <tr r="CH342" s="2"/>
        <tr r="CI50" s="2"/>
        <tr r="BS75" s="2"/>
        <tr r="BR228" s="2"/>
        <tr r="CI276" s="2"/>
        <tr r="CH276" s="2"/>
        <tr r="BR156" s="2"/>
        <tr r="CI173" s="2"/>
        <tr r="CH266" s="2"/>
        <tr r="AV69" s="2"/>
        <tr r="BT245" s="2"/>
        <tr r="CH372" s="2"/>
        <tr r="BS361" s="2"/>
        <tr r="BQ67" s="2"/>
        <tr r="AT28" s="2"/>
        <tr r="BR234" s="2"/>
        <tr r="AX348" s="2"/>
        <tr r="AT63" s="2"/>
        <tr r="AW56" s="2"/>
        <tr r="AX337" s="2"/>
        <tr r="BR236" s="2"/>
        <tr r="AR457" s="2"/>
        <tr r="AN173" s="2"/>
        <tr r="AQ50" s="2"/>
        <tr r="AP282" s="2"/>
        <tr r="AU280" s="2"/>
        <tr r="BT396" s="2"/>
        <tr r="BS8" s="2"/>
        <tr r="CH29" s="2"/>
        <tr r="AW230" s="2"/>
        <tr r="AW8" s="2"/>
        <tr r="AU8" s="2"/>
        <tr r="AU227" s="2"/>
        <tr r="AP82" s="2"/>
        <tr r="BS371" s="2"/>
        <tr r="BR322" s="2"/>
        <tr r="BS72" s="2"/>
        <tr r="AT127" s="2"/>
        <tr r="BS109" s="2"/>
        <tr r="BR263" s="2"/>
        <tr r="BS193" s="2"/>
        <tr r="AU375" s="2"/>
        <tr r="BT160" s="2"/>
        <tr r="BT291" s="2"/>
        <tr r="BQ40" s="2"/>
        <tr r="CG242" s="2"/>
        <tr r="AR91" s="2"/>
        <tr r="AV371" s="2"/>
        <tr r="AQ304" s="2"/>
        <tr r="AD20" s="2"/>
        <tr r="BQ17" s="2"/>
        <tr r="BR348" s="2"/>
        <tr r="AS346" s="2"/>
        <tr r="BS309" s="2"/>
        <tr r="BR463" s="2"/>
        <tr r="BS376" s="2"/>
        <tr r="AV63" s="2"/>
        <tr r="AV368" s="2"/>
        <tr r="AS303" s="2"/>
        <tr r="BR98" s="2"/>
        <tr r="BQ144" s="2"/>
        <tr r="BR75" s="2"/>
        <tr r="BT407" s="2"/>
        <tr r="BR76" s="2"/>
        <tr r="BQ345" s="2"/>
        <tr r="BR376" s="2"/>
        <tr r="AT285" s="2"/>
        <tr r="BS137" s="2"/>
        <tr r="BS284" s="2"/>
        <tr r="AX124" s="2"/>
        <tr r="BQ275" s="2"/>
        <tr r="AO359" s="2"/>
        <tr r="AP173" s="2"/>
        <tr r="AU35" s="2"/>
        <tr r="AW184" s="2"/>
        <tr r="BS461" s="2"/>
        <tr r="AS26" s="2"/>
        <tr r="AS305" s="2"/>
        <tr r="AO27" s="2"/>
        <tr r="AO98" s="2"/>
        <tr r="AO237" s="2"/>
        <tr r="AT334" s="2"/>
        <tr r="AP461" s="2"/>
        <tr r="BT330" s="2"/>
        <tr r="BR19" s="2"/>
        <tr r="BR196" s="2"/>
        <tr r="BR230" s="2"/>
        <tr r="AW244" s="2"/>
        <tr r="AW421" s="2"/>
        <tr r="AU214" s="2"/>
        <tr r="AS322" s="2"/>
        <tr r="AS62" s="2"/>
        <tr r="BQ28" s="2"/>
        <tr r="BR101" s="2"/>
        <tr r="BQ253" s="2"/>
        <tr r="BQ415" s="2"/>
        <tr r="BT379" s="2"/>
        <tr r="BR248" s="2"/>
        <tr r="BR355" s="2"/>
        <tr r="BS380" s="2"/>
        <tr r="AO189" s="2"/>
        <tr r="CG57" s="2"/>
        <tr r="AQ170" s="2"/>
        <tr r="AW457" s="2"/>
        <tr r="AU121" s="2"/>
        <tr r="AX216" s="2"/>
        <tr r="BQ162" s="2"/>
        <tr r="BQ391" s="2"/>
        <tr r="AW398" s="2"/>
        <tr r="AW242" s="2"/>
        <tr r="AX292" s="2"/>
        <tr r="BR211" s="2"/>
        <tr r="AX422" s="2"/>
        <tr r="AX202" s="2"/>
        <tr r="AX110" s="2"/>
        <tr r="AS453" s="2"/>
        <tr r="AO72" s="2"/>
        <tr r="BR175" s="2"/>
        <tr r="BR305" s="2"/>
        <tr r="BQ342" s="2"/>
        <tr r="AW126" s="2"/>
        <tr r="AW58" s="2"/>
        <tr r="AX266" s="2"/>
        <tr r="BQ16" s="2"/>
        <tr r="AW263" s="2"/>
        <tr r="AW419" s="2"/>
        <tr r="AX379" s="2"/>
        <tr r="BS372" s="2"/>
        <tr r="BQ402" s="2"/>
        <tr r="AX46" s="2"/>
        <tr r="AU204" s="2"/>
        <tr r="AW291" s="2"/>
        <tr r="CG186" s="2"/>
        <tr r="AQ155" s="2"/>
        <tr r="BQ315" s="2"/>
        <tr r="AV230" s="2"/>
        <tr r="AV452" s="2"/>
        <tr r="AV27" s="2"/>
        <tr r="AW25" s="2"/>
        <tr r="AU217" s="2"/>
        <tr r="AU376" s="2"/>
        <tr r="AS194" s="2"/>
        <tr r="AX211" s="2"/>
        <tr r="AV332" s="2"/>
        <tr r="AU303" s="2"/>
        <tr r="AV71" s="2"/>
        <tr r="AR122" s="2"/>
        <tr r="AR439" s="2"/>
        <tr r="AQ314" s="2"/>
        <tr r="AQ303" s="2"/>
        <tr r="AX99" s="2"/>
        <tr r="AV291" s="2"/>
        <tr r="AU87" s="2"/>
        <tr r="AX281" s="2"/>
        <tr r="AX372" s="2"/>
        <tr r="AV124" s="2"/>
        <tr r="AU120" s="2"/>
        <tr r="AX290" s="2"/>
        <tr r="AV96" s="2"/>
        <tr r="AS165" s="2"/>
        <tr r="BQ208" s="2"/>
        <tr r="AP221" s="2"/>
        <tr r="AO349" s="2"/>
        <tr r="AV307" s="2"/>
        <tr r="BS85" s="2"/>
        <tr r="AP379" s="2"/>
        <tr r="AU86" s="2"/>
        <tr r="AS197" s="2"/>
        <tr r="AU366" s="2"/>
        <tr r="AX62" s="2"/>
        <tr r="BT342" s="2"/>
        <tr r="CG374" s="2"/>
        <tr r="BQ355" s="2"/>
        <tr r="AR231" s="2"/>
        <tr r="AV123" s="2"/>
        <tr r="CI191" s="2"/>
        <tr r="BR330" s="2"/>
        <tr r="AS78" s="2"/>
        <tr r="CI366" s="2"/>
        <tr r="CH190" s="2"/>
        <tr r="AW115" s="2"/>
        <tr r="AO9" s="2"/>
        <tr r="BQ303" s="2"/>
        <tr r="BQ168" s="2"/>
        <tr r="BT80" s="2"/>
        <tr r="AV119" s="2"/>
        <tr r="AV396" s="2"/>
        <tr r="AU419" s="2"/>
        <tr r="AU386" s="2"/>
        <tr r="AT67" s="2"/>
        <tr r="BG396" s="2"/>
        <tr r="AV398" s="2"/>
        <tr r="BQ256" s="2"/>
        <tr r="BT162" s="2"/>
        <tr r="BG365" s="2"/>
        <tr r="AX242" s="2"/>
        <tr r="AU314" s="2"/>
        <tr r="AX318" s="2"/>
        <tr r="AS63" s="2"/>
        <tr r="AS304" s="2"/>
        <tr r="AP307" s="2"/>
        <tr r="AS134" s="2"/>
        <tr r="BT223" s="2"/>
        <tr r="CI141" s="2"/>
        <tr r="AX150" s="2"/>
        <tr r="CH148" s="2"/>
        <tr r="BT7" s="2"/>
        <tr r="AV152" s="2"/>
        <tr r="AR355" s="2"/>
        <tr r="BI122" s="2"/>
        <tr r="BR421" s="2"/>
        <tr r="CI56" s="2"/>
        <tr r="BT90" s="2"/>
        <tr r="BS398" s="2"/>
        <tr r="CI107" s="2"/>
        <tr r="BS244" s="2"/>
        <tr r="BG238" s="2"/>
        <tr r="CH236" s="2"/>
        <tr r="CI332" s="2"/>
        <tr r="AW60" s="2"/>
        <tr r="AX11" s="2"/>
        <tr r="CI203" s="2"/>
        <tr r="CH289" s="2"/>
        <tr r="BR227" s="2"/>
        <tr r="AS240" s="2"/>
        <tr r="AE427" s="2"/>
        <tr r="AV464" s="2"/>
        <tr r="AX430" s="2"/>
        <tr r="AS352" s="2"/>
        <tr r="AW213" s="2"/>
        <tr r="AV50" s="2"/>
        <tr r="BH262" s="2"/>
        <tr r="AX30" s="2"/>
        <tr r="AO320" s="2"/>
        <tr r="BT109" s="2"/>
        <tr r="BQ298" s="2"/>
        <tr r="BT117" s="2"/>
        <tr r="AX352" s="2"/>
        <tr r="BH292" s="2"/>
        <tr r="AS34" s="2"/>
        <tr r="CI398" s="2"/>
        <tr r="BT384" s="2"/>
        <tr r="CG126" s="2"/>
        <tr r="CI129" s="2"/>
        <tr r="CH248" s="2"/>
        <tr r="AU461" s="2"/>
        <tr r="AO137" s="2"/>
        <tr r="CI377" s="2"/>
        <tr r="CH231" s="2"/>
        <tr r="BT322" s="2"/>
        <tr r="AU155" s="2"/>
        <tr r="CH344" s="2"/>
        <tr r="BT9" s="2"/>
        <tr r="AW140" s="2"/>
        <tr r="AX264" s="2"/>
        <tr r="BQ153" s="2"/>
        <tr r="BQ292" s="2"/>
        <tr r="AW417" s="2"/>
        <tr r="BS445" s="2"/>
        <tr r="AW218" s="2"/>
        <tr r="AW429" s="2"/>
        <tr r="AO182" s="2"/>
        <tr r="BS87" s="2"/>
        <tr r="BS354" s="2"/>
        <tr r="BT259" s="2"/>
        <tr r="AQ106" s="2"/>
        <tr r="BR48" s="2"/>
        <tr r="BR162" s="2"/>
        <tr r="BS437" s="2"/>
        <tr r="AU140" s="2"/>
        <tr r="BT69" s="2"/>
        <tr r="BS80" s="2"/>
        <tr r="AX182" s="2"/>
        <tr r="AW259" s="2"/>
        <tr r="AW53" s="2"/>
        <tr r="AU197" s="2"/>
        <tr r="AT59" s="2"/>
        <tr r="AO415" s="2"/>
        <tr r="BR212" s="2"/>
        <tr r="BR17" s="2"/>
        <tr r="BS98" s="2"/>
        <tr r="BT201" s="2"/>
        <tr r="BR399" s="2"/>
        <tr r="BR307" s="2"/>
        <tr r="BS179" s="2"/>
        <tr r="AU369" s="2"/>
        <tr r="BS123" s="2"/>
        <tr r="BR310" s="2"/>
        <tr r="AU61" s="2"/>
        <tr r="BR437" s="2"/>
        <tr r="AR341" s="2"/>
        <tr r="AR130" s="2"/>
        <tr r="AX116" s="2"/>
        <tr r="BR199" s="2"/>
        <tr r="BR329" s="2"/>
        <tr r="BS276" s="2"/>
        <tr r="BS146" s="2"/>
        <tr r="BQ34" s="2"/>
        <tr r="BQ398" s="2"/>
        <tr r="BQ134" s="2"/>
        <tr r="CH349" s="2"/>
        <tr r="BS381" s="2"/>
        <tr r="BR115" s="2"/>
        <tr r="AW361" s="2"/>
        <tr r="AV212" s="2"/>
        <tr r="AV461" s="2"/>
        <tr r="AT425" s="2"/>
        <tr r="AT181" s="2"/>
        <tr r="BS436" s="2"/>
        <tr r="BQ336" s="2"/>
        <tr r="BQ44" s="2"/>
        <tr r="BR269" s="2"/>
        <tr r="BS282" s="2"/>
        <tr r="BQ234" s="2"/>
        <tr r="BQ269" s="2"/>
        <tr r="BQ238" s="2"/>
        <tr r="AS246" s="2"/>
        <tr r="BR29" s="2"/>
        <tr r="BQ400" s="2"/>
        <tr r="BT413" s="2"/>
        <tr r="AX414" s="2"/>
        <tr r="AP142" s="2"/>
        <tr r="AQ289" s="2"/>
        <tr r="AT366" s="2"/>
        <tr r="AV35" s="2"/>
        <tr r="AW98" s="2"/>
        <tr r="BQ71" s="2"/>
        <tr r="BR176" s="2"/>
        <tr r="AX177" s="2"/>
        <tr r="BQ307" s="2"/>
        <tr r="BS134" s="2"/>
        <tr r="BQ6" s="2"/>
        <tr r="BQ362" s="2"/>
        <tr r="BR153" s="2"/>
        <tr r="AU113" s="2"/>
        <tr r="AU394" s="2"/>
        <tr r="BS63" s="2"/>
        <tr r="BS306" s="2"/>
        <tr r="BS358" s="2"/>
        <tr r="BQ278" s="2"/>
        <tr r="AX435" s="2"/>
        <tr r="BQ91" s="2"/>
        <tr r="BR350" s="2"/>
        <tr r="AX222" s="2"/>
        <tr r="AX451" s="2"/>
        <tr r="BQ123" s="2"/>
        <tr r="BT412" s="2"/>
        <tr r="BR320" s="2"/>
        <tr r="BR420" s="2"/>
        <tr r="AV144" s="2"/>
        <tr r="AX314" s="2"/>
        <tr r="AS282" s="2"/>
        <tr r="AM274" s="2"/>
        <tr r="AP298" s="2"/>
        <tr r="BR449" s="2"/>
        <tr r="AX449" s="2"/>
        <tr r="AX205" s="2"/>
        <tr r="AX38" s="2"/>
        <tr r="BQ244" s="2"/>
        <tr r="AW28" s="2"/>
        <tr r="AV31" s="2"/>
        <tr r="AW176" s="2"/>
        <tr r="BR260" s="2"/>
        <tr r="AX375" s="2"/>
        <tr r="AX274" s="2"/>
        <tr r="CG115" s="2"/>
        <tr r="AT258" s="2"/>
        <tr r="AT179" s="2"/>
        <tr r="CG243" s="2"/>
        <tr r="AO41" s="2"/>
        <tr r="BQ170" s="2"/>
        <tr r="AW194" s="2"/>
        <tr r="AW405" s="2"/>
        <tr r="AW374" s="2"/>
        <tr r="BQ339" s="2"/>
        <tr r="AW75" s="2"/>
        <tr r="AV294" s="2"/>
        <tr r="AV430" s="2"/>
        <tr r="BQ86" s="2"/>
        <tr r="AX255" s="2"/>
        <tr r="AW297" s="2"/>
        <tr r="BQ87" s="2"/>
        <tr r="AV9" s="2"/>
        <tr r="AR413" s="2"/>
        <tr r="AM286" s="2"/>
        <tr r="AW150" s="2"/>
        <tr r="AV302" s="2"/>
        <tr r="AV74" s="2"/>
        <tr r="BQ195" s="2"/>
        <tr r="AW97" s="2"/>
        <tr r="AU401" s="2"/>
        <tr r="AU45" s="2"/>
        <tr r="AW200" s="2"/>
        <tr r="AV127" s="2"/>
        <tr r="AT335" s="2"/>
        <tr r="AO200" s="2"/>
        <tr r="AM416" s="2"/>
        <tr r="AW452" s="2"/>
        <tr r="AU19" s="2"/>
        <tr r="AT86" s="2"/>
        <tr r="AU145" s="2"/>
        <tr r="AV310" s="2"/>
        <tr r="AT182" s="2"/>
        <tr r="CG202" s="2"/>
        <tr r="AO16" s="2"/>
        <tr r="AV391" s="2"/>
        <tr r="AT240" s="2"/>
        <tr r="AO352" s="2"/>
        <tr r="AQ166" s="2"/>
        <tr r="CG228" s="2"/>
        <tr r="BQ320" s="2"/>
        <tr r="AX29" s="2"/>
        <tr r="AV228" s="2"/>
        <tr r="AP214" s="2"/>
        <tr r="AT207" s="2"/>
        <tr r="CG168" s="2"/>
        <tr r="AV448" s="2"/>
        <tr r="BS428" s="2"/>
        <tr r="CH374" s="2"/>
        <tr r="AR254" s="2"/>
        <tr r="AU168" s="2"/>
        <tr r="AT443" s="2"/>
        <tr r="AX203" s="2"/>
        <tr r="AR32" s="2"/>
        <tr r="CI105" s="2"/>
        <tr r="CI257" s="2"/>
        <tr r="BS409" s="2"/>
        <tr r="AO209" s="2"/>
        <tr r="AN234" s="2"/>
        <tr r="AM242" s="2"/>
        <tr r="AW205" s="2"/>
        <tr r="AW439" s="2"/>
        <tr r="AX10" s="2"/>
        <tr r="BQ263" s="2"/>
        <tr r="AN224" s="2"/>
        <tr r="BR324" s="2"/>
        <tr r="AU231" s="2"/>
        <tr r="AU131" s="2"/>
        <tr r="BR66" s="2"/>
        <tr r="AU119" s="2"/>
        <tr r="BR197" s="2"/>
        <tr r="BH219" s="2"/>
        <tr r="BT315" s="2"/>
        <tr r="AW42" s="2"/>
        <tr r="CH206" s="2"/>
        <tr r="AT53" s="2"/>
        <tr r="CI79" s="2"/>
        <tr r="CI40" s="2"/>
        <tr r="BT74" s="2"/>
        <tr r="CG279" s="2"/>
        <tr r="AT206" s="2"/>
        <tr r="CI254" s="2"/>
        <tr r="CH183" s="2"/>
        <tr r="AV113" s="2"/>
        <tr r="CI136" s="2"/>
        <tr r="CH238" s="2"/>
        <tr r="BT399" s="2"/>
        <tr r="BQ215" s="2"/>
        <tr r="BR71" s="2"/>
        <tr r="BR404" s="2"/>
        <tr r="AX457" s="2"/>
        <tr r="BT133" s="2"/>
        <tr r="BG403" s="2"/>
        <tr r="CH221" s="2"/>
        <tr r="BS450" s="2"/>
        <tr r="BH62" s="2"/>
        <tr r="BG160" s="2"/>
        <tr r="AX465" s="2"/>
        <tr r="BQ455" s="2"/>
        <tr r="AT186" s="2"/>
        <tr r="BH380" s="2"/>
        <tr r="BS264" s="2"/>
        <tr r="AU293" s="2"/>
        <tr r="BG316" s="2"/>
        <tr r="CH144" s="2"/>
        <tr r="CH164" s="2"/>
        <tr r="AX179" s="2"/>
        <tr r="AP232" s="2"/>
        <tr r="CI325" s="2"/>
        <tr r="AX169" s="2"/>
        <tr r="AU30" s="2"/>
        <tr r="AP456" s="2"/>
        <tr r="CI92" s="2"/>
        <tr r="CH91" s="2"/>
        <tr r="AU21" s="2"/>
        <tr r="AS283" s="2"/>
        <tr r="CH196" s="2"/>
        <tr r="BR311" s="2"/>
        <tr r="BS15" s="2"/>
        <tr r="AT192" s="2"/>
        <tr r="BQ77" s="2"/>
        <tr r="BQ175" s="2"/>
        <tr r="AW341" s="2"/>
        <tr r="AU117" s="2"/>
        <tr r="AV383" s="2"/>
        <tr r="AV290" s="2"/>
        <tr r="AT326" s="2"/>
        <tr r="BS340" s="2"/>
        <tr r="BR166" s="2"/>
        <tr r="BT308" s="2"/>
        <tr r="BT445" s="2"/>
        <tr r="BR67" s="2"/>
        <tr r="BQ33" s="2"/>
        <tr r="BR443" s="2"/>
        <tr r="AU356" s="2"/>
        <tr r="BR31" s="2"/>
        <tr r="BR161" s="2"/>
        <tr r="CG353" s="2"/>
        <tr r="AS308" s="2"/>
        <tr r="AS438" s="2"/>
        <tr r="AO19" s="2"/>
        <tr r="AS350" s="2"/>
        <tr r="BT96" s="2"/>
        <tr r="BR221" s="2"/>
        <tr r="BR89" s="2"/>
        <tr r="AW101" s="2"/>
        <tr r="BT273" s="2"/>
        <tr r="BR258" s="2"/>
        <tr r="BR428" s="2"/>
        <tr r="AW455" s="2"/>
        <tr r="AO192" s="2"/>
        <tr r="BQ31" s="2"/>
        <tr r="BQ434" s="2"/>
        <tr r="AT307" s="2"/>
        <tr r="BQ323" s="2"/>
        <tr r="AP229" s="2"/>
        <tr r="BT220" s="2"/>
        <tr r="BR418" s="2"/>
        <tr r="BQ95" s="2"/>
        <tr r="BR87" s="2"/>
        <tr r="BR38" s="2"/>
        <tr r="BQ375" s="2"/>
        <tr r="AX193" s="2"/>
        <tr r="BQ405" s="2"/>
        <tr r="BS145" s="2"/>
        <tr r="BQ113" s="2"/>
        <tr r="BQ188" s="2"/>
        <tr r="BS52" s="2"/>
        <tr r="AO404" s="2"/>
        <tr r="AR397" s="2"/>
        <tr r="AO61" s="2"/>
        <tr r="CG63" s="2"/>
        <tr r="BS73" s="2"/>
        <tr r="BQ41" s="2"/>
        <tr r="BQ116" s="2"/>
        <tr r="AU194" s="2"/>
        <tr r="BS434" s="2"/>
        <tr r="BQ378" s="2"/>
        <tr r="BQ341" s="2"/>
        <tr r="AU76" s="2"/>
        <tr r="BR359" s="2"/>
        <tr r="AX192" s="2"/>
        <tr r="AX227" s="2"/>
        <tr r="AR406" s="2"/>
        <tr r="AX330" s="2"/>
        <tr r="AR230" s="2"/>
        <tr r="AU404" s="2"/>
        <tr r="AT104" s="2"/>
        <tr r="AN30" s="2"/>
        <tr r="BQ281" s="2"/>
        <tr r="BQ69" s="2"/>
        <tr r="BR372" s="2"/>
        <tr r="BR201" s="2"/>
        <tr r="AX450" s="2"/>
        <tr r="AW190" s="2"/>
        <tr r="AX39" s="2"/>
        <tr r="BS238" s="2"/>
        <tr r="BQ78" s="2"/>
        <tr r="BQ155" s="2"/>
        <tr r="AV263" s="2"/>
        <tr r="AU238" s="2"/>
        <tr r="AT262" s="2"/>
        <tr r="AS242" s="2"/>
        <tr r="AS422" s="2"/>
        <tr r="BR184" s="2"/>
        <tr r="AX129" s="2"/>
        <tr r="AX428" s="2"/>
        <tr r="AX329" s="2"/>
        <tr r="BR396" s="2"/>
        <tr r="AX138" s="2"/>
        <tr r="AX405" s="2"/>
        <tr r="AX338" s="2"/>
        <tr r="BS389" s="2"/>
        <tr r="BQ349" s="2"/>
        <tr r="AX376" s="2"/>
        <tr r="BR152" s="2"/>
        <tr r="AW40" s="2"/>
        <tr r="AN176" s="2"/>
        <tr r="AN367" s="2"/>
        <tr r="BS435" s="2"/>
        <tr r="BR149" s="2"/>
        <tr r="AX341" s="2"/>
        <tr r="AW153" s="2"/>
        <tr r="AW151" s="2"/>
        <tr r="AX104" s="2"/>
        <tr r="AV183" s="2"/>
        <tr r="AV267" s="2"/>
        <tr r="AV252" s="2"/>
        <tr r="BQ418" s="2"/>
        <tr r="AW338" s="2"/>
        <tr r="AW390" s="2"/>
        <tr r="AX427" s="2"/>
        <tr r="AR104" s="2"/>
        <tr r="AT84" s="2"/>
        <tr r="AP378" s="2"/>
        <tr r="AQ186" s="2"/>
        <tr r="BQ274" s="2"/>
        <tr r="AW266" s="2"/>
        <tr r="AW246" s="2"/>
        <tr r="BR45" s="2"/>
        <tr r="BQ356" s="2"/>
        <tr r="AW147" s="2"/>
        <tr r="AV366" s="2"/>
        <tr r="BQ158" s="2"/>
        <tr r="AX98" s="2"/>
        <tr r="AV459" s="2"/>
        <tr r="AV325" s="2"/>
        <tr r="AM35" s="2"/>
        <tr r="AV244" s="2"/>
        <tr r="AP112" s="2"/>
        <tr r="AW274" s="2"/>
        <tr r="AU251" s="2"/>
        <tr r="AU334" s="2"/>
        <tr r="AU338" s="2"/>
        <tr r="AV132" s="2"/>
        <tr r="BS89" s="2"/>
        <tr r="BS236" s="2"/>
        <tr r="AS33" s="2"/>
        <tr r="AV276" s="2"/>
        <tr r="AT312" s="2"/>
        <tr r="AT454" s="2"/>
        <tr r="AV414" s="2"/>
        <tr r="AV120" s="2"/>
        <tr r="AT442" s="2"/>
        <tr r="AR435" s="2"/>
        <tr r="AU37" s="2"/>
        <tr r="AU409" s="2"/>
        <tr r="BS232" s="2"/>
        <tr r="BS356" s="2"/>
        <tr r="AU460" s="2"/>
        <tr r="AU220" s="2"/>
        <tr r="BS353" s="2"/>
        <tr r="BS149" s="2"/>
        <tr r="CG49" s="2"/>
        <tr r="AW15" s="2"/>
        <tr r="BS300" s="2"/>
        <tr r="AU426" s="2"/>
        <tr r="CG237" s="2"/>
        <tr r="AT248" s="2"/>
        <tr r="AN75" s="2"/>
        <tr r="AT97" s="2"/>
        <tr r="AO47" s="2"/>
        <tr r="BR459" s="2"/>
        <tr r="AV89" s="2"/>
        <tr r="AU305" s="2"/>
        <tr r="BS129" s="2"/>
        <tr r="AV298" s="2"/>
        <tr r="CH319" s="2"/>
        <tr r="AS327" s="2"/>
        <tr r="BT386" s="2"/>
        <tr r="AW12" s="2"/>
        <tr r="CI174" s="2"/>
        <tr r="AW144" s="2"/>
        <tr r="CI350" s="2"/>
        <tr r="CI453" s="2"/>
        <tr r="BR198" s="2"/>
        <tr r="BS431" s="2"/>
        <tr r="BS192" s="2"/>
        <tr r="BQ80" s="2"/>
        <tr r="AO176" s="2"/>
        <tr r="AU364" s="2"/>
        <tr r="AU378" s="2"/>
        <tr r="CG323" s="2"/>
        <tr r="BG111" s="2"/>
        <tr r="BQ289" s="2"/>
        <tr r="BS92" s="2"/>
        <tr r="AV363" s="2"/>
        <tr r="BH307" s="2"/>
        <tr r="AO234" s="2"/>
        <tr r="AV256" s="2"/>
        <tr r="BG443" s="2"/>
        <tr r="BS423" s="2"/>
        <tr r="CI388" s="2"/>
        <tr r="AX385" s="2"/>
        <tr r="CG35" s="2"/>
        <tr r="BT56" s="2"/>
        <tr r="CH125" s="2"/>
        <tr r="AW331" s="2"/>
        <tr r="AN8" s="2"/>
        <tr r="CH464" s="2"/>
        <tr r="CI44" s="2"/>
        <tr r="BQ61" s="2"/>
        <tr r="CG213" s="2"/>
        <tr r="CI27" s="2"/>
        <tr r="CH274" s="2"/>
        <tr r="BT22" s="2"/>
        <tr r="AO279" s="2"/>
        <tr r="BR337" s="2"/>
        <tr r="BR250" s="2"/>
        <tr r="AX364" s="2"/>
        <tr r="AW402" s="2"/>
        <tr r="CH273" s="2"/>
        <tr r="BS17" s="2"/>
        <tr r="AW237" s="2"/>
        <tr r="BG423" s="2"/>
        <tr r="AX18" s="2"/>
        <tr r="AU83" s="2"/>
        <tr r="BH180" s="2"/>
        <tr r="BG404" s="2"/>
        <tr r="BS336" s="2"/>
        <tr r="BQ392" s="2"/>
        <tr r="BS288" s="2"/>
        <tr r="CH136" s="2"/>
        <tr r="BS14" s="2"/>
        <tr r="AW133" s="2"/>
        <tr r="AS133" s="2"/>
        <tr r="BS183" s="2"/>
        <tr r="BQ122" s="2"/>
        <tr r="AU464" s="2"/>
        <tr r="BS332" s="2"/>
        <tr r="CH401" s="2"/>
        <tr r="AW454" s="2"/>
        <tr r="BR90" s="2"/>
        <tr r="AX220" s="2"/>
        <tr r="BT155" s="2"/>
        <tr r="BT419" s="2"/>
        <tr r="BR280" s="2"/>
        <tr r="AQ411" s="2"/>
        <tr r="BQ149" s="2"/>
        <tr r="BQ399" s="2"/>
        <tr r="AW413" s="2"/>
        <tr r="BQ120" s="2"/>
        <tr r="CG369" s="2"/>
        <tr r="AO146" s="2"/>
        <tr r="AO48" s="2"/>
        <tr r="BS51" s="2"/>
        <tr r="BR238" s="2"/>
        <tr r="AW223" s="2"/>
        <tr r="BT222" s="2"/>
        <tr r="BR387" s="2"/>
        <tr r="BQ105" s="2"/>
        <tr r="AV99" s="2"/>
        <tr r="BS108" s="2"/>
        <tr r="BQ420" s="2"/>
        <tr r="AX431" s="2"/>
        <tr r="AS341" s="2"/>
        <tr r="BQ354" s="2"/>
        <tr r="BR242" s="2"/>
        <tr r="BS59" s="2"/>
        <tr r="BQ171" s="2"/>
        <tr r="AX118" s="2"/>
        <tr r="BR6" s="2"/>
        <tr r="BS228" s="2"/>
        <tr r="BQ124" s="2"/>
        <tr r="AX119" s="2"/>
        <tr r="BR59" s="2"/>
        <tr r="BS21" s="2"/>
        <tr r="BQ340" s="2"/>
        <tr r="AX8" s="2"/>
        <tr r="BQ368" s="2"/>
        <tr r="BQ364" s="2"/>
        <tr r="AP392" s="2"/>
        <tr r="AT90" s="2"/>
        <tr r="BT436" s="2"/>
        <tr r="BR363" s="2"/>
        <tr r="BQ335" s="2"/>
        <tr r="AV210" s="2"/>
        <tr r="BR110" s="2"/>
        <tr r="BQ408" s="2"/>
        <tr r="AX265" s="2"/>
        <tr r="AT122" s="2"/>
        <tr r="BR338" s="2"/>
        <tr r="AX388" s="2"/>
        <tr r="AW136" s="2"/>
        <tr r="AP113" s="2"/>
        <tr r="AJ407" s="2"/>
        <tr r="AX147" s="2"/>
        <tr r="BQ159" s="2"/>
        <tr r="BR419" s="2"/>
        <tr r="AX443" s="2"/>
        <tr r="AW159" s="2"/>
        <tr r="BQ138" s="2"/>
        <tr r="BR427" s="2"/>
        <tr r="AX319" s="2"/>
        <tr r="AW256" s="2"/>
        <tr r="BQ227" s="2"/>
        <tr r="BR373" s="2"/>
        <tr r="AX117" s="2"/>
        <tr r="AW400" s="2"/>
        <tr r="AX368" s="2"/>
        <tr r="AX402" s="2"/>
        <tr r="AN48" s="2"/>
        <tr r="CG83" s="2"/>
        <tr r="AS155" s="2"/>
        <tr r="AT376" s="2"/>
        <tr r="BS245" s="2"/>
        <tr r="BQ205" s="2"/>
        <tr r="AX232" s="2"/>
        <tr r="BQ180" s="2"/>
        <tr r="BQ439" s="2"/>
        <tr r="AW430" s="2"/>
        <tr r="AW258" s="2"/>
        <tr r="AW248" s="2"/>
        <tr r="BR328" s="2"/>
        <tr r="AX273" s="2"/>
        <tr r="AX37" s="2"/>
        <tr r="BQ351" s="2"/>
        <tr r="AO393" s="2"/>
        <tr r="AT410" s="2"/>
        <tr r="AO111" s="2"/>
        <tr r="AQ113" s="2"/>
        <tr r="BR256" s="2"/>
        <tr r="AX201" s="2"/>
        <tr r="AX295" s="2"/>
        <tr r="BS217" s="2"/>
        <tr r="BR277" s="2"/>
        <tr r="AX210" s="2"/>
        <tr r="AX199" s="2"/>
        <tr r="BS50" s="2"/>
        <tr r="BQ441" s="2"/>
        <tr r="AW113" s="2"/>
        <tr r="AW316" s="2"/>
        <tr r="AM23" s="2"/>
        <tr r="AW323" s="2"/>
        <tr r="AQ355" s="2"/>
        <tr r="CG280" s="2"/>
        <tr r="BQ14" s="2"/>
        <tr r="AX413" s="2"/>
        <tr r="AW225" s="2"/>
        <tr r="BR39" s="2"/>
        <tr r="AX176" s="2"/>
        <tr r="AV367" s="2"/>
        <tr r="AV284" s="2"/>
        <tr r="BQ132" s="2"/>
        <tr r="AW350" s="2"/>
        <tr r="AU310" s="2"/>
        <tr r="AU139" s="2"/>
        <tr r="AN390" s="2"/>
        <tr r="AX58" s="2"/>
        <tr r="AV347" s="2"/>
        <tr r="AV285" s="2"/>
        <tr r="AV95" s="2"/>
        <tr r="AX421" s="2"/>
        <tr r="AV381" s="2"/>
        <tr r="AU130" s="2"/>
        <tr r="AV433" s="2"/>
        <tr r="AW31" s="2"/>
        <tr r="AU111" s="2"/>
        <tr r="AU371" s="2"/>
        <tr r="AV354" s="2"/>
        <tr r="AW175" s="2"/>
        <tr r="AU352" s="2"/>
        <tr r="AU300" s="2"/>
        <tr r="AV138" s="2"/>
        <tr r="AU446" s="2"/>
        <tr r="AP55" s="2"/>
        <tr r="AT107" s="2"/>
        <tr r="AU174" s="2"/>
        <tr r="BT60" s="2"/>
        <tr r="BS127" s="2"/>
        <tr r="AT103" s="2"/>
        <tr r="AT45" s="2"/>
        <tr r="BS438" s="2"/>
        <tr r="BR88" s="2"/>
        <tr r="AO226" s="2"/>
        <tr r="AO417" s="2"/>
        <tr r="CG30" s="2"/>
        <tr r="AS214" s="2"/>
        <tr r="AV322" s="2"/>
        <tr r="AV372" s="2"/>
        <tr r="AP163" s="2"/>
        <tr r="BT224" s="2"/>
        <tr r="BR225" s="2"/>
        <tr r="AT289" s="2"/>
        <tr r="AS435" s="2"/>
        <tr r="CG239" s="2"/>
        <tr r="AT304" s="2"/>
        <tr r="AS395" s="2"/>
        <tr r="AS141" s="2"/>
        <tr r="CG232" s="2"/>
        <tr r="AM369" s="2"/>
        <tr r="AX91" s="2"/>
        <tr r="AW87" s="2"/>
        <tr r="AW464" s="2"/>
        <tr r="AU302" s="2"/>
        <tr r="AN120" s="2"/>
        <tr r="AR71" s="2"/>
        <tr r="AS365" s="2"/>
        <tr r="AU151" s="2"/>
        <tr r="AS271" s="2"/>
        <tr r="AU143" s="2"/>
        <tr r="BQ74" s="2"/>
        <tr r="AS417" s="2"/>
        <tr r="CG267" s="2"/>
        <tr r="BS201" s="2"/>
        <tr r="BH107" s="2"/>
        <tr r="BG261" s="2"/>
        <tr r="BT344" s="2"/>
        <tr r="BS164" s="2"/>
        <tr r="CH201" s="2"/>
        <tr r="AU193" s="2"/>
        <tr r="BT431" s="2"/>
        <tr r="AX156" s="2"/>
        <tr r="AV93" s="2"/>
        <tr r="CH57" s="2"/>
        <tr r="BR430" s="2"/>
        <tr r="AV22" s="2"/>
        <tr r="CG325" s="2"/>
        <tr r="CI304" s="2"/>
        <tr r="BR453" s="2"/>
        <tr r="AO371" s="2"/>
        <tr r="CH239" s="2"/>
        <tr r="AV211" s="2"/>
        <tr r="BS77" s="2"/>
        <tr r="AR287" s="2"/>
        <tr r="BR425" s="2"/>
        <tr r="BR107" s="2"/>
        <tr r="AX436" s="2"/>
        <tr r="BR454" s="2"/>
        <tr r="CH324" s="2"/>
        <tr r="BR130" s="2"/>
        <tr r="CG341" s="2"/>
        <tr r="AF288" s="2"/>
        <tr r="CH347" s="2"/>
        <tr r="AW293" s="2"/>
        <tr r="AV390" s="2"/>
        <tr r="BG204" s="2"/>
        <tr r="BR157" s="2"/>
        <tr r="BR441" s="2"/>
        <tr r="AU431" s="2"/>
        <tr r="AX464" s="2"/>
        <tr r="AV273" s="2"/>
        <tr r="BH193" s="2"/>
        <tr r="AV58" s="2"/>
        <tr r="BQ106" s="2"/>
        <tr r="AU236" s="2"/>
        <tr r="BH354" s="2"/>
        <tr r="AU29" s="2"/>
        <tr r="AW335" s="2"/>
        <tr r="AX280" s="2"/>
        <tr r="BQ51" s="2"/>
        <tr r="AU286" s="2"/>
        <tr r="BT200" s="2"/>
        <tr r="AU313" s="2"/>
        <tr r="CG295" s="2"/>
        <tr r="BQ291" s="2"/>
        <tr r="AW64" s="2"/>
        <tr r="AW169" s="2"/>
        <tr r="AU66" s="2"/>
        <tr r="AS354" s="2"/>
        <tr r="AO120" s="2"/>
        <tr r="BQ150" s="2"/>
        <tr r="BQ379" s="2"/>
        <tr r="BS360" s="2"/>
        <tr r="BR314" s="2"/>
        <tr r="AX312" s="2"/>
        <tr r="AX60" s="2"/>
        <tr r="BR436" s="2"/>
        <tr r="BR252" s="2"/>
        <tr r="AX456" s="2"/>
        <tr r="AX204" s="2"/>
        <tr r="BS163" s="2"/>
        <tr r="BS45" s="2"/>
        <tr r="BQ460" s="2"/>
        <tr r="AX32" s="2"/>
        <tr r="BQ97" s="2"/>
        <tr r="BQ312" s="2"/>
        <tr r="AW391" s="2"/>
        <tr r="AW282" s="2"/>
        <tr r="AP42" s="2"/>
        <tr r="BQ240" s="2"/>
        <tr r="AW72" s="2"/>
        <tr r="AW163" s="2"/>
        <tr r="AS8" s="2"/>
        <tr r="CG104" s="2"/>
        <tr r="AQ330" s="2"/>
        <tr r="AT295" s="2"/>
        <tr r="AX410" s="2"/>
        <tr r="AU39" s="2"/>
        <tr r="AG139" s="2"/>
        <tr r="AR25" s="2"/>
        <tr r="BR261" s="2"/>
        <tr r="AX55" s="2"/>
        <tr r="AX346" s="2"/>
        <tr r="BR202" s="2"/>
        <tr r="BQ394" s="2"/>
        <tr r="AW233" s="2"/>
        <tr r="AW37" s="2"/>
        <tr r="AX33" s="2"/>
        <tr r="BQ427" s="2"/>
        <tr r="AW377" s="2"/>
        <tr r="AW181" s="2"/>
        <tr r="BR237" s="2"/>
        <tr r="BR12" s="2"/>
        <tr r="AX141" s="2"/>
        <tr r="AW424" s="2"/>
        <tr r="AX257" s="2"/>
        <tr r="AX128" s="2"/>
        <tr r="AV223" s="2"/>
        <tr r="AV331" s="2"/>
        <tr r="AM31" s="2"/>
        <tr r="AX89" s="2"/>
        <tr r="AV41" s="2"/>
        <tr r="AV140" s="2"/>
        <tr r="AR139" s="2"/>
        <tr r="AO153" s="2"/>
        <tr r="AT197" s="2"/>
        <tr r="AS41" s="2"/>
        <tr r="AW420" s="2"/>
        <tr r="BS294" s="2"/>
        <tr r="AT220" s="2"/>
        <tr r="CG357" s="2"/>
        <tr r="CG119" s="2"/>
        <tr r="BS317" s="2"/>
        <tr r="BQ277" s="2"/>
        <tr r="AX304" s="2"/>
        <tr r="AT414" s="2"/>
        <tr r="BQ15" s="2"/>
        <tr r="AW23" s="2"/>
        <tr r="AW330" s="2"/>
        <tr r="BR195" s="2"/>
        <tr r="BQ247" s="2"/>
        <tr r="AW365" s="2"/>
        <tr r="AV105" s="2"/>
        <tr r="AO243" s="2"/>
        <tr r="BQ401" s="2"/>
        <tr r="AW73" s="2"/>
        <tr r="AW276" s="2"/>
        <tr r="AW286" s="2"/>
        <tr r="BQ285" s="2"/>
        <tr r="AW388" s="2"/>
        <tr r="AV80" s="2"/>
        <tr r="AW238" s="2"/>
        <tr r="BQ440" s="2"/>
        <tr r="AW262" s="2"/>
        <tr r="AV225" s="2"/>
        <tr r="AW367" s="2"/>
        <tr r="AX134" s="2"/>
        <tr r="AV6" s="2"/>
        <tr r="AV369" s="2"/>
        <tr r="AW289" s="2"/>
        <tr r="AW396" s="2"/>
        <tr r="AQ286" s="2"/>
        <tr r="AO447" s="2"/>
        <tr r="AX66" s="2"/>
        <tr r="AX209" s="2"/>
        <tr r="AV161" s="2"/>
        <tr r="AV260" s="2"/>
        <tr r="AW132" s="2"/>
        <tr r="AW155" s="2"/>
        <tr r="AU347" s="2"/>
        <tr r="AT246" s="2"/>
        <tr r="AU264" s="2"/>
        <tr r="AW395" s="2"/>
        <tr r="AU260" s="2"/>
        <tr r="AT39" s="2"/>
        <tr r="AX423" s="2"/>
        <tr r="AW199" s="2"/>
        <tr r="AU281" s="2"/>
        <tr r="AU372" s="2"/>
        <tr r="AV443" s="2"/>
        <tr r="AV275" s="2"/>
        <tr r="CG255" s="2"/>
        <tr r="BT139" s="2"/>
        <tr r="AV410" s="2"/>
        <tr r="AO136" s="2"/>
        <tr r="BT124" s="2"/>
        <tr r="BQ463" s="2"/>
        <tr r="AS127" s="2"/>
        <tr r="AT200" s="2"/>
        <tr r="AS206" s="2"/>
        <tr r="AU462" s="2"/>
        <tr r="AX127" s="2"/>
        <tr r="AR205" s="2"/>
        <tr r="AU68" s="2"/>
        <tr r="AS119" s="2"/>
        <tr r="AS362" s="2"/>
        <tr r="AT184" s="2"/>
        <tr r="AT361" s="2"/>
        <tr r="CG41" s="2"/>
        <tr r="CG60" s="2"/>
        <tr r="AI342" s="2"/>
        <tr r="AX186" s="2"/>
        <tr r="BQ133" s="2"/>
        <tr r="AV394" s="2"/>
        <tr r="AV60" s="2"/>
        <tr r="AM425" s="2"/>
        <tr r="BS187" s="2"/>
        <tr r="AU135" s="2"/>
        <tr r="AS420" s="2"/>
        <tr r="AP91" s="2"/>
        <tr r="AP179" s="2"/>
        <tr r="AS290" s="2"/>
        <tr r="CG20" s="2"/>
        <tr r="AR49" s="2"/>
        <tr r="AN61" s="2"/>
        <tr r="BR409" s="2"/>
        <tr r="AX195" s="2"/>
        <tr r="AV146" s="2"/>
        <tr r="AM338" s="2"/>
        <tr r="BS274" s="2"/>
        <tr r="AN79" s="2"/>
        <tr r="AV147" s="2"/>
        <tr r="AU179" s="2"/>
        <tr r="BT135" s="2"/>
        <tr r="CG15" s="2"/>
        <tr r="AU219" s="2"/>
        <tr r="CG7" s="2"/>
        <tr r="AU170" s="2"/>
        <tr r="CH315" s="2"/>
        <tr r="CI177" s="2"/>
        <tr r="BT353" s="2"/>
        <tr r="BS334" s="2"/>
        <tr r="BQ11" s="2"/>
        <tr r="AW403" s="2"/>
        <tr r="CG254" s="2"/>
        <tr r="BR358" s="2"/>
        <tr r="AX133" s="2"/>
        <tr r="AV432" s="2"/>
        <tr r="AV362" s="2"/>
        <tr r="BS155" s="2"/>
        <tr r="AS236" s="2"/>
        <tr r="AN444" s="2"/>
        <tr r="CI270" s="2"/>
        <tr r="BT216" s="2"/>
        <tr r="AU237" s="2"/>
        <tr r="AQ246" s="2"/>
        <tr r="BS307" s="2"/>
        <tr r="BS156" s="2"/>
        <tr r="BQ52" s="2"/>
        <tr r="BS38" s="2"/>
        <tr r="BS459" s="2"/>
        <tr r="AR89" s="2"/>
        <tr r="CI76" s="2"/>
        <tr r="AX316" s="2"/>
        <tr r="BQ365" s="2"/>
        <tr r="BG331" s="2"/>
        <tr r="CH51" s="2"/>
        <tr r="BS331" s="2"/>
        <tr r="AV280" s="2"/>
        <tr r="CH85" s="2"/>
        <tr r="AW397" s="2"/>
        <tr r="BH56" s="2"/>
        <tr r="AW209" s="2"/>
        <tr r="BS400" s="2"/>
        <tr r="AU459" s="2"/>
        <tr r="BH257" s="2"/>
        <tr r="AV427" s="2"/>
        <tr r="BQ147" s="2"/>
        <tr r="BR35" s="2"/>
        <tr r="AO367" s="2"/>
        <tr r="BR51" s="2"/>
        <tr r="AV201" s="2"/>
        <tr r="BQ63" s="2"/>
        <tr r="AW116" s="2"/>
        <tr r="AU226" s="2"/>
        <tr r="BR286" s="2"/>
        <tr r="AX438" s="2"/>
        <tr r="AX248" s="2"/>
        <tr r="AV16" s="2"/>
        <tr r="AT49" s="2"/>
        <tr r="BT250" s="2"/>
        <tr r="BQ426" s="2"/>
        <tr r="CH131" s="2"/>
        <tr r="BT296" s="2"/>
        <tr r="AU266" s="2"/>
        <tr r="BG438" s="2"/>
        <tr r="BT435" s="2"/>
        <tr r="AW125" s="2"/>
        <tr r="AX439" s="2"/>
        <tr r="AQ7" s="2"/>
        <tr r="BH425" s="2"/>
        <tr r="BG397" s="2"/>
        <tr r="AV399" s="2"/>
        <tr r="AV203" s="2"/>
        <tr r="BH154" s="2"/>
        <tr r="BG147" s="2"/>
        <tr r="AT171" s="2"/>
        <tr r="AT159" s="2"/>
        <tr r="AQ123" s="2"/>
        <tr r="BG367" s="2"/>
        <tr r="BQ294" s="2"/>
        <tr r="BR192" s="2"/>
        <tr r="BQ308" s="2"/>
        <tr r="BH124" s="2"/>
        <tr r="BT92" s="2"/>
        <tr r="AU6" s="2"/>
        <tr r="AV395" s="2"/>
        <tr r="AV197" s="2"/>
        <tr r="BR74" s="2"/>
        <tr r="AU349" s="2"/>
        <tr r="BR379" s="2"/>
        <tr r="BS107" s="2"/>
        <tr r="BR85" s="2"/>
        <tr r="AX162" s="2"/>
        <tr r="AX429" s="2"/>
        <tr r="AS459" s="2"/>
        <tr r="BQ165" s="2"/>
        <tr r="AW252" s="2"/>
        <tr r="AV415" s="2"/>
        <tr r="AS17" s="2"/>
        <tr r="CG188" s="2"/>
        <tr r="AT384" s="2"/>
        <tr r="AT52" s="2"/>
        <tr r="BR354" s="2"/>
        <tr r="BR335" s="2"/>
        <tr r="AX168" s="2"/>
        <tr r="AX171" s="2"/>
        <tr r="AX111" s="2"/>
        <tr r="BQ204" s="2"/>
        <tr r="AW425" s="2"/>
        <tr r="AV7" s="2"/>
        <tr r="BQ140" s="2"/>
        <tr r="BQ429" s="2"/>
        <tr r="AW117" s="2"/>
        <tr r="AV224" s="2"/>
        <tr r="AP200" s="2"/>
        <tr r="AN186" s="2"/>
        <tr r="AQ462" s="2"/>
        <tr r="AR43" s="2"/>
        <tr r="AV382" s="2"/>
        <tr r="BQ435" s="2"/>
        <tr r="AS221" s="2"/>
        <tr r="AP193" s="2"/>
        <tr r="BQ411" s="2"/>
        <tr r="AW99" s="2"/>
        <tr r="AV318" s="2"/>
        <tr r="AM325" s="2"/>
        <tr r="AX301" s="2"/>
        <tr r="AV261" s="2"/>
        <tr r="AU10" s="2"/>
        <tr r="AO358" s="2"/>
        <tr r="AR214" s="2"/>
        <tr r="AS226" s="2"/>
        <tr r="CG70" s="2"/>
        <tr r="BQ152" s="2"/>
        <tr r="BQ417" s="2"/>
        <tr r="AW89" s="2"/>
        <tr r="AW292" s="2"/>
        <tr r="AW347" s="2"/>
        <tr r="AX53" s="2"/>
        <tr r="AV13" s="2"/>
        <tr r="AU57" s="2"/>
        <tr r="AX383" s="2"/>
        <tr r="AW38" s="2"/>
        <tr r="AV303" s="2"/>
        <tr r="AU274" s="2"/>
        <tr r="AP94" s="2"/>
        <tr r="AN24" s="2"/>
        <tr r="AQ161" s="2"/>
        <tr r="AM434" s="2"/>
        <tr r="AU136" s="2"/>
        <tr r="AX332" s="2"/>
        <tr r="AR50" s="2"/>
        <tr r="AN188" s="2"/>
        <tr r="AX263" s="2"/>
        <tr r="BQ409" s="2"/>
        <tr r="BQ49" s="2"/>
        <tr r="AW192" s="2"/>
        <tr r="AW363" s="2"/>
        <tr r="AX72" s="2"/>
        <tr r="AX218" s="2"/>
        <tr r="AV82" s="2"/>
        <tr r="AV445" s="2"/>
        <tr r="AW245" s="2"/>
        <tr r="AX362" s="2"/>
        <tr r="AV226" s="2"/>
        <tr r="AV352" s="2"/>
        <tr r="BQ389" s="2"/>
        <tr r="AX158" s="2"/>
        <tr r="AV30" s="2"/>
        <tr r="AV393" s="2"/>
        <tr r="AW322" s="2"/>
        <tr r="AW49" s="2"/>
        <tr r="AU241" s="2"/>
        <tr r="AU361" s="2"/>
        <tr r="AN259" s="2"/>
        <tr r="AW154" s="2"/>
        <tr r="AU458" s="2"/>
        <tr r="AU102" s="2"/>
        <tr r="AR148" s="2"/>
        <tr r="AN337" s="2"/>
        <tr r="CG335" s="2"/>
        <tr r="AO18" s="2"/>
        <tr r="AV412" s="2"/>
        <tr r="BQ270" s="2"/>
        <tr r="AO7" s="2"/>
        <tr r="AX462" s="2"/>
        <tr r="AW301" s="2"/>
        <tr r="AU445" s="2"/>
        <tr r="AS96" s="2"/>
        <tr r="AM261" s="2"/>
        <tr r="AU447" s="2"/>
        <tr r="BT285" s="2"/>
        <tr r="BS296" s="2"/>
        <tr r="AS332" s="2"/>
        <tr r="AS21" s="2"/>
        <tr r="CG441" s="2"/>
        <tr r="AT452" s="2"/>
        <tr r="AW66" s="2"/>
        <tr r="AW11" s="2"/>
        <tr r="AU51" s="2"/>
        <tr r="AT102" s="2"/>
        <tr r="AO341" s="2"/>
        <tr r="AU343" s="2"/>
        <tr r="AT386" s="2"/>
        <tr r="AT406" s="2"/>
        <tr r="AU159" s="2"/>
        <tr r="AU208" s="2"/>
        <tr r="AT331" s="2"/>
        <tr r="AS183" s="2"/>
        <tr r="AP251" s="2"/>
        <tr r="AN123" s="2"/>
        <tr r="BR291" s="2"/>
        <tr r="BR179" s="2"/>
        <tr r="BS191" s="2"/>
        <tr r="AT215" s="2"/>
        <tr r="AS293" s="2"/>
        <tr r="AP286" s="2"/>
        <tr r="CG391" s="2"/>
        <tr r="AQ178" s="2"/>
        <tr r="AO175" s="2"/>
        <tr r="AS204" s="2"/>
        <tr r="CG446" s="2"/>
        <tr r="AR121" s="2"/>
        <tr r="AN237" s="2"/>
        <tr r="BR34" s="2"/>
        <tr r="AX164" s="2"/>
        <tr r="AW327" s="2"/>
        <tr r="AX296" s="2"/>
        <tr r="AT54" s="2"/>
        <tr r="AT88" s="2"/>
        <tr r="BR83" s="2"/>
        <tr r="BQ183" s="2"/>
        <tr r="AP339" s="2"/>
        <tr r="AW178" s="2"/>
        <tr r="AW389" s="2"/>
        <tr r="AW423" s="2"/>
        <tr r="BQ283" s="2"/>
        <tr r="AW59" s="2"/>
        <tr r="AV278" s="2"/>
        <tr r="AW17" s="2"/>
        <tr r="BR450" s="2"/>
        <tr r="AV374" s="2"/>
        <tr r="AT126" s="2"/>
        <tr r="AU20" s="2"/>
        <tr r="AV233" s="2"/>
        <tr r="AR290" s="2"/>
        <tr r="AT214" s="2"/>
        <tr r="AU273" s="2"/>
        <tr r="BS67" s="2"/>
        <tr r="AS253" s="2"/>
        <tr r="BR272" s="2"/>
        <tr r="AO247" s="2"/>
        <tr r="AV188" s="2"/>
        <tr r="AU357" s="2"/>
        <tr r="AP70" s="2"/>
        <tr r="BG226" s="2"/>
        <tr r="CI210" s="2"/>
        <tr r="AU383" s="2"/>
        <tr r="AX260" s="2"/>
        <tr r="CI148" s="2"/>
        <tr r="AU283" s="2"/>
        <tr r="BH295" s="2"/>
        <tr r="AX288" s="2"/>
        <tr r="BT219" s="2"/>
        <tr r="AU374" s="2"/>
        <tr r="BH120" s="2"/>
        <tr r="AW314" s="2"/>
        <tr r="BR271" s="2"/>
        <tr r="BS56" s="2"/>
        <tr r="AV84" s="2"/>
        <tr r="BS64" s="2"/>
        <tr r="AX13" s="2"/>
        <tr r="CH100" s="2"/>
        <tr r="AX251" s="2"/>
        <tr r="AV176" s="2"/>
        <tr r="BT443" s="2"/>
        <tr r="BQ22" s="2"/>
        <tr r="BQ143" s="2"/>
        <tr r="AW95" s="2"/>
        <tr r="AO321" s="2"/>
        <tr r="BR410" s="2"/>
        <tr r="CI336" s="2"/>
        <tr r="CH182" s="2"/>
        <tr r="AV216" s="2"/>
        <tr r="AV157" s="2"/>
        <tr r="CH463" s="2"/>
        <tr r="BT428" s="2"/>
        <tr r="BQ151" s="2"/>
        <tr r="AS29" s="2"/>
        <tr r="BT21" s="2"/>
        <tr r="BH231" s="2"/>
        <tr r="BG121" s="2"/>
        <tr r="AW149" s="2"/>
        <tr r="AW318" s="2"/>
        <tr r="BH57" s="2"/>
        <tr r="BG270" s="2"/>
        <tr r="AU393" s="2"/>
        <tr r="AV404" s="2"/>
        <tr r="AO353" s="2"/>
        <tr r="BH454" s="2"/>
        <tr r="BR106" s="2"/>
        <tr r="BT453" s="2"/>
        <tr r="BR287" s="2"/>
        <tr r="BH51" s="2"/>
        <tr r="AT158" s="2"/>
        <tr r="AW435" s="2"/>
        <tr r="AW372" s="2"/>
        <tr r="AW188" s="2"/>
        <tr r="BS299" s="2"/>
        <tr r="AV340" s="2"/>
        <tr r="BT456" s="2"/>
        <tr r="AR6" s="2"/>
        <tr r="CI271" s="2"/>
        <tr r="CH140" s="2"/>
        <tr r="BQ384" s="2"/>
        <tr r="AT134" s="2"/>
        <tr r="CH317" s="2"/>
        <tr r="BR32" s="2"/>
        <tr r="CI349" s="2"/>
        <tr r="AX460" s="2"/>
        <tr r="BS386" s="2"/>
        <tr r="BS339" s="2"/>
        <tr r="BG433" s="2"/>
        <tr r="CI282" s="2"/>
        <tr r="AU14" s="2"/>
        <tr r="BQ130" s="2"/>
        <tr r="BG118" s="2"/>
        <tr r="CI101" s="2"/>
        <tr r="AT100" s="2"/>
        <tr r="AW359" s="2"/>
        <tr r="BG167" s="2"/>
        <tr r="BQ430" s="2"/>
        <tr r="AV68" s="2"/>
        <tr r="BH363" s="2"/>
        <tr r="BG148" s="2"/>
        <tr r="BT164" s="2"/>
        <tr r="BR317" s="2"/>
        <tr r="AU82" s="2"/>
        <tr r="AU403" s="2"/>
        <tr r="AT446" s="2"/>
        <tr r="BQ241" s="2"/>
        <tr r="BQ70" s="2"/>
        <tr r="BS262" s="2"/>
        <tr r="BQ448" s="2"/>
        <tr r="AW239" s="2"/>
        <tr r="AW371" s="2"/>
        <tr r="AX328" s="2"/>
        <tr r="AX353" s="2"/>
        <tr r="AV305" s="2"/>
        <tr r="AV77" s="2"/>
        <tr r="AP464" s="2"/>
        <tr r="AN258" s="2"/>
        <tr r="AQ89" s="2"/>
        <tr r="AR115" s="2"/>
        <tr r="BR243" s="2"/>
        <tr r="BR407" s="2"/>
        <tr r="AX240" s="2"/>
        <tr r="AX411" s="2"/>
        <tr r="AO452" s="2"/>
        <tr r="AQ71" s="2"/>
        <tr r="AS149" s="2"/>
        <tr r="CG433" s="2"/>
        <tr r="AQ230" s="2"/>
        <tr r="AP400" s="2"/>
        <tr r="CG6" s="2"/>
        <tr r="CG291" s="2"/>
        <tr r="AV150" s="2"/>
        <tr r="AT22" s="2"/>
        <tr r="CG160" s="2"/>
        <tr r="AU108" s="2"/>
        <tr r="AV419" s="2"/>
        <tr r="AP63" s="2"/>
        <tr r="AT29" s="2"/>
        <tr r="AM199" s="2"/>
        <tr r="AX392" s="2"/>
        <tr r="AV160" s="2"/>
        <tr r="AV219" s="2"/>
        <tr r="AW249" s="2"/>
        <tr r="AW418" s="2"/>
        <tr r="AU124" s="2"/>
        <tr r="AU263" s="2"/>
        <tr r="AQ224" s="2"/>
        <tr r="AP59" s="2"/>
        <tr r="BQ224" s="2"/>
        <tr r="BQ250" s="2"/>
        <tr r="AW161" s="2"/>
        <tr r="AW380" s="2"/>
        <tr r="BR105" s="2"/>
        <tr r="AT436" s="2"/>
        <tr r="AR22" s="2"/>
        <tr r="AT380" s="2"/>
        <tr r="AT372" s="2"/>
        <tr r="AT389" s="2"/>
        <tr r="AQ294" s="2"/>
        <tr r="AS369" s="2"/>
        <tr r="AU327" s="2"/>
        <tr r="BT309" s="2"/>
        <tr r="BS320" s="2"/>
        <tr r="BT393" s="2"/>
        <tr r="AU325" s="2"/>
        <tr r="AS143" s="2"/>
        <tr r="CG102" s="2"/>
        <tr r="AN462" s="2"/>
        <tr r="AX228" s="2"/>
        <tr r="BQ333" s="2"/>
        <tr r="AX324" s="2"/>
        <tr r="AV76" s="2"/>
        <tr r="AU72" s="2"/>
        <tr r="AN91" s="2"/>
        <tr r="AV190" s="2"/>
        <tr r="AT62" s="2"/>
        <tr r="CG259" s="2"/>
        <tr r="AM250" s="2"/>
        <tr r="AT394" s="2"/>
        <tr r="AO138" s="2"/>
        <tr r="AQ448" s="2"/>
        <tr r="AX447" s="2"/>
        <tr r="AX74" s="2"/>
        <tr r="AV387" s="2"/>
        <tr r="AV301" s="2"/>
        <tr r="AU184" s="2"/>
        <tr r="AW422" s="2"/>
        <tr r="AU71" s="2"/>
        <tr r="AS444" s="2"/>
        <tr r="AW294" s="2"/>
        <tr r="AV167" s="2"/>
        <tr r="AT391" s="2"/>
        <tr r="CG197" s="2"/>
        <tr r="AQ309" s="2"/>
        <tr r="AN159" s="2"/>
        <tr r="AM153" s="2"/>
        <tr r="AS217" s="2"/>
        <tr r="AU190" s="2"/>
        <tr r="AT68" s="2"/>
        <tr r="AO397" s="2"/>
        <tr r="AV217" s="2"/>
        <tr r="AV162" s="2"/>
        <tr r="CG251" s="2"/>
        <tr r="AT411" s="2"/>
        <tr r="AU379" s="2"/>
        <tr r="AU133" s="2"/>
        <tr r="AS296" s="2"/>
        <tr r="AS44" s="2"/>
        <tr r="BQ330" s="2"/>
        <tr r="BR393" s="2"/>
        <tr r="AW138" s="2"/>
        <tr r="AW83" s="2"/>
        <tr r="AU195" s="2"/>
        <tr r="AT174" s="2"/>
        <tr r="AW243" s="2"/>
        <tr r="AQ276" s="2"/>
        <tr r="AO118" s="2"/>
        <tr r="AT219" s="2"/>
        <tr r="AT381" s="2"/>
        <tr r="AP13" s="2"/>
        <tr r="BS23" s="2"/>
        <tr r="BQ462" s="2"/>
        <tr r="BQ98" s="2"/>
        <tr r="BR81" s="2"/>
        <tr r="AS275" s="2"/>
        <tr r="AR371" s="2"/>
        <tr r="AS358" s="2"/>
        <tr r="AP246" s="2"/>
        <tr r="AX325" s="2"/>
        <tr r="AW137" s="2"/>
        <tr r="AX19" s="2"/>
        <tr r="AX88" s="2"/>
        <tr r="AV159" s="2"/>
        <tr r="AV227" s="2"/>
        <tr r="AW269" s="2"/>
        <tr r="BQ216" s="2"/>
        <tr r="AW48" s="2"/>
        <tr r="AW139" s="2"/>
        <tr r="AW394" s="2"/>
        <tr r="BS104" s="2"/>
        <tr r="BS289" s="2"/>
        <tr r="BQ257" s="2"/>
        <tr r="BQ45" s="2"/>
        <tr r="AX159" s="2"/>
        <tr r="AV447" s="2"/>
        <tr r="AV314" s="2"/>
        <tr r="AW203" s="2"/>
        <tr r="AX416" s="2"/>
        <tr r="AV184" s="2"/>
        <tr r="AV283" s="2"/>
        <tr r="AW364" s="2"/>
        <tr r="AX407" s="2"/>
        <tr r="AU99" s="2"/>
        <tr r="AR81" s="2"/>
        <tr r="BS131" s="2"/>
        <tr r="AT108" s="2"/>
        <tr r="AR23" s="2"/>
        <tr r="AX44" s="2"/>
        <tr r="AU56" s="2"/>
        <tr r="BR239" s="2"/>
        <tr r="AW375" s="2"/>
        <tr r="BQ422" s="2"/>
        <tr r="CG221" s="2"/>
        <tr r="AS205" s="2"/>
        <tr r="CG269" s="2"/>
        <tr r="BR24" s="2"/>
        <tr r="BR135" s="2"/>
        <tr r="AX303" s="2"/>
        <tr r="AX283" s="2"/>
        <tr r="BQ108" s="2"/>
        <tr r="CG327" s="2"/>
        <tr r="CG135" s="2"/>
        <tr r="AR194" s="2"/>
        <tr r="AV214" s="2"/>
        <tr r="AV388" s="2"/>
        <tr r="AW156" s="2"/>
        <tr r="AW9" s="2"/>
        <tr r="AU201" s="2"/>
        <tr r="AU232" s="2"/>
        <tr r="AU110" s="2"/>
        <tr r="AX65" s="2"/>
        <tr r="AV17" s="2"/>
        <tr r="AV116" s="2"/>
        <tr r="AU279" s="2"/>
        <tr r="BR235" s="2"/>
        <tr r="BR401" s="2"/>
        <tr r="AX417" s="2"/>
        <tr r="AX181" s="2"/>
        <tr r="AW296" s="2"/>
        <tr r="AU17" s="2"/>
        <tr r="AU456" s="2"/>
        <tr r="AV180" s="2"/>
        <tr r="AW337" s="2"/>
        <tr r="AU234" s="2"/>
        <tr r="AU285" s="2"/>
        <tr r="AV365" s="2"/>
        <tr r="BQ213" s="2"/>
        <tr r="AW300" s="2"/>
        <tr r="AV8" s="2"/>
        <tr r="BQ121" s="2"/>
        <tr r="AU270" s="2"/>
        <tr r="AS411" s="2"/>
        <tr r="AK177" s="2"/>
        <tr r="AT230" s="2"/>
        <tr r="AU360" s="2"/>
        <tr r="AU147" s="2"/>
        <tr r="AV165" s="2"/>
        <tr r="AV449" s="2"/>
        <tr r="CG366" s="2"/>
        <tr r="BT203" s="2"/>
        <tr r="AT143" s="2"/>
        <tr r="AW130" s="2"/>
        <tr r="AU434" s="2"/>
        <tr r="AU54" s="2"/>
        <tr r="CG138" s="2"/>
        <tr r="BQ235" s="2"/>
        <tr r="BQ395" s="2"/>
        <tr r="AW251" s="2"/>
        <tr r="AV70" s="2"/>
        <tr r="AV265" s="2"/>
        <tr r="AS36" s="2"/>
        <tr r="BT329" s="2"/>
        <tr r="AU182" s="2"/>
        <tr r="AV186" s="2"/>
        <tr r="CG52" s="2"/>
        <tr r="BT58" s="2"/>
        <tr r="AT166" s="2"/>
        <tr r="AX349" s="2"/>
        <tr r="AV309" s="2"/>
        <tr r="AU58" s="2"/>
        <tr r="AX463" s="2"/>
        <tr r="BT356" s="2"/>
        <tr r="CG43" s="2"/>
        <tr r="AQ217" s="2"/>
        <tr r="BT17" s="2"/>
        <tr r="AV151" s="2"/>
        <tr r="BT388" s="2"/>
        <tr r="BT326" s="2"/>
        <tr r="CG161" s="2"/>
        <tr r="AT387" s="2"/>
        <tr r="BS148" s="2"/>
        <tr r="BR181" s="2"/>
        <tr r="BT197" s="2"/>
        <tr r="AV458" s="2"/>
        <tr r="AO184" s="2"/>
        <tr r="BS106" s="2"/>
        <tr r="AV389" s="2"/>
        <tr r="AT330" s="2"/>
        <tr r="AT347" s="2"/>
        <tr r="AO280" s="2"/>
        <tr r="AT264" s="2"/>
        <tr r="AU416" s="2"/>
        <tr r="BS366" s="2"/>
        <tr r="BS34" s="2"/>
        <tr r="AX440" s="2"/>
        <tr r="AT151" s="2"/>
        <tr r="BS16" s="2"/>
        <tr r="BS115" s="2"/>
        <tr r="AX401" s="2"/>
        <tr r="AU123" s="2"/>
        <tr r="BR126" s="2"/>
        <tr r="BR336" s="2"/>
        <tr r="CG196" s="2"/>
        <tr r="BR395" s="2"/>
        <tr r="AQ44" s="2"/>
        <tr r="AM54" s="2"/>
        <tr r="BQ173" s="2"/>
        <tr r="AT50" s="2"/>
        <tr r="AO127" s="2"/>
        <tr r="AQ207" s="2"/>
        <tr r="AX384" s="2"/>
        <tr r="AP401" s="2"/>
        <tr r="AQ431" s="2"/>
        <tr r="AP97" s="2"/>
        <tr r="AW410" s="2"/>
        <tr r="AN35" s="2"/>
        <tr r="AP210" s="2"/>
        <tr r="AN295" s="2"/>
        <tr r="BS171" s="2"/>
        <tr r="AR77" s="2"/>
        <tr r="CG337" s="2"/>
        <tr r="AS88" s="2"/>
        <tr r="BQ104" s="2"/>
        <tr r="AN211" s="2"/>
        <tr r="AQ108" s="2"/>
        <tr r="AO382" s="2"/>
        <tr r="AW162" s="2"/>
        <tr r="AM9" s="2"/>
        <tr r="AP105" s="2"/>
        <tr r="AR295" s="2"/>
        <tr r="CG270" s="2"/>
        <tr r="AT302" s="2"/>
        <tr r="AO249" s="2"/>
        <tr r="AX305" s="2"/>
        <tr r="AO154" s="2"/>
        <tr r="AS60" s="2"/>
        <tr r="AT129" s="2"/>
        <tr r="AM266" s="2"/>
        <tr r="AL17" s="2"/>
        <tr r="CG152" s="2"/>
        <tr r="AN310" s="2"/>
        <tr r="AO347" s="2"/>
        <tr r="AV198" s="2"/>
        <tr r="AR447" s="2"/>
        <tr r="AP325" s="2"/>
        <tr r="AU62" s="2"/>
        <tr r="AU185" s="2"/>
        <tr r="AQ131" s="2"/>
        <tr r="BR448" s="2"/>
        <tr r="BR50" s="2"/>
        <tr r="AR48" s="2"/>
        <tr r="AN110" s="2"/>
        <tr r="AQ377" s="2"/>
        <tr r="AW45" s="2"/>
        <tr r="AM119" s="2"/>
        <tr r="AP53" s="2"/>
        <tr r="AO170" s="2"/>
        <tr r="AM361" s="2"/>
        <tr r="AX333" s="2"/>
        <tr r="AO108" s="2"/>
        <tr r="AS356" s="2"/>
        <tr r="AT273" s="2"/>
        <tr r="AV175" s="2"/>
        <tr r="AN196" s="2"/>
        <tr r="AO13" s="2"/>
        <tr r="AS139" s="2"/>
        <tr r="AO114" s="2"/>
        <tr r="AO76" s="2"/>
        <tr r="AQ415" s="2"/>
        <tr r="AR449" s="2"/>
        <tr r="AS11" s="2"/>
        <tr r="AN358" s="2"/>
        <tr r="AO71" s="2"/>
        <tr r="AX21" s="2"/>
        <tr r="CG53" s="2"/>
        <tr r="AS145" s="2"/>
        <tr r="AN422" s="2"/>
        <tr r="AT313" s="2"/>
        <tr r="AS138" s="2"/>
        <tr r="BQ242" s="2"/>
        <tr r="AS229" s="2"/>
        <tr r="AT265" s="2"/>
        <tr r="AO213" s="2"/>
        <tr r="AX191" s="2"/>
        <tr r="AQ177" s="2"/>
        <tr r="AN246" s="2"/>
        <tr r="BS271" s="2"/>
        <tr r="AN427" s="2"/>
        <tr r="AP419" s="2"/>
        <tr r="AL24" s="2"/>
        <tr r="BR216" s="2"/>
        <tr r="AR317" s="2"/>
        <tr r="AN179" s="2"/>
        <tr r="AN308" s="2"/>
        <tr r="AQ428" s="2"/>
        <tr r="AN412" s="2"/>
        <tr r="AT117" s="2"/>
        <tr r="AP41" s="2"/>
        <tr r="AM167" s="2"/>
        <tr r="AT44" s="2"/>
        <tr r="AS262" s="2"/>
        <tr r="AN298" s="2"/>
        <tr r="AG327" s="2"/>
        <tr r="AX52" s="2"/>
        <tr r="AW78" s="2"/>
        <tr r="AP299" s="2"/>
        <tr r="AR372" s="2"/>
        <tr r="AM196" s="2"/>
        <tr r="AT254" s="2"/>
        <tr r="AP336" s="2"/>
        <tr r="AQ278" s="2"/>
        <tr r="AN140" s="2"/>
        <tr r="CG265" s="2"/>
        <tr r="AN271" s="2"/>
        <tr r="AU424" s="2"/>
        <tr r="AS72" s="2"/>
        <tr r="AR17" s="2"/>
        <tr r="CG314" s="2"/>
        <tr r="CG215" s="2"/>
        <tr r="CG329" s="2"/>
        <tr r="AT212" s="2"/>
        <tr r="AR70" s="2"/>
        <tr r="AS294" s="2"/>
        <tr r="CG200" s="2"/>
        <tr r="AN74" s="2"/>
        <tr r="AR197" s="2"/>
        <tr r="AT247" s="2"/>
        <tr r="CG294" s="2"/>
        <tr r="AS45" s="2"/>
        <tr r="AW93" s="2"/>
        <tr r="AN72" s="2"/>
        <tr r="AQ313" s="2"/>
        <tr r="AO461" s="2"/>
        <tr r="AU455" s="2"/>
        <tr r="AR15" s="2"/>
        <tr r="AN86" s="2"/>
        <tr r="AW29" s="2"/>
        <tr r="AU252" s="2"/>
        <tr r="AN255" s="2"/>
        <tr r="AU412" s="2"/>
        <tr r="AN349" s="2"/>
        <tr r="AS144" s="2"/>
        <tr r="AS210" s="2"/>
        <tr r="CG34" s="2"/>
        <tr r="AR162" s="2"/>
        <tr r="CG414" s="2"/>
        <tr r="AR7" s="2"/>
        <tr r="AO163" s="2"/>
        <tr r="AQ203" s="2"/>
        <tr r="AP445" s="2"/>
        <tr r="AP21" s="2"/>
        <tr r="AT267" s="2"/>
        <tr r="AQ8" s="2"/>
        <tr r="AQ299" s="2"/>
        <tr r="AT317" s="2"/>
        <tr r="AW164" s="2"/>
        <tr r="AU332" s="2"/>
        <tr r="AT48" s="2"/>
        <tr r="BS337" s="2"/>
        <tr r="AW277" s="2"/>
        <tr r="AU421" s="2"/>
        <tr r="AS255" s="2"/>
        <tr r="BS170" s="2"/>
        <tr r="AW128" s="2"/>
        <tr r="AU128" s="2"/>
        <tr r="AU36" s="2"/>
        <tr r="AV141" s="2"/>
        <tr r="AO104" s="2"/>
        <tr r="AN7" s="2"/>
        <tr r="AM57" s="2"/>
        <tr r="BR318" s="2"/>
        <tr r="AU221" s="2"/>
        <tr r="AT398" s="2"/>
        <tr r="AU50" s="2"/>
        <tr r="AU415" s="2"/>
        <tr r="BT380" s="2"/>
        <tr r="BS350" s="2"/>
        <tr r="AO245" s="2"/>
        <tr r="AW202" s="2"/>
        <tr r="AU107" s="2"/>
        <tr r="AU198" s="2"/>
        <tr r="AW346" s="2"/>
        <tr r="AR118" s="2"/>
        <tr r="AR273" s="2"/>
        <tr r="AS107" s="2"/>
        <tr r="CG48" s="2"/>
        <tr r="AV173" s="2"/>
        <tr r="CH413" s="2"/>
        <tr r="BT401" s="2"/>
        <tr r="BR36" s="2"/>
        <tr r="AU126" s="2"/>
        <tr r="BT303" s="2"/>
        <tr r="BT130" s="2"/>
        <tr r="BQ390" s="2"/>
        <tr r="AV97" s="2"/>
        <tr r="AS153" s="2"/>
        <tr r="BS153" s="2"/>
        <tr r="AT187" s="2"/>
        <tr r="BS136" s="2"/>
        <tr r="AR147" s="2"/>
        <tr r="AI420" s="2"/>
        <tr r="BQ416" s="2"/>
        <tr r="AU370" s="2"/>
        <tr r="BT66" s="2"/>
        <tr r="BT462" s="2"/>
        <tr r="BQ348" s="2"/>
        <tr r="AQ105" s="2"/>
        <tr r="BS220" s="2"/>
        <tr r="BR23" s="2"/>
        <tr r="AW320" s="2"/>
        <tr r="AT118" s="2"/>
        <tr r="BR349" s="2"/>
        <tr r="BQ94" s="2"/>
        <tr r="AR255" s="2"/>
        <tr r="AN162" s="2"/>
        <tr r="AR97" s="2"/>
        <tr r="AE334" s="2"/>
        <tr r="BS76" s="2"/>
        <tr r="AT46" s="2"/>
        <tr r="BR392" s="2"/>
        <tr r="BR301" s="2"/>
        <tr r="BT307" s="2"/>
        <tr r="AT287" s="2"/>
        <tr r="BR97" s="2"/>
        <tr r="BQ254" s="2"/>
        <tr r="BT188" s="2"/>
        <tr r="BT404" s="2"/>
        <tr r="BR241" s="2"/>
        <tr r="BQ167" s="2"/>
        <tr r="BR302" s="2"/>
        <tr r="BR53" s="2"/>
        <tr r="AQ214" s="2"/>
        <tr r="AO432" s="2"/>
        <tr r="AV380" s="2"/>
        <tr r="AP267" s="2"/>
        <tr r="AR286" s="2"/>
        <tr r="AX309" s="2"/>
        <tr r="AN321" s="2"/>
        <tr r="AQ140" s="2"/>
        <tr r="AS116" s="2"/>
        <tr r="AV135" s="2"/>
        <tr r="AR96" s="2"/>
        <tr r="AN158" s="2"/>
        <tr r="BS265" s="2"/>
        <tr r="BS251" s="2"/>
        <tr r="AQ450" s="2"/>
        <tr r="AQ149" s="2"/>
        <tr r="AR218" s="2"/>
        <tr r="AX68" s="2"/>
        <tr r="AP109" s="2"/>
        <tr r="AQ346" s="2"/>
        <tr r="AP428" s="2"/>
        <tr r="AS443" s="2"/>
        <tr r="AM86" s="2"/>
        <tr r="AG166" s="2"/>
        <tr r="BQ197" s="2"/>
        <tr r="CG311" s="2"/>
        <tr r="AT35" s="2"/>
        <tr r="AO384" s="2"/>
        <tr r="AW414" s="2"/>
        <tr r="AO172" s="2"/>
        <tr r="AS38" s="2"/>
        <tr r="AT234" s="2"/>
        <tr r="CG31" s="2"/>
        <tr r="CG150" s="2"/>
        <tr r="AN228" s="2"/>
        <tr r="AM309" s="2"/>
        <tr r="AR44" s="2"/>
        <tr r="CG240" s="2"/>
        <tr r="AM83" s="2"/>
        <tr r="AP198" s="2"/>
        <tr r="AT277" s="2"/>
        <tr r="BQ198" s="2"/>
        <tr r="AX399" s="2"/>
        <tr r="AO445" s="2"/>
        <tr r="AP332" s="2"/>
        <tr r="AR260" s="2"/>
        <tr r="AV299" s="2"/>
        <tr r="AR66" s="2"/>
        <tr r="AN232" s="2"/>
        <tr r="AF51" s="2"/>
        <tr r="AH79" s="2"/>
        <tr r="CG312" s="2"/>
        <tr r="AW281" s="2"/>
        <tr r="AO190" s="2"/>
        <tr r="AS381" s="2"/>
        <tr r="AO395" s="2"/>
        <tr r="AV19" s="2"/>
        <tr r="AT89" s="2"/>
        <tr r="AO63" s="2"/>
        <tr r="AQ366" s="2"/>
        <tr r="AO132" s="2"/>
        <tr r="CG396" s="2"/>
        <tr r="AN441" s="2"/>
        <tr r="CG73" s="2"/>
        <tr r="AQ238" s="2"/>
        <tr r="AN381" s="2"/>
        <tr r="AP58" s="2"/>
        <tr r="AX93" s="2"/>
        <tr r="AP432" s="2"/>
        <tr r="AR267" s="2"/>
        <tr r="AN276" s="2"/>
        <tr r="BR189" s="2"/>
        <tr r="AS259" s="2"/>
        <tr r="AN306" s="2"/>
        <tr r="AO51" s="2"/>
        <tr r="AX102" s="2"/>
        <tr r="CG38" s="2"/>
        <tr r="AT114" s="2"/>
        <tr r="AO276" s="2"/>
        <tr r="AW339" s="2"/>
        <tr r="AQ426" s="2"/>
        <tr r="AP31" s="2"/>
        <tr r="AS451" s="2"/>
        <tr r="CG82" s="2"/>
        <tr r="CG13" s="2"/>
        <tr r="AM317" s="2"/>
        <tr r="AN154" s="2"/>
        <tr r="AN107" s="2"/>
        <tr r="CG271" s="2"/>
        <tr r="AM356" s="2"/>
        <tr r="CG192" s="2"/>
        <tr r="AS399" s="2"/>
        <tr r="AO253" s="2"/>
        <tr r="AF106" s="2"/>
        <tr r="AV335" s="2"/>
        <tr r="AV353" s="2"/>
        <tr r="AP23" s="2"/>
        <tr r="AO438" s="2"/>
        <tr r="AN296" s="2"/>
        <tr r="AP184" s="2"/>
        <tr r="AP172" s="2"/>
        <tr r="AM120" s="2"/>
        <tr r="AX87" s="2"/>
        <tr r="AO26" s="2"/>
        <tr r="AS42" s="2"/>
        <tr r="AN463" s="2"/>
        <tr r="AU451" s="2"/>
        <tr r="AS81" s="2"/>
        <tr r="AR100" s="2"/>
        <tr r="AP270" s="2"/>
        <tr r="BT46" s="2"/>
        <tr r="CG130" s="2"/>
        <tr r="AR112" s="2"/>
        <tr r="AN288" s="2"/>
        <tr r="AS264" s="2"/>
        <tr r="AR306" s="2"/>
        <tr r="AP412" s="2"/>
        <tr r="CG307" s="2"/>
        <tr r="AT145" s="2"/>
        <tr r="AO70" s="2"/>
        <tr r="AS445" s="2"/>
        <tr r="AU41" s="2"/>
        <tr r="AN62" s="2"/>
        <tr r="AR196" s="2"/>
        <tr r="CG69" s="2"/>
        <tr r="AE440" s="2"/>
        <tr r="AU432" s="2"/>
        <tr r="BT276" s="2"/>
        <tr r="AN187" s="2"/>
        <tr r="AT270" s="2"/>
        <tr r="BT150" s="2"/>
        <tr r="CG121" s="2"/>
        <tr r="AR259" s="2"/>
        <tr r="CG66" s="2"/>
        <tr r="CG61" s="2"/>
        <tr r="AQ142" s="2"/>
        <tr r="CG456" s="2"/>
        <tr r="AN99" s="2"/>
        <tr r="AT113" s="2"/>
        <tr r="AO273" s="2"/>
        <tr r="AQ78" s="2"/>
        <tr r="AQ132" s="2"/>
        <tr r="AS14" s="2"/>
        <tr r="AQ444" s="2"/>
        <tr r="AP227" s="2"/>
        <tr r="AU384" s="2"/>
        <tr r="BR159" s="2"/>
        <tr r="AW308" s="2"/>
        <tr r="AU53" s="2"/>
        <tr r="AT161" s="2"/>
        <tr r="AU463" s="2"/>
        <tr r="AN353" s="2"/>
        <tr r="AO437" s="2"/>
        <tr r="AP147" s="2"/>
        <tr r="AQ12" s="2"/>
        <tr r="AW236" s="2"/>
        <tr r="AU440" s="2"/>
        <tr r="AT216" s="2"/>
        <tr r="AW412" s="2"/>
        <tr r="AW349" s="2"/>
        <tr r="AU70" s="2"/>
        <tr r="AS89" s="2"/>
        <tr r="AW278" s="2"/>
        <tr r="AV12" s="2"/>
        <tr r="AN263" s="2"/>
        <tr r="BT349" s="2"/>
        <tr r="BQ267" s="2"/>
        <tr r="BT143" s="2"/>
        <tr r="AQ90" s="2"/>
        <tr r="AT18" s="2"/>
        <tr r="AV320" s="2"/>
        <tr r="AS118" s="2"/>
        <tr r="AN45" s="2"/>
        <tr r="BR374" s="2"/>
        <tr r="AU448" s="2"/>
        <tr r="BT83" s="2"/>
        <tr r="BS287" s="2"/>
        <tr r="BQ276" s="2"/>
        <tr r="AV317" s="2"/>
        <tr r="BS243" s="2"/>
        <tr r="BS397" s="2"/>
        <tr r="AS108" s="2"/>
        <tr r="AP202" s="2"/>
        <tr r="AN108" s="2"/>
        <tr r="AM156" s="2"/>
        <tr r="AV245" s="2"/>
        <tr r="BS209" s="2"/>
        <tr r="BS412" s="2"/>
        <tr r="AU74" s="2"/>
        <tr r="AU278" s="2"/>
        <tr r="BS42" s="2"/>
        <tr r="BS278" s="2"/>
        <tr r="AU267" s="2"/>
        <tr r="AU381" s="2"/>
        <tr r="BS194" s="2"/>
        <tr r="BS399" s="2"/>
        <tr r="BT271" s="2"/>
        <tr r="BS208" s="2"/>
        <tr r="AP380" s="2"/>
        <tr r="CG11" s="2"/>
        <tr r="AE368" s="2"/>
        <tr r="AU442" s="2"/>
        <tr r="BS453" s="2"/>
        <tr r="BR140" s="2"/>
        <tr r="AT190" s="2"/>
        <tr r="AP141" s="2"/>
        <tr r="BQ359" s="2"/>
        <tr r="BQ347" s="2"/>
        <tr r="BS210" s="2"/>
        <tr r="BS168" s="2"/>
        <tr r="BQ56" s="2"/>
        <tr r="BQ75" s="2"/>
        <tr r="BT210" s="2"/>
        <tr r="BT20" s="2"/>
        <tr r="BR265" s="2"/>
        <tr r="BQ231" s="2"/>
        <tr r="BR15" s="2"/>
        <tr r="BR62" s="2"/>
        <tr r="BQ447" s="2"/>
        <tr r="AX217" s="2"/>
        <tr r="CG447" s="2"/>
        <tr r="BR331" s="2"/>
        <tr r="AX446" s="2"/>
        <tr r="AX226" s="2"/>
        <tr r="AO34" s="2"/>
        <tr r="AS55" s="2"/>
        <tr r="AO33" s="2"/>
        <tr r="AO236" s="2"/>
        <tr r="BQ396" s="2"/>
        <tr r="AV54" s="2"/>
        <tr r="CG181" s="2"/>
        <tr r="AT419" s="2"/>
        <tr r="AM124" s="2"/>
        <tr r="AQ403" s="2"/>
        <tr r="AQ81" s="2"/>
        <tr r="AT423" s="2"/>
        <tr r="AM393" s="2"/>
        <tr r="CG134" s="2"/>
        <tr r="CG26" s="2"/>
        <tr r="AE282" s="2"/>
        <tr r="BR58" s="2"/>
        <tr r="BQ127" s="2"/>
        <tr r="AN322" s="2"/>
        <tr r="AQ257" s="2"/>
        <tr r="AO318" s="2"/>
        <tr r="AW57" s="2"/>
        <tr r="AN157" s="2"/>
        <tr r="AP127" s="2"/>
        <tr r="AO431" s="2"/>
        <tr r="AF303" s="2"/>
        <tr r="AK344" s="2"/>
        <tr r="AS319" s="2"/>
        <tr r="AX360" s="2"/>
        <tr r="CG400" s="2"/>
        <tr r="AT156" s="2"/>
        <tr r="AO464" s="2"/>
        <tr r="AW386" s="2"/>
        <tr r="AO264" s="2"/>
        <tr r="CG46" s="2"/>
        <tr r="AO459" s="2"/>
        <tr r="CG191" s="2"/>
        <tr r="AS216" s="2"/>
        <tr r="AP89" s="2"/>
        <tr r="CG415" s="2"/>
        <tr r="AN411" s="2"/>
        <tr r="AS124" s="2"/>
        <tr r="AS122" s="2"/>
        <tr r="AP92" s="2"/>
        <tr r="CG278" s="2"/>
        <tr r="AW241" s="2"/>
        <tr r="AW379" s="2"/>
        <tr r="AN332" s="2"/>
        <tr r="AP67" s="2"/>
        <tr r="AO42" s="2"/>
        <tr r="BR205" s="2"/>
        <tr r="AT229" s="2"/>
        <tr r="AO336" s="2"/>
        <tr r="CG465" s="2"/>
        <tr r="AW353" s="2"/>
        <tr r="AP213" s="2"/>
        <tr r="AQ215" s="2"/>
        <tr r="AV91" s="2"/>
        <tr r="AP404" s="2"/>
        <tr r="AR380" s="2"/>
        <tr r="AO214" s="2"/>
        <tr r="AR320" s="2"/>
        <tr r="AQ317" s="2"/>
        <tr r="AR252" s="2"/>
        <tr r="AN330" s="2"/>
        <tr r="AQ201" s="2"/>
        <tr r="AV208" s="2"/>
        <tr r="AP158" s="2"/>
        <tr r="AO374" s="2"/>
        <tr r="AP237" s="2"/>
        <tr r="BQ210" s="2"/>
        <tr r="AS68" s="2"/>
        <tr r="AM33" s="2"/>
        <tr r="AO149" s="2"/>
        <tr r="AX174" s="2"/>
        <tr r="AQ392" s="2"/>
        <tr r="AP413" s="2"/>
        <tr r="AU319" s="2"/>
        <tr r="AQ367" s="2"/>
        <tr r="AM268" s="2"/>
        <tr r="AQ261" s="2"/>
        <tr r="AO329" s="2"/>
        <tr r="AE193" s="2"/>
        <tr r="AQ36" s="2"/>
        <tr r="AK105" s="2"/>
        <tr r="AM386" s="2"/>
        <tr r="AE114" s="2"/>
        <tr r="CG367" s="2"/>
        <tr r="AO305" s="2"/>
        <tr r="AP81" s="2"/>
        <tr r="CG419" s="2"/>
        <tr r="AT213" s="2"/>
        <tr r="AR303" s="2"/>
        <tr r="AX455" s="2"/>
        <tr r="AO392" s="2"/>
        <tr r="CG287" s="2"/>
        <tr r="AT132" s="2"/>
        <tr r="AU363" s="2"/>
        <tr r="AU350" s="2"/>
        <tr r="AP430" s="2"/>
        <tr r="AR381" s="2"/>
        <tr r="AN426" s="2"/>
        <tr r="AS129" s="2"/>
        <tr r="AX356" s="2"/>
        <tr r="AO44" s="2"/>
        <tr r="AS131" s="2"/>
        <tr r="AT160" s="2"/>
        <tr r="AU180" s="2"/>
        <tr r="AR203" s="2"/>
        <tr r="AN307" s="2"/>
        <tr r="AQ172" s="2"/>
        <tr r="BS401" s="2"/>
        <tr r="AQ157" s="2"/>
        <tr r="AO453" s="2"/>
        <tr r="AN190" s="2"/>
        <tr r="AS273" s="2"/>
        <tr r="AP130" s="2"/>
        <tr r="AF44" s="2"/>
        <tr r="AR183" s="2"/>
        <tr r="AO379" s="2"/>
        <tr r="AP434" s="2"/>
        <tr r="AQ279" s="2"/>
        <tr r="BT244" s="2"/>
        <tr r="AP215" s="2"/>
        <tr r="AQ68" s="2"/>
        <tr r="AM62" s="2"/>
        <tr r="BS116" s="2"/>
        <tr r="AN320" s="2"/>
        <tr r="BT275" s="2"/>
        <tr r="AS376" s="2"/>
        <tr r="AR146" s="2"/>
        <tr r="AS97" s="2"/>
        <tr r="CG306" s="2"/>
        <tr r="AR245" s="2"/>
        <tr r="AQ135" s="2"/>
        <tr r="AP159" s="2"/>
        <tr r="AU411" s="2"/>
        <tr r="CG217" s="2"/>
        <tr r="AR160" s="2"/>
        <tr r="BT348" s="2"/>
        <tr r="AO340" s="2"/>
        <tr r="AQ98" s="2"/>
        <tr r="AI104" s="2"/>
        <tr r="AP35" s="2"/>
        <tr r="AM407" s="2"/>
        <tr r="AN69" s="2"/>
        <tr r="CG461" s="2"/>
        <tr r="AO259" s="2"/>
        <tr r="BS277" s="2"/>
        <tr r="AU331" s="2"/>
        <tr r="AW103" s="2"/>
        <tr r="AV411" s="2"/>
        <tr r="CG352" s="2"/>
        <tr r="BS273" s="2"/>
        <tr r="AV204" s="2"/>
        <tr r="AU177" s="2"/>
        <tr r="BT352" s="2"/>
        <tr r="BS417" s="2"/>
        <tr r="AV306" s="2"/>
        <tr r="AV292" s="2"/>
        <tr r="AP433" s="2"/>
        <tr r="BT373" s="2"/>
        <tr r="AS406" s="2"/>
        <tr r="AU64" s="2"/>
        <tr r="BS172" s="2"/>
        <tr r="BR309" s="2"/>
        <tr r="CG296" s="2"/>
        <tr r="AU449" s="2"/>
        <tr r="BS333" s="2"/>
        <tr r="BR362" s="2"/>
        <tr r="CG169" s="2"/>
        <tr r="AU146" s="2"/>
        <tr r="AT428" s="2"/>
        <tr r="AS360" s="2"/>
        <tr r="BS216" s="2"/>
        <tr r="BR289" s="2"/>
        <tr r="AM45" s="2"/>
        <tr r="AR169" s="2"/>
        <tr r="AV25" s="2"/>
        <tr r="AS447" s="2"/>
        <tr r="BS152" s="2"/>
        <tr r="AV364" s="2"/>
        <tr r="AU67" s="2"/>
        <tr r="BR246" s="2"/>
        <tr r="BR456" s="2"/>
        <tr r="AT280" s="2"/>
        <tr r="CG118" s="2"/>
        <tr r="BR390" s="2"/>
        <tr r="BR267" s="2"/>
        <tr r="AU392" s="2"/>
        <tr r="AU341" s="2"/>
        <tr r="BS234" s="2"/>
        <tr r="BS368" s="2"/>
        <tr r="BS247" s="2"/>
        <tr r="AS32" s="2"/>
        <tr r="BR187" s="2"/>
        <tr r="BQ57" s="2"/>
        <tr r="AN189" s="2"/>
        <tr r="CG416" s="2"/>
        <tr r="BQ30" s="2"/>
        <tr r="BQ410" s="2"/>
        <tr r="AT424" s="2"/>
        <tr r="CG330" s="2"/>
        <tr r="AS302" s="2"/>
        <tr r="CG105" s="2"/>
        <tr r="BR8" s="2"/>
        <tr r="AX165" s="2"/>
        <tr r="AT43" s="2"/>
        <tr r="BT122" s="2"/>
        <tr r="BS330" s="2"/>
        <tr r="BQ282" s="2"/>
        <tr r="BQ293" s="2"/>
        <tr r="AS408" s="2"/>
        <tr r="BR457" s="2"/>
        <tr r="AX115" s="2"/>
        <tr r="AW39" s="2"/>
        <tr r="CG206" s="2"/>
        <tr r="AS243" s="2"/>
        <tr r="AO311" s="2"/>
        <tr r="AR459" s="2"/>
        <tr r="BS70" s="2"/>
        <tr r="BS223" s="2"/>
        <tr r="BQ7" s="2"/>
        <tr r="BQ386" s="2"/>
        <tr r="BR341" s="2"/>
        <tr r="BR177" s="2"/>
        <tr r="AX426" s="2"/>
        <tr r="AW166" s="2"/>
        <tr r="BR113" s="2"/>
        <tr r="BR10" s="2"/>
        <tr r="AX140" s="2"/>
        <tr r="AW303" s="2"/>
        <tr r="CG436" s="2"/>
        <tr r="AR410" s="2"/>
        <tr r="AQ31" s="2"/>
        <tr r="AO294" s="2"/>
        <tr r="AX287" s="2"/>
        <tr r="BR117" s="2"/>
        <tr r="AT447" s="2"/>
        <tr r="AR143" s="2"/>
        <tr r="BS346" s="2"/>
        <tr r="AM25" s="2"/>
        <tr r="AP116" s="2"/>
        <tr r="AP126" s="2"/>
        <tr r="AI233" s="2"/>
        <tr r="AT211" s="2"/>
        <tr r="AI278" s="2"/>
        <tr r="AS285" s="2"/>
        <tr r="AX320" s="2"/>
        <tr r="AX354" s="2"/>
        <tr r="AP123" s="2"/>
        <tr r="AQ17" s="2"/>
        <tr r="AP171" s="2"/>
        <tr r="AS169" s="2"/>
        <tr r="AN352" s="2"/>
        <tr r="AF122" s="2"/>
        <tr r="BS402" s="2"/>
        <tr r="AQ451" s="2"/>
        <tr r="CG106" s="2"/>
        <tr r="AS321" s="2"/>
        <tr r="AX432" s="2"/>
        <tr r="AQ28" s="2"/>
        <tr r="AR79" s="2"/>
        <tr r="AN135" s="2"/>
        <tr r="AW458" s="2"/>
        <tr r="AN46" s="2"/>
        <tr r="AQ16" s="2"/>
        <tr r="CG356" s="2"/>
        <tr r="AP29" s="2"/>
        <tr r="AQ424" s="2"/>
        <tr r="AR14" s="2"/>
        <tr r="AT448" s="2"/>
        <tr r="AO52" s="2"/>
        <tr r="AS110" s="2"/>
        <tr r="BQ304" s="2"/>
        <tr r="AS410" s="2"/>
        <tr r="AP76" s="2"/>
        <tr r="AO85" s="2"/>
        <tr r="AV134" s="2"/>
        <tr r="AV392" s="2"/>
        <tr r="AR161" s="2"/>
        <tr r="AN47" s="2"/>
        <tr r="AM276" s="2"/>
        <tr r="AI329" s="2"/>
        <tr r="CG39" s="2"/>
        <tr r="BQ222" s="2"/>
        <tr r="AS342" s="2"/>
        <tr r="AO463" s="2"/>
        <tr r="CG258" s="2"/>
        <tr r="AV61" s="2"/>
        <tr r="AP386" s="2"/>
        <tr r="AR73" s="2"/>
        <tr r="AN163" s="2"/>
        <tr r="AT23" s="2"/>
        <tr r="AN253" s="2"/>
        <tr r="AQ137" s="2"/>
        <tr r="AQ296" s="2"/>
        <tr r="AP405" s="2"/>
        <tr r="AP387" s="2"/>
        <tr r="AS65" s="2"/>
        <tr r="AO173" s="2"/>
        <tr r="AV154" s="2"/>
        <tr r="AR12" s="2"/>
        <tr r="AN90" s="2"/>
        <tr r="AR444" s="2"/>
        <tr r="AU125" s="2"/>
        <tr r="AQ373" s="2"/>
        <tr r="AR276" s="2"/>
        <tr r="AN435" s="2"/>
        <tr r="BQ397" s="2"/>
        <tr r="AS373" s="2"/>
        <tr r="AT153" s="2"/>
        <tr r="AO199" s="2"/>
        <tr r="AW18" s="2"/>
        <tr r="AQ95" s="2"/>
        <tr r="AM389" s="2"/>
        <tr r="AP166" s="2"/>
        <tr r="AU244" s="2"/>
        <tr r="AQ76" s="2"/>
        <tr r="AN133" s="2"/>
        <tr r="AW265" s="2"/>
        <tr r="AP49" s="2"/>
        <tr r="CG268" s="2"/>
        <tr r="AS121" s="2"/>
        <tr r="AV460" s="2"/>
        <tr r="AS135" s="2"/>
        <tr r="AR127" s="2"/>
        <tr r="CG170" s="2"/>
        <tr r="AM397" s="2"/>
        <tr r="AI237" s="2"/>
        <tr r="AN114" s="2"/>
        <tr r="AO454" s="2"/>
        <tr r="AN376" s="2"/>
        <tr r="CG42" s="2"/>
        <tr r="AS415" s="2"/>
        <tr r="AQ210" s="2"/>
        <tr r="AW186" s="2"/>
        <tr r="AO420" s="2"/>
        <tr r="CG395" s="2"/>
        <tr r="AT93" s="2"/>
        <tr r="AT292" s="2"/>
        <tr r="AO80" s="2"/>
        <tr r="AP418" s="2"/>
        <tr r="AM289" s="2"/>
        <tr r="AX86" s="2"/>
        <tr r="CG277" s="2"/>
        <tr r="AS400" s="2"/>
        <tr r="AP12" s="2"/>
        <tr r="AW240" s="2"/>
        <tr r="AO126" s="2"/>
        <tr r="AS220" s="2"/>
        <tr r="AO331" s="2"/>
        <tr r="BS195" s="2"/>
        <tr r="AO366" s="2"/>
        <tr r="AP330" s="2"/>
        <tr r="AP131" s="2"/>
        <tr r="BR333" s="2"/>
        <tr r="AQ134" s="2"/>
        <tr r="AN109" s="2"/>
        <tr r="AR451" s="2"/>
        <tr r="AQ260" s="2"/>
        <tr r="AQ441" s="2"/>
        <tr r="AO223" s="2"/>
        <tr r="BQ29" s="2"/>
        <tr r="AP73" s="2"/>
        <tr r="AR137" s="2"/>
        <tr r="AT429" s="2"/>
        <tr r="AN393" s="2"/>
        <tr r="AF382" s="2"/>
        <tr r="AS269" s="2"/>
        <tr r="CG87" s="2"/>
        <tr r="AJ416" s="2"/>
        <tr r="AS357" s="2"/>
        <tr r="AT301" s="2"/>
        <tr r="AT25" s="2"/>
        <tr r="CG248" s="2"/>
        <tr r="AR192" s="2"/>
        <tr r="AR281" s="2"/>
        <tr r="CG107" s="2"/>
        <tr r="AE177" s="2"/>
        <tr r="AP287" s="2"/>
        <tr r="AQ194" s="2"/>
        <tr r="AT358" s="2"/>
        <tr r="AR237" s="2"/>
        <tr r="AG186" s="2"/>
        <tr r="BS455" s="2"/>
        <tr r="AP415" s="2"/>
        <tr r="CG9" s="2"/>
        <tr r="AM112" s="2"/>
        <tr r="AO43" s="2"/>
        <tr r="AU207" s="2"/>
        <tr r="AM123" s="2"/>
        <tr r="AM353" s="2"/>
        <tr r="BR138" s="2"/>
        <tr r="AR269" s="2"/>
        <tr r="BT282" s="2"/>
        <tr r="BR346" s="2"/>
        <tr r="BR148" s="2"/>
        <tr r="AT91" s="2"/>
        <tr r="AS248" s="2"/>
        <tr r="AS384" s="2"/>
        <tr r="AS247" s="2"/>
        <tr r="BR69" s="2"/>
        <tr r="AU387" s="2"/>
        <tr r="AP121" s="2"/>
        <tr r="AU289" s="2"/>
        <tr r="BR423" s="2"/>
        <tr r="BR124" s="2"/>
        <tr r="AO177" s="2"/>
        <tr r="BS355" s="2"/>
        <tr r="BQ306" s="2"/>
        <tr r="BQ428" s="2"/>
        <tr r="AS105" s="2"/>
        <tr r="AT322" s="2"/>
        <tr r="CG324" s="2"/>
        <tr r="CG397" s="2"/>
        <tr r="AS10" s="2"/>
        <tr r="CG100" s="2"/>
        <tr r="BR102" s="2"/>
        <tr r="BR312" s="2"/>
        <tr r="BS144" s="2"/>
        <tr r="BS122" s="2"/>
        <tr r="BQ10" s="2"/>
        <tr r="BQ350" s="2"/>
        <tr r="BS58" s="2"/>
        <tr r="BS203" s="2"/>
        <tr r="BQ412" s="2"/>
        <tr r="AX262" s="2"/>
        <tr r="CG355" s="2"/>
        <tr r="AR423" s="2"/>
        <tr r="AQ328" s="2"/>
        <tr r="AR26" s="2"/>
        <tr r="BQ357" s="2"/>
        <tr r="AO362" s="2"/>
        <tr r="AR465" s="2"/>
        <tr r="AN275" s="2"/>
        <tr r="BT234" s="2"/>
        <tr r="BR326" s="2"/>
        <tr r="AX198" s="2"/>
        <tr r="AX355" s="2"/>
        <tr r="BQ407" s="2"/>
        <tr r="BQ193" s="2"/>
        <tr r="AW336" s="2"/>
        <tr r="AW68" s="2"/>
        <tr r="CG445" s="2"/>
        <tr r="AQ41" s="2"/>
        <tr r="AR379" s="2"/>
        <tr r="AM402" s="2"/>
        <tr r="BS142" s="2"/>
        <tr r="BS383" s="2"/>
        <tr r="BQ119" s="2"/>
        <tr r="BQ139" s="2"/>
        <tr r="AU256" s="2"/>
        <tr r="AO25" s="2"/>
        <tr r="AT458" s="2"/>
        <tr r="AS150" s="2"/>
        <tr r="AO17" s="2"/>
        <tr r="AO89" s="2"/>
        <tr r="AT375" s="2"/>
        <tr r="AS295" s="2"/>
        <tr r="AX261" s="2"/>
        <tr r="AV221" s="2"/>
        <tr r="AU321" s="2"/>
        <tr r="AV378" s="2"/>
        <tr r="AW404" s="2"/>
        <tr r="AT180" s="2"/>
        <tr r="AP390" s="2"/>
        <tr r="AP394" s="2"/>
        <tr r="AS333" s="2"/>
        <tr r="BT198" s="2"/>
        <tr r="AO313" s="2"/>
        <tr r="AS431" s="2"/>
        <tr r="AT332" s="2"/>
        <tr r="BR132" s="2"/>
        <tr r="AT374" s="2"/>
        <tr r="AO116" s="2"/>
        <tr r="CG222" s="2"/>
        <tr r="AX245" s="2"/>
        <tr r="AW16" s="2"/>
        <tr r="AN115" s="2"/>
        <tr r="AP254" s="2"/>
        <tr r="CG236" s="2"/>
        <tr r="AM455" s="2"/>
        <tr r="AS166" s="2"/>
        <tr r="BS246" s="2"/>
        <tr r="AN294" s="2"/>
        <tr r="CG163" s="2"/>
        <tr r="AS434" s="2"/>
        <tr r="AW52" s="2"/>
        <tr r="AQ408" s="2"/>
        <tr r="AP17" s="2"/>
        <tr r="AV439" s="2"/>
        <tr r="AP403" s="2"/>
        <tr r="AR411" s="2"/>
        <tr r="AN285" s="2"/>
        <tr r="AQ220" s="2"/>
        <tr r="AQ67" s="2"/>
        <tr r="CG116" s="2"/>
        <tr r="AO84" s="2"/>
        <tr r="BR440" s="2"/>
        <tr r="AT106" s="2"/>
        <tr r="AO134" s="2"/>
        <tr r="CG110" s="2"/>
        <tr r="BQ172" s="2"/>
        <tr r="AS212" s="2"/>
        <tr r="AF463" s="2"/>
        <tr r="AO135" s="2"/>
        <tr r="CG176" s="2"/>
        <tr r="CG68" s="2"/>
        <tr r="BR240" s="2"/>
        <tr r="AT432" s="2"/>
        <tr r="AO250" s="2"/>
        <tr r="CG316" s="2"/>
        <tr r="BQ374" s="2"/>
        <tr r="AR18" s="2"/>
        <tr r="AN136" s="2"/>
        <tr r="AQ285" s="2"/>
        <tr r="AS450" s="2"/>
        <tr r="AP146" s="2"/>
        <tr r="AQ99" s="2"/>
        <tr r="AN197" s="2"/>
        <tr r="BS33" s="2"/>
        <tr r="AN44" s="2"/>
        <tr r="AP410" s="2"/>
        <tr r="AP100" s="2"/>
        <tr r="AF441" s="2"/>
        <tr r="AR180" s="2"/>
        <tr r="AP239" s="2"/>
        <tr r="AU224" s="2"/>
        <tr r="AQ127" s="2"/>
        <tr r="AM216" s="2"/>
        <tr r="AT111" s="2"/>
        <tr r="CG182" s="2"/>
        <tr r="AP443" s="2"/>
        <tr r="AM229" s="2"/>
        <tr r="BQ331" s="2"/>
        <tr r="BQ174" s="2"/>
        <tr r="AQ362" s="2"/>
        <tr r="AP108" s="2"/>
        <tr r="AV453" s="2"/>
        <tr r="AQ370" s="2"/>
        <tr r="AM157" s="2"/>
        <tr r="AQ322" s="2"/>
        <tr r="CG418" s="2"/>
        <tr r="AM262" s="2"/>
        <tr r="AV222" s="2"/>
        <tr r="AP411" s="2"/>
        <tr r="CG173" s="2"/>
        <tr r="AS347" s="2"/>
        <tr r="AU209" s="2"/>
        <tr r="AS193" s="2"/>
        <tr r="AR407" s="2"/>
        <tr r="CG227" s="2"/>
        <tr r="AP228" s="2"/>
        <tr r="AS151" s="2"/>
        <tr r="AP329" s="2"/>
        <tr r="CG99" s="2"/>
        <tr r="AS24" s="2"/>
        <tr r="AP6" s="2"/>
        <tr r="AW358" s="2"/>
        <tr r="AR144" s="2"/>
        <tr r="CG281" s="2"/>
        <tr r="AR241" s="2"/>
        <tr r="CG422" s="2"/>
        <tr r="AN434" s="2"/>
        <tr r="AX83" s="2"/>
        <tr r="CG421" s="2"/>
        <tr r="AS323" s="2"/>
        <tr r="AW312" s="2"/>
        <tr r="AP355" s="2"/>
        <tr r="AQ374" s="2"/>
        <tr r="BR367" s="2"/>
        <tr r="AR212" s="2"/>
        <tr r="AN290" s="2"/>
        <tr r="AJ189" s="2"/>
        <tr r="BQ202" s="2"/>
        <tr r="AP118" s="2"/>
        <tr r="AR225" s="2"/>
        <tr r="AO390" s="2"/>
        <tr r="AO414" s="2"/>
        <tr r="AW264" s="2"/>
        <tr r="AN241" s="2"/>
        <tr r="AP40" s="2"/>
        <tr r="AN354" s="2"/>
        <tr r="CG209" s="2"/>
        <tr r="AM110" s="2"/>
        <tr r="AR67" s="2"/>
        <tr r="AP384" s="2"/>
        <tr r="AO107" s="2"/>
        <tr r="CG166" s="2"/>
        <tr r="CG336" s="2"/>
        <tr r="AR238" s="2"/>
        <tr r="CG194" s="2"/>
        <tr r="AR140" s="2"/>
        <tr r="AR58" s="2"/>
        <tr r="AQ39" s="2"/>
        <tr r="AW224" s="2"/>
        <tr r="AN221" s="2"/>
        <tr r="CH93" s="2"/>
        <tr r="AQ61" s="2"/>
        <tr r="AO261" s="2"/>
        <tr r="BS39" s="2"/>
        <tr r="AN399" s="2"/>
        <tr r="AT290" s="2"/>
        <tr r="AQ292" s="2"/>
        <tr r="CG372" s="2"/>
        <tr r="AV429" s="2"/>
        <tr r="AO191" s="2"/>
        <tr r="AT33" s="2"/>
        <tr r="CG430" s="2"/>
        <tr r="AX207" s="2"/>
        <tr r="AT364" s="2"/>
        <tr r="CG383" s="2"/>
        <tr r="AO105" s="2"/>
        <tr r="AT300" s="2"/>
        <tr r="AT237" s="2"/>
        <tr r="CG333" s="2"/>
        <tr r="AO169" s="2"/>
        <tr r="BR385" s="2"/>
        <tr r="AX75" s="2"/>
        <tr r="AW401" s="2"/>
        <tr r="AX57" s="2"/>
        <tr r="BQ385" s="2"/>
        <tr r="CG382" s="2"/>
        <tr r="AT85" s="2"/>
        <tr r="BT343" s="2"/>
        <tr r="BR52" s="2"/>
        <tr r="BQ321" s="2"/>
        <tr r="BR262" s="2"/>
        <tr r="BR111" s="2"/>
        <tr r="AX231" s="2"/>
        <tr r="AX219" s="2"/>
        <tr r="CG45" s="2"/>
        <tr r="AR403" s="2"/>
        <tr r="AQ400" s="2"/>
        <tr r="AR464" s="2"/>
        <tr r="CH285" s="2"/>
        <tr r="BT119" s="2"/>
        <tr r="BR174" s="2"/>
        <tr r="BR384" s="2"/>
        <tr r="AW219" s="2"/>
        <tr r="AS174" s="2"/>
        <tr r="AR390" s="2"/>
        <tr r="AP362" s="2"/>
        <tr r="AS70" s="2"/>
        <tr r="CG262" s="2"/>
        <tr r="AR425" s="2"/>
        <tr r="AN131" s="2"/>
        <tr r="BQ125" s="2"/>
        <tr r="AW212" s="2"/>
        <tr r="AV295" s="2"/>
        <tr r="AW122" s="2"/>
        <tr r="AX42" s="2"/>
        <tr r="AR123" s="2"/>
        <tr r="CG158" s="2"/>
        <tr r="AQ416" s="2"/>
        <tr r="AX101" s="2"/>
        <tr r="CG379" s="2"/>
        <tr r="AN242" s="2"/>
        <tr r="AT10" s="2"/>
        <tr r="AO289" s="2"/>
        <tr r="AO391" s="2"/>
        <tr r="AS368" s="2"/>
        <tr r="AS213" s="2"/>
        <tr r="AW114" s="2"/>
        <tr r="AU418" s="2"/>
        <tr r="AU22" s="2"/>
        <tr r="AU351" s="2"/>
        <tr r="BR264" s="2"/>
        <tr r="BR33" s="2"/>
        <tr r="AX282" s="2"/>
        <tr r="AW22" s="2"/>
        <tr r="BQ184" s="2"/>
        <tr r="AQ190" s="2"/>
        <tr r="AN21" s="2"/>
        <tr r="AP197" s="2"/>
        <tr r="AR293" s="2"/>
        <tr r="AP296" s="2"/>
        <tr r="AR420" s="2"/>
        <tr r="AM140" s="2"/>
        <tr r="AW442" s="2"/>
        <tr r="AU188" s="2"/>
        <tr r="AU335" s="2"/>
        <tr r="AU63" s="2"/>
        <tr r="AS324" s="2"/>
        <tr r="CG343" s="2"/>
        <tr r="AQ464" s="2"/>
        <tr r="AM63" s="2"/>
        <tr r="AR172" s="2"/>
        <tr r="AL163" s="2"/>
        <tr r="BS257" s="2"/>
        <tr r="AO460" s="2"/>
        <tr r="CG207" s="2"/>
        <tr r="AT37" s="2"/>
        <tr r="BR145" s="2"/>
        <tr r="AT379" s="2"/>
        <tr r="AO198" s="2"/>
        <tr r="CG231" s="2"/>
        <tr r="AT445" s="2"/>
        <tr r="AS48" s="2"/>
        <tr r="AJ335" s="2"/>
        <tr r="AE256" s="2"/>
        <tr r="BS57" s="2"/>
        <tr r="AR250" s="2"/>
        <tr r="CG193" s="2"/>
        <tr r="AS200" s="2"/>
        <tr r="BS390" s="2"/>
        <tr r="AM133" s="2"/>
        <tr r="AP71" s="2"/>
        <tr r="AR29" s="2"/>
        <tr r="AU200" s="2"/>
        <tr r="AQ168" s="2"/>
        <tr r="AF115" s="2"/>
        <tr r="AP169" s="2"/>
        <tr r="CG266" s="2"/>
        <tr r="AP444" s="2"/>
        <tr r="AQ432" s="2"/>
        <tr r="AM43" s="2"/>
        <tr r="AQ442" s="2"/>
        <tr r="AM272" s="2"/>
        <tr r="AP343" s="2"/>
        <tr r="AP252" s="2"/>
        <tr r="BR218" s="2"/>
        <tr r="AO443" s="2"/>
        <tr r="AP260" s="2"/>
        <tr r="AQ80" s="2"/>
        <tr r="BQ268" s="2"/>
        <tr r="AQ79" s="2"/>
        <tr r="AM191" s="2"/>
        <tr r="AP451" s="2"/>
        <tr r="AM38" s="2"/>
        <tr r="AS407" s="2"/>
        <tr r="BR229" s="2"/>
        <tr r="AT350" s="2"/>
        <tr r="AO360" s="2"/>
        <tr r="CG345" s="2"/>
        <tr r="AX275" s="2"/>
        <tr r="AR64" s="2"/>
        <tr r="AN126" s="2"/>
        <tr r="AQ262" s="2"/>
        <tr r="AT66" s="2"/>
        <tr r="AN94" s="2"/>
        <tr r="AS90" s="2"/>
        <tr r="AS172" s="2"/>
        <tr r="AK223" s="2"/>
        <tr r="AP409" s="2"/>
        <tr r="AP338" s="2"/>
        <tr r="AL112" s="2"/>
        <tr r="AT377" s="2"/>
        <tr r="AM233" s="2"/>
        <tr r="AT421" s="2"/>
        <tr r="AO164" s="2"/>
        <tr r="AW86" s="2"/>
        <tr r="AW384" s="2"/>
        <tr r="AQ254" s="2"/>
        <tr r="AN429" s="2"/>
        <tr r="AQ109" s="2"/>
        <tr r="AU465" s="2"/>
        <tr r="AQ225" s="2"/>
        <tr r="BQ190" s="2"/>
        <tr r="AS190" s="2"/>
        <tr r="AT392" s="2"/>
        <tr r="AO179" s="2"/>
        <tr r="AV130" s="2"/>
        <tr r="AM387" s="2"/>
        <tr r="CG159" s="2"/>
        <tr r="AR246" s="2"/>
        <tr r="AU101" s="2"/>
        <tr r="AS178" s="2"/>
        <tr r="AQ404" s="2"/>
        <tr r="AP151" s="2"/>
        <tr r="AN230" s="2"/>
        <tr r="AO215" s="2"/>
        <tr r="AQ114" s="2"/>
        <tr r="CG17" s="2"/>
        <tr r="AN369" s="2"/>
        <tr r="AP7" s="2"/>
        <tr r="AR154" s="2"/>
        <tr r="AN450" s="2"/>
        <tr r="AW431" s="2"/>
        <tr r="AN345" s="2"/>
        <tr r="AQ164" s="2"/>
        <tr r="AR87" s="2"/>
        <tr r="BQ381" s="2"/>
        <tr r="CG220" s="2"/>
        <tr r="AS199" s="2"/>
        <tr r="AQ297" s="2"/>
        <tr r="AW143" s="2"/>
        <tr r="AO62" s="2"/>
        <tr r="AS19" s="2"/>
        <tr r="AO267" s="2"/>
        <tr r="AV179" s="2"/>
        <tr r="AP347" s="2"/>
        <tr r="AR8" s="2"/>
        <tr r="AN274" s="2"/>
        <tr r="CG59" s="2"/>
        <tr r="AM215" s="2"/>
        <tr r="AO332" s="2"/>
        <tr r="AR24" s="2"/>
        <tr r="AF408" s="2"/>
        <tr r="AR235" s="2"/>
        <tr r="AR412" s="2"/>
        <tr r="AR292" s="2"/>
        <tr r="AK353" s="2"/>
        <tr r="AW309" s="2"/>
        <tr r="AP460" s="2"/>
        <tr r="AX28" s="2"/>
        <tr r="AO301" s="2"/>
        <tr r="AS454" s="2"/>
        <tr r="AT339" s="2"/>
        <tr r="AW326" s="2"/>
        <tr r="AT441" s="2"/>
        <tr r="AO205" s="2"/>
        <tr r="AQ138" s="2"/>
        <tr r="AX391" s="2"/>
        <tr r="AR36" s="2"/>
        <tr r="AQ221" s="2"/>
        <tr r="AW127" s="2"/>
        <tr r="AQ340" s="2"/>
        <tr r="AP47" s="2"/>
        <tr r="AV209" s="2"/>
        <tr r="AN266" s="2"/>
        <tr r="BR429" s="2"/>
        <tr r="AG450" s="2"/>
        <tr r="AO372" s="2"/>
        <tr r="AX126" s="2"/>
        <tr r="AT407" s="2"/>
        <tr r="AQ253" s="2"/>
        <tr r="AS228" s="2"/>
        <tr r="AQ45" s="2"/>
        <tr r="AO121" s="2"/>
        <tr r="AP243" s="2"/>
        <tr r="AS289" s="2"/>
        <tr r="AS98" s="2"/>
        <tr r="AO225" s="2"/>
        <tr r="AR103" s="2"/>
        <tr r="BQ200" s="2"/>
        <tr r="AW32" s="2"/>
        <tr r="AW123" s="2"/>
        <tr r="AX269" s="2"/>
        <tr r="AU164" s="2"/>
        <tr r="AU429" s="2"/>
        <tr r="BR155" s="2"/>
        <tr r="BR389" s="2"/>
        <tr r="AO277" s="2"/>
        <tr r="AS309" s="2"/>
        <tr r="AN147" s="2"/>
        <tr r="AP457" s="2"/>
        <tr r="AS148" s="2"/>
        <tr r="CG326" s="2"/>
        <tr r="AR326" s="2"/>
        <tr r="AN202" s="2"/>
        <tr r="BQ217" s="2"/>
        <tr r="AW360" s="2"/>
        <tr r="AW92" s="2"/>
        <tr r="AX271" s="2"/>
        <tr r="AO428" s="2"/>
        <tr r="AR325" s="2"/>
        <tr r="AP104" s="2"/>
        <tr r="AP395" s="2"/>
        <tr r="AS353" s="2"/>
        <tr r="AO161" s="2"/>
        <tr r="AO416" s="2"/>
        <tr r="CG425" s="2"/>
        <tr r="CG402" s="2"/>
        <tr r="AT231" s="2"/>
        <tr r="AT195" s="2"/>
        <tr r="AX49" s="2"/>
        <tr r="AV440" s="2"/>
        <tr r="AV100" s="2"/>
        <tr r="AV158" s="2"/>
        <tr r="BS81" s="2"/>
        <tr r="BS451" s="2"/>
        <tr r="BQ187" s="2"/>
        <tr r="BQ413" s="2"/>
        <tr r="BS213" s="2"/>
        <tr r="AQ130" s="2"/>
        <tr r="AP45" s="2"/>
        <tr r="AP217" s="2"/>
        <tr r="AQ15" s="2"/>
        <tr r="AP441" s="2"/>
        <tr r="AM247" s="2"/>
        <tr r="AN284" s="2"/>
        <tr r="AX377" s="2"/>
        <tr r="AV329" s="2"/>
        <tr r="AV101" s="2"/>
        <tr r="AW222" s="2"/>
        <tr r="AT74" s="2"/>
        <tr r="AR177" s="2"/>
        <tr r="AM213" s="2"/>
        <tr r="BS102" s="2"/>
        <tr r="AQ394" s="2"/>
        <tr r="AN57" s="2"/>
        <tr r="AP125" s="2"/>
        <tr r="AR392" s="2"/>
        <tr r="AQ9" s="2"/>
        <tr r="AM214" s="2"/>
        <tr r="AM194" s="2"/>
        <tr r="AV255" s="2"/>
        <tr r="AT440" s="2"/>
        <tr r="CG389" s="2"/>
        <tr r="AU315" s="2"/>
        <tr r="BQ39" s="2"/>
        <tr r="AX382" s="2"/>
        <tr r="AV254" s="2"/>
        <tr r="AV26" s="2"/>
        <tr r="AP149" s="2"/>
        <tr r="BT442" s="2"/>
        <tr r="BS62" s="2"/>
        <tr r="AO40" s="2"/>
        <tr r="AU94" s="2"/>
        <tr r="BT84" s="2"/>
        <tr r="BS151" s="2"/>
        <tr r="AQ320" s="2"/>
        <tr r="AV166" s="2"/>
        <tr r="AT38" s="2"/>
        <tr r="CG288" s="2"/>
        <tr r="BS69" s="2"/>
        <tr r="AL44" s="2"/>
        <tr r="AS402" s="2"/>
        <tr r="AO246" s="2"/>
        <tr r="AX160" s="2"/>
        <tr r="AT175" s="2"/>
        <tr r="CG413" s="2"/>
        <tr r="AS396" s="2"/>
        <tr r="BS329" s="2"/>
        <tr r="AR415" s="2"/>
        <tr r="AQ241" s="2"/>
        <tr r="AR248" s="2"/>
        <tr r="BR217" s="2"/>
        <tr r="AR422" s="2"/>
        <tr r="AP277" s="2"/>
        <tr r="AQ410" s="2"/>
        <tr r="AQ69" s="2"/>
        <tr r="AT333" s="2"/>
        <tr r="BS364" s="2"/>
        <tr r="AQ333" s="2"/>
        <tr r="CG250" s="2"/>
        <tr r="AS209" s="2"/>
        <tr r="BQ305" s="2"/>
        <tr r="AN413" s="2"/>
        <tr r="AQ165" s="2"/>
        <tr r="AO446" s="2"/>
        <tr r="AU389" s="2"/>
        <tr r="AQ133" s="2"/>
        <tr r="AM210" s="2"/>
        <tr r="AT41" s="2"/>
        <tr r="AT299" s="2"/>
        <tr r="AN400" s="2"/>
        <tr r="AQ10" s="2"/>
        <tr r="AQ360" s="2"/>
        <tr r="AI46" s="2"/>
        <tr r="AN333" s="2"/>
        <tr r="AP449" s="2"/>
        <tr r="BQ326" s="2"/>
        <tr r="AP188" s="2"/>
        <tr r="AR42" s="2"/>
        <tr r="AW287" s="2"/>
        <tr r="AR357" s="2"/>
        <tr r="AN219" s="2"/>
        <tr r="AQ52" s="2"/>
        <tr r="BR391" s="2"/>
        <tr r="AT115" s="2"/>
        <tr r="AO180" s="2"/>
        <tr r="CG72" s="2"/>
        <tr r="BR28" s="2"/>
        <tr r="AR113" s="2"/>
        <tr r="AN464" s="2"/>
        <tr r="AQ228" s="2"/>
        <tr r="AW406" s="2"/>
        <tr r="AM269" s="2"/>
        <tr r="AP399" s="2"/>
        <tr r="AR119" s="2"/>
        <tr r="AO263" s="2"/>
        <tr r="CG153" s="2"/>
        <tr r="AO307" s="2"/>
        <tr r="AP389" s="2"/>
        <tr r="AM64" s="2"/>
        <tr r="AQ422" s="2"/>
        <tr r="AS385" s="2"/>
        <tr r="AN215" s="2"/>
        <tr r="AS361" s="2"/>
        <tr r="AQ163" s="2"/>
        <tr r="CG292" s="2"/>
        <tr r="BQ156" s="2"/>
        <tr r="CG410" s="2"/>
        <tr r="AT359" s="2"/>
        <tr r="AR242" s="2"/>
        <tr r="AV90" s="2"/>
        <tr r="AV268" s="2"/>
        <tr r="AQ14" s="2"/>
        <tr r="AN116" s="2"/>
        <tr r="AQ56" s="2"/>
        <tr r="CG286" s="2"/>
        <tr r="AM398" s="2"/>
        <tr r="BQ300" s="2"/>
        <tr r="AS223" s="2"/>
        <tr r="AT226" s="2"/>
        <tr r="AO295" s="2"/>
        <tr r="AV202" s="2"/>
        <tr r="AM457" s="2"/>
        <tr r="AP129" s="2"/>
        <tr r="AR275" s="2"/>
        <tr r="AU173" s="2"/>
        <tr r="AR308" s="2"/>
        <tr r="AN386" s="2"/>
        <tr r="AQ229" s="2"/>
        <tr r="AQ152" s="2"/>
        <tr r="AQ389" s="2"/>
        <tr r="AN338" s="2"/>
        <tr r="AQ101" s="2"/>
        <tr r="AO310" s="2"/>
        <tr r="AP435" s="2"/>
        <tr r="AU258" s="2"/>
        <tr r="AN264" s="2"/>
        <tr r="AR301" s="2"/>
        <tr r="AJ272" s="2"/>
        <tr r="AX130" s="2"/>
        <tr r="CG84" s="2"/>
        <tr r="AS257" s="2"/>
        <tr r="AN81" s="2"/>
        <tr r="AW215" s="2"/>
        <tr r="AP370" s="2"/>
        <tr r="AR270" s="2"/>
        <tr r="AM227" s="2"/>
        <tr r="AT225" s="2"/>
        <tr r="AP281" s="2"/>
        <tr r="AQ119" s="2"/>
        <tr r="AN54" s="2"/>
        <tr r="AH69" s="2"/>
        <tr r="AR173" s="2"/>
        <tr r="AN407" s="2"/>
        <tr r="AI150" s="2"/>
        <tr r="AM179" s="2"/>
        <tr r="AM464" s="2"/>
        <tr r="AO109" s="2"/>
        <tr r="AS329" s="2"/>
        <tr r="AN440" s="2"/>
        <tr r="CG198" s="2"/>
        <tr r="AW81" s="2"/>
        <tr r="AO325" s="2"/>
        <tr r="CG8" s="2"/>
        <tr r="AT276" s="2"/>
        <tr r="AV442" s="2"/>
        <tr r="AT438" s="2"/>
        <tr r="AO265" s="2"/>
        <tr r="AQ223" s="2"/>
        <tr r="AV422" s="2"/>
        <tr r="AN250" s="2"/>
        <tr r="AQ198" s="2"/>
        <tr r="AW220" s="2"/>
        <tr r="AN361" s="2"/>
        <tr r="AV281" s="2"/>
        <tr r="AM432" s="2"/>
        <tr r="AS436" s="2"/>
        <tr r="BQ449" s="2"/>
        <tr r="AT26" s="2"/>
        <tr r="AN63" s="2"/>
        <tr r="AX59" s="2"/>
        <tr r="AS132" s="2"/>
        <tr r="AT400" s="2"/>
        <tr r="AS452" s="2"/>
        <tr r="AS274" s="2"/>
        <tr r="AV437" s="2"/>
        <tr r="AN360" s="2"/>
        <tr r="AP375" s="2"/>
        <tr r="BQ453" s="2"/>
        <tr r="AW141" s="2"/>
        <tr r="AV248" s="2"/>
        <tr r="AW217" s="2"/>
        <tr r="BS44" s="2"/>
        <tr r="BS269" s="2"/>
        <tr r="BQ229" s="2"/>
        <tr r="AX256" s="2"/>
        <tr r="CG364" s="2"/>
        <tr r="AV434" s="2"/>
        <tr r="AU358" s="2"/>
        <tr r="AV312" s="2"/>
        <tr r="AX284" s="2"/>
        <tr r="AV36" s="2"/>
        <tr r="AU32" s="2"/>
        <tr r="AV457" s="2"/>
        <tr r="BQ141" s="2"/>
        <tr r="AW228" s="2"/>
        <tr r="AV343" s="2"/>
        <tr r="AV72" s="2"/>
        <tr r="AQ429" s="2"/>
        <tr r="CG129" s="2"/>
        <tr r="AQ159" s="2"/>
        <tr r="BR94" s="2"/>
        <tr r="AS311" s="2"/>
        <tr r="AN297" s="2"/>
        <tr r="AQ372" s="2"/>
        <tr r="AQ87" s="2"/>
        <tr r="AP323" s="2"/>
        <tr r="AL259" s="2"/>
        <tr r="AM259" s="2"/>
        <tr r="AW62" s="2"/>
        <tr r="AV375" s="2"/>
        <tr r="AU298" s="2"/>
        <tr r="AV66" s="2"/>
        <tr r="BR194" s="2"/>
        <tr r="BR285" s="2"/>
        <tr r="AX365" s="2"/>
        <tr r="AW177" s="2"/>
        <tr r="AO100" s="2"/>
        <tr r="AU292" s="2"/>
        <tr r="AT24" s="2"/>
        <tr r="AU362" s="2"/>
        <tr r="AW261" s="2"/>
        <tr r="AU405" s="2"/>
        <tr r="AS111" s="2"/>
        <tr r="AU400" s="2"/>
        <tr r="AX277" s="2"/>
        <tr r="AV237" s="2"/>
        <tr r="AU345" s="2"/>
        <tr r="AU109" s="2"/>
        <tr r="AP272" s="2"/>
        <tr r="AO240" s="2"/>
        <tr r="AN425" s="2"/>
        <tr r="BQ464" s="2"/>
        <tr r="AT141" s="2"/>
        <tr r="AT357" s="2"/>
        <tr r="AN178" s="2"/>
        <tr r="AU368" s="2"/>
        <tr r="AU344" s="2"/>
        <tr r="BS256" s="2"/>
        <tr r="BS12" s="2"/>
        <tr r="BT125" s="2"/>
        <tr r="AV386" s="2"/>
        <tr r="AO112" s="2"/>
        <tr r="BT328" s="2"/>
        <tr r="BR266" s="2"/>
        <tr r="AX298" s="2"/>
        <tr r="AX76" s="2"/>
        <tr r="AV115" s="2"/>
        <tr r="AU79" s="2"/>
        <tr r="AU443" s="2"/>
        <tr r="BS222" s="2"/>
        <tr r="BS387" s="2"/>
        <tr r="BT31" s="2"/>
        <tr r="AU132" s="2"/>
        <tr r="BS359" s="2"/>
        <tr r="BS43" s="2"/>
        <tr r="BT336" s="2"/>
        <tr r="AV238" s="2"/>
        <tr r="AT110" s="2"/>
        <tr r="CG225" s="2"/>
        <tr r="AV24" s="2"/>
        <tr r="BS301" s="2"/>
        <tr r="AO439" s="2"/>
        <tr r="AN317" s="2"/>
        <tr r="BQ316" s="2"/>
        <tr r="AT201" s="2"/>
        <tr r="AO77" s="2"/>
        <tr r="AS372" s="2"/>
        <tr r="BR122" s="2"/>
        <tr r="AN144" s="2"/>
        <tr r="AQ275" s="2"/>
        <tr r="AX246" s="2"/>
        <tr r="AO381" s="2"/>
        <tr r="AP450" s="2"/>
        <tr r="AR155" s="2"/>
        <tr r="BS335" s="2"/>
        <tr r="AR399" s="2"/>
        <tr r="CG320" s="2"/>
        <tr r="AS23" s="2"/>
        <tr r="BS61" s="2"/>
        <tr r="AP77" s="2"/>
        <tr r="AP206" s="2"/>
        <tr r="AR331" s="2"/>
        <tr r="AX45" s="2"/>
        <tr r="AP208" s="2"/>
        <tr r="AQ380" s="2"/>
        <tr r="AN150" s="2"/>
        <tr r="AO155" s="2"/>
        <tr r="AM81" s="2"/>
        <tr r="AD68" s="2"/>
        <tr r="CG392" s="2"/>
        <tr r="AT327" s="2"/>
        <tr r="AQ204" s="2"/>
        <tr r="AE214" s="2"/>
        <tr r="AO20" s="2"/>
        <tr r="AS64" s="2"/>
        <tr r="AR86" s="2"/>
        <tr r="AW305" s="2"/>
        <tr r="AN146" s="2"/>
        <tr r="AP345" s="2"/>
        <tr r="AN251" s="2"/>
        <tr r="AV43" s="2"/>
        <tr r="AR117" s="2"/>
        <tr r="AN348" s="2"/>
        <tr r="AQ255" s="2"/>
        <tr r="BR293" s="2"/>
        <tr r="AT148" s="2"/>
        <tr r="AO274" s="2"/>
        <tr r="CG457" s="2"/>
        <tr r="AX291" s="2"/>
        <tr r="AR454" s="2"/>
        <tr r="AP293" s="2"/>
        <tr r="AR365" s="2"/>
        <tr r="AV418" s="2"/>
        <tr r="AR179" s="2"/>
        <tr r="AN457" s="2"/>
        <tr r="AX344" s="2"/>
        <tr r="AO90" s="2"/>
        <tr r="AS394" s="2"/>
        <tr r="AT16" s="2"/>
        <tr r="AW370" s="2"/>
        <tr r="AN401" s="2"/>
        <tr r="CG76" s="2"/>
        <tr r="AS250" s="2"/>
        <tr r="AM378" s="2"/>
        <tr r="AD18" s="2"/>
        <tr r="AO159" s="2"/>
        <tr r="AR226" s="2"/>
        <tr r="AG117" s="2"/>
        <tr r="AS50" s="2"/>
        <tr r="AQ361" s="2"/>
        <tr r="AO21" s="2"/>
        <tr r="AX121" s="2"/>
        <tr r="CG308" s="2"/>
        <tr r="AS136" s="2"/>
        <tr r="AP168" s="2"/>
        <tr r="AU271" s="2"/>
        <tr r="AU402" s="2"/>
        <tr r="AQ440" s="2"/>
        <tr r="BR165" s="2"/>
        <tr r="AS85" s="2"/>
        <tr r="AT239" s="2"/>
        <tr r="AO115" s="2"/>
        <tr r="AX103" s="2"/>
        <tr r="CG127" s="2"/>
        <tr r="AT395" s="2"/>
        <tr r="AO361" s="2"/>
        <tr r="AU215" s="2"/>
        <tr r="AN155" s="2"/>
        <tr r="AQ352" s="2"/>
        <tr r="AQ387" s="2"/>
        <tr r="BS13" s="2"/>
        <tr r="AO430" s="2"/>
        <tr r="AP235" s="2"/>
        <tr r="AP240" s="2"/>
        <tr r="AM159" s="2"/>
        <tr r="AR363" s="2"/>
        <tr r="CG27" s="2"/>
        <tr r="AO166" s="2"/>
        <tr r="AU52" s="2"/>
        <tr r="AQ316" s="2"/>
        <tr r="AR171" s="2"/>
        <tr r="AN222" s="2"/>
        <tr r="BT252" s="2"/>
        <tr r="AN334" s="2"/>
        <tr r="AQ125" s="2"/>
        <tr r="AM310" s="2"/>
        <tr r="AW6" s="2"/>
        <tr r="CG462" s="2"/>
        <tr r="AS306" s="2"/>
        <tr r="AG145" s="2"/>
        <tr r="AV274" s="2"/>
        <tr r="AP9" s="2"/>
        <tr r="AR342" s="2"/>
        <tr r="AN96" s="2"/>
        <tr r="AT105" s="2"/>
        <tr r="AP261" s="2"/>
        <tr r="AM166" s="2"/>
        <tr r="AV114" s="2"/>
        <tr r="AT405" s="2"/>
        <tr r="AO418" s="2"/>
        <tr r="CG257" s="2"/>
        <tr r="AU85" s="2"/>
        <tr r="CG184" s="2"/>
        <tr r="AT227" s="2"/>
        <tr r="AO346" s="2"/>
        <tr r="AO58" s="2"/>
        <tr r="AQ395" s="2"/>
        <tr r="AP95" s="2"/>
        <tr r="AS315" s="2"/>
        <tr r="AW21" s="2"/>
        <tr r="AO449" s="2"/>
        <tr r="CG408" s="2"/>
        <tr r="AR176" s="2"/>
        <tr r="AU255" s="2"/>
        <tr r="AT92" s="2"/>
        <tr r="AP349" s="2"/>
        <tr r="AM24" s="2"/>
        <tr r="AV311" s="2"/>
        <tr r="AN88" s="2"/>
        <tr r="AF19" s="2"/>
        <tr r="AV64" s="2"/>
        <tr r="AN121" s="2"/>
        <tr r="AS310" s="2"/>
        <tr r="AU245" s="2"/>
        <tr r="AM304" s="2"/>
        <tr r="AR364" s="2"/>
        <tr r="AO441" s="2"/>
        <tr r="AT367" s="2"/>
        <tr r="AT459" s="2"/>
        <tr r="AS437" s="2"/>
        <tr r="AQ189" s="2"/>
        <tr r="AQ465" s="2"/>
        <tr r="AQ284" s="2"/>
        <tr r="AT328" s="2"/>
        <tr r="AS196" s="2"/>
        <tr r="AS317" s="2"/>
        <tr r="BS426" s="2"/>
        <tr r="AP182" s="2"/>
        <tr r="AS74" s="2"/>
        <tr r="AK281" s="2"/>
        <tr r="AW333" s="2"/>
        <tr r="AQ354" s="2"/>
        <tr r="CG219" s="2"/>
        <tr r="AS265" s="2"/>
        <tr r="BS280" s="2"/>
        <tr r="AQ100" s="2"/>
        <tr r="AO389" s="2"/>
        <tr r="AP357" s="2"/>
        <tr r="BR171" s="2"/>
        <tr r="AN118" s="2"/>
        <tr r="AQ318" s="2"/>
        <tr r="CG409" s="2"/>
        <tr r="AO334" s="2"/>
        <tr r="AM183" s="2"/>
        <tr r="AE317" s="2"/>
        <tr r="AT162" s="2"/>
        <tr r="AO141" s="2"/>
        <tr r="AS46" s="2"/>
        <tr r="AU308" s="2"/>
        <tr r="AS268" s="2"/>
        <tr r="AF98" s="2"/>
        <tr r="AO78" s="2"/>
        <tr r="AS359" s="2"/>
        <tr r="CG360" s="2"/>
        <tr r="AM249" s="2"/>
        <tr r="AV48" s="2"/>
        <tr r="AT371" s="2"/>
        <tr r="AO239" s="2"/>
        <tr r="CG111" s="2"/>
        <tr r="AU339" s="2"/>
        <tr r="AS423" s="2"/>
        <tr r="AR152" s="2"/>
        <tr r="AQ213" s="2"/>
        <tr r="BQ421" s="2"/>
        <tr r="AP38" s="2"/>
        <tr r="AR181" s="2"/>
        <tr r="AQ281" s="2"/>
        <tr r="AW167" s="2"/>
        <tr r="AN336" s="2"/>
        <tr r="AP247" s="2"/>
        <tr r="AN449" s="2"/>
        <tr r="AP135" s="2"/>
        <tr r="AR28" s="2"/>
        <tr r="AQ371" s="2"/>
        <tr r="AP93" s="2"/>
        <tr r="BR226" s="2"/>
        <tr r="AQ55" s="2"/>
        <tr r="AM360" s="2"/>
        <tr r="BQ271" s="2"/>
        <tr r="AP219" s="2"/>
        <tr r="AR348" s="2"/>
        <tr r="AS82" s="2"/>
        <tr r="AS416" s="2"/>
        <tr r="AO323" s="2"/>
        <tr r="AP20" s="2"/>
        <tr r="BR464" s="2"/>
        <tr r="AR27" s="2"/>
        <tr r="AN305" s="2"/>
        <tr r="AN404" s="2"/>
        <tr r="AO343" s="2"/>
        <tr r="AF355" s="2"/>
        <tr r="BS443" s="2"/>
        <tr r="AP340" s="2"/>
        <tr r="CG19" s="2"/>
        <tr r="AS388" s="2"/>
        <tr r="BR43" s="2"/>
        <tr r="AS207" s="2"/>
        <tr r="AR319" s="2"/>
        <tr r="CG403" s="2"/>
        <tr r="AK435" s="2"/>
        <tr r="AO67" s="2"/>
        <tr r="AQ57" s="2"/>
        <tr r="AN103" s="2"/>
        <tr r="AS15" s="2"/>
        <tr r="CG319" s="2"/>
        <tr r="AR82" s="2"/>
        <tr r="AN378" s="2"/>
        <tr r="BS162" s="2"/>
        <tr r="AR404" s="2"/>
        <tr r="AQ92" s="2"/>
        <tr r="AR313" s="2"/>
        <tr r="AQ104" s="2"/>
        <tr r="AN372" s="2"/>
        <tr r="AH213" s="2"/>
        <tr r="AJ428" s="2"/>
        <tr r="BT236" s="2"/>
        <tr r="AO69" s="2"/>
        <tr r="AS418" s="2"/>
        <tr r="BR223" s="2"/>
        <tr r="AP292" s="2"/>
        <tr r="AR316" s="2"/>
        <tr r="AN424" s="2"/>
        <tr r="AV20" s="2"/>
        <tr r="AR284" s="2"/>
        <tr r="AN362" s="2"/>
        <tr r="AU44" s="2"/>
        <tr r="AT6" s="2"/>
        <tr r="AP190" s="2"/>
        <tr r="AM46" s="2"/>
        <tr r="AP152" s="2"/>
        <tr r="AP27" s="2"/>
        <tr r="AH386" s="2"/>
        <tr r="AL195" s="2"/>
        <tr r="AT224" s="2"/>
        <tr r="AS272" s="2"/>
        <tr r="CG208" s="2"/>
        <tr r="AP391" s="2"/>
        <tr r="AP334" s="2"/>
        <tr r="AN302" s="2"/>
        <tr r="AM409" s="2"/>
        <tr r="AF226" s="2"/>
        <tr r="AN25" s="2"/>
        <tr r="AR221" s="2"/>
        <tr r="AQ312" s="2"/>
        <tr r="AM163" s="2"/>
        <tr r="AP319" s="2"/>
        <tr r="AR199" s="2"/>
        <tr r="AQ35" s="2"/>
        <tr r="AR219" s="2"/>
        <tr r="AQ329" s="2"/>
        <tr r="AP180" s="2"/>
        <tr r="AD134" s="2"/>
        <tr r="AM323" s="2"/>
        <tr r="AR394" s="2"/>
        <tr r="AQ396" s="2"/>
        <tr r="AO272" s="2"/>
        <tr r="AS456" s="2"/>
        <tr r="AM126" s="2"/>
        <tr r="AT354" s="2"/>
        <tr r="AS298" s="2"/>
        <tr r="CG50" s="2"/>
        <tr r="AQ154" s="2"/>
        <tr r="AP110" s="2"/>
        <tr r="AN78" s="2"/>
        <tr r="AM169" s="2"/>
        <tr r="AT390" s="2"/>
        <tr r="AS123" s="2"/>
        <tr r="CG362" s="2"/>
        <tr r="AR327" s="2"/>
        <tr r="AO143" s="2"/>
        <tr r="AP64" s="2"/>
        <tr r="AR263" s="2"/>
        <tr r="AP373" s="2"/>
        <tr r="AR256" s="2"/>
        <tr r="AQ351" s="2"/>
        <tr r="AP24" s="2"/>
        <tr r="AF361" s="2"/>
        <tr r="CG448" s="2"/>
        <tr r="AO140" s="2"/>
        <tr r="AP311" s="2"/>
        <tr r="AP377" s="2"/>
        <tr r="AT242" s="2"/>
        <tr r="AS460" s="2"/>
        <tr r="CG252" s="2"/>
        <tr r="AN231" s="2"/>
        <tr r="AS404" s="2"/>
        <tr r="CG92" s="2"/>
        <tr r="AO400" s="2"/>
        <tr r="AR318" s="2"/>
        <tr r="AN299" s="2"/>
        <tr r="AN325" s="2"/>
        <tr r="AS126" s="2"/>
        <tr r="CG309" s="2"/>
        <tr r="AR39" s="2"/>
        <tr r="AN20" s="2"/>
        <tr r="AR94" s="2"/>
        <tr r="AQ62" s="2"/>
        <tr r="AQ226" s="2"/>
        <tr r="AP25" s="2"/>
        <tr r="AN192" s="2"/>
        <tr r="AN201" s="2"/>
        <tr r="AL94" s="2"/>
        <tr r="AO296" s="2"/>
        <tr r="AT232" s="2"/>
        <tr r="AS280" s="2"/>
        <tr r="AQ259" s="2"/>
        <tr r="AR455" s="2"/>
        <tr r="AQ413" s="2"/>
        <tr r="AP160" s="2"/>
        <tr r="AP248" s="2"/>
        <tr r="AN359" s="2"/>
        <tr r="AT272" s="2"/>
        <tr r="AP50" s="2"/>
        <tr r="AN420" s="2"/>
        <tr r="AR33" s="2"/>
        <tr r="AM243" s="2"/>
        <tr r="AQ270" s="2"/>
        <tr r="AP238" s="2"/>
        <tr r="AP68" s="2"/>
        <tr r="AP453" s="2"/>
        <tr r="AM176" s="2"/>
        <tr r="AE111" s="2"/>
        <tr r="AN198" s="2"/>
        <tr r="AM20" s="2"/>
        <tr r="AQ358" s="2"/>
        <tr r="CG434" s="2"/>
        <tr r="AN374" s="2"/>
        <tr r="AM290" s="2"/>
        <tr r="AR278" s="2"/>
        <tr r="AQ48" s="2"/>
        <tr r="AQ398" s="2"/>
        <tr r="AR271" s="2"/>
        <tr r="AR463" s="2"/>
        <tr r="AM314" s="2"/>
        <tr r="AN383" s="2"/>
        <tr r="AN458" s="2"/>
        <tr r="AR234" s="2"/>
        <tr r="AF166" s="2"/>
        <tr r="AL342" s="2"/>
        <tr r="AO363" s="2"/>
        <tr r="AT208" s="2"/>
        <tr r="AQ96" s="2"/>
        <tr r="AT388" s="2"/>
        <tr r="AV229" s="2"/>
        <tr r="AT21" s="2"/>
        <tr r="AO370" s="2"/>
        <tr r="CG427" s="2"/>
        <tr r="AU28" s="2"/>
        <tr r="AR90" s="2"/>
        <tr r="AN312" s="2"/>
        <tr r="AQ321" s="2"/>
        <tr r="AX106" s="2"/>
        <tr r="AN22" s="2"/>
        <tr r="AQ419" s="2"/>
        <tr r="AW196" s="2"/>
        <tr r="AP203" s="2"/>
        <tr r="AT323" s="2"/>
        <tr r="AP230" s="2"/>
        <tr r="AM66" s="2"/>
        <tr r="AR189" s="2"/>
        <tr r="AS256" s="2"/>
        <tr r="AO57" s="2"/>
        <tr r="AM366" s="2"/>
        <tr r="AM139" s="2"/>
        <tr r="AR178" s="2"/>
        <tr r="AP205" s="2"/>
        <tr r="AK144" s="2"/>
        <tr r="AD447" s="2"/>
        <tr r="AT238" s="2"/>
        <tr r="AS427" s="2"/>
        <tr r="AQ243" s="2"/>
        <tr r="AP452" s="2"/>
        <tr r="BQ352" s="2"/>
        <tr r="AQ153" s="2"/>
        <tr r="AM127" s="2"/>
        <tr r="AQ70" s="2"/>
        <tr r="BR294" s="2"/>
        <tr r="AF95" s="2"/>
        <tr r="CG117" s="2"/>
        <tr r="AS83" s="2"/>
        <tr r="BQ161" s="2"/>
        <tr r="AS137" s="2"/>
        <tr r="AR141" s="2"/>
        <tr r="CG125" s="2"/>
        <tr r="AP333" s="2"/>
        <tr r="CG144" s="2"/>
        <tr r="AP429" s="2"/>
        <tr r="CG183" s="2"/>
        <tr r="AO103" s="2"/>
        <tr r="AP79" s="2"/>
        <tr r="AR128" s="2"/>
        <tr r="AN344" s="2"/>
        <tr r="BR100" s="2"/>
        <tr r="AN417" s="2"/>
        <tr r="AQ457" s="2"/>
        <tr r="AO254" s="2"/>
        <tr r="AS409" s="2"/>
        <tr r="CG12" s="2"/>
        <tr r="AS343" s="2"/>
        <tr r="AQ212" s="2"/>
        <tr r="BT36" s="2"/>
        <tr r="AO119" s="2"/>
        <tr r="AR405" s="2"/>
        <tr r="AM401" s="2"/>
        <tr r="BQ196" s="2"/>
        <tr r="AQ436" s="2"/>
        <tr r="AR76" s="2"/>
        <tr r="AQ66" s="2"/>
        <tr r="AO322" s="2"/>
        <tr r="AI300" s="2"/>
        <tr r="CG354" s="2"/>
        <tr r="AN465" s="2"/>
        <tr r="AE380" s="2"/>
        <tr r="AJ337" s="2"/>
        <tr r="AR307" s="2"/>
        <tr r="AQ325" s="2"/>
        <tr r="AS102" s="2"/>
        <tr r="AO187" s="2"/>
        <tr r="AO396" s="2"/>
        <tr r="AQ84" s="2"/>
        <tr r="AT252" s="2"/>
        <tr r="AS9" s="2"/>
        <tr r="AO339" s="2"/>
        <tr r="AR427" s="2"/>
        <tr r="AQ218" s="2"/>
        <tr r="AQ86" s="2"/>
        <tr r="AQ236" s="2"/>
        <tr r="AP308" s="2"/>
        <tr r="AN100" s="2"/>
        <tr r="AN254" s="2"/>
        <tr r="AM349" s="2"/>
        <tr r="AR38" s="2"/>
        <tr r="CG154" s="2"/>
        <tr r="AO269" s="2"/>
        <tr r="AO252" s="2"/>
        <tr r="AN355" s="2"/>
        <tr r="AO413" s="2"/>
        <tr r="AR165" s="2"/>
        <tr r="AQ345" s="2"/>
        <tr r="AP236" s="2"/>
        <tr r="AN451" s="2"/>
        <tr r="AM134" s="2"/>
        <tr r="AM236" s="2"/>
        <tr r="AO83" s="2"/>
        <tr r="AG291" s="2"/>
        <tr r="AK20" s="2"/>
        <tr r="AR213" s="2"/>
        <tr r="AO385" s="2"/>
        <tr r="AT345" s="2"/>
        <tr r="AS401" s="2"/>
        <tr r="AQ74" s="2"/>
        <tr r="AT51" s="2"/>
        <tr r="AS211" s="2"/>
        <tr r="CG450" s="2"/>
        <tr r="AN113" s="2"/>
        <tr r="AP98" s="2"/>
        <tr r="AN42" s="2"/>
        <tr r="AT340" s="2"/>
        <tr r="AS117" s="2"/>
        <tr r="CG36" s="2"/>
        <tr r="AP101" s="2"/>
        <tr r="AP356" s="2"/>
        <tr r="AN268" s="2"/>
        <tr r="AO421" s="2"/>
        <tr r="AF357" s="2"/>
        <tr r="AQ111" s="2"/>
        <tr r="AP103" s="2"/>
        <tr r="AP56" s="2"/>
        <tr r="AM203" s="2"/>
        <tr r="CG275" s="2"/>
        <tr r="AO222" s="2"/>
        <tr r="AN204" s="2"/>
        <tr r="AR102" s="2"/>
        <tr r="AR157" s="2"/>
        <tr r="AQ420" s="2"/>
        <tr r="AP155" s="2"/>
        <tr r="AQ274" s="2"/>
        <tr r="AP175" s="2"/>
        <tr r="AN438" s="2"/>
        <tr r="AO147" s="2"/>
        <tr r="AQ72" s="2"/>
        <tr r="AP249" s="2"/>
        <tr r="AN153" s="2"/>
        <tr r="AN447" s="2"/>
        <tr r="AP301" s="2"/>
        <tr r="AM6" s="2"/>
        <tr r="AR437" s="2"/>
        <tr r="AQ353" s="2"/>
        <tr r="AQ268" s="2"/>
        <tr r="AP436" s="2"/>
        <tr r="AM412" s="2"/>
        <tr r="AF30" s="2"/>
        <tr r="AM294" s="2"/>
        <tr r="AN238" s="2"/>
        <tr r="AM237" s="2"/>
        <tr r="AR11" s="2"/>
        <tr r="AQ158" s="2"/>
        <tr r="AR31" s="2"/>
        <tr r="AQ390" s="2"/>
        <tr r="AP358" s="2"/>
        <tr r="AQ307" s="2"/>
        <tr r="AP145" s="2"/>
        <tr r="AN49" s="2"/>
        <tr r="AS370" s="2"/>
        <tr r="CG377" s="2"/>
        <tr r="AO242" s="2"/>
        <tr r="AP383" s="2"/>
        <tr r="AN223" s="2"/>
        <tr r="AG50" s="2"/>
        <tr r="AR274" s="2"/>
        <tr r="AQ339" s="2"/>
        <tr r="AN414" s="2"/>
        <tr r="AM301" s="2"/>
        <tr r="AM150" s="2"/>
        <tr r="CG302" s="2"/>
        <tr r="AJ128" s="2"/>
        <tr r="AG200" s="2"/>
        <tr r="AN214" s="2"/>
        <tr r="AM335" s="2"/>
        <tr r="AR443" s="2"/>
        <tr r="AN365" s="2"/>
        <tr r="AS430" s="2"/>
        <tr r="CG142" s="2"/>
        <tr r="CG437" s="2"/>
        <tr r="CG235" s="2"/>
        <tr r="AN167" s="2"/>
        <tr r="AS28" s="2"/>
        <tr r="AR41" s="2"/>
        <tr r="AO167" s="2"/>
        <tr r="AO423" s="2"/>
        <tr r="AR272" s="2"/>
        <tr r="AP312" s="2"/>
        <tr r="CG21" s="2"/>
        <tr r="AN31" s="2"/>
        <tr r="AN218" s="2"/>
        <tr r="AQ315" s="2"/>
        <tr r="AM379" s="2"/>
        <tr r="AP393" s="2"/>
        <tr r="AK54" s="2"/>
        <tr r="AQ121" s="2"/>
        <tr r="AR402" s="2"/>
        <tr r="AR429" s="2"/>
        <tr r="AM454" s="2"/>
        <tr r="AP348" s="2"/>
        <tr r="AV239" s="2"/>
        <tr r="AP28" s="2"/>
        <tr r="AQ382" s="2"/>
        <tr r="AT58" s="2"/>
        <tr r="AQ151" s="2"/>
        <tr r="AM48" s="2"/>
        <tr r="AP137" s="2"/>
        <tr r="AV406" s="2"/>
        <tr r="AT402" s="2"/>
        <tr r="AO171" s="2"/>
        <tr r="CG22" s="2"/>
        <tr r="AU114" s="2"/>
        <tr r="AS230" s="2"/>
        <tr r="AO450" s="2"/>
        <tr r="AQ156" s="2"/>
        <tr r="BS114" s="2"/>
        <tr r="AO302" s="2"/>
        <tr r="AP465" s="2"/>
        <tr r="AP274" s="2"/>
        <tr r="AT138" s="2"/>
        <tr r="AJ255" s="2"/>
        <tr r="AS251" s="2"/>
        <tr r="AS405" s="2"/>
        <tr r="AM178" s="2"/>
        <tr r="AP317" s="2"/>
        <tr r="AO11" s="2"/>
        <tr r="AJ385" s="2"/>
        <tr r="AQ129" s="2"/>
        <tr r="AE26" s="2"/>
        <tr r="AF304" s="2"/>
        <tr r="AP204" s="2"/>
        <tr r="AI348" s="2"/>
        <tr r="BR254" s="2"/>
        <tr r="BR204" s="2"/>
        <tr r="AR354" s="2"/>
        <tr r="AN32" s="2"/>
        <tr r="AN43" s="2"/>
        <tr r="AO257" s="2"/>
        <tr r="AU307" s="2"/>
        <tr r="AS334" s="2"/>
        <tr r="AT65" s="2"/>
        <tr r="AO188" s="2"/>
        <tr r="BR366" s="2"/>
        <tr r="AO251" s="2"/>
        <tr r="AP57" s="2"/>
        <tr r="AR398" s="2"/>
        <tr r="BQ233" s="2"/>
        <tr r="AR236" s="2"/>
        <tr r="AN314" s="2"/>
        <tr r="AP351" s="2"/>
        <tr r="AT71" s="2"/>
        <tr r="AR442" s="2"/>
        <tr r="AN106" s="2"/>
        <tr r="AQ227" s="2"/>
        <tr r="AT193" s="2"/>
        <tr r="AQ449" s="2"/>
        <tr r="AM445" s="2"/>
        <tr r="AR340" s="2"/>
        <tr r="AX345" s="2"/>
        <tr r="AP266" s="2"/>
        <tr r="AQ232" s="2"/>
        <tr r="AP284" s="2"/>
        <tr r="BT226" s="2"/>
        <tr r="CG431" s="2"/>
        <tr r="AS201" s="2"/>
        <tr r="AN319" s="2"/>
        <tr r="BR438" s="2"/>
        <tr r="AP442" s="2"/>
        <tr r="AR211" s="2"/>
        <tr r="AN371" s="2"/>
        <tr r="AX97" s="2"/>
        <tr r="AP189" s="2"/>
        <tr r="AQ191" s="2"/>
        <tr r="AG373" s="2"/>
        <tr r="AK328" s="2"/>
        <tr r="AH366" s="2"/>
        <tr r="CG185" s="2"/>
        <tr r="BQ145" s="2"/>
        <tr r="CG112" s="2"/>
        <tr r="AT83" s="2"/>
        <tr r="AO335" s="2"/>
        <tr r="AJ326" s="2"/>
        <tr r="AL110" s="2"/>
        <tr r="AP170" s="2"/>
        <tr r="AR93" s="2"/>
        <tr r="AT288" s="2"/>
        <tr r="AP326" s="2"/>
        <tr r="AT416" s="2"/>
        <tr r="AN11" s="2"/>
        <tr r="AF431" s="2"/>
        <tr r="AR385" s="2"/>
        <tr r="AQ216" s="2"/>
        <tr r="AM299" s="2"/>
        <tr r="AQ435" s="2"/>
        <tr r="AP459" s="2"/>
        <tr r="AN243" s="2"/>
        <tr r="AP117" s="2"/>
        <tr r="AN14" s="2"/>
        <tr r="AM260" s="2"/>
        <tr r="AQ22" s="2"/>
        <tr r="AS59" s="2"/>
        <tr r="CG298" s="2"/>
        <tr r="AO293" s="2"/>
        <tr r="AQ264" s="2"/>
        <tr r="AP364" s="2"/>
        <tr r="AN387" s="2"/>
        <tr r="AR332" s="2"/>
        <tr r="AF440" s="2"/>
        <tr r="AN384" s="2"/>
        <tr r="AJ427" s="2"/>
        <tr r="AL184" s="2"/>
        <tr r="AS198" s="2"/>
        <tr r="AO181" s="2"/>
        <tr r="AH313" s="2"/>
        <tr r="AH242" s="2"/>
        <tr r="AN138" s="2"/>
        <tr r="AN127" s="2"/>
        <tr r="AG79" s="2"/>
        <tr r="AR116" s="2"/>
        <tr r="AQ443" s="2"/>
        <tr r="AQ54" s="2"/>
        <tr r="AP22" s="2"/>
        <tr r="AP133" s="2"/>
        <tr r="AK457" s="2"/>
        <tr r="AR240" s="2"/>
        <tr r="AQ335" s="2"/>
        <tr r="AP8" s="2"/>
        <tr r="AQ386" s="2"/>
        <tr r="AQ116" s="2"/>
        <tr r="AP44" s="2"/>
        <tr r="AN340" s="2"/>
        <tr r="AR387" s="2"/>
        <tr r="AQ146" s="2"/>
        <tr r="AN160" s="2"/>
        <tr r="AM368" s="2"/>
        <tr r="AF462" s="2"/>
        <tr r="AN53" s="2"/>
        <tr r="AQ277" s="2"/>
        <tr r="AP462" s="2"/>
        <tr r="AM410" s="2"/>
        <tr r="AM170" s="2"/>
        <tr r="AM415" s="2"/>
        <tr r="AO462" s="2"/>
        <tr r="AR430" s="2"/>
        <tr r="AR136" s="2"/>
        <tr r="AQ231" s="2"/>
        <tr r="AP407" s="2"/>
        <tr r="AE103" s="2"/>
        <tr r="AT185" s="2"/>
        <tr r="AS241" s="2"/>
        <tr r="AS287" s="2"/>
        <tr r="AQ446" s="2"/>
        <tr r="AP414" s="2"/>
        <tr r="AN382" s="2"/>
        <tr r="AM158" s="2"/>
        <tr r="AM343" s="2"/>
        <tr r="AR417" s="2"/>
        <tr r="AQ33" s="2"/>
        <tr r="AM315" s="2"/>
        <tr r="AM302" s="2"/>
        <tr r="AT293" s="2"/>
        <tr r="AJ454" s="2"/>
        <tr r="AG232" s="2"/>
        <tr r="AN83" s="2"/>
        <tr r="AP124" s="2"/>
        <tr r="AN28" s="2"/>
        <tr r="AO342" s="2"/>
        <tr r="AM363" s="2"/>
        <tr r="AQ406" s="2"/>
        <tr r="AP374" s="2"/>
        <tr r="AN342" s="2"/>
        <tr r="AP111" s="2"/>
        <tr r="AP161" s="2"/>
        <tr r="AN65" s="2"/>
        <tr r="AT259" s="2"/>
        <tr r="AS12" s="2"/>
        <tr r="CG332" s="2"/>
        <tr r="AQ336" s="2"/>
        <tr r="AP360" s="2"/>
        <tr r="AN328" s="2"/>
        <tr r="AN191" s="2"/>
        <tr r="AO50" s="2"/>
        <tr r="AR187" s="2"/>
        <tr r="AT19" s="2"/>
        <tr r="AS30" s="2"/>
        <tr r="CG272" s="2"/>
        <tr r="AN269" s="2"/>
        <tr r="AM344" s="2"/>
        <tr r="AS328" s="2"/>
        <tr r="CG264" s="2"/>
        <tr r="AR285" s="2"/>
        <tr r="AP406" s="2"/>
        <tr r="AM186" s="2"/>
        <tr r="AN97" s="2"/>
        <tr r="AQ126" s="2"/>
        <tr r="AF311" s="2"/>
        <tr r="AR358" s="2"/>
        <tr r="AQ458" s="2"/>
        <tr r="AM92" s="2"/>
        <tr r="AQ219" s="2"/>
        <tr r="AP114" s="2"/>
        <tr r="AM122" s="2"/>
        <tr r="AM211" s="2"/>
        <tr r="CG75" s="2"/>
        <tr r="CG167" s="2"/>
        <tr r="AP177" s="2"/>
        <tr r="BR103" s="2"/>
        <tr r="AR9" s="2"/>
        <tr r="AN351" s="2"/>
        <tr r="AN249" s="2"/>
        <tr r="AV44" s="2"/>
        <tr r="AT204" s="2"/>
        <tr r="AO284" s="2"/>
        <tr r="CG16" s="2"/>
        <tr r="AU186" s="2"/>
        <tr r="AR185" s="2"/>
        <tr r="AN71" s="2"/>
        <tr r="AQ202" s="2"/>
        <tr r="BR371" s="2"/>
        <tr r="AR107" s="2"/>
        <tr r="AN385" s="2"/>
        <tr r="AN207" s="2"/>
        <tr r="AT303" s="2"/>
        <tr r="AF17" s="2"/>
        <tr r="AM440" s="2"/>
        <tr r="AJ325" s="2"/>
        <tr r="AS114" s="2"/>
        <tr r="AM303" s="2"/>
        <tr r="CG454" s="2"/>
        <tr r="AO375" s="2"/>
        <tr r="AL236" s="2"/>
        <tr r="AS433" s="2"/>
        <tr r="AQ122" s="2"/>
        <tr r="CG37" s="2"/>
        <tr r="AT368" s="2"/>
        <tr r="CG331" s="2"/>
        <tr r="AS182" s="2"/>
        <tr r="AR315" s="2"/>
        <tr r="BR369" s="2"/>
        <tr r="BR325" s="2"/>
        <tr r="AQ368" s="2"/>
        <tr r="AO422" s="2"/>
        <tr r="AH239" s="2"/>
        <tr r="AT271" s="2"/>
        <tr r="CG199" s="2"/>
        <tr r="AT170" s="2"/>
        <tr r="AO285" s="2"/>
        <tr r="BQ58" s="2"/>
        <tr r="AM253" s="2"/>
        <tr r="AP222" s="2"/>
        <tr r="AR367" s="2"/>
        <tr r="AX188" s="2"/>
        <tr r="AR34" s="2"/>
        <tr r="AN152" s="2"/>
        <tr r="AQ11" s="2"/>
        <tr r="AO275" s="2"/>
        <tr r="AQ237" s="2"/>
        <tr r="AR145" s="2"/>
        <tr r="AO66" s="2"/>
        <tr r="AS249" s="2"/>
        <tr r="AP352" s="2"/>
        <tr r="AR243" s="2"/>
        <tr r="AW366" s="2"/>
        <tr r="AN226" s="2"/>
        <tr r="AQ197" s="2"/>
        <tr r="CG423" s="2"/>
        <tr r="BT354" s="2"/>
        <tr r="AO55" s="2"/>
        <tr r="AR300" s="2"/>
        <tr r="AN216" s="2"/>
        <tr r="BQ371" s="2"/>
        <tr r="AQ115" s="2"/>
        <tr r="AR395" s="2"/>
        <tr r="AQ379" s="2"/>
        <tr r="AT177" s="2"/>
        <tr r="AJ177" s="2"/>
        <tr r="BR378" s="2"/>
        <tr r="AT439" s="2"/>
        <tr r="AO433" s="2"/>
        <tr r="CG370" s="2"/>
        <tr r="BQ343" s="2"/>
        <tr r="CG256" s="2"/>
        <tr r="AT268" s="2"/>
        <tr r="AR174" s="2"/>
        <tr r="AT77" s="2"/>
        <tr r="AP107" s="2"/>
        <tr r="AR383" s="2"/>
        <tr r="AS336" s="2"/>
        <tr r="AN50" s="2"/>
        <tr r="AS103" s="2"/>
        <tr r="AQ359" s="2"/>
        <tr r="AN184" s="2"/>
        <tr r="AQ347" s="2"/>
        <tr r="AP318" s="2"/>
        <tr r="AP96" s="2"/>
        <tr r="AN303" s="2"/>
        <tr r="AM205" s="2"/>
        <tr r="AN9" s="2"/>
        <tr r="AN356" s="2"/>
        <tr r="AS53" s="2"/>
        <tr r="CG380" s="2"/>
        <tr r="AO410" s="2"/>
        <tr r="AM340" s="2"/>
        <tr r="AN443" s="2"/>
        <tr r="AR352" s="2"/>
        <tr r="AQ248" s="2"/>
        <tr r="AH405" s="2"/>
        <tr r="CG128" s="2"/>
        <tr r="AQ148" s="2"/>
        <tr r="AT260" s="2"/>
        <tr r="AS37" s="2"/>
        <tr r="AQ256" s="2"/>
        <tr r="AO233" s="2"/>
        <tr r="AL212" s="2"/>
        <tr r="AP218" s="2"/>
        <tr r="AP421" s="2"/>
        <tr r="AM136" s="2"/>
        <tr r="AO406" s="2"/>
        <tr r="AE258" s="2"/>
        <tr r="AR95" s="2"/>
        <tr r="AQ454" s="2"/>
        <tr r="AO344" s="2"/>
        <tr r="AT136" s="2"/>
        <tr r="AT351" s="2"/>
        <tr r="AR30" s="2"/>
        <tr r="AR456" s="2"/>
        <tr r="AQ421" s="2"/>
        <tr r="AP60" s="2"/>
        <tr r="AN396" s="2"/>
        <tr r="AR416" s="2"/>
        <tr r="AM104" s="2"/>
        <tr r="AP143" s="2"/>
        <tr r="AL25" s="2"/>
        <tr r="AP264" s="2"/>
        <tr r="AQ385" s="2"/>
        <tr r="AP388" s="2"/>
        <tr r="AN292" s="2"/>
        <tr r="AM307" s="2"/>
        <tr r="AR462" s="2"/>
        <tr r="AQ381" s="2"/>
        <tr r="AQ342" s="2"/>
        <tr r="AQ247" s="2"/>
        <tr r="AP447" s="2"/>
        <tr r="AN279" s="2"/>
        <tr r="AO458" s="2"/>
        <tr r="AT418" s="2"/>
        <tr r="AS426" s="2"/>
        <tr r="AQ206" s="2"/>
        <tr r="AP174" s="2"/>
        <tr r="AN142" s="2"/>
        <tr r="AM358" s="2"/>
        <tr r="AS383" s="2"/>
        <tr r="CG390" s="2"/>
        <tr r="AR216" s="2"/>
        <tr r="AR362" s="2"/>
        <tr r="AS231" s="2"/>
        <tr r="AH167" s="2"/>
        <tr r="AQ188" s="2"/>
        <tr r="AP259" s="2"/>
        <tr r="AN171" s="2"/>
        <tr r="AR20" s="2"/>
        <tr r="AM94" s="2"/>
        <tr r="AM151" s="2"/>
        <tr r="AF99" s="2"/>
        <tr r="AT284" s="2"/>
        <tr r="AS61" s="2"/>
        <tr r="CG420" s="2"/>
        <tr r="AN18" s="2"/>
        <tr r="AP268" s="2"/>
        <tr r="AN132" s="2"/>
        <tr r="CG131" s="2"/>
        <tr r="CG201" s="2"/>
        <tr r="AO68" s="2"/>
        <tr r="AR366" s="2"/>
        <tr r="AT245" s="2"/>
        <tr r="AN122" s="2"/>
        <tr r="AP85" s="2"/>
        <tr r="AF101" s="2"/>
        <tr r="AR337" s="2"/>
        <tr r="AT281" s="2"/>
        <tr r="AS337" s="2"/>
        <tr r="CG25" s="2"/>
        <tr r="AP191" s="2"/>
        <tr r="AP255" s="2"/>
        <tr r="AN55" s="2"/>
        <tr r="AP231" s="2"/>
        <tr r="AN419" s="2"/>
        <tr r="AS192" s="2"/>
        <tr r="AM132" s="2"/>
        <tr r="CG28" s="2"/>
        <tr r="AP209" s="2"/>
        <tr r="AN442" s="2"/>
        <tr r="AS76" s="2"/>
        <tr r="AN213" s="2"/>
        <tr r="AP280" s="2"/>
        <tr r="AO434" s="2"/>
        <tr r="AT437" s="2"/>
        <tr r="AR450" s="2"/>
        <tr r="AD300" s="2"/>
        <tr r="AR163" s="2"/>
        <tr r="AQ18" s="2"/>
        <tr r="AT396" s="2"/>
        <tr r="AP427" s="2"/>
        <tr r="AO326" s="2"/>
        <tr r="AP102" s="2"/>
        <tr r="AP46" s="2"/>
        <tr r="AW67" s="2"/>
        <tr r="AR167" s="2"/>
        <tr r="CG393" s="2"/>
        <tr r="AS439" s="2"/>
        <tr r="AV136" s="2"/>
        <tr r="AN139" s="2"/>
        <tr r="AP278" s="2"/>
        <tr r="AR257" s="2"/>
        <tr r="BS166" s="2"/>
        <tr r="AN26" s="2"/>
        <tr r="AP33" s="2"/>
        <tr r="AP223" s="2"/>
        <tr r="AK319" s="2"/>
        <tr r="AQ452" s="2"/>
        <tr r="AT57" s="2"/>
        <tr r="AF256" s="2"/>
        <tr r="AK423" s="2"/>
        <tr r="AP300" s="2"/>
        <tr r="AS371" s="2"/>
        <tr r="BS379" s="2"/>
        <tr r="AM172" s="2"/>
        <tr r="AP253" s="2"/>
        <tr r="BR370" s="2"/>
        <tr r="AQ258" s="2"/>
        <tr r="AU176" s="2"/>
        <tr r="AT397" s="2"/>
        <tr r="AO351" s="2"/>
        <tr r="AQ305" s="2"/>
        <tr r="BS281" s="2"/>
        <tr r="AO238" s="2"/>
        <tr r="AP288" s="2"/>
        <tr r="AP128" s="2"/>
        <tr r="CG146" s="2"/>
        <tr r="AM258" s="2"/>
        <tr r="BT364" s="2"/>
        <tr r="AO99" s="2"/>
        <tr r="AS339" s="2"/>
        <tr r="AT329" s="2"/>
        <tr r="BS140" s="2"/>
        <tr r="AN370" s="2"/>
        <tr r="CG348" s="2"/>
        <tr r="AS195" s="2"/>
        <tr r="AL255" s="2"/>
        <tr r="CG78" s="2"/>
        <tr r="AN84" s="2"/>
        <tr r="AR334" s="2"/>
        <tr r="AS67" s="2"/>
        <tr r="AN183" s="2"/>
        <tr r="AO14" s="2"/>
        <tr r="BT457" s="2"/>
        <tr r="CG109" s="2"/>
        <tr r="AS80" s="2"/>
        <tr r="AP454" s="2"/>
        <tr r="AO49" s="2"/>
        <tr r="AO185" s="2"/>
        <tr r="AM430" s="2"/>
        <tr r="AU98" s="2"/>
        <tr r="AS157" s="2"/>
        <tr r="AT311" s="2"/>
        <tr r="AO124" s="2"/>
        <tr r="AO330" s="2"/>
        <tr r="CG344" s="2"/>
        <tr r="AO451" s="2"/>
        <tr r="AN174" s="2"/>
        <tr r="AW30" s="2"/>
        <tr r="AN454" s="2"/>
        <tr r="AQ437" s="2"/>
        <tr r="AN39" s="2"/>
        <tr r="AV88" s="2"/>
        <tr r="AN423" s="2"/>
        <tr r="AR289" s="2"/>
        <tr r="AM463" s="2"/>
        <tr r="AQ332" s="2"/>
        <tr r="AS465" s="2"/>
        <tr r="AP194" s="2"/>
        <tr r="AQ20" s="2"/>
        <tr r="AT116" s="2"/>
        <tr r="AS414" s="2"/>
        <tr r="AM58" s="2"/>
        <tr r="BS267" s="2"/>
        <tr r="BS351" s="2"/>
        <tr r="AP156" s="2"/>
        <tr r="AR98" s="2"/>
        <tr r="AN394" s="2"/>
        <tr r="AX136" s="2"/>
        <tr r="AP283" s="2"/>
        <tr r="AQ350" s="2"/>
        <tr r="AH298" s="2"/>
        <tr r="AP54" s="2"/>
        <tr r="AN195" s="2"/>
        <tr r="BQ328" s="2"/>
        <tr r="AS16" s="2"/>
        <tr r="AR296" s="2"/>
        <tr r="CG171" s="2"/>
        <tr r="AX321" s="2"/>
        <tr r="CG273" s="2"/>
        <tr r="AT382" s="2"/>
        <tr r="AR336" s="2"/>
        <tr r="AS446" s="2"/>
        <tr r="AO158" s="2"/>
        <tr r="AQ175" s="2"/>
        <tr r="AN166" s="2"/>
        <tr r="AR124" s="2"/>
        <tr r="AM383" s="2"/>
        <tr r="AR322" s="2"/>
        <tr r="AR261" s="2"/>
        <tr r="AR133" s="2"/>
        <tr r="AP295" s="2"/>
        <tr r="AF424" s="2"/>
        <tr r="AG290" s="2"/>
        <tr r="AD451" s="2"/>
        <tr r="AQ271" s="2"/>
        <tr r="AP216" s="2"/>
        <tr r="AN343" s="2"/>
        <tr r="AN406" s="2"/>
        <tr r="AK12" s="2"/>
        <tr r="AE47" s="2"/>
        <tr r="AS349" s="2"/>
        <tr r="CG93" s="2"/>
        <tr r="AR46" s="2"/>
        <tr r="AT278" s="2"/>
        <tr r="AN388" s="2"/>
        <tr r="AT325" s="2"/>
        <tr r="AS382" s="2"/>
        <tr r="AQ83" s="2"/>
        <tr r="AQ280" s="2"/>
        <tr r="AI132" s="2"/>
        <tr r="AP181" s="2"/>
        <tr r="AN301" s="2"/>
        <tr r="AR125" s="2"/>
        <tr r="AM197" s="2"/>
        <tr r="AM319" s="2"/>
        <tr r="AQ58" s="2"/>
        <tr r="AP438" s="2"/>
        <tr r="CG147" s="2"/>
        <tr r="AO369" s="2"/>
        <tr r="AT430" s="2"/>
        <tr r="AP144" s="2"/>
        <tr r="AN445" s="2"/>
        <tr r="AR373" s="2"/>
        <tr r="AQ181" s="2"/>
        <tr r="AN77" s="2"/>
        <tr r="AE294" s="2"/>
        <tr r="CG85" s="2"/>
        <tr r="CG114" s="2"/>
        <tr r="AM248" s="2"/>
        <tr r="AQ145" s="2"/>
        <tr r="AP402" s="2"/>
        <tr r="AN346" s="2"/>
        <tr r="AI7" s="2"/>
        <tr r="AM149" s="2"/>
        <tr r="AN205" s="2"/>
        <tr r="AM375" s="2"/>
        <tr r="AR209" s="2"/>
        <tr r="AT147" s="2"/>
        <tr r="AS379" s="2"/>
        <tr r="AP422" s="2"/>
        <tr r="AQ107" s="2"/>
        <tr r="AP162" s="2"/>
        <tr r="AT365" s="2"/>
        <tr r="CG86" s="2"/>
        <tr r="AO12" s="2"/>
        <tr r="AR153" s="2"/>
        <tr r="AP14" s="2"/>
        <tr r="AQ19" s="2"/>
        <tr r="AK372" s="2"/>
        <tr r="AH208" s="2"/>
        <tr r="AM441" s="2"/>
        <tr r="AN175" s="2"/>
        <tr r="AG169" s="2"/>
        <tr r="AD57" s="2"/>
        <tr r="AS377" s="2"/>
        <tr r="AO28" s="2"/>
        <tr r="AR207" s="2"/>
        <tr r="AQ59" s="2"/>
        <tr r="AP367" s="2"/>
        <tr r="AN247" s="2"/>
        <tr r="AL403" s="2"/>
        <tr r="AL401" s="2"/>
        <tr r="AT196" s="2"/>
        <tr r="AS340" s="2"/>
        <tr r="CG363" s="2"/>
        <tr r="AR432" s="2"/>
        <tr r="AO150" s="2"/>
        <tr r="AP305" s="2"/>
        <tr r="AT341" s="2"/>
        <tr r="AQ338" s="2"/>
        <tr r="AR109" s="2"/>
        <tr r="AK326" s="2"/>
        <tr r="AK245" s="2"/>
        <tr r="AJ363" s="2"/>
        <tr r="AQ205" s="2"/>
        <tr r="AT324" s="2"/>
        <tr r="CG44" s="2"/>
        <tr r="AR52" s="2"/>
        <tr r="AQ51" s="2"/>
        <tr r="AP290" s="2"/>
        <tr r="AT199" s="2"/>
        <tr r="AM72" s="2"/>
        <tr r="AS457" s="2"/>
        <tr r="CG253" s="2"/>
        <tr r="AN129" s="2"/>
        <tr r="AN40" s="2"/>
        <tr r="AS125" s="2"/>
        <tr r="AS277" s="2"/>
        <tr r="AP39" s="2"/>
        <tr r="AN193" s="2"/>
        <tr r="AO270" s="2"/>
        <tr r="AF15" s="2"/>
        <tr r="CG432" s="2"/>
        <tr r="AP26" s="2"/>
        <tr r="AP196" s="2"/>
        <tr r="AR120" s="2"/>
        <tr r="AN182" s="2"/>
        <tr r="AQ24" s="2"/>
        <tr r="BR70" s="2"/>
        <tr r="AN112" s="2"/>
        <tr r="AE319" s="2"/>
        <tr r="AQ93" s="2"/>
        <tr r="BT247" s="2"/>
        <tr r="AO197" s="2"/>
        <tr r="AS276" s="2"/>
        <tr r="AT178" s="2"/>
        <tr r="BR79" s="2"/>
        <tr r="AT32" s="2"/>
        <tr r="AO6" s="2"/>
        <tr r="AS284" s="2"/>
        <tr r="AO123" s="2"/>
        <tr r="AS95" s="2"/>
        <tr r="AQ244" s="2"/>
        <tr r="AN459" s="2"/>
        <tr r="AS156" s="2"/>
        <tr r="AM295" s="2"/>
        <tr r="AP372" s="2"/>
        <tr r="BT274" s="2"/>
        <tr r="CG342" s="2"/>
        <tr r="AR195" s="2"/>
        <tr r="AN315" s="2"/>
        <tr r="AQ344" s="2"/>
        <tr r="AN93" s="2"/>
        <tr r="AK456" s="2"/>
        <tr r="AT30" s="2"/>
        <tr r="CG94" s="2"/>
        <tr r="AT209" s="2"/>
        <tr r="AO206" s="2"/>
        <tr r="AO440" s="2"/>
        <tr r="AQ249" s="2"/>
        <tr r="AP36" s="2"/>
        <tr r="AW43" s="2"/>
        <tr r="AM424" s="2"/>
        <tr r="AP316" s="2"/>
        <tr r="AT82" s="2"/>
        <tr r="AV205" s="2"/>
        <tr r="AR389" s="2"/>
        <tr r="AN267" s="2"/>
        <tr r="AN70" s="2"/>
        <tr r="AN23" s="2"/>
        <tr r="AN148" s="2"/>
        <tr r="CG310" s="2"/>
        <tr r="AQ43" s="2"/>
        <tr r="AJ265" s="2"/>
        <tr r="AK155" s="2"/>
        <tr r="AR220" s="2"/>
        <tr r="AN431" s="2"/>
        <tr r="AH314" s="2"/>
        <tr r="AT60" s="2"/>
        <tr r="BQ383" s="2"/>
        <tr r="BQ403" s="2"/>
        <tr r="AQ73" s="2"/>
        <tr r="AQ183" s="2"/>
        <tr r="AT64" s="2"/>
        <tr r="AO309" s="2"/>
        <tr r="AO35" s="2"/>
        <tr r="AS130" s="2"/>
        <tr r="AM98" s="2"/>
        <tr r="BQ32" s="2"/>
        <tr r="AR131" s="2"/>
        <tr r="AN409" s="2"/>
        <tr r="AP342" s="2"/>
        <tr r="AX393" s="2"/>
        <tr r="AQ85" s="2"/>
        <tr r="AR184" s="2"/>
        <tr r="AN33" s="2"/>
        <tr r="AS208" s="2"/>
        <tr r="AQ250" s="2"/>
        <tr r="AM189" s="2"/>
        <tr r="AR302" s="2"/>
        <tr r="AT298" s="2"/>
        <tr r="AN379" s="2"/>
        <tr r="AO278" s="2"/>
        <tr r="AM128" s="2"/>
        <tr r="CG177" s="2"/>
        <tr r="AO186" s="2"/>
        <tr r="AN102" s="2"/>
        <tr r="AT263" s="2"/>
        <tr r="AO333" s="2"/>
        <tr r="AT72" s="2"/>
        <tr r="AS120" s="2"/>
        <tr r="AS245" s="2"/>
        <tr r="AR414" s="2"/>
        <tr r="AQ357" s="2"/>
        <tr r="AP359" s="2"/>
        <tr r="AM97" s="2"/>
        <tr r="AT76" s="2"/>
        <tr r="CG318" s="2"/>
        <tr r="AO37" s="2"/>
        <tr r="AR74" s="2"/>
        <tr r="AN16" s="2"/>
        <tr r="AR369" s="2"/>
        <tr r="AQ200" s="2"/>
        <tr r="AR419" s="2"/>
        <tr r="AR84" s="2"/>
        <tr r="AK159" s="2"/>
        <tr r="AN111" s="2"/>
        <tr r="AN73" s="2"/>
        <tr r="AJ37" s="2"/>
        <tr r="AN261" s="2"/>
        <tr r="AM374" s="2"/>
        <tr r="AM221" s="2"/>
        <tr r="CG245" s="2"/>
        <tr r="AR310" s="2"/>
        <tr r="AT370" s="2"/>
        <tr r="AR346" s="2"/>
        <tr r="AR353" s="2"/>
        <tr r="AQ184" s="2"/>
        <tr r="AP455" s="2"/>
        <tr r="AO304" s="2"/>
        <tr r="AT13" s="2"/>
        <tr r="AS22" s="2"/>
        <tr r="CG229" s="2"/>
        <tr r="AR298" s="2"/>
        <tr r="AR436" s="2"/>
        <tr r="AM341" s="2"/>
        <tr r="AL59" s="2"/>
        <tr r="AN29" s="2"/>
        <tr r="AP382" s="2"/>
        <tr r="AN350" s="2"/>
        <tr r="AM76" s="2"/>
        <tr r="AN256" s="2"/>
        <tr r="AL435" s="2"/>
        <tr r="AS307" s="2"/>
        <tr r="AN156" s="2"/>
        <tr r="AQ118" s="2"/>
        <tr r="AQ97" s="2"/>
        <tr r="AN341" s="2"/>
        <tr r="AF196" s="2"/>
        <tr r="AR251" s="2"/>
        <tr r="AT27" s="2"/>
        <tr r="AS187" s="2"/>
        <tr r="AR47" s="2"/>
        <tr r="CG80" s="2"/>
        <tr r="AO94" s="2"/>
        <tr r="AQ192" s="2"/>
        <tr r="AO286" s="2"/>
        <tr r="AO350" s="2"/>
        <tr r="AS113" s="2"/>
        <tr r="CG440" s="2"/>
        <tr r="AO139" s="2"/>
        <tr r="AT360" s="2"/>
        <tr r="CG162" s="2"/>
        <tr r="AO271" s="2"/>
        <tr r="AS398" s="2"/>
        <tr r="AR200" s="2"/>
        <tr r="AQ295" s="2"/>
        <tr r="AO442" s="2"/>
        <tr r="AT249" s="2"/>
        <tr r="AT20" s="2"/>
        <tr r="AT189" s="2"/>
        <tr r="AS254" s="2"/>
        <tr r="CG373" s="2"/>
        <tr r="AP192" s="2"/>
        <tr r="AP84" s="2"/>
        <tr r="AN12" s="2"/>
        <tr r="AR440" s="2"/>
        <tr r="AR51" s="2"/>
        <tr r="AR156" s="2"/>
        <tr r="AE312" s="2"/>
        <tr r="AN323" s="2"/>
        <tr r="AT461" s="2"/>
        <tr r="AR338" s="2"/>
        <tr r="AM257" s="2"/>
        <tr r="AO398" s="2"/>
        <tr r="AR45" s="2"/>
        <tr r="AO195" s="2"/>
        <tr r="AO291" s="2"/>
        <tr r="AN200" s="2"/>
        <tr r="AT144" s="2"/>
        <tr r="AR149" s="2"/>
        <tr r="AS109" s="2"/>
        <tr r="AQ32" s="2"/>
        <tr r="AN428" s="2"/>
        <tr r="AQ291" s="2"/>
        <tr r="AQ378" s="2"/>
        <tr r="AR258" s="2"/>
        <tr r="AM220" s="2"/>
        <tr r="AM391" s="2"/>
        <tr r="CG276" s="2"/>
        <tr r="AO356" s="2"/>
        <tr r="AS173" s="2"/>
        <tr r="AN347" s="2"/>
        <tr r="AR283" s="2"/>
        <tr r="AL254" s="2"/>
        <tr r="CG103" s="2"/>
        <tr r="AO165" s="2"/>
        <tr r="AR347" s="2"/>
        <tr r="AQ21" s="2"/>
        <tr r="AI43" s="2"/>
        <tr r="AR65" s="2"/>
        <tr r="AP211" s="2"/>
        <tr r="AK86" s="2"/>
        <tr r="AS27" s="2"/>
        <tr r="AR168" s="2"/>
        <tr r="AP328" s="2"/>
        <tr r="AP439" s="2"/>
        <tr r="CG233" s="2"/>
        <tr r="AM47" s="2"/>
        <tr r="AV193" s="2"/>
        <tr r="AT444" s="2"/>
        <tr r="AO324" s="2"/>
        <tr r="CG384" s="2"/>
        <tr r="BT455" s="2"/>
        <tr r="AO255" s="2"/>
        <tr r="AQ143" s="2"/>
        <tr r="AG391" s="2"/>
        <tr r="BR151" s="2"/>
        <tr r="AO315" s="2"/>
        <tr r="AP140" s="2"/>
        <tr r="AQ438" s="2"/>
        <tr r="AO221" s="2"/>
        <tr r="AP244" s="2"/>
        <tr r="AQ453" s="2"/>
        <tr r="AQ356" s="2"/>
        <tr r="AQ310" s="2"/>
        <tr r="AN280" s="2"/>
        <tr r="AP183" s="2"/>
        <tr r="BS133" s="2"/>
        <tr r="AP65" s="2"/>
        <tr r="AR193" s="2"/>
        <tr r="AN331" s="2"/>
        <tr r="AU160" s="2"/>
        <tr r="AS380" s="2"/>
        <tr r="AN291" s="2"/>
        <tr r="AO60" s="2"/>
        <tr r="CG74" s="2"/>
        <tr r="CG71" s="2"/>
        <tr r="AO387" s="2"/>
        <tr r="AP341" s="2"/>
        <tr r="BR169" s="2"/>
        <tr r="AR132" s="2"/>
        <tr r="AN210" s="2"/>
        <tr r="AM193" s="2"/>
        <tr r="AS52" s="2"/>
        <tr r="AM267" s="2"/>
        <tr r="AO162" s="2"/>
        <tr r="AR111" s="2"/>
        <tr r="AM428" s="2"/>
        <tr r="AR69" s="2"/>
        <tr r="AR461" s="2"/>
        <tr r="AS440" s="2"/>
        <tr r="AO260" s="2"/>
        <tr r="CG412" s="2"/>
        <tr r="AT349" s="2"/>
        <tr r="AR88" s="2"/>
        <tr r="BS206" s="2"/>
        <tr r="AO407" s="2"/>
        <tr r="CG47" s="2"/>
        <tr r="AT173" s="2"/>
        <tr r="BQ109" s="2"/>
        <tr r="AX390" s="2"/>
        <tr r="AP346" s="2"/>
        <tr r="AR453" s="2"/>
        <tr r="AR253" s="2"/>
        <tr r="AP426" s="2"/>
        <tr r="BT189" s="2"/>
        <tr r="AO133" s="2"/>
        <tr r="AS75" s="2"/>
        <tr r="AT217" s="2"/>
        <tr r="AX187" s="2"/>
        <tr r="AR129" s="2"/>
        <tr r="AN15" s="2"/>
        <tr r="AQ103" s="2"/>
        <tr r="AW165" s="2"/>
        <tr r="AQ193" s="2"/>
        <tr r="AP363" s="2"/>
        <tr r="AR323" s="2"/>
        <tr r="AS79" s="2"/>
        <tr r="AO75" s="2"/>
        <tr r="AS186" s="2"/>
        <tr r="AN282" s="2"/>
        <tr r="AR378" s="2"/>
        <tr r="AL89" s="2"/>
        <tr r="AK253" s="2"/>
        <tr r="AD187" s="2"/>
        <tr r="AS146" s="2"/>
        <tr r="CG321" s="2"/>
        <tr r="AO204" s="2"/>
        <tr r="AN17" s="2"/>
        <tr r="AP242" s="2"/>
        <tr r="AO357" s="2"/>
        <tr r="AT457" s="2"/>
        <tr r="AS58" s="2"/>
        <tr r="AR309" s="2"/>
        <tr r="AQ117" s="2"/>
        <tr r="AP309" s="2"/>
        <tr r="AR80" s="2"/>
        <tr r="AT218" s="2"/>
        <tr r="AS348" s="2"/>
        <tr r="AO412" s="2"/>
        <tr r="CG24" s="2"/>
        <tr r="AO87" s="2"/>
        <tr r="AQ455" s="2"/>
        <tr r="AQ266" s="2"/>
        <tr r="AM53" s="2"/>
        <tr r="AR215" s="2"/>
        <tr r="AQ91" s="2"/>
        <tr r="AG300" s="2"/>
        <tr r="AP185" s="2"/>
        <tr r="AN89" s="2"/>
        <tr r="CG406" s="2"/>
        <tr r="AR232" s="2"/>
        <tr r="AT282" s="2"/>
        <tr r="CG463" s="2"/>
        <tr r="AS31" s="2"/>
        <tr r="CG334" s="2"/>
        <tr r="AO38" s="2"/>
        <tr r="AN304" s="2"/>
        <tr r="AP258" s="2"/>
        <tr r="AM460" s="2"/>
        <tr r="AH306" s="2"/>
        <tr r="AK119" s="2"/>
        <tr r="AD422" s="2"/>
        <tr r="AT8" s="2"/>
        <tr r="AS56" s="2"/>
        <tr r="CG375" s="2"/>
        <tr r="AO46" s="2"/>
        <tr r="AS234" s="2"/>
        <tr r="CG313" s="2"/>
        <tr r="AO203" s="2"/>
        <tr r="AT355" s="2"/>
        <tr r="AN143" s="2"/>
        <tr r="AG49" s="2"/>
        <tr r="AR159" s="2"/>
        <tr r="CG67" s="2"/>
        <tr r="AO354" s="2"/>
        <tr r="AO337" s="2"/>
        <tr r="AP241" s="2"/>
        <tr r="AT404" s="2"/>
        <tr r="AS181" s="2"/>
        <tr r="AQ65" s="2"/>
        <tr r="AQ369" s="2"/>
        <tr r="AP324" s="2"/>
        <tr r="AN244" s="2"/>
        <tr r="AN380" s="2"/>
        <tr r="AP423" s="2"/>
        <tr r="AH109" s="2"/>
        <tr r="AF326" s="2"/>
        <tr r="AO178" s="2"/>
        <tr r="AP269" s="2"/>
        <tr r="AT69" s="2"/>
        <tr r="AS66" s="2"/>
        <tr r="AS170" s="2"/>
        <tr r="CG351" s="2"/>
        <tr r="AO241" s="2"/>
        <tr r="AP314" s="2"/>
        <tr r="CG340" s="2"/>
        <tr r="AO409" s="2"/>
        <tr r="AT352" s="2"/>
        <tr r="AE170" s="2"/>
        <tr r="AQ311" s="2"/>
        <tr r="AP368" s="2"/>
        <tr r="CG101" s="2"/>
        <tr r="AR54" s="2"/>
        <tr r="AT123" s="2"/>
        <tr r="AN430" s="2"/>
        <tr r="AR305" s="2"/>
        <tr r="AQ136" s="2"/>
        <tr r="AP313" s="2"/>
        <tr r="AQ445" s="2"/>
        <tr r="AP66" s="2"/>
        <tr r="AN10" s="2"/>
        <tr r="AM135" s="2"/>
        <tr r="AH461" s="2"/>
        <tr r="AR433" s="2"/>
        <tr r="AN408" s="2"/>
        <tr r="AN125" s="2"/>
        <tr r="AR61" s="2"/>
        <tr r="AQ324" s="2"/>
        <tr r="AE22" s="2"/>
        <tr r="AO316" s="2"/>
        <tr r="AM418" s="2"/>
        <tr r="AT401" s="2"/>
        <tr r="AR458" s="2"/>
        <tr r="AS54" s="2"/>
        <tr r="AP225" s="2"/>
        <tr r="AS101" s="2"/>
        <tr r="AT427" s="2"/>
        <tr r="AQ375" s="2"/>
        <tr r="AQ287" s="2"/>
        <tr r="AO456" s="2"/>
        <tr r="AM435" s="2"/>
        <tr r="AM52" s="2"/>
        <tr r="AJ269" s="2"/>
        <tr r="CG407" s="2"/>
        <tr r="AP10" s="2"/>
        <tr r="AR265" s="2"/>
        <tr r="AN68" s="2"/>
        <tr r="AF184" s="2"/>
        <tr r="AR244" s="2"/>
        <tr r="AU246" s="2"/>
        <tr r="AS462" s="2"/>
        <tr r="AR62" s="2"/>
        <tr r="CG401" s="2"/>
        <tr r="BR72" s="2"/>
        <tr r="AP285" s="2"/>
        <tr r="AR421" s="2"/>
        <tr r="AM103" s="2"/>
        <tr r="BQ59" s="2"/>
        <tr r="AP87" s="2"/>
        <tr r="AR72" s="2"/>
        <tr r="AO287" s="2"/>
        <tr r="AR388" s="2"/>
        <tr r="AG398" s="2"/>
        <tr r="AK448" s="2"/>
        <tr r="AL284" s="2"/>
        <tr r="AR351" s="2"/>
        <tr r="AN6" s="2"/>
        <tr r="AN368" s="2"/>
        <tr r="BQ185" s="2"/>
        <tr r="AQ288" s="2"/>
        <tr r="AR445" s="2"/>
        <tr r="AU413" s="2"/>
        <tr r="AS429" s="2"/>
        <tr r="AT96" s="2"/>
        <tr r="AO142" s="2"/>
        <tr r="CG51" s="2"/>
        <tr r="AQ433" s="2"/>
        <tr r="AP291" s="2"/>
        <tr r="BQ264" s="2"/>
        <tr r="AQ461" s="2"/>
        <tr r="AR55" s="2"/>
        <tr r="AI71" s="2"/>
        <tr r="AK462" s="2"/>
        <tr r="AS49" s="2"/>
        <tr r="AD150" s="2"/>
        <tr r="CG98" s="2"/>
        <tr r="AM78" s="2"/>
        <tr r="AO102" s="2"/>
        <tr r="AR21" s="2"/>
        <tr r="CG155" s="2"/>
        <tr r="AS239" s="2"/>
        <tr r="AQ38" s="2"/>
        <tr r="BS90" s="2"/>
        <tr r="AR280" s="2"/>
        <tr r="CG464" s="2"/>
        <tr r="AS279" s="2"/>
        <tr r="AQ169" s="2"/>
        <tr r="AM348" s="2"/>
        <tr r="CG284" s="2"/>
        <tr r="CG349" s="2"/>
        <tr r="AS57" s="2"/>
        <tr r="AP397" s="2"/>
        <tr r="BT261" s="2"/>
        <tr r="AO183" s="2"/>
        <tr r="AQ302" s="2"/>
        <tr r="AV462" s="2"/>
        <tr r="AN398" s="2"/>
        <tr r="AR224" s="2"/>
        <tr r="AU138" s="2"/>
        <tr r="AQ283" s="2"/>
        <tr r="AP34" s="2"/>
        <tr r="AR321" s="2"/>
        <tr r="AP263" s="2"/>
        <tr r="AP234" s="2"/>
        <tr r="AQ301" s="2"/>
        <tr r="AN286" s="2"/>
        <tr r="AM390" s="2"/>
        <tr r="AG116" s="2"/>
        <tr r="AM320" s="2"/>
        <tr r="AS391" s="2"/>
        <tr r="CG214" s="2"/>
        <tr r="AN436" s="2"/>
        <tr r="CG378" s="2"/>
        <tr r="AO306" s="2"/>
        <tr r="AT296" s="2"/>
        <tr r="AR223" s="2"/>
        <tr r="AR182" s="2"/>
        <tr r="AT306" s="2"/>
        <tr r="AS202" s="2"/>
        <tr r="AQ308" s="2"/>
        <tr r="AQ120" s="2"/>
        <tr r="AP297" s="2"/>
        <tr r="AF195" s="2"/>
        <tr r="AQ327" s="2"/>
        <tr r="AT275" s="2"/>
        <tr r="AS20" s="2"/>
        <tr r="AQ425" s="2"/>
        <tr r="AQ195" s="2"/>
        <tr r="AP186" s="2"/>
        <tr r="AN130" s="2"/>
        <tr r="AM449" s="2"/>
        <tr r="AN134" s="2"/>
        <tr r="AM162" s="2"/>
        <tr r="AQ334" s="2"/>
        <tr r="AQ211" s="2"/>
        <tr r="AD397" s="2"/>
        <tr r="AK417" s="2"/>
        <tr r="AO248" s="2"/>
        <tr r="AM39" s="2"/>
        <tr r="AS375" s="2"/>
        <tr r="AS442" s="2"/>
        <tr r="AT121" s="2"/>
        <tr r="AS177" s="2"/>
        <tr r="CG347" s="2"/>
        <tr r="AO110" s="2"/>
        <tr r="AP350" s="2"/>
        <tr r="AN318" s="2"/>
        <tr r="AM394" s="2"/>
        <tr r="CG218" s="2"/>
        <tr r="CG55" s="2"/>
        <tr r="AO93" s="2"/>
        <tr r="AQ128" s="2"/>
        <tr r="AT451" s="2"/>
        <tr r="AR222" s="2"/>
        <tr r="AR210" s="2"/>
        <tr r="AQ171" s="2"/>
        <tr r="AP178" s="2"/>
        <tr r="AP271" s="2"/>
        <tr r="AQ388" s="2"/>
        <tr r="CG304" s="2"/>
        <tr r="AO122" s="2"/>
        <tr r="AQ141" s="2"/>
        <tr r="AP212" s="2"/>
        <tr r="AT393" s="2"/>
        <tr r="AS449" s="2"/>
        <tr r="CG137" s="2"/>
        <tr r="AQ182" s="2"/>
        <tr r="AS331" s="2"/>
        <tr r="CG387" s="2"/>
        <tr r="AO327" s="2"/>
        <tr r="AP195" s="2"/>
        <tr r="AN375" s="2"/>
        <tr r="AQ402" s="2"/>
        <tr r="AS260" s="2"/>
        <tr r="CG211" s="2"/>
        <tr r="AO383" s="2"/>
        <tr r="AQ49" s="2"/>
        <tr r="AN208" s="2"/>
        <tr r="AR304" s="2"/>
        <tr r="AQ399" s="2"/>
        <tr r="AQ88" s="2"/>
        <tr r="AP265" s="2"/>
        <tr r="AN169" s="2"/>
        <tr r="AM219" s="2"/>
        <tr r="AM60" s="2"/>
        <tr r="AO196" s="2"/>
        <tr r="AN119" s="2"/>
        <tr r="AS215" s="2"/>
        <tr r="AN212" s="2"/>
        <tr r="AS147" s="2"/>
        <tr r="CG386" s="2"/>
        <tr r="AO308" s="2"/>
        <tr r="AR291" s="2"/>
        <tr r="CG189" s="2"/>
        <tr r="AR190" s="2"/>
        <tr r="AO355" s="2"/>
        <tr r="AP153" s="2"/>
        <tr r="AM283" s="2"/>
        <tr r="AM113" s="2"/>
        <tr r="AO22" s="2"/>
        <tr r="AR361" s="2"/>
        <tr r="AT291" s="2"/>
        <tr r="AR452" s="2"/>
        <tr r="AR151" s="2"/>
        <tr r="AQ306" s="2"/>
        <tr r="AP199" s="2"/>
        <tr r="AP187" s="2"/>
        <tr r="AN377" s="2"/>
        <tr r="AJ347" s="2"/>
        <tr r="AE307" s="2"/>
        <tr r="AM93" s="2"/>
        <tr r="AR279" s="2"/>
        <tr r="AM7" s="2"/>
        <tr r="CG249" s="2"/>
        <tr r="AO386" s="2"/>
        <tr r="AF165" s="2"/>
        <tr r="AO345" s="2"/>
        <tr r="AO411" s="2"/>
        <tr r="AQ94" s="2"/>
        <tr r="AR201" s="2"/>
        <tr r="AP416" s="2"/>
        <tr r="AT348" s="2"/>
        <tr r="AQ47" s="2"/>
        <tr r="AN58" s="2"/>
        <tr r="AQ269" s="2"/>
        <tr r="AS263" s="2"/>
        <tr r="AR75" s="2"/>
        <tr r="AM11" s="2"/>
        <tr r="AL331" s="2"/>
        <tr r="AQ273" s="2"/>
        <tr r="AN324" s="2"/>
        <tr r="CG124" s="2"/>
        <tr r="AR335" s="2"/>
        <tr r="AQ393" s="2"/>
        <tr r="AF245" s="2"/>
        <tr r="AS301" s="2"/>
        <tr r="AP257" s="2"/>
        <tr r="AN161" s="2"/>
        <tr r="AE95" s="2"/>
        <tr r="AT346" s="2"/>
        <tr r="CG359" s="2"/>
        <tr r="AR424" s="2"/>
        <tr r="AT12" s="2"/>
        <tr r="AN240" s="2"/>
        <tr r="AS152" s="2"/>
        <tr r="CG88" s="2"/>
        <tr r="AO95" s="2"/>
        <tr r="AM206" s="2"/>
        <tr r="AI390" s="2"/>
        <tr r="AD302" s="2"/>
        <tr r="AE126" s="2"/>
        <tr r="AG154" s="2"/>
        <tr r="AS363" s="2"/>
        <tr r="AS106" s="2"/>
        <tr r="CG241" s="2"/>
        <tr r="AO194" s="2"/>
        <tr r="AO117" s="2"/>
        <tr r="AN452" s="2"/>
        <tr r="AR60" s="2"/>
        <tr r="AS222" s="2"/>
        <tr r="AR13" s="2"/>
        <tr r="AT460" s="2"/>
        <tr r="AS237" s="2"/>
        <tr r="AR57" s="2"/>
        <tr r="CG451" s="2"/>
        <tr r="AO151" s="2"/>
        <tr r="AP369" s="2"/>
        <tr r="AQ337" s="2"/>
        <tr r="AQ40" s="2"/>
        <tr r="AH117" s="2"/>
        <tr r="AN87" s="2"/>
        <tr r="AE155" s="2"/>
        <tr r="AR350" s="2"/>
        <tr r="AQ162" s="2"/>
        <tr r="AP446" s="2"/>
        <tr r="AN172" s="2"/>
        <tr r="AP279" s="2"/>
        <tr r="AP233" s="2"/>
        <tr r="AN137" s="2"/>
        <tr r="AM459" s="2"/>
        <tr r="AT131" s="2"/>
        <tr r="AS355" s="2"/>
        <tr r="CG411" s="2"/>
        <tr r="AP115" s="2"/>
        <tr r="AP371" s="2"/>
        <tr r="AN283" s="2"/>
        <tr r="AR311" s="2"/>
        <tr r="AT243" s="2"/>
        <tr r="AO59" s="2"/>
        <tr r="AR356" s="2"/>
        <tr r="AT99" s="2"/>
        <tr r="CG443" s="2"/>
        <tr r="CG89" s="2"/>
        <tr r="AK215" s="2"/>
        <tr r="AM443" s="2"/>
        <tr r="AJ324" s="2"/>
        <tr r="AF417" s="2"/>
        <tr r="AD305" s="2"/>
        <tr r="AJ445" s="2"/>
        <tr r="AM280" s="2"/>
        <tr r="AR391" s="2"/>
        <tr r="AE273" s="2"/>
        <tr r="AK229" s="2"/>
        <tr r="AD432" s="2"/>
        <tr r="AJ452" s="2"/>
        <tr r="AI174" s="2"/>
        <tr r="AM138" s="2"/>
        <tr r="AL264" s="2"/>
        <tr r="AM96" s="2"/>
        <tr r="AM107" s="2"/>
        <tr r="AM448" s="2"/>
        <tr r="AS84" s="2"/>
        <tr r="AJ328" s="2"/>
        <tr r="AM192" s="2"/>
        <tr r="AF262" s="2"/>
        <tr r="AK376" s="2"/>
        <tr r="AD320" s="2"/>
        <tr r="AL117" s="2"/>
        <tr r="AK192" s="2"/>
        <tr r="AJ104" s="2"/>
        <tr r="AP72" s="2"/>
        <tr r="AL68" s="2"/>
        <tr r="AI60" s="2"/>
        <tr r="AD444" s="2"/>
        <tr r="AI59" s="2"/>
        <tr r="AK21" s="2"/>
        <tr r="AK93" s="2"/>
        <tr r="AF218" s="2"/>
        <tr r="AM312" s="2"/>
        <tr r="AD368" s="2"/>
        <tr r="AH22" s="2"/>
        <tr r="AM246" s="2"/>
        <tr r="AJ225" s="2"/>
        <tr r="AM49" s="2"/>
        <tr r="AM364" s="2"/>
        <tr r="AJ330" s="2"/>
        <tr r="AM431" s="2"/>
        <tr r="AM42" s="2"/>
        <tr r="AL280" s="2"/>
        <tr r="AI153" s="2"/>
        <tr r="AN410" s="2"/>
        <tr r="AI11" s="2"/>
        <tr r="AE344" s="2"/>
        <tr r="AN252" s="2"/>
        <tr r="AS51" s="2"/>
        <tr r="CG290" s="2"/>
        <tr r="AO328" s="2"/>
        <tr r="AO86" s="2"/>
        <tr r="AQ391" s="2"/>
        <tr r="AT412" s="2"/>
        <tr r="AQ6" s="2"/>
        <tr r="AR314" s="2"/>
        <tr r="AQ427" s="2"/>
        <tr r="AP250" s="2"/>
        <tr r="AN59" s="2"/>
        <tr r="AP304" s="2"/>
        <tr r="AI101" s="2"/>
        <tr r="AF298" s="2"/>
        <tr r="CG300" s="2"/>
        <tr r="AT80" s="2"/>
        <tr r="AS128" s="2"/>
        <tr r="CG64" s="2"/>
        <tr r="AO299" s="2"/>
        <tr r="AS386" s="2"/>
        <tr r="CG385" s="2"/>
        <tr r="AO212" s="2"/>
        <tr r="AQ463" s="2"/>
        <tr r="AP458" s="2"/>
        <tr r="AN402" s="2"/>
        <tr r="AR227" s="2"/>
        <tr r="AS188" s="2"/>
        <tr r="CG139" s="2"/>
        <tr r="AO368" s="2"/>
        <tr r="AT149" s="2"/>
        <tr r="AP440" s="2"/>
        <tr r="AT205" s="2"/>
        <tr r="AS270" s="2"/>
        <tr r="AP273" s="2"/>
        <tr r="AQ26" s="2"/>
        <tr r="AP43" s="2"/>
        <tr r="AN19" s="2"/>
        <tr r="AM200" s="2"/>
        <tr r="AM395" s="2"/>
        <tr r="AJ278" s="2"/>
        <tr r="AF225" s="2"/>
        <tr r="AR92" s="2"/>
        <tr r="AG77" s="2"/>
        <tr r="AR135" s="2"/>
        <tr r="AQ242" s="2"/>
        <tr r="AP119" s="2"/>
        <tr r="AQ25" s="2"/>
        <tr r="AM164" s="2"/>
        <tr r="AT124" s="2"/>
        <tr r="AS252" s="2"/>
        <tr r="CG203" s="2"/>
        <tr r="AO424" s="2"/>
        <tr r="AO157" s="2"/>
        <tr r="AP106" s="2"/>
        <tr r="AT109" s="2"/>
        <tr r="AR343" s="2"/>
        <tr r="AR460" s="2"/>
        <tr r="AK210" s="2"/>
        <tr r="AN326" s="2"/>
        <tr r="AJ436" s="2"/>
        <tr r="AJ374" s="2"/>
        <tr r="AK79" s="2"/>
        <tr r="AN397" s="2"/>
        <tr r="AI84" s="2"/>
        <tr r="AP69" s="2"/>
        <tr r="AF62" s="2"/>
        <tr r="AL344" s="2"/>
        <tr r="AH409" s="2"/>
        <tr r="AF176" s="2"/>
        <tr r="AL138" s="2"/>
        <tr r="AE153" s="2"/>
        <tr r="AM422" s="2"/>
        <tr r="AF354" s="2"/>
        <tr r="AF183" s="2"/>
        <tr r="AN124" s="2"/>
        <tr r="AG309" s="2"/>
        <tr r="AQ267" s="2"/>
        <tr r="AJ378" s="2"/>
        <tr r="AH53" s="2"/>
        <tr r="AJ408" s="2"/>
        <tr r="AL242" s="2"/>
        <tr r="AK219" s="2"/>
        <tr r="AE223" s="2"/>
        <tr r="AJ226" s="2"/>
        <tr r="AE102" s="2"/>
        <tr r="AP30" s="2"/>
        <tr r="AF404" s="2"/>
        <tr r="AH345" s="2"/>
        <tr r="AD216" s="2"/>
        <tr r="AJ345" s="2"/>
        <tr r="AF182" s="2"/>
        <tr r="AI286" s="2"/>
        <tr r="AH86" s="2"/>
        <tr r="AF18" s="2"/>
        <tr r="AD176" s="2"/>
        <tr r="AM146" s="2"/>
        <tr r="AM100" s="2"/>
        <tr r="AM218" s="2"/>
        <tr r="AM329" s="2"/>
        <tr r="AM453" s="2"/>
        <tr r="AM342" s="2"/>
        <tr r="AD146" s="2"/>
        <tr r="AF77" s="2"/>
        <tr r="AD145" s="2"/>
        <tr r="AM59" s="2"/>
        <tr r="AJ254" s="2"/>
        <tr r="AM337" s="2"/>
        <tr r="AH343" s="2"/>
        <tr r="AE459" s="2"/>
        <tr r="AK169" s="2"/>
        <tr r="AT310" s="2"/>
        <tr r="CG376" s="2"/>
        <tr r="AO131" s="2"/>
        <tr r="AP262" s="2"/>
        <tr r="AS330" s="2"/>
        <tr r="AT337" s="2"/>
        <tr r="AS393" s="2"/>
        <tr r="CG81" s="2"/>
        <tr r="AP88" s="2"/>
        <tr r="AS203" s="2"/>
        <tr r="CG442" s="2"/>
        <tr r="AO317" s="2"/>
        <tr r="AM34" s="2"/>
        <tr r="AN418" s="2"/>
        <tr r="AR247" s="2"/>
        <tr r="AQ447" s="2"/>
        <tr r="AS238" s="2"/>
        <tr r="CG365" s="2"/>
        <tr r="AR175" s="2"/>
        <tr r="AN311" s="2"/>
        <tr r="AN236" s="2"/>
        <tr r="AR376" s="2"/>
        <tr r="AQ456" s="2"/>
        <tr r="AP62" s="2"/>
        <tr r="AR324" s="2"/>
        <tr r="AQ180" s="2"/>
        <tr r="AP132" s="2"/>
        <tr r="AK442" s="2"/>
        <tr r="AL415" s="2"/>
        <tr r="AM405" s="2"/>
        <tr r="CG368" s="2"/>
        <tr r="AO130" s="2"/>
        <tr r="AO53" s="2"/>
        <tr r="CG90" s="2"/>
        <tr r="AO258" s="2"/>
        <tr r="AT17" s="2"/>
        <tr r="AO405" s="2"/>
        <tr r="AR101" s="2"/>
        <tr r="AQ364" s="2"/>
        <tr r="AO220" s="2"/>
        <tr r="AT309" s="2"/>
        <tr r="AS366" s="2"/>
        <tr r="CG429" s="2"/>
        <tr r="AQ29" s="2"/>
        <tr r="AO207" s="2"/>
        <tr r="AN209" s="2"/>
        <tr r="AR368" s="2"/>
        <tr r="AN95" s="2"/>
        <tr r="AP18" s="2"/>
        <tr r="AK161" s="2"/>
        <tr r="AM413" s="2"/>
        <tr r="AM238" s="2"/>
        <tr r="AL124" s="2"/>
        <tr r="AH17" s="2"/>
        <tr r="AL14" s="2"/>
        <tr r="AI120" s="2"/>
        <tr r="AI375" s="2"/>
        <tr r="AM144" s="2"/>
        <tr r="AI53" s="2"/>
        <tr r="AH287" s="2"/>
        <tr r="AF65" s="2"/>
        <tr r="AM355" s="2"/>
        <tr r="AF107" s="2"/>
        <tr r="AF437" s="2"/>
        <tr r="AJ46" s="2"/>
        <tr r="AN373" s="2"/>
        <tr r="AK189" s="2"/>
        <tr r="AH178" s="2"/>
        <tr r="AL92" s="2"/>
        <tr r="AE330" s="2"/>
        <tr r="AI306" s="2"/>
        <tr r="AR229" s="2"/>
        <tr r="AL135" s="2"/>
        <tr r="AH413" s="2"/>
        <tr r="AJ31" s="2"/>
        <tr r="AE247" s="2"/>
        <tr r="AK338" s="2"/>
        <tr r="AE209" s="2"/>
        <tr r="AL222" s="2"/>
        <tr r="AJ309" s="2"/>
        <tr r="AE60" s="2"/>
        <tr r="AQ245" s="2"/>
        <tr r="AH121" s="2"/>
        <tr r="AL387" s="2"/>
        <tr r="AM239" s="2"/>
        <tr r="AH71" s="2"/>
        <tr r="AJ180" s="2"/>
        <tr r="AG125" s="2"/>
        <tr r="AF162" s="2"/>
        <tr r="AM77" s="2"/>
        <tr r="AE327" s="2"/>
        <tr r="AM180" s="2"/>
        <tr r="AF194" s="2"/>
        <tr r="AO394" s="2"/>
        <tr r="AE255" s="2"/>
        <tr r="AM345" s="2"/>
        <tr r="AI21" s="2"/>
        <tr r="AD14" s="2"/>
        <tr r="AE418" s="2"/>
        <tr r="AM406" s="2"/>
        <tr r="AK320" s="2"/>
        <tr r="AM84" s="2"/>
        <tr r="AQ167" s="2"/>
        <tr r="AP207" s="2"/>
        <tr r="AN151" s="2"/>
        <tr r="AM420" s="2"/>
        <tr r="AP220" s="2"/>
        <tr r="AN363" s="2"/>
        <tr r="AS364" s="2"/>
        <tr r="CG226" s="2"/>
        <tr r="AO281" s="2"/>
        <tr r="AT434" s="2"/>
        <tr r="AN41" s="2"/>
        <tr r="AR264" s="2"/>
        <tr r="AQ417" s="2"/>
        <tr r="AP19" s="2"/>
        <tr r="AN389" s="2"/>
        <tr r="AN364" s="2"/>
        <tr r="AR134" s="2"/>
        <tr r="AO92" s="2"/>
        <tr r="AI54" s="2"/>
        <tr r="AI90" s="2"/>
        <tr r="AR431" s="2"/>
        <tr r="AQ405" s="2"/>
        <tr r="AQ240" s="2"/>
        <tr r="AT101" s="2"/>
        <tr r="AS142" s="2"/>
        <tr r="CG317" s="2"/>
        <tr r="AN36" s="2"/>
        <tr r="AP201" s="2"/>
        <tr r="AN105" s="2"/>
        <tr r="AR299" s="2"/>
        <tr r="AQ409" s="2"/>
        <tr r="AP11" s="2"/>
        <tr r="CG164" s="2"/>
        <tr r="AO231" s="2"/>
        <tr r="AN460" s="2"/>
        <tr r="AN85" s="2"/>
        <tr r="AO403" s="2"/>
        <tr r="AR85" s="2"/>
        <tr r="AQ348" s="2"/>
        <tr r="AQ187" s="2"/>
        <tr r="AQ430" s="2"/>
        <tr r="AP398" s="2"/>
        <tr r="AN366" s="2"/>
        <tr r="AP61" s="2"/>
        <tr r="AL19" s="2"/>
        <tr r="AG242" s="2"/>
        <tr r="CG174" s="2"/>
        <tr r="AO23" s="2"/>
        <tr r="AR401" s="2"/>
        <tr r="AQ239" s="2"/>
        <tr r="AN220" s="2"/>
        <tr r="AR329" s="2"/>
        <tr r="AQ196" s="2"/>
        <tr r="AP164" s="2"/>
        <tr r="AN52" s="2"/>
        <tr r="AH97" s="2"/>
        <tr r="AQ263" s="2"/>
        <tr r="AS185" s="2"/>
        <tr r="CG371" s="2"/>
        <tr r="AO148" s="2"/>
        <tr r="AQ110" s="2"/>
        <tr r="CG234" s="2"/>
        <tr r="AO282" s="2"/>
        <tr r="AP99" s="2"/>
        <tr r="AN227" s="2"/>
        <tr r="AR268" s="2"/>
        <tr r="AQ124" s="2"/>
        <tr r="CG29" s="2"/>
        <tr r="AO457" s="2"/>
        <tr r="AT321" s="2"/>
        <tr r="CG216" s="2"/>
        <tr r="AS463" s="2"/>
        <tr r="CG238" s="2"/>
        <tr r="AO31" s="2"/>
        <tr r="AM225" s="2"/>
        <tr r="AP276" s="2"/>
        <tr r="AN92" s="2"/>
        <tr r="AR158" s="2"/>
        <tr r="AH288" s="2"/>
        <tr r="AL323" s="2"/>
        <tr r="AM288" s="2"/>
        <tr r="AM278" s="2"/>
        <tr r="AK132" s="2"/>
        <tr r="AM419" s="2"/>
        <tr r="AK439" s="2"/>
        <tr r="AF105" s="2"/>
        <tr r="AI161" s="2"/>
        <tr r="AT385" s="2"/>
        <tr r="AN37" s="2"/>
        <tr r="AE268" s="2"/>
        <tr r="AM16" s="2"/>
        <tr r="AH279" s="2"/>
        <tr r="AK259" s="2"/>
        <tr r="AD46" s="2"/>
        <tr r="AH27" s="2"/>
        <tr r="AH177" s="2"/>
        <tr r="AR396" s="2"/>
        <tr r="AI337" s="2"/>
        <tr r="AI400" s="2"/>
        <tr r="AF456" s="2"/>
        <tr r="AH114" s="2"/>
        <tr r="AK128" s="2"/>
        <tr r="AL418" s="2"/>
        <tr r="AK53" s="2"/>
        <tr r="AI45" s="2"/>
        <tr r="AI383" s="2"/>
        <tr r="AM284" s="2"/>
        <tr r="AP425" s="2"/>
        <tr r="AK317" s="2"/>
        <tr r="AI257" s="2"/>
        <tr r="AM184" s="2"/>
        <tr r="AL136" s="2"/>
        <tr r="AK304" s="2"/>
        <tr r="AM313" s="2"/>
        <tr r="AL308" s="2"/>
        <tr r="AJ158" s="2"/>
        <tr r="AF188" s="2"/>
        <tr r="AR191" s="2"/>
        <tr r="AK73" s="2"/>
        <tr r="AG231" s="2"/>
        <tr r="AL428" s="2"/>
        <tr r="AE414" s="2"/>
        <tr r="AJ227" s="2"/>
        <tr r="AH286" s="2"/>
        <tr r="AH128" s="2"/>
        <tr r="AQ233" s="2"/>
        <tr r="AT188" s="2"/>
        <tr r="AS316" s="2"/>
        <tr r="CG58" s="2"/>
        <tr r="AO174" s="2"/>
        <tr r="AR428" s="2"/>
        <tr r="AQ282" s="2"/>
        <tr r="AO156" s="2"/>
        <tr r="AR312" s="2"/>
        <tr r="AQ407" s="2"/>
        <tr r="AP80" s="2"/>
        <tr r="AN416" s="2"/>
        <tr r="AP320" s="2"/>
        <tr r="AN104" s="2"/>
        <tr r="AM95" s="2"/>
        <tr r="AM37" s="2"/>
        <tr r="AG161" s="2"/>
        <tr r="CG322" s="2"/>
        <tr r="AO297" s="2"/>
        <tr r="AO227" s="2"/>
        <tr r="AP302" s="2"/>
        <tr r="AR330" s="2"/>
        <tr r="AQ459" s="2"/>
        <tr r="AM165" s="2"/>
        <tr r="AR37" s="2"/>
        <tr r="AQ300" s="2"/>
        <tr r="AP37" s="2"/>
        <tr r="AE405" s="2"/>
        <tr r="AF24" s="2"/>
        <tr r="AT34" s="2"/>
        <tr r="AQ144" s="2"/>
        <tr r="AP321" s="2"/>
        <tr r="AN225" s="2"/>
        <tr r="AM306" s="2"/>
        <tr r="AN313" s="2"/>
        <tr r="AQ176" s="2"/>
        <tr r="AE382" s="2"/>
        <tr r="AM279" s="2"/>
        <tr r="AH107" s="2"/>
        <tr r="AT157" s="2"/>
        <tr r="AO39" s="2"/>
        <tr r="AS412" s="2"/>
        <tr r="CG212" s="2"/>
        <tr r="AO232" s="2"/>
        <tr r="AN260" s="2"/>
        <tr r="CG435" s="2"/>
        <tr r="AO399" s="2"/>
        <tr r="AT409" s="2"/>
        <tr r="AR393" s="2"/>
        <tr r="AR288" s="2"/>
        <tr r="AQ383" s="2"/>
        <tr r="AP83" s="2"/>
        <tr r="AO29" s="2"/>
        <tr r="AR370" s="2"/>
        <tr r="AT426" s="2"/>
        <tr r="AO429" s="2"/>
        <tr r="AR377" s="2"/>
        <tr r="AQ208" s="2"/>
        <tr r="AP385" s="2"/>
        <tr r="AN265" s="2"/>
        <tr r="AQ173" s="2"/>
        <tr r="AP365" s="2"/>
        <tr r="AM354" s="2"/>
        <tr r="AJ96" s="2"/>
        <tr r="AH294" s="2"/>
        <tr r="AJ185" s="2"/>
        <tr r="AF63" s="2"/>
        <tr r="AI37" s="2"/>
        <tr r="AM155" s="2"/>
        <tr r="AM207" s="2"/>
        <tr r="AN101" s="2"/>
        <tr r="AM208" s="2"/>
        <tr r="AL198" s="2"/>
        <tr r="AE99" s="2"/>
        <tr r="AF336" s="2"/>
        <tr r="AD328" s="2"/>
        <tr r="AT139" s="2"/>
        <tr r="AJ170" s="2"/>
        <tr r="AL199" s="2"/>
        <tr r="AM121" s="2"/>
        <tr r="AJ213" s="2"/>
        <tr r="AI144" s="2"/>
        <tr r="AD189" s="2"/>
        <tr r="AL52" s="2"/>
        <tr r="AJ273" s="2"/>
        <tr r="AQ82" s="2"/>
        <tr r="AE296" s="2"/>
        <tr r="AH65" s="2"/>
        <tr r="AJ341" s="2"/>
        <tr r="AI85" s="2"/>
        <tr r="AL62" s="2"/>
        <tr r="AD105" s="2"/>
        <tr r="AL243" s="2"/>
        <tr r="AF221" s="2"/>
        <tr r="AE365" s="2"/>
        <tr r="AE63" s="2"/>
        <tr r="AF64" s="2"/>
        <tr r="AI164" s="2"/>
        <tr r="AM458" s="2"/>
        <tr r="AM99" s="2"/>
        <tr r="AK157" s="2"/>
        <tr r="AL15" s="2"/>
        <tr r="AM70" s="2"/>
        <tr r="AK90" s="2"/>
        <tr r="AM171" s="2"/>
        <tr r="AI74" s="2"/>
        <tr r="AD373" s="2"/>
        <tr r="AF392" s="2"/>
        <tr r="AN217" s="2"/>
        <tr r="AJ252" s="2"/>
        <tr r="AH93" s="2"/>
        <tr r="AJ35" s="2"/>
        <tr r="AK176" s="2"/>
        <tr r="AI238" s="2"/>
        <tr r="AE183" s="2"/>
        <tr r="AM130" s="2"/>
        <tr r="AM298" s="2"/>
        <tr r="AI446" s="2"/>
        <tr r="AR108" s="2"/>
        <tr r="AQ349" s="2"/>
        <tr r="AP335" s="2"/>
        <tr r="AM442" s="2"/>
        <tr r="AM392" s="2"/>
        <tr r="AN433" s="2"/>
        <tr r="AQ34" s="2"/>
        <tr r="AR35" s="2"/>
        <tr r="AR204" s="2"/>
        <tr r="AQ60" s="2"/>
        <tr r="AP396" s="2"/>
        <tr r="AO444" s="2"/>
        <tr r="AT257" s="2"/>
        <tr r="AS313" s="2"/>
        <tr r="AO319" s="2"/>
        <tr r="AR106" s="2"/>
        <tr r="AQ234" s="2"/>
        <tr r="AP74" s="2"/>
        <tr r="AG211" s="2"/>
        <tr r="AM188" s="2"/>
        <tr r="AM285" s="2"/>
        <tr r="CG455" s="2"/>
        <tr r="AS367" s="2"/>
        <tr r="AH187" s="2"/>
        <tr r="AJ211" s="2"/>
        <tr r="AT135" s="2"/>
        <tr r="AS159" s="2"/>
        <tr r="AR19" s="2"/>
        <tr r="AR382" s="2"/>
        <tr r="AQ341" s="2"/>
        <tr r="AP303" s="2"/>
        <tr r="AP75" s="2"/>
        <tr r="AP327" s="2"/>
        <tr r="AN199" s="2"/>
        <tr r="AE65" s="2"/>
        <tr r="AF148" s="2"/>
        <tr r="AO79" s="2"/>
        <tr r="AQ235" s="2"/>
        <tr r="AR142" s="2"/>
        <tr r="AP52" s="2"/>
        <tr r="AO262" s="2"/>
        <tr r="AR170" s="2"/>
        <tr r="AQ27" s="2"/>
        <tr r="AP381" s="2"/>
        <tr r="AM26" s="2"/>
        <tr r="AR266" s="2"/>
        <tr r="AK165" s="2"/>
        <tr r="AD169" s="2"/>
        <tr r="AM433" s="2"/>
        <tr r="AG342" s="2"/>
        <tr r="AM79" s="2"/>
        <tr r="AF387" s="2"/>
        <tr r="AM275" s="2"/>
        <tr r="AM421" s="2"/>
        <tr r="AG226" s="2"/>
        <tr r="AI296" s="2"/>
        <tr r="AI436" s="2"/>
        <tr r="AH33" s="2"/>
        <tr r="AR206" s="2"/>
        <tr r="AE286" s="2"/>
        <tr r="AI270" s="2"/>
        <tr r="AK217" s="2"/>
        <tr r="AK6" s="2"/>
        <tr r="AF142" s="2"/>
        <tr r="AM101" s="2"/>
        <tr r="AF416" s="2"/>
        <tr r="AM8" s="2"/>
        <tr r="AN309" s="2"/>
        <tr r="AH284" s="2"/>
        <tr r="AE240" s="2"/>
        <tr r="AL297" s="2"/>
        <tr r="AJ435" s="2"/>
        <tr r="AJ64" s="2"/>
        <tr r="AJ260" s="2"/>
        <tr r="AL141" s="2"/>
        <tr r="AK368" s="2"/>
        <tr r="AJ280" s="2"/>
        <tr r="AI146" s="2"/>
        <tr r="AJ107" s="2"/>
        <tr r="AM82" s="2"/>
        <tr r="AL365" s="2"/>
        <tr r="AM376" s="2"/>
        <tr r="AL336" s="2"/>
        <tr r="AN141" s="2"/>
        <tr r="AM297" s="2"/>
        <tr r="AI168" s="2"/>
        <tr r="AM382" s="2"/>
        <tr r="AM346" s="2"/>
        <tr r="AF57" s="2"/>
        <tr r="AM462" s="2"/>
        <tr r="AF316" s="2"/>
        <tr r="AK455" s="2"/>
        <tr r="AL237" s="2"/>
        <tr r="AL104" s="2"/>
        <tr r="AN446" s="2"/>
        <tr r="AJ228" s="2"/>
        <tr r="AL347" s="2"/>
        <tr r="AH47" s="2"/>
        <tr r="AI224" s="2"/>
        <tr r="AL122" s="2"/>
        <tr r="AL118" s="2"/>
        <tr r="AG331" s="2"/>
        <tr r="AF223" s="2"/>
        <tr r="AL421" s="2"/>
        <tr r="AJ312" s="2"/>
        <tr r="CG293" s="2"/>
        <tr r="AJ27" s="2"/>
        <tr r="AT73" s="2"/>
        <tr r="AQ343" s="2"/>
        <tr r="AP16" s="2"/>
        <tr r="AN272" s="2"/>
        <tr r="AO211" s="2"/>
        <tr r="AS421" s="2"/>
        <tr r="CG165" s="2"/>
        <tr r="AR150" s="2"/>
        <tr r="AQ412" s="2"/>
        <tr r="AN145" s="2"/>
        <tr r="AS39" s="2"/>
        <tr r="CG350" s="2"/>
        <tr r="AP420" s="2"/>
        <tr r="AQ365" s="2"/>
        <tr r="AD416" s="2"/>
        <tr r="AM175" s="2"/>
        <tr r="AQ434" s="2"/>
        <tr r="AP226" s="2"/>
        <tr r="CG301" s="2"/>
        <tr r="AR448" s="2"/>
        <tr r="AT465" s="2"/>
        <tr r="AQ112" s="2"/>
        <tr r="AP289" s="2"/>
        <tr r="AG458" s="2"/>
        <tr r="AT453" s="2"/>
        <tr r="AS413" s="2"/>
        <tr r="CG157" s="2"/>
        <tr r="AR114" s="2"/>
        <tr r="AN76" s="2"/>
        <tr r="AN233" s="2"/>
        <tr r="AQ326" s="2"/>
        <tr r="AP294" s="2"/>
        <tr r="AN262" s="2"/>
        <tr r="AM300" s="2"/>
        <tr r="AQ30" s="2"/>
        <tr r="AP361" s="2"/>
        <tr r="AQ414" s="2"/>
        <tr r="AQ319" s="2"/>
        <tr r="AP408" s="2"/>
        <tr r="AM51" s="2"/>
        <tr r="AR345" s="2"/>
        <tr r="AT362" s="2"/>
        <tr r="AS314" s="2"/>
        <tr r="AQ323" s="2"/>
        <tr r="AQ298" s="2"/>
        <tr r="AP90" s="2"/>
        <tr r="AN34" s="2"/>
        <tr r="AE78" s="2"/>
        <tr r="AN335" s="2"/>
        <tr r="AO292" s="2"/>
        <tr r="CG14" s="2"/>
        <tr r="CG303" s="2"/>
        <tr r="AR408" s="2"/>
        <tr r="AS167" s="2"/>
        <tr r="AS344" s="2"/>
        <tr r="AI433" s="2"/>
        <tr r="AM293" s="2"/>
        <tr r="AJ50" s="2"/>
        <tr r="AO283" s="2"/>
        <tr r="AR426" s="2"/>
        <tr r="AN395" s="2"/>
        <tr r="AR339" s="2"/>
        <tr r="AQ42" s="2"/>
        <tr r="AP51" s="2"/>
        <tr r="AQ293" s="2"/>
        <tr r="AP167" s="2"/>
        <tr r="AM324" s="2"/>
        <tr r="AH185" s="2"/>
        <tr r="CG305" s="2"/>
        <tr r="AS455" s="2"/>
        <tr r="AP122" s="2"/>
        <tr r="AN66" s="2"/>
        <tr r="AE182" s="2"/>
        <tr r="AR186" s="2"/>
        <tr r="AQ75" s="2"/>
        <tr r="AP154" s="2"/>
        <tr r="AM384" s="2"/>
        <tr r="AM14" s="2"/>
        <tr r="AE408" s="2"/>
        <tr r="AF453" s="2"/>
        <tr r="AD390" s="2"/>
        <tr r="AK333" s="2"/>
        <tr r="AO365" s="2"/>
        <tr r="AI277" s="2"/>
        <tr r="AI333" s="2"/>
        <tr r="AL360" s="2"/>
        <tr r="AJ7" s="2"/>
        <tr r="AK370" s="2"/>
        <tr r="AM28" s="2"/>
        <tr r="AD326" s="2"/>
        <tr r="AK340" s="2"/>
        <tr r="AM75" s="2"/>
        <tr r="AE234" s="2"/>
        <tr r="AK152" s="2"/>
        <tr r="AM316" s="2"/>
        <tr r="AM106" s="2"/>
        <tr r="AM330" s="2"/>
        <tr r="AH170" s="2"/>
        <tr r="AM334" s="2"/>
        <tr r="AM154" s="2"/>
        <tr r="AM61" s="2"/>
        <tr r="AM41" s="2"/>
        <tr r="CG426" s="2"/>
        <tr r="AM125" s="2"/>
        <tr r="AM137" s="2"/>
        <tr r="AL288" s="2"/>
        <tr r="AM429" s="2"/>
        <tr r="AM71" s="2"/>
        <tr r="AM450" s="2"/>
        <tr r="AH349" s="2"/>
        <tr r="AN293" s="2"/>
        <tr r="AH304" s="2"/>
        <tr r="AJ322" s="2"/>
        <tr r="AH321" s="2"/>
        <tr r="AE366" s="2"/>
        <tr r="AM22" s="2"/>
        <tr r="AN206" s="2"/>
        <tr r="AH154" s="2"/>
        <tr r="AH385" s="2"/>
        <tr r="AD147" s="2"/>
        <tr r="AL368" s="2"/>
        <tr r="AK450" s="2"/>
        <tr r="AM244" s="2"/>
        <tr r="AL193" s="2"/>
        <tr r="AE176" s="2"/>
        <tr r="AM195" s="2"/>
        <tr r="AH302" s="2"/>
        <tr r="AM347" s="2"/>
        <tr r="AH180" s="2"/>
        <tr r="AL392" s="2"/>
        <tr r="AD458" s="2"/>
        <tr r="AH63" s="2"/>
        <tr r="AT146" s="2"/>
        <tr r="AS267" s="2"/>
        <tr r="CG439" s="2"/>
        <tr r="CG230" s="2"/>
        <tr r="AO30" s="2"/>
        <tr r="AR386" s="2"/>
        <tr r="AM118" s="2"/>
        <tr r="AR441" s="2"/>
        <tr r="AQ272" s="2"/>
        <tr r="AP120" s="2"/>
        <tr r="AQ460" s="2"/>
        <tr r="AE197" s="2"/>
        <tr r="AN277" s="2"/>
        <tr r="AI80" s="2"/>
        <tr r="AO15" s="2"/>
        <tr r="AR217" s="2"/>
        <tr r="AO419" s="2"/>
        <tr r="AP331" s="2"/>
        <tr r="AM44" s="2"/>
        <tr r="CG246" s="2"/>
        <tr r="AR40" s="2"/>
        <tr r="AT210" s="2"/>
        <tr r="AT253" s="2"/>
        <tr r="AS87" s="2"/>
        <tr r="CG438" s="2"/>
        <tr r="AO45" s="2"/>
        <tr r="AP86" s="2"/>
        <tr r="AQ331" s="2"/>
        <tr r="AJ307" s="2"/>
        <tr r="AP48" s="2"/>
        <tr r="AP310" s="2"/>
        <tr r="AN278" s="2"/>
        <tr r="AM148" s="2"/>
        <tr r="AM400" s="2"/>
        <tr r="AQ102" s="2"/>
        <tr r="AR78" s="2"/>
        <tr r="AQ46" s="2"/>
        <tr r="AM287" s="2"/>
        <tr r="AR202" s="2"/>
        <tr r="AT318" s="2"/>
        <tr r="AS115" s="2"/>
        <tr r="CG145" s="2"/>
        <tr r="CG136" s="2"/>
        <tr r="AO101" s="2"/>
        <tr r="AQ139" s="2"/>
        <tr r="AN194" s="2"/>
        <tr r="AP157" s="2"/>
        <tr r="AM177" s="2"/>
        <tr r="AR384" s="2"/>
        <tr r="AL206" s="2"/>
        <tr r="AR99" s="2"/>
        <tr r="AQ209" s="2"/>
        <tr r="AP139" s="2"/>
        <tr r="AQ147" s="2"/>
        <tr r="AQ53" s="2"/>
        <tr r="AP245" s="2"/>
        <tr r="AN239" s="2"/>
        <tr r="AT154" s="2"/>
        <tr r="AS291" s="2"/>
        <tr r="CG449" s="2"/>
        <tr r="AO427" s="2"/>
        <tr r="AQ265" s="2"/>
        <tr r="AP315" s="2"/>
        <tr r="AN235" s="2"/>
        <tr r="AM414" s="2"/>
        <tr r="AF75" s="2"/>
        <tr r="AR262" s="2"/>
        <tr r="CG328" s="2"/>
        <tr r="AI192" s="2"/>
        <tr r="AO235" s="2"/>
        <tr r="AJ48" s="2"/>
        <tr r="AD215" s="2"/>
        <tr r="AE323" s="2"/>
        <tr r="AD126" s="2"/>
        <tr r="AI276" s="2"/>
        <tr r="AG91" s="2"/>
        <tr r="AE309" s="2"/>
        <tr r="AN403" s="2"/>
        <tr r="AJ164" s="2"/>
        <tr r="AJ350" s="2"/>
        <tr r="AL131" s="2"/>
        <tr r="AD291" s="2"/>
        <tr r="AK318" s="2"/>
        <tr r="AL125" s="2"/>
        <tr r="AH237" s="2"/>
        <tr r="AM377" s="2"/>
        <tr r="AI392" s="2"/>
        <tr r="AS154" s="2"/>
        <tr r="AN181" s="2"/>
        <tr r="AE420" s="2"/>
        <tr r="AM234" s="2"/>
        <tr r="AM371" s="2"/>
        <tr r="AF36" s="2"/>
        <tr r="AH303" s="2"/>
        <tr r="AE235" s="2"/>
        <tr r="AJ196" s="2"/>
        <tr r="AF143" s="2"/>
        <tr r="AM202" s="2"/>
        <tr r="AF156" s="2"/>
        <tr r="AL325" s="2"/>
        <tr r="CG132" s="2"/>
        <tr r="AG456" s="2"/>
        <tr r="AJ113" s="2"/>
        <tr r="AD325" s="2"/>
        <tr r="AI145" s="2"/>
        <tr r="AL232" s="2"/>
        <tr r="AI340" s="2"/>
        <tr r="AM357" s="2"/>
        <tr r="AH84" s="2"/>
        <tr r="AI86" s="2"/>
        <tr r="AH37" s="2"/>
        <tr r="AL398" s="2"/>
        <tr r="AN170" s="2"/>
        <tr r="AL444" s="2"/>
        <tr r="AJ32" s="2"/>
        <tr r="AK81" s="2"/>
        <tr r="AK420" s="2"/>
        <tr r="AI454" s="2"/>
        <tr r="AM339" s="2"/>
        <tr r="AG341" s="2"/>
        <tr r="AM396" s="2"/>
        <tr r="AL202" s="2"/>
        <tr r="AN27" s="2"/>
        <tr r="AI268" s="2"/>
        <tr r="AH431" s="2"/>
        <tr r="AF14" s="2"/>
        <tr r="AN248" s="2"/>
        <tr r="AH230" s="2"/>
        <tr r="AJ365" s="2"/>
        <tr r="AL56" s="2"/>
        <tr r="AK292" s="2"/>
        <tr r="AI186" s="2"/>
        <tr r="AG124" s="2"/>
        <tr r="AD384" s="2"/>
        <tr r="AJ339" s="2"/>
        <tr r="AI255" s="2"/>
        <tr r="AJ264" s="2"/>
        <tr r="AM331" s="2"/>
        <tr r="AK218" s="2"/>
        <tr r="AK130" s="2"/>
        <tr r="AI258" s="2"/>
        <tr r="AQ439" s="2"/>
        <tr r="AL286" s="2"/>
        <tr r="AE145" s="2"/>
        <tr r="AL231" s="2"/>
        <tr r="AL318" s="2"/>
        <tr r="AH138" s="2"/>
        <tr r="AE257" s="2"/>
        <tr r="AJ44" s="2"/>
        <tr r="AG270" s="2"/>
        <tr r="AD87" s="2"/>
        <tr r="AL74" s="2"/>
        <tr r="AM439" s="2"/>
        <tr r="AK419" s="2"/>
        <tr r="AM282" s="2"/>
        <tr r="AJ464" s="2"/>
        <tr r="AM352" s="2"/>
        <tr r="AM40" s="2"/>
        <tr r="AM90" s="2"/>
        <tr r="AH35" s="2"/>
        <tr r="AG344" s="2"/>
        <tr r="AR359" s="2"/>
        <tr r="AG18" s="2"/>
        <tr r="AM241" s="2"/>
        <tr r="AL339" s="2"/>
        <tr r="AE335" s="2"/>
        <tr r="AM230" s="2"/>
        <tr r="AJ174" s="2"/>
        <tr r="AM327" s="2"/>
        <tr r="AG367" s="2"/>
        <tr r="AE213" s="2"/>
        <tr r="AG176" s="2"/>
        <tr r="AM273" s="2"/>
        <tr r="AL433" s="2"/>
        <tr r="AJ237" s="2"/>
        <tr r="AK250" s="2"/>
        <tr r="AI325" s="2"/>
        <tr r="AJ58" s="2"/>
        <tr r="AH220" s="2"/>
        <tr r="AM263" s="2"/>
        <tr r="AL431" s="2"/>
        <tr r="AK297" s="2"/>
        <tr r="AI50" s="2"/>
        <tr r="AG276" s="2"/>
        <tr r="AK112" s="2"/>
        <tr r="AI158" s="2"/>
        <tr r="AJ134" s="2"/>
        <tr r="AE219" s="2"/>
        <tr r="AL351" s="2"/>
        <tr r="AD219" s="2"/>
        <tr r="AK410" s="2"/>
        <tr r="AK17" s="2"/>
        <tr r="AG277" s="2"/>
        <tr r="AJ305" s="2"/>
        <tr r="AH162" s="2"/>
        <tr r="AL77" s="2"/>
        <tr r="AD371" s="2"/>
        <tr r="AM296" s="2"/>
        <tr r="AG151" s="2"/>
        <tr r="AJ89" s="2"/>
        <tr r="AJ153" s="2"/>
        <tr r="AD38" s="2"/>
        <tr r="AJ188" s="2"/>
        <tr r="AE49" s="2"/>
        <tr r="AI88" s="2"/>
        <tr r="AD274" s="2"/>
        <tr r="AE455" s="2"/>
        <tr r="AL408" s="2"/>
        <tr r="AE241" s="2"/>
        <tr r="AH13" s="2"/>
        <tr r="AH259" s="2"/>
        <tr r="AJ81" s="2"/>
        <tr r="AL188" s="2"/>
        <tr r="AL28" s="2"/>
        <tr r="AI284" s="2"/>
        <tr r="AE433" s="2"/>
        <tr r="AI354" s="2"/>
        <tr r="AK399" s="2"/>
        <tr r="AI272" s="2"/>
        <tr r="AM15" s="2"/>
        <tr r="AG435" s="2"/>
        <tr r="AL253" s="2"/>
        <tr r="AF337" s="2"/>
        <tr r="AG16" s="2"/>
        <tr r="AI70" s="2"/>
        <tr r="AM204" s="2"/>
        <tr r="AL397" s="2"/>
        <tr r="AI119" s="2"/>
        <tr r="AM209" s="2"/>
        <tr r="AH368" s="2"/>
        <tr r="AH229" s="2"/>
        <tr r="AM245" s="2"/>
        <tr r="AM436" s="2"/>
        <tr r="AF74" s="2"/>
        <tr r="AM235" s="2"/>
        <tr r="AD356" s="2"/>
        <tr r="AM56" s="2"/>
        <tr r="AE13" s="2"/>
        <tr r="AF442" s="2"/>
        <tr r="AR418" s="2"/>
        <tr r="AK190" s="2"/>
        <tr r="AK306" s="2"/>
        <tr r="AD229" s="2"/>
        <tr r="AI252" s="2"/>
        <tr r="AE110" s="2"/>
        <tr r="AJ371" s="2"/>
        <tr r="AD465" s="2"/>
        <tr r="AG257" s="2"/>
        <tr r="AM73" s="2"/>
        <tr r="AD228" s="2"/>
        <tr r="AM91" s="2"/>
        <tr r="AI378" s="2"/>
        <tr r="AH327" s="2"/>
        <tr r="AM444" s="2"/>
        <tr r="AM185" s="2"/>
        <tr r="AE135" s="2"/>
        <tr r="AK104" s="2"/>
        <tr r="AD116" s="2"/>
        <tr r="AE393" s="2"/>
        <tr r="AM232" s="2"/>
        <tr r="AJ398" s="2"/>
        <tr r="AJ381" s="2"/>
        <tr r="AL261" s="2"/>
        <tr r="AJ94" s="2"/>
        <tr r="AL7" s="2"/>
        <tr r="AK8" s="2"/>
        <tr r="AK34" s="2"/>
        <tr r="AK200" s="2"/>
        <tr r="AI465" s="2"/>
        <tr r="AL50" s="2"/>
        <tr r="AG86" s="2"/>
        <tr r="AM111" s="2"/>
        <tr r="AI254" s="2"/>
        <tr r="AD241" s="2"/>
        <tr r="AJ288" s="2"/>
        <tr r="AG239" s="2"/>
        <tr r="AI130" s="2"/>
        <tr r="AK426" s="2"/>
        <tr r="AD103" s="2"/>
        <tr r="AH52" s="2"/>
        <tr r="AL171" s="2"/>
        <tr r="AM381" s="2"/>
        <tr r="AM271" s="2"/>
        <tr r="AI464" s="2"/>
        <tr r="AN357" s="2"/>
        <tr r="AH301" s="2"/>
        <tr r="AI230" s="2"/>
        <tr r="AH339" s="2"/>
        <tr r="AI247" s="2"/>
        <tr r="AJ161" s="2"/>
        <tr r="AJ261" s="2"/>
        <tr r="AJ463" s="2"/>
        <tr r="AI447" s="2"/>
        <tr r="AM427" s="2"/>
        <tr r="AG414" s="2"/>
        <tr r="AL204" s="2"/>
        <tr r="AG248" s="2"/>
        <tr r="AD442" s="2"/>
        <tr r="AM332" s="2"/>
        <tr r="AF322" s="2"/>
        <tr r="AF175" s="2"/>
        <tr r="AM251" s="2"/>
        <tr r="AE291" s="2"/>
        <tr r="AF238" s="2"/>
        <tr r="AE167" s="2"/>
        <tr r="AM254" s="2"/>
        <tr r="AK211" s="2"/>
        <tr r="AN168" s="2"/>
        <tr r="AM74" s="2"/>
        <tr r="AH348" s="2"/>
        <tr r="AL196" s="2"/>
        <tr r="AK160" s="2"/>
        <tr r="AM321" s="2"/>
        <tr r="AE106" s="2"/>
        <tr r="AM21" s="2"/>
        <tr r="AJ84" s="2"/>
        <tr r="AM108" s="2"/>
        <tr r="AN439" s="2"/>
        <tr r="AM456" s="2"/>
        <tr r="AM109" s="2"/>
        <tr r="AM270" s="2"/>
        <tr r="AF55" s="2"/>
        <tr r="AH217" s="2"/>
        <tr r="AI73" s="2"/>
        <tr r="AD364" s="2"/>
        <tr r="AL438" s="2"/>
        <tr r="AJ429" s="2"/>
        <tr r="AK154" s="2"/>
        <tr r="AN289" s="2"/>
        <tr r="AH263" s="2"/>
        <tr r="AI442" s="2"/>
        <tr r="AK367" s="2"/>
        <tr r="AM350" s="2"/>
        <tr r="AM264" s="2"/>
        <tr r="AF374" s="2"/>
        <tr r="AK301" s="2"/>
        <tr r="AK433" s="2"/>
        <tr r="AI76" s="2"/>
        <tr r="AD298" s="2"/>
        <tr r="AK285" s="2"/>
        <tr r="AL440" s="2"/>
        <tr r="AD403" s="2"/>
        <tr r="AF116" s="2"/>
        <tr r="AH432" s="2"/>
        <tr r="AM147" s="2"/>
        <tr r="AF207" s="2"/>
        <tr r="AG460" s="2"/>
        <tr r="AM222" s="2"/>
        <tr r="AM198" s="2"/>
        <tr r="AD285" s="2"/>
        <tr r="AE89" s="2"/>
        <tr r="AL197" s="2"/>
        <tr r="AF155" s="2"/>
        <tr r="AE9" s="2"/>
        <tr r="AI381" s="2"/>
        <tr r="AL11" s="2"/>
        <tr r="AJ437" s="2"/>
        <tr r="AJ353" s="2"/>
        <tr r="AK269" s="2"/>
        <tr r="AI322" s="2"/>
        <tr r="AK171" s="2"/>
        <tr r="AJ68" s="2"/>
        <tr r="AF227" s="2"/>
        <tr r="AL10" s="2"/>
        <tr r="AM87" s="2"/>
        <tr r="AJ253" s="2"/>
        <tr r="AJ434" s="2"/>
        <tr r="AE113" s="2"/>
        <tr r="AJ263" s="2"/>
        <tr r="AK106" s="2"/>
        <tr r="AE280" s="2"/>
        <tr r="AI169" s="2"/>
        <tr r="AI149" s="2"/>
        <tr r="AL352" s="2"/>
        <tr r="AJ249" s="2"/>
        <tr r="AN453" s="2"/>
        <tr r="AM29" s="2"/>
        <tr r="AL442" s="2"/>
        <tr r="AL93" s="2"/>
        <tr r="AF381" s="2"/>
        <tr r="AG323" s="2"/>
        <tr r="AF246" s="2"/>
        <tr r="AI79" s="2"/>
        <tr r="AF21" s="2"/>
        <tr r="AL151" s="2"/>
        <tr r="AE202" s="2"/>
        <tr r="AF35" s="2"/>
        <tr r="AM224" s="2"/>
        <tr r="AG74" s="2"/>
        <tr r="AM173" s="2"/>
        <tr r="AF438" s="2"/>
        <tr r="AH370" s="2"/>
        <tr r="AI418" s="2"/>
        <tr r="AM365" s="2"/>
        <tr r="AN456" s="2"/>
        <tr r="AM115" s="2"/>
        <tr r="AN245" s="2"/>
        <tr r="AE57" s="2"/>
        <tr r="AL371" s="2"/>
        <tr r="CG388" s="2"/>
        <tr r="AM437" s="2"/>
        <tr r="AN117" s="2"/>
        <tr r="AM291" s="2"/>
        <tr r="AI435" s="2"/>
        <tr r="AE181" s="2"/>
        <tr r="AK375" s="2"/>
        <tr r="AD265" s="2"/>
        <tr r="AM181" s="2"/>
        <tr r="AL380" s="2"/>
        <tr r="AI439" s="2"/>
        <tr r="AJ310" s="2"/>
        <tr r="AJ405" s="2"/>
        <tr r="AD420" s="2"/>
        <tr r="AP138" s="2"/>
        <tr r="AG237" s="2"/>
        <tr r="AH43" s="2"/>
        <tr r="AJ110" s="2"/>
        <tr r="AL143" s="2"/>
        <tr r="AG283" s="2"/>
        <tr r="AL211" s="2"/>
        <tr r="AJ367" s="2"/>
        <tr r="AG229" s="2"/>
        <tr r="AI408" s="2"/>
        <tr r="AK143" s="2"/>
        <tr r="AH194" s="2"/>
        <tr r="AH295" s="2"/>
        <tr r="AL215" s="2"/>
        <tr r="AD341" s="2"/>
        <tr r="AM308" s="2"/>
        <tr r="AK273" s="2"/>
        <tr r="AI328" s="2"/>
        <tr r="AF273" s="2"/>
        <tr r="AM403" s="2"/>
        <tr r="AH334" s="2"/>
        <tr r="AN13" s="2"/>
        <tr r="AK222" s="2"/>
        <tr r="AG350" s="2"/>
        <tr r="AJ458" s="2"/>
        <tr r="AH441" s="2"/>
        <tr r="AK80" s="2"/>
        <tr r="AK286" s="2"/>
        <tr r="AL301" s="2"/>
        <tr r="AM322" s="2"/>
        <tr r="AL268" s="2"/>
        <tr r="AD247" s="2"/>
        <tr r="AM426" s="2"/>
        <tr r="AI327" s="2"/>
        <tr r="AI309" s="2"/>
        <tr r="AJ386" s="2"/>
        <tr r="AG119" s="2"/>
        <tr r="AK341" s="2"/>
        <tr r="AF168" s="2"/>
        <tr r="AI152" s="2"/>
        <tr r="AJ70" s="2"/>
        <tr r="AN421" s="2"/>
        <tr r="AK249" s="2"/>
        <tr r="AD12" s="2"/>
        <tr r="AI269" s="2"/>
        <tr r="AI307" s="2"/>
        <tr r="AM447" s="2"/>
        <tr r="AL216" s="2"/>
        <tr r="AM305" s="2"/>
        <tr r="AK248" s="2"/>
        <tr r="AI273" s="2"/>
        <tr r="AK107" s="2"/>
        <tr r="AM142" s="2"/>
        <tr r="AL355" s="2"/>
        <tr r="AL273" s="2"/>
        <tr r="AD358" s="2"/>
        <tr r="AI448" s="2"/>
        <tr r="AD164" s="2"/>
        <tr r="AF407" s="2"/>
        <tr r="AH221" s="2"/>
        <tr r="AF171" s="2"/>
        <tr r="AM351" s="2"/>
        <tr r="AJ67" s="2"/>
        <tr r="AE431" s="2"/>
        <tr r="AM27" s="2"/>
        <tr r="AD380" s="2"/>
        <tr r="AD387" s="2"/>
        <tr r="AE398" s="2"/>
        <tr r="AM212" s="2"/>
        <tr r="AM292" s="2"/>
        <tr r="AM372" s="2"/>
        <tr r="AL97" s="2"/>
        <tr r="AN165" s="2"/>
        <tr r="AS140" s="2"/>
        <tr r="AL67" s="2"/>
        <tr r="AF281" s="2"/>
        <tr r="AJ430" s="2"/>
        <tr r="AI201" s="2"/>
        <tr r="AH395" s="2"/>
        <tr r="AE310" s="2"/>
        <tr r="AD151" s="2"/>
        <tr r="AK127" s="2"/>
        <tr r="AF136" s="2"/>
        <tr r="AM187" s="2"/>
        <tr r="AF237" s="2"/>
        <tr r="AL46" s="2"/>
        <tr r="CG381" s="2"/>
        <tr r="AD411" s="2"/>
        <tr r="AK290" s="2"/>
        <tr r="AE261" s="2"/>
        <tr r="AE133" s="2"/>
        <tr r="AI398" s="2"/>
        <tr r="AK244" s="2"/>
        <tr r="AI267" s="2"/>
        <tr r="AN98" s="2"/>
        <tr r="AE122" s="2"/>
        <tr r="AJ241" s="2"/>
        <tr r="AM116" s="2"/>
        <tr r="AM19" s="2"/>
        <tr r="AN229" s="2"/>
        <tr r="AJ183" s="2"/>
        <tr r="AJ274" s="2"/>
        <tr r="AE388" s="2"/>
        <tr r="AH205" s="2"/>
        <tr r="AI462" s="2"/>
        <tr r="AL312" s="2"/>
        <tr r="AJ120" s="2"/>
        <tr r="AE375" s="2"/>
        <tr r="AK208" s="2"/>
        <tr r="AG113" s="2"/>
        <tr r="AL313" s="2"/>
        <tr r="AL161" s="2"/>
        <tr r="AH357" s="2"/>
        <tr r="AL224" s="2"/>
        <tr r="AG153" s="2"/>
        <tr r="AL79" s="2"/>
        <tr r="AM50" s="2"/>
        <tr r="AD378" s="2"/>
        <tr r="AH124" s="2"/>
        <tr r="AI332" s="2"/>
        <tr r="AI118" s="2"/>
        <tr r="AJ451" s="2"/>
        <tr r="AM328" s="2"/>
        <tr r="AJ323" s="2"/>
        <tr r="AM311" s="2"/>
        <tr r="AM408" s="2"/>
        <tr r="AL87" s="2"/>
        <tr r="AD6" s="2"/>
        <tr r="AK195" s="2"/>
        <tr r="AH359" s="2"/>
        <tr r="AK206" s="2"/>
        <tr r="AH282" s="2"/>
        <tr r="AH122" s="2"/>
        <tr r="AJ331" s="2"/>
        <tr r="AL283" s="2"/>
        <tr r="AI14" s="2"/>
        <tr r="AE140" s="2"/>
        <tr r="AH20" s="2"/>
        <tr r="AE15" s="2"/>
        <tr r="AJ28" s="2"/>
        <tr r="AE293" s="2"/>
        <tr r="AI177" s="2"/>
        <tr r="AM141" s="2"/>
        <tr r="AM256" s="2"/>
        <tr r="AI106" s="2"/>
        <tr r="AS189" s="2"/>
        <tr r="AM18" s="2"/>
        <tr r="AH164" s="2"/>
        <tr r="AK109" s="2"/>
        <tr r="AI412" s="2"/>
        <tr r="AM446" s="2"/>
        <tr r="AJ154" s="2"/>
        <tr r="AK61" s="2"/>
        <tr r="AP224" s="2"/>
        <tr r="AE93" s="2"/>
        <tr r="AI387" s="2"/>
        <tr r="AL40" s="2"/>
        <tr r="AL156" s="2"/>
        <tr r="AK11" s="2"/>
        <tr r="AD67" s="2"/>
        <tr r="AH94" s="2"/>
        <tr r="AH355" s="2"/>
        <tr r="AD202" s="2"/>
        <tr r="AE83" s="2"/>
        <tr r="AM452" s="2"/>
        <tr r="AQ418" s="2"/>
        <tr r="AK347" s="2"/>
        <tr r="AK175" s="2"/>
        <tr r="AM129" s="2"/>
        <tr r="AG410" s="2"/>
        <tr r="AF255" s="2"/>
        <tr r="AM131" s="2"/>
        <tr r="AF388" s="2"/>
        <tr r="AM68" s="2"/>
        <tr r="AG330" s="2"/>
        <tr r="AM201" s="2"/>
        <tr r="AJ364" s="2"/>
        <tr r="AM85" s="2"/>
        <tr r="AH384" s="2"/>
        <tr r="AK66" s="2"/>
        <tr r="AJ420" s="2"/>
        <tr r="AE169" s="2"/>
        <tr r="AG335" s="2"/>
        <tr r="AL109" s="2"/>
        <tr r="AI116" s="2"/>
        <tr r="AL42" s="2"/>
        <tr r="AD449" s="2"/>
        <tr r="AJ290" s="2"/>
        <tr r="AF321" s="2"/>
        <tr r="AI242" s="2"/>
        <tr r="AG313" s="2"/>
        <tr r="AI259" s="2"/>
        <tr r="AM55" s="2"/>
        <tr r="AK303" s="2"/>
        <tr r="AK236" s="2"/>
        <tr r="AG216" s="2"/>
        <tr r="AM333" s="2"/>
        <tr r="AG164" s="2"/>
        <tr r="AH414" s="2"/>
        <tr r="AD95" s="2"/>
        <tr r="AE350" s="2"/>
        <tr r="AL374" s="2"/>
        <tr r="AJ270" s="2"/>
        <tr r="AK444" s="2"/>
        <tr r="AE201" s="2"/>
        <tr r="AD463" s="2"/>
        <tr r="AD335" s="2"/>
        <tr r="AE284" s="2"/>
        <tr r="AE262" s="2"/>
        <tr r="AJ292" s="2"/>
        <tr r="AK322" s="2"/>
        <tr r="AH201" s="2"/>
        <tr r="AL353" s="2"/>
        <tr r="AI228" s="2"/>
        <tr r="AD428" s="2"/>
        <tr r="AJ406" s="2"/>
        <tr r="AI453" s="2"/>
        <tr r="AK135" s="2"/>
        <tr r="AI231" s="2"/>
        <tr r="AK124" s="2"/>
        <tr r="AE259" s="2"/>
        <tr r="AK389" s="2"/>
        <tr r="AJ130" s="2"/>
        <tr r="AM359" s="2"/>
        <tr r="AM411" s="2"/>
        <tr r="AT235" s="2"/>
        <tr r="AM228" s="2"/>
        <tr r="AG462" s="2"/>
        <tr r="AD84" s="2"/>
        <tr r="AH196" s="2"/>
        <tr r="AH262" s="2"/>
        <tr r="AQ23" s="2"/>
        <tr r="AE281" s="2"/>
        <tr r="AK262" s="2"/>
        <tr r="AD301" s="2"/>
        <tr r="AH49" s="2"/>
        <tr r="AH197" s="2"/>
        <tr r="AJ98" s="2"/>
        <tr r="AF181" s="2"/>
        <tr r="AE354" s="2"/>
        <tr r="AL37" s="2"/>
        <tr r="AQ160" s="2"/>
        <tr r="AI205" s="2"/>
        <tr r="AI344" s="2"/>
        <tr r="AD389" s="2"/>
        <tr r="AH371" s="2"/>
        <tr r="AD350" s="2"/>
        <tr r="AD338" s="2"/>
        <tr r="AM380" s="2"/>
        <tr r="AJ143" s="2"/>
        <tr r="AM277" s="2"/>
        <tr r="AI17" s="2"/>
        <tr r="AM102" s="2"/>
        <tr r="AM417" s="2"/>
        <tr r="AK118" s="2"/>
        <tr r="AG417" s="2"/>
        <tr r="AE369" s="2"/>
        <tr r="AI62" s="2"/>
        <tr r="AM223" s="2"/>
        <tr r="AG25" s="2"/>
        <tr r="AH75" s="2"/>
        <tr r="AD351" s="2"/>
        <tr r="AL170" s="2"/>
        <tr r="AL187" s="2"/>
        <tr r="AH261" s="2"/>
        <tr r="AG303" s="2"/>
        <tr r="AJ42" s="2"/>
        <tr r="AE297" s="2"/>
        <tr r="AJ136" s="2"/>
        <tr r="AK228" s="2"/>
        <tr r="AL357" s="2"/>
        <tr r="AL446" s="2"/>
        <tr r="AF292" s="2"/>
        <tr r="AG382" s="2"/>
        <tr r="AH260" s="2"/>
        <tr r="AG408" s="2"/>
        <tr r="AL60" s="2"/>
        <tr r="AJ178" s="2"/>
        <tr r="AL363" s="2"/>
        <tr r="AK396" s="2"/>
        <tr r="AM367" s="2"/>
        <tr r="AM404" s="2"/>
        <tr r="AF286" s="2"/>
        <tr r="AG33" s="2"/>
        <tr r="AH293" s="2"/>
        <tr r="AJ306" s="2"/>
        <tr r="AK316" s="2"/>
        <tr r="AK377" s="2"/>
        <tr r="AL294" s="2"/>
        <tr r="AK137" s="2"/>
        <tr r="AL41" s="2"/>
        <tr r="AI178" s="2"/>
        <tr r="AN437" s="2"/>
        <tr r="AG59" s="2"/>
        <tr r="AH192" s="2"/>
        <tr r="AG361" s="2"/>
        <tr r="AL302" s="2"/>
        <tr r="AE41" s="2"/>
        <tr r="AD179" s="2"/>
        <tr r="AD343" s="2"/>
        <tr r="AF376" s="2"/>
        <tr r="AK409" s="2"/>
        <tr r="AG115" s="2"/>
        <tr r="AE462" s="2"/>
        <tr r="AH459" s="2"/>
        <tr r="AH130" s="2"/>
        <tr r="AI372" s="2"/>
        <tr r="AJ230" s="2"/>
        <tr r="AD118" s="2"/>
        <tr r="AR328" s="2"/>
        <tr r="AH248" s="2"/>
        <tr r="AJ456" s="2"/>
        <tr r="AE395" s="2"/>
        <tr r="AH200" s="2"/>
        <tr r="AI193" s="2"/>
        <tr r="AK366" s="2"/>
        <tr r="AJ45" s="2"/>
        <tr r="AD379" s="2"/>
        <tr r="AG401" s="2"/>
        <tr r="AE157" s="2"/>
        <tr r="AD191" s="2"/>
        <tr r="AJ106" s="2"/>
        <tr r="AL416" s="2"/>
        <tr r="AM88" s="2"/>
        <tr r="AP353" s="2"/>
        <tr r="AK146" s="2"/>
        <tr r="AJ119" s="2"/>
        <tr r="AD31" s="2"/>
        <tr r="AM373" s="2"/>
        <tr r="AG459" s="2"/>
        <tr r="AN149" s="2"/>
        <tr r="AJ160" s="2"/>
        <tr r="AK168" s="2"/>
        <tr r="AM226" s="2"/>
        <tr r="AF267" s="2"/>
        <tr r="AM174" s="2"/>
        <tr r="AF375" s="2"/>
        <tr r="AO380" s="2"/>
        <tr r="AM161" s="2"/>
        <tr r="AM17" s="2"/>
        <tr r="AJ418" s="2"/>
        <tr r="AH452" s="2"/>
        <tr r="AK332" s="2"/>
        <tr r="AN415" s="2"/>
        <tr r="AE64" s="2"/>
        <tr r="AJ173" s="2"/>
        <tr r="AL423" s="2"/>
        <tr r="AI100" s="2"/>
        <tr r="AK97" s="2"/>
        <tr r="AH253" s="2"/>
        <tr r="AG106" s="2"/>
        <tr r="AK28" s="2"/>
        <tr r="AE194" s="2"/>
        <tr r="AF427" s="2"/>
        <tr r="AI292" s="2"/>
        <tr r="AH85" s="2"/>
        <tr r="AD381" s="2"/>
        <tr r="AL137" s="2"/>
        <tr r="AI61" s="2"/>
        <tr r="AH60" s="2"/>
        <tr r="AJ402" s="2"/>
        <tr r="AL434" s="2"/>
        <tr r="AK142" s="2"/>
        <tr r="AJ372" s="2"/>
        <tr r="AL321" s="2"/>
        <tr r="AK186" s="2"/>
        <tr r="AL234" s="2"/>
        <tr r="AE97" s="2"/>
        <tr r="AI282" s="2"/>
        <tr r="AD124" s="2"/>
        <tr r="AK307" s="2"/>
        <tr r="AE150" s="2"/>
        <tr r="AI287" s="2"/>
        <tr r="AI357" s="2"/>
        <tr r="AK24" s="2"/>
        <tr r="AG250" s="2"/>
        <tr r="AM13" s="2"/>
        <tr r="AL350" s="2"/>
        <tr r="AK321" s="2"/>
        <tr r="AL90" s="2"/>
        <tr r="AL91" s="2"/>
        <tr r="AK392" s="2"/>
        <tr r="AL154" s="2"/>
        <tr r="AK84" s="2"/>
        <tr r="AE152" s="2"/>
        <tr r="AH342" s="2"/>
        <tr r="AF86" s="2"/>
        <tr r="AH48" s="2"/>
        <tr r="AJ111" s="2"/>
        <tr r="AH64" s="2"/>
        <tr r="AL449" s="2"/>
        <tr r="AG328" s="2"/>
        <tr r="AG118" s="2"/>
        <tr r="AK274" s="2"/>
        <tr r="AK50" s="2"/>
        <tr r="AD125" s="2"/>
        <tr r="AM160" s="2"/>
        <tr r="AH462" s="2"/>
        <tr r="AD194" s="2"/>
        <tr r="AM30" s="2"/>
        <tr r="AL214" s="2"/>
        <tr r="AI197" s="2"/>
        <tr r="AJ53" s="2"/>
        <tr r="AD66" s="2"/>
        <tr r="AJ232" s="2"/>
        <tr r="AD168" s="2"/>
        <tr r="AG428" s="2"/>
        <tr r="AM465" s="2"/>
        <tr r="AF127" s="2"/>
        <tr r="AI170" s="2"/>
        <tr r="AG225" s="2"/>
        <tr r="AL102" s="2"/>
        <tr r="AM89" s="2"/>
        <tr r="AH364" s="2"/>
        <tr r="AM461" s="2"/>
        <tr r="AK345" s="2"/>
        <tr r="AE156" s="2"/>
        <tr r="AJ414" s="2"/>
        <tr r="AJ212" s="2"/>
        <tr r="AM326" s="2"/>
        <tr r="AJ266" s="2"/>
        <tr r="AI124" s="2"/>
        <tr r="AI274" s="2"/>
        <tr r="AJ291" s="2"/>
        <tr r="AG445" s="2"/>
        <tr r="AL432" s="2"/>
        <tr r="AI249" s="2"/>
        <tr r="AM318" s="2"/>
        <tr r="AH66" s="2"/>
        <tr r="AE463" s="2"/>
        <tr r="AL399" s="2"/>
        <tr r="AM240" s="2"/>
        <tr r="AM217" s="2"/>
        <tr r="AN60" s="2"/>
        <tr r="AM145" s="2"/>
        <tr r="AJ125" s="2"/>
        <tr r="AE33" s="2"/>
        <tr r="AJ200" s="2"/>
        <tr r="AD186" s="2"/>
        <tr r="AI369" s="2"/>
        <tr r="AK233" s="2"/>
        <tr r="AK138" s="2"/>
        <tr r="AL166" s="2"/>
        <tr r="AK359" s="2"/>
        <tr r="AJ383" s="2"/>
        <tr r="AH181" s="2"/>
        <tr r="AL349" s="2"/>
        <tr r="AE17" s="2"/>
        <tr r="AE7" s="2"/>
        <tr r="AF140" s="2"/>
        <tr r="AG238" s="2"/>
        <tr r="AK71" s="2"/>
        <tr r="AK277" s="2"/>
        <tr r="AG280" s="2"/>
        <tr r="AI411" s="2"/>
        <tr r="AJ79" s="2"/>
        <tr r="AD37" s="2"/>
        <tr r="AD316" s="2"/>
        <tr r="AF192" s="2"/>
        <tr r="AJ295" s="2"/>
        <tr r="AL290" s="2"/>
        <tr r="AH46" s="2"/>
        <tr r="AH240" s="2"/>
        <tr r="AL457" s="2"/>
        <tr r="AD333" s="2"/>
        <tr r="AL182" s="2"/>
        <tr r="AK102" s="2"/>
        <tr r="AJ202" s="2"/>
        <tr r="AH390" s="2"/>
        <tr r="AG23" s="2"/>
        <tr r="AG95" s="2"/>
        <tr r="AG28" s="2"/>
        <tr r="AI171" s="2"/>
        <tr r="AL139" s="2"/>
        <tr r="AK140" s="2"/>
        <tr r="AG325" s="2"/>
        <tr r="AD409" s="2"/>
        <tr r="AK147" s="2"/>
        <tr r="AI451" s="2"/>
        <tr r="AF83" s="2"/>
        <tr r="AK220" s="2"/>
        <tr r="AL407" s="2"/>
        <tr r="AJ16" s="2"/>
        <tr r="AH396" s="2"/>
        <tr r="AJ117" s="2"/>
        <tr r="AG10" s="2"/>
        <tr r="AD61" s="2"/>
        <tr r="AK431" s="2"/>
        <tr r="AG292" s="2"/>
        <tr r="AH251" s="2"/>
        <tr r="AK355" s="2"/>
        <tr r="AM399" s="2"/>
        <tr r="AJ72" s="2"/>
        <tr r="AD354" s="2"/>
        <tr r="AJ13" s="2"/>
        <tr r="AH440" s="2"/>
        <tr r="AH40" s="2"/>
        <tr r="AM252" s="2"/>
        <tr r="AJ236" s="2"/>
        <tr r="AH329" s="2"/>
        <tr r="AI438" s="2"/>
        <tr r="AL383" s="2"/>
        <tr r="AH309" s="2"/>
        <tr r="AF102" s="2"/>
        <tr r="AG390" s="2"/>
        <tr r="AJ308" s="2"/>
        <tr r="AH159" s="2"/>
        <tr r="AF111" s="2"/>
        <tr r="AL13" s="2"/>
        <tr r="AI423" s="2"/>
        <tr r="AH362" s="2"/>
        <tr r="AD304" s="2"/>
        <tr r="AH91" s="2"/>
        <tr r="AD315" s="2"/>
        <tr r="AG430" s="2"/>
        <tr r="AM438" s="2"/>
        <tr r="AM10" s="2"/>
        <tr r="AD28" s="2"/>
        <tr r="AK156" s="2"/>
        <tr r="AM385" s="2"/>
        <tr r="AK25" s="2"/>
        <tr r="AF219" s="2"/>
        <tr r="AK139" s="2"/>
        <tr r="AJ216" s="2"/>
        <tr r="AJ340" s="2"/>
        <tr r="AH333" s="2"/>
        <tr r="AI166" s="2"/>
        <tr r="AK240" s="2"/>
        <tr r="AK385" s="2"/>
        <tr r="AG175" s="2"/>
        <tr r="AG144" s="2"/>
        <tr r="AE31" s="2"/>
        <tr r="AK149" s="2"/>
        <tr r="AJ240" s="2"/>
        <tr r="AE432" s="2"/>
        <tr r="AD51" s="2"/>
        <tr r="AF452" s="2"/>
        <tr r="AE149" s="2"/>
        <tr r="AG111" s="2"/>
        <tr r="AI94" s="2"/>
        <tr r="AJ373" s="2"/>
        <tr r="AK41" s="2"/>
        <tr r="AF29" s="2"/>
        <tr r="AE390" s="2"/>
        <tr r="AG100" s="2"/>
        <tr r="AD73" s="2"/>
        <tr r="AJ446" s="2"/>
        <tr r="AH297" s="2"/>
        <tr r="AH234" s="2"/>
        <tr r="AD289" s="2"/>
        <tr r="AK98" s="2"/>
        <tr r="AD369" s="2"/>
        <tr r="AL436" s="2"/>
        <tr r="AL324" s="2"/>
        <tr r="AJ218" s="2"/>
        <tr r="AE345" s="2"/>
        <tr r="AJ36" s="2"/>
        <tr r="AI142" s="2"/>
        <tr r="AL35" s="2"/>
        <tr r="AG349" s="2"/>
        <tr r="AG433" s="2"/>
        <tr r="AD294" s="2"/>
        <tr r="AK58" s="2"/>
        <tr r="AF465" s="2"/>
        <tr r="AK308" s="2"/>
        <tr r="AL281" s="2"/>
        <tr r="AG265" s="2"/>
        <tr r="AE248" s="2"/>
        <tr r="AI294" s="2"/>
        <tr r="AD36" s="2"/>
        <tr r="AM67" s="2"/>
        <tr r="AI173" s="2"/>
        <tr r="AD122" s="2"/>
        <tr r="AK364" s="2"/>
        <tr r="AK460" s="2"/>
        <tr r="AJ432" s="2"/>
        <tr r="AK388" s="2"/>
        <tr r="AM114" s="2"/>
        <tr r="AL333" s="2"/>
        <tr r="AG7" s="2"/>
        <tr r="AL147" s="2"/>
        <tr r="AG354" s="2"/>
        <tr r="AJ259" s="2"/>
        <tr r="AE413" s="2"/>
        <tr r="AK225" s="2"/>
        <tr r="AG388" s="2"/>
        <tr r="AK400" s="2"/>
        <tr r="AL180" s="2"/>
        <tr r="AN405" s="2"/>
        <tr r="AJ317" s="2"/>
        <tr r="AJ179" s="2"/>
        <tr r="AF49" s="2"/>
        <tr r="AL47" s="2"/>
        <tr r="AG385" s="2"/>
        <tr r="AJ222" s="2"/>
        <tr r="AK193" s="2"/>
        <tr r="AD443" s="2"/>
        <tr r="AL422" s="2"/>
        <tr r="AI213" s="2"/>
        <tr r="AL385" s="2"/>
        <tr r="AM69" s="2"/>
        <tr r="AH77" s="2"/>
        <tr r="AL417" s="2"/>
        <tr r="AJ268" s="2"/>
        <tr r="AL81" s="2"/>
        <tr r="AK37" s="2"/>
        <tr r="AF260" s="2"/>
        <tr r="AK174" s="2"/>
        <tr r="AH99" s="2"/>
        <tr r="AE340" s="2"/>
        <tr r="AK39" s="2"/>
        <tr r="AJ235" s="2"/>
        <tr r="AK387" s="2"/>
        <tr r="AE100" s="2"/>
        <tr r="AK453" s="2"/>
        <tr r="AD100" s="2"/>
        <tr r="AD250" s="2"/>
        <tr r="AF146" s="2"/>
        <tr r="AI165" s="2"/>
        <tr r="AD33" s="2"/>
        <tr r="AG356" s="2"/>
        <tr r="AE271" s="2"/>
        <tr r="AH245" s="2"/>
        <tr r="AK197" s="2"/>
        <tr r="AD83" s="2"/>
        <tr r="AH328" s="2"/>
        <tr r="AG114" s="2"/>
        <tr r="AJ57" s="2"/>
        <tr r="AJ283" s="2"/>
        <tr r="AK441" s="2"/>
        <tr r="AE453" s="2"/>
        <tr r="AJ351" s="2"/>
        <tr r="AD227" s="2"/>
        <tr r="AI189" s="2"/>
        <tr r="AL21" s="2"/>
        <tr r="AH392" s="2"/>
        <tr r="AL172" s="2"/>
        <tr r="AI388" s="2"/>
        <tr r="AJ248" s="2"/>
        <tr r="AI444" s="2"/>
        <tr r="AH439" s="2"/>
        <tr r="AE355" s="2"/>
        <tr r="AL174" s="2"/>
        <tr r="AE379" s="2"/>
        <tr r="AI353" s="2"/>
        <tr r="AN164" s="2"/>
        <tr r="AL455" s="2"/>
        <tr r="AK65" s="2"/>
        <tr r="AG54" s="2"/>
        <tr r="AE8" s="2"/>
        <tr r="AI140" s="2"/>
        <tr r="AD254" s="2"/>
        <tr r="AG149" s="2"/>
        <tr r="AL164" s="2"/>
        <tr r="AD204" s="2"/>
        <tr r="AL354" s="2"/>
        <tr r="AF350" s="2"/>
        <tr r="AD452" s="2"/>
        <tr r="AE370" s="2"/>
        <tr r="AG434" s="2"/>
        <tr r="AK89" s="2"/>
        <tr r="AD245" s="2"/>
        <tr r="AD336" s="2"/>
        <tr r="AL338" s="2"/>
        <tr r="AH70" s="2"/>
        <tr r="AJ26" s="2"/>
        <tr r="AG31" s="2"/>
        <tr r="AL178" s="2"/>
        <tr r="AL100" s="2"/>
        <tr r="AD64" s="2"/>
        <tr r="AD366" s="2"/>
        <tr r="AK242" s="2"/>
        <tr r="AI401" s="2"/>
        <tr r="AF76" s="2"/>
        <tr r="AE409" s="2"/>
        <tr r="AE452" s="2"/>
        <tr r="AL203" s="2"/>
        <tr r="AF285" s="2"/>
        <tr r="AK358" s="2"/>
        <tr r="AE401" s="2"/>
        <tr r="AK33" s="2"/>
        <tr r="AJ301" s="2"/>
        <tr r="AF125" s="2"/>
        <tr r="AH151" s="2"/>
        <tr r="AE76" s="2"/>
        <tr r="AH347" s="2"/>
        <tr r="AL414" s="2"/>
        <tr r="AG27" s="2"/>
        <tr r="AL36" s="2"/>
        <tr r="AD177" s="2"/>
        <tr r="AL155" s="2"/>
        <tr r="AJ296" s="2"/>
        <tr r="AF258" s="2"/>
        <tr r="AF124" s="2"/>
        <tr r="AJ440" s="2"/>
        <tr r="AL441" s="2"/>
        <tr r="AI202" s="2"/>
        <tr r="AH212" s="2"/>
        <tr r="AE289" s="2"/>
        <tr r="AK357" s="2"/>
        <tr r="AL386" s="2"/>
        <tr r="AJ33" s="2"/>
        <tr r="AH62" s="2"/>
        <tr r="AL22" s="2"/>
        <tr r="AD273" s="2"/>
        <tr r="AJ205" s="2"/>
        <tr r="AL451" s="2"/>
        <tr r="AJ336" s="2"/>
        <tr r="AI211" s="2"/>
        <tr r="AF252" s="2"/>
        <tr r="AH424" s="2"/>
        <tr r="AI200" s="2"/>
        <tr r="AD192" s="2"/>
        <tr r="AE173" s="2"/>
        <tr r="AJ8" s="2"/>
        <tr r="AH322" s="2"/>
        <tr r="AJ425" s="2"/>
        <tr r="AJ124" s="2"/>
        <tr r="AL429" s="2"/>
        <tr r="AJ47" s="2"/>
        <tr r="AL160" s="2"/>
        <tr r="AE40" s="2"/>
        <tr r="AE314" s="2"/>
        <tr r="AM231" s="2"/>
        <tr r="AJ61" s="2"/>
        <tr r="AH354" s="2"/>
        <tr r="AL158" s="2"/>
        <tr r="AD188" s="2"/>
        <tr r="AJ121" s="2"/>
        <tr r="AD363" s="2"/>
        <tr r="AI343" s="2"/>
        <tr r="AK77" s="2"/>
        <tr r="AH305" s="2"/>
        <tr r="AD279" s="2"/>
        <tr r="AM152" s="2"/>
        <tr r="AL20" s="2"/>
        <tr r="AH111" s="2"/>
        <tr r="AL257" s="2"/>
        <tr r="AM105" s="2"/>
        <tr r="AM12" s="2"/>
        <tr r="AI137" s="2"/>
        <tr r="AL299" s="2"/>
        <tr r="AL205" s="2"/>
        <tr r="AE123" s="2"/>
        <tr r="AH271" s="2"/>
        <tr r="AD69" s="2"/>
        <tr r="AI417" s="2"/>
        <tr r="AG228" s="2"/>
        <tr r="AJ29" s="2"/>
        <tr r="AF314" s="2"/>
        <tr r="AE164" s="2"/>
        <tr r="AG316" s="2"/>
        <tr r="AJ315" s="2"/>
        <tr r="AL465" s="2"/>
        <tr r="AG35" s="2"/>
        <tr r="AD137" s="2"/>
        <tr r="AL330" s="2"/>
        <tr r="AK291" s="2"/>
        <tr r="AD110" s="2"/>
        <tr r="AH232" s="2"/>
        <tr r="AJ126" s="2"/>
        <tr r="AJ108" s="2"/>
        <tr r="AK134" s="2"/>
        <tr r="AH67" s="2"/>
        <tr r="AK279" s="2"/>
        <tr r="AL233" s="2"/>
        <tr r="AL66" s="2"/>
        <tr r="AD425" s="2"/>
        <tr r="AJ52" s="2"/>
        <tr r="AK163" s="2"/>
        <tr r="AD42" s="2"/>
        <tr r="AJ346" s="2"/>
        <tr r="AJ155" s="2"/>
        <tr r="AH190" s="2"/>
        <tr r="AG192" s="2"/>
        <tr r="AG301" s="2"/>
        <tr r="AD196" s="2"/>
        <tr r="AJ54" s="2"/>
        <tr r="AG215" s="2"/>
        <tr r="AI283" s="2"/>
        <tr r="AJ394" s="2"/>
        <tr r="AI22" s="2"/>
        <tr r="AJ287" s="2"/>
        <tr r="AI148" s="2"/>
        <tr r="AG150" s="2"/>
        <tr r="AI163" s="2"/>
        <tr r="AL98" s="2"/>
        <tr r="AI341" s="2"/>
        <tr r="AJ352" s="2"/>
        <tr r="AI367" s="2"/>
        <tr r="AE442" s="2"/>
        <tr r="AH411" s="2"/>
        <tr r="AI347" s="2"/>
        <tr r="AD386" s="2"/>
        <tr r="AG159" s="2"/>
        <tr r="AH136" s="2"/>
        <tr r="AJ392" s="2"/>
        <tr r="AL267" s="2"/>
        <tr r="AH168" s="2"/>
        <tr r="AF110" s="2"/>
        <tr r="AE42" s="2"/>
        <tr r="AL43" s="2"/>
        <tr r="AK99" s="2"/>
        <tr r="AM336" s="2"/>
        <tr r="AL377" s="2"/>
        <tr r="AL134" s="2"/>
        <tr r="AK408" s="2"/>
        <tr r="AK232" s="2"/>
        <tr r="AH144" s="2"/>
        <tr r="AH397" s="2"/>
        <tr r="AD248" s="2"/>
        <tr r="AL332" s="2"/>
        <tr r="AL239" s="2"/>
        <tr r="AL453" s="2"/>
        <tr r="AK234" s="2"/>
        <tr r="AH9" s="2"/>
        <tr r="AM143" s="2"/>
        <tr r="AJ142" s="2"/>
        <tr r="AJ380" s="2"/>
        <tr r="AE444" s="2"/>
        <tr r="AK390" s="2"/>
        <tr r="AK108" s="2"/>
        <tr r="AG272" s="2"/>
        <tr r="AI234" s="2"/>
        <tr r="AL370" s="2"/>
        <tr r="AK45" s="2"/>
        <tr r="AL210" s="2"/>
        <tr r="AG294" s="2"/>
        <tr r="AI155" s="2"/>
        <tr r="AL413" s="2"/>
        <tr r="AH455" s="2"/>
        <tr r="AK257" s="2"/>
        <tr r="AH346" s="2"/>
        <tr r="AG412" s="2"/>
        <tr r="AL45" s="2"/>
        <tr r="AI290" s="2"/>
        <tr r="AD76" s="2"/>
        <tr r="AK422" s="2"/>
        <tr r="AL207" s="2"/>
        <tr r="AJ191" s="2"/>
        <tr r="AG63" s="2"/>
        <tr r="AL95" s="2"/>
        <tr r="AK173" s="2"/>
        <tr r="AF222" s="2"/>
        <tr r="AJ377" s="2"/>
        <tr r="AE115" s="2"/>
        <tr r="AJ198" s="2"/>
        <tr r="AF319" s="2"/>
        <tr r="AH445" s="2"/>
        <tr r="AH398" s="2"/>
        <tr r="AI13" s="2"/>
        <tr r="AF362" s="2"/>
        <tr r="AG156" s="2"/>
        <tr r="AH135" s="2"/>
        <tr r="AH204" s="2"/>
        <tr r="AD172" s="2"/>
        <tr r="AG243" s="2"/>
        <tr r="AE233" s="2"/>
        <tr r="AH420" s="2"/>
        <tr r="AH202" s="2"/>
        <tr r="AJ65" s="2"/>
        <tr r="AE384" s="2"/>
        <tr r="AH39" s="2"/>
        <tr r="AI413" s="2"/>
        <tr r="AL335" s="2"/>
        <tr r="AK78" s="2"/>
        <tr r="AI389" s="2"/>
        <tr r="AI356" s="2"/>
        <tr r="AI176" s="2"/>
        <tr r="AH460" s="2"/>
        <tr r="AI209" s="2"/>
        <tr r="AE321" s="2"/>
        <tr r="AF23" s="2"/>
        <tr r="AL292" s="2"/>
        <tr r="AJ342" s="2"/>
        <tr r="AK194" s="2"/>
        <tr r="AK64" s="2"/>
        <tr r="AI232" s="2"/>
        <tr r="AJ144" s="2"/>
        <tr r="AF28" s="2"/>
        <tr r="AK70" s="2"/>
        <tr r="AE191" s="2"/>
        <tr r="AG38" s="2"/>
        <tr r="AM265" s="2"/>
        <tr r="AM182" s="2"/>
        <tr r="AD383" s="2"/>
        <tr r="AJ238" s="2"/>
        <tr r="AM451" s="2"/>
        <tr r="AM370" s="2"/>
        <tr r="AG137" s="2"/>
        <tr r="AG126" s="2"/>
        <tr r="AM255" s="2"/>
        <tr r="AM190" s="2"/>
        <tr r="AG405" s="2"/>
        <tr r="AJ355" s="2"/>
        <tr r="AL366" s="2"/>
        <tr r="AM36" s="2"/>
        <tr r="AJ276" s="2"/>
        <tr r="AI206" s="2"/>
        <tr r="AL201" s="2"/>
        <tr r="AK436" s="2"/>
        <tr r="AD258" s="2"/>
        <tr r="AJ338" s="2"/>
        <tr r="AK371" s="2"/>
        <tr r="AK158" s="2"/>
        <tr r="AJ311" s="2"/>
        <tr r="AI105" s="2"/>
        <tr r="AK241" s="2"/>
        <tr r="AF295" s="2"/>
        <tr r="AK361" s="2"/>
        <tr r="AD181" s="2"/>
        <tr r="AL249" s="2"/>
        <tr r="AD96" s="2"/>
        <tr r="AG55" s="2"/>
        <tr r="AI139" s="2"/>
        <tr r="AJ441" s="2"/>
        <tr r="AL228" s="2"/>
        <tr r="AJ455" s="2"/>
        <tr r="AH250" s="2"/>
        <tr r="AI262" s="2"/>
        <tr r="AJ93" s="2"/>
        <tr r="AE244" s="2"/>
        <tr r="AD359" s="2"/>
        <tr r="AI425" s="2"/>
        <tr r="AI203" s="2"/>
        <tr r="AH394" s="2"/>
        <tr r="AJ156" s="2"/>
        <tr r="AG199" s="2"/>
        <tr r="AL162" s="2"/>
        <tr r="AE306" s="2"/>
        <tr r="AI263" s="2"/>
        <tr r="AI52" s="2"/>
        <tr r="AJ132" s="2"/>
        <tr r="AH26" s="2"/>
        <tr r="AE105" s="2"/>
        <tr r="AE184" s="2"/>
        <tr r="AK75" s="2"/>
        <tr r="AD127" s="2"/>
        <tr r="AE441" s="2"/>
        <tr r="AK60" s="2"/>
        <tr r="AE198" s="2"/>
        <tr r="AE162" s="2"/>
        <tr r="AH104" s="2"/>
        <tr r="AI407" s="2"/>
        <tr r="AG431" s="2"/>
        <tr r="AJ97" s="2"/>
        <tr r="AI87" s="2"/>
        <tr r="AF244" s="2"/>
        <tr r="AI72" s="2"/>
        <tr r="AK68" s="2"/>
        <tr r="AI195" s="2"/>
        <tr r="AK19" s="2"/>
        <tr r="AI241" s="2"/>
        <tr r="AJ137" s="2"/>
        <tr r="AD9" s="2"/>
        <tr r="AL328" s="2"/>
        <tr r="AK337" s="2"/>
        <tr r="AH198" s="2"/>
        <tr r="AG308" s="2"/>
        <tr r="AL439" s="2"/>
        <tr r="AJ150" s="2"/>
        <tr r="AK117" s="2"/>
        <tr r="AI440" s="2"/>
        <tr r="AI83" s="2"/>
        <tr r="AH147" s="2"/>
        <tr r="AK393" s="2"/>
        <tr r="AL412" s="2"/>
        <tr r="AK351" s="2"/>
        <tr r="AJ214" s="2"/>
        <tr r="AJ410" s="2"/>
        <tr r="AD221" s="2"/>
        <tr r="AI82" s="2"/>
        <tr r="AH141" s="2"/>
        <tr r="AI199" s="2"/>
        <tr r="AI96" s="2"/>
        <tr r="AJ197" s="2"/>
        <tr r="AI382" s="2"/>
        <tr r="AI431" s="2"/>
        <tr r="AG348" s="2"/>
        <tr r="AE11" s="2"/>
        <tr r="AK243" s="2"/>
        <tr r="AI115" s="2"/>
        <tr r="AJ66" s="2"/>
        <tr r="AJ168" s="2"/>
        <tr r="AD431" s="2"/>
        <tr r="AI426" s="2"/>
        <tr r="AJ221" s="2"/>
        <tr r="AK114" s="2"/>
        <tr r="AE199" s="2"/>
        <tr r="AJ289" s="2"/>
        <tr r="AL274" s="2"/>
        <tr r="AK329" s="2"/>
        <tr r="AK263" s="2"/>
        <tr r="AI297" s="2"/>
        <tr r="AE80" s="2"/>
        <tr r="AF173" s="2"/>
        <tr r="AJ51" s="2"/>
        <tr r="AK464" s="2"/>
        <tr r="AI305" s="2"/>
        <tr r="AK346" s="2"/>
        <tr r="AE120" s="2"/>
        <tr r="AH76" s="2"/>
        <tr r="AH44" s="2"/>
        <tr r="AJ327" s="2"/>
        <tr r="AG247" s="2"/>
        <tr r="AK56" s="2"/>
        <tr r="AG311" s="2"/>
        <tr r="AK115" s="2"/>
        <tr r="AJ247" s="2"/>
        <tr r="AL260" s="2"/>
        <tr r="AL376" s="2"/>
        <tr r="AK92" s="2"/>
        <tr r="AH82" s="2"/>
        <tr r="AK188" s="2"/>
        <tr r="AH110" s="2"/>
        <tr r="AL427" s="2"/>
        <tr r="AI93" s="2"/>
        <tr r="AD149" s="2"/>
        <tr r="AG189" s="2"/>
        <tr r="AG46" s="2"/>
        <tr r="AG317" s="2"/>
        <tr r="AJ453" s="2"/>
        <tr r="AK384" s="2"/>
        <tr r="AH323" s="2"/>
        <tr r="AG8" s="2"/>
        <tr r="AK183" s="2"/>
        <tr r="AJ284" s="2"/>
        <tr r="AJ122" s="2"/>
        <tr r="AK381" s="2"/>
        <tr r="AJ334" s="2"/>
        <tr r="AG129" s="2"/>
        <tr r="AK237" s="2"/>
        <tr r="AL213" s="2"/>
        <tr r="AL256" s="2"/>
        <tr r="AL105" s="2"/>
        <tr r="AL437" s="2"/>
        <tr r="AL31" s="2"/>
        <tr r="AG439" s="2"/>
        <tr r="AL277" s="2"/>
        <tr r="AI194" s="2"/>
        <tr r="AJ166" s="2"/>
        <tr r="AI421" s="2"/>
        <tr r="AH112" s="2"/>
        <tr r="AH38" s="2"/>
        <tr r="AE48" s="2"/>
        <tr r="AL343" s="2"/>
        <tr r="AL227" s="2"/>
        <tr r="AK153" s="2"/>
        <tr r="AI240" s="2"/>
        <tr r="AH216" s="2"/>
        <tr r="AE192" s="2"/>
        <tr r="AH418" s="2"/>
        <tr r="AE447" s="2"/>
        <tr r="AL461" s="2"/>
        <tr r="AD223" s="2"/>
        <tr r="AH14" s="2"/>
        <tr r="AG369" s="2"/>
        <tr r="AJ461" s="2"/>
        <tr r="AK404" s="2"/>
        <tr r="AJ30" s="2"/>
        <tr r="AK57" s="2"/>
        <tr r="AH171" s="2"/>
        <tr r="AG208" s="2"/>
        <tr r="AH155" s="2"/>
        <tr r="AI335" s="2"/>
        <tr r="AI15" s="2"/>
        <tr r="AD426" s="2"/>
        <tr r="AF296" s="2"/>
        <tr r="AH58" s="2"/>
        <tr r="AL96" s="2"/>
        <tr r="AJ370" s="2"/>
        <tr r="AK354" s="2"/>
        <tr r="AH193" s="2"/>
        <tr r="AJ18" s="2"/>
        <tr r="AI78" s="2"/>
        <tr r="AL30" s="2"/>
        <tr r="AL53" s="2"/>
        <tr r="AE44" s="2"/>
        <tr r="AD214" s="2"/>
        <tr r="AJ22" s="2"/>
        <tr r="AD35" s="2"/>
        <tr r="AH231" s="2"/>
        <tr r="AK267" s="2"/>
        <tr r="AD45" s="2"/>
        <tr r="AG368" s="2"/>
        <tr r="AD405" s="2"/>
        <tr r="AK239" s="2"/>
        <tr r="AJ88" s="2"/>
        <tr r="AE412" s="2"/>
        <tr r="AJ401" s="2"/>
        <tr r="AL190" s="2"/>
        <tr r="AF299" s="2"/>
        <tr r="AH24" s="2"/>
        <tr r="AI125" s="2"/>
        <tr r="AJ147" s="2"/>
        <tr r="AL348" s="2"/>
        <tr r="AG140" s="2"/>
        <tr r="AD27" s="2"/>
        <tr r="AG419" s="2"/>
        <tr r="AL223" s="2"/>
        <tr r="AL424" s="2"/>
        <tr r="AG444" s="2"/>
        <tr r="AG305" s="2"/>
        <tr r="AD398" s="2"/>
        <tr r="AJ62" s="2"/>
        <tr r="AD263" s="2"/>
        <tr r="AJ14" s="2"/>
        <tr r="AK172" s="2"/>
        <tr r="AK300" s="2"/>
        <tr r="AL362" s="2"/>
        <tr r="AD195" s="2"/>
        <tr r="AJ390" s="2"/>
        <tr r="AK116" s="2"/>
        <tr r="AF379" s="2"/>
        <tr r="AK406" s="2"/>
        <tr r="AL334" s="2"/>
        <tr r="AJ344" s="2"/>
        <tr r="AH465" s="2"/>
        <tr r="AG362" s="2"/>
        <tr r="AL123" s="2"/>
        <tr r="AF325" s="2"/>
        <tr r="AE81" s="2"/>
        <tr r="AG446" s="2"/>
        <tr r="AI361" s="2"/>
        <tr r="AD233" s="2"/>
        <tr r="AH318" s="2"/>
        <tr r="AF327" s="2"/>
        <tr r="AH289" s="2"/>
        <tr r="AJ90" s="2"/>
        <tr r="AD297" s="2"/>
        <tr r="AK203" s="2"/>
        <tr r="AL340" s="2"/>
        <tr r="AJ6" s="2"/>
        <tr r="AJ271" s="2"/>
        <tr r="AF224" s="2"/>
        <tr r="AL307" s="2"/>
        <tr r="AF432" s="2"/>
        <tr r="AH272" s="2"/>
        <tr r="AI395" s="2"/>
        <tr r="AH433" s="2"/>
        <tr r="AL148" s="2"/>
        <tr r="AD332" s="2"/>
        <tr r="AJ162" s="2"/>
        <tr r="AJ233" s="2"/>
        <tr r="AI434" s="2"/>
        <tr r="AH337" s="2"/>
        <tr r="AH380" s="2"/>
        <tr r="AK121" s="2"/>
        <tr r="AJ332" s="2"/>
        <tr r="AJ356" s="2"/>
        <tr r="AH360" s="2"/>
        <tr r="AL250" s="2"/>
        <tr r="AF230" s="2"/>
        <tr r="AK83" s="2"/>
        <tr r="AK85" s="2"/>
        <tr r="AK230" s="2"/>
        <tr r="AL285" s="2"/>
        <tr r="AD460" s="2"/>
        <tr r="AL26" s="2"/>
        <tr r="AJ277" s="2"/>
        <tr r="AI204" s="2"/>
        <tr r="AH101" s="2"/>
        <tr r="AJ71" s="2"/>
        <tr r="AD11" s="2"/>
        <tr r="AL306" s="2"/>
        <tr r="AI326" s="2"/>
        <tr r="AL404" s="2"/>
        <tr r="AK331" s="2"/>
        <tr r="AJ63" s="2"/>
        <tr r="AG374" s="2"/>
        <tr r="AE332" s="2"/>
        <tr r="AL319" s="2"/>
        <tr r="AL411" s="2"/>
        <tr r="AJ413" s="2"/>
        <tr r="AE372" s="2"/>
        <tr r="AG365" s="2"/>
        <tr r="AI419" s="2"/>
        <tr r="AJ34" s="2"/>
        <tr r="AG234" s="2"/>
        <tr r="AD455" s="2"/>
        <tr r="AJ417" s="2"/>
        <tr r="AK226" s="2"/>
        <tr r="AK129" s="2"/>
        <tr r="AH421" s="2"/>
        <tr r="AK449" s="2"/>
        <tr r="AF153" s="2"/>
        <tr r="AD437" s="2"/>
        <tr r="AK402" s="2"/>
        <tr r="AH454" s="2"/>
        <tr r="AL115" s="2"/>
        <tr r="AE439" s="2"/>
        <tr r="AJ349" s="2"/>
        <tr r="AK276" s="2"/>
        <tr r="AL209" s="2"/>
        <tr r="AL275" s="2"/>
        <tr r="AI352" s="2"/>
        <tr r="AH218" s="2"/>
        <tr r="AL8" s="2"/>
        <tr r="AE302" s="2"/>
        <tr r="AI28" s="2"/>
        <tr r="AG207" s="2"/>
        <tr r="AH207" s="2"/>
        <tr r="AI63" s="2"/>
        <tr r="AJ203" s="2"/>
        <tr r="AK205" s="2"/>
        <tr r="AJ209" s="2"/>
        <tr r="AI159" s="2"/>
        <tr r="AI319" s="2"/>
        <tr r="AH312" s="2"/>
        <tr r="AL384" s="2"/>
        <tr r="AK110" s="2"/>
        <tr r="AI406" s="2"/>
        <tr r="AE419" s="2"/>
        <tr r="AF287" s="2"/>
        <tr r="AI339" s="2"/>
        <tr r="AJ39" s="2"/>
        <tr r="AL75" s="2"/>
        <tr r="AL405" s="2"/>
        <tr r="AK246" s="2"/>
        <tr r="AD303" s="2"/>
        <tr r="AK40" s="2"/>
        <tr r="AI266" s="2"/>
        <tr r="AK330" s="2"/>
        <tr r="AJ465" s="2"/>
        <tr r="AG315" s="2"/>
        <tr r="AI128" s="2"/>
        <tr r="AJ184" s="2"/>
        <tr r="AK51" s="2"/>
        <tr r="AI131" s="2"/>
        <tr r="AJ368" s="2"/>
        <tr r="AJ285" s="2"/>
        <tr r="AK425" s="2"/>
        <tr r="AJ91" s="2"/>
        <tr r="AH389" s="2"/>
        <tr r="AI42" s="2"/>
        <tr r="AL409" s="2"/>
        <tr r="AL181" s="2"/>
        <tr r="AL54" s="2"/>
        <tr r="AL450" s="2"/>
        <tr r="AK365" s="2"/>
        <tr r="AG174" s="2"/>
        <tr r="AL221" s="2"/>
        <tr r="AI29" s="2"/>
        <tr r="AH156" s="2"/>
        <tr r="AJ109" s="2"/>
        <tr r="AI416" s="2"/>
        <tr r="AI456" s="2"/>
        <tr r="AL394" s="2"/>
        <tr r="AF360" s="2"/>
        <tr r="AL217" s="2"/>
        <tr r="AK16" s="2"/>
        <tr r="AJ151" s="2"/>
        <tr r="AG148" s="2"/>
        <tr r="AK145" s="2"/>
        <tr r="AJ250" s="2"/>
        <tr r="AH80" s="2"/>
        <tr r="AE228" s="2"/>
        <tr r="AL219" s="2"/>
        <tr r="AE59" s="2"/>
        <tr r="AL176" s="2"/>
        <tr r="AL359" s="2"/>
        <tr r="AL70" s="2"/>
        <tr r="AF371" s="2"/>
        <tr r="AH456" s="2"/>
        <tr r="AH140" s="2"/>
        <tr r="AJ140" s="2"/>
        <tr r="AI350" s="2"/>
        <tr r="AK15" s="2"/>
        <tr r="AI432" s="2"/>
        <tr r="AL9" s="2"/>
        <tr r="AE396" s="2"/>
        <tr r="AJ23" s="2"/>
        <tr r="AF274" s="2"/>
        <tr r="AL248" s="2"/>
        <tr r="AD424" s="2"/>
        <tr r="AL230" s="2"/>
        <tr r="AJ145" s="2"/>
        <tr r="AD93" s="2"/>
        <tr r="AJ444" s="2"/>
        <tr r="AD217" s="2"/>
        <tr r="AK260" s="2"/>
        <tr r="AH120" s="2"/>
        <tr r="AL310" s="2"/>
        <tr r="AH175" s="2"/>
        <tr r="AJ279" s="2"/>
        <tr r="AJ163" s="2"/>
        <tr r="AG163" s="2"/>
        <tr r="AJ181" s="2"/>
        <tr r="AD413" s="2"/>
        <tr r="AL132" s="2"/>
        <tr r="AJ105" s="2"/>
        <tr r="AK227" s="2"/>
        <tr r="AE299" s="2"/>
        <tr r="AG64" s="2"/>
        <tr r="AJ152" s="2"/>
        <tr r="AF464" s="2"/>
        <tr r="AE6" s="2"/>
        <tr r="AG40" s="2"/>
        <tr r="AK62" s="2"/>
        <tr r="AF397" s="2"/>
        <tr r="AG432" s="2"/>
        <tr r="AK373" s="2"/>
        <tr r="AE46" s="2"/>
        <tr r="AD450" s="2"/>
        <tr r="AH254" s="2"/>
        <tr r="AH372" s="2"/>
        <tr r="AL51" s="2"/>
        <tr r="AD58" s="2"/>
        <tr r="AG418" s="2"/>
        <tr r="AK31" s="2"/>
        <tr r="AI323" s="2"/>
        <tr r="AJ101" s="2"/>
        <tr r="AD353" s="2"/>
        <tr r="AJ20" s="2"/>
        <tr r="AJ318" s="2"/>
        <tr r="AI81" s="2"/>
        <tr r="AL175" s="2"/>
        <tr r="AL247" s="2"/>
        <tr r="AD264" s="2"/>
        <tr r="AE130" s="2"/>
        <tr r="AJ442" s="2"/>
        <tr r="AL103" s="2"/>
        <tr r="AH336" s="2"/>
        <tr r="AH176" s="2"/>
        <tr r="AI318" s="2"/>
        <tr r="AI18" s="2"/>
        <tr r="AL108" s="2"/>
        <tr r="AJ19" s="2"/>
        <tr r="AL80" s="2"/>
        <tr r="AL157" s="2"/>
        <tr r="AK339" s="2"/>
        <tr r="AG245" s="2"/>
        <tr r="AK380" s="2"/>
        <tr r="AK178" s="2"/>
        <tr r="AH243" s="2"/>
        <tr r="AD235" s="2"/>
        <tr r="AK447" s="2"/>
        <tr r="AL300" s="2"/>
        <tr r="AI452" s="2"/>
        <tr r="AJ172" s="2"/>
        <tr r="AG441" s="2"/>
        <tr r="AE143" s="2"/>
        <tr r="AH123" s="2"/>
        <tr r="AG337" s="2"/>
        <tr r="AI182" s="2"/>
        <tr r="AE276" s="2"/>
        <tr r="AK199" s="2"/>
        <tr r="AH320" s="2"/>
        <tr r="AE151" s="2"/>
        <tr r="AG357" s="2"/>
        <tr r="AH393" s="2"/>
        <tr r="AG136" s="2"/>
        <tr r="AE245" s="2"/>
        <tr r="AG173" s="2"/>
        <tr r="AD102" s="2"/>
        <tr r="AJ321" s="2"/>
        <tr r="AF54" s="2"/>
        <tr r="AD415" s="2"/>
        <tr r="AL316" s="2"/>
        <tr r="AH166" s="2"/>
        <tr r="AJ135" s="2"/>
        <tr r="AL218" s="2"/>
        <tr r="AD141" s="2"/>
        <tr r="AD173" s="2"/>
        <tr r="AE36" s="2"/>
        <tr r="AL272" s="2"/>
        <tr r="AK180" s="2"/>
        <tr r="AK43" s="2"/>
        <tr r="AL314" s="2"/>
        <tr r="AJ40" s="2"/>
        <tr r="AJ379" s="2"/>
        <tr r="AL315" s="2"/>
        <tr r="AH373" s="2"/>
        <tr r="AE278" s="2"/>
        <tr r="AF340" s="2"/>
        <tr r="AG266" s="2"/>
        <tr r="AL73" s="2"/>
        <tr r="AI113" s="2"/>
        <tr r="AG29" s="2"/>
        <tr r="AG287" s="2"/>
        <tr r="AH226" s="2"/>
        <tr r="AH149" s="2"/>
        <tr r="AJ358" s="2"/>
        <tr r="AD284" s="2"/>
        <tr r="AJ282" s="2"/>
        <tr r="AK164" s="2"/>
        <tr r="AH281" s="2"/>
        <tr r="AF197" s="2"/>
        <tr r="AI8" s="2"/>
        <tr r="AI51" s="2"/>
        <tr r="AL173" s="2"/>
        <tr r="AI271" s="2"/>
        <tr r="AI461" s="2"/>
        <tr r="AH376" s="2"/>
        <tr r="AK350" s="2"/>
        <tr r="AJ303" s="2"/>
        <tr r="AI133" s="2"/>
        <tr r="AL64" s="2"/>
        <tr r="AL240" s="2"/>
        <tr r="AH30" s="2"/>
        <tr r="AL245" s="2"/>
        <tr r="AJ239" s="2"/>
        <tr r="AJ397" s="2"/>
        <tr r="AL208" s="2"/>
        <tr r="AG286" s="2"/>
        <tr r="AH361" s="2"/>
        <tr r="AK378" s="2"/>
        <tr r="AL120" s="2"/>
        <tr r="AJ400" s="2"/>
        <tr r="AD133" s="2"/>
        <tr r="AE129" s="2"/>
        <tr r="AH434" s="2"/>
        <tr r="AH153" s="2"/>
        <tr r="AI75" s="2"/>
        <tr r="AD41" s="2"/>
        <tr r="AJ360" s="2"/>
        <tr r="AH137" s="2"/>
        <tr r="AG442" s="2"/>
        <tr r="AI117" s="2"/>
        <tr r="AH102" s="2"/>
        <tr r="AG41" s="2"/>
        <tr r="AL329" s="2"/>
        <tr r="AL395" s="2"/>
        <tr r="AF389" s="2"/>
        <tr r="AK184" s="2"/>
        <tr r="AK266" s="2"/>
        <tr r="AG443" s="2"/>
        <tr r="AL361" s="2"/>
        <tr r="AK294" s="2"/>
        <tr r="AI330" s="2"/>
        <tr r="AD313" s="2"/>
        <tr r="AK382" s="2"/>
        <tr r="AL369" s="2"/>
        <tr r="AH285" s="2"/>
        <tr r="AK23" s="2"/>
        <tr r="AJ73" s="2"/>
        <tr r="AL82" s="2"/>
        <tr r="AK451" s="2"/>
        <tr r="AJ403" s="2"/>
        <tr r="AD81" s="2"/>
        <tr r="AK268" s="2"/>
        <tr r="AL29" s="2"/>
        <tr r="AH377" s="2"/>
        <tr r="AG264" s="2"/>
        <tr r="AE189" s="2"/>
        <tr r="AI227" s="2"/>
        <tr r="AJ87" s="2"/>
        <tr r="AJ38" s="2"/>
        <tr r="AK35" s="2"/>
        <tr r="AF204" s="2"/>
        <tr r="AE270" s="2"/>
        <tr r="AL150" s="2"/>
        <tr r="AI10" s="2"/>
        <tr r="AD436" s="2"/>
        <tr r="AK261" s="2"/>
        <tr r="AD184" s="2"/>
        <tr r="AG131" s="2"/>
        <tr r="AG455" s="2"/>
        <tr r="AK386" s="2"/>
        <tr r="AF46" s="2"/>
        <tr r="AI175" s="2"/>
        <tr r="AL39" s="2"/>
        <tr r="AJ169" s="2"/>
        <tr r="AK405" s="2"/>
        <tr r="AG268" s="2"/>
        <tr r="AH331" s="2"/>
        <tr r="AH446" s="2"/>
        <tr r="AG168" s="2"/>
        <tr r="AJ60" s="2"/>
        <tr r="AJ171" s="2"/>
        <tr r="AE342" s="2"/>
        <tr r="AG69" s="2"/>
        <tr r="AI346" s="2"/>
        <tr r="AG99" s="2"/>
        <tr r="AD157" s="2"/>
        <tr r="AJ447" s="2"/>
        <tr r="AH244" s="2"/>
        <tr r="AD295" s="2"/>
        <tr r="AI246" s="2"/>
        <tr r="AJ56" s="2"/>
        <tr r="AL396" s="2"/>
        <tr r="AL121" s="2"/>
        <tr r="AH425" s="2"/>
        <tr r="AK336" s="2"/>
        <tr r="AE12" s="2"/>
        <tr r="AK213" s="2"/>
        <tr r="AL341" s="2"/>
        <tr r="AG73" s="2"/>
        <tr r="AH415" s="2"/>
        <tr r="AD288" s="2"/>
        <tr r="AK309" s="2"/>
        <tr r="AK151" s="2"/>
        <tr r="AJ361" s="2"/>
        <tr r="AJ83" s="2"/>
        <tr r="AK103" s="2"/>
        <tr r="AD430" s="2"/>
        <tr r="AG420" s="2"/>
        <tr r="AE417" s="2"/>
        <tr r="AF82" s="2"/>
        <tr r="AK198" s="2"/>
        <tr r="AH444" s="2"/>
        <tr r="AH464" s="2"/>
        <tr r="AD34" s="2"/>
        <tr r="AK352" s="2"/>
        <tr r="AG83" s="2"/>
        <tr r="AI427" s="2"/>
        <tr r="AJ114" s="2"/>
        <tr r="AD282" s="2"/>
        <tr r="AH7" s="2"/>
        <tr r="AI27" s="2"/>
        <tr r="AI123" s="2"/>
        <tr r="AE356" s="2"/>
        <tr r="AH429" s="2"/>
        <tr r="AG406" s="2"/>
        <tr r="AF435" s="2"/>
        <tr r="AD382" s="2"/>
        <tr r="AF85" s="2"/>
        <tr r="AH195" s="2"/>
        <tr r="AK278" s="2"/>
        <tr r="AE377" s="2"/>
        <tr r="AE448" s="2"/>
        <tr r="AL244" s="2"/>
        <tr r="AJ298" s="2"/>
        <tr r="AK247" s="2"/>
        <tr r="AE88" s="2"/>
        <tr r="AL298" s="2"/>
        <tr r="AD138" s="2"/>
        <tr r="AD375" s="2"/>
        <tr r="AL241" s="2"/>
        <tr r="AL229" s="2"/>
        <tr r="AG285" s="2"/>
        <tr r="AJ426" s="2"/>
        <tr r="AF461" s="2"/>
        <tr r="AD441" s="2"/>
        <tr r="AE55" s="2"/>
        <tr r="AD329" s="2"/>
        <tr r="AF40" s="2"/>
        <tr r="AG217" s="2"/>
        <tr r="AK63" s="2"/>
        <tr r="AD385" s="2"/>
        <tr r="AG263" s="2"/>
        <tr r="AI226" s="2"/>
        <tr r="AK411" s="2"/>
        <tr r="AH16" s="2"/>
        <tr r="AF149" s="2"/>
        <tr r="AE77" s="2"/>
        <tr r="AG134" s="2"/>
        <tr r="AF315" s="2"/>
        <tr r="AD40" s="2"/>
        <tr r="AK254" s="2"/>
        <tr r="AK416" s="2"/>
        <tr r="AK343" s="2"/>
        <tr r="AL86" s="2"/>
        <tr r="AJ224" s="2"/>
        <tr r="AF297" s="2"/>
        <tr r="AL189" s="2"/>
        <tr r="AK363" s="2"/>
        <tr r="AJ92" s="2"/>
        <tr r="AL167" s="2"/>
        <tr r="AK201" s="2"/>
        <tr r="AJ302" s="2"/>
        <tr r="AG14" s="2"/>
        <tr r="AF433" s="2"/>
        <tr r="AF291" s="2"/>
        <tr r="AL287" s="2"/>
        <tr r="AI430" s="2"/>
        <tr r="AD421" s="2"/>
        <tr r="AD445" s="2"/>
        <tr r="AG281" s="2"/>
        <tr r="AH19" s="2"/>
        <tr r="AL27" s="2"/>
        <tr r="AE54" s="2"/>
        <tr r="AD269" s="2"/>
        <tr r="AL402" s="2"/>
        <tr r="AL153" s="2"/>
        <tr r="AK74" s="2"/>
        <tr r="AH186" s="2"/>
        <tr r="AI122" s="2"/>
        <tr r="AJ329" s="2"/>
        <tr r="AK100" s="2"/>
        <tr r="AJ357" s="2"/>
        <tr r="AL127" s="2"/>
        <tr r="AD7" s="2"/>
        <tr r="AH6" s="2"/>
        <tr r="AG61" s="2"/>
        <tr r="AF70" s="2"/>
        <tr r="AE205" s="2"/>
        <tr r="AE82" s="2"/>
        <tr r="AH74" s="2"/>
        <tr r="AL146" s="2"/>
        <tr r="AF426" s="2"/>
        <tr r="AK123" s="2"/>
        <tr r="AH270" s="2"/>
        <tr r="AL159" s="2"/>
        <tr r="AH31" s="2"/>
        <tr r="AK313" s="2"/>
        <tr r="AI38" s="2"/>
        <tr r="AI239" s="2"/>
        <tr r="AG394" s="2"/>
        <tr r="AJ439" s="2"/>
        <tr r="AJ139" s="2"/>
        <tr r="AH34" s="2"/>
        <tr r="AJ229" s="2"/>
        <tr r="AE394" s="2"/>
        <tr r="AE146" s="2"/>
        <tr r="AJ258" s="2"/>
        <tr r="AL291" s="2"/>
        <tr r="AD414" s="2"/>
        <tr r="AI345" s="2"/>
        <tr r="AD109" s="2"/>
        <tr r="AK283" s="2"/>
        <tr r="AG447" s="2"/>
        <tr r="AG386" s="2"/>
        <tr r="AL420" s="2"/>
        <tr r="AE404" s="2"/>
        <tr r="AI289" s="2"/>
        <tr r="AD79" s="2"/>
        <tr r="AL262" s="2"/>
        <tr r="AE437" s="2"/>
        <tr r="AI167" s="2"/>
        <tr r="AL426" s="2"/>
        <tr r="AI394" s="2"/>
        <tr r="AG259" s="2"/>
        <tr r="AH391" s="2"/>
        <tr r="AI68" s="2"/>
        <tr r="AD200" s="2"/>
        <tr r="AH215" s="2"/>
        <tr r="AK166" s="2"/>
        <tr r="AH90" s="2"/>
        <tr r="AG424" s="2"/>
        <tr r="AD464" s="2"/>
        <tr r="AJ201" s="2"/>
        <tr r="AD132" s="2"/>
        <tr r="AE109" s="2"/>
        <tr r="AD438" s="2"/>
        <tr r="AH188" s="2"/>
        <tr r="AJ123" s="2"/>
        <tr r="AF32" s="2"/>
        <tr r="AH78" s="2"/>
        <tr r="AD82" s="2"/>
        <tr r="AD261" s="2"/>
        <tr r="AF128" s="2"/>
        <tr r="AG218" s="2"/>
        <tr r="AI445" s="2"/>
        <tr r="AF215" s="2"/>
        <tr r="AH381" s="2"/>
        <tr r="AI311" s="2"/>
        <tr r="AG372" s="2"/>
        <tr r="AE188" s="2"/>
        <tr r="AK394" s="2"/>
        <tr r="AL186" s="2"/>
        <tr r="AI450" s="2"/>
        <tr r="AL183" s="2"/>
        <tr r="AF212" s="2"/>
        <tr r="AJ256" s="2"/>
        <tr r="AH308" s="2"/>
        <tr r="AK216" s="2"/>
        <tr r="AK136" s="2"/>
        <tr r="AL85" s="2"/>
        <tr r="AJ424" s="2"/>
        <tr r="AK414" s="2"/>
        <tr r="AJ219" s="2"/>
        <tr r="AH21" s="2"/>
        <tr r="AD59" s="2"/>
        <tr r="AF126" s="2"/>
        <tr r="AK324" s="2"/>
        <tr r="AL32" s="2"/>
        <tr r="AI67" s="2"/>
        <tr r="AH315" s="2"/>
        <tr r="AH88" s="2"/>
        <tr r="AL252" s="2"/>
        <tr r="AL165" s="2"/>
        <tr r="AE195" s="2"/>
        <tr r="AE23" s="2"/>
        <tr r="AI291" s="2"/>
        <tr r="AK251" s="2"/>
        <tr r="AF108" s="2"/>
        <tr r="AD310" s="2"/>
        <tr r="AJ21" s="2"/>
        <tr r="AL107" s="2"/>
        <tr r="AG427" s="2"/>
        <tr r="AH266" s="2"/>
        <tr r="AF43" s="2"/>
        <tr r="AG252" s="2"/>
        <tr r="AL393" s="2"/>
        <tr r="AL200" s="2"/>
        <tr r="AG260" s="2"/>
        <tr r="AG201" s="2"/>
        <tr r="AG302" s="2"/>
        <tr r="AF394" s="2"/>
        <tr r="AD324" s="2"/>
        <tr r="AJ146" s="2"/>
        <tr r="AD136" s="2"/>
        <tr r="AJ297" s="2"/>
        <tr r="AD275" s="2"/>
        <tr r="AJ313" s="2"/>
        <tr r="AK14" s="2"/>
        <tr r="AL84" s="2"/>
        <tr r="AE86" s="2"/>
        <tr r="AK167" s="2"/>
        <tr r="AK342" s="2"/>
        <tr r="AG318" s="2"/>
        <tr r="AH450" s="2"/>
        <tr r="AE211" s="2"/>
        <tr r="AG219" s="2"/>
        <tr r="AF139" s="2"/>
        <tr r="AK187" s="2"/>
        <tr r="AH255" s="2"/>
        <tr r="AJ208" s="2"/>
        <tr r="AJ300" s="2"/>
        <tr r="AL65" s="2"/>
        <tr r="AK30" s="2"/>
        <tr r="AH51" s="2"/>
        <tr r="AI134" s="2"/>
        <tr r="AH280" s="2"/>
        <tr r="AF214" s="2"/>
        <tr r="AI360" s="2"/>
        <tr r="AH269" s="2"/>
        <tr r="AF310" s="2"/>
        <tr r="AE172" s="2"/>
        <tr r="AI44" s="2"/>
        <tr r="AH32" s="2"/>
        <tr r="AK272" s="2"/>
        <tr r="AD166" s="2"/>
        <tr r="AE216" s="2"/>
        <tr r="AL16" s="2"/>
        <tr r="AD60" s="2"/>
        <tr r="AK325" s="2"/>
        <tr r="AH179" s="2"/>
        <tr r="AI393" s="2"/>
        <tr r="AG185" s="2"/>
        <tr r="AK9" s="2"/>
        <tr r="AI463" s="2"/>
        <tr r="AD213" s="2"/>
        <tr r="AG68" s="2"/>
        <tr r="AH173" s="2"/>
        <tr r="AE96" s="2"/>
        <tr r="AK458" s="2"/>
        <tr r="AH61" s="2"/>
        <tr r="AL389" s="2"/>
        <tr r="AL69" s="2"/>
        <tr r="AJ59" s="2"/>
        <tr r="AJ49" s="2"/>
        <tr r="AE422" s="2"/>
        <tr r="AK463" s="2"/>
        <tr r="AL463" s="2"/>
        <tr r="AI299" s="2"/>
        <tr r="AH463" s="2"/>
        <tr r="AJ389" s="2"/>
        <tr r="AH319" s="2"/>
        <tr r="AJ43" s="2"/>
        <tr r="AI55" s="2"/>
        <tr r="AK133" s="2"/>
        <tr r="AG96" s="2"/>
        <tr r="AD348" s="2"/>
        <tr r="AD22" s="2"/>
        <tr r="AG26" s="2"/>
        <tr r="AK69" s="2"/>
        <tr r="AF370" s="2"/>
        <tr r="AD62" s="2"/>
        <tr r="AD29" s="2"/>
        <tr r="AD330" s="2"/>
        <tr r="AL192" s="2"/>
        <tr r="AJ382" s="2"/>
        <tr r="AI25" s="2"/>
        <tr r="AH83" s="2"/>
        <tr r="AK126" s="2"/>
        <tr r="AH273" s="2"/>
        <tr r="AD243" s="2"/>
        <tr r="AL295" s="2"/>
        <tr r="AD281" s="2"/>
        <tr r="AD367" s="2"/>
        <tr r="AH267" s="2"/>
        <tr r="AI312" s="2"/>
        <tr r="AH407" s="2"/>
        <tr r="AL304" s="2"/>
        <tr r="AL410" s="2"/>
        <tr r="AI26" s="2"/>
        <tr r="AK295" s="2"/>
        <tr r="AH225" s="2"/>
        <tr r="AK48" s="2"/>
        <tr r="AK55" s="2"/>
        <tr r="AI338" s="2"/>
        <tr r="AK465" s="2"/>
        <tr r="AD74" s="2"/>
        <tr r="AD32" s="2"/>
        <tr r="AG205" s="2"/>
        <tr r="AE68" s="2"/>
        <tr r="AL265" s="2"/>
        <tr r="AI40" s="2"/>
        <tr r="AI308" s="2"/>
        <tr r="AF317" s="2"/>
        <tr r="AD148" s="2"/>
        <tr r="AG170" s="2"/>
        <tr r="AG17" s="2"/>
        <tr r="AF87" s="2"/>
        <tr r="AF48" s="2"/>
        <tr r="AK298" s="2"/>
        <tr r="AE378" s="2"/>
        <tr r="AG397" s="2"/>
        <tr r="AI34" s="2"/>
        <tr r="AE50" s="2"/>
        <tr r="AD88" s="2"/>
        <tr r="AK287" s="2"/>
        <tr r="AF450" s="2"/>
        <tr r="AD180" s="2"/>
        <tr r="AD113" s="2"/>
        <tr r="AJ422" s="2"/>
        <tr r="AD19" s="2"/>
        <tr r="AK170" s="2"/>
        <tr r="AE337" s="2"/>
        <tr r="AD327" s="2"/>
        <tr r="AE358" s="2"/>
        <tr r="AE364" s="2"/>
        <tr r="AG454" s="2"/>
        <tr r="AD160" s="2"/>
        <tr r="AJ102" s="2"/>
        <tr r="AD419" s="2"/>
        <tr r="AF275" s="2"/>
        <tr r="AH236" s="2"/>
        <tr r="AD277" s="2"/>
        <tr r="AK437" s="2"/>
        <tr r="AH335" s="2"/>
        <tr r="AK334" s="2"/>
        <tr r="AG43" s="2"/>
        <tr r="AH98" s="2"/>
        <tr r="AL142" s="2"/>
        <tr r="AD15" s="2"/>
        <tr r="AH436" s="2"/>
        <tr r="AI314" s="2"/>
        <tr r="AD268" s="2"/>
        <tr r="AD314" s="2"/>
        <tr r="AD457" s="2"/>
        <tr r="AH379" s="2"/>
        <tr r="AD242" s="2"/>
        <tr r="AI250" s="2"/>
        <tr r="AF114" s="2"/>
        <tr r="AG402" s="2"/>
        <tr r="AI48" s="2"/>
        <tr r="AI429" s="2"/>
        <tr r="AD129" s="2"/>
        <tr r="AI374" s="2"/>
        <tr r="AG223" s="2"/>
        <tr r="AF263" s="2"/>
        <tr r="AL76" s="2"/>
        <tr r="AG90" s="2"/>
        <tr r="AH209" s="2"/>
        <tr r="AG76" s="2"/>
        <tr r="AF425" s="2"/>
        <tr r="AG267" s="2"/>
        <tr r="AE159" s="2"/>
        <tr r="AE269" s="2"/>
        <tr r="AL460" s="2"/>
        <tr r="AH143" s="2"/>
        <tr r="AG371" s="2"/>
        <tr r="AH73" s="2"/>
        <tr r="AJ262" s="2"/>
        <tr r="AG440" s="2"/>
        <tr r="AF232" s="2"/>
        <tr r="AD91" s="2"/>
        <tr r="AJ460" s="2"/>
        <tr r="AD249" s="2"/>
        <tr r="AE18" s="2"/>
        <tr r="AD130" s="2"/>
        <tr r="AE25" s="2"/>
        <tr r="AD319" s="2"/>
        <tr r="AD267" s="2"/>
        <tr r="AJ314" s="2"/>
        <tr r="AF167" s="2"/>
        <tr r="AI110" s="2"/>
        <tr r="AH401" s="2"/>
        <tr r="AF306" s="2"/>
        <tr r="AI97" s="2"/>
        <tr r="AE362" s="2"/>
        <tr r="AH252" s="2"/>
        <tr r="AI92" s="2"/>
        <tr r="AH417" s="2"/>
        <tr r="AF96" s="2"/>
        <tr r="AH160" s="2"/>
        <tr r="AH54" s="2"/>
        <tr r="AH129" s="2"/>
        <tr r="AH374" s="2"/>
        <tr r="AK310" s="2"/>
        <tr r="AF457" s="2"/>
        <tr r="AG404" s="2"/>
        <tr r="AK91" s="2"/>
        <tr r="AF8" s="2"/>
        <tr r="AK430" s="2"/>
        <tr r="AL345" s="2"/>
        <tr r="AG380" s="2"/>
        <tr r="AK312" s="2"/>
        <tr r="AD388" s="2"/>
        <tr r="AJ391" s="2"/>
        <tr r="AJ206" s="2"/>
        <tr r="AH92" s="2"/>
        <tr r="AI58" s="2"/>
        <tr r="AL258" s="2"/>
        <tr r="AD321" s="2"/>
        <tr r="AD360" s="2"/>
        <tr r="AL309" s="2"/>
        <tr r="AK76" s="2"/>
        <tr r="AH50" s="2"/>
        <tr r="AH351" s="2"/>
        <tr r="AF100" s="2"/>
        <tr r="AH145" s="2"/>
        <tr r="AJ450" s="2"/>
        <tr r="AD193" s="2"/>
        <tr r="AJ112" s="2"/>
        <tr r="AF56" s="2"/>
        <tr r="AH227" s="2"/>
        <tr r="AL88" s="2"/>
        <tr r="AL78" s="2"/>
        <tr r="AF66" s="2"/>
        <tr r="AH419" s="2"/>
        <tr r="AI285" s="2"/>
        <tr r="AD226" s="2"/>
        <tr r="AD23" s="2"/>
        <tr r="AK432" s="2"/>
        <tr r="AD317" s="2"/>
        <tr r="AH116" s="2"/>
        <tr r="AF414" s="2"/>
        <tr r="AI162" s="2"/>
        <tr r="AG98" s="2"/>
        <tr r="AL445" s="2"/>
        <tr r="AK461" s="2"/>
        <tr r="AE403" s="2"/>
        <tr r="AL378" s="2"/>
        <tr r="AE322" s="2"/>
        <tr r="AK360" s="2"/>
        <tr r="AG30" s="2"/>
        <tr r="AK452" s="2"/>
        <tr r="AF53" s="2"/>
        <tr r="AH133" s="2"/>
        <tr r="AK252" s="2"/>
        <tr r="AJ210" s="2"/>
        <tr r="AF16" s="2"/>
        <tr r="AE28" s="2"/>
        <tr r="AD237" s="2"/>
        <tr r="AF276" s="2"/>
        <tr r="AD142" s="2"/>
        <tr r="AE279" s="2"/>
        <tr r="AD16" s="2"/>
        <tr r="AF174" s="2"/>
        <tr r="AG172" s="2"/>
        <tr r="AJ86" s="2"/>
        <tr r="AI187" s="2"/>
        <tr r="AJ267" s="2"/>
        <tr r="AH317" s="2"/>
        <tr r="AK52" s="2"/>
        <tr r="AD205" s="2"/>
        <tr r="AK179" s="2"/>
        <tr r="AK18" s="2"/>
        <tr r="AD101" s="2"/>
        <tr r="AI111" s="2"/>
        <tr r="AI20" s="2"/>
        <tr r="AD259" s="2"/>
        <tr r="AG306" s="2"/>
        <tr r="AI324" s="2"/>
        <tr r="AD211" s="2"/>
        <tr r="AD427" s="2"/>
        <tr r="AH277" s="2"/>
        <tr r="AI138" s="2"/>
        <tr r="AG135" s="2"/>
        <tr r="AJ449" s="2"/>
        <tr r="AI317" s="2"/>
        <tr r="AF240" s="2"/>
        <tr r="AI245" s="2"/>
        <tr r="AE186" s="2"/>
        <tr r="AI351" s="2"/>
        <tr r="AK207" s="2"/>
        <tr r="AG411" s="2"/>
        <tr r="AD400" s="2"/>
        <tr r="AH246" s="2"/>
        <tr r="AL456" s="2"/>
        <tr r="AK407" s="2"/>
        <tr r="AK214" s="2"/>
        <tr r="AI99" s="2"/>
        <tr r="AE295" s="2"/>
        <tr r="AL305" s="2"/>
        <tr r="AH132" s="2"/>
        <tr r="AJ116" s="2"/>
        <tr r="AK185" s="2"/>
        <tr r="AK44" s="2"/>
        <tr r="AD361" s="2"/>
        <tr r="AL322" s="2"/>
        <tr r="AJ82" s="2"/>
        <tr r="AL327" s="2"/>
        <tr r="AH119" s="2"/>
        <tr r="AD80" s="2"/>
        <tr r="AJ388" s="2"/>
        <tr r="AE221" s="2"/>
        <tr r="AG422" s="2"/>
        <tr r="AG249" s="2"/>
        <tr r="AJ138" s="2"/>
        <tr r="AH437" s="2"/>
        <tr r="AE415" s="2"/>
        <tr r="AK231" s="2"/>
        <tr r="AD220" s="2"/>
        <tr r="AI95" s="2"/>
        <tr r="AD246" s="2"/>
        <tr r="AE387" s="2"/>
        <tr r="AG21" s="2"/>
        <tr r="AH258" s="2"/>
        <tr r="AI114" s="2"/>
        <tr r="AI304" s="2"/>
        <tr r="AI280" s="2"/>
        <tr r="AH443" s="2"/>
        <tr r="AG81" s="2"/>
        <tr r="AI298" s="2"/>
        <tr r="AG273" s="2"/>
        <tr r="AI126" s="2"/>
        <tr r="AG304" s="2"/>
        <tr r="AH283" s="2"/>
        <tr r="AH247" s="2"/>
        <tr r="AD156" s="2"/>
        <tr r="AF353" s="2"/>
        <tr r="AH139" s="2"/>
        <tr r="AH428" s="2"/>
        <tr r="AK120" s="2"/>
        <tr r="AI154" s="2"/>
        <tr r="AE254" s="2"/>
        <tr r="AE346" s="2"/>
        <tr r="AJ167" s="2"/>
        <tr r="AG351" s="2"/>
        <tr r="AI107" s="2"/>
        <tr r="AL278" s="2"/>
        <tr r="AD346" s="2"/>
        <tr r="AH131" s="2"/>
        <tr r="AD218" s="2"/>
        <tr r="AJ366" s="2"/>
        <tr r="AE101" s="2"/>
        <tr r="AG346" s="2"/>
        <tr r="AD108" s="2"/>
        <tr r="AD253" s="2"/>
        <tr r="AK445" s="2"/>
        <tr r="AK221" s="2"/>
        <tr r="AH59" s="2"/>
        <tr r="AD13" s="2"/>
        <tr r="AI109" s="2"/>
        <tr r="AL303" s="2"/>
        <tr r="AG142" s="2"/>
        <tr r="AH87" s="2"/>
        <tr r="AG278" s="2"/>
        <tr r="AE180" s="2"/>
        <tr r="AE326" s="2"/>
        <tr r="AG409" s="2"/>
        <tr r="AJ129" s="2"/>
        <tr r="AD232" s="2"/>
        <tr r="AE243" s="2"/>
        <tr r="AJ376" s="2"/>
        <tr r="AD203" s="2"/>
        <tr r="AG93" s="2"/>
        <tr r="AI108" s="2"/>
        <tr r="AJ459" s="2"/>
        <tr r="AI136" s="2"/>
        <tr r="AJ399" s="2"/>
        <tr r="AG370" s="2"/>
        <tr r="AI404" s="2"/>
        <tr r="AE349" s="2"/>
        <tr r="AF210" s="2"/>
        <tr r="AE311" s="2"/>
        <tr r="AK87" s="2"/>
        <tr r="AH412" s="2"/>
        <tr r="AL447" s="2"/>
        <tr r="AG312" s="2"/>
        <tr r="AF200" s="2"/>
        <tr r="AL269" s="2"/>
        <tr r="AG343" s="2"/>
        <tr r="AH278" s="2"/>
        <tr r="AG44" s="2"/>
        <tr r="AI127" s="2"/>
        <tr r="AI302" s="2"/>
        <tr r="AD262" s="2"/>
        <tr r="AF259" s="2"/>
        <tr r="AH338" s="2"/>
        <tr r="AG15" s="2"/>
        <tr r="AH300" s="2"/>
        <tr r="AF272" s="2"/>
        <tr r="AH422" s="2"/>
        <tr r="AE339" s="2"/>
        <tr r="AE27" s="2"/>
        <tr r="AL145" s="2"/>
        <tr r="AF7" s="2"/>
        <tr r="AJ175" s="2"/>
        <tr r="AF185" s="2"/>
        <tr r="AI64" s="2"/>
        <tr r="AD143" s="2"/>
        <tr r="AE171" s="2"/>
        <tr r="AE208" s="2"/>
        <tr r="AI380" s="2"/>
        <tr r="AE178" s="2"/>
        <tr r="AK95" s="2"/>
        <tr r="AK162" s="2"/>
        <tr r="AF81" s="2"/>
        <tr r="AJ99" s="2"/>
        <tr r="AL379" s="2"/>
        <tr r="AG53" s="2"/>
        <tr r="AD86" s="2"/>
        <tr r="AI220" s="2"/>
        <tr r="AG220" s="2"/>
        <tr r="AK182" s="2"/>
        <tr r="AJ411" s="2"/>
        <tr r="AK412" s="2"/>
        <tr r="AJ242" s="2"/>
        <tr r="AH353" s="2"/>
        <tr r="AH223" s="2"/>
        <tr r="AL179" s="2"/>
        <tr r="AL169" s="2"/>
        <tr r="AE272" s="2"/>
        <tr r="AH276" s="2"/>
        <tr r="AK26" s="2"/>
        <tr r="AG452" s="2"/>
        <tr r="AG329" s="2"/>
        <tr r="AI265" s="2"/>
        <tr r="AH142" s="2"/>
        <tr r="AD244" s="2"/>
        <tr r="AJ165" s="2"/>
        <tr r="AG183" s="2"/>
        <tr r="AK141" s="2"/>
        <tr r="AJ77" s="2"/>
        <tr r="AL61" s="2"/>
        <tr r="AJ69" s="2"/>
        <tr r="AL419" s="2"/>
        <tr r="AH403" s="2"/>
        <tr r="AG34" s="2"/>
        <tr r="AK379" s="2"/>
        <tr r="AG396" s="2"/>
        <tr r="AK434" s="2"/>
        <tr r="AE107" s="2"/>
        <tr r="AE125" s="2"/>
        <tr r="AD260" s="2"/>
        <tr r="AG332" s="2"/>
        <tr r="AG345" s="2"/>
        <tr r="AE251" s="2"/>
        <tr r="AL317" s="2"/>
        <tr r="AL337" s="2"/>
        <tr r="AG333" s="2"/>
        <tr r="AD391" s="2"/>
        <tr r="AD280" s="2"/>
        <tr r="AD50" s="2"/>
        <tr r="AH426" s="2"/>
        <tr r="AK191" s="2"/>
        <tr r="AG358" s="2"/>
        <tr r="AG227" s="2"/>
        <tr r="AI30" s="2"/>
        <tr r="AE416" s="2"/>
        <tr r="AG400" s="2"/>
        <tr r="AK348" s="2"/>
        <tr r="AJ246" s="2"/>
        <tr r="AL129" s="2"/>
        <tr r="AL220" s="2"/>
        <tr r="AD26" s="2"/>
        <tr r="AK196" s="2"/>
        <tr r="AG436" s="2"/>
        <tr r="AE445" s="2"/>
        <tr r="AJ333" s="2"/>
        <tr r="AG363" s="2"/>
        <tr r="AK427" s="2"/>
        <tr r="AF300" s="2"/>
        <tr r="AL149" s="2"/>
        <tr r="AJ409" s="2"/>
        <tr r="AL116" s="2"/>
        <tr r="AL270" s="2"/>
        <tr r="AK212" s="2"/>
        <tr r="AE34" s="2"/>
        <tr r="AL311" s="2"/>
        <tr r="AD56" s="2"/>
        <tr r="AI77" s="2"/>
        <tr r="AH222" s="2"/>
        <tr r="AD236" s="2"/>
        <tr r="AI56" s="2"/>
        <tr r="AL114" s="2"/>
        <tr r="AH125" s="2"/>
        <tr r="AD17" s="2"/>
        <tr r="AG284" s="2"/>
        <tr r="AH183" s="2"/>
        <tr r="AE336" s="2"/>
        <tr r="AI35" s="2"/>
        <tr r="AK418" s="2"/>
        <tr r="AL358" s="2"/>
        <tr r="AH10" s="2"/>
        <tr r="AJ316" s="2"/>
        <tr r="AJ286" s="2"/>
        <tr r="AD283" s="2"/>
        <tr r="AL185" s="2"/>
        <tr r="AK59" s="2"/>
        <tr r="AH350" s="2"/>
        <tr r="AG340" s="2"/>
        <tr r="AH382" s="2"/>
        <tr r="AF58" s="2"/>
        <tr r="AD435" s="2"/>
        <tr r="AI385" s="2"/>
        <tr r="AG204" s="2"/>
        <tr r="AF129" s="2"/>
        <tr r="AD98" s="2"/>
        <tr r="AL293" s="2"/>
        <tr r="AH199" s="2"/>
        <tr r="AF377" s="2"/>
        <tr r="AF27" s="2"/>
        <tr r="AL99" s="2"/>
        <tr r="AD252" s="2"/>
        <tr r="AD117" s="2"/>
        <tr r="AD8" s="2"/>
        <tr r="AF179" s="2"/>
        <tr r="AL152" s="2"/>
        <tr r="AL296" s="2"/>
        <tr r="AD71" s="2"/>
        <tr r="AK47" s="2"/>
        <tr r="AJ369" s="2"/>
        <tr r="AF208" s="2"/>
        <tr r="AD209" s="2"/>
        <tr r="AK36" s="2"/>
        <tr r="AI460" s="2"/>
        <tr r="AH23" s="2"/>
        <tr r="AK374" s="2"/>
        <tr r="AE315" s="2"/>
        <tr r="AE61" s="2"/>
        <tr r="AK224" s="2"/>
        <tr r="AJ78" s="2"/>
        <tr r="AI32" s="2"/>
        <tr r="AI65" s="2"/>
        <tr r="AG11" s="2"/>
        <tr r="AL266" s="2"/>
        <tr r="AH451" s="2"/>
        <tr r="AE203" s="2"/>
        <tr r="AD365" s="2"/>
        <tr r="AE179" s="2"/>
        <tr r="AK356" s="2"/>
        <tr r="AK459" s="2"/>
        <tr r="AG457" s="2"/>
        <tr r="AI47" s="2"/>
        <tr r="AI396" s="2"/>
        <tr r="AE430" s="2"/>
        <tr r="AD197" s="2"/>
        <tr r="AD340" s="2"/>
        <tr r="AK413" s="2"/>
        <tr r="AH330" s="2"/>
        <tr r="AG146" s="2"/>
        <tr r="AF444" s="2"/>
        <tr r="AG320" s="2"/>
        <tr r="AF420" s="2"/>
        <tr r="AI293" s="2"/>
        <tr r="AI66" s="2"/>
        <tr r="AF399" s="2"/>
        <tr r="AG82" s="2"/>
        <tr r="AD48" s="2"/>
        <tr r="AD183" s="2"/>
        <tr r="AI386" s="2"/>
        <tr r="AJ207" s="2"/>
        <tr r="AJ362" s="2"/>
        <tr r="AL326" s="2"/>
        <tr r="AF401" s="2"/>
        <tr r="AG195" s="2"/>
        <tr r="AI36" s="2"/>
        <tr r="AG191" s="2"/>
        <tr r="AD107" s="2"/>
        <tr r="AL373" s="2"/>
        <tr r="AG399" s="2"/>
        <tr r="AG51" s="2"/>
        <tr r="AF247" s="2"/>
        <tr r="AG297" s="2"/>
        <tr r="AH169" s="2"/>
        <tr r="AD401" s="2"/>
        <tr r="AG203" s="2"/>
        <tr r="AI320" s="2"/>
        <tr r="AG426" s="2"/>
        <tr r="AI315" s="2"/>
        <tr r="AI458" s="2"/>
        <tr r="AI370" s="2"/>
        <tr r="AG160" s="2"/>
        <tr r="AG105" s="2"/>
        <tr r="AI331" s="2"/>
        <tr r="AD123" s="2"/>
        <tr r="AI210" s="2"/>
        <tr r="AE436" s="2"/>
        <tr r="AE39" s="2"/>
        <tr r="AG381" s="2"/>
        <tr r="AE292" s="2"/>
        <tr r="AF94" s="2"/>
        <tr r="AJ55" s="2"/>
        <tr r="AG339" s="2"/>
        <tr r="AL382" s="2"/>
        <tr r="AF390" s="2"/>
        <tr r="AJ10" s="2"/>
        <tr r="AI156" s="2"/>
        <tr r="AE168" s="2"/>
        <tr r="AF131" s="2"/>
        <tr r="AD342" s="2"/>
        <tr r="AK67" s="2"/>
        <tr r="AJ141" s="2"/>
        <tr r="AF26" s="2"/>
        <tr r="AI181" s="2"/>
        <tr r="AL58" s="2"/>
        <tr r="AF163" s="2"/>
        <tr r="AD376" s="2"/>
        <tr r="AE124" s="2"/>
        <tr r="AH118" s="2"/>
        <tr r="AF415" s="2"/>
        <tr r="AJ215" s="2"/>
        <tr r="AH423" s="2"/>
        <tr r="AI281" s="2"/>
        <tr r="AI215" s="2"/>
        <tr r="AI121" s="2"/>
        <tr r="AH290" s="2"/>
        <tr r="AG45" s="2"/>
        <tr r="AG322" s="2"/>
        <tr r="AI295" s="2"/>
        <tr r="AJ419" s="2"/>
        <tr r="AL33" s="2"/>
        <tr r="AG274" s="2"/>
        <tr r="AG6" s="2"/>
        <tr r="AK72" s="2"/>
        <tr r="AF271" s="2"/>
        <tr r="AH310" s="2"/>
        <tr r="AE325" s="2"/>
        <tr r="AH103" s="2"/>
        <tr r="AJ199" s="2"/>
        <tr r="AH165" s="2"/>
        <tr r="AE139" s="2"/>
        <tr r="AF445" s="2"/>
        <tr r="AH265" s="2"/>
        <tr r="AH363" s="2"/>
        <tr r="AL63" s="2"/>
        <tr r="AF22" s="2"/>
        <tr r="AK148" s="2"/>
        <tr r="AG133" s="2"/>
        <tr r="AH211" s="2"/>
        <tr r="AG48" s="2"/>
        <tr r="AD112" s="2"/>
        <tr r="AD311" s="2"/>
        <tr r="AH108" s="2"/>
        <tr r="AI235" s="2"/>
        <tr r="AG387" s="2"/>
        <tr r="AH358" s="2"/>
        <tr r="AI23" s="2"/>
        <tr r="AI147" s="2"/>
        <tr r="AG338" s="2"/>
        <tr r="AG67" s="2"/>
        <tr r="AD278" s="2"/>
        <tr r="AI57" s="2"/>
        <tr r="AJ457" s="2"/>
        <tr r="AI376" s="2"/>
        <tr r="AK398" s="2"/>
        <tr r="AE263" s="2"/>
        <tr r="AI321" s="2"/>
        <tr r="AD362" s="2"/>
        <tr r="AJ148" s="2"/>
        <tr r="AF73" s="2"/>
        <tr r="AI410" s="2"/>
        <tr r="AL101" s="2"/>
        <tr r="AH352" s="2"/>
        <tr r="AI160" s="2"/>
        <tr r="AI19" s="2"/>
        <tr r="AF367" s="2"/>
        <tr r="AG293" s="2"/>
        <tr r="AJ195" s="2"/>
        <tr r="AI424" s="2"/>
        <tr r="AD55" s="2"/>
        <tr r="AD308" s="2"/>
        <tr r="AH29" s="2"/>
        <tr r="AF157" s="2"/>
        <tr r="AF378" s="2"/>
        <tr r="AG463" s="2"/>
        <tr r="AL375" s="2"/>
        <tr r="AJ182" s="2"/>
        <tr r="AE218" s="2"/>
        <tr r="AE70" s="2"/>
        <tr r="AL282" s="2"/>
        <tr r="AF161" s="2"/>
        <tr r="AK302" s="2"/>
        <tr r="AG448" s="2"/>
        <tr r="AL443" s="2"/>
        <tr r="AJ131" s="2"/>
        <tr r="AL226" s="2"/>
        <tr r="AI208" s="2"/>
        <tr r="AJ433" s="2"/>
        <tr r="AG171" s="2"/>
        <tr r="AK429" s="2"/>
        <tr r="AH238" s="2"/>
        <tr r="AG289" s="2"/>
        <tr r="AJ192" s="2"/>
        <tr r="AK299" s="2"/>
        <tr r="AL458" s="2"/>
        <tr r="AI402" s="2"/>
        <tr r="AE318" s="2"/>
        <tr r="AD423" s="2"/>
        <tr r="AJ80" s="2"/>
        <tr r="AD47" s="2"/>
        <tr r="AD347" s="2"/>
        <tr r="AL364" s="2"/>
        <tr r="AL462" s="2"/>
        <tr r="AH28" s="2"/>
        <tr r="AE118" s="2"/>
        <tr r="AL454" s="2"/>
        <tr r="AG196" s="2"/>
        <tr r="AJ244" s="2"/>
        <tr r="AF405" s="2"/>
        <tr r="AF338" s="2"/>
        <tr r="AL34" s="2"/>
        <tr r="AI49" s="2"/>
        <tr r="AL126" s="2"/>
        <tr r="AI301" s="2"/>
        <tr r="AE161" s="2"/>
        <tr r="AK256" s="2"/>
        <tr r="AE24" s="2"/>
        <tr r="AI183" s="2"/>
        <tr r="AF266" s="2"/>
        <tr r="AE461" s="2"/>
        <tr r="AE303" s="2"/>
        <tr r="AL191" s="2"/>
        <tr r="AJ75" s="2"/>
        <tr r="AF348" s="2"/>
        <tr r="AG9" s="2"/>
        <tr r="AI103" s="2"/>
        <tr r="AI415" s="2"/>
        <tr r="AK421" s="2"/>
        <tr r="AG103" s="2"/>
        <tr r="AI409" s="2"/>
        <tr r="AI336" s="2"/>
        <tr r="AJ41" s="2"/>
        <tr r="AJ9" s="2"/>
        <tr r="AG92" s="2"/>
        <tr r="AE402" s="2"/>
        <tr r="AE67" s="2"/>
        <tr r="AE411" s="2"/>
        <tr r="AK32" s="2"/>
        <tr r="AG376" s="2"/>
        <tr r="AI223" s="2"/>
        <tr r="AI310" s="2"/>
        <tr r="AF454" s="2"/>
        <tr r="AL246" s="2"/>
        <tr r="AK150" s="2"/>
        <tr r="AD162" s="2"/>
        <tr r="AD255" s="2"/>
        <tr r="AK438" s="2"/>
        <tr r="AD49" s="2"/>
        <tr r="AG415" s="2"/>
        <tr r="AL111" s="2"/>
        <tr r="AF229" s="2"/>
        <tr r="AD270" s="2"/>
        <tr r="AJ85" s="2"/>
        <tr r="AL238" s="2"/>
        <tr r="AI212" s="2"/>
        <tr r="AE371" s="2"/>
        <tr r="AJ293" s="2"/>
        <tr r="AJ299" s="2"/>
        <tr r="AF88" s="2"/>
        <tr r="AE147" s="2"/>
        <tr r="AK42" s="2"/>
        <tr r="AK46" s="2"/>
        <tr r="AD292" s="2"/>
        <tr r="AI219" s="2"/>
        <tr r="AG198" s="2"/>
        <tr r="AF147" s="2"/>
        <tr r="AE381" s="2"/>
        <tr r="AD339" s="2"/>
        <tr r="AG101" s="2"/>
        <tr r="AF312" s="2"/>
        <tr r="AH408" s="2"/>
        <tr r="AE238" s="2"/>
        <tr r="AK181" s="2"/>
        <tr r="AG147" s="2"/>
        <tr r="AE266" s="2"/>
        <tr r="AF45" s="2"/>
        <tr r="AF61" s="2"/>
        <tr r="AD131" s="2"/>
        <tr r="AI355" s="2"/>
        <tr r="AD404" s="2"/>
        <tr r="AK270" s="2"/>
        <tr r="AJ234" s="2"/>
        <tr r="AF268" s="2"/>
        <tr r="AK271" s="2"/>
        <tr r="AI365" s="2"/>
        <tr r="AF67" s="2"/>
        <tr r="AD44" s="2"/>
        <tr r="AL133" s="2"/>
        <tr r="AD276" s="2"/>
        <tr r="AE14" s="2"/>
        <tr r="AJ76" s="2"/>
        <tr r="AF309" s="2"/>
        <tr r="AE227" s="2"/>
        <tr r="AI184" s="2"/>
        <tr r="AG465" s="2"/>
        <tr r="AH228" s="2"/>
        <tr r="AE85" s="2"/>
        <tr r="AE35" s="2"/>
        <tr r="AL83" s="2"/>
        <tr r="AJ320" s="2"/>
        <tr r="AG403" s="2"/>
        <tr r="AJ257" s="2"/>
        <tr r="AG429" s="2"/>
        <tr r="AD454" s="2"/>
        <tr r="AG251" s="2"/>
        <tr r="AF411" s="2"/>
        <tr r="AJ100" s="2"/>
        <tr r="AD152" s="2"/>
        <tr r="AL57" s="2"/>
        <tr r="AE360" s="2"/>
        <tr r="AE132" s="2"/>
        <tr r="AE305" s="2"/>
        <tr r="AD25" s="2"/>
        <tr r="AI251" s="2"/>
        <tr r="AG421" s="2"/>
        <tr r="AI24" s="2"/>
        <tr r="AK428" s="2"/>
        <tr r="AL55" s="2"/>
        <tr r="AG66" s="2"/>
        <tr r="AJ304" s="2"/>
        <tr r="AE160" s="2"/>
        <tr r="AD410" s="2"/>
        <tr r="AH224" s="2"/>
        <tr r="AF365" s="2"/>
        <tr r="AG235" s="2"/>
        <tr r="AH115" s="2"/>
        <tr r="AF422" s="2"/>
        <tr r="AE19" s="2"/>
        <tr r="AJ15" s="2"/>
        <tr r="AD70" s="2"/>
        <tr r="AH172" s="2"/>
        <tr r="AG178" s="2"/>
        <tr r="AG352" s="2"/>
        <tr r="AE58" s="2"/>
        <tr r="AD429" s="2"/>
        <tr r="AF395" s="2"/>
        <tr r="AG413" s="2"/>
        <tr r="AI377" s="2"/>
        <tr r="AH442" s="2"/>
        <tr r="AI359" s="2"/>
        <tr r="AI33" s="2"/>
        <tr r="AE290" s="2"/>
        <tr r="AL119" s="2"/>
        <tr r="AL177" s="2"/>
        <tr r="AH435" s="2"/>
        <tr r="AK383" s="2"/>
        <tr r="AL367" s="2"/>
        <tr r="AE260" s="2"/>
        <tr r="AK289" s="2"/>
        <tr r="AI371" s="2"/>
        <tr r="AI190" s="2"/>
        <tr r="AE275" s="2"/>
        <tr r="AJ157" s="2"/>
        <tr r="AE10" s="2"/>
        <tr r="AD309" s="2"/>
        <tr r="AG324" s="2"/>
        <tr r="AK401" s="2"/>
        <tr r="AH25" s="2"/>
        <tr r="AF313" s="2"/>
        <tr r="AH152" s="2"/>
        <tr r="AE274" s="2"/>
        <tr r="AD178" s="2"/>
        <tr r="AK403" s="2"/>
        <tr r="AI243" s="2"/>
        <tr r="AF279" s="2"/>
        <tr r="AG128" s="2"/>
        <tr r="AF69" s="2"/>
        <tr r="AG389" s="2"/>
        <tr r="AG80" s="2"/>
        <tr r="AH126" s="2"/>
        <tr r="AI443" s="2"/>
        <tr r="AI102" s="2"/>
        <tr r="AH449" s="2"/>
        <tr r="AG271" s="2"/>
        <tr r="AK255" s="2"/>
        <tr r="AF20" s="2"/>
        <tr r="AH163" s="2"/>
        <tr r="AG107" s="2"/>
        <tr r="AJ431" s="2"/>
        <tr r="AF178" s="2"/>
        <tr r="AJ438" s="2"/>
        <tr r="AF159" s="2"/>
        <tr r="AK238" s="2"/>
        <tr r="AD352" s="2"/>
        <tr r="AE460" s="2"/>
        <tr r="AK311" s="2"/>
        <tr r="CF245" s="2"/>
        <tr r="AE239" s="2"/>
        <tr r="AG364" s="2"/>
        <tr r="AD170" s="2"/>
        <tr r="AD448" s="2"/>
        <tr r="AG233" s="2"/>
        <tr r="AD94" s="2"/>
        <tr r="AG258" s="2"/>
        <tr r="AE391" s="2"/>
        <tr r="AE249" s="2"/>
        <tr r="AJ243" s="2"/>
        <tr r="AI191" s="2"/>
        <tr r="AL406" s="2"/>
        <tr r="AD207" s="2"/>
        <tr r="AG359" s="2"/>
        <tr r="AE212" s="2"/>
        <tr r="AF410" s="2"/>
        <tr r="AI217" s="2"/>
        <tr r="AJ187" s="2"/>
        <tr r="AI198" s="2"/>
        <tr r="AK49" s="2"/>
        <tr r="AK280" s="2"/>
        <tr r="AK288" s="2"/>
        <tr r="AH210" s="2"/>
        <tr r="AE267" s="2"/>
        <tr r="AE119" s="2"/>
        <tr r="AI172" s="2"/>
        <tr r="AH406" s="2"/>
        <tr r="AJ375" s="2"/>
        <tr r="AG288" s="2"/>
        <tr r="AL430" s="2"/>
        <tr r="AD92" s="2"/>
        <tr r="AD462" s="2"/>
        <tr r="AD440" s="2"/>
        <tr r="AF447" s="2"/>
        <tr r="AL400" s="2"/>
        <tr r="AE457" s="2"/>
        <tr r="AI437" s="2"/>
        <tr r="AG112" s="2"/>
        <tr r="AG241" s="2"/>
        <tr r="AF141" s="2"/>
        <tr r="AI366" s="2"/>
        <tr r="AG209" s="2"/>
        <tr r="AF47" s="2"/>
        <tr r="AF39" s="2"/>
        <tr r="AJ115" s="2"/>
        <tr r="AH158" s="2"/>
        <tr r="AE196" s="2"/>
        <tr r="CF94" s="2"/>
        <tr r="AI384" s="2"/>
        <tr r="AH291" s="2"/>
        <tr r="AI207" s="2"/>
        <tr r="AG97" s="2"/>
        <tr r="AI414" s="2"/>
        <tr r="AD408" s="2"/>
        <tr r="AG65" s="2"/>
        <tr r="AD334" s="2"/>
        <tr r="AJ275" s="2"/>
        <tr r="AL459" s="2"/>
        <tr r="AG70" s="2"/>
        <tr r="AD461" s="2"/>
        <tr r="AF191" s="2"/>
        <tr r="AI236" s="2"/>
        <tr r="AL464" s="2"/>
        <tr r="AD266" s="2"/>
        <tr r="AD370" s="2"/>
        <tr r="AE343" s="2"/>
        <tr r="AF332" s="2"/>
        <tr r="AK454" s="2"/>
        <tr r="AJ251" s="2"/>
        <tr r="AF78" s="2"/>
        <tr r="AL279" s="2"/>
        <tr r="AL390" s="2"/>
        <tr r="AK204" s="2"/>
        <tr r="AI264" s="2"/>
        <tr r="AD208" s="2"/>
        <tr r="AG246" s="2"/>
        <tr r="AF403" s="2"/>
        <tr r="AH12" s="2"/>
        <tr r="AE128" s="2"/>
        <tr r="AD439" s="2"/>
        <tr r="AD201" s="2"/>
        <tr r="AD128" s="2"/>
        <tr r="AH387" s="2"/>
        <tr r="AG230" s="2"/>
        <tr r="AL168" s="2"/>
        <tr r="AI91" s="2"/>
        <tr r="AE66" s="2"/>
        <tr r="AH214" s="2"/>
        <tr r="AE190" s="2"/>
        <tr r="AE301" s="2"/>
        <tr r="AD52" s="2"/>
        <tr r="AH150" s="2"/>
        <tr r="AJ294" s="2"/>
        <tr r="AG282" s="2"/>
        <tr r="AH45" s="2"/>
        <tr r="AK369" s="2"/>
        <tr r="AE426" s="2"/>
        <tr r="AK446" s="2"/>
        <tr r="AJ415" s="2"/>
        <tr r="AG197" s="2"/>
        <tr r="AG187" s="2"/>
        <tr r="AG138" s="2"/>
        <tr r="AJ186" s="2"/>
        <tr r="AL425" s="2"/>
        <tr r="AD155" s="2"/>
        <tr r="AG39" s="2"/>
        <tr r="AD287" s="2"/>
        <tr r="AI457" s="2"/>
        <tr r="AJ25" s="2"/>
        <tr r="AG165" s="2"/>
        <tr r="AF71" s="2"/>
        <tr r="AH402" s="2"/>
        <tr r="AD65" s="2"/>
        <tr r="AL251" s="2"/>
        <tr r="AE316" s="2"/>
        <tr r="AD114" s="2"/>
        <tr r="AG214" s="2"/>
        <tr r="AG222" s="2"/>
        <tr r="AK7" s="2"/>
        <tr r="AI214" s="2"/>
        <tr r="AG353" s="2"/>
        <tr r="AD159" s="2"/>
        <tr r="AG37" s="2"/>
        <tr r="AD307" s="2"/>
        <tr r="AD459" s="2"/>
        <tr r="AE435" s="2"/>
        <tr r="AG162" s="2"/>
        <tr r="AF31" s="2"/>
        <tr r="AG334" s="2"/>
        <tr r="AJ443" s="2"/>
        <tr r="AE174" s="2"/>
        <tr r="AH274" s="2"/>
        <tr r="AF290" s="2"/>
        <tr r="AG261" s="2"/>
        <tr r="AF380" s="2"/>
        <tr r="AI403" s="2"/>
        <tr r="AI151" s="2"/>
        <tr r="AI313" s="2"/>
        <tr r="AE229" s="2"/>
        <tr r="AH388" s="2"/>
        <tr r="AD222" s="2"/>
        <tr r="AK395" s="2"/>
        <tr r="AE225" s="2"/>
        <tr r="AE374" s="2"/>
        <tr r="AE131" s="2"/>
        <tr r="AF419" s="2"/>
        <tr r="AJ462" s="2"/>
        <tr r="AD234" s="2"/>
        <tr r="AE410" s="2"/>
        <tr r="AE32" s="2"/>
        <tr r="AD75" s="2"/>
        <tr r="AJ74" s="2"/>
        <tr r="AF117" s="2"/>
        <tr r="AD104" s="2"/>
        <tr r="AG36" s="2"/>
        <tr r="AF339" s="2"/>
        <tr r="AG167" s="2"/>
        <tr r="AK315" s="2"/>
        <tr r="AK362" s="2"/>
        <tr r="AJ176" s="2"/>
        <tr r="AD43" s="2"/>
        <tr r="AH416" s="2"/>
        <tr r="AJ24" s="2"/>
        <tr r="AH257" s="2"/>
        <tr r="AF460" s="2"/>
        <tr r="AD240" s="2"/>
        <tr r="AD89" s="2"/>
        <tr r="AF217" s="2"/>
        <tr r="AE347" s="2"/>
        <tr r="AJ281" s="2"/>
        <tr r="AE351" s="2"/>
        <tr r="AF113" s="2"/>
        <tr r="AI256" s="2"/>
        <tr r="AE298" s="2"/>
        <tr r="AG464" s="2"/>
        <tr r="AL49" s="2"/>
        <tr r="AG122" s="2"/>
        <tr r="AL106" s="2"/>
        <tr r="AK305" s="2"/>
        <tr r="AF189" s="2"/>
        <tr r="AF451" s="2"/>
        <tr r="AH448" s="2"/>
        <tr r="AL6" s="2"/>
        <tr r="AG71" s="2"/>
        <tr r="AE450" s="2"/>
        <tr r="AE252" s="2"/>
        <tr r="AF158" s="2"/>
        <tr r="AF52" s="2"/>
        <tr r="AH447" s="2"/>
        <tr r="AI279" s="2"/>
        <tr r="AH8" s="2"/>
        <tr r="AD417" s="2"/>
        <tr r="AD399" s="2"/>
        <tr r="AD224" s="2"/>
        <tr r="AF59" s="2"/>
        <tr r="AJ194" s="2"/>
        <tr r="AJ421" s="2"/>
        <tr r="AK22" s="2"/>
        <tr r="AI221" s="2"/>
        <tr r="AJ395" s="2"/>
        <tr r="AJ127" s="2"/>
        <tr r="AD345" s="2"/>
        <tr r="AH453" s="2"/>
        <tr r="AH375" s="2"/>
        <tr r="AG314" s="2"/>
        <tr r="AI218" s="2"/>
        <tr r="AF254" s="2"/>
        <tr r="AG75" s="2"/>
        <tr r="AG121" s="2"/>
        <tr r="AD290" s="2"/>
        <tr r="AI157" s="2"/>
        <tr r="AG102" s="2"/>
        <tr r="AD418" s="2"/>
        <tr r="AH56" s="2"/>
        <tr r="AI405" s="2"/>
        <tr r="AD239" s="2"/>
        <tr r="AJ448" s="2"/>
        <tr r="AH332" s="2"/>
        <tr r="AG210" s="2"/>
        <tr r="AH264" s="2"/>
        <tr r="AE300" s="2"/>
        <tr r="AH307" s="2"/>
        <tr r="AG395" s="2"/>
        <tr r="AH184" s="2"/>
        <tr r="AF436" s="2"/>
        <tr r="AG254" s="2"/>
        <tr r="AE136" s="2"/>
        <tr r="AJ133" s="2"/>
        <tr r="AE313" s="2"/>
        <tr r="AG379" s="2"/>
        <tr r="AG13" s="2"/>
        <tr r="AD144" s="2"/>
        <tr r="AD63" s="2"/>
        <tr r="AD349" s="2"/>
        <tr r="AL71" s="2"/>
        <tr r="AF209" s="2"/>
        <tr r="AD153" s="2"/>
        <tr r="AE428" s="2"/>
        <tr r="AG130" s="2"/>
        <tr r="AJ220" s="2"/>
        <tr r="AF284" s="2"/>
        <tr r="AF133" s="2"/>
        <tr r="AH235" s="2"/>
        <tr r="AL235" s="2"/>
        <tr r="AD434" s="2"/>
        <tr r="CF148" s="2"/>
        <tr r="AF198" s="2"/>
        <tr r="AJ217" s="2"/>
        <tr r="AE16" s="2"/>
        <tr r="AJ354" s="2"/>
        <tr r="AD393" s="2"/>
        <tr r="AF91" s="2"/>
        <tr r="AG451" s="2"/>
        <tr r="AH292" s="2"/>
        <tr r="AG179" s="2"/>
        <tr r="AE142" s="2"/>
        <tr r="AE434" s="2"/>
        <tr r="AE62" s="2"/>
        <tr r="AF10" s="2"/>
        <tr r="AL130" s="2"/>
        <tr r="AF205" s="2"/>
        <tr r="AG127" s="2"/>
        <tr r="AK327" s="2"/>
        <tr r="AF132" s="2"/>
        <tr r="AH430" s="2"/>
        <tr r="AF33" s="2"/>
        <tr r="AD174" s="2"/>
        <tr r="AE464" s="2"/>
        <tr r="AF250" s="2"/>
        <tr r="AK293" s="2"/>
        <tr r="AE21" s="2"/>
        <tr r="AI397" s="2"/>
        <tr r="AD163" s="2"/>
        <tr r="AD190" s="2"/>
        <tr r="AD318" s="2"/>
        <tr r="AF216" s="2"/>
        <tr r="AD115" s="2"/>
        <tr r="AF423" s="2"/>
        <tr r="AK349" s="2"/>
        <tr r="AF402" s="2"/>
        <tr r="AI179" s="2"/>
        <tr r="AD337" s="2"/>
        <tr r="AD456" s="2"/>
        <tr r="AH127" s="2"/>
        <tr r="AF308" s="2"/>
        <tr r="AF109" s="2"/>
        <tr r="AL452" s="2"/>
        <tr r="AH399" s="2"/>
        <tr r="AH100" s="2"/>
        <tr r="AG461" s="2"/>
        <tr r="AH134" s="2"/>
        <tr r="AJ223" s="2"/>
        <tr r="AD90" s="2"/>
        <tr r="AD139" s="2"/>
        <tr r="AI428" s="2"/>
        <tr r="AE376" s="2"/>
        <tr r="AK202" s="2"/>
        <tr r="AL194" s="2"/>
        <tr r="AG240" s="2"/>
        <tr r="AE217" s="2"/>
        <tr r="AE207" s="2"/>
        <tr r="AL38" s="2"/>
        <tr r="AF234" s="2"/>
        <tr r="AF391" s="2"/>
        <tr r="AD256" s="2"/>
        <tr r="AE423" s="2"/>
        <tr r="AI288" s="2"/>
        <tr r="AI129" s="2"/>
        <tr r="AG177" s="2"/>
        <tr r="AE137" s="2"/>
        <tr r="AF248" s="2"/>
        <tr r="AF103" s="2"/>
        <tr r="AH203" s="2"/>
        <tr r="AK284" s="2"/>
        <tr r="AH438" s="2"/>
        <tr r="AF6" s="2"/>
        <tr r="AH182" s="2"/>
        <tr r="AI379" s="2"/>
        <tr r="AD185" s="2"/>
        <tr r="AD165" s="2"/>
        <tr r="AE148" s="2"/>
        <tr r="AF11" s="2"/>
        <tr r="AJ359" s="2"/>
        <tr r="AD135" s="2"/>
        <tr r="AG236" s="2"/>
        <tr r="AJ231" s="2"/>
        <tr r="AG85" s="2"/>
        <tr r="AJ348" s="2"/>
        <tr r="AH410" s="2"/>
        <tr r="AI449" s="2"/>
        <tr r="AI143" s="2"/>
        <tr r="AK96" s="2"/>
        <tr r="AL263" s="2"/>
        <tr r="AD453" s="2"/>
        <tr r="AG32" s="2"/>
        <tr r="AL144" s="2"/>
        <tr r="AI229" s="2"/>
        <tr r="AD182" s="2"/>
        <tr r="AE237" s="2"/>
        <tr r="AG392" s="2"/>
        <tr r="AE285" s="2"/>
        <tr r="AK13" s="2"/>
        <tr r="AJ412" s="2"/>
        <tr r="AI225" s="2"/>
        <tr r="AG407" s="2"/>
        <tr r="AF235" s="2"/>
        <tr r="AD54" s="2"/>
        <tr r="AD293" s="2"/>
        <tr r="AE250" s="2"/>
        <tr r="AE333" s="2"/>
        <tr r="AF347" s="2"/>
        <tr r="AK258" s="2"/>
        <tr r="AG221" s="2"/>
        <tr r="AD161" s="2"/>
        <tr r="AD212" s="2"/>
        <tr r="AI253" s="2"/>
        <tr r="AJ245" s="2"/>
        <tr r="AD296" s="2"/>
        <tr r="AH369" s="2"/>
        <tr r="AH325" s="2"/>
        <tr r="AD97" s="2"/>
        <tr r="AF270" s="2"/>
        <tr r="AH96" s="2"/>
        <tr r="AI459" s="2"/>
        <tr r="AG188" s="2"/>
        <tr r="AG310" s="2"/>
        <tr r="AH457" s="2"/>
        <tr r="AD106" s="2"/>
        <tr r="AD306" s="2"/>
        <tr r="AG224" s="2"/>
        <tr r="AE210" s="2"/>
        <tr r="AI364" s="2"/>
        <tr r="AF358" s="2"/>
        <tr r="AD140" s="2"/>
        <tr r="AE138" s="2"/>
        <tr r="AJ396" s="2"/>
        <tr r="AF385" s="2"/>
        <tr r="AF331" s="2"/>
        <tr r="AD120" s="2"/>
        <tr r="AI180" s="2"/>
        <tr r="CF310" s="2"/>
        <tr r="AE363" s="2"/>
        <tr r="AF264" s="2"/>
        <tr r="AD344" s="2"/>
        <tr r="AF145" s="2"/>
        <tr r="AG42" s="2"/>
        <tr r="AG347" s="2"/>
        <tr r="AK314" s="2"/>
        <tr r="AL381" s="2"/>
        <tr r="AD251" s="2"/>
        <tr r="AJ387" s="2"/>
        <tr r="AF335" s="2"/>
        <tr r="AE357" s="2"/>
        <tr r="AH81" s="2"/>
        <tr r="AF137" s="2"/>
        <tr r="AE134" s="2"/>
        <tr r="AL48" s="2"/>
        <tr r="AF400" s="2"/>
        <tr r="AI196" s="2"/>
        <tr r="AD323" s="2"/>
        <tr r="AE72" s="2"/>
        <tr r="AF211" s="2"/>
        <tr r="AF150" s="2"/>
        <tr r="AL448" s="2"/>
        <tr r="AF293" s="2"/>
        <tr r="AD312" s="2"/>
        <tr r="AD257" s="2"/>
        <tr r="AF120" s="2"/>
        <tr r="AI98" s="2"/>
        <tr r="AK296" s="2"/>
        <tr r="AJ11" s="2"/>
        <tr r="AD392" s="2"/>
        <tr r="AG120" s="2"/>
        <tr r="AF123" s="2"/>
        <tr r="AH311" s="2"/>
        <tr r="AH206" s="2"/>
        <tr r="AI216" s="2"/>
        <tr r="AH324" s="2"/>
        <tr r="AJ12" s="2"/>
        <tr r="AJ149" s="2"/>
        <tr r="AG393" s="2"/>
        <tr r="AI112" s="2"/>
        <tr r="AH72" s="2"/>
        <tr r="AG279" s="2"/>
        <tr r="AE141" s="2"/>
        <tr r="AF164" s="2"/>
        <tr r="AE287" s="2"/>
        <tr r="AG78" s="2"/>
        <tr r="AD412" s="2"/>
        <tr r="AE458" s="2"/>
        <tr r="AH89" s="2"/>
        <tr r="AE187" s="2"/>
        <tr r="AF359" s="2"/>
        <tr r="AG298" s="2"/>
        <tr r="AG262" s="2"/>
        <tr r="AD395" s="2"/>
        <tr r="AL271" s="2"/>
        <tr r="AG47" s="2"/>
        <tr r="AK391" s="2"/>
        <tr r="AF41" s="2"/>
        <tr r="AE71" s="2"/>
        <tr r="AD322" s="2"/>
        <tr r="AD433" s="2"/>
        <tr r="AF318" s="2"/>
        <tr r="AE265" s="2"/>
        <tr r="AI69" s="2"/>
        <tr r="AH378" s="2"/>
        <tr r="AG20" s="2"/>
        <tr r="AD39" s="2"/>
        <tr r="AD175" s="2"/>
        <tr r="AF459" s="2"/>
        <tr r="AE38" s="2"/>
        <tr r="AD406" s="2"/>
        <tr r="AG57" s="2"/>
        <tr r="AL346" s="2"/>
        <tr r="AK101" s="2"/>
        <tr r="AJ384" s="2"/>
        <tr r="AF351" s="2"/>
        <tr r="AJ404" s="2"/>
        <tr r="AE94" s="2"/>
        <tr r="AG383" s="2"/>
        <tr r="AH148" s="2"/>
        <tr r="AK335" s="2"/>
        <tr r="AH191" s="2"/>
        <tr r="AE367" s="2"/>
        <tr r="AH146" s="2"/>
        <tr r="CF412" s="2"/>
        <tr r="AL391" s="2"/>
        <tr r="AD357" s="2"/>
        <tr r="AF220" s="2"/>
        <tr r="AG19" s="2"/>
        <tr r="AG60" s="2"/>
        <tr r="AK265" s="2"/>
        <tr r="AE331" s="2"/>
        <tr r="AE37" s="2"/>
        <tr r="AG299" s="2"/>
        <tr r="AG184" s="2"/>
        <tr r="AI31" s="2"/>
        <tr r="AK38" s="2"/>
        <tr r="AD53" s="2"/>
        <tr r="CF44" s="2"/>
        <tr r="AH427" s="2"/>
        <tr r="AD407" s="2"/>
        <tr r="AD171" s="2"/>
        <tr r="AH296" s="2"/>
        <tr r="AE104" s="2"/>
        <tr r="AG152" s="2"/>
        <tr r="AL225" s="2"/>
        <tr r="AG12" s="2"/>
        <tr r="AH41" s="2"/>
        <tr r="AH400" s="2"/>
        <tr r="AF138" s="2"/>
        <tr r="AH105" s="2"/>
        <tr r="AG326" s="2"/>
        <tr r="AJ319" s="2"/>
        <tr r="AI261" s="2"/>
        <tr r="AF42" s="2"/>
        <tr r="AH11" s="2"/>
        <tr r="AF37" s="2"/>
        <tr r="AE74" s="2"/>
        <tr r="AH161" s="2"/>
        <tr r="CF264" s="2"/>
        <tr r="AG87" s="2"/>
        <tr r="AK10" s="2"/>
        <tr r="AD77" s="2"/>
        <tr r="AH316" s="2"/>
        <tr r="AE288" s="2"/>
        <tr r="AH42" s="2"/>
        <tr r="AF344" s="2"/>
        <tr r="AH256" s="2"/>
        <tr r="AF384" s="2"/>
        <tr r="AF180" s="2"/>
        <tr r="AF135" s="2"/>
        <tr r="AD355" s="2"/>
        <tr r="AG384" s="2"/>
        <tr r="AI244" s="2"/>
        <tr r="AE324" s="2"/>
        <tr r="AG378" s="2"/>
        <tr r="AG212" s="2"/>
        <tr r="AK29" s="2"/>
        <tr r="AD206" s="2"/>
        <tr r="AG438" s="2"/>
        <tr r="AG256" s="2"/>
        <tr r="AK94" s="2"/>
        <tr r="AJ204" s="2"/>
        <tr r="AF366" s="2"/>
        <tr r="AF249" s="2"/>
        <tr r="AF121" s="2"/>
        <tr r="AD72" s="2"/>
        <tr r="AH174" s="2"/>
        <tr r="AI316" s="2"/>
        <tr r="AE328" s="2"/>
        <tr r="AI441" s="2"/>
        <tr r="AE397" s="2"/>
        <tr r="AG123" s="2"/>
        <tr r="AF346" s="2"/>
        <tr r="AE425" s="2"/>
        <tr r="AK424" s="2"/>
        <tr r="AF333" s="2"/>
        <tr r="AI334" s="2"/>
        <tr r="AF251" s="2"/>
        <tr r="AD377" s="2"/>
        <tr r="AE87" s="2"/>
        <tr r="CF263" s="2"/>
        <tr r="AG155" s="2"/>
        <tr r="AE359" s="2"/>
        <tr r="CF179" s="2"/>
        <tr r="AF72" s="2"/>
        <tr r="AF199" s="2"/>
        <tr r="AG416" s="2"/>
        <tr r="AG295" s="2"/>
        <tr r="AD24" s="2"/>
        <tr r="AJ118" s="2"/>
        <tr r="AH249" s="2"/>
        <tr r="AD121" s="2"/>
        <tr r="AH18" s="2"/>
        <tr r="AJ393" s="2"/>
        <tr r="AG213" s="2"/>
        <tr r="AF412" s="2"/>
        <tr r="AF170" s="2"/>
        <tr r="AI349" s="2"/>
        <tr r="AJ103" s="2"/>
        <tr r="AJ95" s="2"/>
        <tr r="AK113" s="2"/>
        <tr r="AE386" s="2"/>
        <tr r="AF261" s="2"/>
        <tr r="AH36" s="2"/>
        <tr r="AH275" s="2"/>
        <tr r="AK440" s="2"/>
        <tr r="AF50" s="2"/>
        <tr r="AJ193" s="2"/>
        <tr r="AH367" s="2"/>
        <tr r="AF243" s="2"/>
        <tr r="AD299" s="2"/>
        <tr r="CF235" s="2"/>
        <tr r="AF34" s="2"/>
        <tr r="AG437" s="2"/>
        <tr r="AG94" s="2"/>
        <tr r="AF160" s="2"/>
        <tr r="AE175" s="2"/>
        <tr r="AH341" s="2"/>
        <tr r="AE206" s="2"/>
        <tr r="AE421" s="2"/>
        <tr r="AD198" s="2"/>
        <tr r="AH340" s="2"/>
        <tr r="AJ159" s="2"/>
        <tr r="AF93" s="2"/>
        <tr r="AK264" s="2"/>
        <tr r="AE236" s="2"/>
        <tr r="AF190" s="2"/>
        <tr r="AG190" s="2"/>
        <tr r="AG360" s="2"/>
        <tr r="AL113" s="2"/>
        <tr r="AD154" s="2"/>
        <tr r="AG269" s="2"/>
        <tr r="AG425" s="2"/>
        <tr r="AF118" s="2"/>
        <tr r="AH383" s="2"/>
        <tr r="AG355" s="2"/>
        <tr r="AD271" s="2"/>
        <tr r="AD111" s="2"/>
        <tr r="AH404" s="2"/>
        <tr r="AL356" s="2"/>
        <tr r="AD85" s="2"/>
        <tr r="AD225" s="2"/>
        <tr r="AD210" s="2"/>
        <tr r="AF206" s="2"/>
        <tr r="AJ423" s="2"/>
        <tr r="AG375" s="2"/>
        <tr r="AF89" s="2"/>
        <tr r="AE456" s="2"/>
        <tr r="AH326" s="2"/>
        <tr r="AF265" s="2"/>
        <tr r="AG275" s="2"/>
        <tr r="AF169" s="2"/>
        <tr r="AD167" s="2"/>
        <tr r="AE79" s="2"/>
        <tr r="AI373" s="2"/>
        <tr r="AK131" s="2"/>
        <tr r="AE373" s="2"/>
        <tr r="AL23" s="2"/>
        <tr r="AI303" s="2"/>
        <tr r="AL372" s="2"/>
        <tr r="AK125" s="2"/>
        <tr r="AK323" s="2"/>
        <tr r="AE53" s="2"/>
        <tr r="AG108" s="2"/>
        <tr r="AH113" s="2"/>
        <tr r="AL388" s="2"/>
        <tr r="AG253" s="2"/>
        <tr r="AF307" s="2"/>
        <tr r="AK209" s="2"/>
        <tr r="AF253" s="2"/>
        <tr r="AG182" s="2"/>
        <tr r="AH95" s="2"/>
        <tr r="AK111" s="2"/>
        <tr r="AI16" s="2"/>
        <tr r="AJ190" s="2"/>
        <tr r="AF294" s="2"/>
        <tr r="AH55" s="2"/>
        <tr r="AG366" s="2"/>
        <tr r="AG109" s="2"/>
        <tr r="AF60" s="2"/>
        <tr r="AK122" s="2"/>
        <tr r="AF177" s="2"/>
        <tr r="AH356" s="2"/>
        <tr r="AE446" s="2"/>
        <tr r="AF393" s="2"/>
        <tr r="AF430" s="2"/>
        <tr r="AI135" s="2"/>
        <tr r="AF90" s="2"/>
        <tr r="AG110" s="2"/>
        <tr r="AE304" s="2"/>
        <tr r="AE383" s="2"/>
        <tr r="AD394" s="2"/>
        <tr r="AD402" s="2"/>
        <tr r="AI368" s="2"/>
        <tr r="AD199" s="2"/>
        <tr r="AE90" s="2"/>
        <tr r="AG255" s="2"/>
        <tr r="AH458" s="2"/>
        <tr r="AI222" s="2"/>
        <tr r="AE154" s="2"/>
        <tr r="AF368" s="2"/>
        <tr r="AL289" s="2"/>
        <tr r="AG336" s="2"/>
        <tr r="AE29" s="2"/>
        <tr r="AL140" s="2"/>
        <tr r="AF413" s="2"/>
        <tr r="AE465" s="2"/>
        <tr r="AI362" s="2"/>
        <tr r="AE91" s="2"/>
        <tr r="AJ343" s="2"/>
        <tr r="AE45" s="2"/>
        <tr r="AI363" s="2"/>
        <tr r="CF201" s="2"/>
        <tr r="AI9" s="2"/>
        <tr r="AH68" s="2"/>
        <tr r="CF152" s="2"/>
        <tr r="CF338" s="2"/>
        <tr r="AF302" s="2"/>
        <tr r="AE451" s="2"/>
        <tr r="AK275" s="2"/>
        <tr r="AF9" s="2"/>
        <tr r="AD372" s="2"/>
        <tr r="AG321" s="2"/>
        <tr r="AG423" s="2"/>
        <tr r="AF151" s="2"/>
        <tr r="AF458" s="2"/>
        <tr r="AE232" s="2"/>
        <tr r="AF320" s="2"/>
        <tr r="CF313" s="2"/>
        <tr r="AE352" s="2"/>
        <tr r="AE116" s="2"/>
        <tr r="AI248" s="2"/>
        <tr r="AG88" s="2"/>
        <tr r="AE52" s="2"/>
        <tr r="AD119" s="2"/>
        <tr r="AH219" s="2"/>
        <tr r="AG194" s="2"/>
        <tr r="AE215" s="2"/>
        <tr r="AG377" s="2"/>
        <tr r="AE424" s="2"/>
        <tr r="AF97" s="2"/>
        <tr r="AE429" s="2"/>
        <tr r="AL18" s="2"/>
        <tr r="AD231" s="2"/>
        <tr r="AL276" s="2"/>
        <tr r="AF334" s="2"/>
        <tr r="AF79" s="2"/>
        <tr r="AF383" s="2"/>
        <tr r="AG202" s="2"/>
        <tr r="AF236" s="2"/>
        <tr r="AF409" s="2"/>
        <tr r="AE51" s="2"/>
        <tr r="AF201" s="2"/>
        <tr r="AE406" s="2"/>
        <tr r="AE166" s="2"/>
        <tr r="AF324" s="2"/>
        <tr r="AI399" s="2"/>
        <tr r="AD78" s="2"/>
        <tr r="CF35" s="2"/>
        <tr r="AG62" s="2"/>
        <tr r="AF363" s="2"/>
        <tr r="AF289" s="2"/>
        <tr r="CE284" s="2"/>
        <tr r="AK397" s="2"/>
        <tr r="CF157" s="2"/>
        <tr r="CF426" s="2"/>
        <tr r="AF341" s="2"/>
        <tr r="CE309" s="2"/>
        <tr r="AI89" s="2"/>
        <tr r="AD272" s="2"/>
        <tr r="AI41" s="2"/>
        <tr r="AL320" s="2"/>
        <tr r="AF213" s="2"/>
        <tr r="AI422" s="2"/>
        <tr r="AG193" s="2"/>
        <tr r="CF409" s="2"/>
        <tr r="AF242" s="2"/>
        <tr r="AE361" s="2"/>
        <tr r="AG52" s="2"/>
        <tr r="AF328" s="2"/>
        <tr r="AD30" s="2"/>
        <tr r="CD165" s="2"/>
        <tr r="AF396" s="2"/>
        <tr r="AH15" s="2"/>
        <tr r="AD396" s="2"/>
        <tr r="AG449" s="2"/>
        <tr r="CD247" s="2"/>
        <tr r="AG181" s="2"/>
        <tr r="CE418" s="2"/>
        <tr r="AF330" s="2"/>
        <tr r="AE121" s="2"/>
        <tr r="AE69" s="2"/>
        <tr r="AG141" s="2"/>
        <tr r="AI260" s="2"/>
        <tr r="AI6" s="2"/>
        <tr r="AK88" s="2"/>
        <tr r="AH157" s="2"/>
        <tr r="AE75" s="2"/>
        <tr r="CE310" s="2"/>
        <tr r="CF193" s="2"/>
        <tr r="AE165" s="2"/>
        <tr r="AE127" s="2"/>
        <tr r="CE301" s="2"/>
        <tr r="AD446" s="2"/>
        <tr r="AF119" s="2"/>
        <tr r="AF92" s="2"/>
        <tr r="AF187" s="2"/>
        <tr r="AE43" s="2"/>
        <tr r="AD331" s="2"/>
        <tr r="AE308" s="2"/>
        <tr r="AE30" s="2"/>
        <tr r="AE224" s="2"/>
        <tr r="CE439" s="2"/>
        <tr r="AH57" s="2"/>
        <tr r="AE200" s="2"/>
        <tr r="AE283" s="2"/>
        <tr r="AI185" s="2"/>
        <tr r="AH365" s="2"/>
        <tr r="AK27" s="2"/>
        <tr r="AG56" s="2"/>
        <tr r="AE144" s="2"/>
        <tr r="CF47" s="2"/>
        <tr r="CE259" s="2"/>
        <tr r="AE246" s="2"/>
        <tr r="AF364" s="2"/>
        <tr r="AG206" s="2"/>
        <tr r="CD271" s="2"/>
        <tr r="AF372" s="2"/>
        <tr r="AI141" s="2"/>
        <tr r="AH189" s="2"/>
        <tr r="AF280" s="2"/>
        <tr r="AD286" s="2"/>
        <tr r="AF369" s="2"/>
        <tr r="AL72" s="2"/>
        <tr r="AI39" s="2"/>
        <tr r="AE220" s="2"/>
        <tr r="AE163" s="2"/>
        <tr r="AG84" s="2"/>
        <tr r="AG132" s="2"/>
        <tr r="AI358" s="2"/>
        <tr r="AF345" s="2"/>
        <tr r="AK443" s="2"/>
        <tr r="AG453" s="2"/>
        <tr r="AH233" s="2"/>
        <tr r="AG296" s="2"/>
        <tr r="AE400" s="2"/>
        <tr r="AF406" s="2"/>
        <tr r="AD374" s="2"/>
        <tr r="AF373" s="2"/>
        <tr r="CF369" s="2"/>
        <tr r="AF282" s="2"/>
        <tr r="AI12" s="2"/>
        <tr r="AF398" s="2"/>
        <tr r="CF363" s="2"/>
        <tr r="AE454" s="2"/>
        <tr r="AF418" s="2"/>
        <tr r="AH241" s="2"/>
        <tr r="AJ17" s="2"/>
        <tr r="AG157" s="2"/>
        <tr r="AH106" s="2"/>
        <tr r="AG180" s="2"/>
        <tr r="AF446" s="2"/>
        <tr r="AG143" s="2"/>
        <tr r="AF12" s="2"/>
        <tr r="AH268" s="2"/>
        <tr r="AF429" s="2"/>
        <tr r="AD10" s="2"/>
        <tr r="AE112" s="2"/>
        <tr r="CF139" s="2"/>
        <tr r="AD238" s="2"/>
        <tr r="AI455" s="2"/>
        <tr r="AF172" s="2"/>
        <tr r="CE67" s="2"/>
        <tr r="AE20" s="2"/>
        <tr r="AE348" s="2"/>
        <tr r="AF305" s="2"/>
        <tr r="CF448" s="2"/>
        <tr r="AE341" s="2"/>
        <tr r="AI188" s="2"/>
        <tr r="AE56" s="2"/>
        <tr r="AF277" s="2"/>
        <tr r="AE231" s="2"/>
        <tr r="AE158" s="2"/>
        <tr r="CE362" s="2"/>
        <tr r="CE149" s="2"/>
        <tr r="AE329" s="2"/>
        <tr r="AE338" s="2"/>
        <tr r="AH344" s="2"/>
        <tr r="CE162" s="2"/>
        <tr r="AE277" s="2"/>
        <tr r="CF274" s="2"/>
        <tr r="AE185" s="2"/>
        <tr r="CF143" s="2"/>
        <tr r="CF141" s="2"/>
        <tr r="CE35" s="2"/>
        <tr r="CD421" s="2"/>
        <tr r="AE226" s="2"/>
        <tr r="AF257" s="2"/>
        <tr r="CF30" s="2"/>
        <tr r="AG244" s="2"/>
        <tr r="AF283" s="2"/>
        <tr r="CF53" s="2"/>
        <tr r="CF380" s="2"/>
        <tr r="CD25" s="2"/>
        <tr r="CF419" s="2"/>
        <tr r="CF327" s="2"/>
        <tr r="CD443" s="2"/>
        <tr r="CE441" s="2"/>
        <tr r="CF177" s="2"/>
        <tr r="CD105" s="2"/>
        <tr r="AF13" s="2"/>
        <tr r="AG158" s="2"/>
        <tr r="CE213" s="2"/>
        <tr r="CF211" s="2"/>
        <tr r="CE225" s="2"/>
        <tr r="CF243" s="2"/>
        <tr r="CE399" s="2"/>
        <tr r="AE222" s="2"/>
        <tr r="AE92" s="2"/>
        <tr r="AF349" s="2"/>
        <tr r="AL128" s="2"/>
        <tr r="AF239" s="2"/>
        <tr r="CF70" s="2"/>
        <tr r="CF294" s="2"/>
        <tr r="AF428" s="2"/>
        <tr r="CD308" s="2"/>
        <tr r="CF256" s="2"/>
        <tr r="CE148" s="2"/>
        <tr r="CE363" s="2"/>
        <tr r="CD58" s="2"/>
        <tr r="CF125" s="2"/>
        <tr r="CF20" s="2"/>
        <tr r="CF450" s="2"/>
        <tr r="AF329" s="2"/>
        <tr r="AF68" s="2"/>
        <tr r="CF386" s="2"/>
        <tr r="AK82" s="2"/>
        <tr r="AF202" s="2"/>
        <tr r="AD230" s="2"/>
        <tr r="CE116" s="2"/>
        <tr r="CF376" s="2"/>
        <tr r="CF48" s="2"/>
        <tr r="CE80" s="2"/>
        <tr r="CF416" s="2"/>
        <tr r="CD457" s="2"/>
        <tr r="AE438" s="2"/>
        <tr r="AF342" s="2"/>
        <tr r="CF332" s="2"/>
        <tr r="CF348" s="2"/>
        <tr r="AE204" s="2"/>
        <tr r="AF80" s="2"/>
        <tr r="CF77" s="2"/>
        <tr r="AF228" s="2"/>
        <tr r="CD380" s="2"/>
        <tr r="CF180" s="2"/>
        <tr r="CC189" s="2"/>
        <tr r="CE237" s="2"/>
        <tr r="AG307" s="2"/>
        <tr r="CF415" s="2"/>
        <tr r="CF234" s="2"/>
        <tr r="AF278" s="2"/>
        <tr r="CF103" s="2"/>
        <tr r="CF305" s="2"/>
        <tr r="CF49" s="2"/>
        <tr r="AE264" s="2"/>
        <tr r="AE242" s="2"/>
        <tr r="CF84" s="2"/>
        <tr r="CF222" s="2"/>
        <tr r="AF449" s="2"/>
        <tr r="AD99" s="2"/>
        <tr r="AF386" s="2"/>
        <tr r="CD38" s="2"/>
        <tr r="AF154" s="2"/>
        <tr r="AF152" s="2"/>
        <tr r="CF317" s="2"/>
        <tr r="CF149" s="2"/>
        <tr r="CF231" s="2"/>
        <tr r="CC162" s="2"/>
        <tr r="CF413" s="2"/>
        <tr r="AK235" s="2"/>
        <tr r="AG89" s="2"/>
        <tr r="AE230" s="2"/>
        <tr r="AF323" s="2"/>
        <tr r="CD338" s="2"/>
        <tr r="CF207" s="2"/>
        <tr r="CF422" s="2"/>
        <tr r="CE262" s="2"/>
        <tr r="CF155" s="2"/>
        <tr r="AH299" s="2"/>
        <tr r="CF249" s="2"/>
        <tr r="CE163" s="2"/>
        <tr r="AF421" s="2"/>
        <tr r="AG24" s="2"/>
        <tr r="AD21" s="2"/>
        <tr r="AE73" s="2"/>
        <tr r="CF333" s="2"/>
        <tr r="CF260" s="2"/>
        <tr r="CE454" s="2"/>
        <tr r="CF205" s="2"/>
        <tr r="CF309" s="2"/>
        <tr r="CE85" s="2"/>
        <tr r="AF233" s="2"/>
        <tr r="CF138" s="2"/>
        <tr r="AF130" s="2"/>
        <tr r="AD158" s="2"/>
        <tr r="CF147" s="2"/>
        <tr r="AF443" s="2"/>
        <tr r="CE359" s="2"/>
        <tr r="CE419" s="2"/>
        <tr r="CF176" s="2"/>
        <tr r="CF324" s="2"/>
        <tr r="CF104" s="2"/>
        <tr r="CF394" s="2"/>
        <tr r="CF106" s="2"/>
        <tr r="CF400" s="2"/>
        <tr r="CE245" s="2"/>
        <tr r="CF440" s="2"/>
        <tr r="CE234" s="2"/>
        <tr r="CF61" s="2"/>
        <tr r="CF131" s="2"/>
        <tr r="CE33" s="2"/>
        <tr r="CC20" s="2"/>
        <tr r="CF292" s="2"/>
        <tr r="AF241" s="2"/>
        <tr r="CF454" s="2"/>
        <tr r="CF187" s="2"/>
        <tr r="CF26" s="2"/>
        <tr r="CF113" s="2"/>
        <tr r="CF384" s="2"/>
        <tr r="CF135" s="2"/>
        <tr r="CE405" s="2"/>
        <tr r="CD310" s="2"/>
        <tr r="CF377" s="2"/>
        <tr r="CF399" s="2"/>
        <tr r="CF411" s="2"/>
        <tr r="CE292" s="2"/>
        <tr r="CE255" s="2"/>
        <tr r="AE389" s="2"/>
        <tr r="CF392" s="2"/>
        <tr r="CE127" s="2"/>
        <tr r="CF218" s="2"/>
        <tr r="CF6" s="2"/>
        <tr r="CF72" s="2"/>
        <tr r="CF7" s="2"/>
        <tr r="AG72" s="2"/>
        <tr r="AF193" s="2"/>
        <tr r="CF229" s="2"/>
        <tr r="AF144" s="2"/>
        <tr r="CE53" s="2"/>
        <tr r="CE336" s="2"/>
        <tr r="CF355" s="2"/>
        <tr r="AF301" s="2"/>
        <tr r="CF374" s="2"/>
        <tr r="CE84" s="2"/>
        <tr r="CD101" s="2"/>
        <tr r="CE52" s="2"/>
        <tr r="CF284" s="2"/>
        <tr r="CD220" s="2"/>
        <tr r="CF271" s="2"/>
        <tr r="CF164" s="2"/>
        <tr r="AE392" s="2"/>
        <tr r="AF434" s="2"/>
        <tr r="CF364" s="2"/>
        <tr r="CF29" s="2"/>
        <tr r="CF10" s="2"/>
        <tr r="CF128" s="2"/>
        <tr r="CD120" s="2"/>
        <tr r="CE59" s="2"/>
        <tr r="CD163" s="2"/>
        <tr r="CF246" s="2"/>
        <tr r="CE377" s="2"/>
        <tr r="CD275" s="2"/>
        <tr r="CF461" s="2"/>
        <tr r="CE352" s="2"/>
        <tr r="CF298" s="2"/>
        <tr r="CF381" s="2"/>
        <tr r="CF151" s="2"/>
        <tr r="AE117" s="2"/>
        <tr r="CF224" s="2"/>
        <tr r="CF330" s="2"/>
        <tr r="CE117" s="2"/>
        <tr r="CF236" s="2"/>
        <tr r="CE392" s="2"/>
        <tr r="CE361" s="2"/>
        <tr r="CC279" s="2"/>
        <tr r="CF432" s="2"/>
        <tr r="CE277" s="2"/>
        <tr r="CF189" s="2"/>
        <tr r="CE438" s="2"/>
        <tr r="CE299" s="2"/>
        <tr r="CE343" s="2"/>
        <tr r="CF36" s="2"/>
        <tr r="CD16" s="2"/>
        <tr r="CE348" s="2"/>
        <tr r="CF460" s="2"/>
        <tr r="CD342" s="2"/>
        <tr r="CF170" s="2"/>
        <tr r="CF192" s="2"/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4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Jay Mtei" refreshedDate="44308.00740023148" backgroundQuery="1" createdVersion="6" refreshedVersion="7" minRefreshableVersion="3" recordCount="0" supportSubquery="1" supportAdvancedDrill="1" xr:uid="{00000000-000A-0000-FFFF-FFFF00000000}">
  <cacheSource type="external" connectionId="1"/>
  <cacheFields count="6">
    <cacheField name="[DimDate].[MonthYear].[MonthYear]" caption="MonthYear" numFmtId="0" hierarchy="13" level="1">
      <sharedItems containsSemiMixedTypes="0" containsString="0"/>
    </cacheField>
    <cacheField name="[Measures].[HVL_ELIG]" caption="HVL_ELIG" numFmtId="0" hierarchy="659" level="32767"/>
    <cacheField name="[Measures].[HVL_N]" caption="HVL_N" numFmtId="0" hierarchy="656" level="32767"/>
    <cacheField name="[Measures].[HVL_D]" caption="HVL_D" numFmtId="0" hierarchy="655" level="32767"/>
    <cacheField name="[Facilities].[DATIMName].[DATIMName]" caption="DATIMName" numFmtId="0" hierarchy="22" level="1">
      <sharedItems count="307">
        <s v="[Facilities].[DATIMName].&amp;" c=""/>
        <s v="[Facilities].[DATIMName].&amp;[Africa Amini Momella Health Center]" c="Africa Amini Momella Health Center"/>
        <s v="[Facilities].[DATIMName].&amp;[Aga Khan Dispensary]" c="Aga Khan Dispensary"/>
        <s v="[Facilities].[DATIMName].&amp;[AICC Hospital]" c="AICC Hospital"/>
        <s v="[Facilities].[DATIMName].&amp;[Arusha Lutheran Center Hospital - Referral Hospital]" c="Arusha Lutheran Center Hospital - Referral Hospital"/>
        <s v="[Facilities].[DATIMName].&amp;[Ashe engai RC Health Center]" c="Ashe engai RC Health Center"/>
        <s v="[Facilities].[DATIMName].&amp;[Babati Hospital - District Hospital]" c="Babati Hospital - District Hospital"/>
        <s v="[Facilities].[DATIMName].&amp;[Babati Romancatholic Dispensary]" c="Babati Romancatholic Dispensary"/>
        <s v="[Facilities].[DATIMName].&amp;[Babayu Dispensary]" c="Babayu Dispensary"/>
        <s v="[Facilities].[DATIMName].&amp;[Bahi Health Center]" c="Bahi Health Center"/>
        <s v="[Facilities].[DATIMName].&amp;[Bashay Dispensary]" c="Bashay Dispensary"/>
        <s v="[Facilities].[DATIMName].&amp;[Bashnet Hospital]" c="Bashnet Hospital"/>
        <s v="[Facilities].[DATIMName].&amp;[Bassotu Ziwani Dispensary]" c="Bassotu Ziwani Dispensary"/>
        <s v="[Facilities].[DATIMName].&amp;[Benjamini Mkapa]" c="Benjamini Mkapa"/>
        <s v="[Facilities].[DATIMName].&amp;[Bereko Dispensary]" c="Bereko Dispensary"/>
        <s v="[Facilities].[DATIMName].&amp;[Bolisa Dispensary]" c="Bolisa Dispensary"/>
        <s v="[Facilities].[DATIMName].&amp;[Bondeni Dispensary]" c="Bondeni Dispensary"/>
        <s v="[Facilities].[DATIMName].&amp;[Bonga Health Center]" c="Bonga Health Center"/>
        <s v="[Facilities].[DATIMName].&amp;[Busi Health Center]" c="Busi Health Center"/>
        <s v="[Facilities].[DATIMName].&amp;[Bwagamoyo Dispensary]" c="Bwagamoyo Dispensary"/>
        <s v="[Facilities].[DATIMName].&amp;[Bwambo HC Health Center]" c="Bwambo HC Health Center"/>
        <s v="[Facilities].[DATIMName].&amp;[Chali Isangha Dispensary]" c="Chali Isangha Dispensary"/>
        <s v="[Facilities].[DATIMName].&amp;[Chambalo Dispensary]" c="Chambalo Dispensary"/>
        <s v="[Facilities].[DATIMName].&amp;[Chamkoroma Dispensary]" c="Chamkoroma Dispensary"/>
        <s v="[Facilities].[DATIMName].&amp;[Chamwino RHC Health Center]" c="Chamwino RHC Health Center"/>
        <s v="[Facilities].[DATIMName].&amp;[Charlotte Health Center]" c="Charlotte Health Center"/>
        <s v="[Facilities].[DATIMName].&amp;[Chekereni Dispensary]" c="Chekereni Dispensary"/>
        <s v="[Facilities].[DATIMName].&amp;[Chibelela Dispensary]" c="Chibelela Dispensary"/>
        <s v="[Facilities].[DATIMName].&amp;[Chifukuta Dispensary]" c="Chifukuta Dispensary"/>
        <s v="[Facilities].[DATIMName].&amp;[Chikola Dispensary]" c="Chikola Dispensary"/>
        <s v="[Facilities].[DATIMName].&amp;[Chipanga Health Center]" c="Chipanga Health Center"/>
        <s v="[Facilities].[DATIMName].&amp;[Chipogoro Dispensary]" c="Chipogoro Dispensary"/>
        <s v="[Facilities].[DATIMName].&amp;[Chiwe Dispensary]" c="Chiwe Dispensary"/>
        <s v="[Facilities].[DATIMName].&amp;[Chunyu Dispensary]" c="Chunyu Dispensary"/>
        <s v="[Facilities].[DATIMName].&amp;[Daraja II Health Center]" c="Daraja II Health Center"/>
        <s v="[Facilities].[DATIMName].&amp;[Dareda Mission Hospital - Designated District Hospital]" c="Dareda Mission Hospital - Designated District Hospital"/>
        <s v="[Facilities].[DATIMName].&amp;[Daudi Dispensary]" c="Daudi Dispensary"/>
        <s v="[Facilities].[DATIMName].&amp;[DCMC Health Center]" c="DCMC Health Center"/>
        <s v="[Facilities].[DATIMName].&amp;[Digodigo Dispensary]" c="Digodigo Dispensary"/>
        <s v="[Facilities].[DATIMName].&amp;[Dodoma Hospital - Regional Referral Hospital]" c="Dodoma Hospital - Regional Referral Hospital"/>
        <s v="[Facilities].[DATIMName].&amp;[Dongo Dispensary]" c="Dongo Dispensary"/>
        <s v="[Facilities].[DATIMName].&amp;[Dongobesh Health Center]" c="Dongobesh Health Center"/>
        <s v="[Facilities].[DATIMName].&amp;[ELERAI Dispensary]" c="ELERAI Dispensary"/>
        <s v="[Facilities].[DATIMName].&amp;[Emarti Dispensary]" c="Emarti Dispensary"/>
        <s v="[Facilities].[DATIMName].&amp;[Endabash Health Center]" c="Endabash Health Center"/>
        <s v="[Facilities].[DATIMName].&amp;[Endasak Dispensary]" c="Endasak Dispensary"/>
        <s v="[Facilities].[DATIMName].&amp;[Endulen Hospital - Other Hospital]" c="Endulen Hospital - Other Hospital"/>
        <s v="[Facilities].[DATIMName].&amp;[Engarenaibor Hospital]" c="Engarenaibor Hospital"/>
        <s v="[Facilities].[DATIMName].&amp;[Engusero Health Center]" c="Engusero Health Center"/>
        <s v="[Facilities].[DATIMName].&amp;[Fame Medical Health Center]" c="Fame Medical Health Center"/>
        <s v="[Facilities].[DATIMName].&amp;[Faraja Health Center]" c="Faraja Health Center"/>
        <s v="[Facilities].[DATIMName].&amp;[Gallapo Health Center]" c="Gallapo Health Center"/>
        <s v="[Facilities].[DATIMName].&amp;[Gelai Bomba Dispensary]" c="Gelai Bomba Dispensary"/>
        <s v="[Facilities].[DATIMName].&amp;[Gendabi Health Center]" c="Gendabi Health Center"/>
        <s v="[Facilities].[DATIMName].&amp;[Gidas Health Center]" c="Gidas Health Center"/>
        <s v="[Facilities].[DATIMName].&amp;[Gonja Lutheran Hospital - Other Hospital]" c="Gonja Lutheran Hospital - Other Hospital"/>
        <s v="[Facilities].[DATIMName].&amp;[Gunge Dispensary]" c="Gunge Dispensary"/>
        <s v="[Facilities].[DATIMName].&amp;[Hai Hospital - District Hospital]" c="Hai Hospital - District Hospital"/>
        <s v="[Facilities].[DATIMName].&amp;[Hamai Health Center]" c="Hamai Health Center"/>
        <s v="[Facilities].[DATIMName].&amp;[Haneti Health Center]" c="Haneti Health Center"/>
        <s v="[Facilities].[DATIMName].&amp;[Haubi VA Dispensary]" c="Haubi VA Dispensary"/>
        <s v="[Facilities].[DATIMName].&amp;[Haydarer Dispensary]" c="Haydarer Dispensary"/>
        <s v="[Facilities].[DATIMName].&amp;[Hedaru Health Center]" c="Hedaru Health Center"/>
        <s v="[Facilities].[DATIMName].&amp;[Himo COG Dispensary]" c="Himo COG Dispensary"/>
        <s v="[Facilities].[DATIMName].&amp;[Himo Health Center]" c="Himo Health Center"/>
        <s v="[Facilities].[DATIMName].&amp;[Hogoro Dispensary]" c="Hogoro Dispensary"/>
        <s v="[Facilities].[DATIMName].&amp;[Holili Health Centre Dispensary]" c="Holili Health Centre Dispensary"/>
        <s v="[Facilities].[DATIMName].&amp;[Hombolo Makulu Dispensary]" c="Hombolo Makulu Dispensary"/>
        <s v="[Facilities].[DATIMName].&amp;[Huruma Hospital - Designated District Hospital]" c="Huruma Hospital - Designated District Hospital"/>
        <s v="[Facilities].[DATIMName].&amp;[Hydom Hospital - Referral Hospital]" c="Hydom Hospital - Referral Hospital"/>
        <s v="[Facilities].[DATIMName].&amp;[Ibihwa Dispensary]" c="Ibihwa Dispensary"/>
        <s v="[Facilities].[DATIMName].&amp;[Ibugule Dispensary]" c="Ibugule Dispensary"/>
        <s v="[Facilities].[DATIMName].&amp;[Ibwaga Dispensary]" c="Ibwaga Dispensary"/>
        <s v="[Facilities].[DATIMName].&amp;[Iduo Dispensary]" c="Iduo Dispensary"/>
        <s v="[Facilities].[DATIMName].&amp;[Ihumwa Dispensary]" c="Ihumwa Dispensary"/>
        <s v="[Facilities].[DATIMName].&amp;[Inzomvu Dispensary]" c="Inzomvu Dispensary"/>
        <s v="[Facilities].[DATIMName].&amp;[Ipala Dispensary]" c="Ipala Dispensary"/>
        <s v="[Facilities].[DATIMName].&amp;[Ithnaasheri charitable Dispensary]" c="Ithnaasheri charitable Dispensary"/>
        <s v="[Facilities].[DATIMName].&amp;[Itolwa Dispensary]" c="Itolwa Dispensary"/>
        <s v="[Facilities].[DATIMName].&amp;[Kagongo Health Center]" c="Kagongo Health Center"/>
        <s v="[Facilities].[DATIMName].&amp;[Kainam Dispensary]" c="Kainam Dispensary"/>
        <s v="[Facilities].[DATIMName].&amp;[Kaloleni Health Center]" c="Kaloleni Health Center"/>
        <s v="[Facilities].[DATIMName].&amp;[KAM Med Health Centre Health Center]" c="KAM Med Health Centre Health Center"/>
        <s v="[Facilities].[DATIMName].&amp;[Kamwanga Dispensary]" c="Kamwanga Dispensary"/>
        <s v="[Facilities].[DATIMName].&amp;[Karatu Health Center]" c="Karatu Health Center"/>
        <s v="[Facilities].[DATIMName].&amp;[Karatu Lutheran Hospital - Designated District Hospital]" c="Karatu Lutheran Hospital - Designated District Hospital"/>
        <s v="[Facilities].[DATIMName].&amp;[Karume Health Center]" c="Karume Health Center"/>
        <s v="[Facilities].[DATIMName].&amp;[Katesh Health Center]" c="Katesh Health Center"/>
        <s v="[Facilities].[DATIMName].&amp;[KCMC Hospital - Zonal Super Specialist Hospital]" c="KCMC Hospital - Zonal Super Specialist Hospital"/>
        <s v="[Facilities].[DATIMName].&amp;[Kelema Dispensary]" c="Kelema Dispensary"/>
        <s v="[Facilities].[DATIMName].&amp;[Keni Health Center]" c="Keni Health Center"/>
        <s v="[Facilities].[DATIMName].&amp;[Ketumbeine Dispensary]" c="Ketumbeine Dispensary"/>
        <s v="[Facilities].[DATIMName].&amp;[KIA Dispensary]" c="KIA Dispensary"/>
        <s v="[Facilities].[DATIMName].&amp;[Kibaigwa Health Center]" c="Kibaigwa Health Center"/>
        <s v="[Facilities].[DATIMName].&amp;[Kibakwe Health Center]" c="Kibakwe Health Center"/>
        <s v="[Facilities].[DATIMName].&amp;[Kibaya Hospital - District Hospital]" c="Kibaya Hospital - District Hospital"/>
        <s v="[Facilities].[DATIMName].&amp;[Kibong'oto Infection Disease (KIDH) Hospital - National Super Specialist Hospital]" c="Kibong'oto Infection Disease (KIDH) Hospital - National Super Specialist Hospital"/>
        <s v="[Facilities].[DATIMName].&amp;[Kiboriloni Dispensary]" c="Kiboriloni Dispensary"/>
        <s v="[Facilities].[DATIMName].&amp;[Kibosho Hospital - Designated District Hospital]" c="Kibosho Hospital - Designated District Hospital"/>
        <s v="[Facilities].[DATIMName].&amp;[Kidoka Dispensary]" c="Kidoka Dispensary"/>
        <s v="[Facilities].[DATIMName].&amp;[Kifaru Dispensary]" c="Kifaru Dispensary"/>
        <s v="[Facilities].[DATIMName].&amp;[Kifula Health Center]" c="Kifula Health Center"/>
        <s v="[Facilities].[DATIMName].&amp;[Kigonigoni Health Center]" c="Kigonigoni Health Center"/>
        <s v="[Facilities].[DATIMName].&amp;[Kijenge RC Dispensary]" c="Kijenge RC Dispensary"/>
        <s v="[Facilities].[DATIMName].&amp;[Kijungu Dispensary]" c="Kijungu Dispensary"/>
        <s v="[Facilities].[DATIMName].&amp;[Kikarara Dispensary]" c="Kikarara Dispensary"/>
        <s v="[Facilities].[DATIMName].&amp;[Kikavu Chini Dispensary]" c="Kikavu Chini Dispensary"/>
        <s v="[Facilities].[DATIMName].&amp;[Kikombo Health Center]" c="Kikombo Health Center"/>
        <s v="[Facilities].[DATIMName].&amp;[Kikuyu Dispensary]" c="Kikuyu Dispensary"/>
        <s v="[Facilities].[DATIMName].&amp;[Kilema Hospital - Designated District Hospital]" c="Kilema Hospital - Designated District Hospital"/>
        <s v="[Facilities].[DATIMName].&amp;[Kilema Pofo Dispensary]" c="Kilema Pofo Dispensary"/>
        <s v="[Facilities].[DATIMName].&amp;[Kilimanjaro medical (PAPRI) Dispensary]" c="Kilimanjaro medical (PAPRI) Dispensary"/>
        <s v="[Facilities].[DATIMName].&amp;[Kilombero Dispensary]" c="Kilombero Dispensary"/>
        <s v="[Facilities].[DATIMName].&amp;[Kimotorok Dispensary]" c="Kimotorok Dispensary"/>
        <s v="[Facilities].[DATIMName].&amp;[Kingale Dispensary]" c="Kingale Dispensary"/>
        <s v="[Facilities].[DATIMName].&amp;[Kinyasi Dispensary]" c="Kinyasi Dispensary"/>
        <s v="[Facilities].[DATIMName].&amp;[Kioga Dispensary]" c="Kioga Dispensary"/>
        <s v="[Facilities].[DATIMName].&amp;[Kiongozi Dispensary]" c="Kiongozi Dispensary"/>
        <s v="[Facilities].[DATIMName].&amp;[Kiperesa Dispensary]" c="Kiperesa Dispensary"/>
        <s v="[Facilities].[DATIMName].&amp;[kipok Dispensary]" c="kipok Dispensary"/>
        <s v="[Facilities].[DATIMName].&amp;[Kiranyi Dispensary]" c="Kiranyi Dispensary"/>
        <s v="[Facilities].[DATIMName].&amp;[Kiru Dispensary]" c="Kiru Dispensary"/>
        <s v="[Facilities].[DATIMName].&amp;[Kirua Vunjo Health Center]" c="Kirua Vunjo Health Center"/>
        <s v="[Facilities].[DATIMName].&amp;[Kirurumo Health Center]" c="Kirurumo Health Center"/>
        <s v="[Facilities].[DATIMName].&amp;[Kirwa Mashati Health Center]" c="Kirwa Mashati Health Center"/>
        <s v="[Facilities].[DATIMName].&amp;[Kisangara Health Center]" c="Kisangara Health Center"/>
        <s v="[Facilities].[DATIMName].&amp;[Kisese RHC Health Center]" c="Kisese RHC Health Center"/>
        <s v="[Facilities].[DATIMName].&amp;[Kisiki Health Center]" c="Kisiki Health Center"/>
        <s v="[Facilities].[DATIMName].&amp;[Kisiwani Health Center]" c="Kisiwani Health Center"/>
        <s v="[Facilities].[DATIMName].&amp;[Kitwai A Dispensary]" c="Kitwai A Dispensary"/>
        <s v="[Facilities].[DATIMName].&amp;[Kondoa Hospital - District Hospital]" c="Kondoa Hospital - District Hospital"/>
        <s v="[Facilities].[DATIMName].&amp;[Kongogo Dispensary]" c="Kongogo Dispensary"/>
        <s v="[Facilities].[DATIMName].&amp;[Kongwa Hospital]" c="Kongwa Hospital"/>
        <s v="[Facilities].[DATIMName].&amp;[Korongoni Dispensary]" c="Korongoni Dispensary"/>
        <s v="[Facilities].[DATIMName].&amp;[Kwamtoro Health Centre]" c="Kwamtoro Health Centre"/>
        <s v="[Facilities].[DATIMName].&amp;[Kyomu Dispensary]" c="Kyomu Dispensary"/>
        <s v="[Facilities].[DATIMName].&amp;[Labay Pentecoste Dispensary]" c="Labay Pentecoste Dispensary"/>
        <s v="[Facilities].[DATIMName].&amp;[Laikala Dispensary]" c="Laikala Dispensary"/>
        <s v="[Facilities].[DATIMName].&amp;[Lamaiti Dispensary]" c="Lamaiti Dispensary"/>
        <s v="[Facilities].[DATIMName].&amp;[Lengasiti Dispensary]" c="Lengasiti Dispensary"/>
        <s v="[Facilities].[DATIMName].&amp;[Lerang'wa Dispensary]" c="Lerang'wa Dispensary"/>
        <s v="[Facilities].[DATIMName].&amp;[Levishi Dispensary]" c="Levishi Dispensary"/>
        <s v="[Facilities].[DATIMName].&amp;[Levolosi Health Center]" c="Levolosi Health Center"/>
        <s v="[Facilities].[DATIMName].&amp;[Loiborsiret Dispensary]" c="Loiborsiret Dispensary"/>
        <s v="[Facilities].[DATIMName].&amp;[Loliondo Health Center]" c="Loliondo Health Center"/>
        <s v="[Facilities].[DATIMName].&amp;[Lolkisale Dispensary]" c="Lolkisale Dispensary"/>
        <s v="[Facilities].[DATIMName].&amp;[Longido Health Center]" c="Longido Health Center"/>
        <s v="[Facilities].[DATIMName].&amp;[Lumuma RC Health Center]" c="Lumuma RC Health Center"/>
        <s v="[Facilities].[DATIMName].&amp;[M&amp;M Kiwera Dispensary]" c="M&amp;M Kiwera Dispensary"/>
        <s v="[Facilities].[DATIMName].&amp;[Mabogini Dispensary]" c="Mabogini Dispensary"/>
        <s v="[Facilities].[DATIMName].&amp;[Machame Hospital - Designated District Hospital]" c="Machame Hospital - Designated District Hospital"/>
        <s v="[Facilities].[DATIMName].&amp;[Magara Health Center]" c="Magara Health Center"/>
        <s v="[Facilities].[DATIMName].&amp;[Magugu Health Center]" c="Magugu Health Center"/>
        <s v="[Facilities].[DATIMName].&amp;[Mahomanyika Dispensary]" c="Mahomanyika Dispensary"/>
        <s v="[Facilities].[DATIMName].&amp;[Maili Sita RC Dispensary]" c="Maili Sita RC Dispensary"/>
        <s v="[Facilities].[DATIMName].&amp;[Majengo Health Center]" c="Majengo Health Center"/>
        <s v="[Facilities].[DATIMName].&amp;[Makaa Pumwani Dispensary]" c="Makaa Pumwani Dispensary"/>
        <s v="[Facilities].[DATIMName].&amp;[Makanya Health Center]" c="Makanya Health Center"/>
        <s v="[Facilities].[DATIMName].&amp;[Makanya Kitivo Dispensary]" c="Makanya Kitivo Dispensary"/>
        <s v="[Facilities].[DATIMName].&amp;[Makiba Health Center]" c="Makiba Health Center"/>
        <s v="[Facilities].[DATIMName].&amp;[Makole HC Health Center]" c="Makole HC Health Center"/>
        <s v="[Facilities].[DATIMName].&amp;[Makuyuni Dispensary]" c="Makuyuni Dispensary"/>
        <s v="[Facilities].[DATIMName].&amp;[Malambo Health Center]" c="Malambo Health Center"/>
        <s v="[Facilities].[DATIMName].&amp;[Malangi Dispensary]" c="Malangi Dispensary"/>
        <s v="[Facilities].[DATIMName].&amp;[Mamire Health Center]" c="Mamire Health Center"/>
        <s v="[Facilities].[DATIMName].&amp;[Manchali Dispensary]" c="Manchali Dispensary"/>
        <s v="[Facilities].[DATIMName].&amp;[Manyara Hospital - Regional Referral Hospital]" c="Manyara Hospital - Regional Referral Hospital"/>
        <s v="[Facilities].[DATIMName].&amp;[Maore Dispensary]" c="Maore Dispensary"/>
        <s v="[Facilities].[DATIMName].&amp;[Marangu Lutheran Hospital]" c="Marangu Lutheran Hospital"/>
        <s v="[Facilities].[DATIMName].&amp;[Maretadu Dispensary]" c="Maretadu Dispensary"/>
        <s v="[Facilities].[DATIMName].&amp;[Mareu Health Center]" c="Mareu Health Center"/>
        <s v="[Facilities].[DATIMName].&amp;[Masama Health Center]" c="Masama Health Center"/>
        <s v="[Facilities].[DATIMName].&amp;[Matui Azimio Dispensary]" c="Matui Azimio Dispensary"/>
        <s v="[Facilities].[DATIMName].&amp;[Matumbulu Dispensary]" c="Matumbulu Dispensary"/>
        <s v="[Facilities].[DATIMName].&amp;[Mawenzi Hospital - Regional Referral Hospital]" c="Mawenzi Hospital - Regional Referral Hospital"/>
        <s v="[Facilities].[DATIMName].&amp;[Mbande Dispensary]" c="Mbande Dispensary"/>
        <s v="[Facilities].[DATIMName].&amp;[Mbori Dispensary]" c="Mbori Dispensary"/>
        <s v="[Facilities].[DATIMName].&amp;[Mbuguni Health Center]" c="Mbuguni Health Center"/>
        <s v="[Facilities].[DATIMName].&amp;[Mbulu Hospital - District Hospital]" c="Mbulu Hospital - District Hospital"/>
        <s v="[Facilities].[DATIMName].&amp;[Mbuyuni Health Center]" c="Mbuyuni Health Center"/>
        <s v="[Facilities].[DATIMName].&amp;[Mererani RC Dispensary]" c="Mererani RC Dispensary"/>
        <s v="[Facilities].[DATIMName].&amp;[Meru Hospital - District Hospital]" c="Meru Hospital - District Hospital"/>
        <s v="[Facilities].[DATIMName].&amp;[Michese Dispensary]" c="Michese Dispensary"/>
        <s v="[Facilities].[DATIMName].&amp;[Mima Dispensary]" c="Mima Dispensary"/>
        <s v="[Facilities].[DATIMName].&amp;[Mirembe Mental Health (MMHH) Hospital - National Super Specialist Hospital]" c="Mirembe Mental Health (MMHH) Hospital - National Super Specialist Hospital"/>
        <s v="[Facilities].[DATIMName].&amp;[Mirerani UHC Health Center]" c="Mirerani UHC Health Center"/>
        <s v="[Facilities].[DATIMName].&amp;[Mkoka Health Centre]" c="Mkoka Health Centre"/>
        <s v="[Facilities].[DATIMName].&amp;[Mkondai Dispensary]" c="Mkondai Dispensary"/>
        <s v="[Facilities].[DATIMName].&amp;[Mkonoo Health Center]" c="Mkonoo Health Center"/>
        <s v="[Facilities].[DATIMName].&amp;[Mkonze Health Center]" c="Mkonze Health Center"/>
        <s v="[Facilities].[DATIMName].&amp;[Mlali Health Center]" c="Mlali Health Center"/>
        <s v="[Facilities].[DATIMName].&amp;[Mlowa Barabarani Health Center]" c="Mlowa Barabarani Health Center"/>
        <s v="[Facilities].[DATIMName].&amp;[Mnenia Health Center]" c="Mnenia Health Center"/>
        <s v="[Facilities].[DATIMName].&amp;[Moivo Dispensary]" c="Moivo Dispensary"/>
        <s v="[Facilities].[DATIMName].&amp;[Mondo Dispensary]" c="Mondo Dispensary"/>
        <s v="[Facilities].[DATIMName].&amp;[Monduli Hospital - District Hospital]" c="Monduli Hospital - District Hospital"/>
        <s v="[Facilities].[DATIMName].&amp;[Moshes Health Center]" c="Moshes Health Center"/>
        <s v="[Facilities].[DATIMName].&amp;[Mpalanga Dispensary]" c="Mpalanga Dispensary"/>
        <s v="[Facilities].[DATIMName].&amp;[Mpamatwa Dispensary]" c="Mpamatwa Dispensary"/>
        <s v="[Facilities].[DATIMName].&amp;[Mpunguzi Dispensary]" c="Mpunguzi Dispensary"/>
        <s v="[Facilities].[DATIMName].&amp;[Mpwapwa Hospital - District Hospital]" c="Mpwapwa Hospital - District Hospital"/>
        <s v="[Facilities].[DATIMName].&amp;[Mpwayungu Health Center]" c="Mpwayungu Health Center"/>
        <s v="[Facilities].[DATIMName].&amp;[Mrijo Health Center]" c="Mrijo Health Center"/>
        <s v="[Facilities].[DATIMName].&amp;[Msaranga Dispensary]" c="Msaranga Dispensary"/>
        <s v="[Facilities].[DATIMName].&amp;[Msisi Dispensary]" c="Msisi Dispensary"/>
        <s v="[Facilities].[DATIMName].&amp;[Msitu wa Tembo Dispensary]" c="Msitu wa Tembo Dispensary"/>
        <s v="[Facilities].[DATIMName].&amp;[Mt. Meru Hospital - Regional Referral Hospital]" c="Mt. Meru Hospital - Regional Referral Hospital"/>
        <s v="[Facilities].[DATIMName].&amp;[Mtakuja Dispensary]" c="Mtakuja Dispensary"/>
        <s v="[Facilities].[DATIMName].&amp;[Mtanana A Dispensary]" c="Mtanana A Dispensary"/>
        <s v="[Facilities].[DATIMName].&amp;[Mtitaa Health Center]" c="Mtitaa Health Center"/>
        <s v="[Facilities].[DATIMName].&amp;[Mto wa Mbu Health Center]" c="Mto wa Mbu Health Center"/>
        <s v="[Facilities].[DATIMName].&amp;[Mto wa Mbu RC Dispensary]" c="Mto wa Mbu RC Dispensary"/>
        <s v="[Facilities].[DATIMName].&amp;[Mundarara Dispensary]" c="Mundarara Dispensary"/>
        <s v="[Facilities].[DATIMName].&amp;[Mundemu Health Center]" c="Mundemu Health Center"/>
        <s v="[Facilities].[DATIMName].&amp;[Mvumi Mission Hospital - Designated District Hospital]" c="Mvumi Mission Hospital - Designated District Hospital"/>
        <s v="[Facilities].[DATIMName].&amp;[Mwada Dispensary]" c="Mwada Dispensary"/>
        <s v="[Facilities].[DATIMName].&amp;[Mwana Kianga Dispensary]" c="Mwana Kianga Dispensary"/>
        <s v="[Facilities].[DATIMName].&amp;[Mwandet Dispensary]" c="Mwandet Dispensary"/>
        <s v="[Facilities].[DATIMName].&amp;[Mwanga Health Center]" c="Mwanga Health Center"/>
        <s v="[Facilities].[DATIMName].&amp;[Mwika Health Center]" c="Mwika Health Center"/>
        <s v="[Facilities].[DATIMName].&amp;[Naberera Health Center]" c="Naberera Health Center"/>
        <s v="[Facilities].[DATIMName].&amp;[Naibili Dispensary]" c="Naibili Dispensary"/>
        <s v="[Facilities].[DATIMName].&amp;[Nainokanoka Health Center]" c="Nainokanoka Health Center"/>
        <s v="[Facilities].[DATIMName].&amp;[Naisinyai Dispensary]" c="Naisinyai Dispensary"/>
        <s v="[Facilities].[DATIMName].&amp;[Namalulu Dispensary]" c="Namalulu Dispensary"/>
        <s v="[Facilities].[DATIMName].&amp;[Namanga Dispensary]" c="Namanga Dispensary"/>
        <s v="[Facilities].[DATIMName].&amp;[Ndaleta Dispensary]" c="Ndaleta Dispensary"/>
        <s v="[Facilities].[DATIMName].&amp;[Ndedo Dispensary]" c="Ndedo Dispensary"/>
        <s v="[Facilities].[DATIMName].&amp;[Ndungu Health Center]" c="Ndungu Health Center"/>
        <s v="[Facilities].[DATIMName].&amp;[Nduruma Health Center]" c="Nduruma Health Center"/>
        <s v="[Facilities].[DATIMName].&amp;[Neema Health Center]" c="Neema Health Center"/>
        <s v="[Facilities].[DATIMName].&amp;[Ngage Dispensary]" c="Ngage Dispensary"/>
        <s v="[Facilities].[DATIMName].&amp;[Ngarenanyuki Health Center]" c="Ngarenanyuki Health Center"/>
        <s v="[Facilities].[DATIMName].&amp;[Ngarenaro Health Center]" c="Ngarenaro Health Center"/>
        <s v="[Facilities].[DATIMName].&amp;[Ngaresero Dispensary]" c="Ngaresero Dispensary"/>
        <s v="[Facilities].[DATIMName].&amp;[Nghonghonha Dispensary]" c="Nghonghonha Dispensary"/>
        <s v="[Facilities].[DATIMName].&amp;[Nghulugano Dispensary]" c="Nghulugano Dispensary"/>
        <s v="[Facilities].[DATIMName].&amp;[Ngomai Dispensary]" c="Ngomai Dispensary"/>
        <s v="[Facilities].[DATIMName].&amp;[Ngorbobo Dispensary]" c="Ngorbobo Dispensary"/>
        <s v="[Facilities].[DATIMName].&amp;[Ngorika Dispensary]" c="Ngorika Dispensary"/>
        <s v="[Facilities].[DATIMName].&amp;[Ngoyoni Hospital Hospital - Other Hospital]" c="Ngoyoni Hospital Hospital - Other Hospital"/>
        <s v="[Facilities].[DATIMName].&amp;[Njoge Dispensary]" c="Njoge Dispensary"/>
        <s v="[Facilities].[DATIMName].&amp;[Njoro Dispensary]" c="Njoro Dispensary"/>
        <s v="[Facilities].[DATIMName].&amp;[Nkhome Dispensary]" c="Nkhome Dispensary"/>
        <s v="[Facilities].[DATIMName].&amp;[Nkoaranga Hospital - Other Hospital]" c="Nkoaranga Hospital - Other Hospital"/>
        <s v="[Facilities].[DATIMName].&amp;[Nkwansira Health Center]" c="Nkwansira Health Center"/>
        <s v="[Facilities].[DATIMName].&amp;[Nyumba ya Mungu Dispensary]" c="Nyumba ya Mungu Dispensary"/>
        <s v="[Facilities].[DATIMName].&amp;[Nzungoni Dispensary]" c="Nzungoni Dispensary"/>
        <s v="[Facilities].[DATIMName].&amp;[Oldeani Health Center]" c="Oldeani Health Center"/>
        <s v="[Facilities].[DATIMName].&amp;[Oldonyo Sambu Health Center]" c="Oldonyo Sambu Health Center"/>
        <s v="[Facilities].[DATIMName].&amp;[Olkokola RC Dispensary]" c="Olkokola RC Dispensary"/>
        <s v="[Facilities].[DATIMName].&amp;[Oltrument Hospital - District Hospital]" c="Oltrument Hospital - District Hospital"/>
        <s v="[Facilities].[DATIMName].&amp;[Orkesumet KKKT Hospital]" c="Orkesumet KKKT Hospital"/>
        <s v="[Facilities].[DATIMName].&amp;[Orkesumet UHC Health Center]" c="Orkesumet UHC Health Center"/>
        <s v="[Facilities].[DATIMName].&amp;[Pahi Dispensary]" c="Pahi Dispensary"/>
        <s v="[Facilities].[DATIMName].&amp;[Pwaga Dispensary]" c="Pwaga Dispensary"/>
        <s v="[Facilities].[DATIMName].&amp;[Rau Dispensary]" c="Rau Dispensary"/>
        <s v="[Facilities].[DATIMName].&amp;[Riroda Dispensary]" c="Riroda Dispensary"/>
        <s v="[Facilities].[DATIMName].&amp;[Riroda public Dispensary]" c="Riroda public Dispensary"/>
        <s v="[Facilities].[DATIMName].&amp;[Rongai Dispensary]" c="Rongai Dispensary"/>
        <s v="[Facilities].[DATIMName].&amp;[Rudi Health Center]" c="Rudi Health Center"/>
        <s v="[Facilities].[DATIMName].&amp;[Rundugai Dispensary]" c="Rundugai Dispensary"/>
        <s v="[Facilities].[DATIMName].&amp;[Sabilo Dispensary]" c="Sabilo Dispensary"/>
        <s v="[Facilities].[DATIMName].&amp;[Sakami Dispensary]" c="Sakami Dispensary"/>
        <s v="[Facilities].[DATIMName].&amp;[Sambasha Dispensary]" c="Sambasha Dispensary"/>
        <s v="[Facilities].[DATIMName].&amp;[Same Hospital - District Hospital]" c="Same Hospital - District Hospital"/>
        <s v="[Facilities].[DATIMName].&amp;[Selela Dispensary]" c="Selela Dispensary"/>
        <s v="[Facilities].[DATIMName].&amp;[Selian Hospital - Designated District Hospital]" c="Selian Hospital - Designated District Hospital"/>
        <s v="[Facilities].[DATIMName].&amp;[Shengena Health Center]" c="Shengena Health Center"/>
        <s v="[Facilities].[DATIMName].&amp;[Shimbwe Health Center]" c="Shimbwe Health Center"/>
        <s v="[Facilities].[DATIMName].&amp;[Shiri Matunda Dispensary]" c="Shiri Matunda Dispensary"/>
        <s v="[Facilities].[DATIMName].&amp;[Shirimgungani Dispensary]" c="Shirimgungani Dispensary"/>
        <s v="[Facilities].[DATIMName].&amp;[Siha Health Center]" c="Siha Health Center"/>
        <s v="[Facilities].[DATIMName].&amp;[Siha Hospital - District Hospital]" c="Siha Hospital - District Hospital"/>
        <s v="[Facilities].[DATIMName].&amp;[Siima Health Center]" c="Siima Health Center"/>
        <s v="[Facilities].[DATIMName].&amp;[Simanjiro HC Health Center]" c="Simanjiro HC Health Center"/>
        <s v="[Facilities].[DATIMName].&amp;[Sombetini Dispensary]" c="Sombetini Dispensary"/>
        <s v="[Facilities].[DATIMName].&amp;[Songambele Dispensary]" c="Songambele Dispensary"/>
        <s v="[Facilities].[DATIMName].&amp;[Soya Dispensary]" c="Soya Dispensary"/>
        <s v="[Facilities].[DATIMName].&amp;[St Lukes Health Center]" c="St Lukes Health Center"/>
        <s v="[Facilities].[DATIMName].&amp;[St. Alois Health Center]" c="St. Alois Health Center"/>
        <s v="[Facilities].[DATIMName].&amp;[St. Elizabeth Hospital - Designated District Hospital]" c="St. Elizabeth Hospital - Designated District Hospital"/>
        <s v="[Facilities].[DATIMName].&amp;[St. Gemma Hospital - Designated District Hospital]" c="St. Gemma Hospital - Designated District Hospital"/>
        <s v="[Facilities].[DATIMName].&amp;[St. Joseph Hospital - Designated District Hospital]" c="St. Joseph Hospital - Designated District Hospital"/>
        <s v="[Facilities].[DATIMName].&amp;[St. Thomas Health Center]" c="St. Thomas Health Center"/>
        <s v="[Facilities].[DATIMName].&amp;[Sukuro Dispensary]" c="Sukuro Dispensary"/>
        <s v="[Facilities].[DATIMName].&amp;[Sunya Health Center]" c="Sunya Health Center"/>
        <s v="[Facilities].[DATIMName].&amp;[Tambi Dispensary]" c="Tambi Dispensary"/>
        <s v="[Facilities].[DATIMName].&amp;[Tarakea Health Center]" c="Tarakea Health Center"/>
        <s v="[Facilities].[DATIMName].&amp;[Terrat Dispensary]" c="Terrat Dispensary"/>
        <s v="[Facilities].[DATIMName].&amp;[Thawi Dispensary]" c="Thawi Dispensary"/>
        <s v="[Facilities].[DATIMName].&amp;[Themi Health Center]" c="Themi Health Center"/>
        <s v="[Facilities].[DATIMName].&amp;[TPC Hospital - Other Hospital]" c="TPC Hospital - Other Hospital"/>
        <s v="[Facilities].[DATIMName].&amp;[Tubugwe Dispensary]" c="Tubugwe Dispensary"/>
        <s v="[Facilities].[DATIMName].&amp;[Tumaini Hospital]" c="Tumaini Hospital"/>
        <s v="[Facilities].[DATIMName].&amp;[UDOM Health Center]" c="UDOM Health Center"/>
        <s v="[Facilities].[DATIMName].&amp;[Ugogoni Health Center]" c="Ugogoni Health Center"/>
        <s v="[Facilities].[DATIMName].&amp;[UMATI Clinic]" c="UMATI Clinic"/>
        <s v="[Facilities].[DATIMName].&amp;[Umbwe Health Center]" c="Umbwe Health Center"/>
        <s v="[Facilities].[DATIMName].&amp;[Upendo Dispensary]" c="Upendo Dispensary"/>
        <s v="[Facilities].[DATIMName].&amp;[Uru kaskazini Dispensary]" c="Uru kaskazini Dispensary"/>
        <s v="[Facilities].[DATIMName].&amp;[Uru Kyaseni Health Center]" c="Uru Kyaseni Health Center"/>
        <s v="[Facilities].[DATIMName].&amp;[Usa RC Health Center]" c="Usa RC Health Center"/>
        <s v="[Facilities].[DATIMName].&amp;[USA River Health Center]" c="USA River Health Center"/>
        <s v="[Facilities].[DATIMName].&amp;[Usangi Hospital - District Hospital]" c="Usangi Hospital - District Hospital"/>
        <s v="[Facilities].[DATIMName].&amp;[Village of Hope Health Center]" c="Village of Hope Health Center"/>
        <s v="[Facilities].[DATIMName].&amp;[Wasso Hospital - Designated District Hospital]" c="Wasso Hospital - Designated District Hospital"/>
      </sharedItems>
    </cacheField>
    <cacheField name="[Age Group].[AgeGroup_A_P].[AgeGroup_A_P]" caption="AgeGroup_A_P" numFmtId="0" hierarchy="2" level="1">
      <sharedItems count="3">
        <s v="[Age Group].[AgeGroup_A_P].&amp;[A]" c="A"/>
        <s v="[Age Group].[AgeGroup_A_P].&amp;[P]" c="P"/>
        <s v="[Age Group].[AgeGroup_A_P].&amp;" c=""/>
      </sharedItems>
    </cacheField>
  </cacheFields>
  <cacheHierarchies count="728">
    <cacheHierarchy uniqueName="[Age Group].[Age]" caption="Age" attribute="1" defaultMemberUniqueName="[Age Group].[Age].[All]" allUniqueName="[Age Group].[Age].[All]" dimensionUniqueName="[Age Group]" displayFolder="" count="0" unbalanced="0"/>
    <cacheHierarchy uniqueName="[Age Group].[AgeGroup]" caption="AgeGroup" attribute="1" defaultMemberUniqueName="[Age Group].[AgeGroup].[All]" allUniqueName="[Age Group].[AgeGroup].[All]" dimensionUniqueName="[Age Group]" displayFolder="" count="0" unbalanced="0"/>
    <cacheHierarchy uniqueName="[Age Group].[AgeGroup_A_P]" caption="AgeGroup_A_P" attribute="1" defaultMemberUniqueName="[Age Group].[AgeGroup_A_P].[All]" allUniqueName="[Age Group].[AgeGroup_A_P].[All]" dimensionUniqueName="[Age Group]" displayFolder="" count="2" unbalanced="0">
      <fieldsUsage count="2">
        <fieldUsage x="-1"/>
        <fieldUsage x="5"/>
      </fieldsUsage>
    </cacheHierarchy>
    <cacheHierarchy uniqueName="[DimDate].[Date]" caption="Date" attribute="1" defaultMemberUniqueName="[DimDate].[Date].[All]" allUniqueName="[DimDate].[Date].[All]" dimensionUniqueName="[DimDate]" displayFolder="" count="0" unbalanced="0"/>
    <cacheHierarchy uniqueName="[DimDate].[DateKey]" caption="DateKey" attribute="1" defaultMemberUniqueName="[DimDate].[DateKey].[All]" allUniqueName="[DimDate].[DateKey].[All]" dimensionUniqueName="[DimDate]" displayFolder="" count="0" unbalanced="0"/>
    <cacheHierarchy uniqueName="[DimDate].[DayName]" caption="DayName" attribute="1" defaultMemberUniqueName="[DimDate].[DayName].[All]" allUniqueName="[DimDate].[DayName].[All]" dimensionUniqueName="[DimDate]" displayFolder="" count="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unbalanced="0"/>
    <cacheHierarchy uniqueName="[DimDate].[FiscalQuarterName]" caption="FiscalQuarterName" attribute="1" defaultMemberUniqueName="[DimDate].[FiscalQuarterName].[All]" allUniqueName="[DimDate].[FiscalQuarterName].[All]" dimensionUniqueName="[DimDate]" displayFolder="" count="0" unbalanced="0"/>
    <cacheHierarchy uniqueName="[DimDate].[FiscalQuarterNum]" caption="FiscalQuarterNum" attribute="1" defaultMemberUniqueName="[DimDate].[FiscalQuarterNum].[All]" allUniqueName="[DimDate].[FiscalQuarterNum].[All]" dimensionUniqueName="[DimDate]" displayFolder="" count="0" unbalanced="0"/>
    <cacheHierarchy uniqueName="[DimDate].[FiscalYear]" caption="FiscalYear" attribute="1" defaultMemberUniqueName="[DimDate].[FiscalYear].[All]" allUniqueName="[DimDate].[FiscalYear].[All]" dimensionUniqueName="[DimDate]" displayFolder="" count="0" unbalanced="0"/>
    <cacheHierarchy uniqueName="[DimDate].[Month]" caption="Month" attribute="1" defaultMemberUniqueName="[DimDate].[Month].[All]" allUniqueName="[DimDate].[Month].[All]" dimensionUniqueName="[DimDate]" displayFolder="" count="0" unbalanced="0"/>
    <cacheHierarchy uniqueName="[DimDate].[MonthName]" caption="MonthName" attribute="1" defaultMemberUniqueName="[DimDate].[MonthName].[All]" allUniqueName="[DimDate].[MonthName].[All]" dimensionUniqueName="[DimDate]" displayFolder="" count="0" unbalanced="0"/>
    <cacheHierarchy uniqueName="[DimDate].[MonthNameShort]" caption="MonthNameShort" attribute="1" defaultMemberUniqueName="[DimDate].[MonthNameShort].[All]" allUniqueName="[DimDate].[MonthNameShort].[All]" dimensionUniqueName="[DimDate]" displayFolder="" count="0" unbalanced="0"/>
    <cacheHierarchy uniqueName="[DimDate].[MonthYear]" caption="MonthYear" attribute="1" defaultMemberUniqueName="[DimDate].[MonthYear].[All]" allUniqueName="[DimDate].[MonthYear].[All]" dimensionUniqueName="[DimDate]" displayFolder="" count="2" unbalanced="0">
      <fieldsUsage count="2">
        <fieldUsage x="-1"/>
        <fieldUsage x="0"/>
      </fieldsUsage>
    </cacheHierarchy>
    <cacheHierarchy uniqueName="[DimDate].[Quarter]" caption="Quarter" attribute="1" defaultMemberUniqueName="[DimDate].[Quarter].[All]" allUniqueName="[DimDate].[Quarter].[All]" dimensionUniqueName="[DimDate]" displayFolder="" count="0" unbalanced="0"/>
    <cacheHierarchy uniqueName="[DimDate].[QuarterName]" caption="QuarterName" attribute="1" defaultMemberUniqueName="[DimDate].[QuarterName].[All]" allUniqueName="[DimDate].[QuarterName].[All]" dimensionUniqueName="[DimDate]" displayFolder="" count="0" unbalanced="0"/>
    <cacheHierarchy uniqueName="[DimDate].[Year]" caption="Year" attribute="1" defaultMemberUniqueName="[DimDate].[Year].[All]" allUniqueName="[DimDate].[Year].[All]" dimensionUniqueName="[DimDate]" displayFolder="" count="0" unbalanced="0"/>
    <cacheHierarchy uniqueName="[Facilities].[AccessFilename]" caption="AccessFilename" attribute="1" defaultMemberUniqueName="[Facilities].[AccessFilename].[All]" allUniqueName="[Facilities].[AccessFilename].[All]" dimensionUniqueName="[Facilities]" displayFolder="" count="0" unbalanced="0"/>
    <cacheHierarchy uniqueName="[Facilities].[CTCPrefix]" caption="CTCPrefix" attribute="1" defaultMemberUniqueName="[Facilities].[CTCPrefix].[All]" allUniqueName="[Facilities].[CTCPrefix].[All]" dimensionUniqueName="[Facilities]" displayFolder="" count="0" unbalanced="0"/>
    <cacheHierarchy uniqueName="[Facilities].[DATIMCouncil]" caption="DATIMCouncil" attribute="1" defaultMemberUniqueName="[Facilities].[DATIMCouncil].[All]" allUniqueName="[Facilities].[DATIMCouncil].[All]" dimensionUniqueName="[Facilities]" displayFolder="" count="0" unbalanced="0"/>
    <cacheHierarchy uniqueName="[Facilities].[DATIMID]" caption="DATIMID" attribute="1" defaultMemberUniqueName="[Facilities].[DATIMID].[All]" allUniqueName="[Facilities].[DATIMID].[All]" dimensionUniqueName="[Facilities]" displayFolder="" count="0" unbalanced="0"/>
    <cacheHierarchy uniqueName="[Facilities].[DATIMID_USG]" caption="DATIMID_USG" attribute="1" defaultMemberUniqueName="[Facilities].[DATIMID_USG].[All]" allUniqueName="[Facilities].[DATIMID_USG].[All]" dimensionUniqueName="[Facilities]" displayFolder="" count="0" unbalanced="0"/>
    <cacheHierarchy uniqueName="[Facilities].[DATIMName]" caption="DATIMName" attribute="1" defaultMemberUniqueName="[Facilities].[DATIMName].[All]" allUniqueName="[Facilities].[DATIMName].[All]" dimensionUniqueName="[Facilities]" displayFolder="" count="2" unbalanced="0">
      <fieldsUsage count="2">
        <fieldUsage x="-1"/>
        <fieldUsage x="4"/>
      </fieldsUsage>
    </cacheHierarchy>
    <cacheHierarchy uniqueName="[Facilities].[DHISOwnership]" caption="DHISOwnership" attribute="1" defaultMemberUniqueName="[Facilities].[DHISOwnership].[All]" allUniqueName="[Facilities].[DHISOwnership].[All]" dimensionUniqueName="[Facilities]" displayFolder="" count="0" unbalanced="0"/>
    <cacheHierarchy uniqueName="[Facilities].[DHSID]" caption="DHSID" attribute="1" defaultMemberUniqueName="[Facilities].[DHSID].[All]" allUniqueName="[Facilities].[DHSID].[All]" dimensionUniqueName="[Facilities]" displayFolder="" count="0" unbalanced="0"/>
    <cacheHierarchy uniqueName="[Facilities].[DHSName]" caption="DHSName" attribute="1" defaultMemberUniqueName="[Facilities].[DHSName].[All]" allUniqueName="[Facilities].[DHSName].[All]" dimensionUniqueName="[Facilities]" displayFolder="" count="0" unbalanced="0"/>
    <cacheHierarchy uniqueName="[Facilities].[District]" caption="District" attribute="1" defaultMemberUniqueName="[Facilities].[District].[All]" allUniqueName="[Facilities].[District].[All]" dimensionUniqueName="[Facilities]" displayFolder="" count="0" unbalanced="0"/>
    <cacheHierarchy uniqueName="[Facilities].[DistrictRevised]" caption="DistrictRevised" attribute="1" defaultMemberUniqueName="[Facilities].[DistrictRevised].[All]" allUniqueName="[Facilities].[DistrictRevised].[All]" dimensionUniqueName="[Facilities]" displayFolder="" count="0" unbalanced="0"/>
    <cacheHierarchy uniqueName="[Facilities].[FacilityKey]" caption="FacilityKey" attribute="1" defaultMemberUniqueName="[Facilities].[FacilityKey].[All]" allUniqueName="[Facilities].[FacilityKey].[All]" dimensionUniqueName="[Facilities]" displayFolder="" count="0" unbalanced="0"/>
    <cacheHierarchy uniqueName="[Facilities].[FacilityName]" caption="FacilityName" attribute="1" defaultMemberUniqueName="[Facilities].[FacilityName].[All]" allUniqueName="[Facilities].[FacilityName].[All]" dimensionUniqueName="[Facilities]" displayFolder="" count="0" unbalanced="0"/>
    <cacheHierarchy uniqueName="[Facilities].[GlaserFacilityType]" caption="GlaserFacilityType" attribute="1" defaultMemberUniqueName="[Facilities].[GlaserFacilityType].[All]" allUniqueName="[Facilities].[GlaserFacilityType].[All]" dimensionUniqueName="[Facilities]" displayFolder="" count="0" unbalanced="0"/>
    <cacheHierarchy uniqueName="[Facilities].[GlaserID]" caption="GlaserID" attribute="1" defaultMemberUniqueName="[Facilities].[GlaserID].[All]" allUniqueName="[Facilities].[GlaserID].[All]" dimensionUniqueName="[Facilities]" displayFolder="" count="0" unbalanced="0"/>
    <cacheHierarchy uniqueName="[Facilities].[GlaserOwnership]" caption="GlaserOwnership" attribute="1" defaultMemberUniqueName="[Facilities].[GlaserOwnership].[All]" allUniqueName="[Facilities].[GlaserOwnership].[All]" dimensionUniqueName="[Facilities]" displayFolder="" count="0" unbalanced="0"/>
    <cacheHierarchy uniqueName="[Facilities].[HFRID]" caption="HFRID" attribute="1" defaultMemberUniqueName="[Facilities].[HFRID].[All]" allUniqueName="[Facilities].[HFRID].[All]" dimensionUniqueName="[Facilities]" displayFolder="" count="0" unbalanced="0"/>
    <cacheHierarchy uniqueName="[Facilities].[HFRID_USG]" caption="HFRID_USG" attribute="1" defaultMemberUniqueName="[Facilities].[HFRID_USG].[All]" allUniqueName="[Facilities].[HFRID_USG].[All]" dimensionUniqueName="[Facilities]" displayFolder="" count="0" unbalanced="0"/>
    <cacheHierarchy uniqueName="[Facilities].[latitude]" caption="latitude" attribute="1" defaultMemberUniqueName="[Facilities].[latitude].[All]" allUniqueName="[Facilities].[latitude].[All]" dimensionUniqueName="[Facilities]" displayFolder="" count="0" unbalanced="0"/>
    <cacheHierarchy uniqueName="[Facilities].[longitude]" caption="longitude" attribute="1" defaultMemberUniqueName="[Facilities].[longitude].[All]" allUniqueName="[Facilities].[longitude].[All]" dimensionUniqueName="[Facilities]" displayFolder="" count="0" unbalanced="0"/>
    <cacheHierarchy uniqueName="[Facilities].[ProgramYear]" caption="ProgramYear" attribute="1" defaultMemberUniqueName="[Facilities].[ProgramYear].[All]" allUniqueName="[Facilities].[ProgramYear].[All]" dimensionUniqueName="[Facilities]" displayFolder="" count="0" unbalanced="0"/>
    <cacheHierarchy uniqueName="[Facilities].[Region]" caption="Region" attribute="1" defaultMemberUniqueName="[Facilities].[Region].[All]" allUniqueName="[Facilities].[Region].[All]" dimensionUniqueName="[Facilities]" displayFolder="" count="0" unbalanced="0"/>
    <cacheHierarchy uniqueName="[Facilities].[ShortName]" caption="ShortName" attribute="1" defaultMemberUniqueName="[Facilities].[ShortName].[All]" allUniqueName="[Facilities].[ShortName].[All]" dimensionUniqueName="[Facilities]" displayFolder="" count="0" unbalanced="0"/>
    <cacheHierarchy uniqueName="[Facilities].[Tier]" caption="Tier" attribute="1" defaultMemberUniqueName="[Facilities].[Tier].[All]" allUniqueName="[Facilities].[Tier].[All]" dimensionUniqueName="[Facilities]" displayFolder="" count="0" unbalanced="0"/>
    <cacheHierarchy uniqueName="[Facilities].[Ward]" caption="Ward" attribute="1" defaultMemberUniqueName="[Facilities].[Ward].[All]" allUniqueName="[Facilities].[Ward].[All]" dimensionUniqueName="[Facilities]" displayFolder="" count="0" unbalanced="0"/>
    <cacheHierarchy uniqueName="[feb results].[agegp]" caption="agegp" attribute="1" defaultMemberUniqueName="[feb results].[agegp].[All]" allUniqueName="[feb results].[agegp].[All]" dimensionUniqueName="[feb results]" displayFolder="" count="0" unbalanced="0"/>
    <cacheHierarchy uniqueName="[feb results].[ageyrs]" caption="ageyrs" attribute="1" defaultMemberUniqueName="[feb results].[ageyrs].[All]" allUniqueName="[feb results].[ageyrs].[All]" dimensionUniqueName="[feb results]" displayFolder="" count="0" unbalanced="0"/>
    <cacheHierarchy uniqueName="[feb results].[art_814d]" caption="art_814d" attribute="1" defaultMemberUniqueName="[feb results].[art_814d].[All]" allUniqueName="[feb results].[art_814d].[All]" dimensionUniqueName="[feb results]" displayFolder="" count="0" unbalanced="0"/>
    <cacheHierarchy uniqueName="[feb results].[art_o15d]" caption="art_o15d" attribute="1" defaultMemberUniqueName="[feb results].[art_o15d].[All]" allUniqueName="[feb results].[art_o15d].[All]" dimensionUniqueName="[feb results]" displayFolder="" count="0" unbalanced="0"/>
    <cacheHierarchy uniqueName="[feb results].[art_u8]" caption="art_u8" attribute="1" defaultMemberUniqueName="[feb results].[art_u8].[All]" allUniqueName="[feb results].[art_u8].[All]" dimensionUniqueName="[feb results]" displayFolder="" count="0" unbalanced="0"/>
    <cacheHierarchy uniqueName="[feb results].[council]" caption="council" attribute="1" defaultMemberUniqueName="[feb results].[council].[All]" allUniqueName="[feb results].[council].[All]" dimensionUniqueName="[feb results]" displayFolder="" count="0" unbalanced="0"/>
    <cacheHierarchy uniqueName="[feb results].[datimname]" caption="datimname" attribute="1" defaultMemberUniqueName="[feb results].[datimname].[All]" allUniqueName="[feb results].[datimname].[All]" dimensionUniqueName="[feb results]" displayFolder="" count="0" unbalanced="0"/>
    <cacheHierarchy uniqueName="[feb results].[datimuid]" caption="datimuid" attribute="1" defaultMemberUniqueName="[feb results].[datimuid].[All]" allUniqueName="[feb results].[datimuid].[All]" dimensionUniqueName="[feb results]" displayFolder="" count="0" unbalanced="0"/>
    <cacheHierarchy uniqueName="[feb results].[died]" caption="died" attribute="1" defaultMemberUniqueName="[feb results].[died].[All]" allUniqueName="[feb results].[died].[All]" dimensionUniqueName="[feb results]" displayFolder="" count="0" unbalanced="0"/>
    <cacheHierarchy uniqueName="[feb results].[district]" caption="district" attribute="1" defaultMemberUniqueName="[feb results].[district].[All]" allUniqueName="[feb results].[district].[All]" dimensionUniqueName="[feb results]" displayFolder="" count="0" unbalanced="0"/>
    <cacheHierarchy uniqueName="[feb results].[hvl_d]" caption="hvl_d" attribute="1" defaultMemberUniqueName="[feb results].[hvl_d].[All]" allUniqueName="[feb results].[hvl_d].[All]" dimensionUniqueName="[feb results]" displayFolder="" count="0" unbalanced="0"/>
    <cacheHierarchy uniqueName="[feb results].[hvl_d_u15]" caption="hvl_d_u15" attribute="1" defaultMemberUniqueName="[feb results].[hvl_d_u15].[All]" allUniqueName="[feb results].[hvl_d_u15].[All]" dimensionUniqueName="[feb results]" displayFolder="" count="0" unbalanced="0"/>
    <cacheHierarchy uniqueName="[feb results].[hvl_u1k_n]" caption="hvl_u1k_n" attribute="1" defaultMemberUniqueName="[feb results].[hvl_u1k_n].[All]" allUniqueName="[feb results].[hvl_u1k_n].[All]" dimensionUniqueName="[feb results]" displayFolder="" count="0" unbalanced="0"/>
    <cacheHierarchy uniqueName="[feb results].[hvl_u1k_n_u15]" caption="hvl_u1k_n_u15" attribute="1" defaultMemberUniqueName="[feb results].[hvl_u1k_n_u15].[All]" allUniqueName="[feb results].[hvl_u1k_n_u15].[All]" dimensionUniqueName="[feb results]" displayFolder="" count="0" unbalanced="0"/>
    <cacheHierarchy uniqueName="[feb results].[hvlelig]" caption="hvlelig" attribute="1" defaultMemberUniqueName="[feb results].[hvlelig].[All]" allUniqueName="[feb results].[hvlelig].[All]" dimensionUniqueName="[feb results]" displayFolder="" count="0" unbalanced="0"/>
    <cacheHierarchy uniqueName="[feb results].[hvlelig_u15]" caption="hvlelig_u15" attribute="1" defaultMemberUniqueName="[feb results].[hvlelig_u15].[All]" allUniqueName="[feb results].[hvlelig_u15].[All]" dimensionUniqueName="[feb results]" displayFolder="" count="0" unbalanced="0"/>
    <cacheHierarchy uniqueName="[feb results].[missedapp]" caption="missedapp" attribute="1" defaultMemberUniqueName="[feb results].[missedapp].[All]" allUniqueName="[feb results].[missedapp].[All]" dimensionUniqueName="[feb results]" displayFolder="" count="0" unbalanced="0"/>
    <cacheHierarchy uniqueName="[feb results].[mmp_1m]" caption="mmp_1m" attribute="1" defaultMemberUniqueName="[feb results].[mmp_1m].[All]" allUniqueName="[feb results].[mmp_1m].[All]" dimensionUniqueName="[feb results]" displayFolder="" count="0" unbalanced="0"/>
    <cacheHierarchy uniqueName="[feb results].[mmp_2m]" caption="mmp_2m" attribute="1" defaultMemberUniqueName="[feb results].[mmp_2m].[All]" allUniqueName="[feb results].[mmp_2m].[All]" dimensionUniqueName="[feb results]" displayFolder="" count="0" unbalanced="0"/>
    <cacheHierarchy uniqueName="[feb results].[mmp_3m]" caption="mmp_3m" attribute="1" defaultMemberUniqueName="[feb results].[mmp_3m].[All]" allUniqueName="[feb results].[mmp_3m].[All]" dimensionUniqueName="[feb results]" displayFolder="" count="0" unbalanced="0"/>
    <cacheHierarchy uniqueName="[feb results].[mmp_6m]" caption="mmp_6m" attribute="1" defaultMemberUniqueName="[feb results].[mmp_6m].[All]" allUniqueName="[feb results].[mmp_6m].[All]" dimensionUniqueName="[feb results]" displayFolder="" count="0" unbalanced="0"/>
    <cacheHierarchy uniqueName="[feb results].[noDBsubmitted]" caption="noDBsubmitted" attribute="1" defaultMemberUniqueName="[feb results].[noDBsubmitted].[All]" allUniqueName="[feb results].[noDBsubmitted].[All]" dimensionUniqueName="[feb results]" displayFolder="" count="0" unbalanced="0"/>
    <cacheHierarchy uniqueName="[feb results].[region]" caption="region" attribute="1" defaultMemberUniqueName="[feb results].[region].[All]" allUniqueName="[feb results].[region].[All]" dimensionUniqueName="[feb results]" displayFolder="" count="0" unbalanced="0"/>
    <cacheHierarchy uniqueName="[feb results].[t_tc_mmd3to5m_o15_f]" caption="t_tc_mmd3to5m_o15_f" attribute="1" defaultMemberUniqueName="[feb results].[t_tc_mmd3to5m_o15_f].[All]" allUniqueName="[feb results].[t_tc_mmd3to5m_o15_f].[All]" dimensionUniqueName="[feb results]" displayFolder="" count="0" unbalanced="0"/>
    <cacheHierarchy uniqueName="[feb results].[t_tc_mmd3to5m_o15_m]" caption="t_tc_mmd3to5m_o15_m" attribute="1" defaultMemberUniqueName="[feb results].[t_tc_mmd3to5m_o15_m].[All]" allUniqueName="[feb results].[t_tc_mmd3to5m_o15_m].[All]" dimensionUniqueName="[feb results]" displayFolder="" count="0" unbalanced="0"/>
    <cacheHierarchy uniqueName="[feb results].[t_tc_mmd3to5m_u15_f]" caption="t_tc_mmd3to5m_u15_f" attribute="1" defaultMemberUniqueName="[feb results].[t_tc_mmd3to5m_u15_f].[All]" allUniqueName="[feb results].[t_tc_mmd3to5m_u15_f].[All]" dimensionUniqueName="[feb results]" displayFolder="" count="0" unbalanced="0"/>
    <cacheHierarchy uniqueName="[feb results].[t_tc_mmd3to5m_u15_m]" caption="t_tc_mmd3to5m_u15_m" attribute="1" defaultMemberUniqueName="[feb results].[t_tc_mmd3to5m_u15_m].[All]" allUniqueName="[feb results].[t_tc_mmd3to5m_u15_m].[All]" dimensionUniqueName="[feb results]" displayFolder="" count="0" unbalanced="0"/>
    <cacheHierarchy uniqueName="[feb results].[t_tc_mmdo6m_o15_f]" caption="t_tc_mmdo6m_o15_f" attribute="1" defaultMemberUniqueName="[feb results].[t_tc_mmdo6m_o15_f].[All]" allUniqueName="[feb results].[t_tc_mmdo6m_o15_f].[All]" dimensionUniqueName="[feb results]" displayFolder="" count="0" unbalanced="0"/>
    <cacheHierarchy uniqueName="[feb results].[t_tc_mmdo6m_o15_m]" caption="t_tc_mmdo6m_o15_m" attribute="1" defaultMemberUniqueName="[feb results].[t_tc_mmdo6m_o15_m].[All]" allUniqueName="[feb results].[t_tc_mmdo6m_o15_m].[All]" dimensionUniqueName="[feb results]" displayFolder="" count="0" unbalanced="0"/>
    <cacheHierarchy uniqueName="[feb results].[t_tc_mmdo6m_u15_f]" caption="t_tc_mmdo6m_u15_f" attribute="1" defaultMemberUniqueName="[feb results].[t_tc_mmdo6m_u15_f].[All]" allUniqueName="[feb results].[t_tc_mmdo6m_u15_f].[All]" dimensionUniqueName="[feb results]" displayFolder="" count="0" unbalanced="0"/>
    <cacheHierarchy uniqueName="[feb results].[t_tc_mmdo6m_u15_m]" caption="t_tc_mmdo6m_u15_m" attribute="1" defaultMemberUniqueName="[feb results].[t_tc_mmdo6m_u15_m].[All]" allUniqueName="[feb results].[t_tc_mmdo6m_u15_m].[All]" dimensionUniqueName="[feb results]" displayFolder="" count="0" unbalanced="0"/>
    <cacheHierarchy uniqueName="[feb results].[t_tc_mmdu3m_o15_f]" caption="t_tc_mmdu3m_o15_f" attribute="1" defaultMemberUniqueName="[feb results].[t_tc_mmdu3m_o15_f].[All]" allUniqueName="[feb results].[t_tc_mmdu3m_o15_f].[All]" dimensionUniqueName="[feb results]" displayFolder="" count="0" unbalanced="0"/>
    <cacheHierarchy uniqueName="[feb results].[t_tc_mmdu3m_o15_m]" caption="t_tc_mmdu3m_o15_m" attribute="1" defaultMemberUniqueName="[feb results].[t_tc_mmdu3m_o15_m].[All]" allUniqueName="[feb results].[t_tc_mmdu3m_o15_m].[All]" dimensionUniqueName="[feb results]" displayFolder="" count="0" unbalanced="0"/>
    <cacheHierarchy uniqueName="[feb results].[t_tc_mmdu3m_u15_f]" caption="t_tc_mmdu3m_u15_f" attribute="1" defaultMemberUniqueName="[feb results].[t_tc_mmdu3m_u15_f].[All]" allUniqueName="[feb results].[t_tc_mmdu3m_u15_f].[All]" dimensionUniqueName="[feb results]" displayFolder="" count="0" unbalanced="0"/>
    <cacheHierarchy uniqueName="[feb results].[t_tc_mmdu3m_u15_m]" caption="t_tc_mmdu3m_u15_m" attribute="1" defaultMemberUniqueName="[feb results].[t_tc_mmdu3m_u15_m].[All]" allUniqueName="[feb results].[t_tc_mmdu3m_u15_m].[All]" dimensionUniqueName="[feb results]" displayFolder="" count="0" unbalanced="0"/>
    <cacheHierarchy uniqueName="[feb results].[t_txcurr_lastm]" caption="t_txcurr_lastm" attribute="1" defaultMemberUniqueName="[feb results].[t_txcurr_lastm].[All]" allUniqueName="[feb results].[t_txcurr_lastm].[All]" dimensionUniqueName="[feb results]" displayFolder="" count="0" unbalanced="0"/>
    <cacheHierarchy uniqueName="[feb results].[t_txcurr_o15_f]" caption="t_txcurr_o15_f" attribute="1" defaultMemberUniqueName="[feb results].[t_txcurr_o15_f].[All]" allUniqueName="[feb results].[t_txcurr_o15_f].[All]" dimensionUniqueName="[feb results]" displayFolder="" count="0" unbalanced="0"/>
    <cacheHierarchy uniqueName="[feb results].[t_txcurr_o15_m]" caption="t_txcurr_o15_m" attribute="1" defaultMemberUniqueName="[feb results].[t_txcurr_o15_m].[All]" allUniqueName="[feb results].[t_txcurr_o15_m].[All]" dimensionUniqueName="[feb results]" displayFolder="" count="0" unbalanced="0"/>
    <cacheHierarchy uniqueName="[feb results].[t_txcurr_thism]" caption="t_txcurr_thism" attribute="1" defaultMemberUniqueName="[feb results].[t_txcurr_thism].[All]" allUniqueName="[feb results].[t_txcurr_thism].[All]" dimensionUniqueName="[feb results]" displayFolder="" count="0" unbalanced="0"/>
    <cacheHierarchy uniqueName="[feb results].[t_txcurr_u15_f]" caption="t_txcurr_u15_f" attribute="1" defaultMemberUniqueName="[feb results].[t_txcurr_u15_f].[All]" allUniqueName="[feb results].[t_txcurr_u15_f].[All]" dimensionUniqueName="[feb results]" displayFolder="" count="0" unbalanced="0"/>
    <cacheHierarchy uniqueName="[feb results].[t_txcurr_u15_m]" caption="t_txcurr_u15_m" attribute="1" defaultMemberUniqueName="[feb results].[t_txcurr_u15_m].[All]" allUniqueName="[feb results].[t_txcurr_u15_m].[All]" dimensionUniqueName="[feb results]" displayFolder="" count="0" unbalanced="0"/>
    <cacheHierarchy uniqueName="[feb results].[t_txnew]" caption="t_txnew" attribute="1" defaultMemberUniqueName="[feb results].[t_txnew].[All]" allUniqueName="[feb results].[t_txnew].[All]" dimensionUniqueName="[feb results]" displayFolder="" count="0" unbalanced="0"/>
    <cacheHierarchy uniqueName="[feb results].[t_txnew_2vis]" caption="t_txnew_2vis" attribute="1" defaultMemberUniqueName="[feb results].[t_txnew_2vis].[All]" allUniqueName="[feb results].[t_txnew_2vis].[All]" dimensionUniqueName="[feb results]" displayFolder="" count="0" unbalanced="0"/>
    <cacheHierarchy uniqueName="[feb results].[t_txnew_o15_f]" caption="t_txnew_o15_f" attribute="1" defaultMemberUniqueName="[feb results].[t_txnew_o15_f].[All]" allUniqueName="[feb results].[t_txnew_o15_f].[All]" dimensionUniqueName="[feb results]" displayFolder="" count="0" unbalanced="0"/>
    <cacheHierarchy uniqueName="[feb results].[t_txnew_o15_m]" caption="t_txnew_o15_m" attribute="1" defaultMemberUniqueName="[feb results].[t_txnew_o15_m].[All]" allUniqueName="[feb results].[t_txnew_o15_m].[All]" dimensionUniqueName="[feb results]" displayFolder="" count="0" unbalanced="0"/>
    <cacheHierarchy uniqueName="[feb results].[t_txnew_u15_f]" caption="t_txnew_u15_f" attribute="1" defaultMemberUniqueName="[feb results].[t_txnew_u15_f].[All]" allUniqueName="[feb results].[t_txnew_u15_f].[All]" dimensionUniqueName="[feb results]" displayFolder="" count="0" unbalanced="0"/>
    <cacheHierarchy uniqueName="[feb results].[t_txnew_u15_m]" caption="t_txnew_u15_m" attribute="1" defaultMemberUniqueName="[feb results].[t_txnew_u15_m].[All]" allUniqueName="[feb results].[t_txnew_u15_m].[All]" dimensionUniqueName="[feb results]" displayFolder="" count="0" unbalanced="0"/>
    <cacheHierarchy uniqueName="[feb results].[tbprev_d]" caption="tbprev_d" attribute="1" defaultMemberUniqueName="[feb results].[tbprev_d].[All]" allUniqueName="[feb results].[tbprev_d].[All]" dimensionUniqueName="[feb results]" displayFolder="" count="0" unbalanced="0"/>
    <cacheHierarchy uniqueName="[feb results].[tbprev_n]" caption="tbprev_n" attribute="1" defaultMemberUniqueName="[feb results].[tbprev_n].[All]" allUniqueName="[feb results].[tbprev_n].[All]" dimensionUniqueName="[feb results]" displayFolder="" count="0" unbalanced="0"/>
    <cacheHierarchy uniqueName="[feb results].[tbprev_start_thismo]" caption="tbprev_start_thismo" attribute="1" defaultMemberUniqueName="[feb results].[tbprev_start_thismo].[All]" allUniqueName="[feb results].[tbprev_start_thismo].[All]" dimensionUniqueName="[feb results]" displayFolder="" count="0" unbalanced="0"/>
    <cacheHierarchy uniqueName="[feb results].[TI]" caption="TI" attribute="1" defaultMemberUniqueName="[feb results].[TI].[All]" allUniqueName="[feb results].[TI].[All]" dimensionUniqueName="[feb results]" displayFolder="" count="0" unbalanced="0"/>
    <cacheHierarchy uniqueName="[feb results].[tier]" caption="tier" attribute="1" defaultMemberUniqueName="[feb results].[tier].[All]" allUniqueName="[feb results].[tier].[All]" dimensionUniqueName="[feb results]" displayFolder="" count="0" unbalanced="0"/>
    <cacheHierarchy uniqueName="[feb results].[TO]" caption="TO" attribute="1" defaultMemberUniqueName="[feb results].[TO].[All]" allUniqueName="[feb results].[TO].[All]" dimensionUniqueName="[feb results]" displayFolder="" count="0" unbalanced="0"/>
    <cacheHierarchy uniqueName="[feb results].[ward]" caption="ward" attribute="1" defaultMemberUniqueName="[feb results].[ward].[All]" allUniqueName="[feb results].[ward].[All]" dimensionUniqueName="[feb results]" displayFolder="" count="0" unbalanced="0"/>
    <cacheHierarchy uniqueName="[Grace Period Days].[Grace Period Days]" caption="Grace Period Days" attribute="1" defaultMemberUniqueName="[Grace Period Days].[Grace Period Days].[All]" allUniqueName="[Grace Period Days].[Grace Period Days].[All]" dimensionUniqueName="[Grace Period Days]" displayFolder="" count="0" unbalanced="0"/>
    <cacheHierarchy uniqueName="[Gretchen Results].[agegp]" caption="agegp" attribute="1" defaultMemberUniqueName="[Gretchen Results].[agegp].[All]" allUniqueName="[Gretchen Results].[agegp].[All]" dimensionUniqueName="[Gretchen Results]" displayFolder="" count="0" unbalanced="0"/>
    <cacheHierarchy uniqueName="[Gretchen Results].[ageyrs]" caption="ageyrs" attribute="1" defaultMemberUniqueName="[Gretchen Results].[ageyrs].[All]" allUniqueName="[Gretchen Results].[ageyrs].[All]" dimensionUniqueName="[Gretchen Results]" displayFolder="" count="0" unbalanced="0"/>
    <cacheHierarchy uniqueName="[Gretchen Results].[art_814d]" caption="art_814d" attribute="1" defaultMemberUniqueName="[Gretchen Results].[art_814d].[All]" allUniqueName="[Gretchen Results].[art_814d].[All]" dimensionUniqueName="[Gretchen Results]" displayFolder="" count="0" unbalanced="0"/>
    <cacheHierarchy uniqueName="[Gretchen Results].[art_o15d]" caption="art_o15d" attribute="1" defaultMemberUniqueName="[Gretchen Results].[art_o15d].[All]" allUniqueName="[Gretchen Results].[art_o15d].[All]" dimensionUniqueName="[Gretchen Results]" displayFolder="" count="0" unbalanced="0"/>
    <cacheHierarchy uniqueName="[Gretchen Results].[art_u8]" caption="art_u8" attribute="1" defaultMemberUniqueName="[Gretchen Results].[art_u8].[All]" allUniqueName="[Gretchen Results].[art_u8].[All]" dimensionUniqueName="[Gretchen Results]" displayFolder="" count="0" unbalanced="0"/>
    <cacheHierarchy uniqueName="[Gretchen Results].[council]" caption="council" attribute="1" defaultMemberUniqueName="[Gretchen Results].[council].[All]" allUniqueName="[Gretchen Results].[council].[All]" dimensionUniqueName="[Gretchen Results]" displayFolder="" count="0" unbalanced="0"/>
    <cacheHierarchy uniqueName="[Gretchen Results].[countpy5]" caption="countpy5" attribute="1" defaultMemberUniqueName="[Gretchen Results].[countpy5].[All]" allUniqueName="[Gretchen Results].[countpy5].[All]" dimensionUniqueName="[Gretchen Results]" displayFolder="" count="0" unbalanced="0"/>
    <cacheHierarchy uniqueName="[Gretchen Results].[datimname]" caption="datimname" attribute="1" defaultMemberUniqueName="[Gretchen Results].[datimname].[All]" allUniqueName="[Gretchen Results].[datimname].[All]" dimensionUniqueName="[Gretchen Results]" displayFolder="" count="0" unbalanced="0"/>
    <cacheHierarchy uniqueName="[Gretchen Results].[datimuid]" caption="datimuid" attribute="1" defaultMemberUniqueName="[Gretchen Results].[datimuid].[All]" allUniqueName="[Gretchen Results].[datimuid].[All]" dimensionUniqueName="[Gretchen Results]" displayFolder="" count="0" unbalanced="0"/>
    <cacheHierarchy uniqueName="[Gretchen Results].[dhisid]" caption="dhisid" attribute="1" defaultMemberUniqueName="[Gretchen Results].[dhisid].[All]" allUniqueName="[Gretchen Results].[dhisid].[All]" dimensionUniqueName="[Gretchen Results]" displayFolder="" count="0" unbalanced="0"/>
    <cacheHierarchy uniqueName="[Gretchen Results].[dhisname]" caption="dhisname" attribute="1" defaultMemberUniqueName="[Gretchen Results].[dhisname].[All]" allUniqueName="[Gretchen Results].[dhisname].[All]" dimensionUniqueName="[Gretchen Results]" displayFolder="" count="0" unbalanced="0"/>
    <cacheHierarchy uniqueName="[Gretchen Results].[died]" caption="died" attribute="1" defaultMemberUniqueName="[Gretchen Results].[died].[All]" allUniqueName="[Gretchen Results].[died].[All]" dimensionUniqueName="[Gretchen Results]" displayFolder="" count="0" unbalanced="0"/>
    <cacheHierarchy uniqueName="[Gretchen Results].[district]" caption="district" attribute="1" defaultMemberUniqueName="[Gretchen Results].[district].[All]" allUniqueName="[Gretchen Results].[district].[All]" dimensionUniqueName="[Gretchen Results]" displayFolder="" count="0" unbalanced="0"/>
    <cacheHierarchy uniqueName="[Gretchen Results].[hfrid]" caption="hfrid" attribute="1" defaultMemberUniqueName="[Gretchen Results].[hfrid].[All]" allUniqueName="[Gretchen Results].[hfrid].[All]" dimensionUniqueName="[Gretchen Results]" displayFolder="" count="0" unbalanced="0"/>
    <cacheHierarchy uniqueName="[Gretchen Results].[hvl_d]" caption="hvl_d" attribute="1" defaultMemberUniqueName="[Gretchen Results].[hvl_d].[All]" allUniqueName="[Gretchen Results].[hvl_d].[All]" dimensionUniqueName="[Gretchen Results]" displayFolder="" count="0" unbalanced="0"/>
    <cacheHierarchy uniqueName="[Gretchen Results].[hvl_d_o15]" caption="hvl_d_o15" attribute="1" defaultMemberUniqueName="[Gretchen Results].[hvl_d_o15].[All]" allUniqueName="[Gretchen Results].[hvl_d_o15].[All]" dimensionUniqueName="[Gretchen Results]" displayFolder="" count="0" unbalanced="0"/>
    <cacheHierarchy uniqueName="[Gretchen Results].[hvl_d_u15]" caption="hvl_d_u15" attribute="1" defaultMemberUniqueName="[Gretchen Results].[hvl_d_u15].[All]" allUniqueName="[Gretchen Results].[hvl_d_u15].[All]" dimensionUniqueName="[Gretchen Results]" displayFolder="" count="0" unbalanced="0"/>
    <cacheHierarchy uniqueName="[Gretchen Results].[hvl_u1k_n]" caption="hvl_u1k_n" attribute="1" defaultMemberUniqueName="[Gretchen Results].[hvl_u1k_n].[All]" allUniqueName="[Gretchen Results].[hvl_u1k_n].[All]" dimensionUniqueName="[Gretchen Results]" displayFolder="" count="0" unbalanced="0"/>
    <cacheHierarchy uniqueName="[Gretchen Results].[hvl_u1k_n_o15]" caption="hvl_u1k_n_o15" attribute="1" defaultMemberUniqueName="[Gretchen Results].[hvl_u1k_n_o15].[All]" allUniqueName="[Gretchen Results].[hvl_u1k_n_o15].[All]" dimensionUniqueName="[Gretchen Results]" displayFolder="" count="0" unbalanced="0"/>
    <cacheHierarchy uniqueName="[Gretchen Results].[hvl_u1k_n_u15]" caption="hvl_u1k_n_u15" attribute="1" defaultMemberUniqueName="[Gretchen Results].[hvl_u1k_n_u15].[All]" allUniqueName="[Gretchen Results].[hvl_u1k_n_u15].[All]" dimensionUniqueName="[Gretchen Results]" displayFolder="" count="0" unbalanced="0"/>
    <cacheHierarchy uniqueName="[Gretchen Results].[hvlelig]" caption="hvlelig" attribute="1" defaultMemberUniqueName="[Gretchen Results].[hvlelig].[All]" allUniqueName="[Gretchen Results].[hvlelig].[All]" dimensionUniqueName="[Gretchen Results]" displayFolder="" count="0" unbalanced="0"/>
    <cacheHierarchy uniqueName="[Gretchen Results].[hvlelig_o15]" caption="hvlelig_o15" attribute="1" defaultMemberUniqueName="[Gretchen Results].[hvlelig_o15].[All]" allUniqueName="[Gretchen Results].[hvlelig_o15].[All]" dimensionUniqueName="[Gretchen Results]" displayFolder="" count="0" unbalanced="0"/>
    <cacheHierarchy uniqueName="[Gretchen Results].[hvlelig_u15]" caption="hvlelig_u15" attribute="1" defaultMemberUniqueName="[Gretchen Results].[hvlelig_u15].[All]" allUniqueName="[Gretchen Results].[hvlelig_u15].[All]" dimensionUniqueName="[Gretchen Results]" displayFolder="" count="0" unbalanced="0"/>
    <cacheHierarchy uniqueName="[Gretchen Results].[missedapp]" caption="missedapp" attribute="1" defaultMemberUniqueName="[Gretchen Results].[missedapp].[All]" allUniqueName="[Gretchen Results].[missedapp].[All]" dimensionUniqueName="[Gretchen Results]" displayFolder="" count="0" unbalanced="0"/>
    <cacheHierarchy uniqueName="[Gretchen Results].[mmp_1m]" caption="mmp_1m" attribute="1" defaultMemberUniqueName="[Gretchen Results].[mmp_1m].[All]" allUniqueName="[Gretchen Results].[mmp_1m].[All]" dimensionUniqueName="[Gretchen Results]" displayFolder="" count="0" unbalanced="0"/>
    <cacheHierarchy uniqueName="[Gretchen Results].[mmp_2m]" caption="mmp_2m" attribute="1" defaultMemberUniqueName="[Gretchen Results].[mmp_2m].[All]" allUniqueName="[Gretchen Results].[mmp_2m].[All]" dimensionUniqueName="[Gretchen Results]" displayFolder="" count="0" unbalanced="0"/>
    <cacheHierarchy uniqueName="[Gretchen Results].[mmp_3m]" caption="mmp_3m" attribute="1" defaultMemberUniqueName="[Gretchen Results].[mmp_3m].[All]" allUniqueName="[Gretchen Results].[mmp_3m].[All]" dimensionUniqueName="[Gretchen Results]" displayFolder="" count="0" unbalanced="0"/>
    <cacheHierarchy uniqueName="[Gretchen Results].[mmp_6m]" caption="mmp_6m" attribute="1" defaultMemberUniqueName="[Gretchen Results].[mmp_6m].[All]" allUniqueName="[Gretchen Results].[mmp_6m].[All]" dimensionUniqueName="[Gretchen Results]" displayFolder="" count="0" unbalanced="0"/>
    <cacheHierarchy uniqueName="[Gretchen Results].[mmp_u6m]" caption="mmp_u6m" attribute="1" defaultMemberUniqueName="[Gretchen Results].[mmp_u6m].[All]" allUniqueName="[Gretchen Results].[mmp_u6m].[All]" dimensionUniqueName="[Gretchen Results]" displayFolder="" count="0" unbalanced="0"/>
    <cacheHierarchy uniqueName="[Gretchen Results].[noDBsubmitted]" caption="noDBsubmitted" attribute="1" defaultMemberUniqueName="[Gretchen Results].[noDBsubmitted].[All]" allUniqueName="[Gretchen Results].[noDBsubmitted].[All]" dimensionUniqueName="[Gretchen Results]" displayFolder="" count="0" unbalanced="0"/>
    <cacheHierarchy uniqueName="[Gretchen Results].[pid]" caption="pid" attribute="1" defaultMemberUniqueName="[Gretchen Results].[pid].[All]" allUniqueName="[Gretchen Results].[pid].[All]" dimensionUniqueName="[Gretchen Results]" displayFolder="" count="0" unbalanced="0"/>
    <cacheHierarchy uniqueName="[Gretchen Results].[region]" caption="region" attribute="1" defaultMemberUniqueName="[Gretchen Results].[region].[All]" allUniqueName="[Gretchen Results].[region].[All]" dimensionUniqueName="[Gretchen Results]" displayFolder="" count="0" unbalanced="0"/>
    <cacheHierarchy uniqueName="[Gretchen Results].[siteid]" caption="siteid" attribute="1" defaultMemberUniqueName="[Gretchen Results].[siteid].[All]" allUniqueName="[Gretchen Results].[siteid].[All]" dimensionUniqueName="[Gretchen Results]" displayFolder="" count="0" unbalanced="0"/>
    <cacheHierarchy uniqueName="[Gretchen Results].[t_tc_mmd3to5m_o15_f]" caption="t_tc_mmd3to5m_o15_f" attribute="1" defaultMemberUniqueName="[Gretchen Results].[t_tc_mmd3to5m_o15_f].[All]" allUniqueName="[Gretchen Results].[t_tc_mmd3to5m_o15_f].[All]" dimensionUniqueName="[Gretchen Results]" displayFolder="" count="0" unbalanced="0"/>
    <cacheHierarchy uniqueName="[Gretchen Results].[t_tc_mmd3to5m_o15_m]" caption="t_tc_mmd3to5m_o15_m" attribute="1" defaultMemberUniqueName="[Gretchen Results].[t_tc_mmd3to5m_o15_m].[All]" allUniqueName="[Gretchen Results].[t_tc_mmd3to5m_o15_m].[All]" dimensionUniqueName="[Gretchen Results]" displayFolder="" count="0" unbalanced="0"/>
    <cacheHierarchy uniqueName="[Gretchen Results].[t_tc_mmd3to5m_u15_f]" caption="t_tc_mmd3to5m_u15_f" attribute="1" defaultMemberUniqueName="[Gretchen Results].[t_tc_mmd3to5m_u15_f].[All]" allUniqueName="[Gretchen Results].[t_tc_mmd3to5m_u15_f].[All]" dimensionUniqueName="[Gretchen Results]" displayFolder="" count="0" unbalanced="0"/>
    <cacheHierarchy uniqueName="[Gretchen Results].[t_tc_mmd3to5m_u15_m]" caption="t_tc_mmd3to5m_u15_m" attribute="1" defaultMemberUniqueName="[Gretchen Results].[t_tc_mmd3to5m_u15_m].[All]" allUniqueName="[Gretchen Results].[t_tc_mmd3to5m_u15_m].[All]" dimensionUniqueName="[Gretchen Results]" displayFolder="" count="0" unbalanced="0"/>
    <cacheHierarchy uniqueName="[Gretchen Results].[t_tc_mmdo6m_o15_f]" caption="t_tc_mmdo6m_o15_f" attribute="1" defaultMemberUniqueName="[Gretchen Results].[t_tc_mmdo6m_o15_f].[All]" allUniqueName="[Gretchen Results].[t_tc_mmdo6m_o15_f].[All]" dimensionUniqueName="[Gretchen Results]" displayFolder="" count="0" unbalanced="0"/>
    <cacheHierarchy uniqueName="[Gretchen Results].[t_tc_mmdo6m_o15_m]" caption="t_tc_mmdo6m_o15_m" attribute="1" defaultMemberUniqueName="[Gretchen Results].[t_tc_mmdo6m_o15_m].[All]" allUniqueName="[Gretchen Results].[t_tc_mmdo6m_o15_m].[All]" dimensionUniqueName="[Gretchen Results]" displayFolder="" count="0" unbalanced="0"/>
    <cacheHierarchy uniqueName="[Gretchen Results].[t_tc_mmdo6m_u15_f]" caption="t_tc_mmdo6m_u15_f" attribute="1" defaultMemberUniqueName="[Gretchen Results].[t_tc_mmdo6m_u15_f].[All]" allUniqueName="[Gretchen Results].[t_tc_mmdo6m_u15_f].[All]" dimensionUniqueName="[Gretchen Results]" displayFolder="" count="0" unbalanced="0"/>
    <cacheHierarchy uniqueName="[Gretchen Results].[t_tc_mmdo6m_u15_m]" caption="t_tc_mmdo6m_u15_m" attribute="1" defaultMemberUniqueName="[Gretchen Results].[t_tc_mmdo6m_u15_m].[All]" allUniqueName="[Gretchen Results].[t_tc_mmdo6m_u15_m].[All]" dimensionUniqueName="[Gretchen Results]" displayFolder="" count="0" unbalanced="0"/>
    <cacheHierarchy uniqueName="[Gretchen Results].[t_tc_mmdu3m_o15_f]" caption="t_tc_mmdu3m_o15_f" attribute="1" defaultMemberUniqueName="[Gretchen Results].[t_tc_mmdu3m_o15_f].[All]" allUniqueName="[Gretchen Results].[t_tc_mmdu3m_o15_f].[All]" dimensionUniqueName="[Gretchen Results]" displayFolder="" count="0" unbalanced="0"/>
    <cacheHierarchy uniqueName="[Gretchen Results].[t_tc_mmdu3m_o15_m]" caption="t_tc_mmdu3m_o15_m" attribute="1" defaultMemberUniqueName="[Gretchen Results].[t_tc_mmdu3m_o15_m].[All]" allUniqueName="[Gretchen Results].[t_tc_mmdu3m_o15_m].[All]" dimensionUniqueName="[Gretchen Results]" displayFolder="" count="0" unbalanced="0"/>
    <cacheHierarchy uniqueName="[Gretchen Results].[t_tc_mmdu3m_u15_f]" caption="t_tc_mmdu3m_u15_f" attribute="1" defaultMemberUniqueName="[Gretchen Results].[t_tc_mmdu3m_u15_f].[All]" allUniqueName="[Gretchen Results].[t_tc_mmdu3m_u15_f].[All]" dimensionUniqueName="[Gretchen Results]" displayFolder="" count="0" unbalanced="0"/>
    <cacheHierarchy uniqueName="[Gretchen Results].[t_tc_mmdu3m_u15_m]" caption="t_tc_mmdu3m_u15_m" attribute="1" defaultMemberUniqueName="[Gretchen Results].[t_tc_mmdu3m_u15_m].[All]" allUniqueName="[Gretchen Results].[t_tc_mmdu3m_u15_m].[All]" dimensionUniqueName="[Gretchen Results]" displayFolder="" count="0" unbalanced="0"/>
    <cacheHierarchy uniqueName="[Gretchen Results].[t_txcurr_lastm]" caption="t_txcurr_lastm" attribute="1" defaultMemberUniqueName="[Gretchen Results].[t_txcurr_lastm].[All]" allUniqueName="[Gretchen Results].[t_txcurr_lastm].[All]" dimensionUniqueName="[Gretchen Results]" displayFolder="" count="0" unbalanced="0"/>
    <cacheHierarchy uniqueName="[Gretchen Results].[t_txcurr_o15_f]" caption="t_txcurr_o15_f" attribute="1" defaultMemberUniqueName="[Gretchen Results].[t_txcurr_o15_f].[All]" allUniqueName="[Gretchen Results].[t_txcurr_o15_f].[All]" dimensionUniqueName="[Gretchen Results]" displayFolder="" count="0" unbalanced="0"/>
    <cacheHierarchy uniqueName="[Gretchen Results].[t_txcurr_o15_m]" caption="t_txcurr_o15_m" attribute="1" defaultMemberUniqueName="[Gretchen Results].[t_txcurr_o15_m].[All]" allUniqueName="[Gretchen Results].[t_txcurr_o15_m].[All]" dimensionUniqueName="[Gretchen Results]" displayFolder="" count="0" unbalanced="0"/>
    <cacheHierarchy uniqueName="[Gretchen Results].[t_txcurr_thism]" caption="t_txcurr_thism" attribute="1" defaultMemberUniqueName="[Gretchen Results].[t_txcurr_thism].[All]" allUniqueName="[Gretchen Results].[t_txcurr_thism].[All]" dimensionUniqueName="[Gretchen Results]" displayFolder="" count="0" unbalanced="0"/>
    <cacheHierarchy uniqueName="[Gretchen Results].[t_txcurr_u15_f]" caption="t_txcurr_u15_f" attribute="1" defaultMemberUniqueName="[Gretchen Results].[t_txcurr_u15_f].[All]" allUniqueName="[Gretchen Results].[t_txcurr_u15_f].[All]" dimensionUniqueName="[Gretchen Results]" displayFolder="" count="0" unbalanced="0"/>
    <cacheHierarchy uniqueName="[Gretchen Results].[t_txcurr_u15_m]" caption="t_txcurr_u15_m" attribute="1" defaultMemberUniqueName="[Gretchen Results].[t_txcurr_u15_m].[All]" allUniqueName="[Gretchen Results].[t_txcurr_u15_m].[All]" dimensionUniqueName="[Gretchen Results]" displayFolder="" count="0" unbalanced="0"/>
    <cacheHierarchy uniqueName="[Gretchen Results].[t_txnew]" caption="t_txnew" attribute="1" defaultMemberUniqueName="[Gretchen Results].[t_txnew].[All]" allUniqueName="[Gretchen Results].[t_txnew].[All]" dimensionUniqueName="[Gretchen Results]" displayFolder="" count="0" unbalanced="0"/>
    <cacheHierarchy uniqueName="[Gretchen Results].[t_txnew_2vis]" caption="t_txnew_2vis" attribute="1" defaultMemberUniqueName="[Gretchen Results].[t_txnew_2vis].[All]" allUniqueName="[Gretchen Results].[t_txnew_2vis].[All]" dimensionUniqueName="[Gretchen Results]" displayFolder="" count="0" unbalanced="0"/>
    <cacheHierarchy uniqueName="[Gretchen Results].[t_txnew_lastm]" caption="t_txnew_lastm" attribute="1" defaultMemberUniqueName="[Gretchen Results].[t_txnew_lastm].[All]" allUniqueName="[Gretchen Results].[t_txnew_lastm].[All]" dimensionUniqueName="[Gretchen Results]" displayFolder="" count="0" unbalanced="0"/>
    <cacheHierarchy uniqueName="[Gretchen Results].[t_txnew_o15_f]" caption="t_txnew_o15_f" attribute="1" defaultMemberUniqueName="[Gretchen Results].[t_txnew_o15_f].[All]" allUniqueName="[Gretchen Results].[t_txnew_o15_f].[All]" dimensionUniqueName="[Gretchen Results]" displayFolder="" count="0" unbalanced="0"/>
    <cacheHierarchy uniqueName="[Gretchen Results].[t_txnew_o15_m]" caption="t_txnew_o15_m" attribute="1" defaultMemberUniqueName="[Gretchen Results].[t_txnew_o15_m].[All]" allUniqueName="[Gretchen Results].[t_txnew_o15_m].[All]" dimensionUniqueName="[Gretchen Results]" displayFolder="" count="0" unbalanced="0"/>
    <cacheHierarchy uniqueName="[Gretchen Results].[t_txnew_u15]" caption="t_txnew_u15" attribute="1" defaultMemberUniqueName="[Gretchen Results].[t_txnew_u15].[All]" allUniqueName="[Gretchen Results].[t_txnew_u15].[All]" dimensionUniqueName="[Gretchen Results]" displayFolder="" count="0" unbalanced="0"/>
    <cacheHierarchy uniqueName="[Gretchen Results].[t_txnew_u15_f]" caption="t_txnew_u15_f" attribute="1" defaultMemberUniqueName="[Gretchen Results].[t_txnew_u15_f].[All]" allUniqueName="[Gretchen Results].[t_txnew_u15_f].[All]" dimensionUniqueName="[Gretchen Results]" displayFolder="" count="0" unbalanced="0"/>
    <cacheHierarchy uniqueName="[Gretchen Results].[t_txnew_u15_m]" caption="t_txnew_u15_m" attribute="1" defaultMemberUniqueName="[Gretchen Results].[t_txnew_u15_m].[All]" allUniqueName="[Gretchen Results].[t_txnew_u15_m].[All]" dimensionUniqueName="[Gretchen Results]" displayFolder="" count="0" unbalanced="0"/>
    <cacheHierarchy uniqueName="[Gretchen Results].[tbprev_d]" caption="tbprev_d" attribute="1" defaultMemberUniqueName="[Gretchen Results].[tbprev_d].[All]" allUniqueName="[Gretchen Results].[tbprev_d].[All]" dimensionUniqueName="[Gretchen Results]" displayFolder="" count="0" unbalanced="0"/>
    <cacheHierarchy uniqueName="[Gretchen Results].[tbprev_n]" caption="tbprev_n" attribute="1" defaultMemberUniqueName="[Gretchen Results].[tbprev_n].[All]" allUniqueName="[Gretchen Results].[tbprev_n].[All]" dimensionUniqueName="[Gretchen Results]" displayFolder="" count="0" unbalanced="0"/>
    <cacheHierarchy uniqueName="[Gretchen Results].[tbprev_start_thismo]" caption="tbprev_start_thismo" attribute="1" defaultMemberUniqueName="[Gretchen Results].[tbprev_start_thismo].[All]" allUniqueName="[Gretchen Results].[tbprev_start_thismo].[All]" dimensionUniqueName="[Gretchen Results]" displayFolder="" count="0" unbalanced="0"/>
    <cacheHierarchy uniqueName="[Gretchen Results].[TI]" caption="TI" attribute="1" defaultMemberUniqueName="[Gretchen Results].[TI].[All]" allUniqueName="[Gretchen Results].[TI].[All]" dimensionUniqueName="[Gretchen Results]" displayFolder="" count="0" unbalanced="0"/>
    <cacheHierarchy uniqueName="[Gretchen Results].[tier]" caption="tier" attribute="1" defaultMemberUniqueName="[Gretchen Results].[tier].[All]" allUniqueName="[Gretchen Results].[tier].[All]" dimensionUniqueName="[Gretchen Results]" displayFolder="" count="0" unbalanced="0"/>
    <cacheHierarchy uniqueName="[Gretchen Results].[TO]" caption="TO" attribute="1" defaultMemberUniqueName="[Gretchen Results].[TO].[All]" allUniqueName="[Gretchen Results].[TO].[All]" dimensionUniqueName="[Gretchen Results]" displayFolder="" count="0" unbalanced="0"/>
    <cacheHierarchy uniqueName="[Gretchen Results].[ward]" caption="ward" attribute="1" defaultMemberUniqueName="[Gretchen Results].[ward].[All]" allUniqueName="[Gretchen Results].[ward].[All]" dimensionUniqueName="[Gretchen Results]" displayFolder="" count="0" unbalanced="0"/>
    <cacheHierarchy uniqueName="[Gretchen Results].[yrmo]" caption="yrmo" attribute="1" defaultMemberUniqueName="[Gretchen Results].[yrmo].[All]" allUniqueName="[Gretchen Results].[yrmo].[All]" dimensionUniqueName="[Gretchen Results]" displayFolder="" count="0" unbalanced="0"/>
    <cacheHierarchy uniqueName="[Gretchen Results 3mar].[agegp]" caption="agegp" attribute="1" defaultMemberUniqueName="[Gretchen Results 3mar].[agegp].[All]" allUniqueName="[Gretchen Results 3mar].[agegp].[All]" dimensionUniqueName="[Gretchen Results 3mar]" displayFolder="" count="0" unbalanced="0"/>
    <cacheHierarchy uniqueName="[Gretchen Results 3mar].[ageyrs]" caption="ageyrs" attribute="1" defaultMemberUniqueName="[Gretchen Results 3mar].[ageyrs].[All]" allUniqueName="[Gretchen Results 3mar].[ageyrs].[All]" dimensionUniqueName="[Gretchen Results 3mar]" displayFolder="" count="0" unbalanced="0"/>
    <cacheHierarchy uniqueName="[Gretchen Results 3mar].[art_814d]" caption="art_814d" attribute="1" defaultMemberUniqueName="[Gretchen Results 3mar].[art_814d].[All]" allUniqueName="[Gretchen Results 3mar].[art_814d].[All]" dimensionUniqueName="[Gretchen Results 3mar]" displayFolder="" count="0" unbalanced="0"/>
    <cacheHierarchy uniqueName="[Gretchen Results 3mar].[art_o15d]" caption="art_o15d" attribute="1" defaultMemberUniqueName="[Gretchen Results 3mar].[art_o15d].[All]" allUniqueName="[Gretchen Results 3mar].[art_o15d].[All]" dimensionUniqueName="[Gretchen Results 3mar]" displayFolder="" count="0" unbalanced="0"/>
    <cacheHierarchy uniqueName="[Gretchen Results 3mar].[art_u8]" caption="art_u8" attribute="1" defaultMemberUniqueName="[Gretchen Results 3mar].[art_u8].[All]" allUniqueName="[Gretchen Results 3mar].[art_u8].[All]" dimensionUniqueName="[Gretchen Results 3mar]" displayFolder="" count="0" unbalanced="0"/>
    <cacheHierarchy uniqueName="[Gretchen Results 3mar].[council]" caption="council" attribute="1" defaultMemberUniqueName="[Gretchen Results 3mar].[council].[All]" allUniqueName="[Gretchen Results 3mar].[council].[All]" dimensionUniqueName="[Gretchen Results 3mar]" displayFolder="" count="0" unbalanced="0"/>
    <cacheHierarchy uniqueName="[Gretchen Results 3mar].[countpy5]" caption="countpy5" attribute="1" defaultMemberUniqueName="[Gretchen Results 3mar].[countpy5].[All]" allUniqueName="[Gretchen Results 3mar].[countpy5].[All]" dimensionUniqueName="[Gretchen Results 3mar]" displayFolder="" count="0" unbalanced="0"/>
    <cacheHierarchy uniqueName="[Gretchen Results 3mar].[datimname]" caption="datimname" attribute="1" defaultMemberUniqueName="[Gretchen Results 3mar].[datimname].[All]" allUniqueName="[Gretchen Results 3mar].[datimname].[All]" dimensionUniqueName="[Gretchen Results 3mar]" displayFolder="" count="0" unbalanced="0"/>
    <cacheHierarchy uniqueName="[Gretchen Results 3mar].[datimuid]" caption="datimuid" attribute="1" defaultMemberUniqueName="[Gretchen Results 3mar].[datimuid].[All]" allUniqueName="[Gretchen Results 3mar].[datimuid].[All]" dimensionUniqueName="[Gretchen Results 3mar]" displayFolder="" count="0" unbalanced="0"/>
    <cacheHierarchy uniqueName="[Gretchen Results 3mar].[dhisid]" caption="dhisid" attribute="1" defaultMemberUniqueName="[Gretchen Results 3mar].[dhisid].[All]" allUniqueName="[Gretchen Results 3mar].[dhisid].[All]" dimensionUniqueName="[Gretchen Results 3mar]" displayFolder="" count="0" unbalanced="0"/>
    <cacheHierarchy uniqueName="[Gretchen Results 3mar].[dhisname]" caption="dhisname" attribute="1" defaultMemberUniqueName="[Gretchen Results 3mar].[dhisname].[All]" allUniqueName="[Gretchen Results 3mar].[dhisname].[All]" dimensionUniqueName="[Gretchen Results 3mar]" displayFolder="" count="0" unbalanced="0"/>
    <cacheHierarchy uniqueName="[Gretchen Results 3mar].[died]" caption="died" attribute="1" defaultMemberUniqueName="[Gretchen Results 3mar].[died].[All]" allUniqueName="[Gretchen Results 3mar].[died].[All]" dimensionUniqueName="[Gretchen Results 3mar]" displayFolder="" count="0" unbalanced="0"/>
    <cacheHierarchy uniqueName="[Gretchen Results 3mar].[district]" caption="district" attribute="1" defaultMemberUniqueName="[Gretchen Results 3mar].[district].[All]" allUniqueName="[Gretchen Results 3mar].[district].[All]" dimensionUniqueName="[Gretchen Results 3mar]" displayFolder="" count="0" unbalanced="0"/>
    <cacheHierarchy uniqueName="[Gretchen Results 3mar].[hfrid]" caption="hfrid" attribute="1" defaultMemberUniqueName="[Gretchen Results 3mar].[hfrid].[All]" allUniqueName="[Gretchen Results 3mar].[hfrid].[All]" dimensionUniqueName="[Gretchen Results 3mar]" displayFolder="" count="0" unbalanced="0"/>
    <cacheHierarchy uniqueName="[Gretchen Results 3mar].[hvl_d]" caption="hvl_d" attribute="1" defaultMemberUniqueName="[Gretchen Results 3mar].[hvl_d].[All]" allUniqueName="[Gretchen Results 3mar].[hvl_d].[All]" dimensionUniqueName="[Gretchen Results 3mar]" displayFolder="" count="0" unbalanced="0"/>
    <cacheHierarchy uniqueName="[Gretchen Results 3mar].[hvl_d_o15]" caption="hvl_d_o15" attribute="1" defaultMemberUniqueName="[Gretchen Results 3mar].[hvl_d_o15].[All]" allUniqueName="[Gretchen Results 3mar].[hvl_d_o15].[All]" dimensionUniqueName="[Gretchen Results 3mar]" displayFolder="" count="0" unbalanced="0"/>
    <cacheHierarchy uniqueName="[Gretchen Results 3mar].[hvl_d_u15]" caption="hvl_d_u15" attribute="1" defaultMemberUniqueName="[Gretchen Results 3mar].[hvl_d_u15].[All]" allUniqueName="[Gretchen Results 3mar].[hvl_d_u15].[All]" dimensionUniqueName="[Gretchen Results 3mar]" displayFolder="" count="0" unbalanced="0"/>
    <cacheHierarchy uniqueName="[Gretchen Results 3mar].[hvl_u1k_n]" caption="hvl_u1k_n" attribute="1" defaultMemberUniqueName="[Gretchen Results 3mar].[hvl_u1k_n].[All]" allUniqueName="[Gretchen Results 3mar].[hvl_u1k_n].[All]" dimensionUniqueName="[Gretchen Results 3mar]" displayFolder="" count="0" unbalanced="0"/>
    <cacheHierarchy uniqueName="[Gretchen Results 3mar].[hvl_u1k_n_o15]" caption="hvl_u1k_n_o15" attribute="1" defaultMemberUniqueName="[Gretchen Results 3mar].[hvl_u1k_n_o15].[All]" allUniqueName="[Gretchen Results 3mar].[hvl_u1k_n_o15].[All]" dimensionUniqueName="[Gretchen Results 3mar]" displayFolder="" count="0" unbalanced="0"/>
    <cacheHierarchy uniqueName="[Gretchen Results 3mar].[hvl_u1k_n_u15]" caption="hvl_u1k_n_u15" attribute="1" defaultMemberUniqueName="[Gretchen Results 3mar].[hvl_u1k_n_u15].[All]" allUniqueName="[Gretchen Results 3mar].[hvl_u1k_n_u15].[All]" dimensionUniqueName="[Gretchen Results 3mar]" displayFolder="" count="0" unbalanced="0"/>
    <cacheHierarchy uniqueName="[Gretchen Results 3mar].[hvlelig]" caption="hvlelig" attribute="1" defaultMemberUniqueName="[Gretchen Results 3mar].[hvlelig].[All]" allUniqueName="[Gretchen Results 3mar].[hvlelig].[All]" dimensionUniqueName="[Gretchen Results 3mar]" displayFolder="" count="0" unbalanced="0"/>
    <cacheHierarchy uniqueName="[Gretchen Results 3mar].[hvlelig_o15]" caption="hvlelig_o15" attribute="1" defaultMemberUniqueName="[Gretchen Results 3mar].[hvlelig_o15].[All]" allUniqueName="[Gretchen Results 3mar].[hvlelig_o15].[All]" dimensionUniqueName="[Gretchen Results 3mar]" displayFolder="" count="0" unbalanced="0"/>
    <cacheHierarchy uniqueName="[Gretchen Results 3mar].[hvlelig_u15]" caption="hvlelig_u15" attribute="1" defaultMemberUniqueName="[Gretchen Results 3mar].[hvlelig_u15].[All]" allUniqueName="[Gretchen Results 3mar].[hvlelig_u15].[All]" dimensionUniqueName="[Gretchen Results 3mar]" displayFolder="" count="0" unbalanced="0"/>
    <cacheHierarchy uniqueName="[Gretchen Results 3mar].[missedapp]" caption="missedapp" attribute="1" defaultMemberUniqueName="[Gretchen Results 3mar].[missedapp].[All]" allUniqueName="[Gretchen Results 3mar].[missedapp].[All]" dimensionUniqueName="[Gretchen Results 3mar]" displayFolder="" count="0" unbalanced="0"/>
    <cacheHierarchy uniqueName="[Gretchen Results 3mar].[mmp_1m]" caption="mmp_1m" attribute="1" defaultMemberUniqueName="[Gretchen Results 3mar].[mmp_1m].[All]" allUniqueName="[Gretchen Results 3mar].[mmp_1m].[All]" dimensionUniqueName="[Gretchen Results 3mar]" displayFolder="" count="0" unbalanced="0"/>
    <cacheHierarchy uniqueName="[Gretchen Results 3mar].[mmp_2m]" caption="mmp_2m" attribute="1" defaultMemberUniqueName="[Gretchen Results 3mar].[mmp_2m].[All]" allUniqueName="[Gretchen Results 3mar].[mmp_2m].[All]" dimensionUniqueName="[Gretchen Results 3mar]" displayFolder="" count="0" unbalanced="0"/>
    <cacheHierarchy uniqueName="[Gretchen Results 3mar].[mmp_3m]" caption="mmp_3m" attribute="1" defaultMemberUniqueName="[Gretchen Results 3mar].[mmp_3m].[All]" allUniqueName="[Gretchen Results 3mar].[mmp_3m].[All]" dimensionUniqueName="[Gretchen Results 3mar]" displayFolder="" count="0" unbalanced="0"/>
    <cacheHierarchy uniqueName="[Gretchen Results 3mar].[mmp_6m]" caption="mmp_6m" attribute="1" defaultMemberUniqueName="[Gretchen Results 3mar].[mmp_6m].[All]" allUniqueName="[Gretchen Results 3mar].[mmp_6m].[All]" dimensionUniqueName="[Gretchen Results 3mar]" displayFolder="" count="0" unbalanced="0"/>
    <cacheHierarchy uniqueName="[Gretchen Results 3mar].[mmp_u6m]" caption="mmp_u6m" attribute="1" defaultMemberUniqueName="[Gretchen Results 3mar].[mmp_u6m].[All]" allUniqueName="[Gretchen Results 3mar].[mmp_u6m].[All]" dimensionUniqueName="[Gretchen Results 3mar]" displayFolder="" count="0" unbalanced="0"/>
    <cacheHierarchy uniqueName="[Gretchen Results 3mar].[noDBsubmitted]" caption="noDBsubmitted" attribute="1" defaultMemberUniqueName="[Gretchen Results 3mar].[noDBsubmitted].[All]" allUniqueName="[Gretchen Results 3mar].[noDBsubmitted].[All]" dimensionUniqueName="[Gretchen Results 3mar]" displayFolder="" count="0" unbalanced="0"/>
    <cacheHierarchy uniqueName="[Gretchen Results 3mar].[pid]" caption="pid" attribute="1" defaultMemberUniqueName="[Gretchen Results 3mar].[pid].[All]" allUniqueName="[Gretchen Results 3mar].[pid].[All]" dimensionUniqueName="[Gretchen Results 3mar]" displayFolder="" count="0" unbalanced="0"/>
    <cacheHierarchy uniqueName="[Gretchen Results 3mar].[region]" caption="region" attribute="1" defaultMemberUniqueName="[Gretchen Results 3mar].[region].[All]" allUniqueName="[Gretchen Results 3mar].[region].[All]" dimensionUniqueName="[Gretchen Results 3mar]" displayFolder="" count="0" unbalanced="0"/>
    <cacheHierarchy uniqueName="[Gretchen Results 3mar].[siteid]" caption="siteid" attribute="1" defaultMemberUniqueName="[Gretchen Results 3mar].[siteid].[All]" allUniqueName="[Gretchen Results 3mar].[siteid].[All]" dimensionUniqueName="[Gretchen Results 3mar]" displayFolder="" count="0" unbalanced="0"/>
    <cacheHierarchy uniqueName="[Gretchen Results 3mar].[t_tc_mmd3to5m_o15_f]" caption="t_tc_mmd3to5m_o15_f" attribute="1" defaultMemberUniqueName="[Gretchen Results 3mar].[t_tc_mmd3to5m_o15_f].[All]" allUniqueName="[Gretchen Results 3mar].[t_tc_mmd3to5m_o15_f].[All]" dimensionUniqueName="[Gretchen Results 3mar]" displayFolder="" count="0" unbalanced="0"/>
    <cacheHierarchy uniqueName="[Gretchen Results 3mar].[t_tc_mmd3to5m_o15_m]" caption="t_tc_mmd3to5m_o15_m" attribute="1" defaultMemberUniqueName="[Gretchen Results 3mar].[t_tc_mmd3to5m_o15_m].[All]" allUniqueName="[Gretchen Results 3mar].[t_tc_mmd3to5m_o15_m].[All]" dimensionUniqueName="[Gretchen Results 3mar]" displayFolder="" count="0" unbalanced="0"/>
    <cacheHierarchy uniqueName="[Gretchen Results 3mar].[t_tc_mmd3to5m_u15_f]" caption="t_tc_mmd3to5m_u15_f" attribute="1" defaultMemberUniqueName="[Gretchen Results 3mar].[t_tc_mmd3to5m_u15_f].[All]" allUniqueName="[Gretchen Results 3mar].[t_tc_mmd3to5m_u15_f].[All]" dimensionUniqueName="[Gretchen Results 3mar]" displayFolder="" count="0" unbalanced="0"/>
    <cacheHierarchy uniqueName="[Gretchen Results 3mar].[t_tc_mmd3to5m_u15_m]" caption="t_tc_mmd3to5m_u15_m" attribute="1" defaultMemberUniqueName="[Gretchen Results 3mar].[t_tc_mmd3to5m_u15_m].[All]" allUniqueName="[Gretchen Results 3mar].[t_tc_mmd3to5m_u15_m].[All]" dimensionUniqueName="[Gretchen Results 3mar]" displayFolder="" count="0" unbalanced="0"/>
    <cacheHierarchy uniqueName="[Gretchen Results 3mar].[t_tc_mmdo6m_o15_f]" caption="t_tc_mmdo6m_o15_f" attribute="1" defaultMemberUniqueName="[Gretchen Results 3mar].[t_tc_mmdo6m_o15_f].[All]" allUniqueName="[Gretchen Results 3mar].[t_tc_mmdo6m_o15_f].[All]" dimensionUniqueName="[Gretchen Results 3mar]" displayFolder="" count="0" unbalanced="0"/>
    <cacheHierarchy uniqueName="[Gretchen Results 3mar].[t_tc_mmdo6m_o15_m]" caption="t_tc_mmdo6m_o15_m" attribute="1" defaultMemberUniqueName="[Gretchen Results 3mar].[t_tc_mmdo6m_o15_m].[All]" allUniqueName="[Gretchen Results 3mar].[t_tc_mmdo6m_o15_m].[All]" dimensionUniqueName="[Gretchen Results 3mar]" displayFolder="" count="0" unbalanced="0"/>
    <cacheHierarchy uniqueName="[Gretchen Results 3mar].[t_tc_mmdo6m_u15_f]" caption="t_tc_mmdo6m_u15_f" attribute="1" defaultMemberUniqueName="[Gretchen Results 3mar].[t_tc_mmdo6m_u15_f].[All]" allUniqueName="[Gretchen Results 3mar].[t_tc_mmdo6m_u15_f].[All]" dimensionUniqueName="[Gretchen Results 3mar]" displayFolder="" count="0" unbalanced="0"/>
    <cacheHierarchy uniqueName="[Gretchen Results 3mar].[t_tc_mmdo6m_u15_m]" caption="t_tc_mmdo6m_u15_m" attribute="1" defaultMemberUniqueName="[Gretchen Results 3mar].[t_tc_mmdo6m_u15_m].[All]" allUniqueName="[Gretchen Results 3mar].[t_tc_mmdo6m_u15_m].[All]" dimensionUniqueName="[Gretchen Results 3mar]" displayFolder="" count="0" unbalanced="0"/>
    <cacheHierarchy uniqueName="[Gretchen Results 3mar].[t_tc_mmdu3m_o15_f]" caption="t_tc_mmdu3m_o15_f" attribute="1" defaultMemberUniqueName="[Gretchen Results 3mar].[t_tc_mmdu3m_o15_f].[All]" allUniqueName="[Gretchen Results 3mar].[t_tc_mmdu3m_o15_f].[All]" dimensionUniqueName="[Gretchen Results 3mar]" displayFolder="" count="0" unbalanced="0"/>
    <cacheHierarchy uniqueName="[Gretchen Results 3mar].[t_tc_mmdu3m_o15_m]" caption="t_tc_mmdu3m_o15_m" attribute="1" defaultMemberUniqueName="[Gretchen Results 3mar].[t_tc_mmdu3m_o15_m].[All]" allUniqueName="[Gretchen Results 3mar].[t_tc_mmdu3m_o15_m].[All]" dimensionUniqueName="[Gretchen Results 3mar]" displayFolder="" count="0" unbalanced="0"/>
    <cacheHierarchy uniqueName="[Gretchen Results 3mar].[t_tc_mmdu3m_u15_f]" caption="t_tc_mmdu3m_u15_f" attribute="1" defaultMemberUniqueName="[Gretchen Results 3mar].[t_tc_mmdu3m_u15_f].[All]" allUniqueName="[Gretchen Results 3mar].[t_tc_mmdu3m_u15_f].[All]" dimensionUniqueName="[Gretchen Results 3mar]" displayFolder="" count="0" unbalanced="0"/>
    <cacheHierarchy uniqueName="[Gretchen Results 3mar].[t_tc_mmdu3m_u15_m]" caption="t_tc_mmdu3m_u15_m" attribute="1" defaultMemberUniqueName="[Gretchen Results 3mar].[t_tc_mmdu3m_u15_m].[All]" allUniqueName="[Gretchen Results 3mar].[t_tc_mmdu3m_u15_m].[All]" dimensionUniqueName="[Gretchen Results 3mar]" displayFolder="" count="0" unbalanced="0"/>
    <cacheHierarchy uniqueName="[Gretchen Results 3mar].[t_txcurr_lastm]" caption="t_txcurr_lastm" attribute="1" defaultMemberUniqueName="[Gretchen Results 3mar].[t_txcurr_lastm].[All]" allUniqueName="[Gretchen Results 3mar].[t_txcurr_lastm].[All]" dimensionUniqueName="[Gretchen Results 3mar]" displayFolder="" count="0" unbalanced="0"/>
    <cacheHierarchy uniqueName="[Gretchen Results 3mar].[t_txcurr_o15_f]" caption="t_txcurr_o15_f" attribute="1" defaultMemberUniqueName="[Gretchen Results 3mar].[t_txcurr_o15_f].[All]" allUniqueName="[Gretchen Results 3mar].[t_txcurr_o15_f].[All]" dimensionUniqueName="[Gretchen Results 3mar]" displayFolder="" count="0" unbalanced="0"/>
    <cacheHierarchy uniqueName="[Gretchen Results 3mar].[t_txcurr_o15_m]" caption="t_txcurr_o15_m" attribute="1" defaultMemberUniqueName="[Gretchen Results 3mar].[t_txcurr_o15_m].[All]" allUniqueName="[Gretchen Results 3mar].[t_txcurr_o15_m].[All]" dimensionUniqueName="[Gretchen Results 3mar]" displayFolder="" count="0" unbalanced="0"/>
    <cacheHierarchy uniqueName="[Gretchen Results 3mar].[t_txcurr_thism]" caption="t_txcurr_thism" attribute="1" defaultMemberUniqueName="[Gretchen Results 3mar].[t_txcurr_thism].[All]" allUniqueName="[Gretchen Results 3mar].[t_txcurr_thism].[All]" dimensionUniqueName="[Gretchen Results 3mar]" displayFolder="" count="0" unbalanced="0"/>
    <cacheHierarchy uniqueName="[Gretchen Results 3mar].[t_txcurr_u15_f]" caption="t_txcurr_u15_f" attribute="1" defaultMemberUniqueName="[Gretchen Results 3mar].[t_txcurr_u15_f].[All]" allUniqueName="[Gretchen Results 3mar].[t_txcurr_u15_f].[All]" dimensionUniqueName="[Gretchen Results 3mar]" displayFolder="" count="0" unbalanced="0"/>
    <cacheHierarchy uniqueName="[Gretchen Results 3mar].[t_txcurr_u15_m]" caption="t_txcurr_u15_m" attribute="1" defaultMemberUniqueName="[Gretchen Results 3mar].[t_txcurr_u15_m].[All]" allUniqueName="[Gretchen Results 3mar].[t_txcurr_u15_m].[All]" dimensionUniqueName="[Gretchen Results 3mar]" displayFolder="" count="0" unbalanced="0"/>
    <cacheHierarchy uniqueName="[Gretchen Results 3mar].[t_txnew]" caption="t_txnew" attribute="1" defaultMemberUniqueName="[Gretchen Results 3mar].[t_txnew].[All]" allUniqueName="[Gretchen Results 3mar].[t_txnew].[All]" dimensionUniqueName="[Gretchen Results 3mar]" displayFolder="" count="0" unbalanced="0"/>
    <cacheHierarchy uniqueName="[Gretchen Results 3mar].[t_txnew_2vis]" caption="t_txnew_2vis" attribute="1" defaultMemberUniqueName="[Gretchen Results 3mar].[t_txnew_2vis].[All]" allUniqueName="[Gretchen Results 3mar].[t_txnew_2vis].[All]" dimensionUniqueName="[Gretchen Results 3mar]" displayFolder="" count="0" unbalanced="0"/>
    <cacheHierarchy uniqueName="[Gretchen Results 3mar].[t_txnew_lastm]" caption="t_txnew_lastm" attribute="1" defaultMemberUniqueName="[Gretchen Results 3mar].[t_txnew_lastm].[All]" allUniqueName="[Gretchen Results 3mar].[t_txnew_lastm].[All]" dimensionUniqueName="[Gretchen Results 3mar]" displayFolder="" count="0" unbalanced="0"/>
    <cacheHierarchy uniqueName="[Gretchen Results 3mar].[t_txnew_o15_f]" caption="t_txnew_o15_f" attribute="1" defaultMemberUniqueName="[Gretchen Results 3mar].[t_txnew_o15_f].[All]" allUniqueName="[Gretchen Results 3mar].[t_txnew_o15_f].[All]" dimensionUniqueName="[Gretchen Results 3mar]" displayFolder="" count="0" unbalanced="0"/>
    <cacheHierarchy uniqueName="[Gretchen Results 3mar].[t_txnew_o15_m]" caption="t_txnew_o15_m" attribute="1" defaultMemberUniqueName="[Gretchen Results 3mar].[t_txnew_o15_m].[All]" allUniqueName="[Gretchen Results 3mar].[t_txnew_o15_m].[All]" dimensionUniqueName="[Gretchen Results 3mar]" displayFolder="" count="0" unbalanced="0"/>
    <cacheHierarchy uniqueName="[Gretchen Results 3mar].[t_txnew_u15]" caption="t_txnew_u15" attribute="1" defaultMemberUniqueName="[Gretchen Results 3mar].[t_txnew_u15].[All]" allUniqueName="[Gretchen Results 3mar].[t_txnew_u15].[All]" dimensionUniqueName="[Gretchen Results 3mar]" displayFolder="" count="0" unbalanced="0"/>
    <cacheHierarchy uniqueName="[Gretchen Results 3mar].[t_txnew_u15_f]" caption="t_txnew_u15_f" attribute="1" defaultMemberUniqueName="[Gretchen Results 3mar].[t_txnew_u15_f].[All]" allUniqueName="[Gretchen Results 3mar].[t_txnew_u15_f].[All]" dimensionUniqueName="[Gretchen Results 3mar]" displayFolder="" count="0" unbalanced="0"/>
    <cacheHierarchy uniqueName="[Gretchen Results 3mar].[t_txnew_u15_m]" caption="t_txnew_u15_m" attribute="1" defaultMemberUniqueName="[Gretchen Results 3mar].[t_txnew_u15_m].[All]" allUniqueName="[Gretchen Results 3mar].[t_txnew_u15_m].[All]" dimensionUniqueName="[Gretchen Results 3mar]" displayFolder="" count="0" unbalanced="0"/>
    <cacheHierarchy uniqueName="[Gretchen Results 3mar].[tbprev_d_3mar]" caption="tbprev_d_3mar" attribute="1" defaultMemberUniqueName="[Gretchen Results 3mar].[tbprev_d_3mar].[All]" allUniqueName="[Gretchen Results 3mar].[tbprev_d_3mar].[All]" dimensionUniqueName="[Gretchen Results 3mar]" displayFolder="" count="0" unbalanced="0"/>
    <cacheHierarchy uniqueName="[Gretchen Results 3mar].[tbprev_n]" caption="tbprev_n" attribute="1" defaultMemberUniqueName="[Gretchen Results 3mar].[tbprev_n].[All]" allUniqueName="[Gretchen Results 3mar].[tbprev_n].[All]" dimensionUniqueName="[Gretchen Results 3mar]" displayFolder="" count="0" unbalanced="0"/>
    <cacheHierarchy uniqueName="[Gretchen Results 3mar].[tbprev_start_thismo]" caption="tbprev_start_thismo" attribute="1" defaultMemberUniqueName="[Gretchen Results 3mar].[tbprev_start_thismo].[All]" allUniqueName="[Gretchen Results 3mar].[tbprev_start_thismo].[All]" dimensionUniqueName="[Gretchen Results 3mar]" displayFolder="" count="0" unbalanced="0"/>
    <cacheHierarchy uniqueName="[Gretchen Results 3mar].[TI]" caption="TI" attribute="1" defaultMemberUniqueName="[Gretchen Results 3mar].[TI].[All]" allUniqueName="[Gretchen Results 3mar].[TI].[All]" dimensionUniqueName="[Gretchen Results 3mar]" displayFolder="" count="0" unbalanced="0"/>
    <cacheHierarchy uniqueName="[Gretchen Results 3mar].[tier]" caption="tier" attribute="1" defaultMemberUniqueName="[Gretchen Results 3mar].[tier].[All]" allUniqueName="[Gretchen Results 3mar].[tier].[All]" dimensionUniqueName="[Gretchen Results 3mar]" displayFolder="" count="0" unbalanced="0"/>
    <cacheHierarchy uniqueName="[Gretchen Results 3mar].[TO]" caption="TO" attribute="1" defaultMemberUniqueName="[Gretchen Results 3mar].[TO].[All]" allUniqueName="[Gretchen Results 3mar].[TO].[All]" dimensionUniqueName="[Gretchen Results 3mar]" displayFolder="" count="0" unbalanced="0"/>
    <cacheHierarchy uniqueName="[Gretchen Results 3mar].[ward]" caption="ward" attribute="1" defaultMemberUniqueName="[Gretchen Results 3mar].[ward].[All]" allUniqueName="[Gretchen Results 3mar].[ward].[All]" dimensionUniqueName="[Gretchen Results 3mar]" displayFolder="" count="0" unbalanced="0"/>
    <cacheHierarchy uniqueName="[Gretchen Results 3mar].[yrmo]" caption="yrmo" attribute="1" defaultMemberUniqueName="[Gretchen Results 3mar].[yrmo].[All]" allUniqueName="[Gretchen Results 3mar].[yrmo].[All]" dimensionUniqueName="[Gretchen Results 3mar]" displayFolder="" count="0" unbalanced="0"/>
    <cacheHierarchy uniqueName="[Gretchen tx_curr Detail].[age_o15]" caption="age_o15" attribute="1" defaultMemberUniqueName="[Gretchen tx_curr Detail].[age_o15].[All]" allUniqueName="[Gretchen tx_curr Detail].[age_o15].[All]" dimensionUniqueName="[Gretchen tx_curr Detail]" displayFolder="" count="0" unbalanced="0"/>
    <cacheHierarchy uniqueName="[Gretchen tx_curr Detail].[age_u15]" caption="age_u15" attribute="1" defaultMemberUniqueName="[Gretchen tx_curr Detail].[age_u15].[All]" allUniqueName="[Gretchen tx_curr Detail].[age_u15].[All]" dimensionUniqueName="[Gretchen tx_curr Detail]" displayFolder="" count="0" unbalanced="0"/>
    <cacheHierarchy uniqueName="[Gretchen tx_curr Detail].[agegp]" caption="agegp" attribute="1" defaultMemberUniqueName="[Gretchen tx_curr Detail].[agegp].[All]" allUniqueName="[Gretchen tx_curr Detail].[agegp].[All]" dimensionUniqueName="[Gretchen tx_curr Detail]" displayFolder="" count="0" unbalanced="0"/>
    <cacheHierarchy uniqueName="[Gretchen tx_curr Detail].[ageyrs]" caption="ageyrs" attribute="1" defaultMemberUniqueName="[Gretchen tx_curr Detail].[ageyrs].[All]" allUniqueName="[Gretchen tx_curr Detail].[ageyrs].[All]" dimensionUniqueName="[Gretchen tx_curr Detail]" displayFolder="" count="0" unbalanced="0"/>
    <cacheHierarchy uniqueName="[Gretchen tx_curr Detail].[appduedt]" caption="appduedt" attribute="1" defaultMemberUniqueName="[Gretchen tx_curr Detail].[appduedt].[All]" allUniqueName="[Gretchen tx_curr Detail].[appduedt].[All]" dimensionUniqueName="[Gretchen tx_curr Detail]" displayFolder="" count="0" unbalanced="0"/>
    <cacheHierarchy uniqueName="[Gretchen tx_curr Detail].[appduedt_imp]" caption="appduedt_imp" attribute="1" defaultMemberUniqueName="[Gretchen tx_curr Detail].[appduedt_imp].[All]" allUniqueName="[Gretchen tx_curr Detail].[appduedt_imp].[All]" dimensionUniqueName="[Gretchen tx_curr Detail]" displayFolder="" count="0" unbalanced="0"/>
    <cacheHierarchy uniqueName="[Gretchen tx_curr Detail].[appmaxint]" caption="appmaxint" attribute="1" defaultMemberUniqueName="[Gretchen tx_curr Detail].[appmaxint].[All]" allUniqueName="[Gretchen tx_curr Detail].[appmaxint].[All]" dimensionUniqueName="[Gretchen tx_curr Detail]" displayFolder="" count="0" unbalanced="0"/>
    <cacheHierarchy uniqueName="[Gretchen tx_curr Detail].[artdys]" caption="artdys" attribute="1" defaultMemberUniqueName="[Gretchen tx_curr Detail].[artdys].[All]" allUniqueName="[Gretchen tx_curr Detail].[artdys].[All]" dimensionUniqueName="[Gretchen tx_curr Detail]" displayFolder="" count="0" unbalanced="0"/>
    <cacheHierarchy uniqueName="[Gretchen tx_curr Detail].[artdys_imp]" caption="artdys_imp" attribute="1" defaultMemberUniqueName="[Gretchen tx_curr Detail].[artdys_imp].[All]" allUniqueName="[Gretchen tx_curr Detail].[artdys_imp].[All]" dimensionUniqueName="[Gretchen tx_curr Detail]" displayFolder="" count="0" unbalanced="0"/>
    <cacheHierarchy uniqueName="[Gretchen tx_curr Detail].[artfinishdt]" caption="artfinishdt" attribute="1" defaultMemberUniqueName="[Gretchen tx_curr Detail].[artfinishdt].[All]" allUniqueName="[Gretchen tx_curr Detail].[artfinishdt].[All]" dimensionUniqueName="[Gretchen tx_curr Detail]" displayFolder="" count="0" unbalanced="0"/>
    <cacheHierarchy uniqueName="[Gretchen tx_curr Detail].[artmaxint]" caption="artmaxint" attribute="1" defaultMemberUniqueName="[Gretchen tx_curr Detail].[artmaxint].[All]" allUniqueName="[Gretchen tx_curr Detail].[artmaxint].[All]" dimensionUniqueName="[Gretchen tx_curr Detail]" displayFolder="" count="0" unbalanced="0"/>
    <cacheHierarchy uniqueName="[Gretchen tx_curr Detail].[dieddt]" caption="dieddt" attribute="1" defaultMemberUniqueName="[Gretchen tx_curr Detail].[dieddt].[All]" allUniqueName="[Gretchen tx_curr Detail].[dieddt].[All]" dimensionUniqueName="[Gretchen tx_curr Detail]" displayFolder="" count="0" unbalanced="0"/>
    <cacheHierarchy uniqueName="[Gretchen tx_curr Detail].[dob]" caption="dob" attribute="1" defaultMemberUniqueName="[Gretchen tx_curr Detail].[dob].[All]" allUniqueName="[Gretchen tx_curr Detail].[dob].[All]" dimensionUniqueName="[Gretchen tx_curr Detail]" displayFolder="" count="0" unbalanced="0"/>
    <cacheHierarchy uniqueName="[Gretchen tx_curr Detail].[lastvis]" caption="lastvis" attribute="1" defaultMemberUniqueName="[Gretchen tx_curr Detail].[lastvis].[All]" allUniqueName="[Gretchen tx_curr Detail].[lastvis].[All]" dimensionUniqueName="[Gretchen tx_curr Detail]" displayFolder="" count="0" unbalanced="0"/>
    <cacheHierarchy uniqueName="[Gretchen tx_curr Detail].[maxint]" caption="maxint" attribute="1" defaultMemberUniqueName="[Gretchen tx_curr Detail].[maxint].[All]" allUniqueName="[Gretchen tx_curr Detail].[maxint].[All]" dimensionUniqueName="[Gretchen tx_curr Detail]" displayFolder="" count="0" unbalanced="0"/>
    <cacheHierarchy uniqueName="[Gretchen tx_curr Detail].[pid]" caption="pid" attribute="1" defaultMemberUniqueName="[Gretchen tx_curr Detail].[pid].[All]" allUniqueName="[Gretchen tx_curr Detail].[pid].[All]" dimensionUniqueName="[Gretchen tx_curr Detail]" displayFolder="" count="0" unbalanced="0"/>
    <cacheHierarchy uniqueName="[Gretchen tx_curr Detail].[sex]" caption="sex" attribute="1" defaultMemberUniqueName="[Gretchen tx_curr Detail].[sex].[All]" allUniqueName="[Gretchen tx_curr Detail].[sex].[All]" dimensionUniqueName="[Gretchen tx_curr Detail]" displayFolder="" count="0" unbalanced="0"/>
    <cacheHierarchy uniqueName="[Gretchen tx_curr Detail].[siteid]" caption="siteid" attribute="1" defaultMemberUniqueName="[Gretchen tx_curr Detail].[siteid].[All]" allUniqueName="[Gretchen tx_curr Detail].[siteid].[All]" dimensionUniqueName="[Gretchen tx_curr Detail]" displayFolder="" count="0" unbalanced="0"/>
    <cacheHierarchy uniqueName="[Gretchen tx_curr Detail].[tc_o15_f]" caption="tc_o15_f" attribute="1" defaultMemberUniqueName="[Gretchen tx_curr Detail].[tc_o15_f].[All]" allUniqueName="[Gretchen tx_curr Detail].[tc_o15_f].[All]" dimensionUniqueName="[Gretchen tx_curr Detail]" displayFolder="" count="0" unbalanced="0"/>
    <cacheHierarchy uniqueName="[Gretchen tx_curr Detail].[tc_o15_m]" caption="tc_o15_m" attribute="1" defaultMemberUniqueName="[Gretchen tx_curr Detail].[tc_o15_m].[All]" allUniqueName="[Gretchen tx_curr Detail].[tc_o15_m].[All]" dimensionUniqueName="[Gretchen tx_curr Detail]" displayFolder="" count="0" unbalanced="0"/>
    <cacheHierarchy uniqueName="[Gretchen tx_curr Detail].[tc_u15_f]" caption="tc_u15_f" attribute="1" defaultMemberUniqueName="[Gretchen tx_curr Detail].[tc_u15_f].[All]" allUniqueName="[Gretchen tx_curr Detail].[tc_u15_f].[All]" dimensionUniqueName="[Gretchen tx_curr Detail]" displayFolder="" count="0" unbalanced="0"/>
    <cacheHierarchy uniqueName="[Gretchen tx_curr Detail].[tc_u15_m]" caption="tc_u15_m" attribute="1" defaultMemberUniqueName="[Gretchen tx_curr Detail].[tc_u15_m].[All]" allUniqueName="[Gretchen tx_curr Detail].[tc_u15_m].[All]" dimensionUniqueName="[Gretchen tx_curr Detail]" displayFolder="" count="0" unbalanced="0"/>
    <cacheHierarchy uniqueName="[Gretchen tx_curr Detail].[txcurr]" caption="txcurr" attribute="1" defaultMemberUniqueName="[Gretchen tx_curr Detail].[txcurr].[All]" allUniqueName="[Gretchen tx_curr Detail].[txcurr].[All]" dimensionUniqueName="[Gretchen tx_curr Detail]" displayFolder="" count="0" unbalanced="0"/>
    <cacheHierarchy uniqueName="[Gretchen tx_curr Detail].[txcurr_art]" caption="txcurr_art" attribute="1" defaultMemberUniqueName="[Gretchen tx_curr Detail].[txcurr_art].[All]" allUniqueName="[Gretchen tx_curr Detail].[txcurr_art].[All]" dimensionUniqueName="[Gretchen tx_curr Detail]" displayFolder="" count="0" unbalanced="0"/>
    <cacheHierarchy uniqueName="[Gretchen tx_curr Detail].[txcurr_exclude]" caption="txcurr_exclude" attribute="1" defaultMemberUniqueName="[Gretchen tx_curr Detail].[txcurr_exclude].[All]" allUniqueName="[Gretchen tx_curr Detail].[txcurr_exclude].[All]" dimensionUniqueName="[Gretchen tx_curr Detail]" displayFolder="" count="0" unbalanced="0"/>
    <cacheHierarchy uniqueName="[Gretchen tx_curr Detail].[txcurr_vis]" caption="txcurr_vis" attribute="1" defaultMemberUniqueName="[Gretchen tx_curr Detail].[txcurr_vis].[All]" allUniqueName="[Gretchen tx_curr Detail].[txcurr_vis].[All]" dimensionUniqueName="[Gretchen tx_curr Detail]" displayFolder="" count="0" unbalanced="0"/>
    <cacheHierarchy uniqueName="[Gretchen tx_curr Detail].[UniquePatientID]" caption="UniquePatientID" attribute="1" defaultMemberUniqueName="[Gretchen tx_curr Detail].[UniquePatientID].[All]" allUniqueName="[Gretchen tx_curr Detail].[UniquePatientID].[All]" dimensionUniqueName="[Gretchen tx_curr Detail]" displayFolder="" count="0" unbalanced="0"/>
    <cacheHierarchy uniqueName="[Patients].[Age at ART Start]" caption="Age at ART Start" attribute="1" defaultMemberUniqueName="[Patients].[Age at ART Start].[All]" allUniqueName="[Patients].[Age at ART Start].[All]" dimensionUniqueName="[Patients]" displayFolder="" count="0" unbalanced="0"/>
    <cacheHierarchy uniqueName="[Patients].[Age at ART Start (bins)]" caption="Age at ART Start (bins)" attribute="1" defaultMemberUniqueName="[Patients].[Age at ART Start (bins)].[All]" allUniqueName="[Patients].[Age at ART Start (bins)].[All]" dimensionUniqueName="[Patients]" displayFolder="" count="0" unbalanced="0"/>
    <cacheHierarchy uniqueName="[Patients].[CommunitySupportOrg]" caption="CommunitySupportOrg" attribute="1" defaultMemberUniqueName="[Patients].[CommunitySupportOrg].[All]" allUniqueName="[Patients].[CommunitySupportOrg].[All]" dimensionUniqueName="[Patients]" displayFolder="" count="0" unbalanced="0"/>
    <cacheHierarchy uniqueName="[Patients].[DateConfirmedHIVPositive]" caption="DateConfirmedHIVPositive" attribute="1" defaultMemberUniqueName="[Patients].[DateConfirmedHIVPositive].[All]" allUniqueName="[Patients].[DateConfirmedHIVPositive].[All]" dimensionUniqueName="[Patients]" displayFolder="" count="0" unbalanced="0"/>
    <cacheHierarchy uniqueName="[Patients].[DateConfirmedHIVPositiveKey]" caption="DateConfirmedHIVPositiveKey" attribute="1" defaultMemberUniqueName="[Patients].[DateConfirmedHIVPositiveKey].[All]" allUniqueName="[Patients].[DateConfirmedHIVPositiveKey].[All]" dimensionUniqueName="[Patients]" displayFolder="" count="0" unbalanced="0"/>
    <cacheHierarchy uniqueName="[Patients].[DateFirstPositiveHIVTest]" caption="DateFirstPositiveHIVTest" attribute="1" defaultMemberUniqueName="[Patients].[DateFirstPositiveHIVTest].[All]" allUniqueName="[Patients].[DateFirstPositiveHIVTest].[All]" dimensionUniqueName="[Patients]" displayFolder="" count="0" unbalanced="0"/>
    <cacheHierarchy uniqueName="[Patients].[DateFirstPositiveHIVTestKey]" caption="DateFirstPositiveHIVTestKey" attribute="1" defaultMemberUniqueName="[Patients].[DateFirstPositiveHIVTestKey].[All]" allUniqueName="[Patients].[DateFirstPositiveHIVTestKey].[All]" dimensionUniqueName="[Patients]" displayFolder="" count="0" unbalanced="0"/>
    <cacheHierarchy uniqueName="[Patients].[DateFirstVisit]" caption="DateFirstVisit" attribute="1" defaultMemberUniqueName="[Patients].[DateFirstVisit].[All]" allUniqueName="[Patients].[DateFirstVisit].[All]" dimensionUniqueName="[Patients]" displayFolder="" count="0" unbalanced="0"/>
    <cacheHierarchy uniqueName="[Patients].[DateFirstVisitKey]" caption="DateFirstVisitKey" attribute="1" defaultMemberUniqueName="[Patients].[DateFirstVisitKey].[All]" allUniqueName="[Patients].[DateFirstVisitKey].[All]" dimensionUniqueName="[Patients]" displayFolder="" count="0" unbalanced="0"/>
    <cacheHierarchy uniqueName="[Patients].[DateLastVisit]" caption="DateLastVisit" attribute="1" defaultMemberUniqueName="[Patients].[DateLastVisit].[All]" allUniqueName="[Patients].[DateLastVisit].[All]" dimensionUniqueName="[Patients]" displayFolder="" count="0" unbalanced="0"/>
    <cacheHierarchy uniqueName="[Patients].[DateLastVisitKey]" caption="DateLastVisitKey" attribute="1" defaultMemberUniqueName="[Patients].[DateLastVisitKey].[All]" allUniqueName="[Patients].[DateLastVisitKey].[All]" dimensionUniqueName="[Patients]" displayFolder="" count="0" unbalanced="0"/>
    <cacheHierarchy uniqueName="[Patients].[DateOfBirth]" caption="DateOfBirth" attribute="1" defaultMemberUniqueName="[Patients].[DateOfBirth].[All]" allUniqueName="[Patients].[DateOfBirth].[All]" dimensionUniqueName="[Patients]" displayFolder="" count="0" unbalanced="0"/>
    <cacheHierarchy uniqueName="[Patients].[DateOfDeath]" caption="DateOfDeath" attribute="1" defaultMemberUniqueName="[Patients].[DateOfDeath].[All]" allUniqueName="[Patients].[DateOfDeath].[All]" dimensionUniqueName="[Patients]" displayFolder="" count="0" unbalanced="0"/>
    <cacheHierarchy uniqueName="[Patients].[DateOfDeathKey]" caption="DateOfDeathKey" attribute="1" defaultMemberUniqueName="[Patients].[DateOfDeathKey].[All]" allUniqueName="[Patients].[DateOfDeathKey].[All]" dimensionUniqueName="[Patients]" displayFolder="" count="0" unbalanced="0"/>
    <cacheHierarchy uniqueName="[Patients].[DateReadyStartART]" caption="DateReadyStartART" attribute="1" defaultMemberUniqueName="[Patients].[DateReadyStartART].[All]" allUniqueName="[Patients].[DateReadyStartART].[All]" dimensionUniqueName="[Patients]" displayFolder="" count="0" unbalanced="0"/>
    <cacheHierarchy uniqueName="[Patients].[DateReadyStartARTKey]" caption="DateReadyStartARTKey" attribute="1" defaultMemberUniqueName="[Patients].[DateReadyStartARTKey].[All]" allUniqueName="[Patients].[DateReadyStartARTKey].[All]" dimensionUniqueName="[Patients]" displayFolder="" count="0" unbalanced="0"/>
    <cacheHierarchy uniqueName="[Patients].[DateStartART]" caption="DateStartART" attribute="1" defaultMemberUniqueName="[Patients].[DateStartART].[All]" allUniqueName="[Patients].[DateStartART].[All]" dimensionUniqueName="[Patients]" displayFolder="" count="0" unbalanced="0"/>
    <cacheHierarchy uniqueName="[Patients].[DateStartART15]" caption="DateStartART15" attribute="1" defaultMemberUniqueName="[Patients].[DateStartART15].[All]" allUniqueName="[Patients].[DateStartART15].[All]" dimensionUniqueName="[Patients]" displayFolder="" count="0" unbalanced="0"/>
    <cacheHierarchy uniqueName="[Patients].[DateStartART15Key]" caption="DateStartART15Key" attribute="1" defaultMemberUniqueName="[Patients].[DateStartART15Key].[All]" allUniqueName="[Patients].[DateStartART15Key].[All]" dimensionUniqueName="[Patients]" displayFolder="" count="0" unbalanced="0"/>
    <cacheHierarchy uniqueName="[Patients].[DateStartART2]" caption="DateStartART2" attribute="1" defaultMemberUniqueName="[Patients].[DateStartART2].[All]" allUniqueName="[Patients].[DateStartART2].[All]" dimensionUniqueName="[Patients]" displayFolder="" count="0" unbalanced="0"/>
    <cacheHierarchy uniqueName="[Patients].[DateStartART2Key]" caption="DateStartART2Key" attribute="1" defaultMemberUniqueName="[Patients].[DateStartART2Key].[All]" allUniqueName="[Patients].[DateStartART2Key].[All]" dimensionUniqueName="[Patients]" displayFolder="" count="0" unbalanced="0"/>
    <cacheHierarchy uniqueName="[Patients].[DateStartARTKey]" caption="DateStartARTKey" attribute="1" defaultMemberUniqueName="[Patients].[DateStartARTKey].[All]" allUniqueName="[Patients].[DateStartARTKey].[All]" dimensionUniqueName="[Patients]" displayFolder="" count="0" unbalanced="0"/>
    <cacheHierarchy uniqueName="[Patients].[DaysToInitiation]" caption="DaysToInitiation" attribute="1" defaultMemberUniqueName="[Patients].[DaysToInitiation].[All]" allUniqueName="[Patients].[DaysToInitiation].[All]" dimensionUniqueName="[Patients]" displayFolder="" count="0" unbalanced="0"/>
    <cacheHierarchy uniqueName="[Patients].[DaysToInitiationGrouping]" caption="DaysToInitiationGrouping" attribute="1" defaultMemberUniqueName="[Patients].[DaysToInitiationGrouping].[All]" allUniqueName="[Patients].[DaysToInitiationGrouping].[All]" dimensionUniqueName="[Patients]" displayFolder="" count="0" unbalanced="0"/>
    <cacheHierarchy uniqueName="[Patients].[DrugAllergies]" caption="DrugAllergies" attribute="1" defaultMemberUniqueName="[Patients].[DrugAllergies].[All]" allUniqueName="[Patients].[DrugAllergies].[All]" dimensionUniqueName="[Patients]" displayFolder="" count="0" unbalanced="0"/>
    <cacheHierarchy uniqueName="[Patients].[FacilityKey]" caption="FacilityKey" attribute="1" defaultMemberUniqueName="[Patients].[FacilityKey].[All]" allUniqueName="[Patients].[FacilityKey].[All]" dimensionUniqueName="[Patients]" displayFolder="" count="0" unbalanced="0"/>
    <cacheHierarchy uniqueName="[Patients].[FileRef]" caption="FileRef" attribute="1" defaultMemberUniqueName="[Patients].[FileRef].[All]" allUniqueName="[Patients].[FileRef].[All]" dimensionUniqueName="[Patients]" displayFolder="" count="0" unbalanced="0"/>
    <cacheHierarchy uniqueName="[Patients].[ht]" caption="ht" attribute="1" defaultMemberUniqueName="[Patients].[ht].[All]" allUniqueName="[Patients].[ht].[All]" dimensionUniqueName="[Patients]" displayFolder="" count="0" unbalanced="0"/>
    <cacheHierarchy uniqueName="[Patients].[LastDiedStatusDate]" caption="LastDiedStatusDate" attribute="1" defaultMemberUniqueName="[Patients].[LastDiedStatusDate].[All]" allUniqueName="[Patients].[LastDiedStatusDate].[All]" dimensionUniqueName="[Patients]" displayFolder="" count="0" unbalanced="0"/>
    <cacheHierarchy uniqueName="[Patients].[MaritalStatusCode]" caption="MaritalStatusCode" attribute="1" defaultMemberUniqueName="[Patients].[MaritalStatusCode].[All]" allUniqueName="[Patients].[MaritalStatusCode].[All]" dimensionUniqueName="[Patients]" displayFolder="" count="0" unbalanced="0"/>
    <cacheHierarchy uniqueName="[Patients].[PatientDistrictCode]" caption="PatientDistrictCode" attribute="1" defaultMemberUniqueName="[Patients].[PatientDistrictCode].[All]" allUniqueName="[Patients].[PatientDistrictCode].[All]" dimensionUniqueName="[Patients]" displayFolder="" count="0" unbalanced="0"/>
    <cacheHierarchy uniqueName="[Patients].[PatientDivisionName]" caption="PatientDivisionName" attribute="1" defaultMemberUniqueName="[Patients].[PatientDivisionName].[All]" allUniqueName="[Patients].[PatientDivisionName].[All]" dimensionUniqueName="[Patients]" displayFolder="" count="0" unbalanced="0"/>
    <cacheHierarchy uniqueName="[Patients].[PatientID]" caption="PatientID" attribute="1" defaultMemberUniqueName="[Patients].[PatientID].[All]" allUniqueName="[Patients].[PatientID].[All]" dimensionUniqueName="[Patients]" displayFolder="" count="0" unbalanced="0"/>
    <cacheHierarchy uniqueName="[Patients].[PatientKey]" caption="PatientKey" attribute="1" defaultMemberUniqueName="[Patients].[PatientKey].[All]" allUniqueName="[Patients].[PatientKey].[All]" dimensionUniqueName="[Patients]" displayFolder="" count="0" unbalanced="0"/>
    <cacheHierarchy uniqueName="[Patients].[PatientRegionCode]" caption="PatientRegionCode" attribute="1" defaultMemberUniqueName="[Patients].[PatientRegionCode].[All]" allUniqueName="[Patients].[PatientRegionCode].[All]" dimensionUniqueName="[Patients]" displayFolder="" count="0" unbalanced="0"/>
    <cacheHierarchy uniqueName="[Patients].[PatientWardName]" caption="PatientWardName" attribute="1" defaultMemberUniqueName="[Patients].[PatientWardName].[All]" allUniqueName="[Patients].[PatientWardName].[All]" dimensionUniqueName="[Patients]" displayFolder="" count="0" unbalanced="0"/>
    <cacheHierarchy uniqueName="[Patients].[PriorExposure]" caption="PriorExposure" attribute="1" defaultMemberUniqueName="[Patients].[PriorExposure].[All]" allUniqueName="[Patients].[PriorExposure].[All]" dimensionUniqueName="[Patients]" displayFolder="" count="0" unbalanced="0"/>
    <cacheHierarchy uniqueName="[Patients].[ReferredFrom]" caption="ReferredFrom" attribute="1" defaultMemberUniqueName="[Patients].[ReferredFrom].[All]" allUniqueName="[Patients].[ReferredFrom].[All]" dimensionUniqueName="[Patients]" displayFolder="" count="0" unbalanced="0"/>
    <cacheHierarchy uniqueName="[Patients].[ReferredFromID]" caption="ReferredFromID" attribute="1" defaultMemberUniqueName="[Patients].[ReferredFromID].[All]" allUniqueName="[Patients].[ReferredFromID].[All]" dimensionUniqueName="[Patients]" displayFolder="" count="0" unbalanced="0"/>
    <cacheHierarchy uniqueName="[Patients].[ReferredFromKey]" caption="ReferredFromKey" attribute="1" defaultMemberUniqueName="[Patients].[ReferredFromKey].[All]" allUniqueName="[Patients].[ReferredFromKey].[All]" dimensionUniqueName="[Patients]" displayFolder="" count="0" unbalanced="0"/>
    <cacheHierarchy uniqueName="[Patients].[Sex]" caption="Sex" attribute="1" defaultMemberUniqueName="[Patients].[Sex].[All]" allUniqueName="[Patients].[Sex].[All]" dimensionUniqueName="[Patients]" displayFolder="" count="0" unbalanced="0"/>
    <cacheHierarchy uniqueName="[Patients].[SexShort]" caption="SexShort" attribute="1" defaultMemberUniqueName="[Patients].[SexShort].[All]" allUniqueName="[Patients].[SexShort].[All]" dimensionUniqueName="[Patients]" displayFolder="" count="0" unbalanced="0"/>
    <cacheHierarchy uniqueName="[Patients].[TransferIn]" caption="TransferIn" attribute="1" defaultMemberUniqueName="[Patients].[TransferIn].[All]" allUniqueName="[Patients].[TransferIn].[All]" dimensionUniqueName="[Patients]" displayFolder="" count="0" unbalanced="0"/>
    <cacheHierarchy uniqueName="[Patients].[TransferInID]" caption="TransferInID" attribute="1" defaultMemberUniqueName="[Patients].[TransferInID].[All]" allUniqueName="[Patients].[TransferInID].[All]" dimensionUniqueName="[Patients]" displayFolder="" count="0" unbalanced="0"/>
    <cacheHierarchy uniqueName="[Patients].[TransferInShort]" caption="TransferInShort" attribute="1" defaultMemberUniqueName="[Patients].[TransferInShort].[All]" allUniqueName="[Patients].[TransferInShort].[All]" dimensionUniqueName="[Patients]" displayFolder="" count="0" unbalanced="0"/>
    <cacheHierarchy uniqueName="[Patients].[TrulyDied]" caption="TrulyDied" attribute="1" defaultMemberUniqueName="[Patients].[TrulyDied].[All]" allUniqueName="[Patients].[TrulyDied].[All]" dimensionUniqueName="[Patients]" displayFolder="" count="0" unbalanced="0"/>
    <cacheHierarchy uniqueName="[Patients].[TrulyDiedDate]" caption="TrulyDiedDate" attribute="1" defaultMemberUniqueName="[Patients].[TrulyDiedDate].[All]" allUniqueName="[Patients].[TrulyDiedDate].[All]" dimensionUniqueName="[Patients]" displayFolder="" count="0" unbalanced="0"/>
    <cacheHierarchy uniqueName="[Patients].[UniquePatientID]" caption="UniquePatientID" attribute="1" defaultMemberUniqueName="[Patients].[UniquePatientID].[All]" allUniqueName="[Patients].[UniquePatientID].[All]" dimensionUniqueName="[Patients]" displayFolder="" count="0" unbalanced="0"/>
    <cacheHierarchy uniqueName="[Status].[District]" caption="District" attribute="1" defaultMemberUniqueName="[Status].[District].[All]" allUniqueName="[Status].[District].[All]" dimensionUniqueName="[Status]" displayFolder="" count="0" unbalanced="0"/>
    <cacheHierarchy uniqueName="[Status].[FacilityKey]" caption="FacilityKey" attribute="1" defaultMemberUniqueName="[Status].[FacilityKey].[All]" allUniqueName="[Status].[FacilityKey].[All]" dimensionUniqueName="[Status]" displayFolder="" count="0" unbalanced="0"/>
    <cacheHierarchy uniqueName="[Status].[FacilityName]" caption="FacilityName" attribute="1" defaultMemberUniqueName="[Status].[FacilityName].[All]" allUniqueName="[Status].[FacilityName].[All]" dimensionUniqueName="[Status]" displayFolder="" count="0" unbalanced="0"/>
    <cacheHierarchy uniqueName="[Status].[FactStatusKey]" caption="FactStatusKey" attribute="1" defaultMemberUniqueName="[Status].[FactStatusKey].[All]" allUniqueName="[Status].[FactStatusKey].[All]" dimensionUniqueName="[Status]" displayFolder="" count="0" unbalanced="0"/>
    <cacheHierarchy uniqueName="[Status].[Notes]" caption="Notes" attribute="1" defaultMemberUniqueName="[Status].[Notes].[All]" allUniqueName="[Status].[Notes].[All]" dimensionUniqueName="[Status]" displayFolder="" count="0" unbalanced="0"/>
    <cacheHierarchy uniqueName="[Status].[PatientID]" caption="PatientID" attribute="1" defaultMemberUniqueName="[Status].[PatientID].[All]" allUniqueName="[Status].[PatientID].[All]" dimensionUniqueName="[Status]" displayFolder="" count="0" unbalanced="0"/>
    <cacheHierarchy uniqueName="[Status].[PatientKey]" caption="PatientKey" attribute="1" defaultMemberUniqueName="[Status].[PatientKey].[All]" allUniqueName="[Status].[PatientKey].[All]" dimensionUniqueName="[Status]" displayFolder="" count="0" unbalanced="0"/>
    <cacheHierarchy uniqueName="[Status].[PtAgeAtStatusDate]" caption="PtAgeAtStatusDate" attribute="1" defaultMemberUniqueName="[Status].[PtAgeAtStatusDate].[All]" allUniqueName="[Status].[PtAgeAtStatusDate].[All]" dimensionUniqueName="[Status]" displayFolder="" count="0" unbalanced="0"/>
    <cacheHierarchy uniqueName="[Status].[Region]" caption="Region" attribute="1" defaultMemberUniqueName="[Status].[Region].[All]" allUniqueName="[Status].[Region].[All]" dimensionUniqueName="[Status]" displayFolder="" count="0" unbalanced="0"/>
    <cacheHierarchy uniqueName="[Status].[StatusDate]" caption="StatusDate" attribute="1" defaultMemberUniqueName="[Status].[StatusDate].[All]" allUniqueName="[Status].[StatusDate].[All]" dimensionUniqueName="[Status]" displayFolder="" count="0" unbalanced="0"/>
    <cacheHierarchy uniqueName="[Status].[StatusDateKey]" caption="StatusDateKey" attribute="1" defaultMemberUniqueName="[Status].[StatusDateKey].[All]" allUniqueName="[Status].[StatusDateKey].[All]" dimensionUniqueName="[Status]" displayFolder="" count="0" unbalanced="0"/>
    <cacheHierarchy uniqueName="[Status].[StatusDescription]" caption="StatusDescription" attribute="1" defaultMemberUniqueName="[Status].[StatusDescription].[All]" allUniqueName="[Status].[StatusDescription].[All]" dimensionUniqueName="[Status]" displayFolder="" count="0" unbalanced="0"/>
    <cacheHierarchy uniqueName="[Status].[StatusKey]" caption="StatusKey" attribute="1" defaultMemberUniqueName="[Status].[StatusKey].[All]" allUniqueName="[Status].[StatusKey].[All]" dimensionUniqueName="[Status]" displayFolder="" count="0" unbalanced="0"/>
    <cacheHierarchy uniqueName="[Status].[StatusReason]" caption="StatusReason" attribute="1" defaultMemberUniqueName="[Status].[StatusReason].[All]" allUniqueName="[Status].[StatusReason].[All]" dimensionUniqueName="[Status]" displayFolder="" count="0" unbalanced="0"/>
    <cacheHierarchy uniqueName="[Status].[TransferredOutWhere]" caption="TransferredOutWhere" attribute="1" defaultMemberUniqueName="[Status].[TransferredOutWhere].[All]" allUniqueName="[Status].[TransferredOutWhere].[All]" dimensionUniqueName="[Status]" displayFolder="" count="0" unbalanced="0"/>
    <cacheHierarchy uniqueName="[Tests].[DateCompletedEAC]" caption="DateCompletedEAC" attribute="1" defaultMemberUniqueName="[Tests].[DateCompletedEAC].[All]" allUniqueName="[Tests].[DateCompletedEAC].[All]" dimensionUniqueName="[Tests]" displayFolder="" count="0" unbalanced="0"/>
    <cacheHierarchy uniqueName="[Tests].[DateHVLTestAfterEAC]" caption="DateHVLTestAfterEAC" attribute="1" defaultMemberUniqueName="[Tests].[DateHVLTestAfterEAC].[All]" allUniqueName="[Tests].[DateHVLTestAfterEAC].[All]" dimensionUniqueName="[Tests]" displayFolder="" count="0" unbalanced="0"/>
    <cacheHierarchy uniqueName="[Tests].[DateInitiatedEAC]" caption="DateInitiatedEAC" attribute="1" defaultMemberUniqueName="[Tests].[DateInitiatedEAC].[All]" allUniqueName="[Tests].[DateInitiatedEAC].[All]" dimensionUniqueName="[Tests]" displayFolder="" count="0" unbalanced="0"/>
    <cacheHierarchy uniqueName="[Tests].[District]" caption="District" attribute="1" defaultMemberUniqueName="[Tests].[District].[All]" allUniqueName="[Tests].[District].[All]" dimensionUniqueName="[Tests]" displayFolder="" count="0" unbalanced="0"/>
    <cacheHierarchy uniqueName="[Tests].[FacilityKey]" caption="FacilityKey" attribute="1" defaultMemberUniqueName="[Tests].[FacilityKey].[All]" allUniqueName="[Tests].[FacilityKey].[All]" dimensionUniqueName="[Tests]" displayFolder="" count="0" unbalanced="0"/>
    <cacheHierarchy uniqueName="[Tests].[FacilityName]" caption="FacilityName" attribute="1" defaultMemberUniqueName="[Tests].[FacilityName].[All]" allUniqueName="[Tests].[FacilityName].[All]" dimensionUniqueName="[Tests]" displayFolder="" count="0" unbalanced="0"/>
    <cacheHierarchy uniqueName="[Tests].[PatientID]" caption="PatientID" attribute="1" defaultMemberUniqueName="[Tests].[PatientID].[All]" allUniqueName="[Tests].[PatientID].[All]" dimensionUniqueName="[Tests]" displayFolder="" count="0" unbalanced="0"/>
    <cacheHierarchy uniqueName="[Tests].[PatientKey]" caption="PatientKey" attribute="1" defaultMemberUniqueName="[Tests].[PatientKey].[All]" allUniqueName="[Tests].[PatientKey].[All]" dimensionUniqueName="[Tests]" displayFolder="" count="0" unbalanced="0"/>
    <cacheHierarchy uniqueName="[Tests].[PtAgeAtRefVisitDate]" caption="PtAgeAtRefVisitDate" attribute="1" defaultMemberUniqueName="[Tests].[PtAgeAtRefVisitDate].[All]" allUniqueName="[Tests].[PtAgeAtRefVisitDate].[All]" dimensionUniqueName="[Tests]" displayFolder="" count="0" unbalanced="0"/>
    <cacheHierarchy uniqueName="[Tests].[RefVisitDate]" caption="RefVisitDate" attribute="1" defaultMemberUniqueName="[Tests].[RefVisitDate].[All]" allUniqueName="[Tests].[RefVisitDate].[All]" dimensionUniqueName="[Tests]" displayFolder="" count="0" unbalanced="0"/>
    <cacheHierarchy uniqueName="[Tests].[Region]" caption="Region" attribute="1" defaultMemberUniqueName="[Tests].[Region].[All]" allUniqueName="[Tests].[Region].[All]" dimensionUniqueName="[Tests]" displayFolder="" count="0" unbalanced="0"/>
    <cacheHierarchy uniqueName="[Tests].[ResultDate]" caption="ResultDate" attribute="1" defaultMemberUniqueName="[Tests].[ResultDate].[All]" allUniqueName="[Tests].[ResultDate].[All]" dimensionUniqueName="[Tests]" displayFolder="" count="0" unbalanced="0"/>
    <cacheHierarchy uniqueName="[Tests].[ResultNotes]" caption="ResultNotes" attribute="1" defaultMemberUniqueName="[Tests].[ResultNotes].[All]" allUniqueName="[Tests].[ResultNotes].[All]" dimensionUniqueName="[Tests]" displayFolder="" count="0" unbalanced="0"/>
    <cacheHierarchy uniqueName="[Tests].[ResultNotesClean]" caption="ResultNotesClean" attribute="1" defaultMemberUniqueName="[Tests].[ResultNotesClean].[All]" allUniqueName="[Tests].[ResultNotesClean].[All]" dimensionUniqueName="[Tests]" displayFolder="" count="0" unbalanced="0"/>
    <cacheHierarchy uniqueName="[Tests].[ResultNotesDiffer]" caption="ResultNotesDiffer" attribute="1" defaultMemberUniqueName="[Tests].[ResultNotesDiffer].[All]" allUniqueName="[Tests].[ResultNotesDiffer].[All]" dimensionUniqueName="[Tests]" displayFolder="" count="0" unbalanced="0"/>
    <cacheHierarchy uniqueName="[Tests].[ResultNumeric]" caption="ResultNumeric" attribute="1" defaultMemberUniqueName="[Tests].[ResultNumeric].[All]" allUniqueName="[Tests].[ResultNumeric].[All]" dimensionUniqueName="[Tests]" displayFolder="" count="0" unbalanced="0"/>
    <cacheHierarchy uniqueName="[Tests].[ResultNumericClean]" caption="ResultNumericClean" attribute="1" defaultMemberUniqueName="[Tests].[ResultNumericClean].[All]" allUniqueName="[Tests].[ResultNumericClean].[All]" dimensionUniqueName="[Tests]" displayFolder="" count="0" unbalanced="0"/>
    <cacheHierarchy uniqueName="[Tests].[ResultNumericDiffers]" caption="ResultNumericDiffers" attribute="1" defaultMemberUniqueName="[Tests].[ResultNumericDiffers].[All]" allUniqueName="[Tests].[ResultNumericDiffers].[All]" dimensionUniqueName="[Tests]" displayFolder="" count="0" unbalanced="0"/>
    <cacheHierarchy uniqueName="[Tests].[ResultsStatusID]" caption="ResultsStatusID" attribute="1" defaultMemberUniqueName="[Tests].[ResultsStatusID].[All]" allUniqueName="[Tests].[ResultsStatusID].[All]" dimensionUniqueName="[Tests]" displayFolder="" count="0" unbalanced="0"/>
    <cacheHierarchy uniqueName="[Tests].[ReturnResultDate]" caption="ReturnResultDate" attribute="1" defaultMemberUniqueName="[Tests].[ReturnResultDate].[All]" allUniqueName="[Tests].[ReturnResultDate].[All]" dimensionUniqueName="[Tests]" displayFolder="" count="0" unbalanced="0"/>
    <cacheHierarchy uniqueName="[Tests].[TestDate]" caption="TestDate" attribute="1" defaultMemberUniqueName="[Tests].[TestDate].[All]" allUniqueName="[Tests].[TestDate].[All]" dimensionUniqueName="[Tests]" displayFolder="" count="0" unbalanced="0"/>
    <cacheHierarchy uniqueName="[Tests].[TestType]" caption="TestType" attribute="1" defaultMemberUniqueName="[Tests].[TestType].[All]" allUniqueName="[Tests].[TestType].[All]" dimensionUniqueName="[Tests]" displayFolder="" count="0" unbalanced="0"/>
    <cacheHierarchy uniqueName="[Tests].[TestTypeID]" caption="TestTypeID" attribute="1" defaultMemberUniqueName="[Tests].[TestTypeID].[All]" allUniqueName="[Tests].[TestTypeID].[All]" dimensionUniqueName="[Tests]" displayFolder="" count="0" unbalanced="0"/>
    <cacheHierarchy uniqueName="[Tests].[TheID]" caption="TheID" attribute="1" defaultMemberUniqueName="[Tests].[TheID].[All]" allUniqueName="[Tests].[TheID].[All]" dimensionUniqueName="[Tests]" displayFolder="" count="0" unbalanced="0"/>
    <cacheHierarchy uniqueName="[VisitsAndAppointments].[appduedt]" caption="appduedt" attribute="1" defaultMemberUniqueName="[VisitsAndAppointments].[appduedt].[All]" allUniqueName="[VisitsAndAppointments].[appduedt].[All]" dimensionUniqueName="[VisitsAndAppointments]" displayFolder="" count="0" unbalanced="0"/>
    <cacheHierarchy uniqueName="[VisitsAndAppointments].[appduedt_imp]" caption="appduedt_imp" attribute="1" defaultMemberUniqueName="[VisitsAndAppointments].[appduedt_imp].[All]" allUniqueName="[VisitsAndAppointments].[appduedt_imp].[All]" dimensionUniqueName="[VisitsAndAppointments]" displayFolder="" count="0" unbalanced="0"/>
    <cacheHierarchy uniqueName="[VisitsAndAppointments].[appduedt_key]" caption="appduedt_key" attribute="1" defaultMemberUniqueName="[VisitsAndAppointments].[appduedt_key].[All]" allUniqueName="[VisitsAndAppointments].[appduedt_key].[All]" dimensionUniqueName="[VisitsAndAppointments]" displayFolder="" count="0" unbalanced="0"/>
    <cacheHierarchy uniqueName="[VisitsAndAppointments].[appmaxint]" caption="appmaxint" attribute="1" defaultMemberUniqueName="[VisitsAndAppointments].[appmaxint].[All]" allUniqueName="[VisitsAndAppointments].[appmaxint].[All]" dimensionUniqueName="[VisitsAndAppointments]" displayFolder="" count="0" unbalanced="0"/>
    <cacheHierarchy uniqueName="[VisitsAndAppointments].[AppointmentDate]" caption="AppointmentDate" attribute="1" defaultMemberUniqueName="[VisitsAndAppointments].[AppointmentDate].[All]" allUniqueName="[VisitsAndAppointments].[AppointmentDate].[All]" dimensionUniqueName="[VisitsAndAppointments]" displayFolder="" count="0" unbalanced="0"/>
    <cacheHierarchy uniqueName="[VisitsAndAppointments].[AppointmentDateKey]" caption="AppointmentDateKey" attribute="1" defaultMemberUniqueName="[VisitsAndAppointments].[AppointmentDateKey].[All]" allUniqueName="[VisitsAndAppointments].[AppointmentDateKey].[All]" dimensionUniqueName="[VisitsAndAppointments]" displayFolder="" count="0" unbalanced="0"/>
    <cacheHierarchy uniqueName="[VisitsAndAppointments].[artdys]" caption="artdys" attribute="1" defaultMemberUniqueName="[VisitsAndAppointments].[artdys].[All]" allUniqueName="[VisitsAndAppointments].[artdys].[All]" dimensionUniqueName="[VisitsAndAppointments]" displayFolder="" count="0" unbalanced="0"/>
    <cacheHierarchy uniqueName="[VisitsAndAppointments].[artdys_imp]" caption="artdys_imp" attribute="1" defaultMemberUniqueName="[VisitsAndAppointments].[artdys_imp].[All]" allUniqueName="[VisitsAndAppointments].[artdys_imp].[All]" dimensionUniqueName="[VisitsAndAppointments]" displayFolder="" count="0" unbalanced="0"/>
    <cacheHierarchy uniqueName="[VisitsAndAppointments].[artmaxint]" caption="artmaxint" attribute="1" defaultMemberUniqueName="[VisitsAndAppointments].[artmaxint].[All]" allUniqueName="[VisitsAndAppointments].[artmaxint].[All]" dimensionUniqueName="[VisitsAndAppointments]" displayFolder="" count="0" unbalanced="0"/>
    <cacheHierarchy uniqueName="[VisitsAndAppointments].[ARVCode]" caption="ARVCode" attribute="1" defaultMemberUniqueName="[VisitsAndAppointments].[ARVCode].[All]" allUniqueName="[VisitsAndAppointments].[ARVCode].[All]" dimensionUniqueName="[VisitsAndAppointments]" displayFolder="" count="0" unbalanced="0"/>
    <cacheHierarchy uniqueName="[VisitsAndAppointments].[ARVCodeKey]" caption="ARVCodeKey" attribute="1" defaultMemberUniqueName="[VisitsAndAppointments].[ARVCodeKey].[All]" allUniqueName="[VisitsAndAppointments].[ARVCodeKey].[All]" dimensionUniqueName="[VisitsAndAppointments]" displayFolder="" count="0" unbalanced="0"/>
    <cacheHierarchy uniqueName="[VisitsAndAppointments].[ARVDescription]" caption="ARVDescription" attribute="1" defaultMemberUniqueName="[VisitsAndAppointments].[ARVDescription].[All]" allUniqueName="[VisitsAndAppointments].[ARVDescription].[All]" dimensionUniqueName="[VisitsAndAppointments]" displayFolder="" count="0" unbalanced="0"/>
    <cacheHierarchy uniqueName="[VisitsAndAppointments].[ARVStatus]" caption="ARVStatus" attribute="1" defaultMemberUniqueName="[VisitsAndAppointments].[ARVStatus].[All]" allUniqueName="[VisitsAndAppointments].[ARVStatus].[All]" dimensionUniqueName="[VisitsAndAppointments]" displayFolder="" count="0" unbalanced="0"/>
    <cacheHierarchy uniqueName="[VisitsAndAppointments].[ARVStatusDescription]" caption="ARVStatusDescription" attribute="1" defaultMemberUniqueName="[VisitsAndAppointments].[ARVStatusDescription].[All]" allUniqueName="[VisitsAndAppointments].[ARVStatusDescription].[All]" dimensionUniqueName="[VisitsAndAppointments]" displayFolder="" count="0" unbalanced="0"/>
    <cacheHierarchy uniqueName="[VisitsAndAppointments].[ARVStatusKey]" caption="ARVStatusKey" attribute="1" defaultMemberUniqueName="[VisitsAndAppointments].[ARVStatusKey].[All]" allUniqueName="[VisitsAndAppointments].[ARVStatusKey].[All]" dimensionUniqueName="[VisitsAndAppointments]" displayFolder="" count="0" unbalanced="0"/>
    <cacheHierarchy uniqueName="[VisitsAndAppointments].[ConsiderForTX_CURR]" caption="ConsiderForTX_CURR" attribute="1" defaultMemberUniqueName="[VisitsAndAppointments].[ConsiderForTX_CURR].[All]" allUniqueName="[VisitsAndAppointments].[ConsiderForTX_CURR].[All]" dimensionUniqueName="[VisitsAndAppointments]" displayFolder="" count="0" unbalanced="0"/>
    <cacheHierarchy uniqueName="[VisitsAndAppointments].[DATIMName]" caption="DATIMName" attribute="1" defaultMemberUniqueName="[VisitsAndAppointments].[DATIMName].[All]" allUniqueName="[VisitsAndAppointments].[DATIMName].[All]" dimensionUniqueName="[VisitsAndAppointments]" displayFolder="" count="0" unbalanced="0"/>
    <cacheHierarchy uniqueName="[VisitsAndAppointments].[DHISName]" caption="DHISName" attribute="1" defaultMemberUniqueName="[VisitsAndAppointments].[DHISName].[All]" allUniqueName="[VisitsAndAppointments].[DHISName].[All]" dimensionUniqueName="[VisitsAndAppointments]" displayFolder="" count="0" unbalanced="0"/>
    <cacheHierarchy uniqueName="[VisitsAndAppointments].[FacilityKey]" caption="FacilityKey" attribute="1" defaultMemberUniqueName="[VisitsAndAppointments].[FacilityKey].[All]" allUniqueName="[VisitsAndAppointments].[FacilityKey].[All]" dimensionUniqueName="[VisitsAndAppointments]" displayFolder="" count="0" unbalanced="0"/>
    <cacheHierarchy uniqueName="[VisitsAndAppointments].[maxint]" caption="maxint" attribute="1" defaultMemberUniqueName="[VisitsAndAppointments].[maxint].[All]" allUniqueName="[VisitsAndAppointments].[maxint].[All]" dimensionUniqueName="[VisitsAndAppointments]" displayFolder="" count="0" unbalanced="0"/>
    <cacheHierarchy uniqueName="[VisitsAndAppointments].[MaxVisitDateKey]" caption="MaxVisitDateKey" attribute="1" defaultMemberUniqueName="[VisitsAndAppointments].[MaxVisitDateKey].[All]" allUniqueName="[VisitsAndAppointments].[MaxVisitDateKey].[All]" dimensionUniqueName="[VisitsAndAppointments]" displayFolder="" count="0" unbalanced="0"/>
    <cacheHierarchy uniqueName="[VisitsAndAppointments].[NextActualVisitDate]" caption="NextActualVisitDate" attribute="1" defaultMemberUniqueName="[VisitsAndAppointments].[NextActualVisitDate].[All]" allUniqueName="[VisitsAndAppointments].[NextActualVisitDate].[All]" dimensionUniqueName="[VisitsAndAppointments]" displayFolder="" count="0" unbalanced="0"/>
    <cacheHierarchy uniqueName="[VisitsAndAppointments].[NextActualVisitDateKey]" caption="NextActualVisitDateKey" attribute="1" defaultMemberUniqueName="[VisitsAndAppointments].[NextActualVisitDateKey].[All]" allUniqueName="[VisitsAndAppointments].[NextActualVisitDateKey].[All]" dimensionUniqueName="[VisitsAndAppointments]" displayFolder="" count="0" unbalanced="0"/>
    <cacheHierarchy uniqueName="[VisitsAndAppointments].[NextTXCURRVisitDate]" caption="NextTXCURRVisitDate" attribute="1" defaultMemberUniqueName="[VisitsAndAppointments].[NextTXCURRVisitDate].[All]" allUniqueName="[VisitsAndAppointments].[NextTXCURRVisitDate].[All]" dimensionUniqueName="[VisitsAndAppointments]" displayFolder="" count="0" unbalanced="0"/>
    <cacheHierarchy uniqueName="[VisitsAndAppointments].[NumDaysDispensed]" caption="NumDaysDispensed" attribute="1" defaultMemberUniqueName="[VisitsAndAppointments].[NumDaysDispensed].[All]" allUniqueName="[VisitsAndAppointments].[NumDaysDispensed].[All]" dimensionUniqueName="[VisitsAndAppointments]" displayFolder="" count="0" unbalanced="0"/>
    <cacheHierarchy uniqueName="[VisitsAndAppointments].[PatientID]" caption="PatientID" attribute="1" defaultMemberUniqueName="[VisitsAndAppointments].[PatientID].[All]" allUniqueName="[VisitsAndAppointments].[PatientID].[All]" dimensionUniqueName="[VisitsAndAppointments]" displayFolder="" count="0" unbalanced="0"/>
    <cacheHierarchy uniqueName="[VisitsAndAppointments].[PatientKey]" caption="PatientKey" attribute="1" defaultMemberUniqueName="[VisitsAndAppointments].[PatientKey].[All]" allUniqueName="[VisitsAndAppointments].[PatientKey].[All]" dimensionUniqueName="[VisitsAndAppointments]" displayFolder="" count="0" unbalanced="0"/>
    <cacheHierarchy uniqueName="[VisitsAndAppointments].[PtAgeAtVisit]" caption="PtAgeAtVisit" attribute="1" defaultMemberUniqueName="[VisitsAndAppointments].[PtAgeAtVisit].[All]" allUniqueName="[VisitsAndAppointments].[PtAgeAtVisit].[All]" dimensionUniqueName="[VisitsAndAppointments]" displayFolder="" count="0" unbalanced="0"/>
    <cacheHierarchy uniqueName="[VisitsAndAppointments].[src]" caption="src" attribute="1" defaultMemberUniqueName="[VisitsAndAppointments].[src].[All]" allUniqueName="[VisitsAndAppointments].[src].[All]" dimensionUniqueName="[VisitsAndAppointments]" displayFolder="" count="0" unbalanced="0"/>
    <cacheHierarchy uniqueName="[VisitsAndAppointments].[TBRXIPTID]" caption="TBRXIPTID" attribute="1" defaultMemberUniqueName="[VisitsAndAppointments].[TBRXIPTID].[All]" allUniqueName="[VisitsAndAppointments].[TBRXIPTID].[All]" dimensionUniqueName="[VisitsAndAppointments]" displayFolder="" count="0" unbalanced="0"/>
    <cacheHierarchy uniqueName="[VisitsAndAppointments].[TBRXIPTKey]" caption="TBRXIPTKey" attribute="1" defaultMemberUniqueName="[VisitsAndAppointments].[TBRXIPTKey].[All]" allUniqueName="[VisitsAndAppointments].[TBRXIPTKey].[All]" dimensionUniqueName="[VisitsAndAppointments]" displayFolder="" count="0" unbalanced="0"/>
    <cacheHierarchy uniqueName="[VisitsAndAppointments].[TimeOnART]" caption="TimeOnART" attribute="1" defaultMemberUniqueName="[VisitsAndAppointments].[TimeOnART].[All]" allUniqueName="[VisitsAndAppointments].[TimeOnART].[All]" dimensionUniqueName="[VisitsAndAppointments]" displayFolder="" count="0" unbalanced="0"/>
    <cacheHierarchy uniqueName="[VisitsAndAppointments].[VisitDate]" caption="VisitDate" attribute="1" defaultMemberUniqueName="[VisitsAndAppointments].[VisitDate].[All]" allUniqueName="[VisitsAndAppointments].[VisitDate].[All]" dimensionUniqueName="[VisitsAndAppointments]" displayFolder="" count="0" unbalanced="0"/>
    <cacheHierarchy uniqueName="[VisitsAndAppointments].[VisitDateKey]" caption="VisitDateKey" attribute="1" defaultMemberUniqueName="[VisitsAndAppointments].[VisitDateKey].[All]" allUniqueName="[VisitsAndAppointments].[VisitDateKey].[All]" dimensionUniqueName="[VisitsAndAppointments]" displayFolder="" count="0" unbalanced="0"/>
    <cacheHierarchy uniqueName="[VisitsAndAppointments].[VisitKey]" caption="VisitKey" attribute="1" defaultMemberUniqueName="[VisitsAndAppointments].[VisitKey].[All]" allUniqueName="[VisitsAndAppointments].[VisitKey].[All]" dimensionUniqueName="[VisitsAndAppointments]" displayFolder="" count="0" unbalanced="0"/>
    <cacheHierarchy uniqueName="[_Measures].[nothing]" caption="nothing" attribute="1" defaultMemberUniqueName="[_Measures].[nothing].[All]" allUniqueName="[_Measures].[nothing].[All]" dimensionUniqueName="[_Measures]" displayFolder="" count="0" unbalanced="0" hidden="1"/>
    <cacheHierarchy uniqueName="[Age Group].[AgeKey]" caption="AgeKey" attribute="1" defaultMemberUniqueName="[Age Group].[AgeKey].[All]" allUniqueName="[Age Group].[AgeKey].[All]" dimensionUniqueName="[Age Group]" displayFolder="" count="0" unbalanced="0" hidden="1"/>
    <cacheHierarchy uniqueName="[Age Group].[AgeMax]" caption="AgeMax" attribute="1" defaultMemberUniqueName="[Age Group].[AgeMax].[All]" allUniqueName="[Age Group].[AgeMax].[All]" dimensionUniqueName="[Age Group]" displayFolder="" count="0" unbalanced="0" hidden="1"/>
    <cacheHierarchy uniqueName="[Age Group].[AgeMin]" caption="AgeMin" attribute="1" defaultMemberUniqueName="[Age Group].[AgeMin].[All]" allUniqueName="[Age Group].[AgeMin].[All]" dimensionUniqueName="[Age Group]" displayFolder="" count="0" unbalanced="0" hidden="1"/>
    <cacheHierarchy uniqueName="[DateTableTemplate_67311400-74fb-473f-8bb8-78ddea2ee040].[Date]" caption="Date" attribute="1" defaultMemberUniqueName="[DateTableTemplate_67311400-74fb-473f-8bb8-78ddea2ee040].[Date].[All]" allUniqueName="[DateTableTemplate_67311400-74fb-473f-8bb8-78ddea2ee040].[Date].[All]" dimensionUniqueName="[DateTableTemplate_67311400-74fb-473f-8bb8-78ddea2ee040]" displayFolder="" count="0" unbalanced="0" hidden="1"/>
    <cacheHierarchy uniqueName="[DateTableTemplate_67311400-74fb-473f-8bb8-78ddea2ee040].[Date Hierarchy]" caption="Date Hierarchy" defaultMemberUniqueName="[DateTableTemplate_67311400-74fb-473f-8bb8-78ddea2ee040].[Date Hierarchy].[All]" allUniqueName="[DateTableTemplate_67311400-74fb-473f-8bb8-78ddea2ee040].[Date Hierarchy].[All]" dimensionUniqueName="[DateTableTemplate_67311400-74fb-473f-8bb8-78ddea2ee040]" displayFolder="" count="0" unbalanced="0" hidden="1"/>
    <cacheHierarchy uniqueName="[DateTableTemplate_67311400-74fb-473f-8bb8-78ddea2ee040].[Day]" caption="Day" attribute="1" defaultMemberUniqueName="[DateTableTemplate_67311400-74fb-473f-8bb8-78ddea2ee040].[Day].[All]" allUniqueName="[DateTableTemplate_67311400-74fb-473f-8bb8-78ddea2ee040].[Day].[All]" dimensionUniqueName="[DateTableTemplate_67311400-74fb-473f-8bb8-78ddea2ee040]" displayFolder="" count="0" unbalanced="0" hidden="1"/>
    <cacheHierarchy uniqueName="[DateTableTemplate_67311400-74fb-473f-8bb8-78ddea2ee040].[Month]" caption="Month" attribute="1" defaultMemberUniqueName="[DateTableTemplate_67311400-74fb-473f-8bb8-78ddea2ee040].[Month].[All]" allUniqueName="[DateTableTemplate_67311400-74fb-473f-8bb8-78ddea2ee040].[Month].[All]" dimensionUniqueName="[DateTableTemplate_67311400-74fb-473f-8bb8-78ddea2ee040]" displayFolder="" count="0" unbalanced="0" hidden="1"/>
    <cacheHierarchy uniqueName="[DateTableTemplate_67311400-74fb-473f-8bb8-78ddea2ee040].[MonthNo]" caption="MonthNo" attribute="1" defaultMemberUniqueName="[DateTableTemplate_67311400-74fb-473f-8bb8-78ddea2ee040].[MonthNo].[All]" allUniqueName="[DateTableTemplate_67311400-74fb-473f-8bb8-78ddea2ee040].[MonthNo].[All]" dimensionUniqueName="[DateTableTemplate_67311400-74fb-473f-8bb8-78ddea2ee040]" displayFolder="" count="0" unbalanced="0" hidden="1"/>
    <cacheHierarchy uniqueName="[DateTableTemplate_67311400-74fb-473f-8bb8-78ddea2ee040].[Quarter]" caption="Quarter" attribute="1" defaultMemberUniqueName="[DateTableTemplate_67311400-74fb-473f-8bb8-78ddea2ee040].[Quarter].[All]" allUniqueName="[DateTableTemplate_67311400-74fb-473f-8bb8-78ddea2ee040].[Quarter].[All]" dimensionUniqueName="[DateTableTemplate_67311400-74fb-473f-8bb8-78ddea2ee040]" displayFolder="" count="0" unbalanced="0" hidden="1"/>
    <cacheHierarchy uniqueName="[DateTableTemplate_67311400-74fb-473f-8bb8-78ddea2ee040].[QuarterNo]" caption="QuarterNo" attribute="1" defaultMemberUniqueName="[DateTableTemplate_67311400-74fb-473f-8bb8-78ddea2ee040].[QuarterNo].[All]" allUniqueName="[DateTableTemplate_67311400-74fb-473f-8bb8-78ddea2ee040].[QuarterNo].[All]" dimensionUniqueName="[DateTableTemplate_67311400-74fb-473f-8bb8-78ddea2ee040]" displayFolder="" count="0" unbalanced="0" hidden="1"/>
    <cacheHierarchy uniqueName="[DateTableTemplate_67311400-74fb-473f-8bb8-78ddea2ee040].[Year]" caption="Year" attribute="1" defaultMemberUniqueName="[DateTableTemplate_67311400-74fb-473f-8bb8-78ddea2ee040].[Year].[All]" allUniqueName="[DateTableTemplate_67311400-74fb-473f-8bb8-78ddea2ee040].[Year].[All]" dimensionUniqueName="[DateTableTemplate_67311400-74fb-473f-8bb8-78ddea2ee040]" displayFolder="" count="0" unbalanced="0" hidden="1"/>
    <cacheHierarchy uniqueName="[DimDate].[DateTime]" caption="DateTime" attribute="1" defaultMemberUniqueName="[DimDate].[DateTime].[All]" allUniqueName="[DimDate].[DateTime].[All]" dimensionUniqueName="[DimDate]" displayFolder="" count="0" unbalanced="0" hidden="1"/>
    <cacheHierarchy uniqueName="[DimDate].[DayOfMonth]" caption="DayOfMonth" attribute="1" defaultMemberUniqueName="[DimDate].[DayOfMonth].[All]" allUniqueName="[DimDate].[DayOfMonth].[All]" dimensionUniqueName="[DimDate]" displayFolder="" count="0" unbalanced="0" hidden="1"/>
    <cacheHierarchy uniqueName="[DimDate].[FiscalMonth]" caption="FiscalMonth" attribute="1" defaultMemberUniqueName="[DimDate].[FiscalMonth].[All]" allUniqueName="[DimDate].[FiscalMonth].[All]" dimensionUniqueName="[DimDate]" displayFolder="" count="0" unbalanced="0" hidden="1"/>
    <cacheHierarchy uniqueName="[DimDate].[FiscalYearName]" caption="FiscalYearName" attribute="1" defaultMemberUniqueName="[DimDate].[FiscalYearName].[All]" allUniqueName="[DimDate].[FiscalYearName].[All]" dimensionUniqueName="[DimDate]" displayFolder="" count="0" unbalanced="0" hidden="1"/>
    <cacheHierarchy uniqueName="[DimDate].[FiscalYearQuarterName]" caption="FiscalYearQuarterName" attribute="1" defaultMemberUniqueName="[DimDate].[FiscalYearQuarterName].[All]" allUniqueName="[DimDate].[FiscalYearQuarterName].[All]" dimensionUniqueName="[DimDate]" displayFolder="" count="0" unbalanced="0" hidden="1"/>
    <cacheHierarchy uniqueName="[DimDate].[FiscalYYYYMM]" caption="FiscalYYYYMM" attribute="1" defaultMemberUniqueName="[DimDate].[FiscalYYYYMM].[All]" allUniqueName="[DimDate].[FiscalYYYYMM].[All]" dimensionUniqueName="[DimDate]" displayFolder="" count="0" unbalanced="0" hidden="1"/>
    <cacheHierarchy uniqueName="[DimDate].[MMYYYY]" caption="MMYYYY" attribute="1" defaultMemberUniqueName="[DimDate].[MMYYYY].[All]" allUniqueName="[DimDate].[MMYYYY].[All]" dimensionUniqueName="[DimDate]" displayFolder="" count="0" unbalanced="0" hidden="1"/>
    <cacheHierarchy uniqueName="[DimDate].[YearName]" caption="YearName" attribute="1" defaultMemberUniqueName="[DimDate].[YearName].[All]" allUniqueName="[DimDate].[YearName].[All]" dimensionUniqueName="[DimDate]" displayFolder="" count="0" unbalanced="0" hidden="1"/>
    <cacheHierarchy uniqueName="[DimDate].[YYYYMM]" caption="YYYYMM" attribute="1" defaultMemberUniqueName="[DimDate].[YYYYMM].[All]" allUniqueName="[DimDate].[YYYYMM].[All]" dimensionUniqueName="[DimDate]" displayFolder="" count="0" unbalanced="0" hidden="1"/>
    <cacheHierarchy uniqueName="[LocalDateTable_048e15b4-68bf-41ef-8bcb-f4b4a48e87d1].[Date]" caption="Date" attribute="1" defaultMemberUniqueName="[LocalDateTable_048e15b4-68bf-41ef-8bcb-f4b4a48e87d1].[Date].[All]" allUniqueName="[LocalDateTable_048e15b4-68bf-41ef-8bcb-f4b4a48e87d1].[Date].[All]" dimensionUniqueName="[LocalDateTable_048e15b4-68bf-41ef-8bcb-f4b4a48e87d1]" displayFolder="" count="0" unbalanced="0" hidden="1"/>
    <cacheHierarchy uniqueName="[LocalDateTable_048e15b4-68bf-41ef-8bcb-f4b4a48e87d1].[Date Hierarchy]" caption="Date Hierarchy" defaultMemberUniqueName="[LocalDateTable_048e15b4-68bf-41ef-8bcb-f4b4a48e87d1].[Date Hierarchy].[All]" allUniqueName="[LocalDateTable_048e15b4-68bf-41ef-8bcb-f4b4a48e87d1].[Date Hierarchy].[All]" dimensionUniqueName="[LocalDateTable_048e15b4-68bf-41ef-8bcb-f4b4a48e87d1]" displayFolder="" count="0" unbalanced="0" hidden="1"/>
    <cacheHierarchy uniqueName="[LocalDateTable_048e15b4-68bf-41ef-8bcb-f4b4a48e87d1].[Day]" caption="Day" attribute="1" defaultMemberUniqueName="[LocalDateTable_048e15b4-68bf-41ef-8bcb-f4b4a48e87d1].[Day].[All]" allUniqueName="[LocalDateTable_048e15b4-68bf-41ef-8bcb-f4b4a48e87d1].[Day].[All]" dimensionUniqueName="[LocalDateTable_048e15b4-68bf-41ef-8bcb-f4b4a48e87d1]" displayFolder="" count="0" unbalanced="0" hidden="1"/>
    <cacheHierarchy uniqueName="[LocalDateTable_048e15b4-68bf-41ef-8bcb-f4b4a48e87d1].[Month]" caption="Month" attribute="1" defaultMemberUniqueName="[LocalDateTable_048e15b4-68bf-41ef-8bcb-f4b4a48e87d1].[Month].[All]" allUniqueName="[LocalDateTable_048e15b4-68bf-41ef-8bcb-f4b4a48e87d1].[Month].[All]" dimensionUniqueName="[LocalDateTable_048e15b4-68bf-41ef-8bcb-f4b4a48e87d1]" displayFolder="" count="0" unbalanced="0" hidden="1"/>
    <cacheHierarchy uniqueName="[LocalDateTable_048e15b4-68bf-41ef-8bcb-f4b4a48e87d1].[MonthNo]" caption="MonthNo" attribute="1" defaultMemberUniqueName="[LocalDateTable_048e15b4-68bf-41ef-8bcb-f4b4a48e87d1].[MonthNo].[All]" allUniqueName="[LocalDateTable_048e15b4-68bf-41ef-8bcb-f4b4a48e87d1].[MonthNo].[All]" dimensionUniqueName="[LocalDateTable_048e15b4-68bf-41ef-8bcb-f4b4a48e87d1]" displayFolder="" count="0" unbalanced="0" hidden="1"/>
    <cacheHierarchy uniqueName="[LocalDateTable_048e15b4-68bf-41ef-8bcb-f4b4a48e87d1].[Quarter]" caption="Quarter" attribute="1" defaultMemberUniqueName="[LocalDateTable_048e15b4-68bf-41ef-8bcb-f4b4a48e87d1].[Quarter].[All]" allUniqueName="[LocalDateTable_048e15b4-68bf-41ef-8bcb-f4b4a48e87d1].[Quarter].[All]" dimensionUniqueName="[LocalDateTable_048e15b4-68bf-41ef-8bcb-f4b4a48e87d1]" displayFolder="" count="0" unbalanced="0" hidden="1"/>
    <cacheHierarchy uniqueName="[LocalDateTable_048e15b4-68bf-41ef-8bcb-f4b4a48e87d1].[QuarterNo]" caption="QuarterNo" attribute="1" defaultMemberUniqueName="[LocalDateTable_048e15b4-68bf-41ef-8bcb-f4b4a48e87d1].[QuarterNo].[All]" allUniqueName="[LocalDateTable_048e15b4-68bf-41ef-8bcb-f4b4a48e87d1].[QuarterNo].[All]" dimensionUniqueName="[LocalDateTable_048e15b4-68bf-41ef-8bcb-f4b4a48e87d1]" displayFolder="" count="0" unbalanced="0" hidden="1"/>
    <cacheHierarchy uniqueName="[LocalDateTable_048e15b4-68bf-41ef-8bcb-f4b4a48e87d1].[Year]" caption="Year" attribute="1" defaultMemberUniqueName="[LocalDateTable_048e15b4-68bf-41ef-8bcb-f4b4a48e87d1].[Year].[All]" allUniqueName="[LocalDateTable_048e15b4-68bf-41ef-8bcb-f4b4a48e87d1].[Year].[All]" dimensionUniqueName="[LocalDateTable_048e15b4-68bf-41ef-8bcb-f4b4a48e87d1]" displayFolder="" count="0" unbalanced="0" hidden="1"/>
    <cacheHierarchy uniqueName="[LocalDateTable_198c0f25-be56-470d-9563-6ba85adc20f6].[Date]" caption="Date" attribute="1" defaultMemberUniqueName="[LocalDateTable_198c0f25-be56-470d-9563-6ba85adc20f6].[Date].[All]" allUniqueName="[LocalDateTable_198c0f25-be56-470d-9563-6ba85adc20f6].[Date].[All]" dimensionUniqueName="[LocalDateTable_198c0f25-be56-470d-9563-6ba85adc20f6]" displayFolder="" count="0" unbalanced="0" hidden="1"/>
    <cacheHierarchy uniqueName="[LocalDateTable_198c0f25-be56-470d-9563-6ba85adc20f6].[Date Hierarchy]" caption="Date Hierarchy" defaultMemberUniqueName="[LocalDateTable_198c0f25-be56-470d-9563-6ba85adc20f6].[Date Hierarchy].[All]" allUniqueName="[LocalDateTable_198c0f25-be56-470d-9563-6ba85adc20f6].[Date Hierarchy].[All]" dimensionUniqueName="[LocalDateTable_198c0f25-be56-470d-9563-6ba85adc20f6]" displayFolder="" count="0" unbalanced="0" hidden="1"/>
    <cacheHierarchy uniqueName="[LocalDateTable_198c0f25-be56-470d-9563-6ba85adc20f6].[Day]" caption="Day" attribute="1" defaultMemberUniqueName="[LocalDateTable_198c0f25-be56-470d-9563-6ba85adc20f6].[Day].[All]" allUniqueName="[LocalDateTable_198c0f25-be56-470d-9563-6ba85adc20f6].[Day].[All]" dimensionUniqueName="[LocalDateTable_198c0f25-be56-470d-9563-6ba85adc20f6]" displayFolder="" count="0" unbalanced="0" hidden="1"/>
    <cacheHierarchy uniqueName="[LocalDateTable_198c0f25-be56-470d-9563-6ba85adc20f6].[Month]" caption="Month" attribute="1" defaultMemberUniqueName="[LocalDateTable_198c0f25-be56-470d-9563-6ba85adc20f6].[Month].[All]" allUniqueName="[LocalDateTable_198c0f25-be56-470d-9563-6ba85adc20f6].[Month].[All]" dimensionUniqueName="[LocalDateTable_198c0f25-be56-470d-9563-6ba85adc20f6]" displayFolder="" count="0" unbalanced="0" hidden="1"/>
    <cacheHierarchy uniqueName="[LocalDateTable_198c0f25-be56-470d-9563-6ba85adc20f6].[MonthNo]" caption="MonthNo" attribute="1" defaultMemberUniqueName="[LocalDateTable_198c0f25-be56-470d-9563-6ba85adc20f6].[MonthNo].[All]" allUniqueName="[LocalDateTable_198c0f25-be56-470d-9563-6ba85adc20f6].[MonthNo].[All]" dimensionUniqueName="[LocalDateTable_198c0f25-be56-470d-9563-6ba85adc20f6]" displayFolder="" count="0" unbalanced="0" hidden="1"/>
    <cacheHierarchy uniqueName="[LocalDateTable_198c0f25-be56-470d-9563-6ba85adc20f6].[Quarter]" caption="Quarter" attribute="1" defaultMemberUniqueName="[LocalDateTable_198c0f25-be56-470d-9563-6ba85adc20f6].[Quarter].[All]" allUniqueName="[LocalDateTable_198c0f25-be56-470d-9563-6ba85adc20f6].[Quarter].[All]" dimensionUniqueName="[LocalDateTable_198c0f25-be56-470d-9563-6ba85adc20f6]" displayFolder="" count="0" unbalanced="0" hidden="1"/>
    <cacheHierarchy uniqueName="[LocalDateTable_198c0f25-be56-470d-9563-6ba85adc20f6].[QuarterNo]" caption="QuarterNo" attribute="1" defaultMemberUniqueName="[LocalDateTable_198c0f25-be56-470d-9563-6ba85adc20f6].[QuarterNo].[All]" allUniqueName="[LocalDateTable_198c0f25-be56-470d-9563-6ba85adc20f6].[QuarterNo].[All]" dimensionUniqueName="[LocalDateTable_198c0f25-be56-470d-9563-6ba85adc20f6]" displayFolder="" count="0" unbalanced="0" hidden="1"/>
    <cacheHierarchy uniqueName="[LocalDateTable_198c0f25-be56-470d-9563-6ba85adc20f6].[Year]" caption="Year" attribute="1" defaultMemberUniqueName="[LocalDateTable_198c0f25-be56-470d-9563-6ba85adc20f6].[Year].[All]" allUniqueName="[LocalDateTable_198c0f25-be56-470d-9563-6ba85adc20f6].[Year].[All]" dimensionUniqueName="[LocalDateTable_198c0f25-be56-470d-9563-6ba85adc20f6]" displayFolder="" count="0" unbalanced="0" hidden="1"/>
    <cacheHierarchy uniqueName="[LocalDateTable_1a9c82fc-1d61-4945-b631-466fd7cb79e1].[Date]" caption="Date" attribute="1" defaultMemberUniqueName="[LocalDateTable_1a9c82fc-1d61-4945-b631-466fd7cb79e1].[Date].[All]" allUniqueName="[LocalDateTable_1a9c82fc-1d61-4945-b631-466fd7cb79e1].[Date].[All]" dimensionUniqueName="[LocalDateTable_1a9c82fc-1d61-4945-b631-466fd7cb79e1]" displayFolder="" count="0" unbalanced="0" hidden="1"/>
    <cacheHierarchy uniqueName="[LocalDateTable_1a9c82fc-1d61-4945-b631-466fd7cb79e1].[Date Hierarchy]" caption="Date Hierarchy" defaultMemberUniqueName="[LocalDateTable_1a9c82fc-1d61-4945-b631-466fd7cb79e1].[Date Hierarchy].[All]" allUniqueName="[LocalDateTable_1a9c82fc-1d61-4945-b631-466fd7cb79e1].[Date Hierarchy].[All]" dimensionUniqueName="[LocalDateTable_1a9c82fc-1d61-4945-b631-466fd7cb79e1]" displayFolder="" count="0" unbalanced="0" hidden="1"/>
    <cacheHierarchy uniqueName="[LocalDateTable_1a9c82fc-1d61-4945-b631-466fd7cb79e1].[Day]" caption="Day" attribute="1" defaultMemberUniqueName="[LocalDateTable_1a9c82fc-1d61-4945-b631-466fd7cb79e1].[Day].[All]" allUniqueName="[LocalDateTable_1a9c82fc-1d61-4945-b631-466fd7cb79e1].[Day].[All]" dimensionUniqueName="[LocalDateTable_1a9c82fc-1d61-4945-b631-466fd7cb79e1]" displayFolder="" count="0" unbalanced="0" hidden="1"/>
    <cacheHierarchy uniqueName="[LocalDateTable_1a9c82fc-1d61-4945-b631-466fd7cb79e1].[Month]" caption="Month" attribute="1" defaultMemberUniqueName="[LocalDateTable_1a9c82fc-1d61-4945-b631-466fd7cb79e1].[Month].[All]" allUniqueName="[LocalDateTable_1a9c82fc-1d61-4945-b631-466fd7cb79e1].[Month].[All]" dimensionUniqueName="[LocalDateTable_1a9c82fc-1d61-4945-b631-466fd7cb79e1]" displayFolder="" count="0" unbalanced="0" hidden="1"/>
    <cacheHierarchy uniqueName="[LocalDateTable_1a9c82fc-1d61-4945-b631-466fd7cb79e1].[MonthNo]" caption="MonthNo" attribute="1" defaultMemberUniqueName="[LocalDateTable_1a9c82fc-1d61-4945-b631-466fd7cb79e1].[MonthNo].[All]" allUniqueName="[LocalDateTable_1a9c82fc-1d61-4945-b631-466fd7cb79e1].[MonthNo].[All]" dimensionUniqueName="[LocalDateTable_1a9c82fc-1d61-4945-b631-466fd7cb79e1]" displayFolder="" count="0" unbalanced="0" hidden="1"/>
    <cacheHierarchy uniqueName="[LocalDateTable_1a9c82fc-1d61-4945-b631-466fd7cb79e1].[Quarter]" caption="Quarter" attribute="1" defaultMemberUniqueName="[LocalDateTable_1a9c82fc-1d61-4945-b631-466fd7cb79e1].[Quarter].[All]" allUniqueName="[LocalDateTable_1a9c82fc-1d61-4945-b631-466fd7cb79e1].[Quarter].[All]" dimensionUniqueName="[LocalDateTable_1a9c82fc-1d61-4945-b631-466fd7cb79e1]" displayFolder="" count="0" unbalanced="0" hidden="1"/>
    <cacheHierarchy uniqueName="[LocalDateTable_1a9c82fc-1d61-4945-b631-466fd7cb79e1].[QuarterNo]" caption="QuarterNo" attribute="1" defaultMemberUniqueName="[LocalDateTable_1a9c82fc-1d61-4945-b631-466fd7cb79e1].[QuarterNo].[All]" allUniqueName="[LocalDateTable_1a9c82fc-1d61-4945-b631-466fd7cb79e1].[QuarterNo].[All]" dimensionUniqueName="[LocalDateTable_1a9c82fc-1d61-4945-b631-466fd7cb79e1]" displayFolder="" count="0" unbalanced="0" hidden="1"/>
    <cacheHierarchy uniqueName="[LocalDateTable_1a9c82fc-1d61-4945-b631-466fd7cb79e1].[Year]" caption="Year" attribute="1" defaultMemberUniqueName="[LocalDateTable_1a9c82fc-1d61-4945-b631-466fd7cb79e1].[Year].[All]" allUniqueName="[LocalDateTable_1a9c82fc-1d61-4945-b631-466fd7cb79e1].[Year].[All]" dimensionUniqueName="[LocalDateTable_1a9c82fc-1d61-4945-b631-466fd7cb79e1]" displayFolder="" count="0" unbalanced="0" hidden="1"/>
    <cacheHierarchy uniqueName="[LocalDateTable_32153099-8e28-4611-a8e3-a94f0e0a48ba].[Date]" caption="Date" attribute="1" defaultMemberUniqueName="[LocalDateTable_32153099-8e28-4611-a8e3-a94f0e0a48ba].[Date].[All]" allUniqueName="[LocalDateTable_32153099-8e28-4611-a8e3-a94f0e0a48ba].[Date].[All]" dimensionUniqueName="[LocalDateTable_32153099-8e28-4611-a8e3-a94f0e0a48ba]" displayFolder="" count="0" unbalanced="0" hidden="1"/>
    <cacheHierarchy uniqueName="[LocalDateTable_32153099-8e28-4611-a8e3-a94f0e0a48ba].[Date Hierarchy]" caption="Date Hierarchy" defaultMemberUniqueName="[LocalDateTable_32153099-8e28-4611-a8e3-a94f0e0a48ba].[Date Hierarchy].[All]" allUniqueName="[LocalDateTable_32153099-8e28-4611-a8e3-a94f0e0a48ba].[Date Hierarchy].[All]" dimensionUniqueName="[LocalDateTable_32153099-8e28-4611-a8e3-a94f0e0a48ba]" displayFolder="" count="0" unbalanced="0" hidden="1"/>
    <cacheHierarchy uniqueName="[LocalDateTable_32153099-8e28-4611-a8e3-a94f0e0a48ba].[Day]" caption="Day" attribute="1" defaultMemberUniqueName="[LocalDateTable_32153099-8e28-4611-a8e3-a94f0e0a48ba].[Day].[All]" allUniqueName="[LocalDateTable_32153099-8e28-4611-a8e3-a94f0e0a48ba].[Day].[All]" dimensionUniqueName="[LocalDateTable_32153099-8e28-4611-a8e3-a94f0e0a48ba]" displayFolder="" count="0" unbalanced="0" hidden="1"/>
    <cacheHierarchy uniqueName="[LocalDateTable_32153099-8e28-4611-a8e3-a94f0e0a48ba].[Month]" caption="Month" attribute="1" defaultMemberUniqueName="[LocalDateTable_32153099-8e28-4611-a8e3-a94f0e0a48ba].[Month].[All]" allUniqueName="[LocalDateTable_32153099-8e28-4611-a8e3-a94f0e0a48ba].[Month].[All]" dimensionUniqueName="[LocalDateTable_32153099-8e28-4611-a8e3-a94f0e0a48ba]" displayFolder="" count="0" unbalanced="0" hidden="1"/>
    <cacheHierarchy uniqueName="[LocalDateTable_32153099-8e28-4611-a8e3-a94f0e0a48ba].[MonthNo]" caption="MonthNo" attribute="1" defaultMemberUniqueName="[LocalDateTable_32153099-8e28-4611-a8e3-a94f0e0a48ba].[MonthNo].[All]" allUniqueName="[LocalDateTable_32153099-8e28-4611-a8e3-a94f0e0a48ba].[MonthNo].[All]" dimensionUniqueName="[LocalDateTable_32153099-8e28-4611-a8e3-a94f0e0a48ba]" displayFolder="" count="0" unbalanced="0" hidden="1"/>
    <cacheHierarchy uniqueName="[LocalDateTable_32153099-8e28-4611-a8e3-a94f0e0a48ba].[Quarter]" caption="Quarter" attribute="1" defaultMemberUniqueName="[LocalDateTable_32153099-8e28-4611-a8e3-a94f0e0a48ba].[Quarter].[All]" allUniqueName="[LocalDateTable_32153099-8e28-4611-a8e3-a94f0e0a48ba].[Quarter].[All]" dimensionUniqueName="[LocalDateTable_32153099-8e28-4611-a8e3-a94f0e0a48ba]" displayFolder="" count="0" unbalanced="0" hidden="1"/>
    <cacheHierarchy uniqueName="[LocalDateTable_32153099-8e28-4611-a8e3-a94f0e0a48ba].[QuarterNo]" caption="QuarterNo" attribute="1" defaultMemberUniqueName="[LocalDateTable_32153099-8e28-4611-a8e3-a94f0e0a48ba].[QuarterNo].[All]" allUniqueName="[LocalDateTable_32153099-8e28-4611-a8e3-a94f0e0a48ba].[QuarterNo].[All]" dimensionUniqueName="[LocalDateTable_32153099-8e28-4611-a8e3-a94f0e0a48ba]" displayFolder="" count="0" unbalanced="0" hidden="1"/>
    <cacheHierarchy uniqueName="[LocalDateTable_32153099-8e28-4611-a8e3-a94f0e0a48ba].[Year]" caption="Year" attribute="1" defaultMemberUniqueName="[LocalDateTable_32153099-8e28-4611-a8e3-a94f0e0a48ba].[Year].[All]" allUniqueName="[LocalDateTable_32153099-8e28-4611-a8e3-a94f0e0a48ba].[Year].[All]" dimensionUniqueName="[LocalDateTable_32153099-8e28-4611-a8e3-a94f0e0a48ba]" displayFolder="" count="0" unbalanced="0" hidden="1"/>
    <cacheHierarchy uniqueName="[LocalDateTable_39873660-9783-47c3-831f-1ea7ff6357e4].[Date]" caption="Date" attribute="1" defaultMemberUniqueName="[LocalDateTable_39873660-9783-47c3-831f-1ea7ff6357e4].[Date].[All]" allUniqueName="[LocalDateTable_39873660-9783-47c3-831f-1ea7ff6357e4].[Date].[All]" dimensionUniqueName="[LocalDateTable_39873660-9783-47c3-831f-1ea7ff6357e4]" displayFolder="" count="0" unbalanced="0" hidden="1"/>
    <cacheHierarchy uniqueName="[LocalDateTable_39873660-9783-47c3-831f-1ea7ff6357e4].[Date Hierarchy]" caption="Date Hierarchy" defaultMemberUniqueName="[LocalDateTable_39873660-9783-47c3-831f-1ea7ff6357e4].[Date Hierarchy].[All]" allUniqueName="[LocalDateTable_39873660-9783-47c3-831f-1ea7ff6357e4].[Date Hierarchy].[All]" dimensionUniqueName="[LocalDateTable_39873660-9783-47c3-831f-1ea7ff6357e4]" displayFolder="" count="0" unbalanced="0" hidden="1"/>
    <cacheHierarchy uniqueName="[LocalDateTable_39873660-9783-47c3-831f-1ea7ff6357e4].[Day]" caption="Day" attribute="1" defaultMemberUniqueName="[LocalDateTable_39873660-9783-47c3-831f-1ea7ff6357e4].[Day].[All]" allUniqueName="[LocalDateTable_39873660-9783-47c3-831f-1ea7ff6357e4].[Day].[All]" dimensionUniqueName="[LocalDateTable_39873660-9783-47c3-831f-1ea7ff6357e4]" displayFolder="" count="0" unbalanced="0" hidden="1"/>
    <cacheHierarchy uniqueName="[LocalDateTable_39873660-9783-47c3-831f-1ea7ff6357e4].[Month]" caption="Month" attribute="1" defaultMemberUniqueName="[LocalDateTable_39873660-9783-47c3-831f-1ea7ff6357e4].[Month].[All]" allUniqueName="[LocalDateTable_39873660-9783-47c3-831f-1ea7ff6357e4].[Month].[All]" dimensionUniqueName="[LocalDateTable_39873660-9783-47c3-831f-1ea7ff6357e4]" displayFolder="" count="0" unbalanced="0" hidden="1"/>
    <cacheHierarchy uniqueName="[LocalDateTable_39873660-9783-47c3-831f-1ea7ff6357e4].[MonthNo]" caption="MonthNo" attribute="1" defaultMemberUniqueName="[LocalDateTable_39873660-9783-47c3-831f-1ea7ff6357e4].[MonthNo].[All]" allUniqueName="[LocalDateTable_39873660-9783-47c3-831f-1ea7ff6357e4].[MonthNo].[All]" dimensionUniqueName="[LocalDateTable_39873660-9783-47c3-831f-1ea7ff6357e4]" displayFolder="" count="0" unbalanced="0" hidden="1"/>
    <cacheHierarchy uniqueName="[LocalDateTable_39873660-9783-47c3-831f-1ea7ff6357e4].[Quarter]" caption="Quarter" attribute="1" defaultMemberUniqueName="[LocalDateTable_39873660-9783-47c3-831f-1ea7ff6357e4].[Quarter].[All]" allUniqueName="[LocalDateTable_39873660-9783-47c3-831f-1ea7ff6357e4].[Quarter].[All]" dimensionUniqueName="[LocalDateTable_39873660-9783-47c3-831f-1ea7ff6357e4]" displayFolder="" count="0" unbalanced="0" hidden="1"/>
    <cacheHierarchy uniqueName="[LocalDateTable_39873660-9783-47c3-831f-1ea7ff6357e4].[QuarterNo]" caption="QuarterNo" attribute="1" defaultMemberUniqueName="[LocalDateTable_39873660-9783-47c3-831f-1ea7ff6357e4].[QuarterNo].[All]" allUniqueName="[LocalDateTable_39873660-9783-47c3-831f-1ea7ff6357e4].[QuarterNo].[All]" dimensionUniqueName="[LocalDateTable_39873660-9783-47c3-831f-1ea7ff6357e4]" displayFolder="" count="0" unbalanced="0" hidden="1"/>
    <cacheHierarchy uniqueName="[LocalDateTable_39873660-9783-47c3-831f-1ea7ff6357e4].[Year]" caption="Year" attribute="1" defaultMemberUniqueName="[LocalDateTable_39873660-9783-47c3-831f-1ea7ff6357e4].[Year].[All]" allUniqueName="[LocalDateTable_39873660-9783-47c3-831f-1ea7ff6357e4].[Year].[All]" dimensionUniqueName="[LocalDateTable_39873660-9783-47c3-831f-1ea7ff6357e4]" displayFolder="" count="0" unbalanced="0" hidden="1"/>
    <cacheHierarchy uniqueName="[LocalDateTable_39cbebff-eeb7-4252-a359-139059305106].[Date]" caption="Date" attribute="1" defaultMemberUniqueName="[LocalDateTable_39cbebff-eeb7-4252-a359-139059305106].[Date].[All]" allUniqueName="[LocalDateTable_39cbebff-eeb7-4252-a359-139059305106].[Date].[All]" dimensionUniqueName="[LocalDateTable_39cbebff-eeb7-4252-a359-139059305106]" displayFolder="" count="0" unbalanced="0" hidden="1"/>
    <cacheHierarchy uniqueName="[LocalDateTable_39cbebff-eeb7-4252-a359-139059305106].[Date Hierarchy]" caption="Date Hierarchy" defaultMemberUniqueName="[LocalDateTable_39cbebff-eeb7-4252-a359-139059305106].[Date Hierarchy].[All]" allUniqueName="[LocalDateTable_39cbebff-eeb7-4252-a359-139059305106].[Date Hierarchy].[All]" dimensionUniqueName="[LocalDateTable_39cbebff-eeb7-4252-a359-139059305106]" displayFolder="" count="0" unbalanced="0" hidden="1"/>
    <cacheHierarchy uniqueName="[LocalDateTable_39cbebff-eeb7-4252-a359-139059305106].[Day]" caption="Day" attribute="1" defaultMemberUniqueName="[LocalDateTable_39cbebff-eeb7-4252-a359-139059305106].[Day].[All]" allUniqueName="[LocalDateTable_39cbebff-eeb7-4252-a359-139059305106].[Day].[All]" dimensionUniqueName="[LocalDateTable_39cbebff-eeb7-4252-a359-139059305106]" displayFolder="" count="0" unbalanced="0" hidden="1"/>
    <cacheHierarchy uniqueName="[LocalDateTable_39cbebff-eeb7-4252-a359-139059305106].[Month]" caption="Month" attribute="1" defaultMemberUniqueName="[LocalDateTable_39cbebff-eeb7-4252-a359-139059305106].[Month].[All]" allUniqueName="[LocalDateTable_39cbebff-eeb7-4252-a359-139059305106].[Month].[All]" dimensionUniqueName="[LocalDateTable_39cbebff-eeb7-4252-a359-139059305106]" displayFolder="" count="0" unbalanced="0" hidden="1"/>
    <cacheHierarchy uniqueName="[LocalDateTable_39cbebff-eeb7-4252-a359-139059305106].[MonthNo]" caption="MonthNo" attribute="1" defaultMemberUniqueName="[LocalDateTable_39cbebff-eeb7-4252-a359-139059305106].[MonthNo].[All]" allUniqueName="[LocalDateTable_39cbebff-eeb7-4252-a359-139059305106].[MonthNo].[All]" dimensionUniqueName="[LocalDateTable_39cbebff-eeb7-4252-a359-139059305106]" displayFolder="" count="0" unbalanced="0" hidden="1"/>
    <cacheHierarchy uniqueName="[LocalDateTable_39cbebff-eeb7-4252-a359-139059305106].[Quarter]" caption="Quarter" attribute="1" defaultMemberUniqueName="[LocalDateTable_39cbebff-eeb7-4252-a359-139059305106].[Quarter].[All]" allUniqueName="[LocalDateTable_39cbebff-eeb7-4252-a359-139059305106].[Quarter].[All]" dimensionUniqueName="[LocalDateTable_39cbebff-eeb7-4252-a359-139059305106]" displayFolder="" count="0" unbalanced="0" hidden="1"/>
    <cacheHierarchy uniqueName="[LocalDateTable_39cbebff-eeb7-4252-a359-139059305106].[QuarterNo]" caption="QuarterNo" attribute="1" defaultMemberUniqueName="[LocalDateTable_39cbebff-eeb7-4252-a359-139059305106].[QuarterNo].[All]" allUniqueName="[LocalDateTable_39cbebff-eeb7-4252-a359-139059305106].[QuarterNo].[All]" dimensionUniqueName="[LocalDateTable_39cbebff-eeb7-4252-a359-139059305106]" displayFolder="" count="0" unbalanced="0" hidden="1"/>
    <cacheHierarchy uniqueName="[LocalDateTable_39cbebff-eeb7-4252-a359-139059305106].[Year]" caption="Year" attribute="1" defaultMemberUniqueName="[LocalDateTable_39cbebff-eeb7-4252-a359-139059305106].[Year].[All]" allUniqueName="[LocalDateTable_39cbebff-eeb7-4252-a359-139059305106].[Year].[All]" dimensionUniqueName="[LocalDateTable_39cbebff-eeb7-4252-a359-139059305106]" displayFolder="" count="0" unbalanced="0" hidden="1"/>
    <cacheHierarchy uniqueName="[LocalDateTable_44ed01c2-444c-4c6a-9e1d-8f64a65ebd53].[Date]" caption="Date" attribute="1" defaultMemberUniqueName="[LocalDateTable_44ed01c2-444c-4c6a-9e1d-8f64a65ebd53].[Date].[All]" allUniqueName="[LocalDateTable_44ed01c2-444c-4c6a-9e1d-8f64a65ebd53].[Date].[All]" dimensionUniqueName="[LocalDateTable_44ed01c2-444c-4c6a-9e1d-8f64a65ebd53]" displayFolder="" count="0" unbalanced="0" hidden="1"/>
    <cacheHierarchy uniqueName="[LocalDateTable_44ed01c2-444c-4c6a-9e1d-8f64a65ebd53].[Date Hierarchy]" caption="Date Hierarchy" defaultMemberUniqueName="[LocalDateTable_44ed01c2-444c-4c6a-9e1d-8f64a65ebd53].[Date Hierarchy].[All]" allUniqueName="[LocalDateTable_44ed01c2-444c-4c6a-9e1d-8f64a65ebd53].[Date Hierarchy].[All]" dimensionUniqueName="[LocalDateTable_44ed01c2-444c-4c6a-9e1d-8f64a65ebd53]" displayFolder="" count="0" unbalanced="0" hidden="1"/>
    <cacheHierarchy uniqueName="[LocalDateTable_44ed01c2-444c-4c6a-9e1d-8f64a65ebd53].[Day]" caption="Day" attribute="1" defaultMemberUniqueName="[LocalDateTable_44ed01c2-444c-4c6a-9e1d-8f64a65ebd53].[Day].[All]" allUniqueName="[LocalDateTable_44ed01c2-444c-4c6a-9e1d-8f64a65ebd53].[Day].[All]" dimensionUniqueName="[LocalDateTable_44ed01c2-444c-4c6a-9e1d-8f64a65ebd53]" displayFolder="" count="0" unbalanced="0" hidden="1"/>
    <cacheHierarchy uniqueName="[LocalDateTable_44ed01c2-444c-4c6a-9e1d-8f64a65ebd53].[Month]" caption="Month" attribute="1" defaultMemberUniqueName="[LocalDateTable_44ed01c2-444c-4c6a-9e1d-8f64a65ebd53].[Month].[All]" allUniqueName="[LocalDateTable_44ed01c2-444c-4c6a-9e1d-8f64a65ebd53].[Month].[All]" dimensionUniqueName="[LocalDateTable_44ed01c2-444c-4c6a-9e1d-8f64a65ebd53]" displayFolder="" count="0" unbalanced="0" hidden="1"/>
    <cacheHierarchy uniqueName="[LocalDateTable_44ed01c2-444c-4c6a-9e1d-8f64a65ebd53].[MonthNo]" caption="MonthNo" attribute="1" defaultMemberUniqueName="[LocalDateTable_44ed01c2-444c-4c6a-9e1d-8f64a65ebd53].[MonthNo].[All]" allUniqueName="[LocalDateTable_44ed01c2-444c-4c6a-9e1d-8f64a65ebd53].[MonthNo].[All]" dimensionUniqueName="[LocalDateTable_44ed01c2-444c-4c6a-9e1d-8f64a65ebd53]" displayFolder="" count="0" unbalanced="0" hidden="1"/>
    <cacheHierarchy uniqueName="[LocalDateTable_44ed01c2-444c-4c6a-9e1d-8f64a65ebd53].[Quarter]" caption="Quarter" attribute="1" defaultMemberUniqueName="[LocalDateTable_44ed01c2-444c-4c6a-9e1d-8f64a65ebd53].[Quarter].[All]" allUniqueName="[LocalDateTable_44ed01c2-444c-4c6a-9e1d-8f64a65ebd53].[Quarter].[All]" dimensionUniqueName="[LocalDateTable_44ed01c2-444c-4c6a-9e1d-8f64a65ebd53]" displayFolder="" count="0" unbalanced="0" hidden="1"/>
    <cacheHierarchy uniqueName="[LocalDateTable_44ed01c2-444c-4c6a-9e1d-8f64a65ebd53].[QuarterNo]" caption="QuarterNo" attribute="1" defaultMemberUniqueName="[LocalDateTable_44ed01c2-444c-4c6a-9e1d-8f64a65ebd53].[QuarterNo].[All]" allUniqueName="[LocalDateTable_44ed01c2-444c-4c6a-9e1d-8f64a65ebd53].[QuarterNo].[All]" dimensionUniqueName="[LocalDateTable_44ed01c2-444c-4c6a-9e1d-8f64a65ebd53]" displayFolder="" count="0" unbalanced="0" hidden="1"/>
    <cacheHierarchy uniqueName="[LocalDateTable_44ed01c2-444c-4c6a-9e1d-8f64a65ebd53].[Year]" caption="Year" attribute="1" defaultMemberUniqueName="[LocalDateTable_44ed01c2-444c-4c6a-9e1d-8f64a65ebd53].[Year].[All]" allUniqueName="[LocalDateTable_44ed01c2-444c-4c6a-9e1d-8f64a65ebd53].[Year].[All]" dimensionUniqueName="[LocalDateTable_44ed01c2-444c-4c6a-9e1d-8f64a65ebd53]" displayFolder="" count="0" unbalanced="0" hidden="1"/>
    <cacheHierarchy uniqueName="[LocalDateTable_4b503ea0-8a9e-4452-8df1-77875d493416].[Date]" caption="Date" attribute="1" defaultMemberUniqueName="[LocalDateTable_4b503ea0-8a9e-4452-8df1-77875d493416].[Date].[All]" allUniqueName="[LocalDateTable_4b503ea0-8a9e-4452-8df1-77875d493416].[Date].[All]" dimensionUniqueName="[LocalDateTable_4b503ea0-8a9e-4452-8df1-77875d493416]" displayFolder="" count="0" unbalanced="0" hidden="1"/>
    <cacheHierarchy uniqueName="[LocalDateTable_4b503ea0-8a9e-4452-8df1-77875d493416].[Date Hierarchy]" caption="Date Hierarchy" defaultMemberUniqueName="[LocalDateTable_4b503ea0-8a9e-4452-8df1-77875d493416].[Date Hierarchy].[All]" allUniqueName="[LocalDateTable_4b503ea0-8a9e-4452-8df1-77875d493416].[Date Hierarchy].[All]" dimensionUniqueName="[LocalDateTable_4b503ea0-8a9e-4452-8df1-77875d493416]" displayFolder="" count="0" unbalanced="0" hidden="1"/>
    <cacheHierarchy uniqueName="[LocalDateTable_4b503ea0-8a9e-4452-8df1-77875d493416].[Day]" caption="Day" attribute="1" defaultMemberUniqueName="[LocalDateTable_4b503ea0-8a9e-4452-8df1-77875d493416].[Day].[All]" allUniqueName="[LocalDateTable_4b503ea0-8a9e-4452-8df1-77875d493416].[Day].[All]" dimensionUniqueName="[LocalDateTable_4b503ea0-8a9e-4452-8df1-77875d493416]" displayFolder="" count="0" unbalanced="0" hidden="1"/>
    <cacheHierarchy uniqueName="[LocalDateTable_4b503ea0-8a9e-4452-8df1-77875d493416].[Month]" caption="Month" attribute="1" defaultMemberUniqueName="[LocalDateTable_4b503ea0-8a9e-4452-8df1-77875d493416].[Month].[All]" allUniqueName="[LocalDateTable_4b503ea0-8a9e-4452-8df1-77875d493416].[Month].[All]" dimensionUniqueName="[LocalDateTable_4b503ea0-8a9e-4452-8df1-77875d493416]" displayFolder="" count="0" unbalanced="0" hidden="1"/>
    <cacheHierarchy uniqueName="[LocalDateTable_4b503ea0-8a9e-4452-8df1-77875d493416].[MonthNo]" caption="MonthNo" attribute="1" defaultMemberUniqueName="[LocalDateTable_4b503ea0-8a9e-4452-8df1-77875d493416].[MonthNo].[All]" allUniqueName="[LocalDateTable_4b503ea0-8a9e-4452-8df1-77875d493416].[MonthNo].[All]" dimensionUniqueName="[LocalDateTable_4b503ea0-8a9e-4452-8df1-77875d493416]" displayFolder="" count="0" unbalanced="0" hidden="1"/>
    <cacheHierarchy uniqueName="[LocalDateTable_4b503ea0-8a9e-4452-8df1-77875d493416].[Quarter]" caption="Quarter" attribute="1" defaultMemberUniqueName="[LocalDateTable_4b503ea0-8a9e-4452-8df1-77875d493416].[Quarter].[All]" allUniqueName="[LocalDateTable_4b503ea0-8a9e-4452-8df1-77875d493416].[Quarter].[All]" dimensionUniqueName="[LocalDateTable_4b503ea0-8a9e-4452-8df1-77875d493416]" displayFolder="" count="0" unbalanced="0" hidden="1"/>
    <cacheHierarchy uniqueName="[LocalDateTable_4b503ea0-8a9e-4452-8df1-77875d493416].[QuarterNo]" caption="QuarterNo" attribute="1" defaultMemberUniqueName="[LocalDateTable_4b503ea0-8a9e-4452-8df1-77875d493416].[QuarterNo].[All]" allUniqueName="[LocalDateTable_4b503ea0-8a9e-4452-8df1-77875d493416].[QuarterNo].[All]" dimensionUniqueName="[LocalDateTable_4b503ea0-8a9e-4452-8df1-77875d493416]" displayFolder="" count="0" unbalanced="0" hidden="1"/>
    <cacheHierarchy uniqueName="[LocalDateTable_4b503ea0-8a9e-4452-8df1-77875d493416].[Year]" caption="Year" attribute="1" defaultMemberUniqueName="[LocalDateTable_4b503ea0-8a9e-4452-8df1-77875d493416].[Year].[All]" allUniqueName="[LocalDateTable_4b503ea0-8a9e-4452-8df1-77875d493416].[Year].[All]" dimensionUniqueName="[LocalDateTable_4b503ea0-8a9e-4452-8df1-77875d493416]" displayFolder="" count="0" unbalanced="0" hidden="1"/>
    <cacheHierarchy uniqueName="[LocalDateTable_53bd0de1-8e4f-45ec-a73d-720779e52dac].[Date]" caption="Date" attribute="1" defaultMemberUniqueName="[LocalDateTable_53bd0de1-8e4f-45ec-a73d-720779e52dac].[Date].[All]" allUniqueName="[LocalDateTable_53bd0de1-8e4f-45ec-a73d-720779e52dac].[Date].[All]" dimensionUniqueName="[LocalDateTable_53bd0de1-8e4f-45ec-a73d-720779e52dac]" displayFolder="" count="0" unbalanced="0" hidden="1"/>
    <cacheHierarchy uniqueName="[LocalDateTable_53bd0de1-8e4f-45ec-a73d-720779e52dac].[Date Hierarchy]" caption="Date Hierarchy" defaultMemberUniqueName="[LocalDateTable_53bd0de1-8e4f-45ec-a73d-720779e52dac].[Date Hierarchy].[All]" allUniqueName="[LocalDateTable_53bd0de1-8e4f-45ec-a73d-720779e52dac].[Date Hierarchy].[All]" dimensionUniqueName="[LocalDateTable_53bd0de1-8e4f-45ec-a73d-720779e52dac]" displayFolder="" count="0" unbalanced="0" hidden="1"/>
    <cacheHierarchy uniqueName="[LocalDateTable_53bd0de1-8e4f-45ec-a73d-720779e52dac].[Day]" caption="Day" attribute="1" defaultMemberUniqueName="[LocalDateTable_53bd0de1-8e4f-45ec-a73d-720779e52dac].[Day].[All]" allUniqueName="[LocalDateTable_53bd0de1-8e4f-45ec-a73d-720779e52dac].[Day].[All]" dimensionUniqueName="[LocalDateTable_53bd0de1-8e4f-45ec-a73d-720779e52dac]" displayFolder="" count="0" unbalanced="0" hidden="1"/>
    <cacheHierarchy uniqueName="[LocalDateTable_53bd0de1-8e4f-45ec-a73d-720779e52dac].[Month]" caption="Month" attribute="1" defaultMemberUniqueName="[LocalDateTable_53bd0de1-8e4f-45ec-a73d-720779e52dac].[Month].[All]" allUniqueName="[LocalDateTable_53bd0de1-8e4f-45ec-a73d-720779e52dac].[Month].[All]" dimensionUniqueName="[LocalDateTable_53bd0de1-8e4f-45ec-a73d-720779e52dac]" displayFolder="" count="0" unbalanced="0" hidden="1"/>
    <cacheHierarchy uniqueName="[LocalDateTable_53bd0de1-8e4f-45ec-a73d-720779e52dac].[MonthNo]" caption="MonthNo" attribute="1" defaultMemberUniqueName="[LocalDateTable_53bd0de1-8e4f-45ec-a73d-720779e52dac].[MonthNo].[All]" allUniqueName="[LocalDateTable_53bd0de1-8e4f-45ec-a73d-720779e52dac].[MonthNo].[All]" dimensionUniqueName="[LocalDateTable_53bd0de1-8e4f-45ec-a73d-720779e52dac]" displayFolder="" count="0" unbalanced="0" hidden="1"/>
    <cacheHierarchy uniqueName="[LocalDateTable_53bd0de1-8e4f-45ec-a73d-720779e52dac].[Quarter]" caption="Quarter" attribute="1" defaultMemberUniqueName="[LocalDateTable_53bd0de1-8e4f-45ec-a73d-720779e52dac].[Quarter].[All]" allUniqueName="[LocalDateTable_53bd0de1-8e4f-45ec-a73d-720779e52dac].[Quarter].[All]" dimensionUniqueName="[LocalDateTable_53bd0de1-8e4f-45ec-a73d-720779e52dac]" displayFolder="" count="0" unbalanced="0" hidden="1"/>
    <cacheHierarchy uniqueName="[LocalDateTable_53bd0de1-8e4f-45ec-a73d-720779e52dac].[QuarterNo]" caption="QuarterNo" attribute="1" defaultMemberUniqueName="[LocalDateTable_53bd0de1-8e4f-45ec-a73d-720779e52dac].[QuarterNo].[All]" allUniqueName="[LocalDateTable_53bd0de1-8e4f-45ec-a73d-720779e52dac].[QuarterNo].[All]" dimensionUniqueName="[LocalDateTable_53bd0de1-8e4f-45ec-a73d-720779e52dac]" displayFolder="" count="0" unbalanced="0" hidden="1"/>
    <cacheHierarchy uniqueName="[LocalDateTable_53bd0de1-8e4f-45ec-a73d-720779e52dac].[Year]" caption="Year" attribute="1" defaultMemberUniqueName="[LocalDateTable_53bd0de1-8e4f-45ec-a73d-720779e52dac].[Year].[All]" allUniqueName="[LocalDateTable_53bd0de1-8e4f-45ec-a73d-720779e52dac].[Year].[All]" dimensionUniqueName="[LocalDateTable_53bd0de1-8e4f-45ec-a73d-720779e52dac]" displayFolder="" count="0" unbalanced="0" hidden="1"/>
    <cacheHierarchy uniqueName="[LocalDateTable_582d8559-64fe-4f94-ac65-40b1120ce9fa].[Date]" caption="Date" attribute="1" defaultMemberUniqueName="[LocalDateTable_582d8559-64fe-4f94-ac65-40b1120ce9fa].[Date].[All]" allUniqueName="[LocalDateTable_582d8559-64fe-4f94-ac65-40b1120ce9fa].[Date].[All]" dimensionUniqueName="[LocalDateTable_582d8559-64fe-4f94-ac65-40b1120ce9fa]" displayFolder="" count="0" unbalanced="0" hidden="1"/>
    <cacheHierarchy uniqueName="[LocalDateTable_582d8559-64fe-4f94-ac65-40b1120ce9fa].[Date Hierarchy]" caption="Date Hierarchy" defaultMemberUniqueName="[LocalDateTable_582d8559-64fe-4f94-ac65-40b1120ce9fa].[Date Hierarchy].[All]" allUniqueName="[LocalDateTable_582d8559-64fe-4f94-ac65-40b1120ce9fa].[Date Hierarchy].[All]" dimensionUniqueName="[LocalDateTable_582d8559-64fe-4f94-ac65-40b1120ce9fa]" displayFolder="" count="0" unbalanced="0" hidden="1"/>
    <cacheHierarchy uniqueName="[LocalDateTable_582d8559-64fe-4f94-ac65-40b1120ce9fa].[Day]" caption="Day" attribute="1" defaultMemberUniqueName="[LocalDateTable_582d8559-64fe-4f94-ac65-40b1120ce9fa].[Day].[All]" allUniqueName="[LocalDateTable_582d8559-64fe-4f94-ac65-40b1120ce9fa].[Day].[All]" dimensionUniqueName="[LocalDateTable_582d8559-64fe-4f94-ac65-40b1120ce9fa]" displayFolder="" count="0" unbalanced="0" hidden="1"/>
    <cacheHierarchy uniqueName="[LocalDateTable_582d8559-64fe-4f94-ac65-40b1120ce9fa].[Month]" caption="Month" attribute="1" defaultMemberUniqueName="[LocalDateTable_582d8559-64fe-4f94-ac65-40b1120ce9fa].[Month].[All]" allUniqueName="[LocalDateTable_582d8559-64fe-4f94-ac65-40b1120ce9fa].[Month].[All]" dimensionUniqueName="[LocalDateTable_582d8559-64fe-4f94-ac65-40b1120ce9fa]" displayFolder="" count="0" unbalanced="0" hidden="1"/>
    <cacheHierarchy uniqueName="[LocalDateTable_582d8559-64fe-4f94-ac65-40b1120ce9fa].[MonthNo]" caption="MonthNo" attribute="1" defaultMemberUniqueName="[LocalDateTable_582d8559-64fe-4f94-ac65-40b1120ce9fa].[MonthNo].[All]" allUniqueName="[LocalDateTable_582d8559-64fe-4f94-ac65-40b1120ce9fa].[MonthNo].[All]" dimensionUniqueName="[LocalDateTable_582d8559-64fe-4f94-ac65-40b1120ce9fa]" displayFolder="" count="0" unbalanced="0" hidden="1"/>
    <cacheHierarchy uniqueName="[LocalDateTable_582d8559-64fe-4f94-ac65-40b1120ce9fa].[Quarter]" caption="Quarter" attribute="1" defaultMemberUniqueName="[LocalDateTable_582d8559-64fe-4f94-ac65-40b1120ce9fa].[Quarter].[All]" allUniqueName="[LocalDateTable_582d8559-64fe-4f94-ac65-40b1120ce9fa].[Quarter].[All]" dimensionUniqueName="[LocalDateTable_582d8559-64fe-4f94-ac65-40b1120ce9fa]" displayFolder="" count="0" unbalanced="0" hidden="1"/>
    <cacheHierarchy uniqueName="[LocalDateTable_582d8559-64fe-4f94-ac65-40b1120ce9fa].[QuarterNo]" caption="QuarterNo" attribute="1" defaultMemberUniqueName="[LocalDateTable_582d8559-64fe-4f94-ac65-40b1120ce9fa].[QuarterNo].[All]" allUniqueName="[LocalDateTable_582d8559-64fe-4f94-ac65-40b1120ce9fa].[QuarterNo].[All]" dimensionUniqueName="[LocalDateTable_582d8559-64fe-4f94-ac65-40b1120ce9fa]" displayFolder="" count="0" unbalanced="0" hidden="1"/>
    <cacheHierarchy uniqueName="[LocalDateTable_582d8559-64fe-4f94-ac65-40b1120ce9fa].[Year]" caption="Year" attribute="1" defaultMemberUniqueName="[LocalDateTable_582d8559-64fe-4f94-ac65-40b1120ce9fa].[Year].[All]" allUniqueName="[LocalDateTable_582d8559-64fe-4f94-ac65-40b1120ce9fa].[Year].[All]" dimensionUniqueName="[LocalDateTable_582d8559-64fe-4f94-ac65-40b1120ce9fa]" displayFolder="" count="0" unbalanced="0" hidden="1"/>
    <cacheHierarchy uniqueName="[LocalDateTable_5e304ffa-9c13-4348-a0b1-bac4f702bb98].[Date]" caption="Date" attribute="1" defaultMemberUniqueName="[LocalDateTable_5e304ffa-9c13-4348-a0b1-bac4f702bb98].[Date].[All]" allUniqueName="[LocalDateTable_5e304ffa-9c13-4348-a0b1-bac4f702bb98].[Date].[All]" dimensionUniqueName="[LocalDateTable_5e304ffa-9c13-4348-a0b1-bac4f702bb98]" displayFolder="" count="0" unbalanced="0" hidden="1"/>
    <cacheHierarchy uniqueName="[LocalDateTable_5e304ffa-9c13-4348-a0b1-bac4f702bb98].[Date Hierarchy]" caption="Date Hierarchy" defaultMemberUniqueName="[LocalDateTable_5e304ffa-9c13-4348-a0b1-bac4f702bb98].[Date Hierarchy].[All]" allUniqueName="[LocalDateTable_5e304ffa-9c13-4348-a0b1-bac4f702bb98].[Date Hierarchy].[All]" dimensionUniqueName="[LocalDateTable_5e304ffa-9c13-4348-a0b1-bac4f702bb98]" displayFolder="" count="0" unbalanced="0" hidden="1"/>
    <cacheHierarchy uniqueName="[LocalDateTable_5e304ffa-9c13-4348-a0b1-bac4f702bb98].[Day]" caption="Day" attribute="1" defaultMemberUniqueName="[LocalDateTable_5e304ffa-9c13-4348-a0b1-bac4f702bb98].[Day].[All]" allUniqueName="[LocalDateTable_5e304ffa-9c13-4348-a0b1-bac4f702bb98].[Day].[All]" dimensionUniqueName="[LocalDateTable_5e304ffa-9c13-4348-a0b1-bac4f702bb98]" displayFolder="" count="0" unbalanced="0" hidden="1"/>
    <cacheHierarchy uniqueName="[LocalDateTable_5e304ffa-9c13-4348-a0b1-bac4f702bb98].[Month]" caption="Month" attribute="1" defaultMemberUniqueName="[LocalDateTable_5e304ffa-9c13-4348-a0b1-bac4f702bb98].[Month].[All]" allUniqueName="[LocalDateTable_5e304ffa-9c13-4348-a0b1-bac4f702bb98].[Month].[All]" dimensionUniqueName="[LocalDateTable_5e304ffa-9c13-4348-a0b1-bac4f702bb98]" displayFolder="" count="0" unbalanced="0" hidden="1"/>
    <cacheHierarchy uniqueName="[LocalDateTable_5e304ffa-9c13-4348-a0b1-bac4f702bb98].[MonthNo]" caption="MonthNo" attribute="1" defaultMemberUniqueName="[LocalDateTable_5e304ffa-9c13-4348-a0b1-bac4f702bb98].[MonthNo].[All]" allUniqueName="[LocalDateTable_5e304ffa-9c13-4348-a0b1-bac4f702bb98].[MonthNo].[All]" dimensionUniqueName="[LocalDateTable_5e304ffa-9c13-4348-a0b1-bac4f702bb98]" displayFolder="" count="0" unbalanced="0" hidden="1"/>
    <cacheHierarchy uniqueName="[LocalDateTable_5e304ffa-9c13-4348-a0b1-bac4f702bb98].[Quarter]" caption="Quarter" attribute="1" defaultMemberUniqueName="[LocalDateTable_5e304ffa-9c13-4348-a0b1-bac4f702bb98].[Quarter].[All]" allUniqueName="[LocalDateTable_5e304ffa-9c13-4348-a0b1-bac4f702bb98].[Quarter].[All]" dimensionUniqueName="[LocalDateTable_5e304ffa-9c13-4348-a0b1-bac4f702bb98]" displayFolder="" count="0" unbalanced="0" hidden="1"/>
    <cacheHierarchy uniqueName="[LocalDateTable_5e304ffa-9c13-4348-a0b1-bac4f702bb98].[QuarterNo]" caption="QuarterNo" attribute="1" defaultMemberUniqueName="[LocalDateTable_5e304ffa-9c13-4348-a0b1-bac4f702bb98].[QuarterNo].[All]" allUniqueName="[LocalDateTable_5e304ffa-9c13-4348-a0b1-bac4f702bb98].[QuarterNo].[All]" dimensionUniqueName="[LocalDateTable_5e304ffa-9c13-4348-a0b1-bac4f702bb98]" displayFolder="" count="0" unbalanced="0" hidden="1"/>
    <cacheHierarchy uniqueName="[LocalDateTable_5e304ffa-9c13-4348-a0b1-bac4f702bb98].[Year]" caption="Year" attribute="1" defaultMemberUniqueName="[LocalDateTable_5e304ffa-9c13-4348-a0b1-bac4f702bb98].[Year].[All]" allUniqueName="[LocalDateTable_5e304ffa-9c13-4348-a0b1-bac4f702bb98].[Year].[All]" dimensionUniqueName="[LocalDateTable_5e304ffa-9c13-4348-a0b1-bac4f702bb98]" displayFolder="" count="0" unbalanced="0" hidden="1"/>
    <cacheHierarchy uniqueName="[LocalDateTable_6ad1a7b7-0918-439f-9116-bb49452fb306].[Date]" caption="Date" attribute="1" defaultMemberUniqueName="[LocalDateTable_6ad1a7b7-0918-439f-9116-bb49452fb306].[Date].[All]" allUniqueName="[LocalDateTable_6ad1a7b7-0918-439f-9116-bb49452fb306].[Date].[All]" dimensionUniqueName="[LocalDateTable_6ad1a7b7-0918-439f-9116-bb49452fb306]" displayFolder="" count="0" unbalanced="0" hidden="1"/>
    <cacheHierarchy uniqueName="[LocalDateTable_6ad1a7b7-0918-439f-9116-bb49452fb306].[Date Hierarchy]" caption="Date Hierarchy" defaultMemberUniqueName="[LocalDateTable_6ad1a7b7-0918-439f-9116-bb49452fb306].[Date Hierarchy].[All]" allUniqueName="[LocalDateTable_6ad1a7b7-0918-439f-9116-bb49452fb306].[Date Hierarchy].[All]" dimensionUniqueName="[LocalDateTable_6ad1a7b7-0918-439f-9116-bb49452fb306]" displayFolder="" count="0" unbalanced="0" hidden="1"/>
    <cacheHierarchy uniqueName="[LocalDateTable_6ad1a7b7-0918-439f-9116-bb49452fb306].[Day]" caption="Day" attribute="1" defaultMemberUniqueName="[LocalDateTable_6ad1a7b7-0918-439f-9116-bb49452fb306].[Day].[All]" allUniqueName="[LocalDateTable_6ad1a7b7-0918-439f-9116-bb49452fb306].[Day].[All]" dimensionUniqueName="[LocalDateTable_6ad1a7b7-0918-439f-9116-bb49452fb306]" displayFolder="" count="0" unbalanced="0" hidden="1"/>
    <cacheHierarchy uniqueName="[LocalDateTable_6ad1a7b7-0918-439f-9116-bb49452fb306].[Month]" caption="Month" attribute="1" defaultMemberUniqueName="[LocalDateTable_6ad1a7b7-0918-439f-9116-bb49452fb306].[Month].[All]" allUniqueName="[LocalDateTable_6ad1a7b7-0918-439f-9116-bb49452fb306].[Month].[All]" dimensionUniqueName="[LocalDateTable_6ad1a7b7-0918-439f-9116-bb49452fb306]" displayFolder="" count="0" unbalanced="0" hidden="1"/>
    <cacheHierarchy uniqueName="[LocalDateTable_6ad1a7b7-0918-439f-9116-bb49452fb306].[MonthNo]" caption="MonthNo" attribute="1" defaultMemberUniqueName="[LocalDateTable_6ad1a7b7-0918-439f-9116-bb49452fb306].[MonthNo].[All]" allUniqueName="[LocalDateTable_6ad1a7b7-0918-439f-9116-bb49452fb306].[MonthNo].[All]" dimensionUniqueName="[LocalDateTable_6ad1a7b7-0918-439f-9116-bb49452fb306]" displayFolder="" count="0" unbalanced="0" hidden="1"/>
    <cacheHierarchy uniqueName="[LocalDateTable_6ad1a7b7-0918-439f-9116-bb49452fb306].[Quarter]" caption="Quarter" attribute="1" defaultMemberUniqueName="[LocalDateTable_6ad1a7b7-0918-439f-9116-bb49452fb306].[Quarter].[All]" allUniqueName="[LocalDateTable_6ad1a7b7-0918-439f-9116-bb49452fb306].[Quarter].[All]" dimensionUniqueName="[LocalDateTable_6ad1a7b7-0918-439f-9116-bb49452fb306]" displayFolder="" count="0" unbalanced="0" hidden="1"/>
    <cacheHierarchy uniqueName="[LocalDateTable_6ad1a7b7-0918-439f-9116-bb49452fb306].[QuarterNo]" caption="QuarterNo" attribute="1" defaultMemberUniqueName="[LocalDateTable_6ad1a7b7-0918-439f-9116-bb49452fb306].[QuarterNo].[All]" allUniqueName="[LocalDateTable_6ad1a7b7-0918-439f-9116-bb49452fb306].[QuarterNo].[All]" dimensionUniqueName="[LocalDateTable_6ad1a7b7-0918-439f-9116-bb49452fb306]" displayFolder="" count="0" unbalanced="0" hidden="1"/>
    <cacheHierarchy uniqueName="[LocalDateTable_6ad1a7b7-0918-439f-9116-bb49452fb306].[Year]" caption="Year" attribute="1" defaultMemberUniqueName="[LocalDateTable_6ad1a7b7-0918-439f-9116-bb49452fb306].[Year].[All]" allUniqueName="[LocalDateTable_6ad1a7b7-0918-439f-9116-bb49452fb306].[Year].[All]" dimensionUniqueName="[LocalDateTable_6ad1a7b7-0918-439f-9116-bb49452fb306]" displayFolder="" count="0" unbalanced="0" hidden="1"/>
    <cacheHierarchy uniqueName="[LocalDateTable_72411a4b-2028-45fd-859f-ca035717f902].[Date]" caption="Date" attribute="1" defaultMemberUniqueName="[LocalDateTable_72411a4b-2028-45fd-859f-ca035717f902].[Date].[All]" allUniqueName="[LocalDateTable_72411a4b-2028-45fd-859f-ca035717f902].[Date].[All]" dimensionUniqueName="[LocalDateTable_72411a4b-2028-45fd-859f-ca035717f902]" displayFolder="" count="0" unbalanced="0" hidden="1"/>
    <cacheHierarchy uniqueName="[LocalDateTable_72411a4b-2028-45fd-859f-ca035717f902].[Date Hierarchy]" caption="Date Hierarchy" defaultMemberUniqueName="[LocalDateTable_72411a4b-2028-45fd-859f-ca035717f902].[Date Hierarchy].[All]" allUniqueName="[LocalDateTable_72411a4b-2028-45fd-859f-ca035717f902].[Date Hierarchy].[All]" dimensionUniqueName="[LocalDateTable_72411a4b-2028-45fd-859f-ca035717f902]" displayFolder="" count="0" unbalanced="0" hidden="1"/>
    <cacheHierarchy uniqueName="[LocalDateTable_72411a4b-2028-45fd-859f-ca035717f902].[Day]" caption="Day" attribute="1" defaultMemberUniqueName="[LocalDateTable_72411a4b-2028-45fd-859f-ca035717f902].[Day].[All]" allUniqueName="[LocalDateTable_72411a4b-2028-45fd-859f-ca035717f902].[Day].[All]" dimensionUniqueName="[LocalDateTable_72411a4b-2028-45fd-859f-ca035717f902]" displayFolder="" count="0" unbalanced="0" hidden="1"/>
    <cacheHierarchy uniqueName="[LocalDateTable_72411a4b-2028-45fd-859f-ca035717f902].[Month]" caption="Month" attribute="1" defaultMemberUniqueName="[LocalDateTable_72411a4b-2028-45fd-859f-ca035717f902].[Month].[All]" allUniqueName="[LocalDateTable_72411a4b-2028-45fd-859f-ca035717f902].[Month].[All]" dimensionUniqueName="[LocalDateTable_72411a4b-2028-45fd-859f-ca035717f902]" displayFolder="" count="0" unbalanced="0" hidden="1"/>
    <cacheHierarchy uniqueName="[LocalDateTable_72411a4b-2028-45fd-859f-ca035717f902].[MonthNo]" caption="MonthNo" attribute="1" defaultMemberUniqueName="[LocalDateTable_72411a4b-2028-45fd-859f-ca035717f902].[MonthNo].[All]" allUniqueName="[LocalDateTable_72411a4b-2028-45fd-859f-ca035717f902].[MonthNo].[All]" dimensionUniqueName="[LocalDateTable_72411a4b-2028-45fd-859f-ca035717f902]" displayFolder="" count="0" unbalanced="0" hidden="1"/>
    <cacheHierarchy uniqueName="[LocalDateTable_72411a4b-2028-45fd-859f-ca035717f902].[Quarter]" caption="Quarter" attribute="1" defaultMemberUniqueName="[LocalDateTable_72411a4b-2028-45fd-859f-ca035717f902].[Quarter].[All]" allUniqueName="[LocalDateTable_72411a4b-2028-45fd-859f-ca035717f902].[Quarter].[All]" dimensionUniqueName="[LocalDateTable_72411a4b-2028-45fd-859f-ca035717f902]" displayFolder="" count="0" unbalanced="0" hidden="1"/>
    <cacheHierarchy uniqueName="[LocalDateTable_72411a4b-2028-45fd-859f-ca035717f902].[QuarterNo]" caption="QuarterNo" attribute="1" defaultMemberUniqueName="[LocalDateTable_72411a4b-2028-45fd-859f-ca035717f902].[QuarterNo].[All]" allUniqueName="[LocalDateTable_72411a4b-2028-45fd-859f-ca035717f902].[QuarterNo].[All]" dimensionUniqueName="[LocalDateTable_72411a4b-2028-45fd-859f-ca035717f902]" displayFolder="" count="0" unbalanced="0" hidden="1"/>
    <cacheHierarchy uniqueName="[LocalDateTable_72411a4b-2028-45fd-859f-ca035717f902].[Year]" caption="Year" attribute="1" defaultMemberUniqueName="[LocalDateTable_72411a4b-2028-45fd-859f-ca035717f902].[Year].[All]" allUniqueName="[LocalDateTable_72411a4b-2028-45fd-859f-ca035717f902].[Year].[All]" dimensionUniqueName="[LocalDateTable_72411a4b-2028-45fd-859f-ca035717f902]" displayFolder="" count="0" unbalanced="0" hidden="1"/>
    <cacheHierarchy uniqueName="[LocalDateTable_762e9f08-71b7-474b-bf32-18e125928c8b].[Date]" caption="Date" attribute="1" defaultMemberUniqueName="[LocalDateTable_762e9f08-71b7-474b-bf32-18e125928c8b].[Date].[All]" allUniqueName="[LocalDateTable_762e9f08-71b7-474b-bf32-18e125928c8b].[Date].[All]" dimensionUniqueName="[LocalDateTable_762e9f08-71b7-474b-bf32-18e125928c8b]" displayFolder="" count="0" unbalanced="0" hidden="1"/>
    <cacheHierarchy uniqueName="[LocalDateTable_762e9f08-71b7-474b-bf32-18e125928c8b].[Date Hierarchy]" caption="Date Hierarchy" defaultMemberUniqueName="[LocalDateTable_762e9f08-71b7-474b-bf32-18e125928c8b].[Date Hierarchy].[All]" allUniqueName="[LocalDateTable_762e9f08-71b7-474b-bf32-18e125928c8b].[Date Hierarchy].[All]" dimensionUniqueName="[LocalDateTable_762e9f08-71b7-474b-bf32-18e125928c8b]" displayFolder="" count="0" unbalanced="0" hidden="1"/>
    <cacheHierarchy uniqueName="[LocalDateTable_762e9f08-71b7-474b-bf32-18e125928c8b].[Day]" caption="Day" attribute="1" defaultMemberUniqueName="[LocalDateTable_762e9f08-71b7-474b-bf32-18e125928c8b].[Day].[All]" allUniqueName="[LocalDateTable_762e9f08-71b7-474b-bf32-18e125928c8b].[Day].[All]" dimensionUniqueName="[LocalDateTable_762e9f08-71b7-474b-bf32-18e125928c8b]" displayFolder="" count="0" unbalanced="0" hidden="1"/>
    <cacheHierarchy uniqueName="[LocalDateTable_762e9f08-71b7-474b-bf32-18e125928c8b].[Month]" caption="Month" attribute="1" defaultMemberUniqueName="[LocalDateTable_762e9f08-71b7-474b-bf32-18e125928c8b].[Month].[All]" allUniqueName="[LocalDateTable_762e9f08-71b7-474b-bf32-18e125928c8b].[Month].[All]" dimensionUniqueName="[LocalDateTable_762e9f08-71b7-474b-bf32-18e125928c8b]" displayFolder="" count="0" unbalanced="0" hidden="1"/>
    <cacheHierarchy uniqueName="[LocalDateTable_762e9f08-71b7-474b-bf32-18e125928c8b].[MonthNo]" caption="MonthNo" attribute="1" defaultMemberUniqueName="[LocalDateTable_762e9f08-71b7-474b-bf32-18e125928c8b].[MonthNo].[All]" allUniqueName="[LocalDateTable_762e9f08-71b7-474b-bf32-18e125928c8b].[MonthNo].[All]" dimensionUniqueName="[LocalDateTable_762e9f08-71b7-474b-bf32-18e125928c8b]" displayFolder="" count="0" unbalanced="0" hidden="1"/>
    <cacheHierarchy uniqueName="[LocalDateTable_762e9f08-71b7-474b-bf32-18e125928c8b].[Quarter]" caption="Quarter" attribute="1" defaultMemberUniqueName="[LocalDateTable_762e9f08-71b7-474b-bf32-18e125928c8b].[Quarter].[All]" allUniqueName="[LocalDateTable_762e9f08-71b7-474b-bf32-18e125928c8b].[Quarter].[All]" dimensionUniqueName="[LocalDateTable_762e9f08-71b7-474b-bf32-18e125928c8b]" displayFolder="" count="0" unbalanced="0" hidden="1"/>
    <cacheHierarchy uniqueName="[LocalDateTable_762e9f08-71b7-474b-bf32-18e125928c8b].[QuarterNo]" caption="QuarterNo" attribute="1" defaultMemberUniqueName="[LocalDateTable_762e9f08-71b7-474b-bf32-18e125928c8b].[QuarterNo].[All]" allUniqueName="[LocalDateTable_762e9f08-71b7-474b-bf32-18e125928c8b].[QuarterNo].[All]" dimensionUniqueName="[LocalDateTable_762e9f08-71b7-474b-bf32-18e125928c8b]" displayFolder="" count="0" unbalanced="0" hidden="1"/>
    <cacheHierarchy uniqueName="[LocalDateTable_762e9f08-71b7-474b-bf32-18e125928c8b].[Year]" caption="Year" attribute="1" defaultMemberUniqueName="[LocalDateTable_762e9f08-71b7-474b-bf32-18e125928c8b].[Year].[All]" allUniqueName="[LocalDateTable_762e9f08-71b7-474b-bf32-18e125928c8b].[Year].[All]" dimensionUniqueName="[LocalDateTable_762e9f08-71b7-474b-bf32-18e125928c8b]" displayFolder="" count="0" unbalanced="0" hidden="1"/>
    <cacheHierarchy uniqueName="[LocalDateTable_79b3c506-b619-4a92-a39e-5963880b27f4].[Date]" caption="Date" attribute="1" defaultMemberUniqueName="[LocalDateTable_79b3c506-b619-4a92-a39e-5963880b27f4].[Date].[All]" allUniqueName="[LocalDateTable_79b3c506-b619-4a92-a39e-5963880b27f4].[Date].[All]" dimensionUniqueName="[LocalDateTable_79b3c506-b619-4a92-a39e-5963880b27f4]" displayFolder="" count="0" unbalanced="0" hidden="1"/>
    <cacheHierarchy uniqueName="[LocalDateTable_79b3c506-b619-4a92-a39e-5963880b27f4].[Date Hierarchy]" caption="Date Hierarchy" defaultMemberUniqueName="[LocalDateTable_79b3c506-b619-4a92-a39e-5963880b27f4].[Date Hierarchy].[All]" allUniqueName="[LocalDateTable_79b3c506-b619-4a92-a39e-5963880b27f4].[Date Hierarchy].[All]" dimensionUniqueName="[LocalDateTable_79b3c506-b619-4a92-a39e-5963880b27f4]" displayFolder="" count="0" unbalanced="0" hidden="1"/>
    <cacheHierarchy uniqueName="[LocalDateTable_79b3c506-b619-4a92-a39e-5963880b27f4].[Day]" caption="Day" attribute="1" defaultMemberUniqueName="[LocalDateTable_79b3c506-b619-4a92-a39e-5963880b27f4].[Day].[All]" allUniqueName="[LocalDateTable_79b3c506-b619-4a92-a39e-5963880b27f4].[Day].[All]" dimensionUniqueName="[LocalDateTable_79b3c506-b619-4a92-a39e-5963880b27f4]" displayFolder="" count="0" unbalanced="0" hidden="1"/>
    <cacheHierarchy uniqueName="[LocalDateTable_79b3c506-b619-4a92-a39e-5963880b27f4].[Month]" caption="Month" attribute="1" defaultMemberUniqueName="[LocalDateTable_79b3c506-b619-4a92-a39e-5963880b27f4].[Month].[All]" allUniqueName="[LocalDateTable_79b3c506-b619-4a92-a39e-5963880b27f4].[Month].[All]" dimensionUniqueName="[LocalDateTable_79b3c506-b619-4a92-a39e-5963880b27f4]" displayFolder="" count="0" unbalanced="0" hidden="1"/>
    <cacheHierarchy uniqueName="[LocalDateTable_79b3c506-b619-4a92-a39e-5963880b27f4].[MonthNo]" caption="MonthNo" attribute="1" defaultMemberUniqueName="[LocalDateTable_79b3c506-b619-4a92-a39e-5963880b27f4].[MonthNo].[All]" allUniqueName="[LocalDateTable_79b3c506-b619-4a92-a39e-5963880b27f4].[MonthNo].[All]" dimensionUniqueName="[LocalDateTable_79b3c506-b619-4a92-a39e-5963880b27f4]" displayFolder="" count="0" unbalanced="0" hidden="1"/>
    <cacheHierarchy uniqueName="[LocalDateTable_79b3c506-b619-4a92-a39e-5963880b27f4].[Quarter]" caption="Quarter" attribute="1" defaultMemberUniqueName="[LocalDateTable_79b3c506-b619-4a92-a39e-5963880b27f4].[Quarter].[All]" allUniqueName="[LocalDateTable_79b3c506-b619-4a92-a39e-5963880b27f4].[Quarter].[All]" dimensionUniqueName="[LocalDateTable_79b3c506-b619-4a92-a39e-5963880b27f4]" displayFolder="" count="0" unbalanced="0" hidden="1"/>
    <cacheHierarchy uniqueName="[LocalDateTable_79b3c506-b619-4a92-a39e-5963880b27f4].[QuarterNo]" caption="QuarterNo" attribute="1" defaultMemberUniqueName="[LocalDateTable_79b3c506-b619-4a92-a39e-5963880b27f4].[QuarterNo].[All]" allUniqueName="[LocalDateTable_79b3c506-b619-4a92-a39e-5963880b27f4].[QuarterNo].[All]" dimensionUniqueName="[LocalDateTable_79b3c506-b619-4a92-a39e-5963880b27f4]" displayFolder="" count="0" unbalanced="0" hidden="1"/>
    <cacheHierarchy uniqueName="[LocalDateTable_79b3c506-b619-4a92-a39e-5963880b27f4].[Year]" caption="Year" attribute="1" defaultMemberUniqueName="[LocalDateTable_79b3c506-b619-4a92-a39e-5963880b27f4].[Year].[All]" allUniqueName="[LocalDateTable_79b3c506-b619-4a92-a39e-5963880b27f4].[Year].[All]" dimensionUniqueName="[LocalDateTable_79b3c506-b619-4a92-a39e-5963880b27f4]" displayFolder="" count="0" unbalanced="0" hidden="1"/>
    <cacheHierarchy uniqueName="[LocalDateTable_7e4579ac-e1ba-4376-bd93-89713ab2d695].[Date]" caption="Date" attribute="1" defaultMemberUniqueName="[LocalDateTable_7e4579ac-e1ba-4376-bd93-89713ab2d695].[Date].[All]" allUniqueName="[LocalDateTable_7e4579ac-e1ba-4376-bd93-89713ab2d695].[Date].[All]" dimensionUniqueName="[LocalDateTable_7e4579ac-e1ba-4376-bd93-89713ab2d695]" displayFolder="" count="0" unbalanced="0" hidden="1"/>
    <cacheHierarchy uniqueName="[LocalDateTable_7e4579ac-e1ba-4376-bd93-89713ab2d695].[Date Hierarchy]" caption="Date Hierarchy" defaultMemberUniqueName="[LocalDateTable_7e4579ac-e1ba-4376-bd93-89713ab2d695].[Date Hierarchy].[All]" allUniqueName="[LocalDateTable_7e4579ac-e1ba-4376-bd93-89713ab2d695].[Date Hierarchy].[All]" dimensionUniqueName="[LocalDateTable_7e4579ac-e1ba-4376-bd93-89713ab2d695]" displayFolder="" count="0" unbalanced="0" hidden="1"/>
    <cacheHierarchy uniqueName="[LocalDateTable_7e4579ac-e1ba-4376-bd93-89713ab2d695].[Day]" caption="Day" attribute="1" defaultMemberUniqueName="[LocalDateTable_7e4579ac-e1ba-4376-bd93-89713ab2d695].[Day].[All]" allUniqueName="[LocalDateTable_7e4579ac-e1ba-4376-bd93-89713ab2d695].[Day].[All]" dimensionUniqueName="[LocalDateTable_7e4579ac-e1ba-4376-bd93-89713ab2d695]" displayFolder="" count="0" unbalanced="0" hidden="1"/>
    <cacheHierarchy uniqueName="[LocalDateTable_7e4579ac-e1ba-4376-bd93-89713ab2d695].[Month]" caption="Month" attribute="1" defaultMemberUniqueName="[LocalDateTable_7e4579ac-e1ba-4376-bd93-89713ab2d695].[Month].[All]" allUniqueName="[LocalDateTable_7e4579ac-e1ba-4376-bd93-89713ab2d695].[Month].[All]" dimensionUniqueName="[LocalDateTable_7e4579ac-e1ba-4376-bd93-89713ab2d695]" displayFolder="" count="0" unbalanced="0" hidden="1"/>
    <cacheHierarchy uniqueName="[LocalDateTable_7e4579ac-e1ba-4376-bd93-89713ab2d695].[MonthNo]" caption="MonthNo" attribute="1" defaultMemberUniqueName="[LocalDateTable_7e4579ac-e1ba-4376-bd93-89713ab2d695].[MonthNo].[All]" allUniqueName="[LocalDateTable_7e4579ac-e1ba-4376-bd93-89713ab2d695].[MonthNo].[All]" dimensionUniqueName="[LocalDateTable_7e4579ac-e1ba-4376-bd93-89713ab2d695]" displayFolder="" count="0" unbalanced="0" hidden="1"/>
    <cacheHierarchy uniqueName="[LocalDateTable_7e4579ac-e1ba-4376-bd93-89713ab2d695].[Quarter]" caption="Quarter" attribute="1" defaultMemberUniqueName="[LocalDateTable_7e4579ac-e1ba-4376-bd93-89713ab2d695].[Quarter].[All]" allUniqueName="[LocalDateTable_7e4579ac-e1ba-4376-bd93-89713ab2d695].[Quarter].[All]" dimensionUniqueName="[LocalDateTable_7e4579ac-e1ba-4376-bd93-89713ab2d695]" displayFolder="" count="0" unbalanced="0" hidden="1"/>
    <cacheHierarchy uniqueName="[LocalDateTable_7e4579ac-e1ba-4376-bd93-89713ab2d695].[QuarterNo]" caption="QuarterNo" attribute="1" defaultMemberUniqueName="[LocalDateTable_7e4579ac-e1ba-4376-bd93-89713ab2d695].[QuarterNo].[All]" allUniqueName="[LocalDateTable_7e4579ac-e1ba-4376-bd93-89713ab2d695].[QuarterNo].[All]" dimensionUniqueName="[LocalDateTable_7e4579ac-e1ba-4376-bd93-89713ab2d695]" displayFolder="" count="0" unbalanced="0" hidden="1"/>
    <cacheHierarchy uniqueName="[LocalDateTable_7e4579ac-e1ba-4376-bd93-89713ab2d695].[Year]" caption="Year" attribute="1" defaultMemberUniqueName="[LocalDateTable_7e4579ac-e1ba-4376-bd93-89713ab2d695].[Year].[All]" allUniqueName="[LocalDateTable_7e4579ac-e1ba-4376-bd93-89713ab2d695].[Year].[All]" dimensionUniqueName="[LocalDateTable_7e4579ac-e1ba-4376-bd93-89713ab2d695]" displayFolder="" count="0" unbalanced="0" hidden="1"/>
    <cacheHierarchy uniqueName="[LocalDateTable_8171f62b-6985-4fa9-89cc-d461fa08834f].[Date]" caption="Date" attribute="1" defaultMemberUniqueName="[LocalDateTable_8171f62b-6985-4fa9-89cc-d461fa08834f].[Date].[All]" allUniqueName="[LocalDateTable_8171f62b-6985-4fa9-89cc-d461fa08834f].[Date].[All]" dimensionUniqueName="[LocalDateTable_8171f62b-6985-4fa9-89cc-d461fa08834f]" displayFolder="" count="0" unbalanced="0" hidden="1"/>
    <cacheHierarchy uniqueName="[LocalDateTable_8171f62b-6985-4fa9-89cc-d461fa08834f].[Date Hierarchy]" caption="Date Hierarchy" defaultMemberUniqueName="[LocalDateTable_8171f62b-6985-4fa9-89cc-d461fa08834f].[Date Hierarchy].[All]" allUniqueName="[LocalDateTable_8171f62b-6985-4fa9-89cc-d461fa08834f].[Date Hierarchy].[All]" dimensionUniqueName="[LocalDateTable_8171f62b-6985-4fa9-89cc-d461fa08834f]" displayFolder="" count="0" unbalanced="0" hidden="1"/>
    <cacheHierarchy uniqueName="[LocalDateTable_8171f62b-6985-4fa9-89cc-d461fa08834f].[Day]" caption="Day" attribute="1" defaultMemberUniqueName="[LocalDateTable_8171f62b-6985-4fa9-89cc-d461fa08834f].[Day].[All]" allUniqueName="[LocalDateTable_8171f62b-6985-4fa9-89cc-d461fa08834f].[Day].[All]" dimensionUniqueName="[LocalDateTable_8171f62b-6985-4fa9-89cc-d461fa08834f]" displayFolder="" count="0" unbalanced="0" hidden="1"/>
    <cacheHierarchy uniqueName="[LocalDateTable_8171f62b-6985-4fa9-89cc-d461fa08834f].[Month]" caption="Month" attribute="1" defaultMemberUniqueName="[LocalDateTable_8171f62b-6985-4fa9-89cc-d461fa08834f].[Month].[All]" allUniqueName="[LocalDateTable_8171f62b-6985-4fa9-89cc-d461fa08834f].[Month].[All]" dimensionUniqueName="[LocalDateTable_8171f62b-6985-4fa9-89cc-d461fa08834f]" displayFolder="" count="0" unbalanced="0" hidden="1"/>
    <cacheHierarchy uniqueName="[LocalDateTable_8171f62b-6985-4fa9-89cc-d461fa08834f].[MonthNo]" caption="MonthNo" attribute="1" defaultMemberUniqueName="[LocalDateTable_8171f62b-6985-4fa9-89cc-d461fa08834f].[MonthNo].[All]" allUniqueName="[LocalDateTable_8171f62b-6985-4fa9-89cc-d461fa08834f].[MonthNo].[All]" dimensionUniqueName="[LocalDateTable_8171f62b-6985-4fa9-89cc-d461fa08834f]" displayFolder="" count="0" unbalanced="0" hidden="1"/>
    <cacheHierarchy uniqueName="[LocalDateTable_8171f62b-6985-4fa9-89cc-d461fa08834f].[Quarter]" caption="Quarter" attribute="1" defaultMemberUniqueName="[LocalDateTable_8171f62b-6985-4fa9-89cc-d461fa08834f].[Quarter].[All]" allUniqueName="[LocalDateTable_8171f62b-6985-4fa9-89cc-d461fa08834f].[Quarter].[All]" dimensionUniqueName="[LocalDateTable_8171f62b-6985-4fa9-89cc-d461fa08834f]" displayFolder="" count="0" unbalanced="0" hidden="1"/>
    <cacheHierarchy uniqueName="[LocalDateTable_8171f62b-6985-4fa9-89cc-d461fa08834f].[QuarterNo]" caption="QuarterNo" attribute="1" defaultMemberUniqueName="[LocalDateTable_8171f62b-6985-4fa9-89cc-d461fa08834f].[QuarterNo].[All]" allUniqueName="[LocalDateTable_8171f62b-6985-4fa9-89cc-d461fa08834f].[QuarterNo].[All]" dimensionUniqueName="[LocalDateTable_8171f62b-6985-4fa9-89cc-d461fa08834f]" displayFolder="" count="0" unbalanced="0" hidden="1"/>
    <cacheHierarchy uniqueName="[LocalDateTable_8171f62b-6985-4fa9-89cc-d461fa08834f].[Year]" caption="Year" attribute="1" defaultMemberUniqueName="[LocalDateTable_8171f62b-6985-4fa9-89cc-d461fa08834f].[Year].[All]" allUniqueName="[LocalDateTable_8171f62b-6985-4fa9-89cc-d461fa08834f].[Year].[All]" dimensionUniqueName="[LocalDateTable_8171f62b-6985-4fa9-89cc-d461fa08834f]" displayFolder="" count="0" unbalanced="0" hidden="1"/>
    <cacheHierarchy uniqueName="[LocalDateTable_8c167247-2007-40a2-8eb4-a67a7a0ffe69].[Date]" caption="Date" attribute="1" defaultMemberUniqueName="[LocalDateTable_8c167247-2007-40a2-8eb4-a67a7a0ffe69].[Date].[All]" allUniqueName="[LocalDateTable_8c167247-2007-40a2-8eb4-a67a7a0ffe69].[Date].[All]" dimensionUniqueName="[LocalDateTable_8c167247-2007-40a2-8eb4-a67a7a0ffe69]" displayFolder="" count="0" unbalanced="0" hidden="1"/>
    <cacheHierarchy uniqueName="[LocalDateTable_8c167247-2007-40a2-8eb4-a67a7a0ffe69].[Date Hierarchy]" caption="Date Hierarchy" defaultMemberUniqueName="[LocalDateTable_8c167247-2007-40a2-8eb4-a67a7a0ffe69].[Date Hierarchy].[All]" allUniqueName="[LocalDateTable_8c167247-2007-40a2-8eb4-a67a7a0ffe69].[Date Hierarchy].[All]" dimensionUniqueName="[LocalDateTable_8c167247-2007-40a2-8eb4-a67a7a0ffe69]" displayFolder="" count="0" unbalanced="0" hidden="1"/>
    <cacheHierarchy uniqueName="[LocalDateTable_8c167247-2007-40a2-8eb4-a67a7a0ffe69].[Day]" caption="Day" attribute="1" defaultMemberUniqueName="[LocalDateTable_8c167247-2007-40a2-8eb4-a67a7a0ffe69].[Day].[All]" allUniqueName="[LocalDateTable_8c167247-2007-40a2-8eb4-a67a7a0ffe69].[Day].[All]" dimensionUniqueName="[LocalDateTable_8c167247-2007-40a2-8eb4-a67a7a0ffe69]" displayFolder="" count="0" unbalanced="0" hidden="1"/>
    <cacheHierarchy uniqueName="[LocalDateTable_8c167247-2007-40a2-8eb4-a67a7a0ffe69].[Month]" caption="Month" attribute="1" defaultMemberUniqueName="[LocalDateTable_8c167247-2007-40a2-8eb4-a67a7a0ffe69].[Month].[All]" allUniqueName="[LocalDateTable_8c167247-2007-40a2-8eb4-a67a7a0ffe69].[Month].[All]" dimensionUniqueName="[LocalDateTable_8c167247-2007-40a2-8eb4-a67a7a0ffe69]" displayFolder="" count="0" unbalanced="0" hidden="1"/>
    <cacheHierarchy uniqueName="[LocalDateTable_8c167247-2007-40a2-8eb4-a67a7a0ffe69].[MonthNo]" caption="MonthNo" attribute="1" defaultMemberUniqueName="[LocalDateTable_8c167247-2007-40a2-8eb4-a67a7a0ffe69].[MonthNo].[All]" allUniqueName="[LocalDateTable_8c167247-2007-40a2-8eb4-a67a7a0ffe69].[MonthNo].[All]" dimensionUniqueName="[LocalDateTable_8c167247-2007-40a2-8eb4-a67a7a0ffe69]" displayFolder="" count="0" unbalanced="0" hidden="1"/>
    <cacheHierarchy uniqueName="[LocalDateTable_8c167247-2007-40a2-8eb4-a67a7a0ffe69].[Quarter]" caption="Quarter" attribute="1" defaultMemberUniqueName="[LocalDateTable_8c167247-2007-40a2-8eb4-a67a7a0ffe69].[Quarter].[All]" allUniqueName="[LocalDateTable_8c167247-2007-40a2-8eb4-a67a7a0ffe69].[Quarter].[All]" dimensionUniqueName="[LocalDateTable_8c167247-2007-40a2-8eb4-a67a7a0ffe69]" displayFolder="" count="0" unbalanced="0" hidden="1"/>
    <cacheHierarchy uniqueName="[LocalDateTable_8c167247-2007-40a2-8eb4-a67a7a0ffe69].[QuarterNo]" caption="QuarterNo" attribute="1" defaultMemberUniqueName="[LocalDateTable_8c167247-2007-40a2-8eb4-a67a7a0ffe69].[QuarterNo].[All]" allUniqueName="[LocalDateTable_8c167247-2007-40a2-8eb4-a67a7a0ffe69].[QuarterNo].[All]" dimensionUniqueName="[LocalDateTable_8c167247-2007-40a2-8eb4-a67a7a0ffe69]" displayFolder="" count="0" unbalanced="0" hidden="1"/>
    <cacheHierarchy uniqueName="[LocalDateTable_8c167247-2007-40a2-8eb4-a67a7a0ffe69].[Year]" caption="Year" attribute="1" defaultMemberUniqueName="[LocalDateTable_8c167247-2007-40a2-8eb4-a67a7a0ffe69].[Year].[All]" allUniqueName="[LocalDateTable_8c167247-2007-40a2-8eb4-a67a7a0ffe69].[Year].[All]" dimensionUniqueName="[LocalDateTable_8c167247-2007-40a2-8eb4-a67a7a0ffe69]" displayFolder="" count="0" unbalanced="0" hidden="1"/>
    <cacheHierarchy uniqueName="[LocalDateTable_8cc8371a-f4aa-43ae-ad3c-80e424f8db7b].[Date]" caption="Date" attribute="1" defaultMemberUniqueName="[LocalDateTable_8cc8371a-f4aa-43ae-ad3c-80e424f8db7b].[Date].[All]" allUniqueName="[LocalDateTable_8cc8371a-f4aa-43ae-ad3c-80e424f8db7b].[Date].[All]" dimensionUniqueName="[LocalDateTable_8cc8371a-f4aa-43ae-ad3c-80e424f8db7b]" displayFolder="" count="0" unbalanced="0" hidden="1"/>
    <cacheHierarchy uniqueName="[LocalDateTable_8cc8371a-f4aa-43ae-ad3c-80e424f8db7b].[Date Hierarchy]" caption="Date Hierarchy" defaultMemberUniqueName="[LocalDateTable_8cc8371a-f4aa-43ae-ad3c-80e424f8db7b].[Date Hierarchy].[All]" allUniqueName="[LocalDateTable_8cc8371a-f4aa-43ae-ad3c-80e424f8db7b].[Date Hierarchy].[All]" dimensionUniqueName="[LocalDateTable_8cc8371a-f4aa-43ae-ad3c-80e424f8db7b]" displayFolder="" count="0" unbalanced="0" hidden="1"/>
    <cacheHierarchy uniqueName="[LocalDateTable_8cc8371a-f4aa-43ae-ad3c-80e424f8db7b].[Day]" caption="Day" attribute="1" defaultMemberUniqueName="[LocalDateTable_8cc8371a-f4aa-43ae-ad3c-80e424f8db7b].[Day].[All]" allUniqueName="[LocalDateTable_8cc8371a-f4aa-43ae-ad3c-80e424f8db7b].[Day].[All]" dimensionUniqueName="[LocalDateTable_8cc8371a-f4aa-43ae-ad3c-80e424f8db7b]" displayFolder="" count="0" unbalanced="0" hidden="1"/>
    <cacheHierarchy uniqueName="[LocalDateTable_8cc8371a-f4aa-43ae-ad3c-80e424f8db7b].[Month]" caption="Month" attribute="1" defaultMemberUniqueName="[LocalDateTable_8cc8371a-f4aa-43ae-ad3c-80e424f8db7b].[Month].[All]" allUniqueName="[LocalDateTable_8cc8371a-f4aa-43ae-ad3c-80e424f8db7b].[Month].[All]" dimensionUniqueName="[LocalDateTable_8cc8371a-f4aa-43ae-ad3c-80e424f8db7b]" displayFolder="" count="0" unbalanced="0" hidden="1"/>
    <cacheHierarchy uniqueName="[LocalDateTable_8cc8371a-f4aa-43ae-ad3c-80e424f8db7b].[MonthNo]" caption="MonthNo" attribute="1" defaultMemberUniqueName="[LocalDateTable_8cc8371a-f4aa-43ae-ad3c-80e424f8db7b].[MonthNo].[All]" allUniqueName="[LocalDateTable_8cc8371a-f4aa-43ae-ad3c-80e424f8db7b].[MonthNo].[All]" dimensionUniqueName="[LocalDateTable_8cc8371a-f4aa-43ae-ad3c-80e424f8db7b]" displayFolder="" count="0" unbalanced="0" hidden="1"/>
    <cacheHierarchy uniqueName="[LocalDateTable_8cc8371a-f4aa-43ae-ad3c-80e424f8db7b].[Quarter]" caption="Quarter" attribute="1" defaultMemberUniqueName="[LocalDateTable_8cc8371a-f4aa-43ae-ad3c-80e424f8db7b].[Quarter].[All]" allUniqueName="[LocalDateTable_8cc8371a-f4aa-43ae-ad3c-80e424f8db7b].[Quarter].[All]" dimensionUniqueName="[LocalDateTable_8cc8371a-f4aa-43ae-ad3c-80e424f8db7b]" displayFolder="" count="0" unbalanced="0" hidden="1"/>
    <cacheHierarchy uniqueName="[LocalDateTable_8cc8371a-f4aa-43ae-ad3c-80e424f8db7b].[QuarterNo]" caption="QuarterNo" attribute="1" defaultMemberUniqueName="[LocalDateTable_8cc8371a-f4aa-43ae-ad3c-80e424f8db7b].[QuarterNo].[All]" allUniqueName="[LocalDateTable_8cc8371a-f4aa-43ae-ad3c-80e424f8db7b].[QuarterNo].[All]" dimensionUniqueName="[LocalDateTable_8cc8371a-f4aa-43ae-ad3c-80e424f8db7b]" displayFolder="" count="0" unbalanced="0" hidden="1"/>
    <cacheHierarchy uniqueName="[LocalDateTable_8cc8371a-f4aa-43ae-ad3c-80e424f8db7b].[Year]" caption="Year" attribute="1" defaultMemberUniqueName="[LocalDateTable_8cc8371a-f4aa-43ae-ad3c-80e424f8db7b].[Year].[All]" allUniqueName="[LocalDateTable_8cc8371a-f4aa-43ae-ad3c-80e424f8db7b].[Year].[All]" dimensionUniqueName="[LocalDateTable_8cc8371a-f4aa-43ae-ad3c-80e424f8db7b]" displayFolder="" count="0" unbalanced="0" hidden="1"/>
    <cacheHierarchy uniqueName="[LocalDateTable_a7bb61e7-fb22-4577-85f7-8202724a0cab].[Date]" caption="Date" attribute="1" defaultMemberUniqueName="[LocalDateTable_a7bb61e7-fb22-4577-85f7-8202724a0cab].[Date].[All]" allUniqueName="[LocalDateTable_a7bb61e7-fb22-4577-85f7-8202724a0cab].[Date].[All]" dimensionUniqueName="[LocalDateTable_a7bb61e7-fb22-4577-85f7-8202724a0cab]" displayFolder="" count="0" unbalanced="0" hidden="1"/>
    <cacheHierarchy uniqueName="[LocalDateTable_a7bb61e7-fb22-4577-85f7-8202724a0cab].[Date Hierarchy]" caption="Date Hierarchy" defaultMemberUniqueName="[LocalDateTable_a7bb61e7-fb22-4577-85f7-8202724a0cab].[Date Hierarchy].[All]" allUniqueName="[LocalDateTable_a7bb61e7-fb22-4577-85f7-8202724a0cab].[Date Hierarchy].[All]" dimensionUniqueName="[LocalDateTable_a7bb61e7-fb22-4577-85f7-8202724a0cab]" displayFolder="" count="0" unbalanced="0" hidden="1"/>
    <cacheHierarchy uniqueName="[LocalDateTable_a7bb61e7-fb22-4577-85f7-8202724a0cab].[Day]" caption="Day" attribute="1" defaultMemberUniqueName="[LocalDateTable_a7bb61e7-fb22-4577-85f7-8202724a0cab].[Day].[All]" allUniqueName="[LocalDateTable_a7bb61e7-fb22-4577-85f7-8202724a0cab].[Day].[All]" dimensionUniqueName="[LocalDateTable_a7bb61e7-fb22-4577-85f7-8202724a0cab]" displayFolder="" count="0" unbalanced="0" hidden="1"/>
    <cacheHierarchy uniqueName="[LocalDateTable_a7bb61e7-fb22-4577-85f7-8202724a0cab].[Month]" caption="Month" attribute="1" defaultMemberUniqueName="[LocalDateTable_a7bb61e7-fb22-4577-85f7-8202724a0cab].[Month].[All]" allUniqueName="[LocalDateTable_a7bb61e7-fb22-4577-85f7-8202724a0cab].[Month].[All]" dimensionUniqueName="[LocalDateTable_a7bb61e7-fb22-4577-85f7-8202724a0cab]" displayFolder="" count="0" unbalanced="0" hidden="1"/>
    <cacheHierarchy uniqueName="[LocalDateTable_a7bb61e7-fb22-4577-85f7-8202724a0cab].[MonthNo]" caption="MonthNo" attribute="1" defaultMemberUniqueName="[LocalDateTable_a7bb61e7-fb22-4577-85f7-8202724a0cab].[MonthNo].[All]" allUniqueName="[LocalDateTable_a7bb61e7-fb22-4577-85f7-8202724a0cab].[MonthNo].[All]" dimensionUniqueName="[LocalDateTable_a7bb61e7-fb22-4577-85f7-8202724a0cab]" displayFolder="" count="0" unbalanced="0" hidden="1"/>
    <cacheHierarchy uniqueName="[LocalDateTable_a7bb61e7-fb22-4577-85f7-8202724a0cab].[Quarter]" caption="Quarter" attribute="1" defaultMemberUniqueName="[LocalDateTable_a7bb61e7-fb22-4577-85f7-8202724a0cab].[Quarter].[All]" allUniqueName="[LocalDateTable_a7bb61e7-fb22-4577-85f7-8202724a0cab].[Quarter].[All]" dimensionUniqueName="[LocalDateTable_a7bb61e7-fb22-4577-85f7-8202724a0cab]" displayFolder="" count="0" unbalanced="0" hidden="1"/>
    <cacheHierarchy uniqueName="[LocalDateTable_a7bb61e7-fb22-4577-85f7-8202724a0cab].[QuarterNo]" caption="QuarterNo" attribute="1" defaultMemberUniqueName="[LocalDateTable_a7bb61e7-fb22-4577-85f7-8202724a0cab].[QuarterNo].[All]" allUniqueName="[LocalDateTable_a7bb61e7-fb22-4577-85f7-8202724a0cab].[QuarterNo].[All]" dimensionUniqueName="[LocalDateTable_a7bb61e7-fb22-4577-85f7-8202724a0cab]" displayFolder="" count="0" unbalanced="0" hidden="1"/>
    <cacheHierarchy uniqueName="[LocalDateTable_a7bb61e7-fb22-4577-85f7-8202724a0cab].[Year]" caption="Year" attribute="1" defaultMemberUniqueName="[LocalDateTable_a7bb61e7-fb22-4577-85f7-8202724a0cab].[Year].[All]" allUniqueName="[LocalDateTable_a7bb61e7-fb22-4577-85f7-8202724a0cab].[Year].[All]" dimensionUniqueName="[LocalDateTable_a7bb61e7-fb22-4577-85f7-8202724a0cab]" displayFolder="" count="0" unbalanced="0" hidden="1"/>
    <cacheHierarchy uniqueName="[LocalDateTable_ac50e709-a83e-40da-92b7-c09d4749ca90].[Date]" caption="Date" attribute="1" defaultMemberUniqueName="[LocalDateTable_ac50e709-a83e-40da-92b7-c09d4749ca90].[Date].[All]" allUniqueName="[LocalDateTable_ac50e709-a83e-40da-92b7-c09d4749ca90].[Date].[All]" dimensionUniqueName="[LocalDateTable_ac50e709-a83e-40da-92b7-c09d4749ca90]" displayFolder="" count="0" unbalanced="0" hidden="1"/>
    <cacheHierarchy uniqueName="[LocalDateTable_ac50e709-a83e-40da-92b7-c09d4749ca90].[Date Hierarchy]" caption="Date Hierarchy" defaultMemberUniqueName="[LocalDateTable_ac50e709-a83e-40da-92b7-c09d4749ca90].[Date Hierarchy].[All]" allUniqueName="[LocalDateTable_ac50e709-a83e-40da-92b7-c09d4749ca90].[Date Hierarchy].[All]" dimensionUniqueName="[LocalDateTable_ac50e709-a83e-40da-92b7-c09d4749ca90]" displayFolder="" count="0" unbalanced="0" hidden="1"/>
    <cacheHierarchy uniqueName="[LocalDateTable_ac50e709-a83e-40da-92b7-c09d4749ca90].[Day]" caption="Day" attribute="1" defaultMemberUniqueName="[LocalDateTable_ac50e709-a83e-40da-92b7-c09d4749ca90].[Day].[All]" allUniqueName="[LocalDateTable_ac50e709-a83e-40da-92b7-c09d4749ca90].[Day].[All]" dimensionUniqueName="[LocalDateTable_ac50e709-a83e-40da-92b7-c09d4749ca90]" displayFolder="" count="0" unbalanced="0" hidden="1"/>
    <cacheHierarchy uniqueName="[LocalDateTable_ac50e709-a83e-40da-92b7-c09d4749ca90].[Month]" caption="Month" attribute="1" defaultMemberUniqueName="[LocalDateTable_ac50e709-a83e-40da-92b7-c09d4749ca90].[Month].[All]" allUniqueName="[LocalDateTable_ac50e709-a83e-40da-92b7-c09d4749ca90].[Month].[All]" dimensionUniqueName="[LocalDateTable_ac50e709-a83e-40da-92b7-c09d4749ca90]" displayFolder="" count="0" unbalanced="0" hidden="1"/>
    <cacheHierarchy uniqueName="[LocalDateTable_ac50e709-a83e-40da-92b7-c09d4749ca90].[MonthNo]" caption="MonthNo" attribute="1" defaultMemberUniqueName="[LocalDateTable_ac50e709-a83e-40da-92b7-c09d4749ca90].[MonthNo].[All]" allUniqueName="[LocalDateTable_ac50e709-a83e-40da-92b7-c09d4749ca90].[MonthNo].[All]" dimensionUniqueName="[LocalDateTable_ac50e709-a83e-40da-92b7-c09d4749ca90]" displayFolder="" count="0" unbalanced="0" hidden="1"/>
    <cacheHierarchy uniqueName="[LocalDateTable_ac50e709-a83e-40da-92b7-c09d4749ca90].[Quarter]" caption="Quarter" attribute="1" defaultMemberUniqueName="[LocalDateTable_ac50e709-a83e-40da-92b7-c09d4749ca90].[Quarter].[All]" allUniqueName="[LocalDateTable_ac50e709-a83e-40da-92b7-c09d4749ca90].[Quarter].[All]" dimensionUniqueName="[LocalDateTable_ac50e709-a83e-40da-92b7-c09d4749ca90]" displayFolder="" count="0" unbalanced="0" hidden="1"/>
    <cacheHierarchy uniqueName="[LocalDateTable_ac50e709-a83e-40da-92b7-c09d4749ca90].[QuarterNo]" caption="QuarterNo" attribute="1" defaultMemberUniqueName="[LocalDateTable_ac50e709-a83e-40da-92b7-c09d4749ca90].[QuarterNo].[All]" allUniqueName="[LocalDateTable_ac50e709-a83e-40da-92b7-c09d4749ca90].[QuarterNo].[All]" dimensionUniqueName="[LocalDateTable_ac50e709-a83e-40da-92b7-c09d4749ca90]" displayFolder="" count="0" unbalanced="0" hidden="1"/>
    <cacheHierarchy uniqueName="[LocalDateTable_ac50e709-a83e-40da-92b7-c09d4749ca90].[Year]" caption="Year" attribute="1" defaultMemberUniqueName="[LocalDateTable_ac50e709-a83e-40da-92b7-c09d4749ca90].[Year].[All]" allUniqueName="[LocalDateTable_ac50e709-a83e-40da-92b7-c09d4749ca90].[Year].[All]" dimensionUniqueName="[LocalDateTable_ac50e709-a83e-40da-92b7-c09d4749ca90]" displayFolder="" count="0" unbalanced="0" hidden="1"/>
    <cacheHierarchy uniqueName="[LocalDateTable_b9674d41-7d4a-4bcc-9fba-60f51abd930f].[Date]" caption="Date" attribute="1" defaultMemberUniqueName="[LocalDateTable_b9674d41-7d4a-4bcc-9fba-60f51abd930f].[Date].[All]" allUniqueName="[LocalDateTable_b9674d41-7d4a-4bcc-9fba-60f51abd930f].[Date].[All]" dimensionUniqueName="[LocalDateTable_b9674d41-7d4a-4bcc-9fba-60f51abd930f]" displayFolder="" count="0" unbalanced="0" hidden="1"/>
    <cacheHierarchy uniqueName="[LocalDateTable_b9674d41-7d4a-4bcc-9fba-60f51abd930f].[Date Hierarchy]" caption="Date Hierarchy" defaultMemberUniqueName="[LocalDateTable_b9674d41-7d4a-4bcc-9fba-60f51abd930f].[Date Hierarchy].[All]" allUniqueName="[LocalDateTable_b9674d41-7d4a-4bcc-9fba-60f51abd930f].[Date Hierarchy].[All]" dimensionUniqueName="[LocalDateTable_b9674d41-7d4a-4bcc-9fba-60f51abd930f]" displayFolder="" count="0" unbalanced="0" hidden="1"/>
    <cacheHierarchy uniqueName="[LocalDateTable_b9674d41-7d4a-4bcc-9fba-60f51abd930f].[Day]" caption="Day" attribute="1" defaultMemberUniqueName="[LocalDateTable_b9674d41-7d4a-4bcc-9fba-60f51abd930f].[Day].[All]" allUniqueName="[LocalDateTable_b9674d41-7d4a-4bcc-9fba-60f51abd930f].[Day].[All]" dimensionUniqueName="[LocalDateTable_b9674d41-7d4a-4bcc-9fba-60f51abd930f]" displayFolder="" count="0" unbalanced="0" hidden="1"/>
    <cacheHierarchy uniqueName="[LocalDateTable_b9674d41-7d4a-4bcc-9fba-60f51abd930f].[Month]" caption="Month" attribute="1" defaultMemberUniqueName="[LocalDateTable_b9674d41-7d4a-4bcc-9fba-60f51abd930f].[Month].[All]" allUniqueName="[LocalDateTable_b9674d41-7d4a-4bcc-9fba-60f51abd930f].[Month].[All]" dimensionUniqueName="[LocalDateTable_b9674d41-7d4a-4bcc-9fba-60f51abd930f]" displayFolder="" count="0" unbalanced="0" hidden="1"/>
    <cacheHierarchy uniqueName="[LocalDateTable_b9674d41-7d4a-4bcc-9fba-60f51abd930f].[MonthNo]" caption="MonthNo" attribute="1" defaultMemberUniqueName="[LocalDateTable_b9674d41-7d4a-4bcc-9fba-60f51abd930f].[MonthNo].[All]" allUniqueName="[LocalDateTable_b9674d41-7d4a-4bcc-9fba-60f51abd930f].[MonthNo].[All]" dimensionUniqueName="[LocalDateTable_b9674d41-7d4a-4bcc-9fba-60f51abd930f]" displayFolder="" count="0" unbalanced="0" hidden="1"/>
    <cacheHierarchy uniqueName="[LocalDateTable_b9674d41-7d4a-4bcc-9fba-60f51abd930f].[Quarter]" caption="Quarter" attribute="1" defaultMemberUniqueName="[LocalDateTable_b9674d41-7d4a-4bcc-9fba-60f51abd930f].[Quarter].[All]" allUniqueName="[LocalDateTable_b9674d41-7d4a-4bcc-9fba-60f51abd930f].[Quarter].[All]" dimensionUniqueName="[LocalDateTable_b9674d41-7d4a-4bcc-9fba-60f51abd930f]" displayFolder="" count="0" unbalanced="0" hidden="1"/>
    <cacheHierarchy uniqueName="[LocalDateTable_b9674d41-7d4a-4bcc-9fba-60f51abd930f].[QuarterNo]" caption="QuarterNo" attribute="1" defaultMemberUniqueName="[LocalDateTable_b9674d41-7d4a-4bcc-9fba-60f51abd930f].[QuarterNo].[All]" allUniqueName="[LocalDateTable_b9674d41-7d4a-4bcc-9fba-60f51abd930f].[QuarterNo].[All]" dimensionUniqueName="[LocalDateTable_b9674d41-7d4a-4bcc-9fba-60f51abd930f]" displayFolder="" count="0" unbalanced="0" hidden="1"/>
    <cacheHierarchy uniqueName="[LocalDateTable_b9674d41-7d4a-4bcc-9fba-60f51abd930f].[Year]" caption="Year" attribute="1" defaultMemberUniqueName="[LocalDateTable_b9674d41-7d4a-4bcc-9fba-60f51abd930f].[Year].[All]" allUniqueName="[LocalDateTable_b9674d41-7d4a-4bcc-9fba-60f51abd930f].[Year].[All]" dimensionUniqueName="[LocalDateTable_b9674d41-7d4a-4bcc-9fba-60f51abd930f]" displayFolder="" count="0" unbalanced="0" hidden="1"/>
    <cacheHierarchy uniqueName="[LocalDateTable_c51bdc8f-f532-4538-8d59-a1f847d37fc7].[Date]" caption="Date" attribute="1" defaultMemberUniqueName="[LocalDateTable_c51bdc8f-f532-4538-8d59-a1f847d37fc7].[Date].[All]" allUniqueName="[LocalDateTable_c51bdc8f-f532-4538-8d59-a1f847d37fc7].[Date].[All]" dimensionUniqueName="[LocalDateTable_c51bdc8f-f532-4538-8d59-a1f847d37fc7]" displayFolder="" count="0" unbalanced="0" hidden="1"/>
    <cacheHierarchy uniqueName="[LocalDateTable_c51bdc8f-f532-4538-8d59-a1f847d37fc7].[Date Hierarchy]" caption="Date Hierarchy" defaultMemberUniqueName="[LocalDateTable_c51bdc8f-f532-4538-8d59-a1f847d37fc7].[Date Hierarchy].[All]" allUniqueName="[LocalDateTable_c51bdc8f-f532-4538-8d59-a1f847d37fc7].[Date Hierarchy].[All]" dimensionUniqueName="[LocalDateTable_c51bdc8f-f532-4538-8d59-a1f847d37fc7]" displayFolder="" count="0" unbalanced="0" hidden="1"/>
    <cacheHierarchy uniqueName="[LocalDateTable_c51bdc8f-f532-4538-8d59-a1f847d37fc7].[Day]" caption="Day" attribute="1" defaultMemberUniqueName="[LocalDateTable_c51bdc8f-f532-4538-8d59-a1f847d37fc7].[Day].[All]" allUniqueName="[LocalDateTable_c51bdc8f-f532-4538-8d59-a1f847d37fc7].[Day].[All]" dimensionUniqueName="[LocalDateTable_c51bdc8f-f532-4538-8d59-a1f847d37fc7]" displayFolder="" count="0" unbalanced="0" hidden="1"/>
    <cacheHierarchy uniqueName="[LocalDateTable_c51bdc8f-f532-4538-8d59-a1f847d37fc7].[Month]" caption="Month" attribute="1" defaultMemberUniqueName="[LocalDateTable_c51bdc8f-f532-4538-8d59-a1f847d37fc7].[Month].[All]" allUniqueName="[LocalDateTable_c51bdc8f-f532-4538-8d59-a1f847d37fc7].[Month].[All]" dimensionUniqueName="[LocalDateTable_c51bdc8f-f532-4538-8d59-a1f847d37fc7]" displayFolder="" count="0" unbalanced="0" hidden="1"/>
    <cacheHierarchy uniqueName="[LocalDateTable_c51bdc8f-f532-4538-8d59-a1f847d37fc7].[MonthNo]" caption="MonthNo" attribute="1" defaultMemberUniqueName="[LocalDateTable_c51bdc8f-f532-4538-8d59-a1f847d37fc7].[MonthNo].[All]" allUniqueName="[LocalDateTable_c51bdc8f-f532-4538-8d59-a1f847d37fc7].[MonthNo].[All]" dimensionUniqueName="[LocalDateTable_c51bdc8f-f532-4538-8d59-a1f847d37fc7]" displayFolder="" count="0" unbalanced="0" hidden="1"/>
    <cacheHierarchy uniqueName="[LocalDateTable_c51bdc8f-f532-4538-8d59-a1f847d37fc7].[Quarter]" caption="Quarter" attribute="1" defaultMemberUniqueName="[LocalDateTable_c51bdc8f-f532-4538-8d59-a1f847d37fc7].[Quarter].[All]" allUniqueName="[LocalDateTable_c51bdc8f-f532-4538-8d59-a1f847d37fc7].[Quarter].[All]" dimensionUniqueName="[LocalDateTable_c51bdc8f-f532-4538-8d59-a1f847d37fc7]" displayFolder="" count="0" unbalanced="0" hidden="1"/>
    <cacheHierarchy uniqueName="[LocalDateTable_c51bdc8f-f532-4538-8d59-a1f847d37fc7].[QuarterNo]" caption="QuarterNo" attribute="1" defaultMemberUniqueName="[LocalDateTable_c51bdc8f-f532-4538-8d59-a1f847d37fc7].[QuarterNo].[All]" allUniqueName="[LocalDateTable_c51bdc8f-f532-4538-8d59-a1f847d37fc7].[QuarterNo].[All]" dimensionUniqueName="[LocalDateTable_c51bdc8f-f532-4538-8d59-a1f847d37fc7]" displayFolder="" count="0" unbalanced="0" hidden="1"/>
    <cacheHierarchy uniqueName="[LocalDateTable_c51bdc8f-f532-4538-8d59-a1f847d37fc7].[Year]" caption="Year" attribute="1" defaultMemberUniqueName="[LocalDateTable_c51bdc8f-f532-4538-8d59-a1f847d37fc7].[Year].[All]" allUniqueName="[LocalDateTable_c51bdc8f-f532-4538-8d59-a1f847d37fc7].[Year].[All]" dimensionUniqueName="[LocalDateTable_c51bdc8f-f532-4538-8d59-a1f847d37fc7]" displayFolder="" count="0" unbalanced="0" hidden="1"/>
    <cacheHierarchy uniqueName="[LocalDateTable_cff06c49-b10f-4186-b8ce-801667abc242].[Date]" caption="Date" attribute="1" defaultMemberUniqueName="[LocalDateTable_cff06c49-b10f-4186-b8ce-801667abc242].[Date].[All]" allUniqueName="[LocalDateTable_cff06c49-b10f-4186-b8ce-801667abc242].[Date].[All]" dimensionUniqueName="[LocalDateTable_cff06c49-b10f-4186-b8ce-801667abc242]" displayFolder="" count="0" unbalanced="0" hidden="1"/>
    <cacheHierarchy uniqueName="[LocalDateTable_cff06c49-b10f-4186-b8ce-801667abc242].[Date Hierarchy]" caption="Date Hierarchy" defaultMemberUniqueName="[LocalDateTable_cff06c49-b10f-4186-b8ce-801667abc242].[Date Hierarchy].[All]" allUniqueName="[LocalDateTable_cff06c49-b10f-4186-b8ce-801667abc242].[Date Hierarchy].[All]" dimensionUniqueName="[LocalDateTable_cff06c49-b10f-4186-b8ce-801667abc242]" displayFolder="" count="0" unbalanced="0" hidden="1"/>
    <cacheHierarchy uniqueName="[LocalDateTable_cff06c49-b10f-4186-b8ce-801667abc242].[Day]" caption="Day" attribute="1" defaultMemberUniqueName="[LocalDateTable_cff06c49-b10f-4186-b8ce-801667abc242].[Day].[All]" allUniqueName="[LocalDateTable_cff06c49-b10f-4186-b8ce-801667abc242].[Day].[All]" dimensionUniqueName="[LocalDateTable_cff06c49-b10f-4186-b8ce-801667abc242]" displayFolder="" count="0" unbalanced="0" hidden="1"/>
    <cacheHierarchy uniqueName="[LocalDateTable_cff06c49-b10f-4186-b8ce-801667abc242].[Month]" caption="Month" attribute="1" defaultMemberUniqueName="[LocalDateTable_cff06c49-b10f-4186-b8ce-801667abc242].[Month].[All]" allUniqueName="[LocalDateTable_cff06c49-b10f-4186-b8ce-801667abc242].[Month].[All]" dimensionUniqueName="[LocalDateTable_cff06c49-b10f-4186-b8ce-801667abc242]" displayFolder="" count="0" unbalanced="0" hidden="1"/>
    <cacheHierarchy uniqueName="[LocalDateTable_cff06c49-b10f-4186-b8ce-801667abc242].[MonthNo]" caption="MonthNo" attribute="1" defaultMemberUniqueName="[LocalDateTable_cff06c49-b10f-4186-b8ce-801667abc242].[MonthNo].[All]" allUniqueName="[LocalDateTable_cff06c49-b10f-4186-b8ce-801667abc242].[MonthNo].[All]" dimensionUniqueName="[LocalDateTable_cff06c49-b10f-4186-b8ce-801667abc242]" displayFolder="" count="0" unbalanced="0" hidden="1"/>
    <cacheHierarchy uniqueName="[LocalDateTable_cff06c49-b10f-4186-b8ce-801667abc242].[Quarter]" caption="Quarter" attribute="1" defaultMemberUniqueName="[LocalDateTable_cff06c49-b10f-4186-b8ce-801667abc242].[Quarter].[All]" allUniqueName="[LocalDateTable_cff06c49-b10f-4186-b8ce-801667abc242].[Quarter].[All]" dimensionUniqueName="[LocalDateTable_cff06c49-b10f-4186-b8ce-801667abc242]" displayFolder="" count="0" unbalanced="0" hidden="1"/>
    <cacheHierarchy uniqueName="[LocalDateTable_cff06c49-b10f-4186-b8ce-801667abc242].[QuarterNo]" caption="QuarterNo" attribute="1" defaultMemberUniqueName="[LocalDateTable_cff06c49-b10f-4186-b8ce-801667abc242].[QuarterNo].[All]" allUniqueName="[LocalDateTable_cff06c49-b10f-4186-b8ce-801667abc242].[QuarterNo].[All]" dimensionUniqueName="[LocalDateTable_cff06c49-b10f-4186-b8ce-801667abc242]" displayFolder="" count="0" unbalanced="0" hidden="1"/>
    <cacheHierarchy uniqueName="[LocalDateTable_cff06c49-b10f-4186-b8ce-801667abc242].[Year]" caption="Year" attribute="1" defaultMemberUniqueName="[LocalDateTable_cff06c49-b10f-4186-b8ce-801667abc242].[Year].[All]" allUniqueName="[LocalDateTable_cff06c49-b10f-4186-b8ce-801667abc242].[Year].[All]" dimensionUniqueName="[LocalDateTable_cff06c49-b10f-4186-b8ce-801667abc242]" displayFolder="" count="0" unbalanced="0" hidden="1"/>
    <cacheHierarchy uniqueName="[LocalDateTable_d556de67-934a-4e60-b501-c142594d01f3].[Date]" caption="Date" attribute="1" defaultMemberUniqueName="[LocalDateTable_d556de67-934a-4e60-b501-c142594d01f3].[Date].[All]" allUniqueName="[LocalDateTable_d556de67-934a-4e60-b501-c142594d01f3].[Date].[All]" dimensionUniqueName="[LocalDateTable_d556de67-934a-4e60-b501-c142594d01f3]" displayFolder="" count="0" unbalanced="0" hidden="1"/>
    <cacheHierarchy uniqueName="[LocalDateTable_d556de67-934a-4e60-b501-c142594d01f3].[Date Hierarchy]" caption="Date Hierarchy" defaultMemberUniqueName="[LocalDateTable_d556de67-934a-4e60-b501-c142594d01f3].[Date Hierarchy].[All]" allUniqueName="[LocalDateTable_d556de67-934a-4e60-b501-c142594d01f3].[Date Hierarchy].[All]" dimensionUniqueName="[LocalDateTable_d556de67-934a-4e60-b501-c142594d01f3]" displayFolder="" count="0" unbalanced="0" hidden="1"/>
    <cacheHierarchy uniqueName="[LocalDateTable_d556de67-934a-4e60-b501-c142594d01f3].[Day]" caption="Day" attribute="1" defaultMemberUniqueName="[LocalDateTable_d556de67-934a-4e60-b501-c142594d01f3].[Day].[All]" allUniqueName="[LocalDateTable_d556de67-934a-4e60-b501-c142594d01f3].[Day].[All]" dimensionUniqueName="[LocalDateTable_d556de67-934a-4e60-b501-c142594d01f3]" displayFolder="" count="0" unbalanced="0" hidden="1"/>
    <cacheHierarchy uniqueName="[LocalDateTable_d556de67-934a-4e60-b501-c142594d01f3].[Month]" caption="Month" attribute="1" defaultMemberUniqueName="[LocalDateTable_d556de67-934a-4e60-b501-c142594d01f3].[Month].[All]" allUniqueName="[LocalDateTable_d556de67-934a-4e60-b501-c142594d01f3].[Month].[All]" dimensionUniqueName="[LocalDateTable_d556de67-934a-4e60-b501-c142594d01f3]" displayFolder="" count="0" unbalanced="0" hidden="1"/>
    <cacheHierarchy uniqueName="[LocalDateTable_d556de67-934a-4e60-b501-c142594d01f3].[MonthNo]" caption="MonthNo" attribute="1" defaultMemberUniqueName="[LocalDateTable_d556de67-934a-4e60-b501-c142594d01f3].[MonthNo].[All]" allUniqueName="[LocalDateTable_d556de67-934a-4e60-b501-c142594d01f3].[MonthNo].[All]" dimensionUniqueName="[LocalDateTable_d556de67-934a-4e60-b501-c142594d01f3]" displayFolder="" count="0" unbalanced="0" hidden="1"/>
    <cacheHierarchy uniqueName="[LocalDateTable_d556de67-934a-4e60-b501-c142594d01f3].[Quarter]" caption="Quarter" attribute="1" defaultMemberUniqueName="[LocalDateTable_d556de67-934a-4e60-b501-c142594d01f3].[Quarter].[All]" allUniqueName="[LocalDateTable_d556de67-934a-4e60-b501-c142594d01f3].[Quarter].[All]" dimensionUniqueName="[LocalDateTable_d556de67-934a-4e60-b501-c142594d01f3]" displayFolder="" count="0" unbalanced="0" hidden="1"/>
    <cacheHierarchy uniqueName="[LocalDateTable_d556de67-934a-4e60-b501-c142594d01f3].[QuarterNo]" caption="QuarterNo" attribute="1" defaultMemberUniqueName="[LocalDateTable_d556de67-934a-4e60-b501-c142594d01f3].[QuarterNo].[All]" allUniqueName="[LocalDateTable_d556de67-934a-4e60-b501-c142594d01f3].[QuarterNo].[All]" dimensionUniqueName="[LocalDateTable_d556de67-934a-4e60-b501-c142594d01f3]" displayFolder="" count="0" unbalanced="0" hidden="1"/>
    <cacheHierarchy uniqueName="[LocalDateTable_d556de67-934a-4e60-b501-c142594d01f3].[Year]" caption="Year" attribute="1" defaultMemberUniqueName="[LocalDateTable_d556de67-934a-4e60-b501-c142594d01f3].[Year].[All]" allUniqueName="[LocalDateTable_d556de67-934a-4e60-b501-c142594d01f3].[Year].[All]" dimensionUniqueName="[LocalDateTable_d556de67-934a-4e60-b501-c142594d01f3]" displayFolder="" count="0" unbalanced="0" hidden="1"/>
    <cacheHierarchy uniqueName="[LocalDateTable_db52efe7-f8a9-46be-907f-5a39fe4d61de].[Date]" caption="Date" attribute="1" defaultMemberUniqueName="[LocalDateTable_db52efe7-f8a9-46be-907f-5a39fe4d61de].[Date].[All]" allUniqueName="[LocalDateTable_db52efe7-f8a9-46be-907f-5a39fe4d61de].[Date].[All]" dimensionUniqueName="[LocalDateTable_db52efe7-f8a9-46be-907f-5a39fe4d61de]" displayFolder="" count="0" unbalanced="0" hidden="1"/>
    <cacheHierarchy uniqueName="[LocalDateTable_db52efe7-f8a9-46be-907f-5a39fe4d61de].[Date Hierarchy]" caption="Date Hierarchy" defaultMemberUniqueName="[LocalDateTable_db52efe7-f8a9-46be-907f-5a39fe4d61de].[Date Hierarchy].[All]" allUniqueName="[LocalDateTable_db52efe7-f8a9-46be-907f-5a39fe4d61de].[Date Hierarchy].[All]" dimensionUniqueName="[LocalDateTable_db52efe7-f8a9-46be-907f-5a39fe4d61de]" displayFolder="" count="0" unbalanced="0" hidden="1"/>
    <cacheHierarchy uniqueName="[LocalDateTable_db52efe7-f8a9-46be-907f-5a39fe4d61de].[Day]" caption="Day" attribute="1" defaultMemberUniqueName="[LocalDateTable_db52efe7-f8a9-46be-907f-5a39fe4d61de].[Day].[All]" allUniqueName="[LocalDateTable_db52efe7-f8a9-46be-907f-5a39fe4d61de].[Day].[All]" dimensionUniqueName="[LocalDateTable_db52efe7-f8a9-46be-907f-5a39fe4d61de]" displayFolder="" count="0" unbalanced="0" hidden="1"/>
    <cacheHierarchy uniqueName="[LocalDateTable_db52efe7-f8a9-46be-907f-5a39fe4d61de].[Month]" caption="Month" attribute="1" defaultMemberUniqueName="[LocalDateTable_db52efe7-f8a9-46be-907f-5a39fe4d61de].[Month].[All]" allUniqueName="[LocalDateTable_db52efe7-f8a9-46be-907f-5a39fe4d61de].[Month].[All]" dimensionUniqueName="[LocalDateTable_db52efe7-f8a9-46be-907f-5a39fe4d61de]" displayFolder="" count="0" unbalanced="0" hidden="1"/>
    <cacheHierarchy uniqueName="[LocalDateTable_db52efe7-f8a9-46be-907f-5a39fe4d61de].[MonthNo]" caption="MonthNo" attribute="1" defaultMemberUniqueName="[LocalDateTable_db52efe7-f8a9-46be-907f-5a39fe4d61de].[MonthNo].[All]" allUniqueName="[LocalDateTable_db52efe7-f8a9-46be-907f-5a39fe4d61de].[MonthNo].[All]" dimensionUniqueName="[LocalDateTable_db52efe7-f8a9-46be-907f-5a39fe4d61de]" displayFolder="" count="0" unbalanced="0" hidden="1"/>
    <cacheHierarchy uniqueName="[LocalDateTable_db52efe7-f8a9-46be-907f-5a39fe4d61de].[Quarter]" caption="Quarter" attribute="1" defaultMemberUniqueName="[LocalDateTable_db52efe7-f8a9-46be-907f-5a39fe4d61de].[Quarter].[All]" allUniqueName="[LocalDateTable_db52efe7-f8a9-46be-907f-5a39fe4d61de].[Quarter].[All]" dimensionUniqueName="[LocalDateTable_db52efe7-f8a9-46be-907f-5a39fe4d61de]" displayFolder="" count="0" unbalanced="0" hidden="1"/>
    <cacheHierarchy uniqueName="[LocalDateTable_db52efe7-f8a9-46be-907f-5a39fe4d61de].[QuarterNo]" caption="QuarterNo" attribute="1" defaultMemberUniqueName="[LocalDateTable_db52efe7-f8a9-46be-907f-5a39fe4d61de].[QuarterNo].[All]" allUniqueName="[LocalDateTable_db52efe7-f8a9-46be-907f-5a39fe4d61de].[QuarterNo].[All]" dimensionUniqueName="[LocalDateTable_db52efe7-f8a9-46be-907f-5a39fe4d61de]" displayFolder="" count="0" unbalanced="0" hidden="1"/>
    <cacheHierarchy uniqueName="[LocalDateTable_db52efe7-f8a9-46be-907f-5a39fe4d61de].[Year]" caption="Year" attribute="1" defaultMemberUniqueName="[LocalDateTable_db52efe7-f8a9-46be-907f-5a39fe4d61de].[Year].[All]" allUniqueName="[LocalDateTable_db52efe7-f8a9-46be-907f-5a39fe4d61de].[Year].[All]" dimensionUniqueName="[LocalDateTable_db52efe7-f8a9-46be-907f-5a39fe4d61de]" displayFolder="" count="0" unbalanced="0" hidden="1"/>
    <cacheHierarchy uniqueName="[LocalDateTable_df4bea45-32ed-442a-9234-aaca0cd7dbed].[Date]" caption="Date" attribute="1" defaultMemberUniqueName="[LocalDateTable_df4bea45-32ed-442a-9234-aaca0cd7dbed].[Date].[All]" allUniqueName="[LocalDateTable_df4bea45-32ed-442a-9234-aaca0cd7dbed].[Date].[All]" dimensionUniqueName="[LocalDateTable_df4bea45-32ed-442a-9234-aaca0cd7dbed]" displayFolder="" count="0" unbalanced="0" hidden="1"/>
    <cacheHierarchy uniqueName="[LocalDateTable_df4bea45-32ed-442a-9234-aaca0cd7dbed].[Date Hierarchy]" caption="Date Hierarchy" defaultMemberUniqueName="[LocalDateTable_df4bea45-32ed-442a-9234-aaca0cd7dbed].[Date Hierarchy].[All]" allUniqueName="[LocalDateTable_df4bea45-32ed-442a-9234-aaca0cd7dbed].[Date Hierarchy].[All]" dimensionUniqueName="[LocalDateTable_df4bea45-32ed-442a-9234-aaca0cd7dbed]" displayFolder="" count="0" unbalanced="0" hidden="1"/>
    <cacheHierarchy uniqueName="[LocalDateTable_df4bea45-32ed-442a-9234-aaca0cd7dbed].[Day]" caption="Day" attribute="1" defaultMemberUniqueName="[LocalDateTable_df4bea45-32ed-442a-9234-aaca0cd7dbed].[Day].[All]" allUniqueName="[LocalDateTable_df4bea45-32ed-442a-9234-aaca0cd7dbed].[Day].[All]" dimensionUniqueName="[LocalDateTable_df4bea45-32ed-442a-9234-aaca0cd7dbed]" displayFolder="" count="0" unbalanced="0" hidden="1"/>
    <cacheHierarchy uniqueName="[LocalDateTable_df4bea45-32ed-442a-9234-aaca0cd7dbed].[Month]" caption="Month" attribute="1" defaultMemberUniqueName="[LocalDateTable_df4bea45-32ed-442a-9234-aaca0cd7dbed].[Month].[All]" allUniqueName="[LocalDateTable_df4bea45-32ed-442a-9234-aaca0cd7dbed].[Month].[All]" dimensionUniqueName="[LocalDateTable_df4bea45-32ed-442a-9234-aaca0cd7dbed]" displayFolder="" count="0" unbalanced="0" hidden="1"/>
    <cacheHierarchy uniqueName="[LocalDateTable_df4bea45-32ed-442a-9234-aaca0cd7dbed].[MonthNo]" caption="MonthNo" attribute="1" defaultMemberUniqueName="[LocalDateTable_df4bea45-32ed-442a-9234-aaca0cd7dbed].[MonthNo].[All]" allUniqueName="[LocalDateTable_df4bea45-32ed-442a-9234-aaca0cd7dbed].[MonthNo].[All]" dimensionUniqueName="[LocalDateTable_df4bea45-32ed-442a-9234-aaca0cd7dbed]" displayFolder="" count="0" unbalanced="0" hidden="1"/>
    <cacheHierarchy uniqueName="[LocalDateTable_df4bea45-32ed-442a-9234-aaca0cd7dbed].[Quarter]" caption="Quarter" attribute="1" defaultMemberUniqueName="[LocalDateTable_df4bea45-32ed-442a-9234-aaca0cd7dbed].[Quarter].[All]" allUniqueName="[LocalDateTable_df4bea45-32ed-442a-9234-aaca0cd7dbed].[Quarter].[All]" dimensionUniqueName="[LocalDateTable_df4bea45-32ed-442a-9234-aaca0cd7dbed]" displayFolder="" count="0" unbalanced="0" hidden="1"/>
    <cacheHierarchy uniqueName="[LocalDateTable_df4bea45-32ed-442a-9234-aaca0cd7dbed].[QuarterNo]" caption="QuarterNo" attribute="1" defaultMemberUniqueName="[LocalDateTable_df4bea45-32ed-442a-9234-aaca0cd7dbed].[QuarterNo].[All]" allUniqueName="[LocalDateTable_df4bea45-32ed-442a-9234-aaca0cd7dbed].[QuarterNo].[All]" dimensionUniqueName="[LocalDateTable_df4bea45-32ed-442a-9234-aaca0cd7dbed]" displayFolder="" count="0" unbalanced="0" hidden="1"/>
    <cacheHierarchy uniqueName="[LocalDateTable_df4bea45-32ed-442a-9234-aaca0cd7dbed].[Year]" caption="Year" attribute="1" defaultMemberUniqueName="[LocalDateTable_df4bea45-32ed-442a-9234-aaca0cd7dbed].[Year].[All]" allUniqueName="[LocalDateTable_df4bea45-32ed-442a-9234-aaca0cd7dbed].[Year].[All]" dimensionUniqueName="[LocalDateTable_df4bea45-32ed-442a-9234-aaca0cd7dbed]" displayFolder="" count="0" unbalanced="0" hidden="1"/>
    <cacheHierarchy uniqueName="[LocalDateTable_e409a5bd-3c62-4a3a-96e8-e678b497145f].[Date]" caption="Date" attribute="1" defaultMemberUniqueName="[LocalDateTable_e409a5bd-3c62-4a3a-96e8-e678b497145f].[Date].[All]" allUniqueName="[LocalDateTable_e409a5bd-3c62-4a3a-96e8-e678b497145f].[Date].[All]" dimensionUniqueName="[LocalDateTable_e409a5bd-3c62-4a3a-96e8-e678b497145f]" displayFolder="" count="0" unbalanced="0" hidden="1"/>
    <cacheHierarchy uniqueName="[LocalDateTable_e409a5bd-3c62-4a3a-96e8-e678b497145f].[Date Hierarchy]" caption="Date Hierarchy" defaultMemberUniqueName="[LocalDateTable_e409a5bd-3c62-4a3a-96e8-e678b497145f].[Date Hierarchy].[All]" allUniqueName="[LocalDateTable_e409a5bd-3c62-4a3a-96e8-e678b497145f].[Date Hierarchy].[All]" dimensionUniqueName="[LocalDateTable_e409a5bd-3c62-4a3a-96e8-e678b497145f]" displayFolder="" count="0" unbalanced="0" hidden="1"/>
    <cacheHierarchy uniqueName="[LocalDateTable_e409a5bd-3c62-4a3a-96e8-e678b497145f].[Day]" caption="Day" attribute="1" defaultMemberUniqueName="[LocalDateTable_e409a5bd-3c62-4a3a-96e8-e678b497145f].[Day].[All]" allUniqueName="[LocalDateTable_e409a5bd-3c62-4a3a-96e8-e678b497145f].[Day].[All]" dimensionUniqueName="[LocalDateTable_e409a5bd-3c62-4a3a-96e8-e678b497145f]" displayFolder="" count="0" unbalanced="0" hidden="1"/>
    <cacheHierarchy uniqueName="[LocalDateTable_e409a5bd-3c62-4a3a-96e8-e678b497145f].[Month]" caption="Month" attribute="1" defaultMemberUniqueName="[LocalDateTable_e409a5bd-3c62-4a3a-96e8-e678b497145f].[Month].[All]" allUniqueName="[LocalDateTable_e409a5bd-3c62-4a3a-96e8-e678b497145f].[Month].[All]" dimensionUniqueName="[LocalDateTable_e409a5bd-3c62-4a3a-96e8-e678b497145f]" displayFolder="" count="0" unbalanced="0" hidden="1"/>
    <cacheHierarchy uniqueName="[LocalDateTable_e409a5bd-3c62-4a3a-96e8-e678b497145f].[MonthNo]" caption="MonthNo" attribute="1" defaultMemberUniqueName="[LocalDateTable_e409a5bd-3c62-4a3a-96e8-e678b497145f].[MonthNo].[All]" allUniqueName="[LocalDateTable_e409a5bd-3c62-4a3a-96e8-e678b497145f].[MonthNo].[All]" dimensionUniqueName="[LocalDateTable_e409a5bd-3c62-4a3a-96e8-e678b497145f]" displayFolder="" count="0" unbalanced="0" hidden="1"/>
    <cacheHierarchy uniqueName="[LocalDateTable_e409a5bd-3c62-4a3a-96e8-e678b497145f].[Quarter]" caption="Quarter" attribute="1" defaultMemberUniqueName="[LocalDateTable_e409a5bd-3c62-4a3a-96e8-e678b497145f].[Quarter].[All]" allUniqueName="[LocalDateTable_e409a5bd-3c62-4a3a-96e8-e678b497145f].[Quarter].[All]" dimensionUniqueName="[LocalDateTable_e409a5bd-3c62-4a3a-96e8-e678b497145f]" displayFolder="" count="0" unbalanced="0" hidden="1"/>
    <cacheHierarchy uniqueName="[LocalDateTable_e409a5bd-3c62-4a3a-96e8-e678b497145f].[QuarterNo]" caption="QuarterNo" attribute="1" defaultMemberUniqueName="[LocalDateTable_e409a5bd-3c62-4a3a-96e8-e678b497145f].[QuarterNo].[All]" allUniqueName="[LocalDateTable_e409a5bd-3c62-4a3a-96e8-e678b497145f].[QuarterNo].[All]" dimensionUniqueName="[LocalDateTable_e409a5bd-3c62-4a3a-96e8-e678b497145f]" displayFolder="" count="0" unbalanced="0" hidden="1"/>
    <cacheHierarchy uniqueName="[LocalDateTable_e409a5bd-3c62-4a3a-96e8-e678b497145f].[Year]" caption="Year" attribute="1" defaultMemberUniqueName="[LocalDateTable_e409a5bd-3c62-4a3a-96e8-e678b497145f].[Year].[All]" allUniqueName="[LocalDateTable_e409a5bd-3c62-4a3a-96e8-e678b497145f].[Year].[All]" dimensionUniqueName="[LocalDateTable_e409a5bd-3c62-4a3a-96e8-e678b497145f]" displayFolder="" count="0" unbalanced="0" hidden="1"/>
    <cacheHierarchy uniqueName="[LocalDateTable_e58b0157-2556-4b79-a8ed-879543e961ff].[Date]" caption="Date" attribute="1" defaultMemberUniqueName="[LocalDateTable_e58b0157-2556-4b79-a8ed-879543e961ff].[Date].[All]" allUniqueName="[LocalDateTable_e58b0157-2556-4b79-a8ed-879543e961ff].[Date].[All]" dimensionUniqueName="[LocalDateTable_e58b0157-2556-4b79-a8ed-879543e961ff]" displayFolder="" count="0" unbalanced="0" hidden="1"/>
    <cacheHierarchy uniqueName="[LocalDateTable_e58b0157-2556-4b79-a8ed-879543e961ff].[Date Hierarchy]" caption="Date Hierarchy" defaultMemberUniqueName="[LocalDateTable_e58b0157-2556-4b79-a8ed-879543e961ff].[Date Hierarchy].[All]" allUniqueName="[LocalDateTable_e58b0157-2556-4b79-a8ed-879543e961ff].[Date Hierarchy].[All]" dimensionUniqueName="[LocalDateTable_e58b0157-2556-4b79-a8ed-879543e961ff]" displayFolder="" count="0" unbalanced="0" hidden="1"/>
    <cacheHierarchy uniqueName="[LocalDateTable_e58b0157-2556-4b79-a8ed-879543e961ff].[Day]" caption="Day" attribute="1" defaultMemberUniqueName="[LocalDateTable_e58b0157-2556-4b79-a8ed-879543e961ff].[Day].[All]" allUniqueName="[LocalDateTable_e58b0157-2556-4b79-a8ed-879543e961ff].[Day].[All]" dimensionUniqueName="[LocalDateTable_e58b0157-2556-4b79-a8ed-879543e961ff]" displayFolder="" count="0" unbalanced="0" hidden="1"/>
    <cacheHierarchy uniqueName="[LocalDateTable_e58b0157-2556-4b79-a8ed-879543e961ff].[Month]" caption="Month" attribute="1" defaultMemberUniqueName="[LocalDateTable_e58b0157-2556-4b79-a8ed-879543e961ff].[Month].[All]" allUniqueName="[LocalDateTable_e58b0157-2556-4b79-a8ed-879543e961ff].[Month].[All]" dimensionUniqueName="[LocalDateTable_e58b0157-2556-4b79-a8ed-879543e961ff]" displayFolder="" count="0" unbalanced="0" hidden="1"/>
    <cacheHierarchy uniqueName="[LocalDateTable_e58b0157-2556-4b79-a8ed-879543e961ff].[MonthNo]" caption="MonthNo" attribute="1" defaultMemberUniqueName="[LocalDateTable_e58b0157-2556-4b79-a8ed-879543e961ff].[MonthNo].[All]" allUniqueName="[LocalDateTable_e58b0157-2556-4b79-a8ed-879543e961ff].[MonthNo].[All]" dimensionUniqueName="[LocalDateTable_e58b0157-2556-4b79-a8ed-879543e961ff]" displayFolder="" count="0" unbalanced="0" hidden="1"/>
    <cacheHierarchy uniqueName="[LocalDateTable_e58b0157-2556-4b79-a8ed-879543e961ff].[Quarter]" caption="Quarter" attribute="1" defaultMemberUniqueName="[LocalDateTable_e58b0157-2556-4b79-a8ed-879543e961ff].[Quarter].[All]" allUniqueName="[LocalDateTable_e58b0157-2556-4b79-a8ed-879543e961ff].[Quarter].[All]" dimensionUniqueName="[LocalDateTable_e58b0157-2556-4b79-a8ed-879543e961ff]" displayFolder="" count="0" unbalanced="0" hidden="1"/>
    <cacheHierarchy uniqueName="[LocalDateTable_e58b0157-2556-4b79-a8ed-879543e961ff].[QuarterNo]" caption="QuarterNo" attribute="1" defaultMemberUniqueName="[LocalDateTable_e58b0157-2556-4b79-a8ed-879543e961ff].[QuarterNo].[All]" allUniqueName="[LocalDateTable_e58b0157-2556-4b79-a8ed-879543e961ff].[QuarterNo].[All]" dimensionUniqueName="[LocalDateTable_e58b0157-2556-4b79-a8ed-879543e961ff]" displayFolder="" count="0" unbalanced="0" hidden="1"/>
    <cacheHierarchy uniqueName="[LocalDateTable_e58b0157-2556-4b79-a8ed-879543e961ff].[Year]" caption="Year" attribute="1" defaultMemberUniqueName="[LocalDateTable_e58b0157-2556-4b79-a8ed-879543e961ff].[Year].[All]" allUniqueName="[LocalDateTable_e58b0157-2556-4b79-a8ed-879543e961ff].[Year].[All]" dimensionUniqueName="[LocalDateTable_e58b0157-2556-4b79-a8ed-879543e961ff]" displayFolder="" count="0" unbalanced="0" hidden="1"/>
    <cacheHierarchy uniqueName="[LocalDateTable_e8334bd5-1849-42af-8c91-b9cab54e5872].[Date]" caption="Date" attribute="1" defaultMemberUniqueName="[LocalDateTable_e8334bd5-1849-42af-8c91-b9cab54e5872].[Date].[All]" allUniqueName="[LocalDateTable_e8334bd5-1849-42af-8c91-b9cab54e5872].[Date].[All]" dimensionUniqueName="[LocalDateTable_e8334bd5-1849-42af-8c91-b9cab54e5872]" displayFolder="" count="0" unbalanced="0" hidden="1"/>
    <cacheHierarchy uniqueName="[LocalDateTable_e8334bd5-1849-42af-8c91-b9cab54e5872].[Date Hierarchy]" caption="Date Hierarchy" defaultMemberUniqueName="[LocalDateTable_e8334bd5-1849-42af-8c91-b9cab54e5872].[Date Hierarchy].[All]" allUniqueName="[LocalDateTable_e8334bd5-1849-42af-8c91-b9cab54e5872].[Date Hierarchy].[All]" dimensionUniqueName="[LocalDateTable_e8334bd5-1849-42af-8c91-b9cab54e5872]" displayFolder="" count="0" unbalanced="0" hidden="1"/>
    <cacheHierarchy uniqueName="[LocalDateTable_e8334bd5-1849-42af-8c91-b9cab54e5872].[Day]" caption="Day" attribute="1" defaultMemberUniqueName="[LocalDateTable_e8334bd5-1849-42af-8c91-b9cab54e5872].[Day].[All]" allUniqueName="[LocalDateTable_e8334bd5-1849-42af-8c91-b9cab54e5872].[Day].[All]" dimensionUniqueName="[LocalDateTable_e8334bd5-1849-42af-8c91-b9cab54e5872]" displayFolder="" count="0" unbalanced="0" hidden="1"/>
    <cacheHierarchy uniqueName="[LocalDateTable_e8334bd5-1849-42af-8c91-b9cab54e5872].[Month]" caption="Month" attribute="1" defaultMemberUniqueName="[LocalDateTable_e8334bd5-1849-42af-8c91-b9cab54e5872].[Month].[All]" allUniqueName="[LocalDateTable_e8334bd5-1849-42af-8c91-b9cab54e5872].[Month].[All]" dimensionUniqueName="[LocalDateTable_e8334bd5-1849-42af-8c91-b9cab54e5872]" displayFolder="" count="0" unbalanced="0" hidden="1"/>
    <cacheHierarchy uniqueName="[LocalDateTable_e8334bd5-1849-42af-8c91-b9cab54e5872].[MonthNo]" caption="MonthNo" attribute="1" defaultMemberUniqueName="[LocalDateTable_e8334bd5-1849-42af-8c91-b9cab54e5872].[MonthNo].[All]" allUniqueName="[LocalDateTable_e8334bd5-1849-42af-8c91-b9cab54e5872].[MonthNo].[All]" dimensionUniqueName="[LocalDateTable_e8334bd5-1849-42af-8c91-b9cab54e5872]" displayFolder="" count="0" unbalanced="0" hidden="1"/>
    <cacheHierarchy uniqueName="[LocalDateTable_e8334bd5-1849-42af-8c91-b9cab54e5872].[Quarter]" caption="Quarter" attribute="1" defaultMemberUniqueName="[LocalDateTable_e8334bd5-1849-42af-8c91-b9cab54e5872].[Quarter].[All]" allUniqueName="[LocalDateTable_e8334bd5-1849-42af-8c91-b9cab54e5872].[Quarter].[All]" dimensionUniqueName="[LocalDateTable_e8334bd5-1849-42af-8c91-b9cab54e5872]" displayFolder="" count="0" unbalanced="0" hidden="1"/>
    <cacheHierarchy uniqueName="[LocalDateTable_e8334bd5-1849-42af-8c91-b9cab54e5872].[QuarterNo]" caption="QuarterNo" attribute="1" defaultMemberUniqueName="[LocalDateTable_e8334bd5-1849-42af-8c91-b9cab54e5872].[QuarterNo].[All]" allUniqueName="[LocalDateTable_e8334bd5-1849-42af-8c91-b9cab54e5872].[QuarterNo].[All]" dimensionUniqueName="[LocalDateTable_e8334bd5-1849-42af-8c91-b9cab54e5872]" displayFolder="" count="0" unbalanced="0" hidden="1"/>
    <cacheHierarchy uniqueName="[LocalDateTable_e8334bd5-1849-42af-8c91-b9cab54e5872].[Year]" caption="Year" attribute="1" defaultMemberUniqueName="[LocalDateTable_e8334bd5-1849-42af-8c91-b9cab54e5872].[Year].[All]" allUniqueName="[LocalDateTable_e8334bd5-1849-42af-8c91-b9cab54e5872].[Year].[All]" dimensionUniqueName="[LocalDateTable_e8334bd5-1849-42af-8c91-b9cab54e5872]" displayFolder="" count="0" unbalanced="0" hidden="1"/>
    <cacheHierarchy uniqueName="[LocalDateTable_f81f1f13-e082-4d44-ba64-a484e005f2af].[Date]" caption="Date" attribute="1" defaultMemberUniqueName="[LocalDateTable_f81f1f13-e082-4d44-ba64-a484e005f2af].[Date].[All]" allUniqueName="[LocalDateTable_f81f1f13-e082-4d44-ba64-a484e005f2af].[Date].[All]" dimensionUniqueName="[LocalDateTable_f81f1f13-e082-4d44-ba64-a484e005f2af]" displayFolder="" count="0" unbalanced="0" hidden="1"/>
    <cacheHierarchy uniqueName="[LocalDateTable_f81f1f13-e082-4d44-ba64-a484e005f2af].[Date Hierarchy]" caption="Date Hierarchy" defaultMemberUniqueName="[LocalDateTable_f81f1f13-e082-4d44-ba64-a484e005f2af].[Date Hierarchy].[All]" allUniqueName="[LocalDateTable_f81f1f13-e082-4d44-ba64-a484e005f2af].[Date Hierarchy].[All]" dimensionUniqueName="[LocalDateTable_f81f1f13-e082-4d44-ba64-a484e005f2af]" displayFolder="" count="0" unbalanced="0" hidden="1"/>
    <cacheHierarchy uniqueName="[LocalDateTable_f81f1f13-e082-4d44-ba64-a484e005f2af].[Day]" caption="Day" attribute="1" defaultMemberUniqueName="[LocalDateTable_f81f1f13-e082-4d44-ba64-a484e005f2af].[Day].[All]" allUniqueName="[LocalDateTable_f81f1f13-e082-4d44-ba64-a484e005f2af].[Day].[All]" dimensionUniqueName="[LocalDateTable_f81f1f13-e082-4d44-ba64-a484e005f2af]" displayFolder="" count="0" unbalanced="0" hidden="1"/>
    <cacheHierarchy uniqueName="[LocalDateTable_f81f1f13-e082-4d44-ba64-a484e005f2af].[Month]" caption="Month" attribute="1" defaultMemberUniqueName="[LocalDateTable_f81f1f13-e082-4d44-ba64-a484e005f2af].[Month].[All]" allUniqueName="[LocalDateTable_f81f1f13-e082-4d44-ba64-a484e005f2af].[Month].[All]" dimensionUniqueName="[LocalDateTable_f81f1f13-e082-4d44-ba64-a484e005f2af]" displayFolder="" count="0" unbalanced="0" hidden="1"/>
    <cacheHierarchy uniqueName="[LocalDateTable_f81f1f13-e082-4d44-ba64-a484e005f2af].[MonthNo]" caption="MonthNo" attribute="1" defaultMemberUniqueName="[LocalDateTable_f81f1f13-e082-4d44-ba64-a484e005f2af].[MonthNo].[All]" allUniqueName="[LocalDateTable_f81f1f13-e082-4d44-ba64-a484e005f2af].[MonthNo].[All]" dimensionUniqueName="[LocalDateTable_f81f1f13-e082-4d44-ba64-a484e005f2af]" displayFolder="" count="0" unbalanced="0" hidden="1"/>
    <cacheHierarchy uniqueName="[LocalDateTable_f81f1f13-e082-4d44-ba64-a484e005f2af].[Quarter]" caption="Quarter" attribute="1" defaultMemberUniqueName="[LocalDateTable_f81f1f13-e082-4d44-ba64-a484e005f2af].[Quarter].[All]" allUniqueName="[LocalDateTable_f81f1f13-e082-4d44-ba64-a484e005f2af].[Quarter].[All]" dimensionUniqueName="[LocalDateTable_f81f1f13-e082-4d44-ba64-a484e005f2af]" displayFolder="" count="0" unbalanced="0" hidden="1"/>
    <cacheHierarchy uniqueName="[LocalDateTable_f81f1f13-e082-4d44-ba64-a484e005f2af].[QuarterNo]" caption="QuarterNo" attribute="1" defaultMemberUniqueName="[LocalDateTable_f81f1f13-e082-4d44-ba64-a484e005f2af].[QuarterNo].[All]" allUniqueName="[LocalDateTable_f81f1f13-e082-4d44-ba64-a484e005f2af].[QuarterNo].[All]" dimensionUniqueName="[LocalDateTable_f81f1f13-e082-4d44-ba64-a484e005f2af]" displayFolder="" count="0" unbalanced="0" hidden="1"/>
    <cacheHierarchy uniqueName="[LocalDateTable_f81f1f13-e082-4d44-ba64-a484e005f2af].[Year]" caption="Year" attribute="1" defaultMemberUniqueName="[LocalDateTable_f81f1f13-e082-4d44-ba64-a484e005f2af].[Year].[All]" allUniqueName="[LocalDateTable_f81f1f13-e082-4d44-ba64-a484e005f2af].[Year].[All]" dimensionUniqueName="[LocalDateTable_f81f1f13-e082-4d44-ba64-a484e005f2af]" displayFolder="" count="0" unbalanced="0" hidden="1"/>
    <cacheHierarchy uniqueName="[Measures].[MMS_01_31]" caption="MMS_01_31" measure="1" displayFolder="" measureGroup="_Measures" count="0"/>
    <cacheHierarchy uniqueName="[Measures].[SDI_00_07]" caption="SDI_00_07" measure="1" displayFolder="" measureGroup="_Measures" count="0"/>
    <cacheHierarchy uniqueName="[Measures].[SDI_08_14]" caption="SDI_08_14" measure="1" displayFolder="" measureGroup="_Measures" count="0"/>
    <cacheHierarchy uniqueName="[Measures].[SDI_15+]" caption="SDI_15+" measure="1" displayFolder="" measureGroup="_Measures" count="0"/>
    <cacheHierarchy uniqueName="[Measures].[TX_NEW]" caption="TX_NEW" measure="1" displayFolder="" measureGroup="_Measures" count="0"/>
    <cacheHierarchy uniqueName="[Measures].[Patients Started on ART]" caption="Patients Started on ART" measure="1" displayFolder="" measureGroup="_Measures" count="0"/>
    <cacheHierarchy uniqueName="[Measures].[HVL_D]" caption="HVL_D" measure="1" displayFolder="" measureGroup="_Measures" count="0" oneField="1">
      <fieldsUsage count="1">
        <fieldUsage x="3"/>
      </fieldsUsage>
    </cacheHierarchy>
    <cacheHierarchy uniqueName="[Measures].[HVL_N]" caption="HVL_N" measure="1" displayFolder="" measureGroup="_Measures" count="0" oneField="1">
      <fieldsUsage count="1">
        <fieldUsage x="2"/>
      </fieldsUsage>
    </cacheHierarchy>
    <cacheHierarchy uniqueName="[Measures].[TX_CURR]" caption="TX_CURR" measure="1" displayFolder="" measureGroup="_Measures" count="0"/>
    <cacheHierarchy uniqueName="[Measures].[TX_NEW_2VIS]" caption="TX_NEW_2VIS" measure="1" displayFolder="" measureGroup="_Measures" count="0"/>
    <cacheHierarchy uniqueName="[Measures].[HVL_ELIG]" caption="HVL_ELIG" measure="1" displayFolder="" measureGroup="_Measures" count="0" oneField="1">
      <fieldsUsage count="1">
        <fieldUsage x="1"/>
      </fieldsUsage>
    </cacheHierarchy>
    <cacheHierarchy uniqueName="[Measures].[TX_NEW minus t_txnew]" caption="TX_NEW minus t_txnew" measure="1" displayFolder="Differences" measureGroup="_Measures" count="0"/>
    <cacheHierarchy uniqueName="[Measures].[TX_NEW_2VIS minus t_txnew_2vis]" caption="TX_NEW_2VIS minus t_txnew_2vis" measure="1" displayFolder="Differences" measureGroup="_Measures" count="0"/>
    <cacheHierarchy uniqueName="[Measures].[SDI_00_07 minus art_u8]" caption="SDI_00_07 minus art_u8" measure="1" displayFolder="Differences" measureGroup="_Measures" count="0"/>
    <cacheHierarchy uniqueName="[Measures].[SDI_15+ minus art_o15d]" caption="SDI_15+ minus art_o15d" measure="1" displayFolder="Differences" measureGroup="_Measures" count="0"/>
    <cacheHierarchy uniqueName="[Measures].[SDI_08_14 minus art_814d]" caption="SDI_08_14 minus art_814d" measure="1" displayFolder="Differences" measureGroup="_Measures" count="0"/>
    <cacheHierarchy uniqueName="[Measures].[MMS_01_31 minus mmp_1m]" caption="MMS_01_31 minus mmp_1m" measure="1" displayFolder="Differences" measureGroup="_Measures" count="0"/>
    <cacheHierarchy uniqueName="[Measures].[HVL_D minus hvl_d]" caption="HVL_D minus hvl_d" measure="1" displayFolder="Differences" measureGroup="_Measures" count="0"/>
    <cacheHierarchy uniqueName="[Measures].[HVL_N minus hvl_u1k_n]" caption="HVL_N minus hvl_u1k_n" measure="1" displayFolder="Differences" measureGroup="_Measures" count="0"/>
    <cacheHierarchy uniqueName="[Measures].[TX_TB_N minus tbprev_n]" caption="TX_TB_N minus tbprev_n" measure="1" displayFolder="Differences" measureGroup="_Measures" count="0"/>
    <cacheHierarchy uniqueName="[Measures].[TX_TB_D minus tbprev_d]" caption="TX_TB_D minus tbprev_d" measure="1" displayFolder="Differences" measureGroup="_Measures" count="0"/>
    <cacheHierarchy uniqueName="[Measures].[DIED]" caption="DIED" measure="1" displayFolder="" measureGroup="_Measures" count="0"/>
    <cacheHierarchy uniqueName="[Measures].[DIED minus died]" caption="DIED minus died" measure="1" displayFolder="Differences" measureGroup="_Measures" count="0"/>
    <cacheHierarchy uniqueName="[Measures].[TI]" caption="TI" measure="1" displayFolder="" measureGroup="_Measures" count="0"/>
    <cacheHierarchy uniqueName="[Measures].[TI minus TI]" caption="TI minus TI" measure="1" displayFolder="Differences" measureGroup="_Measures" count="0"/>
    <cacheHierarchy uniqueName="[Measures].[TO]" caption="TO" measure="1" displayFolder="" measureGroup="_Measures" count="0"/>
    <cacheHierarchy uniqueName="[Measures].[TO minus TO]" caption="TO minus TO" measure="1" displayFolder="Differences" measureGroup="_Measures" count="0"/>
    <cacheHierarchy uniqueName="[Measures].[TX_CURR_PRIOR_MONTH]" caption="TX_CURR_PRIOR_MONTH" measure="1" displayFolder="" measureGroup="_Measures" count="0"/>
    <cacheHierarchy uniqueName="[Measures].[TX_CURR minus t_txcurr_thism]" caption="TX_CURR minus t_txcurr_thism" measure="1" displayFolder="Differences" measureGroup="_Measures" count="0"/>
    <cacheHierarchy uniqueName="[Measures].[HVL_ELIG minus hvlelig]" caption="HVL_ELIG minus hvlelig" measure="1" displayFolder="Differences" measureGroup="_Measures" count="0"/>
    <cacheHierarchy uniqueName="[Measures].[MMS_32_62 minus mmp_2m]" caption="MMS_32_62 minus mmp_2m" measure="1" displayFolder="Differences" measureGroup="_Measures" count="0"/>
    <cacheHierarchy uniqueName="[Measures].[MMS_63+ minus mmp_3m]" caption="MMS_63+ minus mmp_3m" measure="1" displayFolder="Differences" measureGroup="_Measures" count="0"/>
    <cacheHierarchy uniqueName="[Measures].[MMS_32_62]" caption="MMS_32_62" measure="1" displayFolder="" measureGroup="_Measures" count="0"/>
    <cacheHierarchy uniqueName="[Measures].[MMS_63+]" caption="MMS_63+" measure="1" displayFolder="" measureGroup="_Measures" count="0"/>
    <cacheHierarchy uniqueName="[Measures].[TBPREV_D]" caption="TBPREV_D" measure="1" displayFolder="" measureGroup="_Measures" count="0"/>
    <cacheHierarchy uniqueName="[Measures].[TBPREV_D minus tbprev_d]" caption="TBPREV_D minus tbprev_d" measure="1" displayFolder="Differences" measureGroup="_Measures" count="0"/>
    <cacheHierarchy uniqueName="[Measures].[TBPREV_N]" caption="TBPREV_N" measure="1" displayFolder="" measureGroup="_Measures" count="0"/>
    <cacheHierarchy uniqueName="[Measures].[MISSEDAPP]" caption="MISSEDAPP" measure="1" displayFolder="" measureGroup="_Measures" count="0"/>
    <cacheHierarchy uniqueName="[Measures].[TBPREV_D minus tbprev_d_3mar]" caption="TBPREV_D minus tbprev_d_3mar" measure="1" displayFolder="Differences" measureGroup="_Measures" count="0"/>
    <cacheHierarchy uniqueName="[Measures].[MISSEDAPP minus missedapp]" caption="MISSEDAPP minus missedapp" measure="1" displayFolder="Differences" measureGroup="_Measures" count="0"/>
    <cacheHierarchy uniqueName="[Measures].[MISSEDAPP_v2]" caption="MISSEDAPP_v2" measure="1" displayFolder="" measureGroup="_Measures" count="0"/>
    <cacheHierarchy uniqueName="[Measures].[MISSEDAPP_v2 minus missedapp]" caption="MISSEDAPP_v2 minus missedapp" measure="1" displayFolder="Differences" measureGroup="_Measures" count="0"/>
    <cacheHierarchy uniqueName="[Measures].[TBPREV_NEW]" caption="TBPREV_NEW" measure="1" displayFolder="" measureGroup="_Measures" count="0"/>
    <cacheHierarchy uniqueName="[Measures].[TBPREV_NEW minus tbprev_start_thismo]" caption="TBPREV_NEW minus tbprev_start_thismo" measure="1" displayFolder="Differences" measureGroup="_Measures" count="0"/>
    <cacheHierarchy uniqueName="[Measures].[TBPREV_N minus tbprev_n]" caption="TBPREV_N minus tbprev_n" measure="1" displayFolder="Differences" measureGroup="_Measures" count="0"/>
    <cacheHierarchy uniqueName="[Measures].[HVL_ELIG_P]" caption="HVL_ELIG_P" measure="1" displayFolder="" measureGroup="_Measures" count="0"/>
    <cacheHierarchy uniqueName="[Measures].[HVL_ELIG_A]" caption="HVL_ELIG_A" measure="1" displayFolder="" measureGroup="_Measures" count="0"/>
    <cacheHierarchy uniqueName="[Measures].[HVL_D_P]" caption="HVL_D_P" measure="1" displayFolder="" measureGroup="_Measures" count="0"/>
    <cacheHierarchy uniqueName="[Measures].[HVL_D_A]" caption="HVL_D_A" measure="1" displayFolder="" measureGroup="_Measures" count="0"/>
    <cacheHierarchy uniqueName="[Measures].[HVL_N_P]" caption="HVL_N_P" measure="1" displayFolder="" measureGroup="_Measures" count="0"/>
    <cacheHierarchy uniqueName="[Measures].[HVL_N_A]" caption="HVL_N_A" measure="1" displayFolder="" measureGroup="_Measures" count="0"/>
    <cacheHierarchy uniqueName="[Measures].[TX_NEW_F_A]" caption="TX_NEW_F_A" measure="1" displayFolder="" measureGroup="_Measures" count="0"/>
    <cacheHierarchy uniqueName="[Measures].[TX_NEW_M_A]" caption="TX_NEW_M_A" measure="1" displayFolder="" measureGroup="_Measures" count="0"/>
    <cacheHierarchy uniqueName="[Measures].[TX_NEW_F_P]" caption="TX_NEW_F_P" measure="1" displayFolder="" measureGroup="_Measures" count="0"/>
    <cacheHierarchy uniqueName="[Measures].[TX_NEW_M_P]" caption="TX_NEW_M_P" measure="1" displayFolder="" measureGroup="_Measures" count="0"/>
    <cacheHierarchy uniqueName="[Measures].[TX_CURR_F_P]" caption="TX_CURR_F_P" measure="1" displayFolder="" measureGroup="_Measures" count="0"/>
    <cacheHierarchy uniqueName="[Measures].[TX_CURR_M_A]" caption="TX_CURR_M_A" measure="1" displayFolder="" measureGroup="_Measures" count="0"/>
    <cacheHierarchy uniqueName="[Measures].[TX_CURR_F_A]" caption="TX_CURR_F_A" measure="1" displayFolder="" measureGroup="_Measures" count="0"/>
    <cacheHierarchy uniqueName="[Measures].[TX_CURR_M_P]" caption="TX_CURR_M_P" measure="1" displayFolder="" measureGroup="_Measures" count="0"/>
    <cacheHierarchy uniqueName="[Measures].[MMS_180+_P]" caption="MMS_180+_P" measure="1" displayFolder="" measureGroup="_Measures" count="0"/>
    <cacheHierarchy uniqueName="[Measures].[MMS_180+]" caption="MMS_180+" measure="1" displayFolder="" measureGroup="_Measures" count="0"/>
    <cacheHierarchy uniqueName="[Measures].[MMS_180+_A]" caption="MMS_180+_A" measure="1" displayFolder="" measureGroup="_Measures" count="0"/>
    <cacheHierarchy uniqueName="[Measures].[MMS_90_179]" caption="MMS_90_179" measure="1" displayFolder="" measureGroup="_Measures" count="0"/>
    <cacheHierarchy uniqueName="[Measures].[MMS_01_89]" caption="MMS_01_89" measure="1" displayFolder="" measureGroup="_Measures" count="0"/>
    <cacheHierarchy uniqueName="[Measures].[MMS_01_89_F_A]" caption="MMS_01_89_F_A" measure="1" displayFolder="" measureGroup="_Measures" count="0"/>
    <cacheHierarchy uniqueName="[Measures].[MMS_01_89_M_A]" caption="MMS_01_89_M_A" measure="1" displayFolder="" measureGroup="_Measures" count="0"/>
    <cacheHierarchy uniqueName="[Measures].[MMS_01_89_F_P]" caption="MMS_01_89_F_P" measure="1" displayFolder="" measureGroup="_Measures" count="0"/>
    <cacheHierarchy uniqueName="[Measures].[MMS_01_89_M_P]" caption="MMS_01_89_M_P" measure="1" displayFolder="" measureGroup="_Measures" count="0"/>
    <cacheHierarchy uniqueName="[Measures].[MMS_90_179_F_A]" caption="MMS_90_179_F_A" measure="1" displayFolder="" measureGroup="_Measures" count="0"/>
    <cacheHierarchy uniqueName="[Measures].[MMS_90_179_M_A]" caption="MMS_90_179_M_A" measure="1" displayFolder="" measureGroup="_Measures" count="0"/>
    <cacheHierarchy uniqueName="[Measures].[MMS_90_179_F_P]" caption="MMS_90_179_F_P" measure="1" displayFolder="" measureGroup="_Measures" count="0"/>
    <cacheHierarchy uniqueName="[Measures].[MMS_90_179_M_P]" caption="MMS_90_179_M_P" measure="1" displayFolder="" measureGroup="_Measures" count="0"/>
    <cacheHierarchy uniqueName="[Measures].[MMS_180+_F_A]" caption="MMS_180+_F_A" measure="1" displayFolder="" measureGroup="_Measures" count="0"/>
    <cacheHierarchy uniqueName="[Measures].[MMS_180+_M_A]" caption="MMS_180+_M_A" measure="1" displayFolder="" measureGroup="_Measures" count="0"/>
    <cacheHierarchy uniqueName="[Measures].[MMS_180+_F_P]" caption="MMS_180+_F_P" measure="1" displayFolder="" measureGroup="_Measures" count="0"/>
    <cacheHierarchy uniqueName="[Measures].[MMS_180+_M_P]" caption="MMS_180+_M_P" measure="1" displayFolder="" measureGroup="_Measures" count="0"/>
    <cacheHierarchy uniqueName="[Measures].[MISSEDAPP minus missedapp 2]" caption="MISSEDAPP minus missedapp 2" measure="1" displayFolder="" measureGroup="_Measures" count="0"/>
    <cacheHierarchy uniqueName="[Measures].[HVL_D minus hvl_d 2]" caption="HVL_D minus hvl_d 2" measure="1" displayFolder="" measureGroup="_Measures" count="0"/>
    <cacheHierarchy uniqueName="[Measures].[__Default measure]" caption="__Default measure" measure="1" displayFolder="" count="0" hidden="1"/>
  </cacheHierarchies>
  <kpis count="0"/>
  <dimensions count="13">
    <dimension name="Age Group" uniqueName="[Age Group]" caption="Age Group"/>
    <dimension name="DimDate" uniqueName="[DimDate]" caption="DimDate"/>
    <dimension name="Facilities" uniqueName="[Facilities]" caption="Facilities"/>
    <dimension name="feb results" uniqueName="[feb results]" caption="feb results"/>
    <dimension name="Grace Period Days" uniqueName="[Grace Period Days]" caption="Grace Period Days"/>
    <dimension name="Gretchen Results" uniqueName="[Gretchen Results]" caption="Gretchen Results"/>
    <dimension name="Gretchen Results 3mar" uniqueName="[Gretchen Results 3mar]" caption="Gretchen Results 3mar"/>
    <dimension name="Gretchen tx_curr Detail" uniqueName="[Gretchen tx_curr Detail]" caption="Gretchen tx_curr Detail"/>
    <dimension measure="1" name="Measures" uniqueName="[Measures]" caption="Measures"/>
    <dimension name="Patients" uniqueName="[Patients]" caption="Patients"/>
    <dimension name="Status" uniqueName="[Status]" caption="Status"/>
    <dimension name="Tests" uniqueName="[Tests]" caption="Tests"/>
    <dimension name="VisitsAndAppointments" uniqueName="[VisitsAndAppointments]" caption="VisitsAndAppointments"/>
  </dimensions>
  <measureGroups count="45">
    <measureGroup name="_Measures" caption="_Measures"/>
    <measureGroup name="Age Group" caption="Age Group"/>
    <measureGroup name="DateTableTemplate_67311400-74fb-473f-8bb8-78ddea2ee040" caption="DateTableTemplate_67311400-74fb-473f-8bb8-78ddea2ee040"/>
    <measureGroup name="DimDate" caption="DimDate"/>
    <measureGroup name="Facilities" caption="Facilities"/>
    <measureGroup name="feb results" caption="feb results"/>
    <measureGroup name="Grace Period Days" caption="Grace Period Days"/>
    <measureGroup name="Gretchen Results" caption="Gretchen Results"/>
    <measureGroup name="Gretchen Results 3mar" caption="Gretchen Results 3mar"/>
    <measureGroup name="Gretchen tx_curr Detail" caption="Gretchen tx_curr Detail"/>
    <measureGroup name="LocalDateTable_048e15b4-68bf-41ef-8bcb-f4b4a48e87d1" caption="LocalDateTable_048e15b4-68bf-41ef-8bcb-f4b4a48e87d1"/>
    <measureGroup name="LocalDateTable_198c0f25-be56-470d-9563-6ba85adc20f6" caption="LocalDateTable_198c0f25-be56-470d-9563-6ba85adc20f6"/>
    <measureGroup name="LocalDateTable_1a9c82fc-1d61-4945-b631-466fd7cb79e1" caption="LocalDateTable_1a9c82fc-1d61-4945-b631-466fd7cb79e1"/>
    <measureGroup name="LocalDateTable_32153099-8e28-4611-a8e3-a94f0e0a48ba" caption="LocalDateTable_32153099-8e28-4611-a8e3-a94f0e0a48ba"/>
    <measureGroup name="LocalDateTable_39873660-9783-47c3-831f-1ea7ff6357e4" caption="LocalDateTable_39873660-9783-47c3-831f-1ea7ff6357e4"/>
    <measureGroup name="LocalDateTable_39cbebff-eeb7-4252-a359-139059305106" caption="LocalDateTable_39cbebff-eeb7-4252-a359-139059305106"/>
    <measureGroup name="LocalDateTable_44ed01c2-444c-4c6a-9e1d-8f64a65ebd53" caption="LocalDateTable_44ed01c2-444c-4c6a-9e1d-8f64a65ebd53"/>
    <measureGroup name="LocalDateTable_4b503ea0-8a9e-4452-8df1-77875d493416" caption="LocalDateTable_4b503ea0-8a9e-4452-8df1-77875d493416"/>
    <measureGroup name="LocalDateTable_53bd0de1-8e4f-45ec-a73d-720779e52dac" caption="LocalDateTable_53bd0de1-8e4f-45ec-a73d-720779e52dac"/>
    <measureGroup name="LocalDateTable_582d8559-64fe-4f94-ac65-40b1120ce9fa" caption="LocalDateTable_582d8559-64fe-4f94-ac65-40b1120ce9fa"/>
    <measureGroup name="LocalDateTable_5e304ffa-9c13-4348-a0b1-bac4f702bb98" caption="LocalDateTable_5e304ffa-9c13-4348-a0b1-bac4f702bb98"/>
    <measureGroup name="LocalDateTable_6ad1a7b7-0918-439f-9116-bb49452fb306" caption="LocalDateTable_6ad1a7b7-0918-439f-9116-bb49452fb306"/>
    <measureGroup name="LocalDateTable_72411a4b-2028-45fd-859f-ca035717f902" caption="LocalDateTable_72411a4b-2028-45fd-859f-ca035717f902"/>
    <measureGroup name="LocalDateTable_762e9f08-71b7-474b-bf32-18e125928c8b" caption="LocalDateTable_762e9f08-71b7-474b-bf32-18e125928c8b"/>
    <measureGroup name="LocalDateTable_79b3c506-b619-4a92-a39e-5963880b27f4" caption="LocalDateTable_79b3c506-b619-4a92-a39e-5963880b27f4"/>
    <measureGroup name="LocalDateTable_7e4579ac-e1ba-4376-bd93-89713ab2d695" caption="LocalDateTable_7e4579ac-e1ba-4376-bd93-89713ab2d695"/>
    <measureGroup name="LocalDateTable_8171f62b-6985-4fa9-89cc-d461fa08834f" caption="LocalDateTable_8171f62b-6985-4fa9-89cc-d461fa08834f"/>
    <measureGroup name="LocalDateTable_8c167247-2007-40a2-8eb4-a67a7a0ffe69" caption="LocalDateTable_8c167247-2007-40a2-8eb4-a67a7a0ffe69"/>
    <measureGroup name="LocalDateTable_8cc8371a-f4aa-43ae-ad3c-80e424f8db7b" caption="LocalDateTable_8cc8371a-f4aa-43ae-ad3c-80e424f8db7b"/>
    <measureGroup name="LocalDateTable_a7bb61e7-fb22-4577-85f7-8202724a0cab" caption="LocalDateTable_a7bb61e7-fb22-4577-85f7-8202724a0cab"/>
    <measureGroup name="LocalDateTable_ac50e709-a83e-40da-92b7-c09d4749ca90" caption="LocalDateTable_ac50e709-a83e-40da-92b7-c09d4749ca90"/>
    <measureGroup name="LocalDateTable_b9674d41-7d4a-4bcc-9fba-60f51abd930f" caption="LocalDateTable_b9674d41-7d4a-4bcc-9fba-60f51abd930f"/>
    <measureGroup name="LocalDateTable_c51bdc8f-f532-4538-8d59-a1f847d37fc7" caption="LocalDateTable_c51bdc8f-f532-4538-8d59-a1f847d37fc7"/>
    <measureGroup name="LocalDateTable_cff06c49-b10f-4186-b8ce-801667abc242" caption="LocalDateTable_cff06c49-b10f-4186-b8ce-801667abc242"/>
    <measureGroup name="LocalDateTable_d556de67-934a-4e60-b501-c142594d01f3" caption="LocalDateTable_d556de67-934a-4e60-b501-c142594d01f3"/>
    <measureGroup name="LocalDateTable_db52efe7-f8a9-46be-907f-5a39fe4d61de" caption="LocalDateTable_db52efe7-f8a9-46be-907f-5a39fe4d61de"/>
    <measureGroup name="LocalDateTable_df4bea45-32ed-442a-9234-aaca0cd7dbed" caption="LocalDateTable_df4bea45-32ed-442a-9234-aaca0cd7dbed"/>
    <measureGroup name="LocalDateTable_e409a5bd-3c62-4a3a-96e8-e678b497145f" caption="LocalDateTable_e409a5bd-3c62-4a3a-96e8-e678b497145f"/>
    <measureGroup name="LocalDateTable_e58b0157-2556-4b79-a8ed-879543e961ff" caption="LocalDateTable_e58b0157-2556-4b79-a8ed-879543e961ff"/>
    <measureGroup name="LocalDateTable_e8334bd5-1849-42af-8c91-b9cab54e5872" caption="LocalDateTable_e8334bd5-1849-42af-8c91-b9cab54e5872"/>
    <measureGroup name="LocalDateTable_f81f1f13-e082-4d44-ba64-a484e005f2af" caption="LocalDateTable_f81f1f13-e082-4d44-ba64-a484e005f2af"/>
    <measureGroup name="Patients" caption="Patients"/>
    <measureGroup name="Status" caption="Status"/>
    <measureGroup name="Tests" caption="Tests"/>
    <measureGroup name="VisitsAndAppointments" caption="VisitsAndAppointments"/>
  </measureGroups>
  <maps count="56">
    <map measureGroup="1" dimension="0"/>
    <map measureGroup="3" dimension="1"/>
    <map measureGroup="4" dimension="2"/>
    <map measureGroup="4" dimension="3"/>
    <map measureGroup="4" dimension="5"/>
    <map measureGroup="4" dimension="6"/>
    <map measureGroup="5" dimension="2"/>
    <map measureGroup="5" dimension="3"/>
    <map measureGroup="5" dimension="5"/>
    <map measureGroup="5" dimension="6"/>
    <map measureGroup="6" dimension="4"/>
    <map measureGroup="7" dimension="2"/>
    <map measureGroup="7" dimension="3"/>
    <map measureGroup="7" dimension="5"/>
    <map measureGroup="7" dimension="6"/>
    <map measureGroup="8" dimension="2"/>
    <map measureGroup="8" dimension="3"/>
    <map measureGroup="8" dimension="5"/>
    <map measureGroup="8" dimension="6"/>
    <map measureGroup="9" dimension="2"/>
    <map measureGroup="9" dimension="3"/>
    <map measureGroup="9" dimension="5"/>
    <map measureGroup="9" dimension="6"/>
    <map measureGroup="9" dimension="7"/>
    <map measureGroup="9" dimension="9"/>
    <map measureGroup="41" dimension="2"/>
    <map measureGroup="41" dimension="3"/>
    <map measureGroup="41" dimension="5"/>
    <map measureGroup="41" dimension="6"/>
    <map measureGroup="41" dimension="7"/>
    <map measureGroup="41" dimension="9"/>
    <map measureGroup="42" dimension="1"/>
    <map measureGroup="42" dimension="2"/>
    <map measureGroup="42" dimension="3"/>
    <map measureGroup="42" dimension="5"/>
    <map measureGroup="42" dimension="6"/>
    <map measureGroup="42" dimension="7"/>
    <map measureGroup="42" dimension="9"/>
    <map measureGroup="42" dimension="10"/>
    <map measureGroup="43" dimension="0"/>
    <map measureGroup="43" dimension="2"/>
    <map measureGroup="43" dimension="3"/>
    <map measureGroup="43" dimension="5"/>
    <map measureGroup="43" dimension="6"/>
    <map measureGroup="43" dimension="7"/>
    <map measureGroup="43" dimension="9"/>
    <map measureGroup="43" dimension="11"/>
    <map measureGroup="44" dimension="0"/>
    <map measureGroup="44" dimension="1"/>
    <map measureGroup="44" dimension="2"/>
    <map measureGroup="44" dimension="3"/>
    <map measureGroup="44" dimension="5"/>
    <map measureGroup="44" dimension="6"/>
    <map measureGroup="44" dimension="7"/>
    <map measureGroup="44" dimension="9"/>
    <map measureGroup="44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Jay Mtei" refreshedDate="44308.008006828706" backgroundQuery="1" createdVersion="6" refreshedVersion="7" minRefreshableVersion="3" recordCount="0" supportSubquery="1" supportAdvancedDrill="1" xr:uid="{00000000-000A-0000-FFFF-FFFF01000000}">
  <cacheSource type="external" connectionId="1"/>
  <cacheFields count="6">
    <cacheField name="[Facilities].[DATIMName].[DATIMName]" caption="DATIMName" numFmtId="0" hierarchy="22" level="1">
      <sharedItems count="308">
        <s v="[Facilities].[DATIMName].&amp;[Africa Amini Momella Health Center]" c="Africa Amini Momella Health Center"/>
        <s v="[Facilities].[DATIMName].&amp;[Aga Khan Dispensary]" c="Aga Khan Dispensary"/>
        <s v="[Facilities].[DATIMName].&amp;[AICC Hospital]" c="AICC Hospital"/>
        <s v="[Facilities].[DATIMName].&amp;[Arusha Lutheran Center Hospital - Referral Hospital]" c="Arusha Lutheran Center Hospital - Referral Hospital"/>
        <s v="[Facilities].[DATIMName].&amp;[Ashe engai RC Health Center]" c="Ashe engai RC Health Center"/>
        <s v="[Facilities].[DATIMName].&amp;[Babati Hospital - District Hospital]" c="Babati Hospital - District Hospital"/>
        <s v="[Facilities].[DATIMName].&amp;[Babati Romancatholic Dispensary]" c="Babati Romancatholic Dispensary"/>
        <s v="[Facilities].[DATIMName].&amp;[Babayu Dispensary]" c="Babayu Dispensary"/>
        <s v="[Facilities].[DATIMName].&amp;[Bahi Health Center]" c="Bahi Health Center"/>
        <s v="[Facilities].[DATIMName].&amp;[Bahi Makulu Dispensary]" c="Bahi Makulu Dispensary"/>
        <s v="[Facilities].[DATIMName].&amp;[Bashay Dispensary]" c="Bashay Dispensary"/>
        <s v="[Facilities].[DATIMName].&amp;[Bashnet Hospital]" c="Bashnet Hospital"/>
        <s v="[Facilities].[DATIMName].&amp;[Bassotu Ziwani Dispensary]" c="Bassotu Ziwani Dispensary"/>
        <s v="[Facilities].[DATIMName].&amp;[Benjamini Mkapa]" c="Benjamini Mkapa"/>
        <s v="[Facilities].[DATIMName].&amp;[Bereko Dispensary]" c="Bereko Dispensary"/>
        <s v="[Facilities].[DATIMName].&amp;[Bolisa Dispensary]" c="Bolisa Dispensary"/>
        <s v="[Facilities].[DATIMName].&amp;[Bondeni Dispensary]" c="Bondeni Dispensary"/>
        <s v="[Facilities].[DATIMName].&amp;[Bonga Health Center]" c="Bonga Health Center"/>
        <s v="[Facilities].[DATIMName].&amp;[Busi Health Center]" c="Busi Health Center"/>
        <s v="[Facilities].[DATIMName].&amp;[Bwagamoyo Dispensary]" c="Bwagamoyo Dispensary"/>
        <s v="[Facilities].[DATIMName].&amp;[Bwambo HC Health Center]" c="Bwambo HC Health Center"/>
        <s v="[Facilities].[DATIMName].&amp;[Chali Isangha Dispensary]" c="Chali Isangha Dispensary"/>
        <s v="[Facilities].[DATIMName].&amp;[Chambalo Dispensary]" c="Chambalo Dispensary"/>
        <s v="[Facilities].[DATIMName].&amp;[Chamkoroma Dispensary]" c="Chamkoroma Dispensary"/>
        <s v="[Facilities].[DATIMName].&amp;[Chamwino RHC Health Center]" c="Chamwino RHC Health Center"/>
        <s v="[Facilities].[DATIMName].&amp;[Charlotte Health Center]" c="Charlotte Health Center"/>
        <s v="[Facilities].[DATIMName].&amp;[Chekereni Dispensary]" c="Chekereni Dispensary"/>
        <s v="[Facilities].[DATIMName].&amp;[Chibelela Dispensary]" c="Chibelela Dispensary"/>
        <s v="[Facilities].[DATIMName].&amp;[Chifukuta Dispensary]" c="Chifukuta Dispensary"/>
        <s v="[Facilities].[DATIMName].&amp;[Chikola Dispensary]" c="Chikola Dispensary"/>
        <s v="[Facilities].[DATIMName].&amp;[Chipanga Health Center]" c="Chipanga Health Center"/>
        <s v="[Facilities].[DATIMName].&amp;[Chipogoro Dispensary]" c="Chipogoro Dispensary"/>
        <s v="[Facilities].[DATIMName].&amp;[Chiwe Dispensary]" c="Chiwe Dispensary"/>
        <s v="[Facilities].[DATIMName].&amp;[Chunyu Dispensary]" c="Chunyu Dispensary"/>
        <s v="[Facilities].[DATIMName].&amp;[Daraja II Health Center]" c="Daraja II Health Center"/>
        <s v="[Facilities].[DATIMName].&amp;[Dareda Mission Hospital - Designated District Hospital]" c="Dareda Mission Hospital - Designated District Hospital"/>
        <s v="[Facilities].[DATIMName].&amp;[Daudi Dispensary]" c="Daudi Dispensary"/>
        <s v="[Facilities].[DATIMName].&amp;[DCMC Health Center]" c="DCMC Health Center"/>
        <s v="[Facilities].[DATIMName].&amp;[Digodigo Dispensary]" c="Digodigo Dispensary"/>
        <s v="[Facilities].[DATIMName].&amp;[Dodoma Hospital - Regional Referral Hospital]" c="Dodoma Hospital - Regional Referral Hospital"/>
        <s v="[Facilities].[DATIMName].&amp;[Dongo Dispensary]" c="Dongo Dispensary"/>
        <s v="[Facilities].[DATIMName].&amp;[Dongobesh Health Center]" c="Dongobesh Health Center"/>
        <s v="[Facilities].[DATIMName].&amp;[ELERAI Dispensary]" c="ELERAI Dispensary"/>
        <s v="[Facilities].[DATIMName].&amp;[Emarti Dispensary]" c="Emarti Dispensary"/>
        <s v="[Facilities].[DATIMName].&amp;[Endabash Health Center]" c="Endabash Health Center"/>
        <s v="[Facilities].[DATIMName].&amp;[Endasak Dispensary]" c="Endasak Dispensary"/>
        <s v="[Facilities].[DATIMName].&amp;[Endulen Hospital - Other Hospital]" c="Endulen Hospital - Other Hospital"/>
        <s v="[Facilities].[DATIMName].&amp;[Engarenaibor Hospital]" c="Engarenaibor Hospital"/>
        <s v="[Facilities].[DATIMName].&amp;[Engusero Health Center]" c="Engusero Health Center"/>
        <s v="[Facilities].[DATIMName].&amp;[Fame Medical Health Center]" c="Fame Medical Health Center"/>
        <s v="[Facilities].[DATIMName].&amp;[Faraja Health Center]" c="Faraja Health Center"/>
        <s v="[Facilities].[DATIMName].&amp;[Gallapo Health Center]" c="Gallapo Health Center"/>
        <s v="[Facilities].[DATIMName].&amp;[Gelai Bomba Dispensary]" c="Gelai Bomba Dispensary"/>
        <s v="[Facilities].[DATIMName].&amp;[Gendabi Health Center]" c="Gendabi Health Center"/>
        <s v="[Facilities].[DATIMName].&amp;[Gidas Health Center]" c="Gidas Health Center"/>
        <s v="[Facilities].[DATIMName].&amp;[Gonja Lutheran Hospital - Other Hospital]" c="Gonja Lutheran Hospital - Other Hospital"/>
        <s v="[Facilities].[DATIMName].&amp;[Gunge Dispensary]" c="Gunge Dispensary"/>
        <s v="[Facilities].[DATIMName].&amp;[Hai Hospital - District Hospital]" c="Hai Hospital - District Hospital"/>
        <s v="[Facilities].[DATIMName].&amp;[Hamai Health Center]" c="Hamai Health Center"/>
        <s v="[Facilities].[DATIMName].&amp;[Haneti Health Center]" c="Haneti Health Center"/>
        <s v="[Facilities].[DATIMName].&amp;[Haubi VA Dispensary]" c="Haubi VA Dispensary"/>
        <s v="[Facilities].[DATIMName].&amp;[Haydarer Dispensary]" c="Haydarer Dispensary"/>
        <s v="[Facilities].[DATIMName].&amp;[Hedaru Health Center]" c="Hedaru Health Center"/>
        <s v="[Facilities].[DATIMName].&amp;[Himo COG Dispensary]" c="Himo COG Dispensary"/>
        <s v="[Facilities].[DATIMName].&amp;[Himo Health Center]" c="Himo Health Center"/>
        <s v="[Facilities].[DATIMName].&amp;[Hogoro Dispensary]" c="Hogoro Dispensary"/>
        <s v="[Facilities].[DATIMName].&amp;[Holili Health Centre Dispensary]" c="Holili Health Centre Dispensary"/>
        <s v="[Facilities].[DATIMName].&amp;[Hombolo Makulu Dispensary]" c="Hombolo Makulu Dispensary"/>
        <s v="[Facilities].[DATIMName].&amp;[Huruma Hospital - Designated District Hospital]" c="Huruma Hospital - Designated District Hospital"/>
        <s v="[Facilities].[DATIMName].&amp;[Hydom Hospital - Referral Hospital]" c="Hydom Hospital - Referral Hospital"/>
        <s v="[Facilities].[DATIMName].&amp;[Ibihwa Dispensary]" c="Ibihwa Dispensary"/>
        <s v="[Facilities].[DATIMName].&amp;[Ibugule Dispensary]" c="Ibugule Dispensary"/>
        <s v="[Facilities].[DATIMName].&amp;[Ibwaga Dispensary]" c="Ibwaga Dispensary"/>
        <s v="[Facilities].[DATIMName].&amp;[Iduo Dispensary]" c="Iduo Dispensary"/>
        <s v="[Facilities].[DATIMName].&amp;[Ihumwa Dispensary]" c="Ihumwa Dispensary"/>
        <s v="[Facilities].[DATIMName].&amp;[Inzomvu Dispensary]" c="Inzomvu Dispensary"/>
        <s v="[Facilities].[DATIMName].&amp;[Ipala Dispensary]" c="Ipala Dispensary"/>
        <s v="[Facilities].[DATIMName].&amp;[Ithnaasheri charitable Dispensary]" c="Ithnaasheri charitable Dispensary"/>
        <s v="[Facilities].[DATIMName].&amp;[Itolwa Dispensary]" c="Itolwa Dispensary"/>
        <s v="[Facilities].[DATIMName].&amp;[Kagongo Health Center]" c="Kagongo Health Center"/>
        <s v="[Facilities].[DATIMName].&amp;[Kainam Dispensary]" c="Kainam Dispensary"/>
        <s v="[Facilities].[DATIMName].&amp;[Kaloleni Health Center]" c="Kaloleni Health Center"/>
        <s v="[Facilities].[DATIMName].&amp;[KAM Med Health Centre Health Center]" c="KAM Med Health Centre Health Center"/>
        <s v="[Facilities].[DATIMName].&amp;[Kamwanga Dispensary]" c="Kamwanga Dispensary"/>
        <s v="[Facilities].[DATIMName].&amp;[Karatu Health Center]" c="Karatu Health Center"/>
        <s v="[Facilities].[DATIMName].&amp;[Karatu Lutheran Hospital - Designated District Hospital]" c="Karatu Lutheran Hospital - Designated District Hospital"/>
        <s v="[Facilities].[DATIMName].&amp;[Karume Health Center]" c="Karume Health Center"/>
        <s v="[Facilities].[DATIMName].&amp;[Katesh Health Center]" c="Katesh Health Center"/>
        <s v="[Facilities].[DATIMName].&amp;[KCMC Hospital - Zonal Super Specialist Hospital]" c="KCMC Hospital - Zonal Super Specialist Hospital"/>
        <s v="[Facilities].[DATIMName].&amp;[Kelema Dispensary]" c="Kelema Dispensary"/>
        <s v="[Facilities].[DATIMName].&amp;[Keni Health Center]" c="Keni Health Center"/>
        <s v="[Facilities].[DATIMName].&amp;[Ketumbeine Dispensary]" c="Ketumbeine Dispensary"/>
        <s v="[Facilities].[DATIMName].&amp;[KIA Dispensary]" c="KIA Dispensary"/>
        <s v="[Facilities].[DATIMName].&amp;[Kibaigwa Health Center]" c="Kibaigwa Health Center"/>
        <s v="[Facilities].[DATIMName].&amp;[Kibakwe Health Center]" c="Kibakwe Health Center"/>
        <s v="[Facilities].[DATIMName].&amp;[Kibaya Hospital - District Hospital]" c="Kibaya Hospital - District Hospital"/>
        <s v="[Facilities].[DATIMName].&amp;[Kibong'oto Infection Disease (KIDH) Hospital - National Super Specialist Hospital]" c="Kibong'oto Infection Disease (KIDH) Hospital - National Super Specialist Hospital"/>
        <s v="[Facilities].[DATIMName].&amp;[Kiboriloni Dispensary]" c="Kiboriloni Dispensary"/>
        <s v="[Facilities].[DATIMName].&amp;[Kibosho Hospital - Designated District Hospital]" c="Kibosho Hospital - Designated District Hospital"/>
        <s v="[Facilities].[DATIMName].&amp;[Kidoka Dispensary]" c="Kidoka Dispensary"/>
        <s v="[Facilities].[DATIMName].&amp;[Kifaru Dispensary]" c="Kifaru Dispensary"/>
        <s v="[Facilities].[DATIMName].&amp;[Kifula Health Center]" c="Kifula Health Center"/>
        <s v="[Facilities].[DATIMName].&amp;[Kigonigoni Health Center]" c="Kigonigoni Health Center"/>
        <s v="[Facilities].[DATIMName].&amp;[Kijenge RC Dispensary]" c="Kijenge RC Dispensary"/>
        <s v="[Facilities].[DATIMName].&amp;[Kijungu Dispensary]" c="Kijungu Dispensary"/>
        <s v="[Facilities].[DATIMName].&amp;[Kikarara Dispensary]" c="Kikarara Dispensary"/>
        <s v="[Facilities].[DATIMName].&amp;[Kikavu Chini Dispensary]" c="Kikavu Chini Dispensary"/>
        <s v="[Facilities].[DATIMName].&amp;[Kikombo Health Center]" c="Kikombo Health Center"/>
        <s v="[Facilities].[DATIMName].&amp;[Kikuyu Dispensary]" c="Kikuyu Dispensary"/>
        <s v="[Facilities].[DATIMName].&amp;[Kilema Hospital - Designated District Hospital]" c="Kilema Hospital - Designated District Hospital"/>
        <s v="[Facilities].[DATIMName].&amp;[Kilema Pofo Dispensary]" c="Kilema Pofo Dispensary"/>
        <s v="[Facilities].[DATIMName].&amp;[Kilimanjaro medical (PAPRI) Dispensary]" c="Kilimanjaro medical (PAPRI) Dispensary"/>
        <s v="[Facilities].[DATIMName].&amp;[Kilombero Dispensary]" c="Kilombero Dispensary"/>
        <s v="[Facilities].[DATIMName].&amp;[Kimotorok Dispensary]" c="Kimotorok Dispensary"/>
        <s v="[Facilities].[DATIMName].&amp;[Kingale Dispensary]" c="Kingale Dispensary"/>
        <s v="[Facilities].[DATIMName].&amp;[Kinyasi Dispensary]" c="Kinyasi Dispensary"/>
        <s v="[Facilities].[DATIMName].&amp;[Kioga Dispensary]" c="Kioga Dispensary"/>
        <s v="[Facilities].[DATIMName].&amp;[Kiongozi Dispensary]" c="Kiongozi Dispensary"/>
        <s v="[Facilities].[DATIMName].&amp;[Kiperesa Dispensary]" c="Kiperesa Dispensary"/>
        <s v="[Facilities].[DATIMName].&amp;[kipok Dispensary]" c="kipok Dispensary"/>
        <s v="[Facilities].[DATIMName].&amp;[Kiranyi Dispensary]" c="Kiranyi Dispensary"/>
        <s v="[Facilities].[DATIMName].&amp;[Kiru Dispensary]" c="Kiru Dispensary"/>
        <s v="[Facilities].[DATIMName].&amp;[Kirua Vunjo Health Center]" c="Kirua Vunjo Health Center"/>
        <s v="[Facilities].[DATIMName].&amp;[Kirurumo Health Center]" c="Kirurumo Health Center"/>
        <s v="[Facilities].[DATIMName].&amp;[Kirwa Mashati Health Center]" c="Kirwa Mashati Health Center"/>
        <s v="[Facilities].[DATIMName].&amp;[Kisangara Health Center]" c="Kisangara Health Center"/>
        <s v="[Facilities].[DATIMName].&amp;[Kisese RHC Health Center]" c="Kisese RHC Health Center"/>
        <s v="[Facilities].[DATIMName].&amp;[Kisiki Health Center]" c="Kisiki Health Center"/>
        <s v="[Facilities].[DATIMName].&amp;[Kisiwani Health Center]" c="Kisiwani Health Center"/>
        <s v="[Facilities].[DATIMName].&amp;[Kitwai A Dispensary]" c="Kitwai A Dispensary"/>
        <s v="[Facilities].[DATIMName].&amp;[Kondoa Hospital - District Hospital]" c="Kondoa Hospital - District Hospital"/>
        <s v="[Facilities].[DATIMName].&amp;[Kongogo Dispensary]" c="Kongogo Dispensary"/>
        <s v="[Facilities].[DATIMName].&amp;[Kongwa Hospital]" c="Kongwa Hospital"/>
        <s v="[Facilities].[DATIMName].&amp;[Korongoni Dispensary]" c="Korongoni Dispensary"/>
        <s v="[Facilities].[DATIMName].&amp;[Kwamtoro Health Centre]" c="Kwamtoro Health Centre"/>
        <s v="[Facilities].[DATIMName].&amp;[Kyomu Dispensary]" c="Kyomu Dispensary"/>
        <s v="[Facilities].[DATIMName].&amp;[Labay Pentecoste Dispensary]" c="Labay Pentecoste Dispensary"/>
        <s v="[Facilities].[DATIMName].&amp;[Laikala Dispensary]" c="Laikala Dispensary"/>
        <s v="[Facilities].[DATIMName].&amp;[Lamaiti Dispensary]" c="Lamaiti Dispensary"/>
        <s v="[Facilities].[DATIMName].&amp;[Lengasiti Dispensary]" c="Lengasiti Dispensary"/>
        <s v="[Facilities].[DATIMName].&amp;[Lerang'wa Dispensary]" c="Lerang'wa Dispensary"/>
        <s v="[Facilities].[DATIMName].&amp;[Levishi Dispensary]" c="Levishi Dispensary"/>
        <s v="[Facilities].[DATIMName].&amp;[Levolosi Health Center]" c="Levolosi Health Center"/>
        <s v="[Facilities].[DATIMName].&amp;[Loiborsiret Dispensary]" c="Loiborsiret Dispensary"/>
        <s v="[Facilities].[DATIMName].&amp;[Loliondo Health Center]" c="Loliondo Health Center"/>
        <s v="[Facilities].[DATIMName].&amp;[Lolkisale Dispensary]" c="Lolkisale Dispensary"/>
        <s v="[Facilities].[DATIMName].&amp;[Longido Health Center]" c="Longido Health Center"/>
        <s v="[Facilities].[DATIMName].&amp;[Lumuma RC Health Center]" c="Lumuma RC Health Center"/>
        <s v="[Facilities].[DATIMName].&amp;[M&amp;M Kiwera Dispensary]" c="M&amp;M Kiwera Dispensary"/>
        <s v="[Facilities].[DATIMName].&amp;[Mabogini Dispensary]" c="Mabogini Dispensary"/>
        <s v="[Facilities].[DATIMName].&amp;[Machame Hospital - Designated District Hospital]" c="Machame Hospital - Designated District Hospital"/>
        <s v="[Facilities].[DATIMName].&amp;[Magara Health Center]" c="Magara Health Center"/>
        <s v="[Facilities].[DATIMName].&amp;[Magugu Health Center]" c="Magugu Health Center"/>
        <s v="[Facilities].[DATIMName].&amp;[Mahomanyika Dispensary]" c="Mahomanyika Dispensary"/>
        <s v="[Facilities].[DATIMName].&amp;[Maili Sita RC Dispensary]" c="Maili Sita RC Dispensary"/>
        <s v="[Facilities].[DATIMName].&amp;[Majengo Health Center]" c="Majengo Health Center"/>
        <s v="[Facilities].[DATIMName].&amp;[Makaa Pumwani Dispensary]" c="Makaa Pumwani Dispensary"/>
        <s v="[Facilities].[DATIMName].&amp;[Makanya Health Center]" c="Makanya Health Center"/>
        <s v="[Facilities].[DATIMName].&amp;[Makanya Kitivo Dispensary]" c="Makanya Kitivo Dispensary"/>
        <s v="[Facilities].[DATIMName].&amp;[Makiba Health Center]" c="Makiba Health Center"/>
        <s v="[Facilities].[DATIMName].&amp;[Makole HC Health Center]" c="Makole HC Health Center"/>
        <s v="[Facilities].[DATIMName].&amp;[Makuyuni Dispensary]" c="Makuyuni Dispensary"/>
        <s v="[Facilities].[DATIMName].&amp;[Malambo Health Center]" c="Malambo Health Center"/>
        <s v="[Facilities].[DATIMName].&amp;[Malangi Dispensary]" c="Malangi Dispensary"/>
        <s v="[Facilities].[DATIMName].&amp;[Mamire Health Center]" c="Mamire Health Center"/>
        <s v="[Facilities].[DATIMName].&amp;[Manchali Dispensary]" c="Manchali Dispensary"/>
        <s v="[Facilities].[DATIMName].&amp;[Manyara Hospital - Regional Referral Hospital]" c="Manyara Hospital - Regional Referral Hospital"/>
        <s v="[Facilities].[DATIMName].&amp;[Maore Dispensary]" c="Maore Dispensary"/>
        <s v="[Facilities].[DATIMName].&amp;[Marangu Lutheran Hospital]" c="Marangu Lutheran Hospital"/>
        <s v="[Facilities].[DATIMName].&amp;[Maretadu Dispensary]" c="Maretadu Dispensary"/>
        <s v="[Facilities].[DATIMName].&amp;[Mareu Health Center]" c="Mareu Health Center"/>
        <s v="[Facilities].[DATIMName].&amp;[Masama Health Center]" c="Masama Health Center"/>
        <s v="[Facilities].[DATIMName].&amp;[Matui Azimio Dispensary]" c="Matui Azimio Dispensary"/>
        <s v="[Facilities].[DATIMName].&amp;[Matumbulu Dispensary]" c="Matumbulu Dispensary"/>
        <s v="[Facilities].[DATIMName].&amp;[Mawenzi Hospital - Regional Referral Hospital]" c="Mawenzi Hospital - Regional Referral Hospital"/>
        <s v="[Facilities].[DATIMName].&amp;[Mbande Dispensary]" c="Mbande Dispensary"/>
        <s v="[Facilities].[DATIMName].&amp;[Mbori Dispensary]" c="Mbori Dispensary"/>
        <s v="[Facilities].[DATIMName].&amp;[Mbuguni Health Center]" c="Mbuguni Health Center"/>
        <s v="[Facilities].[DATIMName].&amp;[Mbulu Hospital - District Hospital]" c="Mbulu Hospital - District Hospital"/>
        <s v="[Facilities].[DATIMName].&amp;[Mbuyuni Health Center]" c="Mbuyuni Health Center"/>
        <s v="[Facilities].[DATIMName].&amp;[Mererani RC Dispensary]" c="Mererani RC Dispensary"/>
        <s v="[Facilities].[DATIMName].&amp;[Meru Hospital - District Hospital]" c="Meru Hospital - District Hospital"/>
        <s v="[Facilities].[DATIMName].&amp;[Michese Dispensary]" c="Michese Dispensary"/>
        <s v="[Facilities].[DATIMName].&amp;[Mima Dispensary]" c="Mima Dispensary"/>
        <s v="[Facilities].[DATIMName].&amp;[Mirembe Mental Health (MMHH) Hospital - National Super Specialist Hospital]" c="Mirembe Mental Health (MMHH) Hospital - National Super Specialist Hospital"/>
        <s v="[Facilities].[DATIMName].&amp;[Mirerani UHC Health Center]" c="Mirerani UHC Health Center"/>
        <s v="[Facilities].[DATIMName].&amp;[Mkoka Health Centre]" c="Mkoka Health Centre"/>
        <s v="[Facilities].[DATIMName].&amp;[Mkondai Dispensary]" c="Mkondai Dispensary"/>
        <s v="[Facilities].[DATIMName].&amp;[Mkonoo Health Center]" c="Mkonoo Health Center"/>
        <s v="[Facilities].[DATIMName].&amp;[Mkonze Health Center]" c="Mkonze Health Center"/>
        <s v="[Facilities].[DATIMName].&amp;[Mlali Health Center]" c="Mlali Health Center"/>
        <s v="[Facilities].[DATIMName].&amp;[Mlowa Barabarani Health Center]" c="Mlowa Barabarani Health Center"/>
        <s v="[Facilities].[DATIMName].&amp;[Mnenia Health Center]" c="Mnenia Health Center"/>
        <s v="[Facilities].[DATIMName].&amp;[Moivo Dispensary]" c="Moivo Dispensary"/>
        <s v="[Facilities].[DATIMName].&amp;[Mondo Dispensary]" c="Mondo Dispensary"/>
        <s v="[Facilities].[DATIMName].&amp;[Monduli Hospital - District Hospital]" c="Monduli Hospital - District Hospital"/>
        <s v="[Facilities].[DATIMName].&amp;[Moshes Health Center]" c="Moshes Health Center"/>
        <s v="[Facilities].[DATIMName].&amp;[Mpalanga Dispensary]" c="Mpalanga Dispensary"/>
        <s v="[Facilities].[DATIMName].&amp;[Mpamatwa Dispensary]" c="Mpamatwa Dispensary"/>
        <s v="[Facilities].[DATIMName].&amp;[Mpunguzi Dispensary]" c="Mpunguzi Dispensary"/>
        <s v="[Facilities].[DATIMName].&amp;[Mpwapwa Hospital - District Hospital]" c="Mpwapwa Hospital - District Hospital"/>
        <s v="[Facilities].[DATIMName].&amp;[Mpwayungu Health Center]" c="Mpwayungu Health Center"/>
        <s v="[Facilities].[DATIMName].&amp;[Mrijo Health Center]" c="Mrijo Health Center"/>
        <s v="[Facilities].[DATIMName].&amp;[Msaranga Dispensary]" c="Msaranga Dispensary"/>
        <s v="[Facilities].[DATIMName].&amp;[Msisi Dispensary]" c="Msisi Dispensary"/>
        <s v="[Facilities].[DATIMName].&amp;[Msitu wa Tembo Dispensary]" c="Msitu wa Tembo Dispensary"/>
        <s v="[Facilities].[DATIMName].&amp;[Mt. Meru Hospital - Regional Referral Hospital]" c="Mt. Meru Hospital - Regional Referral Hospital"/>
        <s v="[Facilities].[DATIMName].&amp;[Mtakuja Dispensary]" c="Mtakuja Dispensary"/>
        <s v="[Facilities].[DATIMName].&amp;[Mtanana A Dispensary]" c="Mtanana A Dispensary"/>
        <s v="[Facilities].[DATIMName].&amp;[Mtitaa Health Center]" c="Mtitaa Health Center"/>
        <s v="[Facilities].[DATIMName].&amp;[Mto wa Mbu Health Center]" c="Mto wa Mbu Health Center"/>
        <s v="[Facilities].[DATIMName].&amp;[Mto wa Mbu RC Dispensary]" c="Mto wa Mbu RC Dispensary"/>
        <s v="[Facilities].[DATIMName].&amp;[Mundarara Dispensary]" c="Mundarara Dispensary"/>
        <s v="[Facilities].[DATIMName].&amp;[Mundemu Health Center]" c="Mundemu Health Center"/>
        <s v="[Facilities].[DATIMName].&amp;[Mvumi Mission Hospital - Designated District Hospital]" c="Mvumi Mission Hospital - Designated District Hospital"/>
        <s v="[Facilities].[DATIMName].&amp;[Mwada Dispensary]" c="Mwada Dispensary"/>
        <s v="[Facilities].[DATIMName].&amp;[Mwana Kianga Dispensary]" c="Mwana Kianga Dispensary"/>
        <s v="[Facilities].[DATIMName].&amp;[Mwandet Dispensary]" c="Mwandet Dispensary"/>
        <s v="[Facilities].[DATIMName].&amp;[Mwanga Health Center]" c="Mwanga Health Center"/>
        <s v="[Facilities].[DATIMName].&amp;[Mwika Health Center]" c="Mwika Health Center"/>
        <s v="[Facilities].[DATIMName].&amp;[Naberera Health Center]" c="Naberera Health Center"/>
        <s v="[Facilities].[DATIMName].&amp;[Naibili Dispensary]" c="Naibili Dispensary"/>
        <s v="[Facilities].[DATIMName].&amp;[Nainokanoka Health Center]" c="Nainokanoka Health Center"/>
        <s v="[Facilities].[DATIMName].&amp;[Naisinyai Dispensary]" c="Naisinyai Dispensary"/>
        <s v="[Facilities].[DATIMName].&amp;[Namalulu Dispensary]" c="Namalulu Dispensary"/>
        <s v="[Facilities].[DATIMName].&amp;[Namanga Dispensary]" c="Namanga Dispensary"/>
        <s v="[Facilities].[DATIMName].&amp;[Ndaleta Dispensary]" c="Ndaleta Dispensary"/>
        <s v="[Facilities].[DATIMName].&amp;[Ndedo Dispensary]" c="Ndedo Dispensary"/>
        <s v="[Facilities].[DATIMName].&amp;[Ndungu Health Center]" c="Ndungu Health Center"/>
        <s v="[Facilities].[DATIMName].&amp;[Nduruma Health Center]" c="Nduruma Health Center"/>
        <s v="[Facilities].[DATIMName].&amp;[Neema Health Center]" c="Neema Health Center"/>
        <s v="[Facilities].[DATIMName].&amp;[Ngage Dispensary]" c="Ngage Dispensary"/>
        <s v="[Facilities].[DATIMName].&amp;[Ngarenanyuki Health Center]" c="Ngarenanyuki Health Center"/>
        <s v="[Facilities].[DATIMName].&amp;[Ngarenaro Health Center]" c="Ngarenaro Health Center"/>
        <s v="[Facilities].[DATIMName].&amp;[Ngaresero Dispensary]" c="Ngaresero Dispensary"/>
        <s v="[Facilities].[DATIMName].&amp;[Nghonghonha Dispensary]" c="Nghonghonha Dispensary"/>
        <s v="[Facilities].[DATIMName].&amp;[Nghulugano Dispensary]" c="Nghulugano Dispensary"/>
        <s v="[Facilities].[DATIMName].&amp;[Ngomai Dispensary]" c="Ngomai Dispensary"/>
        <s v="[Facilities].[DATIMName].&amp;[Ngorbobo Dispensary]" c="Ngorbobo Dispensary"/>
        <s v="[Facilities].[DATIMName].&amp;[Ngorika Dispensary]" c="Ngorika Dispensary"/>
        <s v="[Facilities].[DATIMName].&amp;[Ngoyoni Hospital Hospital - Other Hospital]" c="Ngoyoni Hospital Hospital - Other Hospital"/>
        <s v="[Facilities].[DATIMName].&amp;[Njoge Dispensary]" c="Njoge Dispensary"/>
        <s v="[Facilities].[DATIMName].&amp;[Njoro Dispensary]" c="Njoro Dispensary"/>
        <s v="[Facilities].[DATIMName].&amp;[Nkhome Dispensary]" c="Nkhome Dispensary"/>
        <s v="[Facilities].[DATIMName].&amp;[Nkoaranga Hospital - Other Hospital]" c="Nkoaranga Hospital - Other Hospital"/>
        <s v="[Facilities].[DATIMName].&amp;[Nkwansira Health Center]" c="Nkwansira Health Center"/>
        <s v="[Facilities].[DATIMName].&amp;[Nyumba ya Mungu Dispensary]" c="Nyumba ya Mungu Dispensary"/>
        <s v="[Facilities].[DATIMName].&amp;[Nzungoni Dispensary]" c="Nzungoni Dispensary"/>
        <s v="[Facilities].[DATIMName].&amp;[Oldeani Health Center]" c="Oldeani Health Center"/>
        <s v="[Facilities].[DATIMName].&amp;[Oldonyo Sambu Health Center]" c="Oldonyo Sambu Health Center"/>
        <s v="[Facilities].[DATIMName].&amp;[Olkokola RC Dispensary]" c="Olkokola RC Dispensary"/>
        <s v="[Facilities].[DATIMName].&amp;[Oltrument Hospital - District Hospital]" c="Oltrument Hospital - District Hospital"/>
        <s v="[Facilities].[DATIMName].&amp;[Orkesumet KKKT Hospital]" c="Orkesumet KKKT Hospital"/>
        <s v="[Facilities].[DATIMName].&amp;[Orkesumet UHC Health Center]" c="Orkesumet UHC Health Center"/>
        <s v="[Facilities].[DATIMName].&amp;[Pahi Dispensary]" c="Pahi Dispensary"/>
        <s v="[Facilities].[DATIMName].&amp;[Pasua Health Center]" c="Pasua Health Center"/>
        <s v="[Facilities].[DATIMName].&amp;[Pwaga Dispensary]" c="Pwaga Dispensary"/>
        <s v="[Facilities].[DATIMName].&amp;[Rau Dispensary]" c="Rau Dispensary"/>
        <s v="[Facilities].[DATIMName].&amp;[Riroda Dispensary]" c="Riroda Dispensary"/>
        <s v="[Facilities].[DATIMName].&amp;[Riroda public Dispensary]" c="Riroda public Dispensary"/>
        <s v="[Facilities].[DATIMName].&amp;[Rongai Dispensary]" c="Rongai Dispensary"/>
        <s v="[Facilities].[DATIMName].&amp;[Rudi Health Center]" c="Rudi Health Center"/>
        <s v="[Facilities].[DATIMName].&amp;[Rundugai Dispensary]" c="Rundugai Dispensary"/>
        <s v="[Facilities].[DATIMName].&amp;[Ruvu Remit Dispensary]" c="Ruvu Remit Dispensary"/>
        <s v="[Facilities].[DATIMName].&amp;[Sabilo Dispensary]" c="Sabilo Dispensary"/>
        <s v="[Facilities].[DATIMName].&amp;[Sakami Dispensary]" c="Sakami Dispensary"/>
        <s v="[Facilities].[DATIMName].&amp;[Sambasha Dispensary]" c="Sambasha Dispensary"/>
        <s v="[Facilities].[DATIMName].&amp;[Same Hospital - District Hospital]" c="Same Hospital - District Hospital"/>
        <s v="[Facilities].[DATIMName].&amp;[Selela Dispensary]" c="Selela Dispensary"/>
        <s v="[Facilities].[DATIMName].&amp;[Selian Hospital - Designated District Hospital]" c="Selian Hospital - Designated District Hospital"/>
        <s v="[Facilities].[DATIMName].&amp;[Shengena Health Center]" c="Shengena Health Center"/>
        <s v="[Facilities].[DATIMName].&amp;[Shimbwe Health Center]" c="Shimbwe Health Center"/>
        <s v="[Facilities].[DATIMName].&amp;[Shiri Matunda Dispensary]" c="Shiri Matunda Dispensary"/>
        <s v="[Facilities].[DATIMName].&amp;[Shirimgungani Dispensary]" c="Shirimgungani Dispensary"/>
        <s v="[Facilities].[DATIMName].&amp;[Siha Health Center]" c="Siha Health Center"/>
        <s v="[Facilities].[DATIMName].&amp;[Siha Hospital - District Hospital]" c="Siha Hospital - District Hospital"/>
        <s v="[Facilities].[DATIMName].&amp;[Siima Health Center]" c="Siima Health Center"/>
        <s v="[Facilities].[DATIMName].&amp;[Simanjiro HC Health Center]" c="Simanjiro HC Health Center"/>
        <s v="[Facilities].[DATIMName].&amp;[Sombetini Dispensary]" c="Sombetini Dispensary"/>
        <s v="[Facilities].[DATIMName].&amp;[Songambele Dispensary]" c="Songambele Dispensary"/>
        <s v="[Facilities].[DATIMName].&amp;[Soya Dispensary]" c="Soya Dispensary"/>
        <s v="[Facilities].[DATIMName].&amp;[St Lukes Health Center]" c="St Lukes Health Center"/>
        <s v="[Facilities].[DATIMName].&amp;[St. Alois Health Center]" c="St. Alois Health Center"/>
        <s v="[Facilities].[DATIMName].&amp;[St. Elizabeth Hospital - Designated District Hospital]" c="St. Elizabeth Hospital - Designated District Hospital"/>
        <s v="[Facilities].[DATIMName].&amp;[St. Gemma Hospital - Designated District Hospital]" c="St. Gemma Hospital - Designated District Hospital"/>
        <s v="[Facilities].[DATIMName].&amp;[St. Joseph Hospital - Designated District Hospital]" c="St. Joseph Hospital - Designated District Hospital"/>
        <s v="[Facilities].[DATIMName].&amp;[St. Thomas Health Center]" c="St. Thomas Health Center"/>
        <s v="[Facilities].[DATIMName].&amp;[Sukuro Dispensary]" c="Sukuro Dispensary"/>
        <s v="[Facilities].[DATIMName].&amp;[Sunya Health Center]" c="Sunya Health Center"/>
        <s v="[Facilities].[DATIMName].&amp;[Tambi Dispensary]" c="Tambi Dispensary"/>
        <s v="[Facilities].[DATIMName].&amp;[Tarakea Health Center]" c="Tarakea Health Center"/>
        <s v="[Facilities].[DATIMName].&amp;[Terrat Dispensary]" c="Terrat Dispensary"/>
        <s v="[Facilities].[DATIMName].&amp;[Thawi Dispensary]" c="Thawi Dispensary"/>
        <s v="[Facilities].[DATIMName].&amp;[Themi Health Center]" c="Themi Health Center"/>
        <s v="[Facilities].[DATIMName].&amp;[TPC Hospital - Other Hospital]" c="TPC Hospital - Other Hospital"/>
        <s v="[Facilities].[DATIMName].&amp;[Tubugwe Dispensary]" c="Tubugwe Dispensary"/>
        <s v="[Facilities].[DATIMName].&amp;[Tumaini Hospital]" c="Tumaini Hospital"/>
        <s v="[Facilities].[DATIMName].&amp;[UDOM Health Center]" c="UDOM Health Center"/>
        <s v="[Facilities].[DATIMName].&amp;[Ugogoni Health Center]" c="Ugogoni Health Center"/>
        <s v="[Facilities].[DATIMName].&amp;[UMATI Clinic]" c="UMATI Clinic"/>
        <s v="[Facilities].[DATIMName].&amp;[Umbwe Health Center]" c="Umbwe Health Center"/>
        <s v="[Facilities].[DATIMName].&amp;[Uru kaskazini Dispensary]" c="Uru kaskazini Dispensary"/>
        <s v="[Facilities].[DATIMName].&amp;[Uru Kyaseni Health Center]" c="Uru Kyaseni Health Center"/>
        <s v="[Facilities].[DATIMName].&amp;[Usa RC Health Center]" c="Usa RC Health Center"/>
        <s v="[Facilities].[DATIMName].&amp;[USA River Health Center]" c="USA River Health Center"/>
        <s v="[Facilities].[DATIMName].&amp;[Usangi Hospital - District Hospital]" c="Usangi Hospital - District Hospital"/>
        <s v="[Facilities].[DATIMName].&amp;[Village of Hope Health Center]" c="Village of Hope Health Center"/>
        <s v="[Facilities].[DATIMName].&amp;[Wasso Hospital - Designated District Hospital]" c="Wasso Hospital - Designated District Hospital"/>
      </sharedItems>
    </cacheField>
    <cacheField name="[Measures].[TX_NEW]" caption="TX_NEW" numFmtId="0" hierarchy="653" level="32767"/>
    <cacheField name="[Age Group].[AgeGroup_A_P].[AgeGroup_A_P]" caption="AgeGroup_A_P" numFmtId="0" hierarchy="2" level="1">
      <sharedItems count="2">
        <s v="[Age Group].[AgeGroup_A_P].&amp;[A]" c="A"/>
        <s v="[Age Group].[AgeGroup_A_P].&amp;[P]" c="P"/>
      </sharedItems>
    </cacheField>
    <cacheField name="[DimDate].[MonthYear].[MonthYear]" caption="MonthYear" numFmtId="0" hierarchy="13" level="1">
      <sharedItems containsSemiMixedTypes="0" containsString="0"/>
    </cacheField>
    <cacheField name="[Measures].[TX_CURR]" caption="TX_CURR" numFmtId="0" hierarchy="657" level="32767"/>
    <cacheField name="[Measures].[TX_CURR_PRIOR_MONTH]" caption="TX_CURR_PRIOR_MONTH" numFmtId="0" hierarchy="676" level="32767"/>
  </cacheFields>
  <cacheHierarchies count="728">
    <cacheHierarchy uniqueName="[Age Group].[Age]" caption="Age" attribute="1" defaultMemberUniqueName="[Age Group].[Age].[All]" allUniqueName="[Age Group].[Age].[All]" dimensionUniqueName="[Age Group]" displayFolder="" count="0" unbalanced="0"/>
    <cacheHierarchy uniqueName="[Age Group].[AgeGroup]" caption="AgeGroup" attribute="1" defaultMemberUniqueName="[Age Group].[AgeGroup].[All]" allUniqueName="[Age Group].[AgeGroup].[All]" dimensionUniqueName="[Age Group]" displayFolder="" count="0" unbalanced="0"/>
    <cacheHierarchy uniqueName="[Age Group].[AgeGroup_A_P]" caption="AgeGroup_A_P" attribute="1" defaultMemberUniqueName="[Age Group].[AgeGroup_A_P].[All]" allUniqueName="[Age Group].[AgeGroup_A_P].[All]" dimensionUniqueName="[Age Group]" displayFolder="" count="2" unbalanced="0">
      <fieldsUsage count="2">
        <fieldUsage x="-1"/>
        <fieldUsage x="2"/>
      </fieldsUsage>
    </cacheHierarchy>
    <cacheHierarchy uniqueName="[DimDate].[Date]" caption="Date" attribute="1" defaultMemberUniqueName="[DimDate].[Date].[All]" allUniqueName="[DimDate].[Date].[All]" dimensionUniqueName="[DimDate]" displayFolder="" count="0" unbalanced="0"/>
    <cacheHierarchy uniqueName="[DimDate].[DateKey]" caption="DateKey" attribute="1" defaultMemberUniqueName="[DimDate].[DateKey].[All]" allUniqueName="[DimDate].[DateKey].[All]" dimensionUniqueName="[DimDate]" displayFolder="" count="0" unbalanced="0"/>
    <cacheHierarchy uniqueName="[DimDate].[DayName]" caption="DayName" attribute="1" defaultMemberUniqueName="[DimDate].[DayName].[All]" allUniqueName="[DimDate].[DayName].[All]" dimensionUniqueName="[DimDate]" displayFolder="" count="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unbalanced="0"/>
    <cacheHierarchy uniqueName="[DimDate].[FiscalQuarterName]" caption="FiscalQuarterName" attribute="1" defaultMemberUniqueName="[DimDate].[FiscalQuarterName].[All]" allUniqueName="[DimDate].[FiscalQuarterName].[All]" dimensionUniqueName="[DimDate]" displayFolder="" count="0" unbalanced="0"/>
    <cacheHierarchy uniqueName="[DimDate].[FiscalQuarterNum]" caption="FiscalQuarterNum" attribute="1" defaultMemberUniqueName="[DimDate].[FiscalQuarterNum].[All]" allUniqueName="[DimDate].[FiscalQuarterNum].[All]" dimensionUniqueName="[DimDate]" displayFolder="" count="0" unbalanced="0"/>
    <cacheHierarchy uniqueName="[DimDate].[FiscalYear]" caption="FiscalYear" attribute="1" defaultMemberUniqueName="[DimDate].[FiscalYear].[All]" allUniqueName="[DimDate].[FiscalYear].[All]" dimensionUniqueName="[DimDate]" displayFolder="" count="0" unbalanced="0"/>
    <cacheHierarchy uniqueName="[DimDate].[Month]" caption="Month" attribute="1" defaultMemberUniqueName="[DimDate].[Month].[All]" allUniqueName="[DimDate].[Month].[All]" dimensionUniqueName="[DimDate]" displayFolder="" count="0" unbalanced="0"/>
    <cacheHierarchy uniqueName="[DimDate].[MonthName]" caption="MonthName" attribute="1" defaultMemberUniqueName="[DimDate].[MonthName].[All]" allUniqueName="[DimDate].[MonthName].[All]" dimensionUniqueName="[DimDate]" displayFolder="" count="0" unbalanced="0"/>
    <cacheHierarchy uniqueName="[DimDate].[MonthNameShort]" caption="MonthNameShort" attribute="1" defaultMemberUniqueName="[DimDate].[MonthNameShort].[All]" allUniqueName="[DimDate].[MonthNameShort].[All]" dimensionUniqueName="[DimDate]" displayFolder="" count="0" unbalanced="0"/>
    <cacheHierarchy uniqueName="[DimDate].[MonthYear]" caption="MonthYear" attribute="1" defaultMemberUniqueName="[DimDate].[MonthYear].[All]" allUniqueName="[DimDate].[MonthYear].[All]" dimensionUniqueName="[DimDate]" displayFolder="" count="2" unbalanced="0">
      <fieldsUsage count="2">
        <fieldUsage x="-1"/>
        <fieldUsage x="3"/>
      </fieldsUsage>
    </cacheHierarchy>
    <cacheHierarchy uniqueName="[DimDate].[Quarter]" caption="Quarter" attribute="1" defaultMemberUniqueName="[DimDate].[Quarter].[All]" allUniqueName="[DimDate].[Quarter].[All]" dimensionUniqueName="[DimDate]" displayFolder="" count="0" unbalanced="0"/>
    <cacheHierarchy uniqueName="[DimDate].[QuarterName]" caption="QuarterName" attribute="1" defaultMemberUniqueName="[DimDate].[QuarterName].[All]" allUniqueName="[DimDate].[QuarterName].[All]" dimensionUniqueName="[DimDate]" displayFolder="" count="0" unbalanced="0"/>
    <cacheHierarchy uniqueName="[DimDate].[Year]" caption="Year" attribute="1" defaultMemberUniqueName="[DimDate].[Year].[All]" allUniqueName="[DimDate].[Year].[All]" dimensionUniqueName="[DimDate]" displayFolder="" count="0" unbalanced="0"/>
    <cacheHierarchy uniqueName="[Facilities].[AccessFilename]" caption="AccessFilename" attribute="1" defaultMemberUniqueName="[Facilities].[AccessFilename].[All]" allUniqueName="[Facilities].[AccessFilename].[All]" dimensionUniqueName="[Facilities]" displayFolder="" count="0" unbalanced="0"/>
    <cacheHierarchy uniqueName="[Facilities].[CTCPrefix]" caption="CTCPrefix" attribute="1" defaultMemberUniqueName="[Facilities].[CTCPrefix].[All]" allUniqueName="[Facilities].[CTCPrefix].[All]" dimensionUniqueName="[Facilities]" displayFolder="" count="0" unbalanced="0"/>
    <cacheHierarchy uniqueName="[Facilities].[DATIMCouncil]" caption="DATIMCouncil" attribute="1" defaultMemberUniqueName="[Facilities].[DATIMCouncil].[All]" allUniqueName="[Facilities].[DATIMCouncil].[All]" dimensionUniqueName="[Facilities]" displayFolder="" count="0" unbalanced="0"/>
    <cacheHierarchy uniqueName="[Facilities].[DATIMID]" caption="DATIMID" attribute="1" defaultMemberUniqueName="[Facilities].[DATIMID].[All]" allUniqueName="[Facilities].[DATIMID].[All]" dimensionUniqueName="[Facilities]" displayFolder="" count="0" unbalanced="0"/>
    <cacheHierarchy uniqueName="[Facilities].[DATIMID_USG]" caption="DATIMID_USG" attribute="1" defaultMemberUniqueName="[Facilities].[DATIMID_USG].[All]" allUniqueName="[Facilities].[DATIMID_USG].[All]" dimensionUniqueName="[Facilities]" displayFolder="" count="0" unbalanced="0"/>
    <cacheHierarchy uniqueName="[Facilities].[DATIMName]" caption="DATIMName" attribute="1" defaultMemberUniqueName="[Facilities].[DATIMName].[All]" allUniqueName="[Facilities].[DATIMName].[All]" dimensionUniqueName="[Facilities]" displayFolder="" count="2" unbalanced="0">
      <fieldsUsage count="2">
        <fieldUsage x="-1"/>
        <fieldUsage x="0"/>
      </fieldsUsage>
    </cacheHierarchy>
    <cacheHierarchy uniqueName="[Facilities].[DHISOwnership]" caption="DHISOwnership" attribute="1" defaultMemberUniqueName="[Facilities].[DHISOwnership].[All]" allUniqueName="[Facilities].[DHISOwnership].[All]" dimensionUniqueName="[Facilities]" displayFolder="" count="0" unbalanced="0"/>
    <cacheHierarchy uniqueName="[Facilities].[DHSID]" caption="DHSID" attribute="1" defaultMemberUniqueName="[Facilities].[DHSID].[All]" allUniqueName="[Facilities].[DHSID].[All]" dimensionUniqueName="[Facilities]" displayFolder="" count="0" unbalanced="0"/>
    <cacheHierarchy uniqueName="[Facilities].[DHSName]" caption="DHSName" attribute="1" defaultMemberUniqueName="[Facilities].[DHSName].[All]" allUniqueName="[Facilities].[DHSName].[All]" dimensionUniqueName="[Facilities]" displayFolder="" count="0" unbalanced="0"/>
    <cacheHierarchy uniqueName="[Facilities].[District]" caption="District" attribute="1" defaultMemberUniqueName="[Facilities].[District].[All]" allUniqueName="[Facilities].[District].[All]" dimensionUniqueName="[Facilities]" displayFolder="" count="0" unbalanced="0"/>
    <cacheHierarchy uniqueName="[Facilities].[DistrictRevised]" caption="DistrictRevised" attribute="1" defaultMemberUniqueName="[Facilities].[DistrictRevised].[All]" allUniqueName="[Facilities].[DistrictRevised].[All]" dimensionUniqueName="[Facilities]" displayFolder="" count="0" unbalanced="0"/>
    <cacheHierarchy uniqueName="[Facilities].[FacilityKey]" caption="FacilityKey" attribute="1" defaultMemberUniqueName="[Facilities].[FacilityKey].[All]" allUniqueName="[Facilities].[FacilityKey].[All]" dimensionUniqueName="[Facilities]" displayFolder="" count="0" unbalanced="0"/>
    <cacheHierarchy uniqueName="[Facilities].[FacilityName]" caption="FacilityName" attribute="1" defaultMemberUniqueName="[Facilities].[FacilityName].[All]" allUniqueName="[Facilities].[FacilityName].[All]" dimensionUniqueName="[Facilities]" displayFolder="" count="0" unbalanced="0"/>
    <cacheHierarchy uniqueName="[Facilities].[GlaserFacilityType]" caption="GlaserFacilityType" attribute="1" defaultMemberUniqueName="[Facilities].[GlaserFacilityType].[All]" allUniqueName="[Facilities].[GlaserFacilityType].[All]" dimensionUniqueName="[Facilities]" displayFolder="" count="0" unbalanced="0"/>
    <cacheHierarchy uniqueName="[Facilities].[GlaserID]" caption="GlaserID" attribute="1" defaultMemberUniqueName="[Facilities].[GlaserID].[All]" allUniqueName="[Facilities].[GlaserID].[All]" dimensionUniqueName="[Facilities]" displayFolder="" count="0" unbalanced="0"/>
    <cacheHierarchy uniqueName="[Facilities].[GlaserOwnership]" caption="GlaserOwnership" attribute="1" defaultMemberUniqueName="[Facilities].[GlaserOwnership].[All]" allUniqueName="[Facilities].[GlaserOwnership].[All]" dimensionUniqueName="[Facilities]" displayFolder="" count="0" unbalanced="0"/>
    <cacheHierarchy uniqueName="[Facilities].[HFRID]" caption="HFRID" attribute="1" defaultMemberUniqueName="[Facilities].[HFRID].[All]" allUniqueName="[Facilities].[HFRID].[All]" dimensionUniqueName="[Facilities]" displayFolder="" count="0" unbalanced="0"/>
    <cacheHierarchy uniqueName="[Facilities].[HFRID_USG]" caption="HFRID_USG" attribute="1" defaultMemberUniqueName="[Facilities].[HFRID_USG].[All]" allUniqueName="[Facilities].[HFRID_USG].[All]" dimensionUniqueName="[Facilities]" displayFolder="" count="0" unbalanced="0"/>
    <cacheHierarchy uniqueName="[Facilities].[latitude]" caption="latitude" attribute="1" defaultMemberUniqueName="[Facilities].[latitude].[All]" allUniqueName="[Facilities].[latitude].[All]" dimensionUniqueName="[Facilities]" displayFolder="" count="0" unbalanced="0"/>
    <cacheHierarchy uniqueName="[Facilities].[longitude]" caption="longitude" attribute="1" defaultMemberUniqueName="[Facilities].[longitude].[All]" allUniqueName="[Facilities].[longitude].[All]" dimensionUniqueName="[Facilities]" displayFolder="" count="0" unbalanced="0"/>
    <cacheHierarchy uniqueName="[Facilities].[ProgramYear]" caption="ProgramYear" attribute="1" defaultMemberUniqueName="[Facilities].[ProgramYear].[All]" allUniqueName="[Facilities].[ProgramYear].[All]" dimensionUniqueName="[Facilities]" displayFolder="" count="0" unbalanced="0"/>
    <cacheHierarchy uniqueName="[Facilities].[Region]" caption="Region" attribute="1" defaultMemberUniqueName="[Facilities].[Region].[All]" allUniqueName="[Facilities].[Region].[All]" dimensionUniqueName="[Facilities]" displayFolder="" count="0" unbalanced="0"/>
    <cacheHierarchy uniqueName="[Facilities].[ShortName]" caption="ShortName" attribute="1" defaultMemberUniqueName="[Facilities].[ShortName].[All]" allUniqueName="[Facilities].[ShortName].[All]" dimensionUniqueName="[Facilities]" displayFolder="" count="0" unbalanced="0"/>
    <cacheHierarchy uniqueName="[Facilities].[Tier]" caption="Tier" attribute="1" defaultMemberUniqueName="[Facilities].[Tier].[All]" allUniqueName="[Facilities].[Tier].[All]" dimensionUniqueName="[Facilities]" displayFolder="" count="0" unbalanced="0"/>
    <cacheHierarchy uniqueName="[Facilities].[Ward]" caption="Ward" attribute="1" defaultMemberUniqueName="[Facilities].[Ward].[All]" allUniqueName="[Facilities].[Ward].[All]" dimensionUniqueName="[Facilities]" displayFolder="" count="0" unbalanced="0"/>
    <cacheHierarchy uniqueName="[feb results].[agegp]" caption="agegp" attribute="1" defaultMemberUniqueName="[feb results].[agegp].[All]" allUniqueName="[feb results].[agegp].[All]" dimensionUniqueName="[feb results]" displayFolder="" count="0" unbalanced="0"/>
    <cacheHierarchy uniqueName="[feb results].[ageyrs]" caption="ageyrs" attribute="1" defaultMemberUniqueName="[feb results].[ageyrs].[All]" allUniqueName="[feb results].[ageyrs].[All]" dimensionUniqueName="[feb results]" displayFolder="" count="0" unbalanced="0"/>
    <cacheHierarchy uniqueName="[feb results].[art_814d]" caption="art_814d" attribute="1" defaultMemberUniqueName="[feb results].[art_814d].[All]" allUniqueName="[feb results].[art_814d].[All]" dimensionUniqueName="[feb results]" displayFolder="" count="0" unbalanced="0"/>
    <cacheHierarchy uniqueName="[feb results].[art_o15d]" caption="art_o15d" attribute="1" defaultMemberUniqueName="[feb results].[art_o15d].[All]" allUniqueName="[feb results].[art_o15d].[All]" dimensionUniqueName="[feb results]" displayFolder="" count="0" unbalanced="0"/>
    <cacheHierarchy uniqueName="[feb results].[art_u8]" caption="art_u8" attribute="1" defaultMemberUniqueName="[feb results].[art_u8].[All]" allUniqueName="[feb results].[art_u8].[All]" dimensionUniqueName="[feb results]" displayFolder="" count="0" unbalanced="0"/>
    <cacheHierarchy uniqueName="[feb results].[council]" caption="council" attribute="1" defaultMemberUniqueName="[feb results].[council].[All]" allUniqueName="[feb results].[council].[All]" dimensionUniqueName="[feb results]" displayFolder="" count="0" unbalanced="0"/>
    <cacheHierarchy uniqueName="[feb results].[datimname]" caption="datimname" attribute="1" defaultMemberUniqueName="[feb results].[datimname].[All]" allUniqueName="[feb results].[datimname].[All]" dimensionUniqueName="[feb results]" displayFolder="" count="0" unbalanced="0"/>
    <cacheHierarchy uniqueName="[feb results].[datimuid]" caption="datimuid" attribute="1" defaultMemberUniqueName="[feb results].[datimuid].[All]" allUniqueName="[feb results].[datimuid].[All]" dimensionUniqueName="[feb results]" displayFolder="" count="0" unbalanced="0"/>
    <cacheHierarchy uniqueName="[feb results].[died]" caption="died" attribute="1" defaultMemberUniqueName="[feb results].[died].[All]" allUniqueName="[feb results].[died].[All]" dimensionUniqueName="[feb results]" displayFolder="" count="0" unbalanced="0"/>
    <cacheHierarchy uniqueName="[feb results].[district]" caption="district" attribute="1" defaultMemberUniqueName="[feb results].[district].[All]" allUniqueName="[feb results].[district].[All]" dimensionUniqueName="[feb results]" displayFolder="" count="0" unbalanced="0"/>
    <cacheHierarchy uniqueName="[feb results].[hvl_d]" caption="hvl_d" attribute="1" defaultMemberUniqueName="[feb results].[hvl_d].[All]" allUniqueName="[feb results].[hvl_d].[All]" dimensionUniqueName="[feb results]" displayFolder="" count="0" unbalanced="0"/>
    <cacheHierarchy uniqueName="[feb results].[hvl_d_u15]" caption="hvl_d_u15" attribute="1" defaultMemberUniqueName="[feb results].[hvl_d_u15].[All]" allUniqueName="[feb results].[hvl_d_u15].[All]" dimensionUniqueName="[feb results]" displayFolder="" count="0" unbalanced="0"/>
    <cacheHierarchy uniqueName="[feb results].[hvl_u1k_n]" caption="hvl_u1k_n" attribute="1" defaultMemberUniqueName="[feb results].[hvl_u1k_n].[All]" allUniqueName="[feb results].[hvl_u1k_n].[All]" dimensionUniqueName="[feb results]" displayFolder="" count="0" unbalanced="0"/>
    <cacheHierarchy uniqueName="[feb results].[hvl_u1k_n_u15]" caption="hvl_u1k_n_u15" attribute="1" defaultMemberUniqueName="[feb results].[hvl_u1k_n_u15].[All]" allUniqueName="[feb results].[hvl_u1k_n_u15].[All]" dimensionUniqueName="[feb results]" displayFolder="" count="0" unbalanced="0"/>
    <cacheHierarchy uniqueName="[feb results].[hvlelig]" caption="hvlelig" attribute="1" defaultMemberUniqueName="[feb results].[hvlelig].[All]" allUniqueName="[feb results].[hvlelig].[All]" dimensionUniqueName="[feb results]" displayFolder="" count="0" unbalanced="0"/>
    <cacheHierarchy uniqueName="[feb results].[hvlelig_u15]" caption="hvlelig_u15" attribute="1" defaultMemberUniqueName="[feb results].[hvlelig_u15].[All]" allUniqueName="[feb results].[hvlelig_u15].[All]" dimensionUniqueName="[feb results]" displayFolder="" count="0" unbalanced="0"/>
    <cacheHierarchy uniqueName="[feb results].[missedapp]" caption="missedapp" attribute="1" defaultMemberUniqueName="[feb results].[missedapp].[All]" allUniqueName="[feb results].[missedapp].[All]" dimensionUniqueName="[feb results]" displayFolder="" count="0" unbalanced="0"/>
    <cacheHierarchy uniqueName="[feb results].[mmp_1m]" caption="mmp_1m" attribute="1" defaultMemberUniqueName="[feb results].[mmp_1m].[All]" allUniqueName="[feb results].[mmp_1m].[All]" dimensionUniqueName="[feb results]" displayFolder="" count="0" unbalanced="0"/>
    <cacheHierarchy uniqueName="[feb results].[mmp_2m]" caption="mmp_2m" attribute="1" defaultMemberUniqueName="[feb results].[mmp_2m].[All]" allUniqueName="[feb results].[mmp_2m].[All]" dimensionUniqueName="[feb results]" displayFolder="" count="0" unbalanced="0"/>
    <cacheHierarchy uniqueName="[feb results].[mmp_3m]" caption="mmp_3m" attribute="1" defaultMemberUniqueName="[feb results].[mmp_3m].[All]" allUniqueName="[feb results].[mmp_3m].[All]" dimensionUniqueName="[feb results]" displayFolder="" count="0" unbalanced="0"/>
    <cacheHierarchy uniqueName="[feb results].[mmp_6m]" caption="mmp_6m" attribute="1" defaultMemberUniqueName="[feb results].[mmp_6m].[All]" allUniqueName="[feb results].[mmp_6m].[All]" dimensionUniqueName="[feb results]" displayFolder="" count="0" unbalanced="0"/>
    <cacheHierarchy uniqueName="[feb results].[noDBsubmitted]" caption="noDBsubmitted" attribute="1" defaultMemberUniqueName="[feb results].[noDBsubmitted].[All]" allUniqueName="[feb results].[noDBsubmitted].[All]" dimensionUniqueName="[feb results]" displayFolder="" count="0" unbalanced="0"/>
    <cacheHierarchy uniqueName="[feb results].[region]" caption="region" attribute="1" defaultMemberUniqueName="[feb results].[region].[All]" allUniqueName="[feb results].[region].[All]" dimensionUniqueName="[feb results]" displayFolder="" count="0" unbalanced="0"/>
    <cacheHierarchy uniqueName="[feb results].[t_tc_mmd3to5m_o15_f]" caption="t_tc_mmd3to5m_o15_f" attribute="1" defaultMemberUniqueName="[feb results].[t_tc_mmd3to5m_o15_f].[All]" allUniqueName="[feb results].[t_tc_mmd3to5m_o15_f].[All]" dimensionUniqueName="[feb results]" displayFolder="" count="0" unbalanced="0"/>
    <cacheHierarchy uniqueName="[feb results].[t_tc_mmd3to5m_o15_m]" caption="t_tc_mmd3to5m_o15_m" attribute="1" defaultMemberUniqueName="[feb results].[t_tc_mmd3to5m_o15_m].[All]" allUniqueName="[feb results].[t_tc_mmd3to5m_o15_m].[All]" dimensionUniqueName="[feb results]" displayFolder="" count="0" unbalanced="0"/>
    <cacheHierarchy uniqueName="[feb results].[t_tc_mmd3to5m_u15_f]" caption="t_tc_mmd3to5m_u15_f" attribute="1" defaultMemberUniqueName="[feb results].[t_tc_mmd3to5m_u15_f].[All]" allUniqueName="[feb results].[t_tc_mmd3to5m_u15_f].[All]" dimensionUniqueName="[feb results]" displayFolder="" count="0" unbalanced="0"/>
    <cacheHierarchy uniqueName="[feb results].[t_tc_mmd3to5m_u15_m]" caption="t_tc_mmd3to5m_u15_m" attribute="1" defaultMemberUniqueName="[feb results].[t_tc_mmd3to5m_u15_m].[All]" allUniqueName="[feb results].[t_tc_mmd3to5m_u15_m].[All]" dimensionUniqueName="[feb results]" displayFolder="" count="0" unbalanced="0"/>
    <cacheHierarchy uniqueName="[feb results].[t_tc_mmdo6m_o15_f]" caption="t_tc_mmdo6m_o15_f" attribute="1" defaultMemberUniqueName="[feb results].[t_tc_mmdo6m_o15_f].[All]" allUniqueName="[feb results].[t_tc_mmdo6m_o15_f].[All]" dimensionUniqueName="[feb results]" displayFolder="" count="0" unbalanced="0"/>
    <cacheHierarchy uniqueName="[feb results].[t_tc_mmdo6m_o15_m]" caption="t_tc_mmdo6m_o15_m" attribute="1" defaultMemberUniqueName="[feb results].[t_tc_mmdo6m_o15_m].[All]" allUniqueName="[feb results].[t_tc_mmdo6m_o15_m].[All]" dimensionUniqueName="[feb results]" displayFolder="" count="0" unbalanced="0"/>
    <cacheHierarchy uniqueName="[feb results].[t_tc_mmdo6m_u15_f]" caption="t_tc_mmdo6m_u15_f" attribute="1" defaultMemberUniqueName="[feb results].[t_tc_mmdo6m_u15_f].[All]" allUniqueName="[feb results].[t_tc_mmdo6m_u15_f].[All]" dimensionUniqueName="[feb results]" displayFolder="" count="0" unbalanced="0"/>
    <cacheHierarchy uniqueName="[feb results].[t_tc_mmdo6m_u15_m]" caption="t_tc_mmdo6m_u15_m" attribute="1" defaultMemberUniqueName="[feb results].[t_tc_mmdo6m_u15_m].[All]" allUniqueName="[feb results].[t_tc_mmdo6m_u15_m].[All]" dimensionUniqueName="[feb results]" displayFolder="" count="0" unbalanced="0"/>
    <cacheHierarchy uniqueName="[feb results].[t_tc_mmdu3m_o15_f]" caption="t_tc_mmdu3m_o15_f" attribute="1" defaultMemberUniqueName="[feb results].[t_tc_mmdu3m_o15_f].[All]" allUniqueName="[feb results].[t_tc_mmdu3m_o15_f].[All]" dimensionUniqueName="[feb results]" displayFolder="" count="0" unbalanced="0"/>
    <cacheHierarchy uniqueName="[feb results].[t_tc_mmdu3m_o15_m]" caption="t_tc_mmdu3m_o15_m" attribute="1" defaultMemberUniqueName="[feb results].[t_tc_mmdu3m_o15_m].[All]" allUniqueName="[feb results].[t_tc_mmdu3m_o15_m].[All]" dimensionUniqueName="[feb results]" displayFolder="" count="0" unbalanced="0"/>
    <cacheHierarchy uniqueName="[feb results].[t_tc_mmdu3m_u15_f]" caption="t_tc_mmdu3m_u15_f" attribute="1" defaultMemberUniqueName="[feb results].[t_tc_mmdu3m_u15_f].[All]" allUniqueName="[feb results].[t_tc_mmdu3m_u15_f].[All]" dimensionUniqueName="[feb results]" displayFolder="" count="0" unbalanced="0"/>
    <cacheHierarchy uniqueName="[feb results].[t_tc_mmdu3m_u15_m]" caption="t_tc_mmdu3m_u15_m" attribute="1" defaultMemberUniqueName="[feb results].[t_tc_mmdu3m_u15_m].[All]" allUniqueName="[feb results].[t_tc_mmdu3m_u15_m].[All]" dimensionUniqueName="[feb results]" displayFolder="" count="0" unbalanced="0"/>
    <cacheHierarchy uniqueName="[feb results].[t_txcurr_lastm]" caption="t_txcurr_lastm" attribute="1" defaultMemberUniqueName="[feb results].[t_txcurr_lastm].[All]" allUniqueName="[feb results].[t_txcurr_lastm].[All]" dimensionUniqueName="[feb results]" displayFolder="" count="0" unbalanced="0"/>
    <cacheHierarchy uniqueName="[feb results].[t_txcurr_o15_f]" caption="t_txcurr_o15_f" attribute="1" defaultMemberUniqueName="[feb results].[t_txcurr_o15_f].[All]" allUniqueName="[feb results].[t_txcurr_o15_f].[All]" dimensionUniqueName="[feb results]" displayFolder="" count="0" unbalanced="0"/>
    <cacheHierarchy uniqueName="[feb results].[t_txcurr_o15_m]" caption="t_txcurr_o15_m" attribute="1" defaultMemberUniqueName="[feb results].[t_txcurr_o15_m].[All]" allUniqueName="[feb results].[t_txcurr_o15_m].[All]" dimensionUniqueName="[feb results]" displayFolder="" count="0" unbalanced="0"/>
    <cacheHierarchy uniqueName="[feb results].[t_txcurr_thism]" caption="t_txcurr_thism" attribute="1" defaultMemberUniqueName="[feb results].[t_txcurr_thism].[All]" allUniqueName="[feb results].[t_txcurr_thism].[All]" dimensionUniqueName="[feb results]" displayFolder="" count="0" unbalanced="0"/>
    <cacheHierarchy uniqueName="[feb results].[t_txcurr_u15_f]" caption="t_txcurr_u15_f" attribute="1" defaultMemberUniqueName="[feb results].[t_txcurr_u15_f].[All]" allUniqueName="[feb results].[t_txcurr_u15_f].[All]" dimensionUniqueName="[feb results]" displayFolder="" count="0" unbalanced="0"/>
    <cacheHierarchy uniqueName="[feb results].[t_txcurr_u15_m]" caption="t_txcurr_u15_m" attribute="1" defaultMemberUniqueName="[feb results].[t_txcurr_u15_m].[All]" allUniqueName="[feb results].[t_txcurr_u15_m].[All]" dimensionUniqueName="[feb results]" displayFolder="" count="0" unbalanced="0"/>
    <cacheHierarchy uniqueName="[feb results].[t_txnew]" caption="t_txnew" attribute="1" defaultMemberUniqueName="[feb results].[t_txnew].[All]" allUniqueName="[feb results].[t_txnew].[All]" dimensionUniqueName="[feb results]" displayFolder="" count="0" unbalanced="0"/>
    <cacheHierarchy uniqueName="[feb results].[t_txnew_2vis]" caption="t_txnew_2vis" attribute="1" defaultMemberUniqueName="[feb results].[t_txnew_2vis].[All]" allUniqueName="[feb results].[t_txnew_2vis].[All]" dimensionUniqueName="[feb results]" displayFolder="" count="0" unbalanced="0"/>
    <cacheHierarchy uniqueName="[feb results].[t_txnew_o15_f]" caption="t_txnew_o15_f" attribute="1" defaultMemberUniqueName="[feb results].[t_txnew_o15_f].[All]" allUniqueName="[feb results].[t_txnew_o15_f].[All]" dimensionUniqueName="[feb results]" displayFolder="" count="0" unbalanced="0"/>
    <cacheHierarchy uniqueName="[feb results].[t_txnew_o15_m]" caption="t_txnew_o15_m" attribute="1" defaultMemberUniqueName="[feb results].[t_txnew_o15_m].[All]" allUniqueName="[feb results].[t_txnew_o15_m].[All]" dimensionUniqueName="[feb results]" displayFolder="" count="0" unbalanced="0"/>
    <cacheHierarchy uniqueName="[feb results].[t_txnew_u15_f]" caption="t_txnew_u15_f" attribute="1" defaultMemberUniqueName="[feb results].[t_txnew_u15_f].[All]" allUniqueName="[feb results].[t_txnew_u15_f].[All]" dimensionUniqueName="[feb results]" displayFolder="" count="0" unbalanced="0"/>
    <cacheHierarchy uniqueName="[feb results].[t_txnew_u15_m]" caption="t_txnew_u15_m" attribute="1" defaultMemberUniqueName="[feb results].[t_txnew_u15_m].[All]" allUniqueName="[feb results].[t_txnew_u15_m].[All]" dimensionUniqueName="[feb results]" displayFolder="" count="0" unbalanced="0"/>
    <cacheHierarchy uniqueName="[feb results].[tbprev_d]" caption="tbprev_d" attribute="1" defaultMemberUniqueName="[feb results].[tbprev_d].[All]" allUniqueName="[feb results].[tbprev_d].[All]" dimensionUniqueName="[feb results]" displayFolder="" count="0" unbalanced="0"/>
    <cacheHierarchy uniqueName="[feb results].[tbprev_n]" caption="tbprev_n" attribute="1" defaultMemberUniqueName="[feb results].[tbprev_n].[All]" allUniqueName="[feb results].[tbprev_n].[All]" dimensionUniqueName="[feb results]" displayFolder="" count="0" unbalanced="0"/>
    <cacheHierarchy uniqueName="[feb results].[tbprev_start_thismo]" caption="tbprev_start_thismo" attribute="1" defaultMemberUniqueName="[feb results].[tbprev_start_thismo].[All]" allUniqueName="[feb results].[tbprev_start_thismo].[All]" dimensionUniqueName="[feb results]" displayFolder="" count="0" unbalanced="0"/>
    <cacheHierarchy uniqueName="[feb results].[TI]" caption="TI" attribute="1" defaultMemberUniqueName="[feb results].[TI].[All]" allUniqueName="[feb results].[TI].[All]" dimensionUniqueName="[feb results]" displayFolder="" count="0" unbalanced="0"/>
    <cacheHierarchy uniqueName="[feb results].[tier]" caption="tier" attribute="1" defaultMemberUniqueName="[feb results].[tier].[All]" allUniqueName="[feb results].[tier].[All]" dimensionUniqueName="[feb results]" displayFolder="" count="0" unbalanced="0"/>
    <cacheHierarchy uniqueName="[feb results].[TO]" caption="TO" attribute="1" defaultMemberUniqueName="[feb results].[TO].[All]" allUniqueName="[feb results].[TO].[All]" dimensionUniqueName="[feb results]" displayFolder="" count="0" unbalanced="0"/>
    <cacheHierarchy uniqueName="[feb results].[ward]" caption="ward" attribute="1" defaultMemberUniqueName="[feb results].[ward].[All]" allUniqueName="[feb results].[ward].[All]" dimensionUniqueName="[feb results]" displayFolder="" count="0" unbalanced="0"/>
    <cacheHierarchy uniqueName="[Grace Period Days].[Grace Period Days]" caption="Grace Period Days" attribute="1" defaultMemberUniqueName="[Grace Period Days].[Grace Period Days].[All]" allUniqueName="[Grace Period Days].[Grace Period Days].[All]" dimensionUniqueName="[Grace Period Days]" displayFolder="" count="0" unbalanced="0"/>
    <cacheHierarchy uniqueName="[Gretchen Results].[agegp]" caption="agegp" attribute="1" defaultMemberUniqueName="[Gretchen Results].[agegp].[All]" allUniqueName="[Gretchen Results].[agegp].[All]" dimensionUniqueName="[Gretchen Results]" displayFolder="" count="0" unbalanced="0"/>
    <cacheHierarchy uniqueName="[Gretchen Results].[ageyrs]" caption="ageyrs" attribute="1" defaultMemberUniqueName="[Gretchen Results].[ageyrs].[All]" allUniqueName="[Gretchen Results].[ageyrs].[All]" dimensionUniqueName="[Gretchen Results]" displayFolder="" count="0" unbalanced="0"/>
    <cacheHierarchy uniqueName="[Gretchen Results].[art_814d]" caption="art_814d" attribute="1" defaultMemberUniqueName="[Gretchen Results].[art_814d].[All]" allUniqueName="[Gretchen Results].[art_814d].[All]" dimensionUniqueName="[Gretchen Results]" displayFolder="" count="0" unbalanced="0"/>
    <cacheHierarchy uniqueName="[Gretchen Results].[art_o15d]" caption="art_o15d" attribute="1" defaultMemberUniqueName="[Gretchen Results].[art_o15d].[All]" allUniqueName="[Gretchen Results].[art_o15d].[All]" dimensionUniqueName="[Gretchen Results]" displayFolder="" count="0" unbalanced="0"/>
    <cacheHierarchy uniqueName="[Gretchen Results].[art_u8]" caption="art_u8" attribute="1" defaultMemberUniqueName="[Gretchen Results].[art_u8].[All]" allUniqueName="[Gretchen Results].[art_u8].[All]" dimensionUniqueName="[Gretchen Results]" displayFolder="" count="0" unbalanced="0"/>
    <cacheHierarchy uniqueName="[Gretchen Results].[council]" caption="council" attribute="1" defaultMemberUniqueName="[Gretchen Results].[council].[All]" allUniqueName="[Gretchen Results].[council].[All]" dimensionUniqueName="[Gretchen Results]" displayFolder="" count="0" unbalanced="0"/>
    <cacheHierarchy uniqueName="[Gretchen Results].[countpy5]" caption="countpy5" attribute="1" defaultMemberUniqueName="[Gretchen Results].[countpy5].[All]" allUniqueName="[Gretchen Results].[countpy5].[All]" dimensionUniqueName="[Gretchen Results]" displayFolder="" count="0" unbalanced="0"/>
    <cacheHierarchy uniqueName="[Gretchen Results].[datimname]" caption="datimname" attribute="1" defaultMemberUniqueName="[Gretchen Results].[datimname].[All]" allUniqueName="[Gretchen Results].[datimname].[All]" dimensionUniqueName="[Gretchen Results]" displayFolder="" count="0" unbalanced="0"/>
    <cacheHierarchy uniqueName="[Gretchen Results].[datimuid]" caption="datimuid" attribute="1" defaultMemberUniqueName="[Gretchen Results].[datimuid].[All]" allUniqueName="[Gretchen Results].[datimuid].[All]" dimensionUniqueName="[Gretchen Results]" displayFolder="" count="0" unbalanced="0"/>
    <cacheHierarchy uniqueName="[Gretchen Results].[dhisid]" caption="dhisid" attribute="1" defaultMemberUniqueName="[Gretchen Results].[dhisid].[All]" allUniqueName="[Gretchen Results].[dhisid].[All]" dimensionUniqueName="[Gretchen Results]" displayFolder="" count="0" unbalanced="0"/>
    <cacheHierarchy uniqueName="[Gretchen Results].[dhisname]" caption="dhisname" attribute="1" defaultMemberUniqueName="[Gretchen Results].[dhisname].[All]" allUniqueName="[Gretchen Results].[dhisname].[All]" dimensionUniqueName="[Gretchen Results]" displayFolder="" count="0" unbalanced="0"/>
    <cacheHierarchy uniqueName="[Gretchen Results].[died]" caption="died" attribute="1" defaultMemberUniqueName="[Gretchen Results].[died].[All]" allUniqueName="[Gretchen Results].[died].[All]" dimensionUniqueName="[Gretchen Results]" displayFolder="" count="0" unbalanced="0"/>
    <cacheHierarchy uniqueName="[Gretchen Results].[district]" caption="district" attribute="1" defaultMemberUniqueName="[Gretchen Results].[district].[All]" allUniqueName="[Gretchen Results].[district].[All]" dimensionUniqueName="[Gretchen Results]" displayFolder="" count="0" unbalanced="0"/>
    <cacheHierarchy uniqueName="[Gretchen Results].[hfrid]" caption="hfrid" attribute="1" defaultMemberUniqueName="[Gretchen Results].[hfrid].[All]" allUniqueName="[Gretchen Results].[hfrid].[All]" dimensionUniqueName="[Gretchen Results]" displayFolder="" count="0" unbalanced="0"/>
    <cacheHierarchy uniqueName="[Gretchen Results].[hvl_d]" caption="hvl_d" attribute="1" defaultMemberUniqueName="[Gretchen Results].[hvl_d].[All]" allUniqueName="[Gretchen Results].[hvl_d].[All]" dimensionUniqueName="[Gretchen Results]" displayFolder="" count="0" unbalanced="0"/>
    <cacheHierarchy uniqueName="[Gretchen Results].[hvl_d_o15]" caption="hvl_d_o15" attribute="1" defaultMemberUniqueName="[Gretchen Results].[hvl_d_o15].[All]" allUniqueName="[Gretchen Results].[hvl_d_o15].[All]" dimensionUniqueName="[Gretchen Results]" displayFolder="" count="0" unbalanced="0"/>
    <cacheHierarchy uniqueName="[Gretchen Results].[hvl_d_u15]" caption="hvl_d_u15" attribute="1" defaultMemberUniqueName="[Gretchen Results].[hvl_d_u15].[All]" allUniqueName="[Gretchen Results].[hvl_d_u15].[All]" dimensionUniqueName="[Gretchen Results]" displayFolder="" count="0" unbalanced="0"/>
    <cacheHierarchy uniqueName="[Gretchen Results].[hvl_u1k_n]" caption="hvl_u1k_n" attribute="1" defaultMemberUniqueName="[Gretchen Results].[hvl_u1k_n].[All]" allUniqueName="[Gretchen Results].[hvl_u1k_n].[All]" dimensionUniqueName="[Gretchen Results]" displayFolder="" count="0" unbalanced="0"/>
    <cacheHierarchy uniqueName="[Gretchen Results].[hvl_u1k_n_o15]" caption="hvl_u1k_n_o15" attribute="1" defaultMemberUniqueName="[Gretchen Results].[hvl_u1k_n_o15].[All]" allUniqueName="[Gretchen Results].[hvl_u1k_n_o15].[All]" dimensionUniqueName="[Gretchen Results]" displayFolder="" count="0" unbalanced="0"/>
    <cacheHierarchy uniqueName="[Gretchen Results].[hvl_u1k_n_u15]" caption="hvl_u1k_n_u15" attribute="1" defaultMemberUniqueName="[Gretchen Results].[hvl_u1k_n_u15].[All]" allUniqueName="[Gretchen Results].[hvl_u1k_n_u15].[All]" dimensionUniqueName="[Gretchen Results]" displayFolder="" count="0" unbalanced="0"/>
    <cacheHierarchy uniqueName="[Gretchen Results].[hvlelig]" caption="hvlelig" attribute="1" defaultMemberUniqueName="[Gretchen Results].[hvlelig].[All]" allUniqueName="[Gretchen Results].[hvlelig].[All]" dimensionUniqueName="[Gretchen Results]" displayFolder="" count="0" unbalanced="0"/>
    <cacheHierarchy uniqueName="[Gretchen Results].[hvlelig_o15]" caption="hvlelig_o15" attribute="1" defaultMemberUniqueName="[Gretchen Results].[hvlelig_o15].[All]" allUniqueName="[Gretchen Results].[hvlelig_o15].[All]" dimensionUniqueName="[Gretchen Results]" displayFolder="" count="0" unbalanced="0"/>
    <cacheHierarchy uniqueName="[Gretchen Results].[hvlelig_u15]" caption="hvlelig_u15" attribute="1" defaultMemberUniqueName="[Gretchen Results].[hvlelig_u15].[All]" allUniqueName="[Gretchen Results].[hvlelig_u15].[All]" dimensionUniqueName="[Gretchen Results]" displayFolder="" count="0" unbalanced="0"/>
    <cacheHierarchy uniqueName="[Gretchen Results].[missedapp]" caption="missedapp" attribute="1" defaultMemberUniqueName="[Gretchen Results].[missedapp].[All]" allUniqueName="[Gretchen Results].[missedapp].[All]" dimensionUniqueName="[Gretchen Results]" displayFolder="" count="0" unbalanced="0"/>
    <cacheHierarchy uniqueName="[Gretchen Results].[mmp_1m]" caption="mmp_1m" attribute="1" defaultMemberUniqueName="[Gretchen Results].[mmp_1m].[All]" allUniqueName="[Gretchen Results].[mmp_1m].[All]" dimensionUniqueName="[Gretchen Results]" displayFolder="" count="0" unbalanced="0"/>
    <cacheHierarchy uniqueName="[Gretchen Results].[mmp_2m]" caption="mmp_2m" attribute="1" defaultMemberUniqueName="[Gretchen Results].[mmp_2m].[All]" allUniqueName="[Gretchen Results].[mmp_2m].[All]" dimensionUniqueName="[Gretchen Results]" displayFolder="" count="0" unbalanced="0"/>
    <cacheHierarchy uniqueName="[Gretchen Results].[mmp_3m]" caption="mmp_3m" attribute="1" defaultMemberUniqueName="[Gretchen Results].[mmp_3m].[All]" allUniqueName="[Gretchen Results].[mmp_3m].[All]" dimensionUniqueName="[Gretchen Results]" displayFolder="" count="0" unbalanced="0"/>
    <cacheHierarchy uniqueName="[Gretchen Results].[mmp_6m]" caption="mmp_6m" attribute="1" defaultMemberUniqueName="[Gretchen Results].[mmp_6m].[All]" allUniqueName="[Gretchen Results].[mmp_6m].[All]" dimensionUniqueName="[Gretchen Results]" displayFolder="" count="0" unbalanced="0"/>
    <cacheHierarchy uniqueName="[Gretchen Results].[mmp_u6m]" caption="mmp_u6m" attribute="1" defaultMemberUniqueName="[Gretchen Results].[mmp_u6m].[All]" allUniqueName="[Gretchen Results].[mmp_u6m].[All]" dimensionUniqueName="[Gretchen Results]" displayFolder="" count="0" unbalanced="0"/>
    <cacheHierarchy uniqueName="[Gretchen Results].[noDBsubmitted]" caption="noDBsubmitted" attribute="1" defaultMemberUniqueName="[Gretchen Results].[noDBsubmitted].[All]" allUniqueName="[Gretchen Results].[noDBsubmitted].[All]" dimensionUniqueName="[Gretchen Results]" displayFolder="" count="0" unbalanced="0"/>
    <cacheHierarchy uniqueName="[Gretchen Results].[pid]" caption="pid" attribute="1" defaultMemberUniqueName="[Gretchen Results].[pid].[All]" allUniqueName="[Gretchen Results].[pid].[All]" dimensionUniqueName="[Gretchen Results]" displayFolder="" count="0" unbalanced="0"/>
    <cacheHierarchy uniqueName="[Gretchen Results].[region]" caption="region" attribute="1" defaultMemberUniqueName="[Gretchen Results].[region].[All]" allUniqueName="[Gretchen Results].[region].[All]" dimensionUniqueName="[Gretchen Results]" displayFolder="" count="0" unbalanced="0"/>
    <cacheHierarchy uniqueName="[Gretchen Results].[siteid]" caption="siteid" attribute="1" defaultMemberUniqueName="[Gretchen Results].[siteid].[All]" allUniqueName="[Gretchen Results].[siteid].[All]" dimensionUniqueName="[Gretchen Results]" displayFolder="" count="0" unbalanced="0"/>
    <cacheHierarchy uniqueName="[Gretchen Results].[t_tc_mmd3to5m_o15_f]" caption="t_tc_mmd3to5m_o15_f" attribute="1" defaultMemberUniqueName="[Gretchen Results].[t_tc_mmd3to5m_o15_f].[All]" allUniqueName="[Gretchen Results].[t_tc_mmd3to5m_o15_f].[All]" dimensionUniqueName="[Gretchen Results]" displayFolder="" count="0" unbalanced="0"/>
    <cacheHierarchy uniqueName="[Gretchen Results].[t_tc_mmd3to5m_o15_m]" caption="t_tc_mmd3to5m_o15_m" attribute="1" defaultMemberUniqueName="[Gretchen Results].[t_tc_mmd3to5m_o15_m].[All]" allUniqueName="[Gretchen Results].[t_tc_mmd3to5m_o15_m].[All]" dimensionUniqueName="[Gretchen Results]" displayFolder="" count="0" unbalanced="0"/>
    <cacheHierarchy uniqueName="[Gretchen Results].[t_tc_mmd3to5m_u15_f]" caption="t_tc_mmd3to5m_u15_f" attribute="1" defaultMemberUniqueName="[Gretchen Results].[t_tc_mmd3to5m_u15_f].[All]" allUniqueName="[Gretchen Results].[t_tc_mmd3to5m_u15_f].[All]" dimensionUniqueName="[Gretchen Results]" displayFolder="" count="0" unbalanced="0"/>
    <cacheHierarchy uniqueName="[Gretchen Results].[t_tc_mmd3to5m_u15_m]" caption="t_tc_mmd3to5m_u15_m" attribute="1" defaultMemberUniqueName="[Gretchen Results].[t_tc_mmd3to5m_u15_m].[All]" allUniqueName="[Gretchen Results].[t_tc_mmd3to5m_u15_m].[All]" dimensionUniqueName="[Gretchen Results]" displayFolder="" count="0" unbalanced="0"/>
    <cacheHierarchy uniqueName="[Gretchen Results].[t_tc_mmdo6m_o15_f]" caption="t_tc_mmdo6m_o15_f" attribute="1" defaultMemberUniqueName="[Gretchen Results].[t_tc_mmdo6m_o15_f].[All]" allUniqueName="[Gretchen Results].[t_tc_mmdo6m_o15_f].[All]" dimensionUniqueName="[Gretchen Results]" displayFolder="" count="0" unbalanced="0"/>
    <cacheHierarchy uniqueName="[Gretchen Results].[t_tc_mmdo6m_o15_m]" caption="t_tc_mmdo6m_o15_m" attribute="1" defaultMemberUniqueName="[Gretchen Results].[t_tc_mmdo6m_o15_m].[All]" allUniqueName="[Gretchen Results].[t_tc_mmdo6m_o15_m].[All]" dimensionUniqueName="[Gretchen Results]" displayFolder="" count="0" unbalanced="0"/>
    <cacheHierarchy uniqueName="[Gretchen Results].[t_tc_mmdo6m_u15_f]" caption="t_tc_mmdo6m_u15_f" attribute="1" defaultMemberUniqueName="[Gretchen Results].[t_tc_mmdo6m_u15_f].[All]" allUniqueName="[Gretchen Results].[t_tc_mmdo6m_u15_f].[All]" dimensionUniqueName="[Gretchen Results]" displayFolder="" count="0" unbalanced="0"/>
    <cacheHierarchy uniqueName="[Gretchen Results].[t_tc_mmdo6m_u15_m]" caption="t_tc_mmdo6m_u15_m" attribute="1" defaultMemberUniqueName="[Gretchen Results].[t_tc_mmdo6m_u15_m].[All]" allUniqueName="[Gretchen Results].[t_tc_mmdo6m_u15_m].[All]" dimensionUniqueName="[Gretchen Results]" displayFolder="" count="0" unbalanced="0"/>
    <cacheHierarchy uniqueName="[Gretchen Results].[t_tc_mmdu3m_o15_f]" caption="t_tc_mmdu3m_o15_f" attribute="1" defaultMemberUniqueName="[Gretchen Results].[t_tc_mmdu3m_o15_f].[All]" allUniqueName="[Gretchen Results].[t_tc_mmdu3m_o15_f].[All]" dimensionUniqueName="[Gretchen Results]" displayFolder="" count="0" unbalanced="0"/>
    <cacheHierarchy uniqueName="[Gretchen Results].[t_tc_mmdu3m_o15_m]" caption="t_tc_mmdu3m_o15_m" attribute="1" defaultMemberUniqueName="[Gretchen Results].[t_tc_mmdu3m_o15_m].[All]" allUniqueName="[Gretchen Results].[t_tc_mmdu3m_o15_m].[All]" dimensionUniqueName="[Gretchen Results]" displayFolder="" count="0" unbalanced="0"/>
    <cacheHierarchy uniqueName="[Gretchen Results].[t_tc_mmdu3m_u15_f]" caption="t_tc_mmdu3m_u15_f" attribute="1" defaultMemberUniqueName="[Gretchen Results].[t_tc_mmdu3m_u15_f].[All]" allUniqueName="[Gretchen Results].[t_tc_mmdu3m_u15_f].[All]" dimensionUniqueName="[Gretchen Results]" displayFolder="" count="0" unbalanced="0"/>
    <cacheHierarchy uniqueName="[Gretchen Results].[t_tc_mmdu3m_u15_m]" caption="t_tc_mmdu3m_u15_m" attribute="1" defaultMemberUniqueName="[Gretchen Results].[t_tc_mmdu3m_u15_m].[All]" allUniqueName="[Gretchen Results].[t_tc_mmdu3m_u15_m].[All]" dimensionUniqueName="[Gretchen Results]" displayFolder="" count="0" unbalanced="0"/>
    <cacheHierarchy uniqueName="[Gretchen Results].[t_txcurr_lastm]" caption="t_txcurr_lastm" attribute="1" defaultMemberUniqueName="[Gretchen Results].[t_txcurr_lastm].[All]" allUniqueName="[Gretchen Results].[t_txcurr_lastm].[All]" dimensionUniqueName="[Gretchen Results]" displayFolder="" count="0" unbalanced="0"/>
    <cacheHierarchy uniqueName="[Gretchen Results].[t_txcurr_o15_f]" caption="t_txcurr_o15_f" attribute="1" defaultMemberUniqueName="[Gretchen Results].[t_txcurr_o15_f].[All]" allUniqueName="[Gretchen Results].[t_txcurr_o15_f].[All]" dimensionUniqueName="[Gretchen Results]" displayFolder="" count="0" unbalanced="0"/>
    <cacheHierarchy uniqueName="[Gretchen Results].[t_txcurr_o15_m]" caption="t_txcurr_o15_m" attribute="1" defaultMemberUniqueName="[Gretchen Results].[t_txcurr_o15_m].[All]" allUniqueName="[Gretchen Results].[t_txcurr_o15_m].[All]" dimensionUniqueName="[Gretchen Results]" displayFolder="" count="0" unbalanced="0"/>
    <cacheHierarchy uniqueName="[Gretchen Results].[t_txcurr_thism]" caption="t_txcurr_thism" attribute="1" defaultMemberUniqueName="[Gretchen Results].[t_txcurr_thism].[All]" allUniqueName="[Gretchen Results].[t_txcurr_thism].[All]" dimensionUniqueName="[Gretchen Results]" displayFolder="" count="0" unbalanced="0"/>
    <cacheHierarchy uniqueName="[Gretchen Results].[t_txcurr_u15_f]" caption="t_txcurr_u15_f" attribute="1" defaultMemberUniqueName="[Gretchen Results].[t_txcurr_u15_f].[All]" allUniqueName="[Gretchen Results].[t_txcurr_u15_f].[All]" dimensionUniqueName="[Gretchen Results]" displayFolder="" count="0" unbalanced="0"/>
    <cacheHierarchy uniqueName="[Gretchen Results].[t_txcurr_u15_m]" caption="t_txcurr_u15_m" attribute="1" defaultMemberUniqueName="[Gretchen Results].[t_txcurr_u15_m].[All]" allUniqueName="[Gretchen Results].[t_txcurr_u15_m].[All]" dimensionUniqueName="[Gretchen Results]" displayFolder="" count="0" unbalanced="0"/>
    <cacheHierarchy uniqueName="[Gretchen Results].[t_txnew]" caption="t_txnew" attribute="1" defaultMemberUniqueName="[Gretchen Results].[t_txnew].[All]" allUniqueName="[Gretchen Results].[t_txnew].[All]" dimensionUniqueName="[Gretchen Results]" displayFolder="" count="0" unbalanced="0"/>
    <cacheHierarchy uniqueName="[Gretchen Results].[t_txnew_2vis]" caption="t_txnew_2vis" attribute="1" defaultMemberUniqueName="[Gretchen Results].[t_txnew_2vis].[All]" allUniqueName="[Gretchen Results].[t_txnew_2vis].[All]" dimensionUniqueName="[Gretchen Results]" displayFolder="" count="0" unbalanced="0"/>
    <cacheHierarchy uniqueName="[Gretchen Results].[t_txnew_lastm]" caption="t_txnew_lastm" attribute="1" defaultMemberUniqueName="[Gretchen Results].[t_txnew_lastm].[All]" allUniqueName="[Gretchen Results].[t_txnew_lastm].[All]" dimensionUniqueName="[Gretchen Results]" displayFolder="" count="0" unbalanced="0"/>
    <cacheHierarchy uniqueName="[Gretchen Results].[t_txnew_o15_f]" caption="t_txnew_o15_f" attribute="1" defaultMemberUniqueName="[Gretchen Results].[t_txnew_o15_f].[All]" allUniqueName="[Gretchen Results].[t_txnew_o15_f].[All]" dimensionUniqueName="[Gretchen Results]" displayFolder="" count="0" unbalanced="0"/>
    <cacheHierarchy uniqueName="[Gretchen Results].[t_txnew_o15_m]" caption="t_txnew_o15_m" attribute="1" defaultMemberUniqueName="[Gretchen Results].[t_txnew_o15_m].[All]" allUniqueName="[Gretchen Results].[t_txnew_o15_m].[All]" dimensionUniqueName="[Gretchen Results]" displayFolder="" count="0" unbalanced="0"/>
    <cacheHierarchy uniqueName="[Gretchen Results].[t_txnew_u15]" caption="t_txnew_u15" attribute="1" defaultMemberUniqueName="[Gretchen Results].[t_txnew_u15].[All]" allUniqueName="[Gretchen Results].[t_txnew_u15].[All]" dimensionUniqueName="[Gretchen Results]" displayFolder="" count="0" unbalanced="0"/>
    <cacheHierarchy uniqueName="[Gretchen Results].[t_txnew_u15_f]" caption="t_txnew_u15_f" attribute="1" defaultMemberUniqueName="[Gretchen Results].[t_txnew_u15_f].[All]" allUniqueName="[Gretchen Results].[t_txnew_u15_f].[All]" dimensionUniqueName="[Gretchen Results]" displayFolder="" count="0" unbalanced="0"/>
    <cacheHierarchy uniqueName="[Gretchen Results].[t_txnew_u15_m]" caption="t_txnew_u15_m" attribute="1" defaultMemberUniqueName="[Gretchen Results].[t_txnew_u15_m].[All]" allUniqueName="[Gretchen Results].[t_txnew_u15_m].[All]" dimensionUniqueName="[Gretchen Results]" displayFolder="" count="0" unbalanced="0"/>
    <cacheHierarchy uniqueName="[Gretchen Results].[tbprev_d]" caption="tbprev_d" attribute="1" defaultMemberUniqueName="[Gretchen Results].[tbprev_d].[All]" allUniqueName="[Gretchen Results].[tbprev_d].[All]" dimensionUniqueName="[Gretchen Results]" displayFolder="" count="0" unbalanced="0"/>
    <cacheHierarchy uniqueName="[Gretchen Results].[tbprev_n]" caption="tbprev_n" attribute="1" defaultMemberUniqueName="[Gretchen Results].[tbprev_n].[All]" allUniqueName="[Gretchen Results].[tbprev_n].[All]" dimensionUniqueName="[Gretchen Results]" displayFolder="" count="0" unbalanced="0"/>
    <cacheHierarchy uniqueName="[Gretchen Results].[tbprev_start_thismo]" caption="tbprev_start_thismo" attribute="1" defaultMemberUniqueName="[Gretchen Results].[tbprev_start_thismo].[All]" allUniqueName="[Gretchen Results].[tbprev_start_thismo].[All]" dimensionUniqueName="[Gretchen Results]" displayFolder="" count="0" unbalanced="0"/>
    <cacheHierarchy uniqueName="[Gretchen Results].[TI]" caption="TI" attribute="1" defaultMemberUniqueName="[Gretchen Results].[TI].[All]" allUniqueName="[Gretchen Results].[TI].[All]" dimensionUniqueName="[Gretchen Results]" displayFolder="" count="0" unbalanced="0"/>
    <cacheHierarchy uniqueName="[Gretchen Results].[tier]" caption="tier" attribute="1" defaultMemberUniqueName="[Gretchen Results].[tier].[All]" allUniqueName="[Gretchen Results].[tier].[All]" dimensionUniqueName="[Gretchen Results]" displayFolder="" count="0" unbalanced="0"/>
    <cacheHierarchy uniqueName="[Gretchen Results].[TO]" caption="TO" attribute="1" defaultMemberUniqueName="[Gretchen Results].[TO].[All]" allUniqueName="[Gretchen Results].[TO].[All]" dimensionUniqueName="[Gretchen Results]" displayFolder="" count="0" unbalanced="0"/>
    <cacheHierarchy uniqueName="[Gretchen Results].[ward]" caption="ward" attribute="1" defaultMemberUniqueName="[Gretchen Results].[ward].[All]" allUniqueName="[Gretchen Results].[ward].[All]" dimensionUniqueName="[Gretchen Results]" displayFolder="" count="0" unbalanced="0"/>
    <cacheHierarchy uniqueName="[Gretchen Results].[yrmo]" caption="yrmo" attribute="1" defaultMemberUniqueName="[Gretchen Results].[yrmo].[All]" allUniqueName="[Gretchen Results].[yrmo].[All]" dimensionUniqueName="[Gretchen Results]" displayFolder="" count="0" unbalanced="0"/>
    <cacheHierarchy uniqueName="[Gretchen Results 3mar].[agegp]" caption="agegp" attribute="1" defaultMemberUniqueName="[Gretchen Results 3mar].[agegp].[All]" allUniqueName="[Gretchen Results 3mar].[agegp].[All]" dimensionUniqueName="[Gretchen Results 3mar]" displayFolder="" count="0" unbalanced="0"/>
    <cacheHierarchy uniqueName="[Gretchen Results 3mar].[ageyrs]" caption="ageyrs" attribute="1" defaultMemberUniqueName="[Gretchen Results 3mar].[ageyrs].[All]" allUniqueName="[Gretchen Results 3mar].[ageyrs].[All]" dimensionUniqueName="[Gretchen Results 3mar]" displayFolder="" count="0" unbalanced="0"/>
    <cacheHierarchy uniqueName="[Gretchen Results 3mar].[art_814d]" caption="art_814d" attribute="1" defaultMemberUniqueName="[Gretchen Results 3mar].[art_814d].[All]" allUniqueName="[Gretchen Results 3mar].[art_814d].[All]" dimensionUniqueName="[Gretchen Results 3mar]" displayFolder="" count="0" unbalanced="0"/>
    <cacheHierarchy uniqueName="[Gretchen Results 3mar].[art_o15d]" caption="art_o15d" attribute="1" defaultMemberUniqueName="[Gretchen Results 3mar].[art_o15d].[All]" allUniqueName="[Gretchen Results 3mar].[art_o15d].[All]" dimensionUniqueName="[Gretchen Results 3mar]" displayFolder="" count="0" unbalanced="0"/>
    <cacheHierarchy uniqueName="[Gretchen Results 3mar].[art_u8]" caption="art_u8" attribute="1" defaultMemberUniqueName="[Gretchen Results 3mar].[art_u8].[All]" allUniqueName="[Gretchen Results 3mar].[art_u8].[All]" dimensionUniqueName="[Gretchen Results 3mar]" displayFolder="" count="0" unbalanced="0"/>
    <cacheHierarchy uniqueName="[Gretchen Results 3mar].[council]" caption="council" attribute="1" defaultMemberUniqueName="[Gretchen Results 3mar].[council].[All]" allUniqueName="[Gretchen Results 3mar].[council].[All]" dimensionUniqueName="[Gretchen Results 3mar]" displayFolder="" count="0" unbalanced="0"/>
    <cacheHierarchy uniqueName="[Gretchen Results 3mar].[countpy5]" caption="countpy5" attribute="1" defaultMemberUniqueName="[Gretchen Results 3mar].[countpy5].[All]" allUniqueName="[Gretchen Results 3mar].[countpy5].[All]" dimensionUniqueName="[Gretchen Results 3mar]" displayFolder="" count="0" unbalanced="0"/>
    <cacheHierarchy uniqueName="[Gretchen Results 3mar].[datimname]" caption="datimname" attribute="1" defaultMemberUniqueName="[Gretchen Results 3mar].[datimname].[All]" allUniqueName="[Gretchen Results 3mar].[datimname].[All]" dimensionUniqueName="[Gretchen Results 3mar]" displayFolder="" count="0" unbalanced="0"/>
    <cacheHierarchy uniqueName="[Gretchen Results 3mar].[datimuid]" caption="datimuid" attribute="1" defaultMemberUniqueName="[Gretchen Results 3mar].[datimuid].[All]" allUniqueName="[Gretchen Results 3mar].[datimuid].[All]" dimensionUniqueName="[Gretchen Results 3mar]" displayFolder="" count="0" unbalanced="0"/>
    <cacheHierarchy uniqueName="[Gretchen Results 3mar].[dhisid]" caption="dhisid" attribute="1" defaultMemberUniqueName="[Gretchen Results 3mar].[dhisid].[All]" allUniqueName="[Gretchen Results 3mar].[dhisid].[All]" dimensionUniqueName="[Gretchen Results 3mar]" displayFolder="" count="0" unbalanced="0"/>
    <cacheHierarchy uniqueName="[Gretchen Results 3mar].[dhisname]" caption="dhisname" attribute="1" defaultMemberUniqueName="[Gretchen Results 3mar].[dhisname].[All]" allUniqueName="[Gretchen Results 3mar].[dhisname].[All]" dimensionUniqueName="[Gretchen Results 3mar]" displayFolder="" count="0" unbalanced="0"/>
    <cacheHierarchy uniqueName="[Gretchen Results 3mar].[died]" caption="died" attribute="1" defaultMemberUniqueName="[Gretchen Results 3mar].[died].[All]" allUniqueName="[Gretchen Results 3mar].[died].[All]" dimensionUniqueName="[Gretchen Results 3mar]" displayFolder="" count="0" unbalanced="0"/>
    <cacheHierarchy uniqueName="[Gretchen Results 3mar].[district]" caption="district" attribute="1" defaultMemberUniqueName="[Gretchen Results 3mar].[district].[All]" allUniqueName="[Gretchen Results 3mar].[district].[All]" dimensionUniqueName="[Gretchen Results 3mar]" displayFolder="" count="0" unbalanced="0"/>
    <cacheHierarchy uniqueName="[Gretchen Results 3mar].[hfrid]" caption="hfrid" attribute="1" defaultMemberUniqueName="[Gretchen Results 3mar].[hfrid].[All]" allUniqueName="[Gretchen Results 3mar].[hfrid].[All]" dimensionUniqueName="[Gretchen Results 3mar]" displayFolder="" count="0" unbalanced="0"/>
    <cacheHierarchy uniqueName="[Gretchen Results 3mar].[hvl_d]" caption="hvl_d" attribute="1" defaultMemberUniqueName="[Gretchen Results 3mar].[hvl_d].[All]" allUniqueName="[Gretchen Results 3mar].[hvl_d].[All]" dimensionUniqueName="[Gretchen Results 3mar]" displayFolder="" count="0" unbalanced="0"/>
    <cacheHierarchy uniqueName="[Gretchen Results 3mar].[hvl_d_o15]" caption="hvl_d_o15" attribute="1" defaultMemberUniqueName="[Gretchen Results 3mar].[hvl_d_o15].[All]" allUniqueName="[Gretchen Results 3mar].[hvl_d_o15].[All]" dimensionUniqueName="[Gretchen Results 3mar]" displayFolder="" count="0" unbalanced="0"/>
    <cacheHierarchy uniqueName="[Gretchen Results 3mar].[hvl_d_u15]" caption="hvl_d_u15" attribute="1" defaultMemberUniqueName="[Gretchen Results 3mar].[hvl_d_u15].[All]" allUniqueName="[Gretchen Results 3mar].[hvl_d_u15].[All]" dimensionUniqueName="[Gretchen Results 3mar]" displayFolder="" count="0" unbalanced="0"/>
    <cacheHierarchy uniqueName="[Gretchen Results 3mar].[hvl_u1k_n]" caption="hvl_u1k_n" attribute="1" defaultMemberUniqueName="[Gretchen Results 3mar].[hvl_u1k_n].[All]" allUniqueName="[Gretchen Results 3mar].[hvl_u1k_n].[All]" dimensionUniqueName="[Gretchen Results 3mar]" displayFolder="" count="0" unbalanced="0"/>
    <cacheHierarchy uniqueName="[Gretchen Results 3mar].[hvl_u1k_n_o15]" caption="hvl_u1k_n_o15" attribute="1" defaultMemberUniqueName="[Gretchen Results 3mar].[hvl_u1k_n_o15].[All]" allUniqueName="[Gretchen Results 3mar].[hvl_u1k_n_o15].[All]" dimensionUniqueName="[Gretchen Results 3mar]" displayFolder="" count="0" unbalanced="0"/>
    <cacheHierarchy uniqueName="[Gretchen Results 3mar].[hvl_u1k_n_u15]" caption="hvl_u1k_n_u15" attribute="1" defaultMemberUniqueName="[Gretchen Results 3mar].[hvl_u1k_n_u15].[All]" allUniqueName="[Gretchen Results 3mar].[hvl_u1k_n_u15].[All]" dimensionUniqueName="[Gretchen Results 3mar]" displayFolder="" count="0" unbalanced="0"/>
    <cacheHierarchy uniqueName="[Gretchen Results 3mar].[hvlelig]" caption="hvlelig" attribute="1" defaultMemberUniqueName="[Gretchen Results 3mar].[hvlelig].[All]" allUniqueName="[Gretchen Results 3mar].[hvlelig].[All]" dimensionUniqueName="[Gretchen Results 3mar]" displayFolder="" count="0" unbalanced="0"/>
    <cacheHierarchy uniqueName="[Gretchen Results 3mar].[hvlelig_o15]" caption="hvlelig_o15" attribute="1" defaultMemberUniqueName="[Gretchen Results 3mar].[hvlelig_o15].[All]" allUniqueName="[Gretchen Results 3mar].[hvlelig_o15].[All]" dimensionUniqueName="[Gretchen Results 3mar]" displayFolder="" count="0" unbalanced="0"/>
    <cacheHierarchy uniqueName="[Gretchen Results 3mar].[hvlelig_u15]" caption="hvlelig_u15" attribute="1" defaultMemberUniqueName="[Gretchen Results 3mar].[hvlelig_u15].[All]" allUniqueName="[Gretchen Results 3mar].[hvlelig_u15].[All]" dimensionUniqueName="[Gretchen Results 3mar]" displayFolder="" count="0" unbalanced="0"/>
    <cacheHierarchy uniqueName="[Gretchen Results 3mar].[missedapp]" caption="missedapp" attribute="1" defaultMemberUniqueName="[Gretchen Results 3mar].[missedapp].[All]" allUniqueName="[Gretchen Results 3mar].[missedapp].[All]" dimensionUniqueName="[Gretchen Results 3mar]" displayFolder="" count="0" unbalanced="0"/>
    <cacheHierarchy uniqueName="[Gretchen Results 3mar].[mmp_1m]" caption="mmp_1m" attribute="1" defaultMemberUniqueName="[Gretchen Results 3mar].[mmp_1m].[All]" allUniqueName="[Gretchen Results 3mar].[mmp_1m].[All]" dimensionUniqueName="[Gretchen Results 3mar]" displayFolder="" count="0" unbalanced="0"/>
    <cacheHierarchy uniqueName="[Gretchen Results 3mar].[mmp_2m]" caption="mmp_2m" attribute="1" defaultMemberUniqueName="[Gretchen Results 3mar].[mmp_2m].[All]" allUniqueName="[Gretchen Results 3mar].[mmp_2m].[All]" dimensionUniqueName="[Gretchen Results 3mar]" displayFolder="" count="0" unbalanced="0"/>
    <cacheHierarchy uniqueName="[Gretchen Results 3mar].[mmp_3m]" caption="mmp_3m" attribute="1" defaultMemberUniqueName="[Gretchen Results 3mar].[mmp_3m].[All]" allUniqueName="[Gretchen Results 3mar].[mmp_3m].[All]" dimensionUniqueName="[Gretchen Results 3mar]" displayFolder="" count="0" unbalanced="0"/>
    <cacheHierarchy uniqueName="[Gretchen Results 3mar].[mmp_6m]" caption="mmp_6m" attribute="1" defaultMemberUniqueName="[Gretchen Results 3mar].[mmp_6m].[All]" allUniqueName="[Gretchen Results 3mar].[mmp_6m].[All]" dimensionUniqueName="[Gretchen Results 3mar]" displayFolder="" count="0" unbalanced="0"/>
    <cacheHierarchy uniqueName="[Gretchen Results 3mar].[mmp_u6m]" caption="mmp_u6m" attribute="1" defaultMemberUniqueName="[Gretchen Results 3mar].[mmp_u6m].[All]" allUniqueName="[Gretchen Results 3mar].[mmp_u6m].[All]" dimensionUniqueName="[Gretchen Results 3mar]" displayFolder="" count="0" unbalanced="0"/>
    <cacheHierarchy uniqueName="[Gretchen Results 3mar].[noDBsubmitted]" caption="noDBsubmitted" attribute="1" defaultMemberUniqueName="[Gretchen Results 3mar].[noDBsubmitted].[All]" allUniqueName="[Gretchen Results 3mar].[noDBsubmitted].[All]" dimensionUniqueName="[Gretchen Results 3mar]" displayFolder="" count="0" unbalanced="0"/>
    <cacheHierarchy uniqueName="[Gretchen Results 3mar].[pid]" caption="pid" attribute="1" defaultMemberUniqueName="[Gretchen Results 3mar].[pid].[All]" allUniqueName="[Gretchen Results 3mar].[pid].[All]" dimensionUniqueName="[Gretchen Results 3mar]" displayFolder="" count="0" unbalanced="0"/>
    <cacheHierarchy uniqueName="[Gretchen Results 3mar].[region]" caption="region" attribute="1" defaultMemberUniqueName="[Gretchen Results 3mar].[region].[All]" allUniqueName="[Gretchen Results 3mar].[region].[All]" dimensionUniqueName="[Gretchen Results 3mar]" displayFolder="" count="0" unbalanced="0"/>
    <cacheHierarchy uniqueName="[Gretchen Results 3mar].[siteid]" caption="siteid" attribute="1" defaultMemberUniqueName="[Gretchen Results 3mar].[siteid].[All]" allUniqueName="[Gretchen Results 3mar].[siteid].[All]" dimensionUniqueName="[Gretchen Results 3mar]" displayFolder="" count="0" unbalanced="0"/>
    <cacheHierarchy uniqueName="[Gretchen Results 3mar].[t_tc_mmd3to5m_o15_f]" caption="t_tc_mmd3to5m_o15_f" attribute="1" defaultMemberUniqueName="[Gretchen Results 3mar].[t_tc_mmd3to5m_o15_f].[All]" allUniqueName="[Gretchen Results 3mar].[t_tc_mmd3to5m_o15_f].[All]" dimensionUniqueName="[Gretchen Results 3mar]" displayFolder="" count="0" unbalanced="0"/>
    <cacheHierarchy uniqueName="[Gretchen Results 3mar].[t_tc_mmd3to5m_o15_m]" caption="t_tc_mmd3to5m_o15_m" attribute="1" defaultMemberUniqueName="[Gretchen Results 3mar].[t_tc_mmd3to5m_o15_m].[All]" allUniqueName="[Gretchen Results 3mar].[t_tc_mmd3to5m_o15_m].[All]" dimensionUniqueName="[Gretchen Results 3mar]" displayFolder="" count="0" unbalanced="0"/>
    <cacheHierarchy uniqueName="[Gretchen Results 3mar].[t_tc_mmd3to5m_u15_f]" caption="t_tc_mmd3to5m_u15_f" attribute="1" defaultMemberUniqueName="[Gretchen Results 3mar].[t_tc_mmd3to5m_u15_f].[All]" allUniqueName="[Gretchen Results 3mar].[t_tc_mmd3to5m_u15_f].[All]" dimensionUniqueName="[Gretchen Results 3mar]" displayFolder="" count="0" unbalanced="0"/>
    <cacheHierarchy uniqueName="[Gretchen Results 3mar].[t_tc_mmd3to5m_u15_m]" caption="t_tc_mmd3to5m_u15_m" attribute="1" defaultMemberUniqueName="[Gretchen Results 3mar].[t_tc_mmd3to5m_u15_m].[All]" allUniqueName="[Gretchen Results 3mar].[t_tc_mmd3to5m_u15_m].[All]" dimensionUniqueName="[Gretchen Results 3mar]" displayFolder="" count="0" unbalanced="0"/>
    <cacheHierarchy uniqueName="[Gretchen Results 3mar].[t_tc_mmdo6m_o15_f]" caption="t_tc_mmdo6m_o15_f" attribute="1" defaultMemberUniqueName="[Gretchen Results 3mar].[t_tc_mmdo6m_o15_f].[All]" allUniqueName="[Gretchen Results 3mar].[t_tc_mmdo6m_o15_f].[All]" dimensionUniqueName="[Gretchen Results 3mar]" displayFolder="" count="0" unbalanced="0"/>
    <cacheHierarchy uniqueName="[Gretchen Results 3mar].[t_tc_mmdo6m_o15_m]" caption="t_tc_mmdo6m_o15_m" attribute="1" defaultMemberUniqueName="[Gretchen Results 3mar].[t_tc_mmdo6m_o15_m].[All]" allUniqueName="[Gretchen Results 3mar].[t_tc_mmdo6m_o15_m].[All]" dimensionUniqueName="[Gretchen Results 3mar]" displayFolder="" count="0" unbalanced="0"/>
    <cacheHierarchy uniqueName="[Gretchen Results 3mar].[t_tc_mmdo6m_u15_f]" caption="t_tc_mmdo6m_u15_f" attribute="1" defaultMemberUniqueName="[Gretchen Results 3mar].[t_tc_mmdo6m_u15_f].[All]" allUniqueName="[Gretchen Results 3mar].[t_tc_mmdo6m_u15_f].[All]" dimensionUniqueName="[Gretchen Results 3mar]" displayFolder="" count="0" unbalanced="0"/>
    <cacheHierarchy uniqueName="[Gretchen Results 3mar].[t_tc_mmdo6m_u15_m]" caption="t_tc_mmdo6m_u15_m" attribute="1" defaultMemberUniqueName="[Gretchen Results 3mar].[t_tc_mmdo6m_u15_m].[All]" allUniqueName="[Gretchen Results 3mar].[t_tc_mmdo6m_u15_m].[All]" dimensionUniqueName="[Gretchen Results 3mar]" displayFolder="" count="0" unbalanced="0"/>
    <cacheHierarchy uniqueName="[Gretchen Results 3mar].[t_tc_mmdu3m_o15_f]" caption="t_tc_mmdu3m_o15_f" attribute="1" defaultMemberUniqueName="[Gretchen Results 3mar].[t_tc_mmdu3m_o15_f].[All]" allUniqueName="[Gretchen Results 3mar].[t_tc_mmdu3m_o15_f].[All]" dimensionUniqueName="[Gretchen Results 3mar]" displayFolder="" count="0" unbalanced="0"/>
    <cacheHierarchy uniqueName="[Gretchen Results 3mar].[t_tc_mmdu3m_o15_m]" caption="t_tc_mmdu3m_o15_m" attribute="1" defaultMemberUniqueName="[Gretchen Results 3mar].[t_tc_mmdu3m_o15_m].[All]" allUniqueName="[Gretchen Results 3mar].[t_tc_mmdu3m_o15_m].[All]" dimensionUniqueName="[Gretchen Results 3mar]" displayFolder="" count="0" unbalanced="0"/>
    <cacheHierarchy uniqueName="[Gretchen Results 3mar].[t_tc_mmdu3m_u15_f]" caption="t_tc_mmdu3m_u15_f" attribute="1" defaultMemberUniqueName="[Gretchen Results 3mar].[t_tc_mmdu3m_u15_f].[All]" allUniqueName="[Gretchen Results 3mar].[t_tc_mmdu3m_u15_f].[All]" dimensionUniqueName="[Gretchen Results 3mar]" displayFolder="" count="0" unbalanced="0"/>
    <cacheHierarchy uniqueName="[Gretchen Results 3mar].[t_tc_mmdu3m_u15_m]" caption="t_tc_mmdu3m_u15_m" attribute="1" defaultMemberUniqueName="[Gretchen Results 3mar].[t_tc_mmdu3m_u15_m].[All]" allUniqueName="[Gretchen Results 3mar].[t_tc_mmdu3m_u15_m].[All]" dimensionUniqueName="[Gretchen Results 3mar]" displayFolder="" count="0" unbalanced="0"/>
    <cacheHierarchy uniqueName="[Gretchen Results 3mar].[t_txcurr_lastm]" caption="t_txcurr_lastm" attribute="1" defaultMemberUniqueName="[Gretchen Results 3mar].[t_txcurr_lastm].[All]" allUniqueName="[Gretchen Results 3mar].[t_txcurr_lastm].[All]" dimensionUniqueName="[Gretchen Results 3mar]" displayFolder="" count="0" unbalanced="0"/>
    <cacheHierarchy uniqueName="[Gretchen Results 3mar].[t_txcurr_o15_f]" caption="t_txcurr_o15_f" attribute="1" defaultMemberUniqueName="[Gretchen Results 3mar].[t_txcurr_o15_f].[All]" allUniqueName="[Gretchen Results 3mar].[t_txcurr_o15_f].[All]" dimensionUniqueName="[Gretchen Results 3mar]" displayFolder="" count="0" unbalanced="0"/>
    <cacheHierarchy uniqueName="[Gretchen Results 3mar].[t_txcurr_o15_m]" caption="t_txcurr_o15_m" attribute="1" defaultMemberUniqueName="[Gretchen Results 3mar].[t_txcurr_o15_m].[All]" allUniqueName="[Gretchen Results 3mar].[t_txcurr_o15_m].[All]" dimensionUniqueName="[Gretchen Results 3mar]" displayFolder="" count="0" unbalanced="0"/>
    <cacheHierarchy uniqueName="[Gretchen Results 3mar].[t_txcurr_thism]" caption="t_txcurr_thism" attribute="1" defaultMemberUniqueName="[Gretchen Results 3mar].[t_txcurr_thism].[All]" allUniqueName="[Gretchen Results 3mar].[t_txcurr_thism].[All]" dimensionUniqueName="[Gretchen Results 3mar]" displayFolder="" count="0" unbalanced="0"/>
    <cacheHierarchy uniqueName="[Gretchen Results 3mar].[t_txcurr_u15_f]" caption="t_txcurr_u15_f" attribute="1" defaultMemberUniqueName="[Gretchen Results 3mar].[t_txcurr_u15_f].[All]" allUniqueName="[Gretchen Results 3mar].[t_txcurr_u15_f].[All]" dimensionUniqueName="[Gretchen Results 3mar]" displayFolder="" count="0" unbalanced="0"/>
    <cacheHierarchy uniqueName="[Gretchen Results 3mar].[t_txcurr_u15_m]" caption="t_txcurr_u15_m" attribute="1" defaultMemberUniqueName="[Gretchen Results 3mar].[t_txcurr_u15_m].[All]" allUniqueName="[Gretchen Results 3mar].[t_txcurr_u15_m].[All]" dimensionUniqueName="[Gretchen Results 3mar]" displayFolder="" count="0" unbalanced="0"/>
    <cacheHierarchy uniqueName="[Gretchen Results 3mar].[t_txnew]" caption="t_txnew" attribute="1" defaultMemberUniqueName="[Gretchen Results 3mar].[t_txnew].[All]" allUniqueName="[Gretchen Results 3mar].[t_txnew].[All]" dimensionUniqueName="[Gretchen Results 3mar]" displayFolder="" count="0" unbalanced="0"/>
    <cacheHierarchy uniqueName="[Gretchen Results 3mar].[t_txnew_2vis]" caption="t_txnew_2vis" attribute="1" defaultMemberUniqueName="[Gretchen Results 3mar].[t_txnew_2vis].[All]" allUniqueName="[Gretchen Results 3mar].[t_txnew_2vis].[All]" dimensionUniqueName="[Gretchen Results 3mar]" displayFolder="" count="0" unbalanced="0"/>
    <cacheHierarchy uniqueName="[Gretchen Results 3mar].[t_txnew_lastm]" caption="t_txnew_lastm" attribute="1" defaultMemberUniqueName="[Gretchen Results 3mar].[t_txnew_lastm].[All]" allUniqueName="[Gretchen Results 3mar].[t_txnew_lastm].[All]" dimensionUniqueName="[Gretchen Results 3mar]" displayFolder="" count="0" unbalanced="0"/>
    <cacheHierarchy uniqueName="[Gretchen Results 3mar].[t_txnew_o15_f]" caption="t_txnew_o15_f" attribute="1" defaultMemberUniqueName="[Gretchen Results 3mar].[t_txnew_o15_f].[All]" allUniqueName="[Gretchen Results 3mar].[t_txnew_o15_f].[All]" dimensionUniqueName="[Gretchen Results 3mar]" displayFolder="" count="0" unbalanced="0"/>
    <cacheHierarchy uniqueName="[Gretchen Results 3mar].[t_txnew_o15_m]" caption="t_txnew_o15_m" attribute="1" defaultMemberUniqueName="[Gretchen Results 3mar].[t_txnew_o15_m].[All]" allUniqueName="[Gretchen Results 3mar].[t_txnew_o15_m].[All]" dimensionUniqueName="[Gretchen Results 3mar]" displayFolder="" count="0" unbalanced="0"/>
    <cacheHierarchy uniqueName="[Gretchen Results 3mar].[t_txnew_u15]" caption="t_txnew_u15" attribute="1" defaultMemberUniqueName="[Gretchen Results 3mar].[t_txnew_u15].[All]" allUniqueName="[Gretchen Results 3mar].[t_txnew_u15].[All]" dimensionUniqueName="[Gretchen Results 3mar]" displayFolder="" count="0" unbalanced="0"/>
    <cacheHierarchy uniqueName="[Gretchen Results 3mar].[t_txnew_u15_f]" caption="t_txnew_u15_f" attribute="1" defaultMemberUniqueName="[Gretchen Results 3mar].[t_txnew_u15_f].[All]" allUniqueName="[Gretchen Results 3mar].[t_txnew_u15_f].[All]" dimensionUniqueName="[Gretchen Results 3mar]" displayFolder="" count="0" unbalanced="0"/>
    <cacheHierarchy uniqueName="[Gretchen Results 3mar].[t_txnew_u15_m]" caption="t_txnew_u15_m" attribute="1" defaultMemberUniqueName="[Gretchen Results 3mar].[t_txnew_u15_m].[All]" allUniqueName="[Gretchen Results 3mar].[t_txnew_u15_m].[All]" dimensionUniqueName="[Gretchen Results 3mar]" displayFolder="" count="0" unbalanced="0"/>
    <cacheHierarchy uniqueName="[Gretchen Results 3mar].[tbprev_d_3mar]" caption="tbprev_d_3mar" attribute="1" defaultMemberUniqueName="[Gretchen Results 3mar].[tbprev_d_3mar].[All]" allUniqueName="[Gretchen Results 3mar].[tbprev_d_3mar].[All]" dimensionUniqueName="[Gretchen Results 3mar]" displayFolder="" count="0" unbalanced="0"/>
    <cacheHierarchy uniqueName="[Gretchen Results 3mar].[tbprev_n]" caption="tbprev_n" attribute="1" defaultMemberUniqueName="[Gretchen Results 3mar].[tbprev_n].[All]" allUniqueName="[Gretchen Results 3mar].[tbprev_n].[All]" dimensionUniqueName="[Gretchen Results 3mar]" displayFolder="" count="0" unbalanced="0"/>
    <cacheHierarchy uniqueName="[Gretchen Results 3mar].[tbprev_start_thismo]" caption="tbprev_start_thismo" attribute="1" defaultMemberUniqueName="[Gretchen Results 3mar].[tbprev_start_thismo].[All]" allUniqueName="[Gretchen Results 3mar].[tbprev_start_thismo].[All]" dimensionUniqueName="[Gretchen Results 3mar]" displayFolder="" count="0" unbalanced="0"/>
    <cacheHierarchy uniqueName="[Gretchen Results 3mar].[TI]" caption="TI" attribute="1" defaultMemberUniqueName="[Gretchen Results 3mar].[TI].[All]" allUniqueName="[Gretchen Results 3mar].[TI].[All]" dimensionUniqueName="[Gretchen Results 3mar]" displayFolder="" count="0" unbalanced="0"/>
    <cacheHierarchy uniqueName="[Gretchen Results 3mar].[tier]" caption="tier" attribute="1" defaultMemberUniqueName="[Gretchen Results 3mar].[tier].[All]" allUniqueName="[Gretchen Results 3mar].[tier].[All]" dimensionUniqueName="[Gretchen Results 3mar]" displayFolder="" count="0" unbalanced="0"/>
    <cacheHierarchy uniqueName="[Gretchen Results 3mar].[TO]" caption="TO" attribute="1" defaultMemberUniqueName="[Gretchen Results 3mar].[TO].[All]" allUniqueName="[Gretchen Results 3mar].[TO].[All]" dimensionUniqueName="[Gretchen Results 3mar]" displayFolder="" count="0" unbalanced="0"/>
    <cacheHierarchy uniqueName="[Gretchen Results 3mar].[ward]" caption="ward" attribute="1" defaultMemberUniqueName="[Gretchen Results 3mar].[ward].[All]" allUniqueName="[Gretchen Results 3mar].[ward].[All]" dimensionUniqueName="[Gretchen Results 3mar]" displayFolder="" count="0" unbalanced="0"/>
    <cacheHierarchy uniqueName="[Gretchen Results 3mar].[yrmo]" caption="yrmo" attribute="1" defaultMemberUniqueName="[Gretchen Results 3mar].[yrmo].[All]" allUniqueName="[Gretchen Results 3mar].[yrmo].[All]" dimensionUniqueName="[Gretchen Results 3mar]" displayFolder="" count="0" unbalanced="0"/>
    <cacheHierarchy uniqueName="[Gretchen tx_curr Detail].[age_o15]" caption="age_o15" attribute="1" defaultMemberUniqueName="[Gretchen tx_curr Detail].[age_o15].[All]" allUniqueName="[Gretchen tx_curr Detail].[age_o15].[All]" dimensionUniqueName="[Gretchen tx_curr Detail]" displayFolder="" count="0" unbalanced="0"/>
    <cacheHierarchy uniqueName="[Gretchen tx_curr Detail].[age_u15]" caption="age_u15" attribute="1" defaultMemberUniqueName="[Gretchen tx_curr Detail].[age_u15].[All]" allUniqueName="[Gretchen tx_curr Detail].[age_u15].[All]" dimensionUniqueName="[Gretchen tx_curr Detail]" displayFolder="" count="0" unbalanced="0"/>
    <cacheHierarchy uniqueName="[Gretchen tx_curr Detail].[agegp]" caption="agegp" attribute="1" defaultMemberUniqueName="[Gretchen tx_curr Detail].[agegp].[All]" allUniqueName="[Gretchen tx_curr Detail].[agegp].[All]" dimensionUniqueName="[Gretchen tx_curr Detail]" displayFolder="" count="0" unbalanced="0"/>
    <cacheHierarchy uniqueName="[Gretchen tx_curr Detail].[ageyrs]" caption="ageyrs" attribute="1" defaultMemberUniqueName="[Gretchen tx_curr Detail].[ageyrs].[All]" allUniqueName="[Gretchen tx_curr Detail].[ageyrs].[All]" dimensionUniqueName="[Gretchen tx_curr Detail]" displayFolder="" count="0" unbalanced="0"/>
    <cacheHierarchy uniqueName="[Gretchen tx_curr Detail].[appduedt]" caption="appduedt" attribute="1" defaultMemberUniqueName="[Gretchen tx_curr Detail].[appduedt].[All]" allUniqueName="[Gretchen tx_curr Detail].[appduedt].[All]" dimensionUniqueName="[Gretchen tx_curr Detail]" displayFolder="" count="0" unbalanced="0"/>
    <cacheHierarchy uniqueName="[Gretchen tx_curr Detail].[appduedt_imp]" caption="appduedt_imp" attribute="1" defaultMemberUniqueName="[Gretchen tx_curr Detail].[appduedt_imp].[All]" allUniqueName="[Gretchen tx_curr Detail].[appduedt_imp].[All]" dimensionUniqueName="[Gretchen tx_curr Detail]" displayFolder="" count="0" unbalanced="0"/>
    <cacheHierarchy uniqueName="[Gretchen tx_curr Detail].[appmaxint]" caption="appmaxint" attribute="1" defaultMemberUniqueName="[Gretchen tx_curr Detail].[appmaxint].[All]" allUniqueName="[Gretchen tx_curr Detail].[appmaxint].[All]" dimensionUniqueName="[Gretchen tx_curr Detail]" displayFolder="" count="0" unbalanced="0"/>
    <cacheHierarchy uniqueName="[Gretchen tx_curr Detail].[artdys]" caption="artdys" attribute="1" defaultMemberUniqueName="[Gretchen tx_curr Detail].[artdys].[All]" allUniqueName="[Gretchen tx_curr Detail].[artdys].[All]" dimensionUniqueName="[Gretchen tx_curr Detail]" displayFolder="" count="0" unbalanced="0"/>
    <cacheHierarchy uniqueName="[Gretchen tx_curr Detail].[artdys_imp]" caption="artdys_imp" attribute="1" defaultMemberUniqueName="[Gretchen tx_curr Detail].[artdys_imp].[All]" allUniqueName="[Gretchen tx_curr Detail].[artdys_imp].[All]" dimensionUniqueName="[Gretchen tx_curr Detail]" displayFolder="" count="0" unbalanced="0"/>
    <cacheHierarchy uniqueName="[Gretchen tx_curr Detail].[artfinishdt]" caption="artfinishdt" attribute="1" defaultMemberUniqueName="[Gretchen tx_curr Detail].[artfinishdt].[All]" allUniqueName="[Gretchen tx_curr Detail].[artfinishdt].[All]" dimensionUniqueName="[Gretchen tx_curr Detail]" displayFolder="" count="0" unbalanced="0"/>
    <cacheHierarchy uniqueName="[Gretchen tx_curr Detail].[artmaxint]" caption="artmaxint" attribute="1" defaultMemberUniqueName="[Gretchen tx_curr Detail].[artmaxint].[All]" allUniqueName="[Gretchen tx_curr Detail].[artmaxint].[All]" dimensionUniqueName="[Gretchen tx_curr Detail]" displayFolder="" count="0" unbalanced="0"/>
    <cacheHierarchy uniqueName="[Gretchen tx_curr Detail].[dieddt]" caption="dieddt" attribute="1" defaultMemberUniqueName="[Gretchen tx_curr Detail].[dieddt].[All]" allUniqueName="[Gretchen tx_curr Detail].[dieddt].[All]" dimensionUniqueName="[Gretchen tx_curr Detail]" displayFolder="" count="0" unbalanced="0"/>
    <cacheHierarchy uniqueName="[Gretchen tx_curr Detail].[dob]" caption="dob" attribute="1" defaultMemberUniqueName="[Gretchen tx_curr Detail].[dob].[All]" allUniqueName="[Gretchen tx_curr Detail].[dob].[All]" dimensionUniqueName="[Gretchen tx_curr Detail]" displayFolder="" count="0" unbalanced="0"/>
    <cacheHierarchy uniqueName="[Gretchen tx_curr Detail].[lastvis]" caption="lastvis" attribute="1" defaultMemberUniqueName="[Gretchen tx_curr Detail].[lastvis].[All]" allUniqueName="[Gretchen tx_curr Detail].[lastvis].[All]" dimensionUniqueName="[Gretchen tx_curr Detail]" displayFolder="" count="0" unbalanced="0"/>
    <cacheHierarchy uniqueName="[Gretchen tx_curr Detail].[maxint]" caption="maxint" attribute="1" defaultMemberUniqueName="[Gretchen tx_curr Detail].[maxint].[All]" allUniqueName="[Gretchen tx_curr Detail].[maxint].[All]" dimensionUniqueName="[Gretchen tx_curr Detail]" displayFolder="" count="0" unbalanced="0"/>
    <cacheHierarchy uniqueName="[Gretchen tx_curr Detail].[pid]" caption="pid" attribute="1" defaultMemberUniqueName="[Gretchen tx_curr Detail].[pid].[All]" allUniqueName="[Gretchen tx_curr Detail].[pid].[All]" dimensionUniqueName="[Gretchen tx_curr Detail]" displayFolder="" count="0" unbalanced="0"/>
    <cacheHierarchy uniqueName="[Gretchen tx_curr Detail].[sex]" caption="sex" attribute="1" defaultMemberUniqueName="[Gretchen tx_curr Detail].[sex].[All]" allUniqueName="[Gretchen tx_curr Detail].[sex].[All]" dimensionUniqueName="[Gretchen tx_curr Detail]" displayFolder="" count="0" unbalanced="0"/>
    <cacheHierarchy uniqueName="[Gretchen tx_curr Detail].[siteid]" caption="siteid" attribute="1" defaultMemberUniqueName="[Gretchen tx_curr Detail].[siteid].[All]" allUniqueName="[Gretchen tx_curr Detail].[siteid].[All]" dimensionUniqueName="[Gretchen tx_curr Detail]" displayFolder="" count="0" unbalanced="0"/>
    <cacheHierarchy uniqueName="[Gretchen tx_curr Detail].[tc_o15_f]" caption="tc_o15_f" attribute="1" defaultMemberUniqueName="[Gretchen tx_curr Detail].[tc_o15_f].[All]" allUniqueName="[Gretchen tx_curr Detail].[tc_o15_f].[All]" dimensionUniqueName="[Gretchen tx_curr Detail]" displayFolder="" count="0" unbalanced="0"/>
    <cacheHierarchy uniqueName="[Gretchen tx_curr Detail].[tc_o15_m]" caption="tc_o15_m" attribute="1" defaultMemberUniqueName="[Gretchen tx_curr Detail].[tc_o15_m].[All]" allUniqueName="[Gretchen tx_curr Detail].[tc_o15_m].[All]" dimensionUniqueName="[Gretchen tx_curr Detail]" displayFolder="" count="0" unbalanced="0"/>
    <cacheHierarchy uniqueName="[Gretchen tx_curr Detail].[tc_u15_f]" caption="tc_u15_f" attribute="1" defaultMemberUniqueName="[Gretchen tx_curr Detail].[tc_u15_f].[All]" allUniqueName="[Gretchen tx_curr Detail].[tc_u15_f].[All]" dimensionUniqueName="[Gretchen tx_curr Detail]" displayFolder="" count="0" unbalanced="0"/>
    <cacheHierarchy uniqueName="[Gretchen tx_curr Detail].[tc_u15_m]" caption="tc_u15_m" attribute="1" defaultMemberUniqueName="[Gretchen tx_curr Detail].[tc_u15_m].[All]" allUniqueName="[Gretchen tx_curr Detail].[tc_u15_m].[All]" dimensionUniqueName="[Gretchen tx_curr Detail]" displayFolder="" count="0" unbalanced="0"/>
    <cacheHierarchy uniqueName="[Gretchen tx_curr Detail].[txcurr]" caption="txcurr" attribute="1" defaultMemberUniqueName="[Gretchen tx_curr Detail].[txcurr].[All]" allUniqueName="[Gretchen tx_curr Detail].[txcurr].[All]" dimensionUniqueName="[Gretchen tx_curr Detail]" displayFolder="" count="0" unbalanced="0"/>
    <cacheHierarchy uniqueName="[Gretchen tx_curr Detail].[txcurr_art]" caption="txcurr_art" attribute="1" defaultMemberUniqueName="[Gretchen tx_curr Detail].[txcurr_art].[All]" allUniqueName="[Gretchen tx_curr Detail].[txcurr_art].[All]" dimensionUniqueName="[Gretchen tx_curr Detail]" displayFolder="" count="0" unbalanced="0"/>
    <cacheHierarchy uniqueName="[Gretchen tx_curr Detail].[txcurr_exclude]" caption="txcurr_exclude" attribute="1" defaultMemberUniqueName="[Gretchen tx_curr Detail].[txcurr_exclude].[All]" allUniqueName="[Gretchen tx_curr Detail].[txcurr_exclude].[All]" dimensionUniqueName="[Gretchen tx_curr Detail]" displayFolder="" count="0" unbalanced="0"/>
    <cacheHierarchy uniqueName="[Gretchen tx_curr Detail].[txcurr_vis]" caption="txcurr_vis" attribute="1" defaultMemberUniqueName="[Gretchen tx_curr Detail].[txcurr_vis].[All]" allUniqueName="[Gretchen tx_curr Detail].[txcurr_vis].[All]" dimensionUniqueName="[Gretchen tx_curr Detail]" displayFolder="" count="0" unbalanced="0"/>
    <cacheHierarchy uniqueName="[Gretchen tx_curr Detail].[UniquePatientID]" caption="UniquePatientID" attribute="1" defaultMemberUniqueName="[Gretchen tx_curr Detail].[UniquePatientID].[All]" allUniqueName="[Gretchen tx_curr Detail].[UniquePatientID].[All]" dimensionUniqueName="[Gretchen tx_curr Detail]" displayFolder="" count="0" unbalanced="0"/>
    <cacheHierarchy uniqueName="[Patients].[Age at ART Start]" caption="Age at ART Start" attribute="1" defaultMemberUniqueName="[Patients].[Age at ART Start].[All]" allUniqueName="[Patients].[Age at ART Start].[All]" dimensionUniqueName="[Patients]" displayFolder="" count="0" unbalanced="0"/>
    <cacheHierarchy uniqueName="[Patients].[Age at ART Start (bins)]" caption="Age at ART Start (bins)" attribute="1" defaultMemberUniqueName="[Patients].[Age at ART Start (bins)].[All]" allUniqueName="[Patients].[Age at ART Start (bins)].[All]" dimensionUniqueName="[Patients]" displayFolder="" count="0" unbalanced="0"/>
    <cacheHierarchy uniqueName="[Patients].[CommunitySupportOrg]" caption="CommunitySupportOrg" attribute="1" defaultMemberUniqueName="[Patients].[CommunitySupportOrg].[All]" allUniqueName="[Patients].[CommunitySupportOrg].[All]" dimensionUniqueName="[Patients]" displayFolder="" count="0" unbalanced="0"/>
    <cacheHierarchy uniqueName="[Patients].[DateConfirmedHIVPositive]" caption="DateConfirmedHIVPositive" attribute="1" defaultMemberUniqueName="[Patients].[DateConfirmedHIVPositive].[All]" allUniqueName="[Patients].[DateConfirmedHIVPositive].[All]" dimensionUniqueName="[Patients]" displayFolder="" count="0" unbalanced="0"/>
    <cacheHierarchy uniqueName="[Patients].[DateConfirmedHIVPositiveKey]" caption="DateConfirmedHIVPositiveKey" attribute="1" defaultMemberUniqueName="[Patients].[DateConfirmedHIVPositiveKey].[All]" allUniqueName="[Patients].[DateConfirmedHIVPositiveKey].[All]" dimensionUniqueName="[Patients]" displayFolder="" count="0" unbalanced="0"/>
    <cacheHierarchy uniqueName="[Patients].[DateFirstPositiveHIVTest]" caption="DateFirstPositiveHIVTest" attribute="1" defaultMemberUniqueName="[Patients].[DateFirstPositiveHIVTest].[All]" allUniqueName="[Patients].[DateFirstPositiveHIVTest].[All]" dimensionUniqueName="[Patients]" displayFolder="" count="0" unbalanced="0"/>
    <cacheHierarchy uniqueName="[Patients].[DateFirstPositiveHIVTestKey]" caption="DateFirstPositiveHIVTestKey" attribute="1" defaultMemberUniqueName="[Patients].[DateFirstPositiveHIVTestKey].[All]" allUniqueName="[Patients].[DateFirstPositiveHIVTestKey].[All]" dimensionUniqueName="[Patients]" displayFolder="" count="0" unbalanced="0"/>
    <cacheHierarchy uniqueName="[Patients].[DateFirstVisit]" caption="DateFirstVisit" attribute="1" defaultMemberUniqueName="[Patients].[DateFirstVisit].[All]" allUniqueName="[Patients].[DateFirstVisit].[All]" dimensionUniqueName="[Patients]" displayFolder="" count="0" unbalanced="0"/>
    <cacheHierarchy uniqueName="[Patients].[DateFirstVisitKey]" caption="DateFirstVisitKey" attribute="1" defaultMemberUniqueName="[Patients].[DateFirstVisitKey].[All]" allUniqueName="[Patients].[DateFirstVisitKey].[All]" dimensionUniqueName="[Patients]" displayFolder="" count="0" unbalanced="0"/>
    <cacheHierarchy uniqueName="[Patients].[DateLastVisit]" caption="DateLastVisit" attribute="1" defaultMemberUniqueName="[Patients].[DateLastVisit].[All]" allUniqueName="[Patients].[DateLastVisit].[All]" dimensionUniqueName="[Patients]" displayFolder="" count="0" unbalanced="0"/>
    <cacheHierarchy uniqueName="[Patients].[DateLastVisitKey]" caption="DateLastVisitKey" attribute="1" defaultMemberUniqueName="[Patients].[DateLastVisitKey].[All]" allUniqueName="[Patients].[DateLastVisitKey].[All]" dimensionUniqueName="[Patients]" displayFolder="" count="0" unbalanced="0"/>
    <cacheHierarchy uniqueName="[Patients].[DateOfBirth]" caption="DateOfBirth" attribute="1" defaultMemberUniqueName="[Patients].[DateOfBirth].[All]" allUniqueName="[Patients].[DateOfBirth].[All]" dimensionUniqueName="[Patients]" displayFolder="" count="0" unbalanced="0"/>
    <cacheHierarchy uniqueName="[Patients].[DateOfDeath]" caption="DateOfDeath" attribute="1" defaultMemberUniqueName="[Patients].[DateOfDeath].[All]" allUniqueName="[Patients].[DateOfDeath].[All]" dimensionUniqueName="[Patients]" displayFolder="" count="0" unbalanced="0"/>
    <cacheHierarchy uniqueName="[Patients].[DateOfDeathKey]" caption="DateOfDeathKey" attribute="1" defaultMemberUniqueName="[Patients].[DateOfDeathKey].[All]" allUniqueName="[Patients].[DateOfDeathKey].[All]" dimensionUniqueName="[Patients]" displayFolder="" count="0" unbalanced="0"/>
    <cacheHierarchy uniqueName="[Patients].[DateReadyStartART]" caption="DateReadyStartART" attribute="1" defaultMemberUniqueName="[Patients].[DateReadyStartART].[All]" allUniqueName="[Patients].[DateReadyStartART].[All]" dimensionUniqueName="[Patients]" displayFolder="" count="0" unbalanced="0"/>
    <cacheHierarchy uniqueName="[Patients].[DateReadyStartARTKey]" caption="DateReadyStartARTKey" attribute="1" defaultMemberUniqueName="[Patients].[DateReadyStartARTKey].[All]" allUniqueName="[Patients].[DateReadyStartARTKey].[All]" dimensionUniqueName="[Patients]" displayFolder="" count="0" unbalanced="0"/>
    <cacheHierarchy uniqueName="[Patients].[DateStartART]" caption="DateStartART" attribute="1" defaultMemberUniqueName="[Patients].[DateStartART].[All]" allUniqueName="[Patients].[DateStartART].[All]" dimensionUniqueName="[Patients]" displayFolder="" count="0" unbalanced="0"/>
    <cacheHierarchy uniqueName="[Patients].[DateStartART15]" caption="DateStartART15" attribute="1" defaultMemberUniqueName="[Patients].[DateStartART15].[All]" allUniqueName="[Patients].[DateStartART15].[All]" dimensionUniqueName="[Patients]" displayFolder="" count="0" unbalanced="0"/>
    <cacheHierarchy uniqueName="[Patients].[DateStartART15Key]" caption="DateStartART15Key" attribute="1" defaultMemberUniqueName="[Patients].[DateStartART15Key].[All]" allUniqueName="[Patients].[DateStartART15Key].[All]" dimensionUniqueName="[Patients]" displayFolder="" count="0" unbalanced="0"/>
    <cacheHierarchy uniqueName="[Patients].[DateStartART2]" caption="DateStartART2" attribute="1" defaultMemberUniqueName="[Patients].[DateStartART2].[All]" allUniqueName="[Patients].[DateStartART2].[All]" dimensionUniqueName="[Patients]" displayFolder="" count="0" unbalanced="0"/>
    <cacheHierarchy uniqueName="[Patients].[DateStartART2Key]" caption="DateStartART2Key" attribute="1" defaultMemberUniqueName="[Patients].[DateStartART2Key].[All]" allUniqueName="[Patients].[DateStartART2Key].[All]" dimensionUniqueName="[Patients]" displayFolder="" count="0" unbalanced="0"/>
    <cacheHierarchy uniqueName="[Patients].[DateStartARTKey]" caption="DateStartARTKey" attribute="1" defaultMemberUniqueName="[Patients].[DateStartARTKey].[All]" allUniqueName="[Patients].[DateStartARTKey].[All]" dimensionUniqueName="[Patients]" displayFolder="" count="0" unbalanced="0"/>
    <cacheHierarchy uniqueName="[Patients].[DaysToInitiation]" caption="DaysToInitiation" attribute="1" defaultMemberUniqueName="[Patients].[DaysToInitiation].[All]" allUniqueName="[Patients].[DaysToInitiation].[All]" dimensionUniqueName="[Patients]" displayFolder="" count="0" unbalanced="0"/>
    <cacheHierarchy uniqueName="[Patients].[DaysToInitiationGrouping]" caption="DaysToInitiationGrouping" attribute="1" defaultMemberUniqueName="[Patients].[DaysToInitiationGrouping].[All]" allUniqueName="[Patients].[DaysToInitiationGrouping].[All]" dimensionUniqueName="[Patients]" displayFolder="" count="0" unbalanced="0"/>
    <cacheHierarchy uniqueName="[Patients].[DrugAllergies]" caption="DrugAllergies" attribute="1" defaultMemberUniqueName="[Patients].[DrugAllergies].[All]" allUniqueName="[Patients].[DrugAllergies].[All]" dimensionUniqueName="[Patients]" displayFolder="" count="0" unbalanced="0"/>
    <cacheHierarchy uniqueName="[Patients].[FacilityKey]" caption="FacilityKey" attribute="1" defaultMemberUniqueName="[Patients].[FacilityKey].[All]" allUniqueName="[Patients].[FacilityKey].[All]" dimensionUniqueName="[Patients]" displayFolder="" count="0" unbalanced="0"/>
    <cacheHierarchy uniqueName="[Patients].[FileRef]" caption="FileRef" attribute="1" defaultMemberUniqueName="[Patients].[FileRef].[All]" allUniqueName="[Patients].[FileRef].[All]" dimensionUniqueName="[Patients]" displayFolder="" count="0" unbalanced="0"/>
    <cacheHierarchy uniqueName="[Patients].[ht]" caption="ht" attribute="1" defaultMemberUniqueName="[Patients].[ht].[All]" allUniqueName="[Patients].[ht].[All]" dimensionUniqueName="[Patients]" displayFolder="" count="0" unbalanced="0"/>
    <cacheHierarchy uniqueName="[Patients].[LastDiedStatusDate]" caption="LastDiedStatusDate" attribute="1" defaultMemberUniqueName="[Patients].[LastDiedStatusDate].[All]" allUniqueName="[Patients].[LastDiedStatusDate].[All]" dimensionUniqueName="[Patients]" displayFolder="" count="0" unbalanced="0"/>
    <cacheHierarchy uniqueName="[Patients].[MaritalStatusCode]" caption="MaritalStatusCode" attribute="1" defaultMemberUniqueName="[Patients].[MaritalStatusCode].[All]" allUniqueName="[Patients].[MaritalStatusCode].[All]" dimensionUniqueName="[Patients]" displayFolder="" count="0" unbalanced="0"/>
    <cacheHierarchy uniqueName="[Patients].[PatientDistrictCode]" caption="PatientDistrictCode" attribute="1" defaultMemberUniqueName="[Patients].[PatientDistrictCode].[All]" allUniqueName="[Patients].[PatientDistrictCode].[All]" dimensionUniqueName="[Patients]" displayFolder="" count="0" unbalanced="0"/>
    <cacheHierarchy uniqueName="[Patients].[PatientDivisionName]" caption="PatientDivisionName" attribute="1" defaultMemberUniqueName="[Patients].[PatientDivisionName].[All]" allUniqueName="[Patients].[PatientDivisionName].[All]" dimensionUniqueName="[Patients]" displayFolder="" count="0" unbalanced="0"/>
    <cacheHierarchy uniqueName="[Patients].[PatientID]" caption="PatientID" attribute="1" defaultMemberUniqueName="[Patients].[PatientID].[All]" allUniqueName="[Patients].[PatientID].[All]" dimensionUniqueName="[Patients]" displayFolder="" count="0" unbalanced="0"/>
    <cacheHierarchy uniqueName="[Patients].[PatientKey]" caption="PatientKey" attribute="1" defaultMemberUniqueName="[Patients].[PatientKey].[All]" allUniqueName="[Patients].[PatientKey].[All]" dimensionUniqueName="[Patients]" displayFolder="" count="0" unbalanced="0"/>
    <cacheHierarchy uniqueName="[Patients].[PatientRegionCode]" caption="PatientRegionCode" attribute="1" defaultMemberUniqueName="[Patients].[PatientRegionCode].[All]" allUniqueName="[Patients].[PatientRegionCode].[All]" dimensionUniqueName="[Patients]" displayFolder="" count="0" unbalanced="0"/>
    <cacheHierarchy uniqueName="[Patients].[PatientWardName]" caption="PatientWardName" attribute="1" defaultMemberUniqueName="[Patients].[PatientWardName].[All]" allUniqueName="[Patients].[PatientWardName].[All]" dimensionUniqueName="[Patients]" displayFolder="" count="0" unbalanced="0"/>
    <cacheHierarchy uniqueName="[Patients].[PriorExposure]" caption="PriorExposure" attribute="1" defaultMemberUniqueName="[Patients].[PriorExposure].[All]" allUniqueName="[Patients].[PriorExposure].[All]" dimensionUniqueName="[Patients]" displayFolder="" count="0" unbalanced="0"/>
    <cacheHierarchy uniqueName="[Patients].[ReferredFrom]" caption="ReferredFrom" attribute="1" defaultMemberUniqueName="[Patients].[ReferredFrom].[All]" allUniqueName="[Patients].[ReferredFrom].[All]" dimensionUniqueName="[Patients]" displayFolder="" count="0" unbalanced="0"/>
    <cacheHierarchy uniqueName="[Patients].[ReferredFromID]" caption="ReferredFromID" attribute="1" defaultMemberUniqueName="[Patients].[ReferredFromID].[All]" allUniqueName="[Patients].[ReferredFromID].[All]" dimensionUniqueName="[Patients]" displayFolder="" count="0" unbalanced="0"/>
    <cacheHierarchy uniqueName="[Patients].[ReferredFromKey]" caption="ReferredFromKey" attribute="1" defaultMemberUniqueName="[Patients].[ReferredFromKey].[All]" allUniqueName="[Patients].[ReferredFromKey].[All]" dimensionUniqueName="[Patients]" displayFolder="" count="0" unbalanced="0"/>
    <cacheHierarchy uniqueName="[Patients].[Sex]" caption="Sex" attribute="1" defaultMemberUniqueName="[Patients].[Sex].[All]" allUniqueName="[Patients].[Sex].[All]" dimensionUniqueName="[Patients]" displayFolder="" count="0" unbalanced="0"/>
    <cacheHierarchy uniqueName="[Patients].[SexShort]" caption="SexShort" attribute="1" defaultMemberUniqueName="[Patients].[SexShort].[All]" allUniqueName="[Patients].[SexShort].[All]" dimensionUniqueName="[Patients]" displayFolder="" count="0" unbalanced="0"/>
    <cacheHierarchy uniqueName="[Patients].[TransferIn]" caption="TransferIn" attribute="1" defaultMemberUniqueName="[Patients].[TransferIn].[All]" allUniqueName="[Patients].[TransferIn].[All]" dimensionUniqueName="[Patients]" displayFolder="" count="0" unbalanced="0"/>
    <cacheHierarchy uniqueName="[Patients].[TransferInID]" caption="TransferInID" attribute="1" defaultMemberUniqueName="[Patients].[TransferInID].[All]" allUniqueName="[Patients].[TransferInID].[All]" dimensionUniqueName="[Patients]" displayFolder="" count="0" unbalanced="0"/>
    <cacheHierarchy uniqueName="[Patients].[TransferInShort]" caption="TransferInShort" attribute="1" defaultMemberUniqueName="[Patients].[TransferInShort].[All]" allUniqueName="[Patients].[TransferInShort].[All]" dimensionUniqueName="[Patients]" displayFolder="" count="0" unbalanced="0"/>
    <cacheHierarchy uniqueName="[Patients].[TrulyDied]" caption="TrulyDied" attribute="1" defaultMemberUniqueName="[Patients].[TrulyDied].[All]" allUniqueName="[Patients].[TrulyDied].[All]" dimensionUniqueName="[Patients]" displayFolder="" count="0" unbalanced="0"/>
    <cacheHierarchy uniqueName="[Patients].[TrulyDiedDate]" caption="TrulyDiedDate" attribute="1" defaultMemberUniqueName="[Patients].[TrulyDiedDate].[All]" allUniqueName="[Patients].[TrulyDiedDate].[All]" dimensionUniqueName="[Patients]" displayFolder="" count="0" unbalanced="0"/>
    <cacheHierarchy uniqueName="[Patients].[UniquePatientID]" caption="UniquePatientID" attribute="1" defaultMemberUniqueName="[Patients].[UniquePatientID].[All]" allUniqueName="[Patients].[UniquePatientID].[All]" dimensionUniqueName="[Patients]" displayFolder="" count="0" unbalanced="0"/>
    <cacheHierarchy uniqueName="[Status].[District]" caption="District" attribute="1" defaultMemberUniqueName="[Status].[District].[All]" allUniqueName="[Status].[District].[All]" dimensionUniqueName="[Status]" displayFolder="" count="0" unbalanced="0"/>
    <cacheHierarchy uniqueName="[Status].[FacilityKey]" caption="FacilityKey" attribute="1" defaultMemberUniqueName="[Status].[FacilityKey].[All]" allUniqueName="[Status].[FacilityKey].[All]" dimensionUniqueName="[Status]" displayFolder="" count="0" unbalanced="0"/>
    <cacheHierarchy uniqueName="[Status].[FacilityName]" caption="FacilityName" attribute="1" defaultMemberUniqueName="[Status].[FacilityName].[All]" allUniqueName="[Status].[FacilityName].[All]" dimensionUniqueName="[Status]" displayFolder="" count="0" unbalanced="0"/>
    <cacheHierarchy uniqueName="[Status].[FactStatusKey]" caption="FactStatusKey" attribute="1" defaultMemberUniqueName="[Status].[FactStatusKey].[All]" allUniqueName="[Status].[FactStatusKey].[All]" dimensionUniqueName="[Status]" displayFolder="" count="0" unbalanced="0"/>
    <cacheHierarchy uniqueName="[Status].[Notes]" caption="Notes" attribute="1" defaultMemberUniqueName="[Status].[Notes].[All]" allUniqueName="[Status].[Notes].[All]" dimensionUniqueName="[Status]" displayFolder="" count="0" unbalanced="0"/>
    <cacheHierarchy uniqueName="[Status].[PatientID]" caption="PatientID" attribute="1" defaultMemberUniqueName="[Status].[PatientID].[All]" allUniqueName="[Status].[PatientID].[All]" dimensionUniqueName="[Status]" displayFolder="" count="0" unbalanced="0"/>
    <cacheHierarchy uniqueName="[Status].[PatientKey]" caption="PatientKey" attribute="1" defaultMemberUniqueName="[Status].[PatientKey].[All]" allUniqueName="[Status].[PatientKey].[All]" dimensionUniqueName="[Status]" displayFolder="" count="0" unbalanced="0"/>
    <cacheHierarchy uniqueName="[Status].[PtAgeAtStatusDate]" caption="PtAgeAtStatusDate" attribute="1" defaultMemberUniqueName="[Status].[PtAgeAtStatusDate].[All]" allUniqueName="[Status].[PtAgeAtStatusDate].[All]" dimensionUniqueName="[Status]" displayFolder="" count="0" unbalanced="0"/>
    <cacheHierarchy uniqueName="[Status].[Region]" caption="Region" attribute="1" defaultMemberUniqueName="[Status].[Region].[All]" allUniqueName="[Status].[Region].[All]" dimensionUniqueName="[Status]" displayFolder="" count="0" unbalanced="0"/>
    <cacheHierarchy uniqueName="[Status].[StatusDate]" caption="StatusDate" attribute="1" defaultMemberUniqueName="[Status].[StatusDate].[All]" allUniqueName="[Status].[StatusDate].[All]" dimensionUniqueName="[Status]" displayFolder="" count="0" unbalanced="0"/>
    <cacheHierarchy uniqueName="[Status].[StatusDateKey]" caption="StatusDateKey" attribute="1" defaultMemberUniqueName="[Status].[StatusDateKey].[All]" allUniqueName="[Status].[StatusDateKey].[All]" dimensionUniqueName="[Status]" displayFolder="" count="0" unbalanced="0"/>
    <cacheHierarchy uniqueName="[Status].[StatusDescription]" caption="StatusDescription" attribute="1" defaultMemberUniqueName="[Status].[StatusDescription].[All]" allUniqueName="[Status].[StatusDescription].[All]" dimensionUniqueName="[Status]" displayFolder="" count="0" unbalanced="0"/>
    <cacheHierarchy uniqueName="[Status].[StatusKey]" caption="StatusKey" attribute="1" defaultMemberUniqueName="[Status].[StatusKey].[All]" allUniqueName="[Status].[StatusKey].[All]" dimensionUniqueName="[Status]" displayFolder="" count="0" unbalanced="0"/>
    <cacheHierarchy uniqueName="[Status].[StatusReason]" caption="StatusReason" attribute="1" defaultMemberUniqueName="[Status].[StatusReason].[All]" allUniqueName="[Status].[StatusReason].[All]" dimensionUniqueName="[Status]" displayFolder="" count="0" unbalanced="0"/>
    <cacheHierarchy uniqueName="[Status].[TransferredOutWhere]" caption="TransferredOutWhere" attribute="1" defaultMemberUniqueName="[Status].[TransferredOutWhere].[All]" allUniqueName="[Status].[TransferredOutWhere].[All]" dimensionUniqueName="[Status]" displayFolder="" count="0" unbalanced="0"/>
    <cacheHierarchy uniqueName="[Tests].[DateCompletedEAC]" caption="DateCompletedEAC" attribute="1" defaultMemberUniqueName="[Tests].[DateCompletedEAC].[All]" allUniqueName="[Tests].[DateCompletedEAC].[All]" dimensionUniqueName="[Tests]" displayFolder="" count="0" unbalanced="0"/>
    <cacheHierarchy uniqueName="[Tests].[DateHVLTestAfterEAC]" caption="DateHVLTestAfterEAC" attribute="1" defaultMemberUniqueName="[Tests].[DateHVLTestAfterEAC].[All]" allUniqueName="[Tests].[DateHVLTestAfterEAC].[All]" dimensionUniqueName="[Tests]" displayFolder="" count="0" unbalanced="0"/>
    <cacheHierarchy uniqueName="[Tests].[DateInitiatedEAC]" caption="DateInitiatedEAC" attribute="1" defaultMemberUniqueName="[Tests].[DateInitiatedEAC].[All]" allUniqueName="[Tests].[DateInitiatedEAC].[All]" dimensionUniqueName="[Tests]" displayFolder="" count="0" unbalanced="0"/>
    <cacheHierarchy uniqueName="[Tests].[District]" caption="District" attribute="1" defaultMemberUniqueName="[Tests].[District].[All]" allUniqueName="[Tests].[District].[All]" dimensionUniqueName="[Tests]" displayFolder="" count="0" unbalanced="0"/>
    <cacheHierarchy uniqueName="[Tests].[FacilityKey]" caption="FacilityKey" attribute="1" defaultMemberUniqueName="[Tests].[FacilityKey].[All]" allUniqueName="[Tests].[FacilityKey].[All]" dimensionUniqueName="[Tests]" displayFolder="" count="0" unbalanced="0"/>
    <cacheHierarchy uniqueName="[Tests].[FacilityName]" caption="FacilityName" attribute="1" defaultMemberUniqueName="[Tests].[FacilityName].[All]" allUniqueName="[Tests].[FacilityName].[All]" dimensionUniqueName="[Tests]" displayFolder="" count="0" unbalanced="0"/>
    <cacheHierarchy uniqueName="[Tests].[PatientID]" caption="PatientID" attribute="1" defaultMemberUniqueName="[Tests].[PatientID].[All]" allUniqueName="[Tests].[PatientID].[All]" dimensionUniqueName="[Tests]" displayFolder="" count="0" unbalanced="0"/>
    <cacheHierarchy uniqueName="[Tests].[PatientKey]" caption="PatientKey" attribute="1" defaultMemberUniqueName="[Tests].[PatientKey].[All]" allUniqueName="[Tests].[PatientKey].[All]" dimensionUniqueName="[Tests]" displayFolder="" count="0" unbalanced="0"/>
    <cacheHierarchy uniqueName="[Tests].[PtAgeAtRefVisitDate]" caption="PtAgeAtRefVisitDate" attribute="1" defaultMemberUniqueName="[Tests].[PtAgeAtRefVisitDate].[All]" allUniqueName="[Tests].[PtAgeAtRefVisitDate].[All]" dimensionUniqueName="[Tests]" displayFolder="" count="0" unbalanced="0"/>
    <cacheHierarchy uniqueName="[Tests].[RefVisitDate]" caption="RefVisitDate" attribute="1" defaultMemberUniqueName="[Tests].[RefVisitDate].[All]" allUniqueName="[Tests].[RefVisitDate].[All]" dimensionUniqueName="[Tests]" displayFolder="" count="0" unbalanced="0"/>
    <cacheHierarchy uniqueName="[Tests].[Region]" caption="Region" attribute="1" defaultMemberUniqueName="[Tests].[Region].[All]" allUniqueName="[Tests].[Region].[All]" dimensionUniqueName="[Tests]" displayFolder="" count="0" unbalanced="0"/>
    <cacheHierarchy uniqueName="[Tests].[ResultDate]" caption="ResultDate" attribute="1" defaultMemberUniqueName="[Tests].[ResultDate].[All]" allUniqueName="[Tests].[ResultDate].[All]" dimensionUniqueName="[Tests]" displayFolder="" count="0" unbalanced="0"/>
    <cacheHierarchy uniqueName="[Tests].[ResultNotes]" caption="ResultNotes" attribute="1" defaultMemberUniqueName="[Tests].[ResultNotes].[All]" allUniqueName="[Tests].[ResultNotes].[All]" dimensionUniqueName="[Tests]" displayFolder="" count="0" unbalanced="0"/>
    <cacheHierarchy uniqueName="[Tests].[ResultNotesClean]" caption="ResultNotesClean" attribute="1" defaultMemberUniqueName="[Tests].[ResultNotesClean].[All]" allUniqueName="[Tests].[ResultNotesClean].[All]" dimensionUniqueName="[Tests]" displayFolder="" count="0" unbalanced="0"/>
    <cacheHierarchy uniqueName="[Tests].[ResultNotesDiffer]" caption="ResultNotesDiffer" attribute="1" defaultMemberUniqueName="[Tests].[ResultNotesDiffer].[All]" allUniqueName="[Tests].[ResultNotesDiffer].[All]" dimensionUniqueName="[Tests]" displayFolder="" count="0" unbalanced="0"/>
    <cacheHierarchy uniqueName="[Tests].[ResultNumeric]" caption="ResultNumeric" attribute="1" defaultMemberUniqueName="[Tests].[ResultNumeric].[All]" allUniqueName="[Tests].[ResultNumeric].[All]" dimensionUniqueName="[Tests]" displayFolder="" count="0" unbalanced="0"/>
    <cacheHierarchy uniqueName="[Tests].[ResultNumericClean]" caption="ResultNumericClean" attribute="1" defaultMemberUniqueName="[Tests].[ResultNumericClean].[All]" allUniqueName="[Tests].[ResultNumericClean].[All]" dimensionUniqueName="[Tests]" displayFolder="" count="0" unbalanced="0"/>
    <cacheHierarchy uniqueName="[Tests].[ResultNumericDiffers]" caption="ResultNumericDiffers" attribute="1" defaultMemberUniqueName="[Tests].[ResultNumericDiffers].[All]" allUniqueName="[Tests].[ResultNumericDiffers].[All]" dimensionUniqueName="[Tests]" displayFolder="" count="0" unbalanced="0"/>
    <cacheHierarchy uniqueName="[Tests].[ResultsStatusID]" caption="ResultsStatusID" attribute="1" defaultMemberUniqueName="[Tests].[ResultsStatusID].[All]" allUniqueName="[Tests].[ResultsStatusID].[All]" dimensionUniqueName="[Tests]" displayFolder="" count="0" unbalanced="0"/>
    <cacheHierarchy uniqueName="[Tests].[ReturnResultDate]" caption="ReturnResultDate" attribute="1" defaultMemberUniqueName="[Tests].[ReturnResultDate].[All]" allUniqueName="[Tests].[ReturnResultDate].[All]" dimensionUniqueName="[Tests]" displayFolder="" count="0" unbalanced="0"/>
    <cacheHierarchy uniqueName="[Tests].[TestDate]" caption="TestDate" attribute="1" defaultMemberUniqueName="[Tests].[TestDate].[All]" allUniqueName="[Tests].[TestDate].[All]" dimensionUniqueName="[Tests]" displayFolder="" count="0" unbalanced="0"/>
    <cacheHierarchy uniqueName="[Tests].[TestType]" caption="TestType" attribute="1" defaultMemberUniqueName="[Tests].[TestType].[All]" allUniqueName="[Tests].[TestType].[All]" dimensionUniqueName="[Tests]" displayFolder="" count="0" unbalanced="0"/>
    <cacheHierarchy uniqueName="[Tests].[TestTypeID]" caption="TestTypeID" attribute="1" defaultMemberUniqueName="[Tests].[TestTypeID].[All]" allUniqueName="[Tests].[TestTypeID].[All]" dimensionUniqueName="[Tests]" displayFolder="" count="0" unbalanced="0"/>
    <cacheHierarchy uniqueName="[Tests].[TheID]" caption="TheID" attribute="1" defaultMemberUniqueName="[Tests].[TheID].[All]" allUniqueName="[Tests].[TheID].[All]" dimensionUniqueName="[Tests]" displayFolder="" count="0" unbalanced="0"/>
    <cacheHierarchy uniqueName="[VisitsAndAppointments].[appduedt]" caption="appduedt" attribute="1" defaultMemberUniqueName="[VisitsAndAppointments].[appduedt].[All]" allUniqueName="[VisitsAndAppointments].[appduedt].[All]" dimensionUniqueName="[VisitsAndAppointments]" displayFolder="" count="0" unbalanced="0"/>
    <cacheHierarchy uniqueName="[VisitsAndAppointments].[appduedt_imp]" caption="appduedt_imp" attribute="1" defaultMemberUniqueName="[VisitsAndAppointments].[appduedt_imp].[All]" allUniqueName="[VisitsAndAppointments].[appduedt_imp].[All]" dimensionUniqueName="[VisitsAndAppointments]" displayFolder="" count="0" unbalanced="0"/>
    <cacheHierarchy uniqueName="[VisitsAndAppointments].[appduedt_key]" caption="appduedt_key" attribute="1" defaultMemberUniqueName="[VisitsAndAppointments].[appduedt_key].[All]" allUniqueName="[VisitsAndAppointments].[appduedt_key].[All]" dimensionUniqueName="[VisitsAndAppointments]" displayFolder="" count="0" unbalanced="0"/>
    <cacheHierarchy uniqueName="[VisitsAndAppointments].[appmaxint]" caption="appmaxint" attribute="1" defaultMemberUniqueName="[VisitsAndAppointments].[appmaxint].[All]" allUniqueName="[VisitsAndAppointments].[appmaxint].[All]" dimensionUniqueName="[VisitsAndAppointments]" displayFolder="" count="0" unbalanced="0"/>
    <cacheHierarchy uniqueName="[VisitsAndAppointments].[AppointmentDate]" caption="AppointmentDate" attribute="1" defaultMemberUniqueName="[VisitsAndAppointments].[AppointmentDate].[All]" allUniqueName="[VisitsAndAppointments].[AppointmentDate].[All]" dimensionUniqueName="[VisitsAndAppointments]" displayFolder="" count="0" unbalanced="0"/>
    <cacheHierarchy uniqueName="[VisitsAndAppointments].[AppointmentDateKey]" caption="AppointmentDateKey" attribute="1" defaultMemberUniqueName="[VisitsAndAppointments].[AppointmentDateKey].[All]" allUniqueName="[VisitsAndAppointments].[AppointmentDateKey].[All]" dimensionUniqueName="[VisitsAndAppointments]" displayFolder="" count="0" unbalanced="0"/>
    <cacheHierarchy uniqueName="[VisitsAndAppointments].[artdys]" caption="artdys" attribute="1" defaultMemberUniqueName="[VisitsAndAppointments].[artdys].[All]" allUniqueName="[VisitsAndAppointments].[artdys].[All]" dimensionUniqueName="[VisitsAndAppointments]" displayFolder="" count="0" unbalanced="0"/>
    <cacheHierarchy uniqueName="[VisitsAndAppointments].[artdys_imp]" caption="artdys_imp" attribute="1" defaultMemberUniqueName="[VisitsAndAppointments].[artdys_imp].[All]" allUniqueName="[VisitsAndAppointments].[artdys_imp].[All]" dimensionUniqueName="[VisitsAndAppointments]" displayFolder="" count="0" unbalanced="0"/>
    <cacheHierarchy uniqueName="[VisitsAndAppointments].[artmaxint]" caption="artmaxint" attribute="1" defaultMemberUniqueName="[VisitsAndAppointments].[artmaxint].[All]" allUniqueName="[VisitsAndAppointments].[artmaxint].[All]" dimensionUniqueName="[VisitsAndAppointments]" displayFolder="" count="0" unbalanced="0"/>
    <cacheHierarchy uniqueName="[VisitsAndAppointments].[ARVCode]" caption="ARVCode" attribute="1" defaultMemberUniqueName="[VisitsAndAppointments].[ARVCode].[All]" allUniqueName="[VisitsAndAppointments].[ARVCode].[All]" dimensionUniqueName="[VisitsAndAppointments]" displayFolder="" count="0" unbalanced="0"/>
    <cacheHierarchy uniqueName="[VisitsAndAppointments].[ARVCodeKey]" caption="ARVCodeKey" attribute="1" defaultMemberUniqueName="[VisitsAndAppointments].[ARVCodeKey].[All]" allUniqueName="[VisitsAndAppointments].[ARVCodeKey].[All]" dimensionUniqueName="[VisitsAndAppointments]" displayFolder="" count="0" unbalanced="0"/>
    <cacheHierarchy uniqueName="[VisitsAndAppointments].[ARVDescription]" caption="ARVDescription" attribute="1" defaultMemberUniqueName="[VisitsAndAppointments].[ARVDescription].[All]" allUniqueName="[VisitsAndAppointments].[ARVDescription].[All]" dimensionUniqueName="[VisitsAndAppointments]" displayFolder="" count="0" unbalanced="0"/>
    <cacheHierarchy uniqueName="[VisitsAndAppointments].[ARVStatus]" caption="ARVStatus" attribute="1" defaultMemberUniqueName="[VisitsAndAppointments].[ARVStatus].[All]" allUniqueName="[VisitsAndAppointments].[ARVStatus].[All]" dimensionUniqueName="[VisitsAndAppointments]" displayFolder="" count="0" unbalanced="0"/>
    <cacheHierarchy uniqueName="[VisitsAndAppointments].[ARVStatusDescription]" caption="ARVStatusDescription" attribute="1" defaultMemberUniqueName="[VisitsAndAppointments].[ARVStatusDescription].[All]" allUniqueName="[VisitsAndAppointments].[ARVStatusDescription].[All]" dimensionUniqueName="[VisitsAndAppointments]" displayFolder="" count="0" unbalanced="0"/>
    <cacheHierarchy uniqueName="[VisitsAndAppointments].[ARVStatusKey]" caption="ARVStatusKey" attribute="1" defaultMemberUniqueName="[VisitsAndAppointments].[ARVStatusKey].[All]" allUniqueName="[VisitsAndAppointments].[ARVStatusKey].[All]" dimensionUniqueName="[VisitsAndAppointments]" displayFolder="" count="0" unbalanced="0"/>
    <cacheHierarchy uniqueName="[VisitsAndAppointments].[ConsiderForTX_CURR]" caption="ConsiderForTX_CURR" attribute="1" defaultMemberUniqueName="[VisitsAndAppointments].[ConsiderForTX_CURR].[All]" allUniqueName="[VisitsAndAppointments].[ConsiderForTX_CURR].[All]" dimensionUniqueName="[VisitsAndAppointments]" displayFolder="" count="0" unbalanced="0"/>
    <cacheHierarchy uniqueName="[VisitsAndAppointments].[DATIMName]" caption="DATIMName" attribute="1" defaultMemberUniqueName="[VisitsAndAppointments].[DATIMName].[All]" allUniqueName="[VisitsAndAppointments].[DATIMName].[All]" dimensionUniqueName="[VisitsAndAppointments]" displayFolder="" count="0" unbalanced="0"/>
    <cacheHierarchy uniqueName="[VisitsAndAppointments].[DHISName]" caption="DHISName" attribute="1" defaultMemberUniqueName="[VisitsAndAppointments].[DHISName].[All]" allUniqueName="[VisitsAndAppointments].[DHISName].[All]" dimensionUniqueName="[VisitsAndAppointments]" displayFolder="" count="0" unbalanced="0"/>
    <cacheHierarchy uniqueName="[VisitsAndAppointments].[FacilityKey]" caption="FacilityKey" attribute="1" defaultMemberUniqueName="[VisitsAndAppointments].[FacilityKey].[All]" allUniqueName="[VisitsAndAppointments].[FacilityKey].[All]" dimensionUniqueName="[VisitsAndAppointments]" displayFolder="" count="0" unbalanced="0"/>
    <cacheHierarchy uniqueName="[VisitsAndAppointments].[maxint]" caption="maxint" attribute="1" defaultMemberUniqueName="[VisitsAndAppointments].[maxint].[All]" allUniqueName="[VisitsAndAppointments].[maxint].[All]" dimensionUniqueName="[VisitsAndAppointments]" displayFolder="" count="0" unbalanced="0"/>
    <cacheHierarchy uniqueName="[VisitsAndAppointments].[MaxVisitDateKey]" caption="MaxVisitDateKey" attribute="1" defaultMemberUniqueName="[VisitsAndAppointments].[MaxVisitDateKey].[All]" allUniqueName="[VisitsAndAppointments].[MaxVisitDateKey].[All]" dimensionUniqueName="[VisitsAndAppointments]" displayFolder="" count="0" unbalanced="0"/>
    <cacheHierarchy uniqueName="[VisitsAndAppointments].[NextActualVisitDate]" caption="NextActualVisitDate" attribute="1" defaultMemberUniqueName="[VisitsAndAppointments].[NextActualVisitDate].[All]" allUniqueName="[VisitsAndAppointments].[NextActualVisitDate].[All]" dimensionUniqueName="[VisitsAndAppointments]" displayFolder="" count="0" unbalanced="0"/>
    <cacheHierarchy uniqueName="[VisitsAndAppointments].[NextActualVisitDateKey]" caption="NextActualVisitDateKey" attribute="1" defaultMemberUniqueName="[VisitsAndAppointments].[NextActualVisitDateKey].[All]" allUniqueName="[VisitsAndAppointments].[NextActualVisitDateKey].[All]" dimensionUniqueName="[VisitsAndAppointments]" displayFolder="" count="0" unbalanced="0"/>
    <cacheHierarchy uniqueName="[VisitsAndAppointments].[NextTXCURRVisitDate]" caption="NextTXCURRVisitDate" attribute="1" defaultMemberUniqueName="[VisitsAndAppointments].[NextTXCURRVisitDate].[All]" allUniqueName="[VisitsAndAppointments].[NextTXCURRVisitDate].[All]" dimensionUniqueName="[VisitsAndAppointments]" displayFolder="" count="0" unbalanced="0"/>
    <cacheHierarchy uniqueName="[VisitsAndAppointments].[NumDaysDispensed]" caption="NumDaysDispensed" attribute="1" defaultMemberUniqueName="[VisitsAndAppointments].[NumDaysDispensed].[All]" allUniqueName="[VisitsAndAppointments].[NumDaysDispensed].[All]" dimensionUniqueName="[VisitsAndAppointments]" displayFolder="" count="0" unbalanced="0"/>
    <cacheHierarchy uniqueName="[VisitsAndAppointments].[PatientID]" caption="PatientID" attribute="1" defaultMemberUniqueName="[VisitsAndAppointments].[PatientID].[All]" allUniqueName="[VisitsAndAppointments].[PatientID].[All]" dimensionUniqueName="[VisitsAndAppointments]" displayFolder="" count="0" unbalanced="0"/>
    <cacheHierarchy uniqueName="[VisitsAndAppointments].[PatientKey]" caption="PatientKey" attribute="1" defaultMemberUniqueName="[VisitsAndAppointments].[PatientKey].[All]" allUniqueName="[VisitsAndAppointments].[PatientKey].[All]" dimensionUniqueName="[VisitsAndAppointments]" displayFolder="" count="0" unbalanced="0"/>
    <cacheHierarchy uniqueName="[VisitsAndAppointments].[PtAgeAtVisit]" caption="PtAgeAtVisit" attribute="1" defaultMemberUniqueName="[VisitsAndAppointments].[PtAgeAtVisit].[All]" allUniqueName="[VisitsAndAppointments].[PtAgeAtVisit].[All]" dimensionUniqueName="[VisitsAndAppointments]" displayFolder="" count="0" unbalanced="0"/>
    <cacheHierarchy uniqueName="[VisitsAndAppointments].[src]" caption="src" attribute="1" defaultMemberUniqueName="[VisitsAndAppointments].[src].[All]" allUniqueName="[VisitsAndAppointments].[src].[All]" dimensionUniqueName="[VisitsAndAppointments]" displayFolder="" count="0" unbalanced="0"/>
    <cacheHierarchy uniqueName="[VisitsAndAppointments].[TBRXIPTID]" caption="TBRXIPTID" attribute="1" defaultMemberUniqueName="[VisitsAndAppointments].[TBRXIPTID].[All]" allUniqueName="[VisitsAndAppointments].[TBRXIPTID].[All]" dimensionUniqueName="[VisitsAndAppointments]" displayFolder="" count="0" unbalanced="0"/>
    <cacheHierarchy uniqueName="[VisitsAndAppointments].[TBRXIPTKey]" caption="TBRXIPTKey" attribute="1" defaultMemberUniqueName="[VisitsAndAppointments].[TBRXIPTKey].[All]" allUniqueName="[VisitsAndAppointments].[TBRXIPTKey].[All]" dimensionUniqueName="[VisitsAndAppointments]" displayFolder="" count="0" unbalanced="0"/>
    <cacheHierarchy uniqueName="[VisitsAndAppointments].[TimeOnART]" caption="TimeOnART" attribute="1" defaultMemberUniqueName="[VisitsAndAppointments].[TimeOnART].[All]" allUniqueName="[VisitsAndAppointments].[TimeOnART].[All]" dimensionUniqueName="[VisitsAndAppointments]" displayFolder="" count="0" unbalanced="0"/>
    <cacheHierarchy uniqueName="[VisitsAndAppointments].[VisitDate]" caption="VisitDate" attribute="1" defaultMemberUniqueName="[VisitsAndAppointments].[VisitDate].[All]" allUniqueName="[VisitsAndAppointments].[VisitDate].[All]" dimensionUniqueName="[VisitsAndAppointments]" displayFolder="" count="0" unbalanced="0"/>
    <cacheHierarchy uniqueName="[VisitsAndAppointments].[VisitDateKey]" caption="VisitDateKey" attribute="1" defaultMemberUniqueName="[VisitsAndAppointments].[VisitDateKey].[All]" allUniqueName="[VisitsAndAppointments].[VisitDateKey].[All]" dimensionUniqueName="[VisitsAndAppointments]" displayFolder="" count="0" unbalanced="0"/>
    <cacheHierarchy uniqueName="[VisitsAndAppointments].[VisitKey]" caption="VisitKey" attribute="1" defaultMemberUniqueName="[VisitsAndAppointments].[VisitKey].[All]" allUniqueName="[VisitsAndAppointments].[VisitKey].[All]" dimensionUniqueName="[VisitsAndAppointments]" displayFolder="" count="0" unbalanced="0"/>
    <cacheHierarchy uniqueName="[_Measures].[nothing]" caption="nothing" attribute="1" defaultMemberUniqueName="[_Measures].[nothing].[All]" allUniqueName="[_Measures].[nothing].[All]" dimensionUniqueName="[_Measures]" displayFolder="" count="0" unbalanced="0" hidden="1"/>
    <cacheHierarchy uniqueName="[Age Group].[AgeKey]" caption="AgeKey" attribute="1" defaultMemberUniqueName="[Age Group].[AgeKey].[All]" allUniqueName="[Age Group].[AgeKey].[All]" dimensionUniqueName="[Age Group]" displayFolder="" count="0" unbalanced="0" hidden="1"/>
    <cacheHierarchy uniqueName="[Age Group].[AgeMax]" caption="AgeMax" attribute="1" defaultMemberUniqueName="[Age Group].[AgeMax].[All]" allUniqueName="[Age Group].[AgeMax].[All]" dimensionUniqueName="[Age Group]" displayFolder="" count="0" unbalanced="0" hidden="1"/>
    <cacheHierarchy uniqueName="[Age Group].[AgeMin]" caption="AgeMin" attribute="1" defaultMemberUniqueName="[Age Group].[AgeMin].[All]" allUniqueName="[Age Group].[AgeMin].[All]" dimensionUniqueName="[Age Group]" displayFolder="" count="0" unbalanced="0" hidden="1"/>
    <cacheHierarchy uniqueName="[DateTableTemplate_67311400-74fb-473f-8bb8-78ddea2ee040].[Date]" caption="Date" attribute="1" defaultMemberUniqueName="[DateTableTemplate_67311400-74fb-473f-8bb8-78ddea2ee040].[Date].[All]" allUniqueName="[DateTableTemplate_67311400-74fb-473f-8bb8-78ddea2ee040].[Date].[All]" dimensionUniqueName="[DateTableTemplate_67311400-74fb-473f-8bb8-78ddea2ee040]" displayFolder="" count="0" unbalanced="0" hidden="1"/>
    <cacheHierarchy uniqueName="[DateTableTemplate_67311400-74fb-473f-8bb8-78ddea2ee040].[Date Hierarchy]" caption="Date Hierarchy" defaultMemberUniqueName="[DateTableTemplate_67311400-74fb-473f-8bb8-78ddea2ee040].[Date Hierarchy].[All]" allUniqueName="[DateTableTemplate_67311400-74fb-473f-8bb8-78ddea2ee040].[Date Hierarchy].[All]" dimensionUniqueName="[DateTableTemplate_67311400-74fb-473f-8bb8-78ddea2ee040]" displayFolder="" count="0" unbalanced="0" hidden="1"/>
    <cacheHierarchy uniqueName="[DateTableTemplate_67311400-74fb-473f-8bb8-78ddea2ee040].[Day]" caption="Day" attribute="1" defaultMemberUniqueName="[DateTableTemplate_67311400-74fb-473f-8bb8-78ddea2ee040].[Day].[All]" allUniqueName="[DateTableTemplate_67311400-74fb-473f-8bb8-78ddea2ee040].[Day].[All]" dimensionUniqueName="[DateTableTemplate_67311400-74fb-473f-8bb8-78ddea2ee040]" displayFolder="" count="0" unbalanced="0" hidden="1"/>
    <cacheHierarchy uniqueName="[DateTableTemplate_67311400-74fb-473f-8bb8-78ddea2ee040].[Month]" caption="Month" attribute="1" defaultMemberUniqueName="[DateTableTemplate_67311400-74fb-473f-8bb8-78ddea2ee040].[Month].[All]" allUniqueName="[DateTableTemplate_67311400-74fb-473f-8bb8-78ddea2ee040].[Month].[All]" dimensionUniqueName="[DateTableTemplate_67311400-74fb-473f-8bb8-78ddea2ee040]" displayFolder="" count="0" unbalanced="0" hidden="1"/>
    <cacheHierarchy uniqueName="[DateTableTemplate_67311400-74fb-473f-8bb8-78ddea2ee040].[MonthNo]" caption="MonthNo" attribute="1" defaultMemberUniqueName="[DateTableTemplate_67311400-74fb-473f-8bb8-78ddea2ee040].[MonthNo].[All]" allUniqueName="[DateTableTemplate_67311400-74fb-473f-8bb8-78ddea2ee040].[MonthNo].[All]" dimensionUniqueName="[DateTableTemplate_67311400-74fb-473f-8bb8-78ddea2ee040]" displayFolder="" count="0" unbalanced="0" hidden="1"/>
    <cacheHierarchy uniqueName="[DateTableTemplate_67311400-74fb-473f-8bb8-78ddea2ee040].[Quarter]" caption="Quarter" attribute="1" defaultMemberUniqueName="[DateTableTemplate_67311400-74fb-473f-8bb8-78ddea2ee040].[Quarter].[All]" allUniqueName="[DateTableTemplate_67311400-74fb-473f-8bb8-78ddea2ee040].[Quarter].[All]" dimensionUniqueName="[DateTableTemplate_67311400-74fb-473f-8bb8-78ddea2ee040]" displayFolder="" count="0" unbalanced="0" hidden="1"/>
    <cacheHierarchy uniqueName="[DateTableTemplate_67311400-74fb-473f-8bb8-78ddea2ee040].[QuarterNo]" caption="QuarterNo" attribute="1" defaultMemberUniqueName="[DateTableTemplate_67311400-74fb-473f-8bb8-78ddea2ee040].[QuarterNo].[All]" allUniqueName="[DateTableTemplate_67311400-74fb-473f-8bb8-78ddea2ee040].[QuarterNo].[All]" dimensionUniqueName="[DateTableTemplate_67311400-74fb-473f-8bb8-78ddea2ee040]" displayFolder="" count="0" unbalanced="0" hidden="1"/>
    <cacheHierarchy uniqueName="[DateTableTemplate_67311400-74fb-473f-8bb8-78ddea2ee040].[Year]" caption="Year" attribute="1" defaultMemberUniqueName="[DateTableTemplate_67311400-74fb-473f-8bb8-78ddea2ee040].[Year].[All]" allUniqueName="[DateTableTemplate_67311400-74fb-473f-8bb8-78ddea2ee040].[Year].[All]" dimensionUniqueName="[DateTableTemplate_67311400-74fb-473f-8bb8-78ddea2ee040]" displayFolder="" count="0" unbalanced="0" hidden="1"/>
    <cacheHierarchy uniqueName="[DimDate].[DateTime]" caption="DateTime" attribute="1" defaultMemberUniqueName="[DimDate].[DateTime].[All]" allUniqueName="[DimDate].[DateTime].[All]" dimensionUniqueName="[DimDate]" displayFolder="" count="0" unbalanced="0" hidden="1"/>
    <cacheHierarchy uniqueName="[DimDate].[DayOfMonth]" caption="DayOfMonth" attribute="1" defaultMemberUniqueName="[DimDate].[DayOfMonth].[All]" allUniqueName="[DimDate].[DayOfMonth].[All]" dimensionUniqueName="[DimDate]" displayFolder="" count="0" unbalanced="0" hidden="1"/>
    <cacheHierarchy uniqueName="[DimDate].[FiscalMonth]" caption="FiscalMonth" attribute="1" defaultMemberUniqueName="[DimDate].[FiscalMonth].[All]" allUniqueName="[DimDate].[FiscalMonth].[All]" dimensionUniqueName="[DimDate]" displayFolder="" count="0" unbalanced="0" hidden="1"/>
    <cacheHierarchy uniqueName="[DimDate].[FiscalYearName]" caption="FiscalYearName" attribute="1" defaultMemberUniqueName="[DimDate].[FiscalYearName].[All]" allUniqueName="[DimDate].[FiscalYearName].[All]" dimensionUniqueName="[DimDate]" displayFolder="" count="0" unbalanced="0" hidden="1"/>
    <cacheHierarchy uniqueName="[DimDate].[FiscalYearQuarterName]" caption="FiscalYearQuarterName" attribute="1" defaultMemberUniqueName="[DimDate].[FiscalYearQuarterName].[All]" allUniqueName="[DimDate].[FiscalYearQuarterName].[All]" dimensionUniqueName="[DimDate]" displayFolder="" count="0" unbalanced="0" hidden="1"/>
    <cacheHierarchy uniqueName="[DimDate].[FiscalYYYYMM]" caption="FiscalYYYYMM" attribute="1" defaultMemberUniqueName="[DimDate].[FiscalYYYYMM].[All]" allUniqueName="[DimDate].[FiscalYYYYMM].[All]" dimensionUniqueName="[DimDate]" displayFolder="" count="0" unbalanced="0" hidden="1"/>
    <cacheHierarchy uniqueName="[DimDate].[MMYYYY]" caption="MMYYYY" attribute="1" defaultMemberUniqueName="[DimDate].[MMYYYY].[All]" allUniqueName="[DimDate].[MMYYYY].[All]" dimensionUniqueName="[DimDate]" displayFolder="" count="0" unbalanced="0" hidden="1"/>
    <cacheHierarchy uniqueName="[DimDate].[YearName]" caption="YearName" attribute="1" defaultMemberUniqueName="[DimDate].[YearName].[All]" allUniqueName="[DimDate].[YearName].[All]" dimensionUniqueName="[DimDate]" displayFolder="" count="0" unbalanced="0" hidden="1"/>
    <cacheHierarchy uniqueName="[DimDate].[YYYYMM]" caption="YYYYMM" attribute="1" defaultMemberUniqueName="[DimDate].[YYYYMM].[All]" allUniqueName="[DimDate].[YYYYMM].[All]" dimensionUniqueName="[DimDate]" displayFolder="" count="0" unbalanced="0" hidden="1"/>
    <cacheHierarchy uniqueName="[LocalDateTable_048e15b4-68bf-41ef-8bcb-f4b4a48e87d1].[Date]" caption="Date" attribute="1" defaultMemberUniqueName="[LocalDateTable_048e15b4-68bf-41ef-8bcb-f4b4a48e87d1].[Date].[All]" allUniqueName="[LocalDateTable_048e15b4-68bf-41ef-8bcb-f4b4a48e87d1].[Date].[All]" dimensionUniqueName="[LocalDateTable_048e15b4-68bf-41ef-8bcb-f4b4a48e87d1]" displayFolder="" count="0" unbalanced="0" hidden="1"/>
    <cacheHierarchy uniqueName="[LocalDateTable_048e15b4-68bf-41ef-8bcb-f4b4a48e87d1].[Date Hierarchy]" caption="Date Hierarchy" defaultMemberUniqueName="[LocalDateTable_048e15b4-68bf-41ef-8bcb-f4b4a48e87d1].[Date Hierarchy].[All]" allUniqueName="[LocalDateTable_048e15b4-68bf-41ef-8bcb-f4b4a48e87d1].[Date Hierarchy].[All]" dimensionUniqueName="[LocalDateTable_048e15b4-68bf-41ef-8bcb-f4b4a48e87d1]" displayFolder="" count="0" unbalanced="0" hidden="1"/>
    <cacheHierarchy uniqueName="[LocalDateTable_048e15b4-68bf-41ef-8bcb-f4b4a48e87d1].[Day]" caption="Day" attribute="1" defaultMemberUniqueName="[LocalDateTable_048e15b4-68bf-41ef-8bcb-f4b4a48e87d1].[Day].[All]" allUniqueName="[LocalDateTable_048e15b4-68bf-41ef-8bcb-f4b4a48e87d1].[Day].[All]" dimensionUniqueName="[LocalDateTable_048e15b4-68bf-41ef-8bcb-f4b4a48e87d1]" displayFolder="" count="0" unbalanced="0" hidden="1"/>
    <cacheHierarchy uniqueName="[LocalDateTable_048e15b4-68bf-41ef-8bcb-f4b4a48e87d1].[Month]" caption="Month" attribute="1" defaultMemberUniqueName="[LocalDateTable_048e15b4-68bf-41ef-8bcb-f4b4a48e87d1].[Month].[All]" allUniqueName="[LocalDateTable_048e15b4-68bf-41ef-8bcb-f4b4a48e87d1].[Month].[All]" dimensionUniqueName="[LocalDateTable_048e15b4-68bf-41ef-8bcb-f4b4a48e87d1]" displayFolder="" count="0" unbalanced="0" hidden="1"/>
    <cacheHierarchy uniqueName="[LocalDateTable_048e15b4-68bf-41ef-8bcb-f4b4a48e87d1].[MonthNo]" caption="MonthNo" attribute="1" defaultMemberUniqueName="[LocalDateTable_048e15b4-68bf-41ef-8bcb-f4b4a48e87d1].[MonthNo].[All]" allUniqueName="[LocalDateTable_048e15b4-68bf-41ef-8bcb-f4b4a48e87d1].[MonthNo].[All]" dimensionUniqueName="[LocalDateTable_048e15b4-68bf-41ef-8bcb-f4b4a48e87d1]" displayFolder="" count="0" unbalanced="0" hidden="1"/>
    <cacheHierarchy uniqueName="[LocalDateTable_048e15b4-68bf-41ef-8bcb-f4b4a48e87d1].[Quarter]" caption="Quarter" attribute="1" defaultMemberUniqueName="[LocalDateTable_048e15b4-68bf-41ef-8bcb-f4b4a48e87d1].[Quarter].[All]" allUniqueName="[LocalDateTable_048e15b4-68bf-41ef-8bcb-f4b4a48e87d1].[Quarter].[All]" dimensionUniqueName="[LocalDateTable_048e15b4-68bf-41ef-8bcb-f4b4a48e87d1]" displayFolder="" count="0" unbalanced="0" hidden="1"/>
    <cacheHierarchy uniqueName="[LocalDateTable_048e15b4-68bf-41ef-8bcb-f4b4a48e87d1].[QuarterNo]" caption="QuarterNo" attribute="1" defaultMemberUniqueName="[LocalDateTable_048e15b4-68bf-41ef-8bcb-f4b4a48e87d1].[QuarterNo].[All]" allUniqueName="[LocalDateTable_048e15b4-68bf-41ef-8bcb-f4b4a48e87d1].[QuarterNo].[All]" dimensionUniqueName="[LocalDateTable_048e15b4-68bf-41ef-8bcb-f4b4a48e87d1]" displayFolder="" count="0" unbalanced="0" hidden="1"/>
    <cacheHierarchy uniqueName="[LocalDateTable_048e15b4-68bf-41ef-8bcb-f4b4a48e87d1].[Year]" caption="Year" attribute="1" defaultMemberUniqueName="[LocalDateTable_048e15b4-68bf-41ef-8bcb-f4b4a48e87d1].[Year].[All]" allUniqueName="[LocalDateTable_048e15b4-68bf-41ef-8bcb-f4b4a48e87d1].[Year].[All]" dimensionUniqueName="[LocalDateTable_048e15b4-68bf-41ef-8bcb-f4b4a48e87d1]" displayFolder="" count="0" unbalanced="0" hidden="1"/>
    <cacheHierarchy uniqueName="[LocalDateTable_198c0f25-be56-470d-9563-6ba85adc20f6].[Date]" caption="Date" attribute="1" defaultMemberUniqueName="[LocalDateTable_198c0f25-be56-470d-9563-6ba85adc20f6].[Date].[All]" allUniqueName="[LocalDateTable_198c0f25-be56-470d-9563-6ba85adc20f6].[Date].[All]" dimensionUniqueName="[LocalDateTable_198c0f25-be56-470d-9563-6ba85adc20f6]" displayFolder="" count="0" unbalanced="0" hidden="1"/>
    <cacheHierarchy uniqueName="[LocalDateTable_198c0f25-be56-470d-9563-6ba85adc20f6].[Date Hierarchy]" caption="Date Hierarchy" defaultMemberUniqueName="[LocalDateTable_198c0f25-be56-470d-9563-6ba85adc20f6].[Date Hierarchy].[All]" allUniqueName="[LocalDateTable_198c0f25-be56-470d-9563-6ba85adc20f6].[Date Hierarchy].[All]" dimensionUniqueName="[LocalDateTable_198c0f25-be56-470d-9563-6ba85adc20f6]" displayFolder="" count="0" unbalanced="0" hidden="1"/>
    <cacheHierarchy uniqueName="[LocalDateTable_198c0f25-be56-470d-9563-6ba85adc20f6].[Day]" caption="Day" attribute="1" defaultMemberUniqueName="[LocalDateTable_198c0f25-be56-470d-9563-6ba85adc20f6].[Day].[All]" allUniqueName="[LocalDateTable_198c0f25-be56-470d-9563-6ba85adc20f6].[Day].[All]" dimensionUniqueName="[LocalDateTable_198c0f25-be56-470d-9563-6ba85adc20f6]" displayFolder="" count="0" unbalanced="0" hidden="1"/>
    <cacheHierarchy uniqueName="[LocalDateTable_198c0f25-be56-470d-9563-6ba85adc20f6].[Month]" caption="Month" attribute="1" defaultMemberUniqueName="[LocalDateTable_198c0f25-be56-470d-9563-6ba85adc20f6].[Month].[All]" allUniqueName="[LocalDateTable_198c0f25-be56-470d-9563-6ba85adc20f6].[Month].[All]" dimensionUniqueName="[LocalDateTable_198c0f25-be56-470d-9563-6ba85adc20f6]" displayFolder="" count="0" unbalanced="0" hidden="1"/>
    <cacheHierarchy uniqueName="[LocalDateTable_198c0f25-be56-470d-9563-6ba85adc20f6].[MonthNo]" caption="MonthNo" attribute="1" defaultMemberUniqueName="[LocalDateTable_198c0f25-be56-470d-9563-6ba85adc20f6].[MonthNo].[All]" allUniqueName="[LocalDateTable_198c0f25-be56-470d-9563-6ba85adc20f6].[MonthNo].[All]" dimensionUniqueName="[LocalDateTable_198c0f25-be56-470d-9563-6ba85adc20f6]" displayFolder="" count="0" unbalanced="0" hidden="1"/>
    <cacheHierarchy uniqueName="[LocalDateTable_198c0f25-be56-470d-9563-6ba85adc20f6].[Quarter]" caption="Quarter" attribute="1" defaultMemberUniqueName="[LocalDateTable_198c0f25-be56-470d-9563-6ba85adc20f6].[Quarter].[All]" allUniqueName="[LocalDateTable_198c0f25-be56-470d-9563-6ba85adc20f6].[Quarter].[All]" dimensionUniqueName="[LocalDateTable_198c0f25-be56-470d-9563-6ba85adc20f6]" displayFolder="" count="0" unbalanced="0" hidden="1"/>
    <cacheHierarchy uniqueName="[LocalDateTable_198c0f25-be56-470d-9563-6ba85adc20f6].[QuarterNo]" caption="QuarterNo" attribute="1" defaultMemberUniqueName="[LocalDateTable_198c0f25-be56-470d-9563-6ba85adc20f6].[QuarterNo].[All]" allUniqueName="[LocalDateTable_198c0f25-be56-470d-9563-6ba85adc20f6].[QuarterNo].[All]" dimensionUniqueName="[LocalDateTable_198c0f25-be56-470d-9563-6ba85adc20f6]" displayFolder="" count="0" unbalanced="0" hidden="1"/>
    <cacheHierarchy uniqueName="[LocalDateTable_198c0f25-be56-470d-9563-6ba85adc20f6].[Year]" caption="Year" attribute="1" defaultMemberUniqueName="[LocalDateTable_198c0f25-be56-470d-9563-6ba85adc20f6].[Year].[All]" allUniqueName="[LocalDateTable_198c0f25-be56-470d-9563-6ba85adc20f6].[Year].[All]" dimensionUniqueName="[LocalDateTable_198c0f25-be56-470d-9563-6ba85adc20f6]" displayFolder="" count="0" unbalanced="0" hidden="1"/>
    <cacheHierarchy uniqueName="[LocalDateTable_1a9c82fc-1d61-4945-b631-466fd7cb79e1].[Date]" caption="Date" attribute="1" defaultMemberUniqueName="[LocalDateTable_1a9c82fc-1d61-4945-b631-466fd7cb79e1].[Date].[All]" allUniqueName="[LocalDateTable_1a9c82fc-1d61-4945-b631-466fd7cb79e1].[Date].[All]" dimensionUniqueName="[LocalDateTable_1a9c82fc-1d61-4945-b631-466fd7cb79e1]" displayFolder="" count="0" unbalanced="0" hidden="1"/>
    <cacheHierarchy uniqueName="[LocalDateTable_1a9c82fc-1d61-4945-b631-466fd7cb79e1].[Date Hierarchy]" caption="Date Hierarchy" defaultMemberUniqueName="[LocalDateTable_1a9c82fc-1d61-4945-b631-466fd7cb79e1].[Date Hierarchy].[All]" allUniqueName="[LocalDateTable_1a9c82fc-1d61-4945-b631-466fd7cb79e1].[Date Hierarchy].[All]" dimensionUniqueName="[LocalDateTable_1a9c82fc-1d61-4945-b631-466fd7cb79e1]" displayFolder="" count="0" unbalanced="0" hidden="1"/>
    <cacheHierarchy uniqueName="[LocalDateTable_1a9c82fc-1d61-4945-b631-466fd7cb79e1].[Day]" caption="Day" attribute="1" defaultMemberUniqueName="[LocalDateTable_1a9c82fc-1d61-4945-b631-466fd7cb79e1].[Day].[All]" allUniqueName="[LocalDateTable_1a9c82fc-1d61-4945-b631-466fd7cb79e1].[Day].[All]" dimensionUniqueName="[LocalDateTable_1a9c82fc-1d61-4945-b631-466fd7cb79e1]" displayFolder="" count="0" unbalanced="0" hidden="1"/>
    <cacheHierarchy uniqueName="[LocalDateTable_1a9c82fc-1d61-4945-b631-466fd7cb79e1].[Month]" caption="Month" attribute="1" defaultMemberUniqueName="[LocalDateTable_1a9c82fc-1d61-4945-b631-466fd7cb79e1].[Month].[All]" allUniqueName="[LocalDateTable_1a9c82fc-1d61-4945-b631-466fd7cb79e1].[Month].[All]" dimensionUniqueName="[LocalDateTable_1a9c82fc-1d61-4945-b631-466fd7cb79e1]" displayFolder="" count="0" unbalanced="0" hidden="1"/>
    <cacheHierarchy uniqueName="[LocalDateTable_1a9c82fc-1d61-4945-b631-466fd7cb79e1].[MonthNo]" caption="MonthNo" attribute="1" defaultMemberUniqueName="[LocalDateTable_1a9c82fc-1d61-4945-b631-466fd7cb79e1].[MonthNo].[All]" allUniqueName="[LocalDateTable_1a9c82fc-1d61-4945-b631-466fd7cb79e1].[MonthNo].[All]" dimensionUniqueName="[LocalDateTable_1a9c82fc-1d61-4945-b631-466fd7cb79e1]" displayFolder="" count="0" unbalanced="0" hidden="1"/>
    <cacheHierarchy uniqueName="[LocalDateTable_1a9c82fc-1d61-4945-b631-466fd7cb79e1].[Quarter]" caption="Quarter" attribute="1" defaultMemberUniqueName="[LocalDateTable_1a9c82fc-1d61-4945-b631-466fd7cb79e1].[Quarter].[All]" allUniqueName="[LocalDateTable_1a9c82fc-1d61-4945-b631-466fd7cb79e1].[Quarter].[All]" dimensionUniqueName="[LocalDateTable_1a9c82fc-1d61-4945-b631-466fd7cb79e1]" displayFolder="" count="0" unbalanced="0" hidden="1"/>
    <cacheHierarchy uniqueName="[LocalDateTable_1a9c82fc-1d61-4945-b631-466fd7cb79e1].[QuarterNo]" caption="QuarterNo" attribute="1" defaultMemberUniqueName="[LocalDateTable_1a9c82fc-1d61-4945-b631-466fd7cb79e1].[QuarterNo].[All]" allUniqueName="[LocalDateTable_1a9c82fc-1d61-4945-b631-466fd7cb79e1].[QuarterNo].[All]" dimensionUniqueName="[LocalDateTable_1a9c82fc-1d61-4945-b631-466fd7cb79e1]" displayFolder="" count="0" unbalanced="0" hidden="1"/>
    <cacheHierarchy uniqueName="[LocalDateTable_1a9c82fc-1d61-4945-b631-466fd7cb79e1].[Year]" caption="Year" attribute="1" defaultMemberUniqueName="[LocalDateTable_1a9c82fc-1d61-4945-b631-466fd7cb79e1].[Year].[All]" allUniqueName="[LocalDateTable_1a9c82fc-1d61-4945-b631-466fd7cb79e1].[Year].[All]" dimensionUniqueName="[LocalDateTable_1a9c82fc-1d61-4945-b631-466fd7cb79e1]" displayFolder="" count="0" unbalanced="0" hidden="1"/>
    <cacheHierarchy uniqueName="[LocalDateTable_32153099-8e28-4611-a8e3-a94f0e0a48ba].[Date]" caption="Date" attribute="1" defaultMemberUniqueName="[LocalDateTable_32153099-8e28-4611-a8e3-a94f0e0a48ba].[Date].[All]" allUniqueName="[LocalDateTable_32153099-8e28-4611-a8e3-a94f0e0a48ba].[Date].[All]" dimensionUniqueName="[LocalDateTable_32153099-8e28-4611-a8e3-a94f0e0a48ba]" displayFolder="" count="0" unbalanced="0" hidden="1"/>
    <cacheHierarchy uniqueName="[LocalDateTable_32153099-8e28-4611-a8e3-a94f0e0a48ba].[Date Hierarchy]" caption="Date Hierarchy" defaultMemberUniqueName="[LocalDateTable_32153099-8e28-4611-a8e3-a94f0e0a48ba].[Date Hierarchy].[All]" allUniqueName="[LocalDateTable_32153099-8e28-4611-a8e3-a94f0e0a48ba].[Date Hierarchy].[All]" dimensionUniqueName="[LocalDateTable_32153099-8e28-4611-a8e3-a94f0e0a48ba]" displayFolder="" count="0" unbalanced="0" hidden="1"/>
    <cacheHierarchy uniqueName="[LocalDateTable_32153099-8e28-4611-a8e3-a94f0e0a48ba].[Day]" caption="Day" attribute="1" defaultMemberUniqueName="[LocalDateTable_32153099-8e28-4611-a8e3-a94f0e0a48ba].[Day].[All]" allUniqueName="[LocalDateTable_32153099-8e28-4611-a8e3-a94f0e0a48ba].[Day].[All]" dimensionUniqueName="[LocalDateTable_32153099-8e28-4611-a8e3-a94f0e0a48ba]" displayFolder="" count="0" unbalanced="0" hidden="1"/>
    <cacheHierarchy uniqueName="[LocalDateTable_32153099-8e28-4611-a8e3-a94f0e0a48ba].[Month]" caption="Month" attribute="1" defaultMemberUniqueName="[LocalDateTable_32153099-8e28-4611-a8e3-a94f0e0a48ba].[Month].[All]" allUniqueName="[LocalDateTable_32153099-8e28-4611-a8e3-a94f0e0a48ba].[Month].[All]" dimensionUniqueName="[LocalDateTable_32153099-8e28-4611-a8e3-a94f0e0a48ba]" displayFolder="" count="0" unbalanced="0" hidden="1"/>
    <cacheHierarchy uniqueName="[LocalDateTable_32153099-8e28-4611-a8e3-a94f0e0a48ba].[MonthNo]" caption="MonthNo" attribute="1" defaultMemberUniqueName="[LocalDateTable_32153099-8e28-4611-a8e3-a94f0e0a48ba].[MonthNo].[All]" allUniqueName="[LocalDateTable_32153099-8e28-4611-a8e3-a94f0e0a48ba].[MonthNo].[All]" dimensionUniqueName="[LocalDateTable_32153099-8e28-4611-a8e3-a94f0e0a48ba]" displayFolder="" count="0" unbalanced="0" hidden="1"/>
    <cacheHierarchy uniqueName="[LocalDateTable_32153099-8e28-4611-a8e3-a94f0e0a48ba].[Quarter]" caption="Quarter" attribute="1" defaultMemberUniqueName="[LocalDateTable_32153099-8e28-4611-a8e3-a94f0e0a48ba].[Quarter].[All]" allUniqueName="[LocalDateTable_32153099-8e28-4611-a8e3-a94f0e0a48ba].[Quarter].[All]" dimensionUniqueName="[LocalDateTable_32153099-8e28-4611-a8e3-a94f0e0a48ba]" displayFolder="" count="0" unbalanced="0" hidden="1"/>
    <cacheHierarchy uniqueName="[LocalDateTable_32153099-8e28-4611-a8e3-a94f0e0a48ba].[QuarterNo]" caption="QuarterNo" attribute="1" defaultMemberUniqueName="[LocalDateTable_32153099-8e28-4611-a8e3-a94f0e0a48ba].[QuarterNo].[All]" allUniqueName="[LocalDateTable_32153099-8e28-4611-a8e3-a94f0e0a48ba].[QuarterNo].[All]" dimensionUniqueName="[LocalDateTable_32153099-8e28-4611-a8e3-a94f0e0a48ba]" displayFolder="" count="0" unbalanced="0" hidden="1"/>
    <cacheHierarchy uniqueName="[LocalDateTable_32153099-8e28-4611-a8e3-a94f0e0a48ba].[Year]" caption="Year" attribute="1" defaultMemberUniqueName="[LocalDateTable_32153099-8e28-4611-a8e3-a94f0e0a48ba].[Year].[All]" allUniqueName="[LocalDateTable_32153099-8e28-4611-a8e3-a94f0e0a48ba].[Year].[All]" dimensionUniqueName="[LocalDateTable_32153099-8e28-4611-a8e3-a94f0e0a48ba]" displayFolder="" count="0" unbalanced="0" hidden="1"/>
    <cacheHierarchy uniqueName="[LocalDateTable_39873660-9783-47c3-831f-1ea7ff6357e4].[Date]" caption="Date" attribute="1" defaultMemberUniqueName="[LocalDateTable_39873660-9783-47c3-831f-1ea7ff6357e4].[Date].[All]" allUniqueName="[LocalDateTable_39873660-9783-47c3-831f-1ea7ff6357e4].[Date].[All]" dimensionUniqueName="[LocalDateTable_39873660-9783-47c3-831f-1ea7ff6357e4]" displayFolder="" count="0" unbalanced="0" hidden="1"/>
    <cacheHierarchy uniqueName="[LocalDateTable_39873660-9783-47c3-831f-1ea7ff6357e4].[Date Hierarchy]" caption="Date Hierarchy" defaultMemberUniqueName="[LocalDateTable_39873660-9783-47c3-831f-1ea7ff6357e4].[Date Hierarchy].[All]" allUniqueName="[LocalDateTable_39873660-9783-47c3-831f-1ea7ff6357e4].[Date Hierarchy].[All]" dimensionUniqueName="[LocalDateTable_39873660-9783-47c3-831f-1ea7ff6357e4]" displayFolder="" count="0" unbalanced="0" hidden="1"/>
    <cacheHierarchy uniqueName="[LocalDateTable_39873660-9783-47c3-831f-1ea7ff6357e4].[Day]" caption="Day" attribute="1" defaultMemberUniqueName="[LocalDateTable_39873660-9783-47c3-831f-1ea7ff6357e4].[Day].[All]" allUniqueName="[LocalDateTable_39873660-9783-47c3-831f-1ea7ff6357e4].[Day].[All]" dimensionUniqueName="[LocalDateTable_39873660-9783-47c3-831f-1ea7ff6357e4]" displayFolder="" count="0" unbalanced="0" hidden="1"/>
    <cacheHierarchy uniqueName="[LocalDateTable_39873660-9783-47c3-831f-1ea7ff6357e4].[Month]" caption="Month" attribute="1" defaultMemberUniqueName="[LocalDateTable_39873660-9783-47c3-831f-1ea7ff6357e4].[Month].[All]" allUniqueName="[LocalDateTable_39873660-9783-47c3-831f-1ea7ff6357e4].[Month].[All]" dimensionUniqueName="[LocalDateTable_39873660-9783-47c3-831f-1ea7ff6357e4]" displayFolder="" count="0" unbalanced="0" hidden="1"/>
    <cacheHierarchy uniqueName="[LocalDateTable_39873660-9783-47c3-831f-1ea7ff6357e4].[MonthNo]" caption="MonthNo" attribute="1" defaultMemberUniqueName="[LocalDateTable_39873660-9783-47c3-831f-1ea7ff6357e4].[MonthNo].[All]" allUniqueName="[LocalDateTable_39873660-9783-47c3-831f-1ea7ff6357e4].[MonthNo].[All]" dimensionUniqueName="[LocalDateTable_39873660-9783-47c3-831f-1ea7ff6357e4]" displayFolder="" count="0" unbalanced="0" hidden="1"/>
    <cacheHierarchy uniqueName="[LocalDateTable_39873660-9783-47c3-831f-1ea7ff6357e4].[Quarter]" caption="Quarter" attribute="1" defaultMemberUniqueName="[LocalDateTable_39873660-9783-47c3-831f-1ea7ff6357e4].[Quarter].[All]" allUniqueName="[LocalDateTable_39873660-9783-47c3-831f-1ea7ff6357e4].[Quarter].[All]" dimensionUniqueName="[LocalDateTable_39873660-9783-47c3-831f-1ea7ff6357e4]" displayFolder="" count="0" unbalanced="0" hidden="1"/>
    <cacheHierarchy uniqueName="[LocalDateTable_39873660-9783-47c3-831f-1ea7ff6357e4].[QuarterNo]" caption="QuarterNo" attribute="1" defaultMemberUniqueName="[LocalDateTable_39873660-9783-47c3-831f-1ea7ff6357e4].[QuarterNo].[All]" allUniqueName="[LocalDateTable_39873660-9783-47c3-831f-1ea7ff6357e4].[QuarterNo].[All]" dimensionUniqueName="[LocalDateTable_39873660-9783-47c3-831f-1ea7ff6357e4]" displayFolder="" count="0" unbalanced="0" hidden="1"/>
    <cacheHierarchy uniqueName="[LocalDateTable_39873660-9783-47c3-831f-1ea7ff6357e4].[Year]" caption="Year" attribute="1" defaultMemberUniqueName="[LocalDateTable_39873660-9783-47c3-831f-1ea7ff6357e4].[Year].[All]" allUniqueName="[LocalDateTable_39873660-9783-47c3-831f-1ea7ff6357e4].[Year].[All]" dimensionUniqueName="[LocalDateTable_39873660-9783-47c3-831f-1ea7ff6357e4]" displayFolder="" count="0" unbalanced="0" hidden="1"/>
    <cacheHierarchy uniqueName="[LocalDateTable_39cbebff-eeb7-4252-a359-139059305106].[Date]" caption="Date" attribute="1" defaultMemberUniqueName="[LocalDateTable_39cbebff-eeb7-4252-a359-139059305106].[Date].[All]" allUniqueName="[LocalDateTable_39cbebff-eeb7-4252-a359-139059305106].[Date].[All]" dimensionUniqueName="[LocalDateTable_39cbebff-eeb7-4252-a359-139059305106]" displayFolder="" count="0" unbalanced="0" hidden="1"/>
    <cacheHierarchy uniqueName="[LocalDateTable_39cbebff-eeb7-4252-a359-139059305106].[Date Hierarchy]" caption="Date Hierarchy" defaultMemberUniqueName="[LocalDateTable_39cbebff-eeb7-4252-a359-139059305106].[Date Hierarchy].[All]" allUniqueName="[LocalDateTable_39cbebff-eeb7-4252-a359-139059305106].[Date Hierarchy].[All]" dimensionUniqueName="[LocalDateTable_39cbebff-eeb7-4252-a359-139059305106]" displayFolder="" count="0" unbalanced="0" hidden="1"/>
    <cacheHierarchy uniqueName="[LocalDateTable_39cbebff-eeb7-4252-a359-139059305106].[Day]" caption="Day" attribute="1" defaultMemberUniqueName="[LocalDateTable_39cbebff-eeb7-4252-a359-139059305106].[Day].[All]" allUniqueName="[LocalDateTable_39cbebff-eeb7-4252-a359-139059305106].[Day].[All]" dimensionUniqueName="[LocalDateTable_39cbebff-eeb7-4252-a359-139059305106]" displayFolder="" count="0" unbalanced="0" hidden="1"/>
    <cacheHierarchy uniqueName="[LocalDateTable_39cbebff-eeb7-4252-a359-139059305106].[Month]" caption="Month" attribute="1" defaultMemberUniqueName="[LocalDateTable_39cbebff-eeb7-4252-a359-139059305106].[Month].[All]" allUniqueName="[LocalDateTable_39cbebff-eeb7-4252-a359-139059305106].[Month].[All]" dimensionUniqueName="[LocalDateTable_39cbebff-eeb7-4252-a359-139059305106]" displayFolder="" count="0" unbalanced="0" hidden="1"/>
    <cacheHierarchy uniqueName="[LocalDateTable_39cbebff-eeb7-4252-a359-139059305106].[MonthNo]" caption="MonthNo" attribute="1" defaultMemberUniqueName="[LocalDateTable_39cbebff-eeb7-4252-a359-139059305106].[MonthNo].[All]" allUniqueName="[LocalDateTable_39cbebff-eeb7-4252-a359-139059305106].[MonthNo].[All]" dimensionUniqueName="[LocalDateTable_39cbebff-eeb7-4252-a359-139059305106]" displayFolder="" count="0" unbalanced="0" hidden="1"/>
    <cacheHierarchy uniqueName="[LocalDateTable_39cbebff-eeb7-4252-a359-139059305106].[Quarter]" caption="Quarter" attribute="1" defaultMemberUniqueName="[LocalDateTable_39cbebff-eeb7-4252-a359-139059305106].[Quarter].[All]" allUniqueName="[LocalDateTable_39cbebff-eeb7-4252-a359-139059305106].[Quarter].[All]" dimensionUniqueName="[LocalDateTable_39cbebff-eeb7-4252-a359-139059305106]" displayFolder="" count="0" unbalanced="0" hidden="1"/>
    <cacheHierarchy uniqueName="[LocalDateTable_39cbebff-eeb7-4252-a359-139059305106].[QuarterNo]" caption="QuarterNo" attribute="1" defaultMemberUniqueName="[LocalDateTable_39cbebff-eeb7-4252-a359-139059305106].[QuarterNo].[All]" allUniqueName="[LocalDateTable_39cbebff-eeb7-4252-a359-139059305106].[QuarterNo].[All]" dimensionUniqueName="[LocalDateTable_39cbebff-eeb7-4252-a359-139059305106]" displayFolder="" count="0" unbalanced="0" hidden="1"/>
    <cacheHierarchy uniqueName="[LocalDateTable_39cbebff-eeb7-4252-a359-139059305106].[Year]" caption="Year" attribute="1" defaultMemberUniqueName="[LocalDateTable_39cbebff-eeb7-4252-a359-139059305106].[Year].[All]" allUniqueName="[LocalDateTable_39cbebff-eeb7-4252-a359-139059305106].[Year].[All]" dimensionUniqueName="[LocalDateTable_39cbebff-eeb7-4252-a359-139059305106]" displayFolder="" count="0" unbalanced="0" hidden="1"/>
    <cacheHierarchy uniqueName="[LocalDateTable_44ed01c2-444c-4c6a-9e1d-8f64a65ebd53].[Date]" caption="Date" attribute="1" defaultMemberUniqueName="[LocalDateTable_44ed01c2-444c-4c6a-9e1d-8f64a65ebd53].[Date].[All]" allUniqueName="[LocalDateTable_44ed01c2-444c-4c6a-9e1d-8f64a65ebd53].[Date].[All]" dimensionUniqueName="[LocalDateTable_44ed01c2-444c-4c6a-9e1d-8f64a65ebd53]" displayFolder="" count="0" unbalanced="0" hidden="1"/>
    <cacheHierarchy uniqueName="[LocalDateTable_44ed01c2-444c-4c6a-9e1d-8f64a65ebd53].[Date Hierarchy]" caption="Date Hierarchy" defaultMemberUniqueName="[LocalDateTable_44ed01c2-444c-4c6a-9e1d-8f64a65ebd53].[Date Hierarchy].[All]" allUniqueName="[LocalDateTable_44ed01c2-444c-4c6a-9e1d-8f64a65ebd53].[Date Hierarchy].[All]" dimensionUniqueName="[LocalDateTable_44ed01c2-444c-4c6a-9e1d-8f64a65ebd53]" displayFolder="" count="0" unbalanced="0" hidden="1"/>
    <cacheHierarchy uniqueName="[LocalDateTable_44ed01c2-444c-4c6a-9e1d-8f64a65ebd53].[Day]" caption="Day" attribute="1" defaultMemberUniqueName="[LocalDateTable_44ed01c2-444c-4c6a-9e1d-8f64a65ebd53].[Day].[All]" allUniqueName="[LocalDateTable_44ed01c2-444c-4c6a-9e1d-8f64a65ebd53].[Day].[All]" dimensionUniqueName="[LocalDateTable_44ed01c2-444c-4c6a-9e1d-8f64a65ebd53]" displayFolder="" count="0" unbalanced="0" hidden="1"/>
    <cacheHierarchy uniqueName="[LocalDateTable_44ed01c2-444c-4c6a-9e1d-8f64a65ebd53].[Month]" caption="Month" attribute="1" defaultMemberUniqueName="[LocalDateTable_44ed01c2-444c-4c6a-9e1d-8f64a65ebd53].[Month].[All]" allUniqueName="[LocalDateTable_44ed01c2-444c-4c6a-9e1d-8f64a65ebd53].[Month].[All]" dimensionUniqueName="[LocalDateTable_44ed01c2-444c-4c6a-9e1d-8f64a65ebd53]" displayFolder="" count="0" unbalanced="0" hidden="1"/>
    <cacheHierarchy uniqueName="[LocalDateTable_44ed01c2-444c-4c6a-9e1d-8f64a65ebd53].[MonthNo]" caption="MonthNo" attribute="1" defaultMemberUniqueName="[LocalDateTable_44ed01c2-444c-4c6a-9e1d-8f64a65ebd53].[MonthNo].[All]" allUniqueName="[LocalDateTable_44ed01c2-444c-4c6a-9e1d-8f64a65ebd53].[MonthNo].[All]" dimensionUniqueName="[LocalDateTable_44ed01c2-444c-4c6a-9e1d-8f64a65ebd53]" displayFolder="" count="0" unbalanced="0" hidden="1"/>
    <cacheHierarchy uniqueName="[LocalDateTable_44ed01c2-444c-4c6a-9e1d-8f64a65ebd53].[Quarter]" caption="Quarter" attribute="1" defaultMemberUniqueName="[LocalDateTable_44ed01c2-444c-4c6a-9e1d-8f64a65ebd53].[Quarter].[All]" allUniqueName="[LocalDateTable_44ed01c2-444c-4c6a-9e1d-8f64a65ebd53].[Quarter].[All]" dimensionUniqueName="[LocalDateTable_44ed01c2-444c-4c6a-9e1d-8f64a65ebd53]" displayFolder="" count="0" unbalanced="0" hidden="1"/>
    <cacheHierarchy uniqueName="[LocalDateTable_44ed01c2-444c-4c6a-9e1d-8f64a65ebd53].[QuarterNo]" caption="QuarterNo" attribute="1" defaultMemberUniqueName="[LocalDateTable_44ed01c2-444c-4c6a-9e1d-8f64a65ebd53].[QuarterNo].[All]" allUniqueName="[LocalDateTable_44ed01c2-444c-4c6a-9e1d-8f64a65ebd53].[QuarterNo].[All]" dimensionUniqueName="[LocalDateTable_44ed01c2-444c-4c6a-9e1d-8f64a65ebd53]" displayFolder="" count="0" unbalanced="0" hidden="1"/>
    <cacheHierarchy uniqueName="[LocalDateTable_44ed01c2-444c-4c6a-9e1d-8f64a65ebd53].[Year]" caption="Year" attribute="1" defaultMemberUniqueName="[LocalDateTable_44ed01c2-444c-4c6a-9e1d-8f64a65ebd53].[Year].[All]" allUniqueName="[LocalDateTable_44ed01c2-444c-4c6a-9e1d-8f64a65ebd53].[Year].[All]" dimensionUniqueName="[LocalDateTable_44ed01c2-444c-4c6a-9e1d-8f64a65ebd53]" displayFolder="" count="0" unbalanced="0" hidden="1"/>
    <cacheHierarchy uniqueName="[LocalDateTable_4b503ea0-8a9e-4452-8df1-77875d493416].[Date]" caption="Date" attribute="1" defaultMemberUniqueName="[LocalDateTable_4b503ea0-8a9e-4452-8df1-77875d493416].[Date].[All]" allUniqueName="[LocalDateTable_4b503ea0-8a9e-4452-8df1-77875d493416].[Date].[All]" dimensionUniqueName="[LocalDateTable_4b503ea0-8a9e-4452-8df1-77875d493416]" displayFolder="" count="0" unbalanced="0" hidden="1"/>
    <cacheHierarchy uniqueName="[LocalDateTable_4b503ea0-8a9e-4452-8df1-77875d493416].[Date Hierarchy]" caption="Date Hierarchy" defaultMemberUniqueName="[LocalDateTable_4b503ea0-8a9e-4452-8df1-77875d493416].[Date Hierarchy].[All]" allUniqueName="[LocalDateTable_4b503ea0-8a9e-4452-8df1-77875d493416].[Date Hierarchy].[All]" dimensionUniqueName="[LocalDateTable_4b503ea0-8a9e-4452-8df1-77875d493416]" displayFolder="" count="0" unbalanced="0" hidden="1"/>
    <cacheHierarchy uniqueName="[LocalDateTable_4b503ea0-8a9e-4452-8df1-77875d493416].[Day]" caption="Day" attribute="1" defaultMemberUniqueName="[LocalDateTable_4b503ea0-8a9e-4452-8df1-77875d493416].[Day].[All]" allUniqueName="[LocalDateTable_4b503ea0-8a9e-4452-8df1-77875d493416].[Day].[All]" dimensionUniqueName="[LocalDateTable_4b503ea0-8a9e-4452-8df1-77875d493416]" displayFolder="" count="0" unbalanced="0" hidden="1"/>
    <cacheHierarchy uniqueName="[LocalDateTable_4b503ea0-8a9e-4452-8df1-77875d493416].[Month]" caption="Month" attribute="1" defaultMemberUniqueName="[LocalDateTable_4b503ea0-8a9e-4452-8df1-77875d493416].[Month].[All]" allUniqueName="[LocalDateTable_4b503ea0-8a9e-4452-8df1-77875d493416].[Month].[All]" dimensionUniqueName="[LocalDateTable_4b503ea0-8a9e-4452-8df1-77875d493416]" displayFolder="" count="0" unbalanced="0" hidden="1"/>
    <cacheHierarchy uniqueName="[LocalDateTable_4b503ea0-8a9e-4452-8df1-77875d493416].[MonthNo]" caption="MonthNo" attribute="1" defaultMemberUniqueName="[LocalDateTable_4b503ea0-8a9e-4452-8df1-77875d493416].[MonthNo].[All]" allUniqueName="[LocalDateTable_4b503ea0-8a9e-4452-8df1-77875d493416].[MonthNo].[All]" dimensionUniqueName="[LocalDateTable_4b503ea0-8a9e-4452-8df1-77875d493416]" displayFolder="" count="0" unbalanced="0" hidden="1"/>
    <cacheHierarchy uniqueName="[LocalDateTable_4b503ea0-8a9e-4452-8df1-77875d493416].[Quarter]" caption="Quarter" attribute="1" defaultMemberUniqueName="[LocalDateTable_4b503ea0-8a9e-4452-8df1-77875d493416].[Quarter].[All]" allUniqueName="[LocalDateTable_4b503ea0-8a9e-4452-8df1-77875d493416].[Quarter].[All]" dimensionUniqueName="[LocalDateTable_4b503ea0-8a9e-4452-8df1-77875d493416]" displayFolder="" count="0" unbalanced="0" hidden="1"/>
    <cacheHierarchy uniqueName="[LocalDateTable_4b503ea0-8a9e-4452-8df1-77875d493416].[QuarterNo]" caption="QuarterNo" attribute="1" defaultMemberUniqueName="[LocalDateTable_4b503ea0-8a9e-4452-8df1-77875d493416].[QuarterNo].[All]" allUniqueName="[LocalDateTable_4b503ea0-8a9e-4452-8df1-77875d493416].[QuarterNo].[All]" dimensionUniqueName="[LocalDateTable_4b503ea0-8a9e-4452-8df1-77875d493416]" displayFolder="" count="0" unbalanced="0" hidden="1"/>
    <cacheHierarchy uniqueName="[LocalDateTable_4b503ea0-8a9e-4452-8df1-77875d493416].[Year]" caption="Year" attribute="1" defaultMemberUniqueName="[LocalDateTable_4b503ea0-8a9e-4452-8df1-77875d493416].[Year].[All]" allUniqueName="[LocalDateTable_4b503ea0-8a9e-4452-8df1-77875d493416].[Year].[All]" dimensionUniqueName="[LocalDateTable_4b503ea0-8a9e-4452-8df1-77875d493416]" displayFolder="" count="0" unbalanced="0" hidden="1"/>
    <cacheHierarchy uniqueName="[LocalDateTable_53bd0de1-8e4f-45ec-a73d-720779e52dac].[Date]" caption="Date" attribute="1" defaultMemberUniqueName="[LocalDateTable_53bd0de1-8e4f-45ec-a73d-720779e52dac].[Date].[All]" allUniqueName="[LocalDateTable_53bd0de1-8e4f-45ec-a73d-720779e52dac].[Date].[All]" dimensionUniqueName="[LocalDateTable_53bd0de1-8e4f-45ec-a73d-720779e52dac]" displayFolder="" count="0" unbalanced="0" hidden="1"/>
    <cacheHierarchy uniqueName="[LocalDateTable_53bd0de1-8e4f-45ec-a73d-720779e52dac].[Date Hierarchy]" caption="Date Hierarchy" defaultMemberUniqueName="[LocalDateTable_53bd0de1-8e4f-45ec-a73d-720779e52dac].[Date Hierarchy].[All]" allUniqueName="[LocalDateTable_53bd0de1-8e4f-45ec-a73d-720779e52dac].[Date Hierarchy].[All]" dimensionUniqueName="[LocalDateTable_53bd0de1-8e4f-45ec-a73d-720779e52dac]" displayFolder="" count="0" unbalanced="0" hidden="1"/>
    <cacheHierarchy uniqueName="[LocalDateTable_53bd0de1-8e4f-45ec-a73d-720779e52dac].[Day]" caption="Day" attribute="1" defaultMemberUniqueName="[LocalDateTable_53bd0de1-8e4f-45ec-a73d-720779e52dac].[Day].[All]" allUniqueName="[LocalDateTable_53bd0de1-8e4f-45ec-a73d-720779e52dac].[Day].[All]" dimensionUniqueName="[LocalDateTable_53bd0de1-8e4f-45ec-a73d-720779e52dac]" displayFolder="" count="0" unbalanced="0" hidden="1"/>
    <cacheHierarchy uniqueName="[LocalDateTable_53bd0de1-8e4f-45ec-a73d-720779e52dac].[Month]" caption="Month" attribute="1" defaultMemberUniqueName="[LocalDateTable_53bd0de1-8e4f-45ec-a73d-720779e52dac].[Month].[All]" allUniqueName="[LocalDateTable_53bd0de1-8e4f-45ec-a73d-720779e52dac].[Month].[All]" dimensionUniqueName="[LocalDateTable_53bd0de1-8e4f-45ec-a73d-720779e52dac]" displayFolder="" count="0" unbalanced="0" hidden="1"/>
    <cacheHierarchy uniqueName="[LocalDateTable_53bd0de1-8e4f-45ec-a73d-720779e52dac].[MonthNo]" caption="MonthNo" attribute="1" defaultMemberUniqueName="[LocalDateTable_53bd0de1-8e4f-45ec-a73d-720779e52dac].[MonthNo].[All]" allUniqueName="[LocalDateTable_53bd0de1-8e4f-45ec-a73d-720779e52dac].[MonthNo].[All]" dimensionUniqueName="[LocalDateTable_53bd0de1-8e4f-45ec-a73d-720779e52dac]" displayFolder="" count="0" unbalanced="0" hidden="1"/>
    <cacheHierarchy uniqueName="[LocalDateTable_53bd0de1-8e4f-45ec-a73d-720779e52dac].[Quarter]" caption="Quarter" attribute="1" defaultMemberUniqueName="[LocalDateTable_53bd0de1-8e4f-45ec-a73d-720779e52dac].[Quarter].[All]" allUniqueName="[LocalDateTable_53bd0de1-8e4f-45ec-a73d-720779e52dac].[Quarter].[All]" dimensionUniqueName="[LocalDateTable_53bd0de1-8e4f-45ec-a73d-720779e52dac]" displayFolder="" count="0" unbalanced="0" hidden="1"/>
    <cacheHierarchy uniqueName="[LocalDateTable_53bd0de1-8e4f-45ec-a73d-720779e52dac].[QuarterNo]" caption="QuarterNo" attribute="1" defaultMemberUniqueName="[LocalDateTable_53bd0de1-8e4f-45ec-a73d-720779e52dac].[QuarterNo].[All]" allUniqueName="[LocalDateTable_53bd0de1-8e4f-45ec-a73d-720779e52dac].[QuarterNo].[All]" dimensionUniqueName="[LocalDateTable_53bd0de1-8e4f-45ec-a73d-720779e52dac]" displayFolder="" count="0" unbalanced="0" hidden="1"/>
    <cacheHierarchy uniqueName="[LocalDateTable_53bd0de1-8e4f-45ec-a73d-720779e52dac].[Year]" caption="Year" attribute="1" defaultMemberUniqueName="[LocalDateTable_53bd0de1-8e4f-45ec-a73d-720779e52dac].[Year].[All]" allUniqueName="[LocalDateTable_53bd0de1-8e4f-45ec-a73d-720779e52dac].[Year].[All]" dimensionUniqueName="[LocalDateTable_53bd0de1-8e4f-45ec-a73d-720779e52dac]" displayFolder="" count="0" unbalanced="0" hidden="1"/>
    <cacheHierarchy uniqueName="[LocalDateTable_582d8559-64fe-4f94-ac65-40b1120ce9fa].[Date]" caption="Date" attribute="1" defaultMemberUniqueName="[LocalDateTable_582d8559-64fe-4f94-ac65-40b1120ce9fa].[Date].[All]" allUniqueName="[LocalDateTable_582d8559-64fe-4f94-ac65-40b1120ce9fa].[Date].[All]" dimensionUniqueName="[LocalDateTable_582d8559-64fe-4f94-ac65-40b1120ce9fa]" displayFolder="" count="0" unbalanced="0" hidden="1"/>
    <cacheHierarchy uniqueName="[LocalDateTable_582d8559-64fe-4f94-ac65-40b1120ce9fa].[Date Hierarchy]" caption="Date Hierarchy" defaultMemberUniqueName="[LocalDateTable_582d8559-64fe-4f94-ac65-40b1120ce9fa].[Date Hierarchy].[All]" allUniqueName="[LocalDateTable_582d8559-64fe-4f94-ac65-40b1120ce9fa].[Date Hierarchy].[All]" dimensionUniqueName="[LocalDateTable_582d8559-64fe-4f94-ac65-40b1120ce9fa]" displayFolder="" count="0" unbalanced="0" hidden="1"/>
    <cacheHierarchy uniqueName="[LocalDateTable_582d8559-64fe-4f94-ac65-40b1120ce9fa].[Day]" caption="Day" attribute="1" defaultMemberUniqueName="[LocalDateTable_582d8559-64fe-4f94-ac65-40b1120ce9fa].[Day].[All]" allUniqueName="[LocalDateTable_582d8559-64fe-4f94-ac65-40b1120ce9fa].[Day].[All]" dimensionUniqueName="[LocalDateTable_582d8559-64fe-4f94-ac65-40b1120ce9fa]" displayFolder="" count="0" unbalanced="0" hidden="1"/>
    <cacheHierarchy uniqueName="[LocalDateTable_582d8559-64fe-4f94-ac65-40b1120ce9fa].[Month]" caption="Month" attribute="1" defaultMemberUniqueName="[LocalDateTable_582d8559-64fe-4f94-ac65-40b1120ce9fa].[Month].[All]" allUniqueName="[LocalDateTable_582d8559-64fe-4f94-ac65-40b1120ce9fa].[Month].[All]" dimensionUniqueName="[LocalDateTable_582d8559-64fe-4f94-ac65-40b1120ce9fa]" displayFolder="" count="0" unbalanced="0" hidden="1"/>
    <cacheHierarchy uniqueName="[LocalDateTable_582d8559-64fe-4f94-ac65-40b1120ce9fa].[MonthNo]" caption="MonthNo" attribute="1" defaultMemberUniqueName="[LocalDateTable_582d8559-64fe-4f94-ac65-40b1120ce9fa].[MonthNo].[All]" allUniqueName="[LocalDateTable_582d8559-64fe-4f94-ac65-40b1120ce9fa].[MonthNo].[All]" dimensionUniqueName="[LocalDateTable_582d8559-64fe-4f94-ac65-40b1120ce9fa]" displayFolder="" count="0" unbalanced="0" hidden="1"/>
    <cacheHierarchy uniqueName="[LocalDateTable_582d8559-64fe-4f94-ac65-40b1120ce9fa].[Quarter]" caption="Quarter" attribute="1" defaultMemberUniqueName="[LocalDateTable_582d8559-64fe-4f94-ac65-40b1120ce9fa].[Quarter].[All]" allUniqueName="[LocalDateTable_582d8559-64fe-4f94-ac65-40b1120ce9fa].[Quarter].[All]" dimensionUniqueName="[LocalDateTable_582d8559-64fe-4f94-ac65-40b1120ce9fa]" displayFolder="" count="0" unbalanced="0" hidden="1"/>
    <cacheHierarchy uniqueName="[LocalDateTable_582d8559-64fe-4f94-ac65-40b1120ce9fa].[QuarterNo]" caption="QuarterNo" attribute="1" defaultMemberUniqueName="[LocalDateTable_582d8559-64fe-4f94-ac65-40b1120ce9fa].[QuarterNo].[All]" allUniqueName="[LocalDateTable_582d8559-64fe-4f94-ac65-40b1120ce9fa].[QuarterNo].[All]" dimensionUniqueName="[LocalDateTable_582d8559-64fe-4f94-ac65-40b1120ce9fa]" displayFolder="" count="0" unbalanced="0" hidden="1"/>
    <cacheHierarchy uniqueName="[LocalDateTable_582d8559-64fe-4f94-ac65-40b1120ce9fa].[Year]" caption="Year" attribute="1" defaultMemberUniqueName="[LocalDateTable_582d8559-64fe-4f94-ac65-40b1120ce9fa].[Year].[All]" allUniqueName="[LocalDateTable_582d8559-64fe-4f94-ac65-40b1120ce9fa].[Year].[All]" dimensionUniqueName="[LocalDateTable_582d8559-64fe-4f94-ac65-40b1120ce9fa]" displayFolder="" count="0" unbalanced="0" hidden="1"/>
    <cacheHierarchy uniqueName="[LocalDateTable_5e304ffa-9c13-4348-a0b1-bac4f702bb98].[Date]" caption="Date" attribute="1" defaultMemberUniqueName="[LocalDateTable_5e304ffa-9c13-4348-a0b1-bac4f702bb98].[Date].[All]" allUniqueName="[LocalDateTable_5e304ffa-9c13-4348-a0b1-bac4f702bb98].[Date].[All]" dimensionUniqueName="[LocalDateTable_5e304ffa-9c13-4348-a0b1-bac4f702bb98]" displayFolder="" count="0" unbalanced="0" hidden="1"/>
    <cacheHierarchy uniqueName="[LocalDateTable_5e304ffa-9c13-4348-a0b1-bac4f702bb98].[Date Hierarchy]" caption="Date Hierarchy" defaultMemberUniqueName="[LocalDateTable_5e304ffa-9c13-4348-a0b1-bac4f702bb98].[Date Hierarchy].[All]" allUniqueName="[LocalDateTable_5e304ffa-9c13-4348-a0b1-bac4f702bb98].[Date Hierarchy].[All]" dimensionUniqueName="[LocalDateTable_5e304ffa-9c13-4348-a0b1-bac4f702bb98]" displayFolder="" count="0" unbalanced="0" hidden="1"/>
    <cacheHierarchy uniqueName="[LocalDateTable_5e304ffa-9c13-4348-a0b1-bac4f702bb98].[Day]" caption="Day" attribute="1" defaultMemberUniqueName="[LocalDateTable_5e304ffa-9c13-4348-a0b1-bac4f702bb98].[Day].[All]" allUniqueName="[LocalDateTable_5e304ffa-9c13-4348-a0b1-bac4f702bb98].[Day].[All]" dimensionUniqueName="[LocalDateTable_5e304ffa-9c13-4348-a0b1-bac4f702bb98]" displayFolder="" count="0" unbalanced="0" hidden="1"/>
    <cacheHierarchy uniqueName="[LocalDateTable_5e304ffa-9c13-4348-a0b1-bac4f702bb98].[Month]" caption="Month" attribute="1" defaultMemberUniqueName="[LocalDateTable_5e304ffa-9c13-4348-a0b1-bac4f702bb98].[Month].[All]" allUniqueName="[LocalDateTable_5e304ffa-9c13-4348-a0b1-bac4f702bb98].[Month].[All]" dimensionUniqueName="[LocalDateTable_5e304ffa-9c13-4348-a0b1-bac4f702bb98]" displayFolder="" count="0" unbalanced="0" hidden="1"/>
    <cacheHierarchy uniqueName="[LocalDateTable_5e304ffa-9c13-4348-a0b1-bac4f702bb98].[MonthNo]" caption="MonthNo" attribute="1" defaultMemberUniqueName="[LocalDateTable_5e304ffa-9c13-4348-a0b1-bac4f702bb98].[MonthNo].[All]" allUniqueName="[LocalDateTable_5e304ffa-9c13-4348-a0b1-bac4f702bb98].[MonthNo].[All]" dimensionUniqueName="[LocalDateTable_5e304ffa-9c13-4348-a0b1-bac4f702bb98]" displayFolder="" count="0" unbalanced="0" hidden="1"/>
    <cacheHierarchy uniqueName="[LocalDateTable_5e304ffa-9c13-4348-a0b1-bac4f702bb98].[Quarter]" caption="Quarter" attribute="1" defaultMemberUniqueName="[LocalDateTable_5e304ffa-9c13-4348-a0b1-bac4f702bb98].[Quarter].[All]" allUniqueName="[LocalDateTable_5e304ffa-9c13-4348-a0b1-bac4f702bb98].[Quarter].[All]" dimensionUniqueName="[LocalDateTable_5e304ffa-9c13-4348-a0b1-bac4f702bb98]" displayFolder="" count="0" unbalanced="0" hidden="1"/>
    <cacheHierarchy uniqueName="[LocalDateTable_5e304ffa-9c13-4348-a0b1-bac4f702bb98].[QuarterNo]" caption="QuarterNo" attribute="1" defaultMemberUniqueName="[LocalDateTable_5e304ffa-9c13-4348-a0b1-bac4f702bb98].[QuarterNo].[All]" allUniqueName="[LocalDateTable_5e304ffa-9c13-4348-a0b1-bac4f702bb98].[QuarterNo].[All]" dimensionUniqueName="[LocalDateTable_5e304ffa-9c13-4348-a0b1-bac4f702bb98]" displayFolder="" count="0" unbalanced="0" hidden="1"/>
    <cacheHierarchy uniqueName="[LocalDateTable_5e304ffa-9c13-4348-a0b1-bac4f702bb98].[Year]" caption="Year" attribute="1" defaultMemberUniqueName="[LocalDateTable_5e304ffa-9c13-4348-a0b1-bac4f702bb98].[Year].[All]" allUniqueName="[LocalDateTable_5e304ffa-9c13-4348-a0b1-bac4f702bb98].[Year].[All]" dimensionUniqueName="[LocalDateTable_5e304ffa-9c13-4348-a0b1-bac4f702bb98]" displayFolder="" count="0" unbalanced="0" hidden="1"/>
    <cacheHierarchy uniqueName="[LocalDateTable_6ad1a7b7-0918-439f-9116-bb49452fb306].[Date]" caption="Date" attribute="1" defaultMemberUniqueName="[LocalDateTable_6ad1a7b7-0918-439f-9116-bb49452fb306].[Date].[All]" allUniqueName="[LocalDateTable_6ad1a7b7-0918-439f-9116-bb49452fb306].[Date].[All]" dimensionUniqueName="[LocalDateTable_6ad1a7b7-0918-439f-9116-bb49452fb306]" displayFolder="" count="0" unbalanced="0" hidden="1"/>
    <cacheHierarchy uniqueName="[LocalDateTable_6ad1a7b7-0918-439f-9116-bb49452fb306].[Date Hierarchy]" caption="Date Hierarchy" defaultMemberUniqueName="[LocalDateTable_6ad1a7b7-0918-439f-9116-bb49452fb306].[Date Hierarchy].[All]" allUniqueName="[LocalDateTable_6ad1a7b7-0918-439f-9116-bb49452fb306].[Date Hierarchy].[All]" dimensionUniqueName="[LocalDateTable_6ad1a7b7-0918-439f-9116-bb49452fb306]" displayFolder="" count="0" unbalanced="0" hidden="1"/>
    <cacheHierarchy uniqueName="[LocalDateTable_6ad1a7b7-0918-439f-9116-bb49452fb306].[Day]" caption="Day" attribute="1" defaultMemberUniqueName="[LocalDateTable_6ad1a7b7-0918-439f-9116-bb49452fb306].[Day].[All]" allUniqueName="[LocalDateTable_6ad1a7b7-0918-439f-9116-bb49452fb306].[Day].[All]" dimensionUniqueName="[LocalDateTable_6ad1a7b7-0918-439f-9116-bb49452fb306]" displayFolder="" count="0" unbalanced="0" hidden="1"/>
    <cacheHierarchy uniqueName="[LocalDateTable_6ad1a7b7-0918-439f-9116-bb49452fb306].[Month]" caption="Month" attribute="1" defaultMemberUniqueName="[LocalDateTable_6ad1a7b7-0918-439f-9116-bb49452fb306].[Month].[All]" allUniqueName="[LocalDateTable_6ad1a7b7-0918-439f-9116-bb49452fb306].[Month].[All]" dimensionUniqueName="[LocalDateTable_6ad1a7b7-0918-439f-9116-bb49452fb306]" displayFolder="" count="0" unbalanced="0" hidden="1"/>
    <cacheHierarchy uniqueName="[LocalDateTable_6ad1a7b7-0918-439f-9116-bb49452fb306].[MonthNo]" caption="MonthNo" attribute="1" defaultMemberUniqueName="[LocalDateTable_6ad1a7b7-0918-439f-9116-bb49452fb306].[MonthNo].[All]" allUniqueName="[LocalDateTable_6ad1a7b7-0918-439f-9116-bb49452fb306].[MonthNo].[All]" dimensionUniqueName="[LocalDateTable_6ad1a7b7-0918-439f-9116-bb49452fb306]" displayFolder="" count="0" unbalanced="0" hidden="1"/>
    <cacheHierarchy uniqueName="[LocalDateTable_6ad1a7b7-0918-439f-9116-bb49452fb306].[Quarter]" caption="Quarter" attribute="1" defaultMemberUniqueName="[LocalDateTable_6ad1a7b7-0918-439f-9116-bb49452fb306].[Quarter].[All]" allUniqueName="[LocalDateTable_6ad1a7b7-0918-439f-9116-bb49452fb306].[Quarter].[All]" dimensionUniqueName="[LocalDateTable_6ad1a7b7-0918-439f-9116-bb49452fb306]" displayFolder="" count="0" unbalanced="0" hidden="1"/>
    <cacheHierarchy uniqueName="[LocalDateTable_6ad1a7b7-0918-439f-9116-bb49452fb306].[QuarterNo]" caption="QuarterNo" attribute="1" defaultMemberUniqueName="[LocalDateTable_6ad1a7b7-0918-439f-9116-bb49452fb306].[QuarterNo].[All]" allUniqueName="[LocalDateTable_6ad1a7b7-0918-439f-9116-bb49452fb306].[QuarterNo].[All]" dimensionUniqueName="[LocalDateTable_6ad1a7b7-0918-439f-9116-bb49452fb306]" displayFolder="" count="0" unbalanced="0" hidden="1"/>
    <cacheHierarchy uniqueName="[LocalDateTable_6ad1a7b7-0918-439f-9116-bb49452fb306].[Year]" caption="Year" attribute="1" defaultMemberUniqueName="[LocalDateTable_6ad1a7b7-0918-439f-9116-bb49452fb306].[Year].[All]" allUniqueName="[LocalDateTable_6ad1a7b7-0918-439f-9116-bb49452fb306].[Year].[All]" dimensionUniqueName="[LocalDateTable_6ad1a7b7-0918-439f-9116-bb49452fb306]" displayFolder="" count="0" unbalanced="0" hidden="1"/>
    <cacheHierarchy uniqueName="[LocalDateTable_72411a4b-2028-45fd-859f-ca035717f902].[Date]" caption="Date" attribute="1" defaultMemberUniqueName="[LocalDateTable_72411a4b-2028-45fd-859f-ca035717f902].[Date].[All]" allUniqueName="[LocalDateTable_72411a4b-2028-45fd-859f-ca035717f902].[Date].[All]" dimensionUniqueName="[LocalDateTable_72411a4b-2028-45fd-859f-ca035717f902]" displayFolder="" count="0" unbalanced="0" hidden="1"/>
    <cacheHierarchy uniqueName="[LocalDateTable_72411a4b-2028-45fd-859f-ca035717f902].[Date Hierarchy]" caption="Date Hierarchy" defaultMemberUniqueName="[LocalDateTable_72411a4b-2028-45fd-859f-ca035717f902].[Date Hierarchy].[All]" allUniqueName="[LocalDateTable_72411a4b-2028-45fd-859f-ca035717f902].[Date Hierarchy].[All]" dimensionUniqueName="[LocalDateTable_72411a4b-2028-45fd-859f-ca035717f902]" displayFolder="" count="0" unbalanced="0" hidden="1"/>
    <cacheHierarchy uniqueName="[LocalDateTable_72411a4b-2028-45fd-859f-ca035717f902].[Day]" caption="Day" attribute="1" defaultMemberUniqueName="[LocalDateTable_72411a4b-2028-45fd-859f-ca035717f902].[Day].[All]" allUniqueName="[LocalDateTable_72411a4b-2028-45fd-859f-ca035717f902].[Day].[All]" dimensionUniqueName="[LocalDateTable_72411a4b-2028-45fd-859f-ca035717f902]" displayFolder="" count="0" unbalanced="0" hidden="1"/>
    <cacheHierarchy uniqueName="[LocalDateTable_72411a4b-2028-45fd-859f-ca035717f902].[Month]" caption="Month" attribute="1" defaultMemberUniqueName="[LocalDateTable_72411a4b-2028-45fd-859f-ca035717f902].[Month].[All]" allUniqueName="[LocalDateTable_72411a4b-2028-45fd-859f-ca035717f902].[Month].[All]" dimensionUniqueName="[LocalDateTable_72411a4b-2028-45fd-859f-ca035717f902]" displayFolder="" count="0" unbalanced="0" hidden="1"/>
    <cacheHierarchy uniqueName="[LocalDateTable_72411a4b-2028-45fd-859f-ca035717f902].[MonthNo]" caption="MonthNo" attribute="1" defaultMemberUniqueName="[LocalDateTable_72411a4b-2028-45fd-859f-ca035717f902].[MonthNo].[All]" allUniqueName="[LocalDateTable_72411a4b-2028-45fd-859f-ca035717f902].[MonthNo].[All]" dimensionUniqueName="[LocalDateTable_72411a4b-2028-45fd-859f-ca035717f902]" displayFolder="" count="0" unbalanced="0" hidden="1"/>
    <cacheHierarchy uniqueName="[LocalDateTable_72411a4b-2028-45fd-859f-ca035717f902].[Quarter]" caption="Quarter" attribute="1" defaultMemberUniqueName="[LocalDateTable_72411a4b-2028-45fd-859f-ca035717f902].[Quarter].[All]" allUniqueName="[LocalDateTable_72411a4b-2028-45fd-859f-ca035717f902].[Quarter].[All]" dimensionUniqueName="[LocalDateTable_72411a4b-2028-45fd-859f-ca035717f902]" displayFolder="" count="0" unbalanced="0" hidden="1"/>
    <cacheHierarchy uniqueName="[LocalDateTable_72411a4b-2028-45fd-859f-ca035717f902].[QuarterNo]" caption="QuarterNo" attribute="1" defaultMemberUniqueName="[LocalDateTable_72411a4b-2028-45fd-859f-ca035717f902].[QuarterNo].[All]" allUniqueName="[LocalDateTable_72411a4b-2028-45fd-859f-ca035717f902].[QuarterNo].[All]" dimensionUniqueName="[LocalDateTable_72411a4b-2028-45fd-859f-ca035717f902]" displayFolder="" count="0" unbalanced="0" hidden="1"/>
    <cacheHierarchy uniqueName="[LocalDateTable_72411a4b-2028-45fd-859f-ca035717f902].[Year]" caption="Year" attribute="1" defaultMemberUniqueName="[LocalDateTable_72411a4b-2028-45fd-859f-ca035717f902].[Year].[All]" allUniqueName="[LocalDateTable_72411a4b-2028-45fd-859f-ca035717f902].[Year].[All]" dimensionUniqueName="[LocalDateTable_72411a4b-2028-45fd-859f-ca035717f902]" displayFolder="" count="0" unbalanced="0" hidden="1"/>
    <cacheHierarchy uniqueName="[LocalDateTable_762e9f08-71b7-474b-bf32-18e125928c8b].[Date]" caption="Date" attribute="1" defaultMemberUniqueName="[LocalDateTable_762e9f08-71b7-474b-bf32-18e125928c8b].[Date].[All]" allUniqueName="[LocalDateTable_762e9f08-71b7-474b-bf32-18e125928c8b].[Date].[All]" dimensionUniqueName="[LocalDateTable_762e9f08-71b7-474b-bf32-18e125928c8b]" displayFolder="" count="0" unbalanced="0" hidden="1"/>
    <cacheHierarchy uniqueName="[LocalDateTable_762e9f08-71b7-474b-bf32-18e125928c8b].[Date Hierarchy]" caption="Date Hierarchy" defaultMemberUniqueName="[LocalDateTable_762e9f08-71b7-474b-bf32-18e125928c8b].[Date Hierarchy].[All]" allUniqueName="[LocalDateTable_762e9f08-71b7-474b-bf32-18e125928c8b].[Date Hierarchy].[All]" dimensionUniqueName="[LocalDateTable_762e9f08-71b7-474b-bf32-18e125928c8b]" displayFolder="" count="0" unbalanced="0" hidden="1"/>
    <cacheHierarchy uniqueName="[LocalDateTable_762e9f08-71b7-474b-bf32-18e125928c8b].[Day]" caption="Day" attribute="1" defaultMemberUniqueName="[LocalDateTable_762e9f08-71b7-474b-bf32-18e125928c8b].[Day].[All]" allUniqueName="[LocalDateTable_762e9f08-71b7-474b-bf32-18e125928c8b].[Day].[All]" dimensionUniqueName="[LocalDateTable_762e9f08-71b7-474b-bf32-18e125928c8b]" displayFolder="" count="0" unbalanced="0" hidden="1"/>
    <cacheHierarchy uniqueName="[LocalDateTable_762e9f08-71b7-474b-bf32-18e125928c8b].[Month]" caption="Month" attribute="1" defaultMemberUniqueName="[LocalDateTable_762e9f08-71b7-474b-bf32-18e125928c8b].[Month].[All]" allUniqueName="[LocalDateTable_762e9f08-71b7-474b-bf32-18e125928c8b].[Month].[All]" dimensionUniqueName="[LocalDateTable_762e9f08-71b7-474b-bf32-18e125928c8b]" displayFolder="" count="0" unbalanced="0" hidden="1"/>
    <cacheHierarchy uniqueName="[LocalDateTable_762e9f08-71b7-474b-bf32-18e125928c8b].[MonthNo]" caption="MonthNo" attribute="1" defaultMemberUniqueName="[LocalDateTable_762e9f08-71b7-474b-bf32-18e125928c8b].[MonthNo].[All]" allUniqueName="[LocalDateTable_762e9f08-71b7-474b-bf32-18e125928c8b].[MonthNo].[All]" dimensionUniqueName="[LocalDateTable_762e9f08-71b7-474b-bf32-18e125928c8b]" displayFolder="" count="0" unbalanced="0" hidden="1"/>
    <cacheHierarchy uniqueName="[LocalDateTable_762e9f08-71b7-474b-bf32-18e125928c8b].[Quarter]" caption="Quarter" attribute="1" defaultMemberUniqueName="[LocalDateTable_762e9f08-71b7-474b-bf32-18e125928c8b].[Quarter].[All]" allUniqueName="[LocalDateTable_762e9f08-71b7-474b-bf32-18e125928c8b].[Quarter].[All]" dimensionUniqueName="[LocalDateTable_762e9f08-71b7-474b-bf32-18e125928c8b]" displayFolder="" count="0" unbalanced="0" hidden="1"/>
    <cacheHierarchy uniqueName="[LocalDateTable_762e9f08-71b7-474b-bf32-18e125928c8b].[QuarterNo]" caption="QuarterNo" attribute="1" defaultMemberUniqueName="[LocalDateTable_762e9f08-71b7-474b-bf32-18e125928c8b].[QuarterNo].[All]" allUniqueName="[LocalDateTable_762e9f08-71b7-474b-bf32-18e125928c8b].[QuarterNo].[All]" dimensionUniqueName="[LocalDateTable_762e9f08-71b7-474b-bf32-18e125928c8b]" displayFolder="" count="0" unbalanced="0" hidden="1"/>
    <cacheHierarchy uniqueName="[LocalDateTable_762e9f08-71b7-474b-bf32-18e125928c8b].[Year]" caption="Year" attribute="1" defaultMemberUniqueName="[LocalDateTable_762e9f08-71b7-474b-bf32-18e125928c8b].[Year].[All]" allUniqueName="[LocalDateTable_762e9f08-71b7-474b-bf32-18e125928c8b].[Year].[All]" dimensionUniqueName="[LocalDateTable_762e9f08-71b7-474b-bf32-18e125928c8b]" displayFolder="" count="0" unbalanced="0" hidden="1"/>
    <cacheHierarchy uniqueName="[LocalDateTable_79b3c506-b619-4a92-a39e-5963880b27f4].[Date]" caption="Date" attribute="1" defaultMemberUniqueName="[LocalDateTable_79b3c506-b619-4a92-a39e-5963880b27f4].[Date].[All]" allUniqueName="[LocalDateTable_79b3c506-b619-4a92-a39e-5963880b27f4].[Date].[All]" dimensionUniqueName="[LocalDateTable_79b3c506-b619-4a92-a39e-5963880b27f4]" displayFolder="" count="0" unbalanced="0" hidden="1"/>
    <cacheHierarchy uniqueName="[LocalDateTable_79b3c506-b619-4a92-a39e-5963880b27f4].[Date Hierarchy]" caption="Date Hierarchy" defaultMemberUniqueName="[LocalDateTable_79b3c506-b619-4a92-a39e-5963880b27f4].[Date Hierarchy].[All]" allUniqueName="[LocalDateTable_79b3c506-b619-4a92-a39e-5963880b27f4].[Date Hierarchy].[All]" dimensionUniqueName="[LocalDateTable_79b3c506-b619-4a92-a39e-5963880b27f4]" displayFolder="" count="0" unbalanced="0" hidden="1"/>
    <cacheHierarchy uniqueName="[LocalDateTable_79b3c506-b619-4a92-a39e-5963880b27f4].[Day]" caption="Day" attribute="1" defaultMemberUniqueName="[LocalDateTable_79b3c506-b619-4a92-a39e-5963880b27f4].[Day].[All]" allUniqueName="[LocalDateTable_79b3c506-b619-4a92-a39e-5963880b27f4].[Day].[All]" dimensionUniqueName="[LocalDateTable_79b3c506-b619-4a92-a39e-5963880b27f4]" displayFolder="" count="0" unbalanced="0" hidden="1"/>
    <cacheHierarchy uniqueName="[LocalDateTable_79b3c506-b619-4a92-a39e-5963880b27f4].[Month]" caption="Month" attribute="1" defaultMemberUniqueName="[LocalDateTable_79b3c506-b619-4a92-a39e-5963880b27f4].[Month].[All]" allUniqueName="[LocalDateTable_79b3c506-b619-4a92-a39e-5963880b27f4].[Month].[All]" dimensionUniqueName="[LocalDateTable_79b3c506-b619-4a92-a39e-5963880b27f4]" displayFolder="" count="0" unbalanced="0" hidden="1"/>
    <cacheHierarchy uniqueName="[LocalDateTable_79b3c506-b619-4a92-a39e-5963880b27f4].[MonthNo]" caption="MonthNo" attribute="1" defaultMemberUniqueName="[LocalDateTable_79b3c506-b619-4a92-a39e-5963880b27f4].[MonthNo].[All]" allUniqueName="[LocalDateTable_79b3c506-b619-4a92-a39e-5963880b27f4].[MonthNo].[All]" dimensionUniqueName="[LocalDateTable_79b3c506-b619-4a92-a39e-5963880b27f4]" displayFolder="" count="0" unbalanced="0" hidden="1"/>
    <cacheHierarchy uniqueName="[LocalDateTable_79b3c506-b619-4a92-a39e-5963880b27f4].[Quarter]" caption="Quarter" attribute="1" defaultMemberUniqueName="[LocalDateTable_79b3c506-b619-4a92-a39e-5963880b27f4].[Quarter].[All]" allUniqueName="[LocalDateTable_79b3c506-b619-4a92-a39e-5963880b27f4].[Quarter].[All]" dimensionUniqueName="[LocalDateTable_79b3c506-b619-4a92-a39e-5963880b27f4]" displayFolder="" count="0" unbalanced="0" hidden="1"/>
    <cacheHierarchy uniqueName="[LocalDateTable_79b3c506-b619-4a92-a39e-5963880b27f4].[QuarterNo]" caption="QuarterNo" attribute="1" defaultMemberUniqueName="[LocalDateTable_79b3c506-b619-4a92-a39e-5963880b27f4].[QuarterNo].[All]" allUniqueName="[LocalDateTable_79b3c506-b619-4a92-a39e-5963880b27f4].[QuarterNo].[All]" dimensionUniqueName="[LocalDateTable_79b3c506-b619-4a92-a39e-5963880b27f4]" displayFolder="" count="0" unbalanced="0" hidden="1"/>
    <cacheHierarchy uniqueName="[LocalDateTable_79b3c506-b619-4a92-a39e-5963880b27f4].[Year]" caption="Year" attribute="1" defaultMemberUniqueName="[LocalDateTable_79b3c506-b619-4a92-a39e-5963880b27f4].[Year].[All]" allUniqueName="[LocalDateTable_79b3c506-b619-4a92-a39e-5963880b27f4].[Year].[All]" dimensionUniqueName="[LocalDateTable_79b3c506-b619-4a92-a39e-5963880b27f4]" displayFolder="" count="0" unbalanced="0" hidden="1"/>
    <cacheHierarchy uniqueName="[LocalDateTable_7e4579ac-e1ba-4376-bd93-89713ab2d695].[Date]" caption="Date" attribute="1" defaultMemberUniqueName="[LocalDateTable_7e4579ac-e1ba-4376-bd93-89713ab2d695].[Date].[All]" allUniqueName="[LocalDateTable_7e4579ac-e1ba-4376-bd93-89713ab2d695].[Date].[All]" dimensionUniqueName="[LocalDateTable_7e4579ac-e1ba-4376-bd93-89713ab2d695]" displayFolder="" count="0" unbalanced="0" hidden="1"/>
    <cacheHierarchy uniqueName="[LocalDateTable_7e4579ac-e1ba-4376-bd93-89713ab2d695].[Date Hierarchy]" caption="Date Hierarchy" defaultMemberUniqueName="[LocalDateTable_7e4579ac-e1ba-4376-bd93-89713ab2d695].[Date Hierarchy].[All]" allUniqueName="[LocalDateTable_7e4579ac-e1ba-4376-bd93-89713ab2d695].[Date Hierarchy].[All]" dimensionUniqueName="[LocalDateTable_7e4579ac-e1ba-4376-bd93-89713ab2d695]" displayFolder="" count="0" unbalanced="0" hidden="1"/>
    <cacheHierarchy uniqueName="[LocalDateTable_7e4579ac-e1ba-4376-bd93-89713ab2d695].[Day]" caption="Day" attribute="1" defaultMemberUniqueName="[LocalDateTable_7e4579ac-e1ba-4376-bd93-89713ab2d695].[Day].[All]" allUniqueName="[LocalDateTable_7e4579ac-e1ba-4376-bd93-89713ab2d695].[Day].[All]" dimensionUniqueName="[LocalDateTable_7e4579ac-e1ba-4376-bd93-89713ab2d695]" displayFolder="" count="0" unbalanced="0" hidden="1"/>
    <cacheHierarchy uniqueName="[LocalDateTable_7e4579ac-e1ba-4376-bd93-89713ab2d695].[Month]" caption="Month" attribute="1" defaultMemberUniqueName="[LocalDateTable_7e4579ac-e1ba-4376-bd93-89713ab2d695].[Month].[All]" allUniqueName="[LocalDateTable_7e4579ac-e1ba-4376-bd93-89713ab2d695].[Month].[All]" dimensionUniqueName="[LocalDateTable_7e4579ac-e1ba-4376-bd93-89713ab2d695]" displayFolder="" count="0" unbalanced="0" hidden="1"/>
    <cacheHierarchy uniqueName="[LocalDateTable_7e4579ac-e1ba-4376-bd93-89713ab2d695].[MonthNo]" caption="MonthNo" attribute="1" defaultMemberUniqueName="[LocalDateTable_7e4579ac-e1ba-4376-bd93-89713ab2d695].[MonthNo].[All]" allUniqueName="[LocalDateTable_7e4579ac-e1ba-4376-bd93-89713ab2d695].[MonthNo].[All]" dimensionUniqueName="[LocalDateTable_7e4579ac-e1ba-4376-bd93-89713ab2d695]" displayFolder="" count="0" unbalanced="0" hidden="1"/>
    <cacheHierarchy uniqueName="[LocalDateTable_7e4579ac-e1ba-4376-bd93-89713ab2d695].[Quarter]" caption="Quarter" attribute="1" defaultMemberUniqueName="[LocalDateTable_7e4579ac-e1ba-4376-bd93-89713ab2d695].[Quarter].[All]" allUniqueName="[LocalDateTable_7e4579ac-e1ba-4376-bd93-89713ab2d695].[Quarter].[All]" dimensionUniqueName="[LocalDateTable_7e4579ac-e1ba-4376-bd93-89713ab2d695]" displayFolder="" count="0" unbalanced="0" hidden="1"/>
    <cacheHierarchy uniqueName="[LocalDateTable_7e4579ac-e1ba-4376-bd93-89713ab2d695].[QuarterNo]" caption="QuarterNo" attribute="1" defaultMemberUniqueName="[LocalDateTable_7e4579ac-e1ba-4376-bd93-89713ab2d695].[QuarterNo].[All]" allUniqueName="[LocalDateTable_7e4579ac-e1ba-4376-bd93-89713ab2d695].[QuarterNo].[All]" dimensionUniqueName="[LocalDateTable_7e4579ac-e1ba-4376-bd93-89713ab2d695]" displayFolder="" count="0" unbalanced="0" hidden="1"/>
    <cacheHierarchy uniqueName="[LocalDateTable_7e4579ac-e1ba-4376-bd93-89713ab2d695].[Year]" caption="Year" attribute="1" defaultMemberUniqueName="[LocalDateTable_7e4579ac-e1ba-4376-bd93-89713ab2d695].[Year].[All]" allUniqueName="[LocalDateTable_7e4579ac-e1ba-4376-bd93-89713ab2d695].[Year].[All]" dimensionUniqueName="[LocalDateTable_7e4579ac-e1ba-4376-bd93-89713ab2d695]" displayFolder="" count="0" unbalanced="0" hidden="1"/>
    <cacheHierarchy uniqueName="[LocalDateTable_8171f62b-6985-4fa9-89cc-d461fa08834f].[Date]" caption="Date" attribute="1" defaultMemberUniqueName="[LocalDateTable_8171f62b-6985-4fa9-89cc-d461fa08834f].[Date].[All]" allUniqueName="[LocalDateTable_8171f62b-6985-4fa9-89cc-d461fa08834f].[Date].[All]" dimensionUniqueName="[LocalDateTable_8171f62b-6985-4fa9-89cc-d461fa08834f]" displayFolder="" count="0" unbalanced="0" hidden="1"/>
    <cacheHierarchy uniqueName="[LocalDateTable_8171f62b-6985-4fa9-89cc-d461fa08834f].[Date Hierarchy]" caption="Date Hierarchy" defaultMemberUniqueName="[LocalDateTable_8171f62b-6985-4fa9-89cc-d461fa08834f].[Date Hierarchy].[All]" allUniqueName="[LocalDateTable_8171f62b-6985-4fa9-89cc-d461fa08834f].[Date Hierarchy].[All]" dimensionUniqueName="[LocalDateTable_8171f62b-6985-4fa9-89cc-d461fa08834f]" displayFolder="" count="0" unbalanced="0" hidden="1"/>
    <cacheHierarchy uniqueName="[LocalDateTable_8171f62b-6985-4fa9-89cc-d461fa08834f].[Day]" caption="Day" attribute="1" defaultMemberUniqueName="[LocalDateTable_8171f62b-6985-4fa9-89cc-d461fa08834f].[Day].[All]" allUniqueName="[LocalDateTable_8171f62b-6985-4fa9-89cc-d461fa08834f].[Day].[All]" dimensionUniqueName="[LocalDateTable_8171f62b-6985-4fa9-89cc-d461fa08834f]" displayFolder="" count="0" unbalanced="0" hidden="1"/>
    <cacheHierarchy uniqueName="[LocalDateTable_8171f62b-6985-4fa9-89cc-d461fa08834f].[Month]" caption="Month" attribute="1" defaultMemberUniqueName="[LocalDateTable_8171f62b-6985-4fa9-89cc-d461fa08834f].[Month].[All]" allUniqueName="[LocalDateTable_8171f62b-6985-4fa9-89cc-d461fa08834f].[Month].[All]" dimensionUniqueName="[LocalDateTable_8171f62b-6985-4fa9-89cc-d461fa08834f]" displayFolder="" count="0" unbalanced="0" hidden="1"/>
    <cacheHierarchy uniqueName="[LocalDateTable_8171f62b-6985-4fa9-89cc-d461fa08834f].[MonthNo]" caption="MonthNo" attribute="1" defaultMemberUniqueName="[LocalDateTable_8171f62b-6985-4fa9-89cc-d461fa08834f].[MonthNo].[All]" allUniqueName="[LocalDateTable_8171f62b-6985-4fa9-89cc-d461fa08834f].[MonthNo].[All]" dimensionUniqueName="[LocalDateTable_8171f62b-6985-4fa9-89cc-d461fa08834f]" displayFolder="" count="0" unbalanced="0" hidden="1"/>
    <cacheHierarchy uniqueName="[LocalDateTable_8171f62b-6985-4fa9-89cc-d461fa08834f].[Quarter]" caption="Quarter" attribute="1" defaultMemberUniqueName="[LocalDateTable_8171f62b-6985-4fa9-89cc-d461fa08834f].[Quarter].[All]" allUniqueName="[LocalDateTable_8171f62b-6985-4fa9-89cc-d461fa08834f].[Quarter].[All]" dimensionUniqueName="[LocalDateTable_8171f62b-6985-4fa9-89cc-d461fa08834f]" displayFolder="" count="0" unbalanced="0" hidden="1"/>
    <cacheHierarchy uniqueName="[LocalDateTable_8171f62b-6985-4fa9-89cc-d461fa08834f].[QuarterNo]" caption="QuarterNo" attribute="1" defaultMemberUniqueName="[LocalDateTable_8171f62b-6985-4fa9-89cc-d461fa08834f].[QuarterNo].[All]" allUniqueName="[LocalDateTable_8171f62b-6985-4fa9-89cc-d461fa08834f].[QuarterNo].[All]" dimensionUniqueName="[LocalDateTable_8171f62b-6985-4fa9-89cc-d461fa08834f]" displayFolder="" count="0" unbalanced="0" hidden="1"/>
    <cacheHierarchy uniqueName="[LocalDateTable_8171f62b-6985-4fa9-89cc-d461fa08834f].[Year]" caption="Year" attribute="1" defaultMemberUniqueName="[LocalDateTable_8171f62b-6985-4fa9-89cc-d461fa08834f].[Year].[All]" allUniqueName="[LocalDateTable_8171f62b-6985-4fa9-89cc-d461fa08834f].[Year].[All]" dimensionUniqueName="[LocalDateTable_8171f62b-6985-4fa9-89cc-d461fa08834f]" displayFolder="" count="0" unbalanced="0" hidden="1"/>
    <cacheHierarchy uniqueName="[LocalDateTable_8c167247-2007-40a2-8eb4-a67a7a0ffe69].[Date]" caption="Date" attribute="1" defaultMemberUniqueName="[LocalDateTable_8c167247-2007-40a2-8eb4-a67a7a0ffe69].[Date].[All]" allUniqueName="[LocalDateTable_8c167247-2007-40a2-8eb4-a67a7a0ffe69].[Date].[All]" dimensionUniqueName="[LocalDateTable_8c167247-2007-40a2-8eb4-a67a7a0ffe69]" displayFolder="" count="0" unbalanced="0" hidden="1"/>
    <cacheHierarchy uniqueName="[LocalDateTable_8c167247-2007-40a2-8eb4-a67a7a0ffe69].[Date Hierarchy]" caption="Date Hierarchy" defaultMemberUniqueName="[LocalDateTable_8c167247-2007-40a2-8eb4-a67a7a0ffe69].[Date Hierarchy].[All]" allUniqueName="[LocalDateTable_8c167247-2007-40a2-8eb4-a67a7a0ffe69].[Date Hierarchy].[All]" dimensionUniqueName="[LocalDateTable_8c167247-2007-40a2-8eb4-a67a7a0ffe69]" displayFolder="" count="0" unbalanced="0" hidden="1"/>
    <cacheHierarchy uniqueName="[LocalDateTable_8c167247-2007-40a2-8eb4-a67a7a0ffe69].[Day]" caption="Day" attribute="1" defaultMemberUniqueName="[LocalDateTable_8c167247-2007-40a2-8eb4-a67a7a0ffe69].[Day].[All]" allUniqueName="[LocalDateTable_8c167247-2007-40a2-8eb4-a67a7a0ffe69].[Day].[All]" dimensionUniqueName="[LocalDateTable_8c167247-2007-40a2-8eb4-a67a7a0ffe69]" displayFolder="" count="0" unbalanced="0" hidden="1"/>
    <cacheHierarchy uniqueName="[LocalDateTable_8c167247-2007-40a2-8eb4-a67a7a0ffe69].[Month]" caption="Month" attribute="1" defaultMemberUniqueName="[LocalDateTable_8c167247-2007-40a2-8eb4-a67a7a0ffe69].[Month].[All]" allUniqueName="[LocalDateTable_8c167247-2007-40a2-8eb4-a67a7a0ffe69].[Month].[All]" dimensionUniqueName="[LocalDateTable_8c167247-2007-40a2-8eb4-a67a7a0ffe69]" displayFolder="" count="0" unbalanced="0" hidden="1"/>
    <cacheHierarchy uniqueName="[LocalDateTable_8c167247-2007-40a2-8eb4-a67a7a0ffe69].[MonthNo]" caption="MonthNo" attribute="1" defaultMemberUniqueName="[LocalDateTable_8c167247-2007-40a2-8eb4-a67a7a0ffe69].[MonthNo].[All]" allUniqueName="[LocalDateTable_8c167247-2007-40a2-8eb4-a67a7a0ffe69].[MonthNo].[All]" dimensionUniqueName="[LocalDateTable_8c167247-2007-40a2-8eb4-a67a7a0ffe69]" displayFolder="" count="0" unbalanced="0" hidden="1"/>
    <cacheHierarchy uniqueName="[LocalDateTable_8c167247-2007-40a2-8eb4-a67a7a0ffe69].[Quarter]" caption="Quarter" attribute="1" defaultMemberUniqueName="[LocalDateTable_8c167247-2007-40a2-8eb4-a67a7a0ffe69].[Quarter].[All]" allUniqueName="[LocalDateTable_8c167247-2007-40a2-8eb4-a67a7a0ffe69].[Quarter].[All]" dimensionUniqueName="[LocalDateTable_8c167247-2007-40a2-8eb4-a67a7a0ffe69]" displayFolder="" count="0" unbalanced="0" hidden="1"/>
    <cacheHierarchy uniqueName="[LocalDateTable_8c167247-2007-40a2-8eb4-a67a7a0ffe69].[QuarterNo]" caption="QuarterNo" attribute="1" defaultMemberUniqueName="[LocalDateTable_8c167247-2007-40a2-8eb4-a67a7a0ffe69].[QuarterNo].[All]" allUniqueName="[LocalDateTable_8c167247-2007-40a2-8eb4-a67a7a0ffe69].[QuarterNo].[All]" dimensionUniqueName="[LocalDateTable_8c167247-2007-40a2-8eb4-a67a7a0ffe69]" displayFolder="" count="0" unbalanced="0" hidden="1"/>
    <cacheHierarchy uniqueName="[LocalDateTable_8c167247-2007-40a2-8eb4-a67a7a0ffe69].[Year]" caption="Year" attribute="1" defaultMemberUniqueName="[LocalDateTable_8c167247-2007-40a2-8eb4-a67a7a0ffe69].[Year].[All]" allUniqueName="[LocalDateTable_8c167247-2007-40a2-8eb4-a67a7a0ffe69].[Year].[All]" dimensionUniqueName="[LocalDateTable_8c167247-2007-40a2-8eb4-a67a7a0ffe69]" displayFolder="" count="0" unbalanced="0" hidden="1"/>
    <cacheHierarchy uniqueName="[LocalDateTable_8cc8371a-f4aa-43ae-ad3c-80e424f8db7b].[Date]" caption="Date" attribute="1" defaultMemberUniqueName="[LocalDateTable_8cc8371a-f4aa-43ae-ad3c-80e424f8db7b].[Date].[All]" allUniqueName="[LocalDateTable_8cc8371a-f4aa-43ae-ad3c-80e424f8db7b].[Date].[All]" dimensionUniqueName="[LocalDateTable_8cc8371a-f4aa-43ae-ad3c-80e424f8db7b]" displayFolder="" count="0" unbalanced="0" hidden="1"/>
    <cacheHierarchy uniqueName="[LocalDateTable_8cc8371a-f4aa-43ae-ad3c-80e424f8db7b].[Date Hierarchy]" caption="Date Hierarchy" defaultMemberUniqueName="[LocalDateTable_8cc8371a-f4aa-43ae-ad3c-80e424f8db7b].[Date Hierarchy].[All]" allUniqueName="[LocalDateTable_8cc8371a-f4aa-43ae-ad3c-80e424f8db7b].[Date Hierarchy].[All]" dimensionUniqueName="[LocalDateTable_8cc8371a-f4aa-43ae-ad3c-80e424f8db7b]" displayFolder="" count="0" unbalanced="0" hidden="1"/>
    <cacheHierarchy uniqueName="[LocalDateTable_8cc8371a-f4aa-43ae-ad3c-80e424f8db7b].[Day]" caption="Day" attribute="1" defaultMemberUniqueName="[LocalDateTable_8cc8371a-f4aa-43ae-ad3c-80e424f8db7b].[Day].[All]" allUniqueName="[LocalDateTable_8cc8371a-f4aa-43ae-ad3c-80e424f8db7b].[Day].[All]" dimensionUniqueName="[LocalDateTable_8cc8371a-f4aa-43ae-ad3c-80e424f8db7b]" displayFolder="" count="0" unbalanced="0" hidden="1"/>
    <cacheHierarchy uniqueName="[LocalDateTable_8cc8371a-f4aa-43ae-ad3c-80e424f8db7b].[Month]" caption="Month" attribute="1" defaultMemberUniqueName="[LocalDateTable_8cc8371a-f4aa-43ae-ad3c-80e424f8db7b].[Month].[All]" allUniqueName="[LocalDateTable_8cc8371a-f4aa-43ae-ad3c-80e424f8db7b].[Month].[All]" dimensionUniqueName="[LocalDateTable_8cc8371a-f4aa-43ae-ad3c-80e424f8db7b]" displayFolder="" count="0" unbalanced="0" hidden="1"/>
    <cacheHierarchy uniqueName="[LocalDateTable_8cc8371a-f4aa-43ae-ad3c-80e424f8db7b].[MonthNo]" caption="MonthNo" attribute="1" defaultMemberUniqueName="[LocalDateTable_8cc8371a-f4aa-43ae-ad3c-80e424f8db7b].[MonthNo].[All]" allUniqueName="[LocalDateTable_8cc8371a-f4aa-43ae-ad3c-80e424f8db7b].[MonthNo].[All]" dimensionUniqueName="[LocalDateTable_8cc8371a-f4aa-43ae-ad3c-80e424f8db7b]" displayFolder="" count="0" unbalanced="0" hidden="1"/>
    <cacheHierarchy uniqueName="[LocalDateTable_8cc8371a-f4aa-43ae-ad3c-80e424f8db7b].[Quarter]" caption="Quarter" attribute="1" defaultMemberUniqueName="[LocalDateTable_8cc8371a-f4aa-43ae-ad3c-80e424f8db7b].[Quarter].[All]" allUniqueName="[LocalDateTable_8cc8371a-f4aa-43ae-ad3c-80e424f8db7b].[Quarter].[All]" dimensionUniqueName="[LocalDateTable_8cc8371a-f4aa-43ae-ad3c-80e424f8db7b]" displayFolder="" count="0" unbalanced="0" hidden="1"/>
    <cacheHierarchy uniqueName="[LocalDateTable_8cc8371a-f4aa-43ae-ad3c-80e424f8db7b].[QuarterNo]" caption="QuarterNo" attribute="1" defaultMemberUniqueName="[LocalDateTable_8cc8371a-f4aa-43ae-ad3c-80e424f8db7b].[QuarterNo].[All]" allUniqueName="[LocalDateTable_8cc8371a-f4aa-43ae-ad3c-80e424f8db7b].[QuarterNo].[All]" dimensionUniqueName="[LocalDateTable_8cc8371a-f4aa-43ae-ad3c-80e424f8db7b]" displayFolder="" count="0" unbalanced="0" hidden="1"/>
    <cacheHierarchy uniqueName="[LocalDateTable_8cc8371a-f4aa-43ae-ad3c-80e424f8db7b].[Year]" caption="Year" attribute="1" defaultMemberUniqueName="[LocalDateTable_8cc8371a-f4aa-43ae-ad3c-80e424f8db7b].[Year].[All]" allUniqueName="[LocalDateTable_8cc8371a-f4aa-43ae-ad3c-80e424f8db7b].[Year].[All]" dimensionUniqueName="[LocalDateTable_8cc8371a-f4aa-43ae-ad3c-80e424f8db7b]" displayFolder="" count="0" unbalanced="0" hidden="1"/>
    <cacheHierarchy uniqueName="[LocalDateTable_a7bb61e7-fb22-4577-85f7-8202724a0cab].[Date]" caption="Date" attribute="1" defaultMemberUniqueName="[LocalDateTable_a7bb61e7-fb22-4577-85f7-8202724a0cab].[Date].[All]" allUniqueName="[LocalDateTable_a7bb61e7-fb22-4577-85f7-8202724a0cab].[Date].[All]" dimensionUniqueName="[LocalDateTable_a7bb61e7-fb22-4577-85f7-8202724a0cab]" displayFolder="" count="0" unbalanced="0" hidden="1"/>
    <cacheHierarchy uniqueName="[LocalDateTable_a7bb61e7-fb22-4577-85f7-8202724a0cab].[Date Hierarchy]" caption="Date Hierarchy" defaultMemberUniqueName="[LocalDateTable_a7bb61e7-fb22-4577-85f7-8202724a0cab].[Date Hierarchy].[All]" allUniqueName="[LocalDateTable_a7bb61e7-fb22-4577-85f7-8202724a0cab].[Date Hierarchy].[All]" dimensionUniqueName="[LocalDateTable_a7bb61e7-fb22-4577-85f7-8202724a0cab]" displayFolder="" count="0" unbalanced="0" hidden="1"/>
    <cacheHierarchy uniqueName="[LocalDateTable_a7bb61e7-fb22-4577-85f7-8202724a0cab].[Day]" caption="Day" attribute="1" defaultMemberUniqueName="[LocalDateTable_a7bb61e7-fb22-4577-85f7-8202724a0cab].[Day].[All]" allUniqueName="[LocalDateTable_a7bb61e7-fb22-4577-85f7-8202724a0cab].[Day].[All]" dimensionUniqueName="[LocalDateTable_a7bb61e7-fb22-4577-85f7-8202724a0cab]" displayFolder="" count="0" unbalanced="0" hidden="1"/>
    <cacheHierarchy uniqueName="[LocalDateTable_a7bb61e7-fb22-4577-85f7-8202724a0cab].[Month]" caption="Month" attribute="1" defaultMemberUniqueName="[LocalDateTable_a7bb61e7-fb22-4577-85f7-8202724a0cab].[Month].[All]" allUniqueName="[LocalDateTable_a7bb61e7-fb22-4577-85f7-8202724a0cab].[Month].[All]" dimensionUniqueName="[LocalDateTable_a7bb61e7-fb22-4577-85f7-8202724a0cab]" displayFolder="" count="0" unbalanced="0" hidden="1"/>
    <cacheHierarchy uniqueName="[LocalDateTable_a7bb61e7-fb22-4577-85f7-8202724a0cab].[MonthNo]" caption="MonthNo" attribute="1" defaultMemberUniqueName="[LocalDateTable_a7bb61e7-fb22-4577-85f7-8202724a0cab].[MonthNo].[All]" allUniqueName="[LocalDateTable_a7bb61e7-fb22-4577-85f7-8202724a0cab].[MonthNo].[All]" dimensionUniqueName="[LocalDateTable_a7bb61e7-fb22-4577-85f7-8202724a0cab]" displayFolder="" count="0" unbalanced="0" hidden="1"/>
    <cacheHierarchy uniqueName="[LocalDateTable_a7bb61e7-fb22-4577-85f7-8202724a0cab].[Quarter]" caption="Quarter" attribute="1" defaultMemberUniqueName="[LocalDateTable_a7bb61e7-fb22-4577-85f7-8202724a0cab].[Quarter].[All]" allUniqueName="[LocalDateTable_a7bb61e7-fb22-4577-85f7-8202724a0cab].[Quarter].[All]" dimensionUniqueName="[LocalDateTable_a7bb61e7-fb22-4577-85f7-8202724a0cab]" displayFolder="" count="0" unbalanced="0" hidden="1"/>
    <cacheHierarchy uniqueName="[LocalDateTable_a7bb61e7-fb22-4577-85f7-8202724a0cab].[QuarterNo]" caption="QuarterNo" attribute="1" defaultMemberUniqueName="[LocalDateTable_a7bb61e7-fb22-4577-85f7-8202724a0cab].[QuarterNo].[All]" allUniqueName="[LocalDateTable_a7bb61e7-fb22-4577-85f7-8202724a0cab].[QuarterNo].[All]" dimensionUniqueName="[LocalDateTable_a7bb61e7-fb22-4577-85f7-8202724a0cab]" displayFolder="" count="0" unbalanced="0" hidden="1"/>
    <cacheHierarchy uniqueName="[LocalDateTable_a7bb61e7-fb22-4577-85f7-8202724a0cab].[Year]" caption="Year" attribute="1" defaultMemberUniqueName="[LocalDateTable_a7bb61e7-fb22-4577-85f7-8202724a0cab].[Year].[All]" allUniqueName="[LocalDateTable_a7bb61e7-fb22-4577-85f7-8202724a0cab].[Year].[All]" dimensionUniqueName="[LocalDateTable_a7bb61e7-fb22-4577-85f7-8202724a0cab]" displayFolder="" count="0" unbalanced="0" hidden="1"/>
    <cacheHierarchy uniqueName="[LocalDateTable_ac50e709-a83e-40da-92b7-c09d4749ca90].[Date]" caption="Date" attribute="1" defaultMemberUniqueName="[LocalDateTable_ac50e709-a83e-40da-92b7-c09d4749ca90].[Date].[All]" allUniqueName="[LocalDateTable_ac50e709-a83e-40da-92b7-c09d4749ca90].[Date].[All]" dimensionUniqueName="[LocalDateTable_ac50e709-a83e-40da-92b7-c09d4749ca90]" displayFolder="" count="0" unbalanced="0" hidden="1"/>
    <cacheHierarchy uniqueName="[LocalDateTable_ac50e709-a83e-40da-92b7-c09d4749ca90].[Date Hierarchy]" caption="Date Hierarchy" defaultMemberUniqueName="[LocalDateTable_ac50e709-a83e-40da-92b7-c09d4749ca90].[Date Hierarchy].[All]" allUniqueName="[LocalDateTable_ac50e709-a83e-40da-92b7-c09d4749ca90].[Date Hierarchy].[All]" dimensionUniqueName="[LocalDateTable_ac50e709-a83e-40da-92b7-c09d4749ca90]" displayFolder="" count="0" unbalanced="0" hidden="1"/>
    <cacheHierarchy uniqueName="[LocalDateTable_ac50e709-a83e-40da-92b7-c09d4749ca90].[Day]" caption="Day" attribute="1" defaultMemberUniqueName="[LocalDateTable_ac50e709-a83e-40da-92b7-c09d4749ca90].[Day].[All]" allUniqueName="[LocalDateTable_ac50e709-a83e-40da-92b7-c09d4749ca90].[Day].[All]" dimensionUniqueName="[LocalDateTable_ac50e709-a83e-40da-92b7-c09d4749ca90]" displayFolder="" count="0" unbalanced="0" hidden="1"/>
    <cacheHierarchy uniqueName="[LocalDateTable_ac50e709-a83e-40da-92b7-c09d4749ca90].[Month]" caption="Month" attribute="1" defaultMemberUniqueName="[LocalDateTable_ac50e709-a83e-40da-92b7-c09d4749ca90].[Month].[All]" allUniqueName="[LocalDateTable_ac50e709-a83e-40da-92b7-c09d4749ca90].[Month].[All]" dimensionUniqueName="[LocalDateTable_ac50e709-a83e-40da-92b7-c09d4749ca90]" displayFolder="" count="0" unbalanced="0" hidden="1"/>
    <cacheHierarchy uniqueName="[LocalDateTable_ac50e709-a83e-40da-92b7-c09d4749ca90].[MonthNo]" caption="MonthNo" attribute="1" defaultMemberUniqueName="[LocalDateTable_ac50e709-a83e-40da-92b7-c09d4749ca90].[MonthNo].[All]" allUniqueName="[LocalDateTable_ac50e709-a83e-40da-92b7-c09d4749ca90].[MonthNo].[All]" dimensionUniqueName="[LocalDateTable_ac50e709-a83e-40da-92b7-c09d4749ca90]" displayFolder="" count="0" unbalanced="0" hidden="1"/>
    <cacheHierarchy uniqueName="[LocalDateTable_ac50e709-a83e-40da-92b7-c09d4749ca90].[Quarter]" caption="Quarter" attribute="1" defaultMemberUniqueName="[LocalDateTable_ac50e709-a83e-40da-92b7-c09d4749ca90].[Quarter].[All]" allUniqueName="[LocalDateTable_ac50e709-a83e-40da-92b7-c09d4749ca90].[Quarter].[All]" dimensionUniqueName="[LocalDateTable_ac50e709-a83e-40da-92b7-c09d4749ca90]" displayFolder="" count="0" unbalanced="0" hidden="1"/>
    <cacheHierarchy uniqueName="[LocalDateTable_ac50e709-a83e-40da-92b7-c09d4749ca90].[QuarterNo]" caption="QuarterNo" attribute="1" defaultMemberUniqueName="[LocalDateTable_ac50e709-a83e-40da-92b7-c09d4749ca90].[QuarterNo].[All]" allUniqueName="[LocalDateTable_ac50e709-a83e-40da-92b7-c09d4749ca90].[QuarterNo].[All]" dimensionUniqueName="[LocalDateTable_ac50e709-a83e-40da-92b7-c09d4749ca90]" displayFolder="" count="0" unbalanced="0" hidden="1"/>
    <cacheHierarchy uniqueName="[LocalDateTable_ac50e709-a83e-40da-92b7-c09d4749ca90].[Year]" caption="Year" attribute="1" defaultMemberUniqueName="[LocalDateTable_ac50e709-a83e-40da-92b7-c09d4749ca90].[Year].[All]" allUniqueName="[LocalDateTable_ac50e709-a83e-40da-92b7-c09d4749ca90].[Year].[All]" dimensionUniqueName="[LocalDateTable_ac50e709-a83e-40da-92b7-c09d4749ca90]" displayFolder="" count="0" unbalanced="0" hidden="1"/>
    <cacheHierarchy uniqueName="[LocalDateTable_b9674d41-7d4a-4bcc-9fba-60f51abd930f].[Date]" caption="Date" attribute="1" defaultMemberUniqueName="[LocalDateTable_b9674d41-7d4a-4bcc-9fba-60f51abd930f].[Date].[All]" allUniqueName="[LocalDateTable_b9674d41-7d4a-4bcc-9fba-60f51abd930f].[Date].[All]" dimensionUniqueName="[LocalDateTable_b9674d41-7d4a-4bcc-9fba-60f51abd930f]" displayFolder="" count="0" unbalanced="0" hidden="1"/>
    <cacheHierarchy uniqueName="[LocalDateTable_b9674d41-7d4a-4bcc-9fba-60f51abd930f].[Date Hierarchy]" caption="Date Hierarchy" defaultMemberUniqueName="[LocalDateTable_b9674d41-7d4a-4bcc-9fba-60f51abd930f].[Date Hierarchy].[All]" allUniqueName="[LocalDateTable_b9674d41-7d4a-4bcc-9fba-60f51abd930f].[Date Hierarchy].[All]" dimensionUniqueName="[LocalDateTable_b9674d41-7d4a-4bcc-9fba-60f51abd930f]" displayFolder="" count="0" unbalanced="0" hidden="1"/>
    <cacheHierarchy uniqueName="[LocalDateTable_b9674d41-7d4a-4bcc-9fba-60f51abd930f].[Day]" caption="Day" attribute="1" defaultMemberUniqueName="[LocalDateTable_b9674d41-7d4a-4bcc-9fba-60f51abd930f].[Day].[All]" allUniqueName="[LocalDateTable_b9674d41-7d4a-4bcc-9fba-60f51abd930f].[Day].[All]" dimensionUniqueName="[LocalDateTable_b9674d41-7d4a-4bcc-9fba-60f51abd930f]" displayFolder="" count="0" unbalanced="0" hidden="1"/>
    <cacheHierarchy uniqueName="[LocalDateTable_b9674d41-7d4a-4bcc-9fba-60f51abd930f].[Month]" caption="Month" attribute="1" defaultMemberUniqueName="[LocalDateTable_b9674d41-7d4a-4bcc-9fba-60f51abd930f].[Month].[All]" allUniqueName="[LocalDateTable_b9674d41-7d4a-4bcc-9fba-60f51abd930f].[Month].[All]" dimensionUniqueName="[LocalDateTable_b9674d41-7d4a-4bcc-9fba-60f51abd930f]" displayFolder="" count="0" unbalanced="0" hidden="1"/>
    <cacheHierarchy uniqueName="[LocalDateTable_b9674d41-7d4a-4bcc-9fba-60f51abd930f].[MonthNo]" caption="MonthNo" attribute="1" defaultMemberUniqueName="[LocalDateTable_b9674d41-7d4a-4bcc-9fba-60f51abd930f].[MonthNo].[All]" allUniqueName="[LocalDateTable_b9674d41-7d4a-4bcc-9fba-60f51abd930f].[MonthNo].[All]" dimensionUniqueName="[LocalDateTable_b9674d41-7d4a-4bcc-9fba-60f51abd930f]" displayFolder="" count="0" unbalanced="0" hidden="1"/>
    <cacheHierarchy uniqueName="[LocalDateTable_b9674d41-7d4a-4bcc-9fba-60f51abd930f].[Quarter]" caption="Quarter" attribute="1" defaultMemberUniqueName="[LocalDateTable_b9674d41-7d4a-4bcc-9fba-60f51abd930f].[Quarter].[All]" allUniqueName="[LocalDateTable_b9674d41-7d4a-4bcc-9fba-60f51abd930f].[Quarter].[All]" dimensionUniqueName="[LocalDateTable_b9674d41-7d4a-4bcc-9fba-60f51abd930f]" displayFolder="" count="0" unbalanced="0" hidden="1"/>
    <cacheHierarchy uniqueName="[LocalDateTable_b9674d41-7d4a-4bcc-9fba-60f51abd930f].[QuarterNo]" caption="QuarterNo" attribute="1" defaultMemberUniqueName="[LocalDateTable_b9674d41-7d4a-4bcc-9fba-60f51abd930f].[QuarterNo].[All]" allUniqueName="[LocalDateTable_b9674d41-7d4a-4bcc-9fba-60f51abd930f].[QuarterNo].[All]" dimensionUniqueName="[LocalDateTable_b9674d41-7d4a-4bcc-9fba-60f51abd930f]" displayFolder="" count="0" unbalanced="0" hidden="1"/>
    <cacheHierarchy uniqueName="[LocalDateTable_b9674d41-7d4a-4bcc-9fba-60f51abd930f].[Year]" caption="Year" attribute="1" defaultMemberUniqueName="[LocalDateTable_b9674d41-7d4a-4bcc-9fba-60f51abd930f].[Year].[All]" allUniqueName="[LocalDateTable_b9674d41-7d4a-4bcc-9fba-60f51abd930f].[Year].[All]" dimensionUniqueName="[LocalDateTable_b9674d41-7d4a-4bcc-9fba-60f51abd930f]" displayFolder="" count="0" unbalanced="0" hidden="1"/>
    <cacheHierarchy uniqueName="[LocalDateTable_c51bdc8f-f532-4538-8d59-a1f847d37fc7].[Date]" caption="Date" attribute="1" defaultMemberUniqueName="[LocalDateTable_c51bdc8f-f532-4538-8d59-a1f847d37fc7].[Date].[All]" allUniqueName="[LocalDateTable_c51bdc8f-f532-4538-8d59-a1f847d37fc7].[Date].[All]" dimensionUniqueName="[LocalDateTable_c51bdc8f-f532-4538-8d59-a1f847d37fc7]" displayFolder="" count="0" unbalanced="0" hidden="1"/>
    <cacheHierarchy uniqueName="[LocalDateTable_c51bdc8f-f532-4538-8d59-a1f847d37fc7].[Date Hierarchy]" caption="Date Hierarchy" defaultMemberUniqueName="[LocalDateTable_c51bdc8f-f532-4538-8d59-a1f847d37fc7].[Date Hierarchy].[All]" allUniqueName="[LocalDateTable_c51bdc8f-f532-4538-8d59-a1f847d37fc7].[Date Hierarchy].[All]" dimensionUniqueName="[LocalDateTable_c51bdc8f-f532-4538-8d59-a1f847d37fc7]" displayFolder="" count="0" unbalanced="0" hidden="1"/>
    <cacheHierarchy uniqueName="[LocalDateTable_c51bdc8f-f532-4538-8d59-a1f847d37fc7].[Day]" caption="Day" attribute="1" defaultMemberUniqueName="[LocalDateTable_c51bdc8f-f532-4538-8d59-a1f847d37fc7].[Day].[All]" allUniqueName="[LocalDateTable_c51bdc8f-f532-4538-8d59-a1f847d37fc7].[Day].[All]" dimensionUniqueName="[LocalDateTable_c51bdc8f-f532-4538-8d59-a1f847d37fc7]" displayFolder="" count="0" unbalanced="0" hidden="1"/>
    <cacheHierarchy uniqueName="[LocalDateTable_c51bdc8f-f532-4538-8d59-a1f847d37fc7].[Month]" caption="Month" attribute="1" defaultMemberUniqueName="[LocalDateTable_c51bdc8f-f532-4538-8d59-a1f847d37fc7].[Month].[All]" allUniqueName="[LocalDateTable_c51bdc8f-f532-4538-8d59-a1f847d37fc7].[Month].[All]" dimensionUniqueName="[LocalDateTable_c51bdc8f-f532-4538-8d59-a1f847d37fc7]" displayFolder="" count="0" unbalanced="0" hidden="1"/>
    <cacheHierarchy uniqueName="[LocalDateTable_c51bdc8f-f532-4538-8d59-a1f847d37fc7].[MonthNo]" caption="MonthNo" attribute="1" defaultMemberUniqueName="[LocalDateTable_c51bdc8f-f532-4538-8d59-a1f847d37fc7].[MonthNo].[All]" allUniqueName="[LocalDateTable_c51bdc8f-f532-4538-8d59-a1f847d37fc7].[MonthNo].[All]" dimensionUniqueName="[LocalDateTable_c51bdc8f-f532-4538-8d59-a1f847d37fc7]" displayFolder="" count="0" unbalanced="0" hidden="1"/>
    <cacheHierarchy uniqueName="[LocalDateTable_c51bdc8f-f532-4538-8d59-a1f847d37fc7].[Quarter]" caption="Quarter" attribute="1" defaultMemberUniqueName="[LocalDateTable_c51bdc8f-f532-4538-8d59-a1f847d37fc7].[Quarter].[All]" allUniqueName="[LocalDateTable_c51bdc8f-f532-4538-8d59-a1f847d37fc7].[Quarter].[All]" dimensionUniqueName="[LocalDateTable_c51bdc8f-f532-4538-8d59-a1f847d37fc7]" displayFolder="" count="0" unbalanced="0" hidden="1"/>
    <cacheHierarchy uniqueName="[LocalDateTable_c51bdc8f-f532-4538-8d59-a1f847d37fc7].[QuarterNo]" caption="QuarterNo" attribute="1" defaultMemberUniqueName="[LocalDateTable_c51bdc8f-f532-4538-8d59-a1f847d37fc7].[QuarterNo].[All]" allUniqueName="[LocalDateTable_c51bdc8f-f532-4538-8d59-a1f847d37fc7].[QuarterNo].[All]" dimensionUniqueName="[LocalDateTable_c51bdc8f-f532-4538-8d59-a1f847d37fc7]" displayFolder="" count="0" unbalanced="0" hidden="1"/>
    <cacheHierarchy uniqueName="[LocalDateTable_c51bdc8f-f532-4538-8d59-a1f847d37fc7].[Year]" caption="Year" attribute="1" defaultMemberUniqueName="[LocalDateTable_c51bdc8f-f532-4538-8d59-a1f847d37fc7].[Year].[All]" allUniqueName="[LocalDateTable_c51bdc8f-f532-4538-8d59-a1f847d37fc7].[Year].[All]" dimensionUniqueName="[LocalDateTable_c51bdc8f-f532-4538-8d59-a1f847d37fc7]" displayFolder="" count="0" unbalanced="0" hidden="1"/>
    <cacheHierarchy uniqueName="[LocalDateTable_cff06c49-b10f-4186-b8ce-801667abc242].[Date]" caption="Date" attribute="1" defaultMemberUniqueName="[LocalDateTable_cff06c49-b10f-4186-b8ce-801667abc242].[Date].[All]" allUniqueName="[LocalDateTable_cff06c49-b10f-4186-b8ce-801667abc242].[Date].[All]" dimensionUniqueName="[LocalDateTable_cff06c49-b10f-4186-b8ce-801667abc242]" displayFolder="" count="0" unbalanced="0" hidden="1"/>
    <cacheHierarchy uniqueName="[LocalDateTable_cff06c49-b10f-4186-b8ce-801667abc242].[Date Hierarchy]" caption="Date Hierarchy" defaultMemberUniqueName="[LocalDateTable_cff06c49-b10f-4186-b8ce-801667abc242].[Date Hierarchy].[All]" allUniqueName="[LocalDateTable_cff06c49-b10f-4186-b8ce-801667abc242].[Date Hierarchy].[All]" dimensionUniqueName="[LocalDateTable_cff06c49-b10f-4186-b8ce-801667abc242]" displayFolder="" count="0" unbalanced="0" hidden="1"/>
    <cacheHierarchy uniqueName="[LocalDateTable_cff06c49-b10f-4186-b8ce-801667abc242].[Day]" caption="Day" attribute="1" defaultMemberUniqueName="[LocalDateTable_cff06c49-b10f-4186-b8ce-801667abc242].[Day].[All]" allUniqueName="[LocalDateTable_cff06c49-b10f-4186-b8ce-801667abc242].[Day].[All]" dimensionUniqueName="[LocalDateTable_cff06c49-b10f-4186-b8ce-801667abc242]" displayFolder="" count="0" unbalanced="0" hidden="1"/>
    <cacheHierarchy uniqueName="[LocalDateTable_cff06c49-b10f-4186-b8ce-801667abc242].[Month]" caption="Month" attribute="1" defaultMemberUniqueName="[LocalDateTable_cff06c49-b10f-4186-b8ce-801667abc242].[Month].[All]" allUniqueName="[LocalDateTable_cff06c49-b10f-4186-b8ce-801667abc242].[Month].[All]" dimensionUniqueName="[LocalDateTable_cff06c49-b10f-4186-b8ce-801667abc242]" displayFolder="" count="0" unbalanced="0" hidden="1"/>
    <cacheHierarchy uniqueName="[LocalDateTable_cff06c49-b10f-4186-b8ce-801667abc242].[MonthNo]" caption="MonthNo" attribute="1" defaultMemberUniqueName="[LocalDateTable_cff06c49-b10f-4186-b8ce-801667abc242].[MonthNo].[All]" allUniqueName="[LocalDateTable_cff06c49-b10f-4186-b8ce-801667abc242].[MonthNo].[All]" dimensionUniqueName="[LocalDateTable_cff06c49-b10f-4186-b8ce-801667abc242]" displayFolder="" count="0" unbalanced="0" hidden="1"/>
    <cacheHierarchy uniqueName="[LocalDateTable_cff06c49-b10f-4186-b8ce-801667abc242].[Quarter]" caption="Quarter" attribute="1" defaultMemberUniqueName="[LocalDateTable_cff06c49-b10f-4186-b8ce-801667abc242].[Quarter].[All]" allUniqueName="[LocalDateTable_cff06c49-b10f-4186-b8ce-801667abc242].[Quarter].[All]" dimensionUniqueName="[LocalDateTable_cff06c49-b10f-4186-b8ce-801667abc242]" displayFolder="" count="0" unbalanced="0" hidden="1"/>
    <cacheHierarchy uniqueName="[LocalDateTable_cff06c49-b10f-4186-b8ce-801667abc242].[QuarterNo]" caption="QuarterNo" attribute="1" defaultMemberUniqueName="[LocalDateTable_cff06c49-b10f-4186-b8ce-801667abc242].[QuarterNo].[All]" allUniqueName="[LocalDateTable_cff06c49-b10f-4186-b8ce-801667abc242].[QuarterNo].[All]" dimensionUniqueName="[LocalDateTable_cff06c49-b10f-4186-b8ce-801667abc242]" displayFolder="" count="0" unbalanced="0" hidden="1"/>
    <cacheHierarchy uniqueName="[LocalDateTable_cff06c49-b10f-4186-b8ce-801667abc242].[Year]" caption="Year" attribute="1" defaultMemberUniqueName="[LocalDateTable_cff06c49-b10f-4186-b8ce-801667abc242].[Year].[All]" allUniqueName="[LocalDateTable_cff06c49-b10f-4186-b8ce-801667abc242].[Year].[All]" dimensionUniqueName="[LocalDateTable_cff06c49-b10f-4186-b8ce-801667abc242]" displayFolder="" count="0" unbalanced="0" hidden="1"/>
    <cacheHierarchy uniqueName="[LocalDateTable_d556de67-934a-4e60-b501-c142594d01f3].[Date]" caption="Date" attribute="1" defaultMemberUniqueName="[LocalDateTable_d556de67-934a-4e60-b501-c142594d01f3].[Date].[All]" allUniqueName="[LocalDateTable_d556de67-934a-4e60-b501-c142594d01f3].[Date].[All]" dimensionUniqueName="[LocalDateTable_d556de67-934a-4e60-b501-c142594d01f3]" displayFolder="" count="0" unbalanced="0" hidden="1"/>
    <cacheHierarchy uniqueName="[LocalDateTable_d556de67-934a-4e60-b501-c142594d01f3].[Date Hierarchy]" caption="Date Hierarchy" defaultMemberUniqueName="[LocalDateTable_d556de67-934a-4e60-b501-c142594d01f3].[Date Hierarchy].[All]" allUniqueName="[LocalDateTable_d556de67-934a-4e60-b501-c142594d01f3].[Date Hierarchy].[All]" dimensionUniqueName="[LocalDateTable_d556de67-934a-4e60-b501-c142594d01f3]" displayFolder="" count="0" unbalanced="0" hidden="1"/>
    <cacheHierarchy uniqueName="[LocalDateTable_d556de67-934a-4e60-b501-c142594d01f3].[Day]" caption="Day" attribute="1" defaultMemberUniqueName="[LocalDateTable_d556de67-934a-4e60-b501-c142594d01f3].[Day].[All]" allUniqueName="[LocalDateTable_d556de67-934a-4e60-b501-c142594d01f3].[Day].[All]" dimensionUniqueName="[LocalDateTable_d556de67-934a-4e60-b501-c142594d01f3]" displayFolder="" count="0" unbalanced="0" hidden="1"/>
    <cacheHierarchy uniqueName="[LocalDateTable_d556de67-934a-4e60-b501-c142594d01f3].[Month]" caption="Month" attribute="1" defaultMemberUniqueName="[LocalDateTable_d556de67-934a-4e60-b501-c142594d01f3].[Month].[All]" allUniqueName="[LocalDateTable_d556de67-934a-4e60-b501-c142594d01f3].[Month].[All]" dimensionUniqueName="[LocalDateTable_d556de67-934a-4e60-b501-c142594d01f3]" displayFolder="" count="0" unbalanced="0" hidden="1"/>
    <cacheHierarchy uniqueName="[LocalDateTable_d556de67-934a-4e60-b501-c142594d01f3].[MonthNo]" caption="MonthNo" attribute="1" defaultMemberUniqueName="[LocalDateTable_d556de67-934a-4e60-b501-c142594d01f3].[MonthNo].[All]" allUniqueName="[LocalDateTable_d556de67-934a-4e60-b501-c142594d01f3].[MonthNo].[All]" dimensionUniqueName="[LocalDateTable_d556de67-934a-4e60-b501-c142594d01f3]" displayFolder="" count="0" unbalanced="0" hidden="1"/>
    <cacheHierarchy uniqueName="[LocalDateTable_d556de67-934a-4e60-b501-c142594d01f3].[Quarter]" caption="Quarter" attribute="1" defaultMemberUniqueName="[LocalDateTable_d556de67-934a-4e60-b501-c142594d01f3].[Quarter].[All]" allUniqueName="[LocalDateTable_d556de67-934a-4e60-b501-c142594d01f3].[Quarter].[All]" dimensionUniqueName="[LocalDateTable_d556de67-934a-4e60-b501-c142594d01f3]" displayFolder="" count="0" unbalanced="0" hidden="1"/>
    <cacheHierarchy uniqueName="[LocalDateTable_d556de67-934a-4e60-b501-c142594d01f3].[QuarterNo]" caption="QuarterNo" attribute="1" defaultMemberUniqueName="[LocalDateTable_d556de67-934a-4e60-b501-c142594d01f3].[QuarterNo].[All]" allUniqueName="[LocalDateTable_d556de67-934a-4e60-b501-c142594d01f3].[QuarterNo].[All]" dimensionUniqueName="[LocalDateTable_d556de67-934a-4e60-b501-c142594d01f3]" displayFolder="" count="0" unbalanced="0" hidden="1"/>
    <cacheHierarchy uniqueName="[LocalDateTable_d556de67-934a-4e60-b501-c142594d01f3].[Year]" caption="Year" attribute="1" defaultMemberUniqueName="[LocalDateTable_d556de67-934a-4e60-b501-c142594d01f3].[Year].[All]" allUniqueName="[LocalDateTable_d556de67-934a-4e60-b501-c142594d01f3].[Year].[All]" dimensionUniqueName="[LocalDateTable_d556de67-934a-4e60-b501-c142594d01f3]" displayFolder="" count="0" unbalanced="0" hidden="1"/>
    <cacheHierarchy uniqueName="[LocalDateTable_db52efe7-f8a9-46be-907f-5a39fe4d61de].[Date]" caption="Date" attribute="1" defaultMemberUniqueName="[LocalDateTable_db52efe7-f8a9-46be-907f-5a39fe4d61de].[Date].[All]" allUniqueName="[LocalDateTable_db52efe7-f8a9-46be-907f-5a39fe4d61de].[Date].[All]" dimensionUniqueName="[LocalDateTable_db52efe7-f8a9-46be-907f-5a39fe4d61de]" displayFolder="" count="0" unbalanced="0" hidden="1"/>
    <cacheHierarchy uniqueName="[LocalDateTable_db52efe7-f8a9-46be-907f-5a39fe4d61de].[Date Hierarchy]" caption="Date Hierarchy" defaultMemberUniqueName="[LocalDateTable_db52efe7-f8a9-46be-907f-5a39fe4d61de].[Date Hierarchy].[All]" allUniqueName="[LocalDateTable_db52efe7-f8a9-46be-907f-5a39fe4d61de].[Date Hierarchy].[All]" dimensionUniqueName="[LocalDateTable_db52efe7-f8a9-46be-907f-5a39fe4d61de]" displayFolder="" count="0" unbalanced="0" hidden="1"/>
    <cacheHierarchy uniqueName="[LocalDateTable_db52efe7-f8a9-46be-907f-5a39fe4d61de].[Day]" caption="Day" attribute="1" defaultMemberUniqueName="[LocalDateTable_db52efe7-f8a9-46be-907f-5a39fe4d61de].[Day].[All]" allUniqueName="[LocalDateTable_db52efe7-f8a9-46be-907f-5a39fe4d61de].[Day].[All]" dimensionUniqueName="[LocalDateTable_db52efe7-f8a9-46be-907f-5a39fe4d61de]" displayFolder="" count="0" unbalanced="0" hidden="1"/>
    <cacheHierarchy uniqueName="[LocalDateTable_db52efe7-f8a9-46be-907f-5a39fe4d61de].[Month]" caption="Month" attribute="1" defaultMemberUniqueName="[LocalDateTable_db52efe7-f8a9-46be-907f-5a39fe4d61de].[Month].[All]" allUniqueName="[LocalDateTable_db52efe7-f8a9-46be-907f-5a39fe4d61de].[Month].[All]" dimensionUniqueName="[LocalDateTable_db52efe7-f8a9-46be-907f-5a39fe4d61de]" displayFolder="" count="0" unbalanced="0" hidden="1"/>
    <cacheHierarchy uniqueName="[LocalDateTable_db52efe7-f8a9-46be-907f-5a39fe4d61de].[MonthNo]" caption="MonthNo" attribute="1" defaultMemberUniqueName="[LocalDateTable_db52efe7-f8a9-46be-907f-5a39fe4d61de].[MonthNo].[All]" allUniqueName="[LocalDateTable_db52efe7-f8a9-46be-907f-5a39fe4d61de].[MonthNo].[All]" dimensionUniqueName="[LocalDateTable_db52efe7-f8a9-46be-907f-5a39fe4d61de]" displayFolder="" count="0" unbalanced="0" hidden="1"/>
    <cacheHierarchy uniqueName="[LocalDateTable_db52efe7-f8a9-46be-907f-5a39fe4d61de].[Quarter]" caption="Quarter" attribute="1" defaultMemberUniqueName="[LocalDateTable_db52efe7-f8a9-46be-907f-5a39fe4d61de].[Quarter].[All]" allUniqueName="[LocalDateTable_db52efe7-f8a9-46be-907f-5a39fe4d61de].[Quarter].[All]" dimensionUniqueName="[LocalDateTable_db52efe7-f8a9-46be-907f-5a39fe4d61de]" displayFolder="" count="0" unbalanced="0" hidden="1"/>
    <cacheHierarchy uniqueName="[LocalDateTable_db52efe7-f8a9-46be-907f-5a39fe4d61de].[QuarterNo]" caption="QuarterNo" attribute="1" defaultMemberUniqueName="[LocalDateTable_db52efe7-f8a9-46be-907f-5a39fe4d61de].[QuarterNo].[All]" allUniqueName="[LocalDateTable_db52efe7-f8a9-46be-907f-5a39fe4d61de].[QuarterNo].[All]" dimensionUniqueName="[LocalDateTable_db52efe7-f8a9-46be-907f-5a39fe4d61de]" displayFolder="" count="0" unbalanced="0" hidden="1"/>
    <cacheHierarchy uniqueName="[LocalDateTable_db52efe7-f8a9-46be-907f-5a39fe4d61de].[Year]" caption="Year" attribute="1" defaultMemberUniqueName="[LocalDateTable_db52efe7-f8a9-46be-907f-5a39fe4d61de].[Year].[All]" allUniqueName="[LocalDateTable_db52efe7-f8a9-46be-907f-5a39fe4d61de].[Year].[All]" dimensionUniqueName="[LocalDateTable_db52efe7-f8a9-46be-907f-5a39fe4d61de]" displayFolder="" count="0" unbalanced="0" hidden="1"/>
    <cacheHierarchy uniqueName="[LocalDateTable_df4bea45-32ed-442a-9234-aaca0cd7dbed].[Date]" caption="Date" attribute="1" defaultMemberUniqueName="[LocalDateTable_df4bea45-32ed-442a-9234-aaca0cd7dbed].[Date].[All]" allUniqueName="[LocalDateTable_df4bea45-32ed-442a-9234-aaca0cd7dbed].[Date].[All]" dimensionUniqueName="[LocalDateTable_df4bea45-32ed-442a-9234-aaca0cd7dbed]" displayFolder="" count="0" unbalanced="0" hidden="1"/>
    <cacheHierarchy uniqueName="[LocalDateTable_df4bea45-32ed-442a-9234-aaca0cd7dbed].[Date Hierarchy]" caption="Date Hierarchy" defaultMemberUniqueName="[LocalDateTable_df4bea45-32ed-442a-9234-aaca0cd7dbed].[Date Hierarchy].[All]" allUniqueName="[LocalDateTable_df4bea45-32ed-442a-9234-aaca0cd7dbed].[Date Hierarchy].[All]" dimensionUniqueName="[LocalDateTable_df4bea45-32ed-442a-9234-aaca0cd7dbed]" displayFolder="" count="0" unbalanced="0" hidden="1"/>
    <cacheHierarchy uniqueName="[LocalDateTable_df4bea45-32ed-442a-9234-aaca0cd7dbed].[Day]" caption="Day" attribute="1" defaultMemberUniqueName="[LocalDateTable_df4bea45-32ed-442a-9234-aaca0cd7dbed].[Day].[All]" allUniqueName="[LocalDateTable_df4bea45-32ed-442a-9234-aaca0cd7dbed].[Day].[All]" dimensionUniqueName="[LocalDateTable_df4bea45-32ed-442a-9234-aaca0cd7dbed]" displayFolder="" count="0" unbalanced="0" hidden="1"/>
    <cacheHierarchy uniqueName="[LocalDateTable_df4bea45-32ed-442a-9234-aaca0cd7dbed].[Month]" caption="Month" attribute="1" defaultMemberUniqueName="[LocalDateTable_df4bea45-32ed-442a-9234-aaca0cd7dbed].[Month].[All]" allUniqueName="[LocalDateTable_df4bea45-32ed-442a-9234-aaca0cd7dbed].[Month].[All]" dimensionUniqueName="[LocalDateTable_df4bea45-32ed-442a-9234-aaca0cd7dbed]" displayFolder="" count="0" unbalanced="0" hidden="1"/>
    <cacheHierarchy uniqueName="[LocalDateTable_df4bea45-32ed-442a-9234-aaca0cd7dbed].[MonthNo]" caption="MonthNo" attribute="1" defaultMemberUniqueName="[LocalDateTable_df4bea45-32ed-442a-9234-aaca0cd7dbed].[MonthNo].[All]" allUniqueName="[LocalDateTable_df4bea45-32ed-442a-9234-aaca0cd7dbed].[MonthNo].[All]" dimensionUniqueName="[LocalDateTable_df4bea45-32ed-442a-9234-aaca0cd7dbed]" displayFolder="" count="0" unbalanced="0" hidden="1"/>
    <cacheHierarchy uniqueName="[LocalDateTable_df4bea45-32ed-442a-9234-aaca0cd7dbed].[Quarter]" caption="Quarter" attribute="1" defaultMemberUniqueName="[LocalDateTable_df4bea45-32ed-442a-9234-aaca0cd7dbed].[Quarter].[All]" allUniqueName="[LocalDateTable_df4bea45-32ed-442a-9234-aaca0cd7dbed].[Quarter].[All]" dimensionUniqueName="[LocalDateTable_df4bea45-32ed-442a-9234-aaca0cd7dbed]" displayFolder="" count="0" unbalanced="0" hidden="1"/>
    <cacheHierarchy uniqueName="[LocalDateTable_df4bea45-32ed-442a-9234-aaca0cd7dbed].[QuarterNo]" caption="QuarterNo" attribute="1" defaultMemberUniqueName="[LocalDateTable_df4bea45-32ed-442a-9234-aaca0cd7dbed].[QuarterNo].[All]" allUniqueName="[LocalDateTable_df4bea45-32ed-442a-9234-aaca0cd7dbed].[QuarterNo].[All]" dimensionUniqueName="[LocalDateTable_df4bea45-32ed-442a-9234-aaca0cd7dbed]" displayFolder="" count="0" unbalanced="0" hidden="1"/>
    <cacheHierarchy uniqueName="[LocalDateTable_df4bea45-32ed-442a-9234-aaca0cd7dbed].[Year]" caption="Year" attribute="1" defaultMemberUniqueName="[LocalDateTable_df4bea45-32ed-442a-9234-aaca0cd7dbed].[Year].[All]" allUniqueName="[LocalDateTable_df4bea45-32ed-442a-9234-aaca0cd7dbed].[Year].[All]" dimensionUniqueName="[LocalDateTable_df4bea45-32ed-442a-9234-aaca0cd7dbed]" displayFolder="" count="0" unbalanced="0" hidden="1"/>
    <cacheHierarchy uniqueName="[LocalDateTable_e409a5bd-3c62-4a3a-96e8-e678b497145f].[Date]" caption="Date" attribute="1" defaultMemberUniqueName="[LocalDateTable_e409a5bd-3c62-4a3a-96e8-e678b497145f].[Date].[All]" allUniqueName="[LocalDateTable_e409a5bd-3c62-4a3a-96e8-e678b497145f].[Date].[All]" dimensionUniqueName="[LocalDateTable_e409a5bd-3c62-4a3a-96e8-e678b497145f]" displayFolder="" count="0" unbalanced="0" hidden="1"/>
    <cacheHierarchy uniqueName="[LocalDateTable_e409a5bd-3c62-4a3a-96e8-e678b497145f].[Date Hierarchy]" caption="Date Hierarchy" defaultMemberUniqueName="[LocalDateTable_e409a5bd-3c62-4a3a-96e8-e678b497145f].[Date Hierarchy].[All]" allUniqueName="[LocalDateTable_e409a5bd-3c62-4a3a-96e8-e678b497145f].[Date Hierarchy].[All]" dimensionUniqueName="[LocalDateTable_e409a5bd-3c62-4a3a-96e8-e678b497145f]" displayFolder="" count="0" unbalanced="0" hidden="1"/>
    <cacheHierarchy uniqueName="[LocalDateTable_e409a5bd-3c62-4a3a-96e8-e678b497145f].[Day]" caption="Day" attribute="1" defaultMemberUniqueName="[LocalDateTable_e409a5bd-3c62-4a3a-96e8-e678b497145f].[Day].[All]" allUniqueName="[LocalDateTable_e409a5bd-3c62-4a3a-96e8-e678b497145f].[Day].[All]" dimensionUniqueName="[LocalDateTable_e409a5bd-3c62-4a3a-96e8-e678b497145f]" displayFolder="" count="0" unbalanced="0" hidden="1"/>
    <cacheHierarchy uniqueName="[LocalDateTable_e409a5bd-3c62-4a3a-96e8-e678b497145f].[Month]" caption="Month" attribute="1" defaultMemberUniqueName="[LocalDateTable_e409a5bd-3c62-4a3a-96e8-e678b497145f].[Month].[All]" allUniqueName="[LocalDateTable_e409a5bd-3c62-4a3a-96e8-e678b497145f].[Month].[All]" dimensionUniqueName="[LocalDateTable_e409a5bd-3c62-4a3a-96e8-e678b497145f]" displayFolder="" count="0" unbalanced="0" hidden="1"/>
    <cacheHierarchy uniqueName="[LocalDateTable_e409a5bd-3c62-4a3a-96e8-e678b497145f].[MonthNo]" caption="MonthNo" attribute="1" defaultMemberUniqueName="[LocalDateTable_e409a5bd-3c62-4a3a-96e8-e678b497145f].[MonthNo].[All]" allUniqueName="[LocalDateTable_e409a5bd-3c62-4a3a-96e8-e678b497145f].[MonthNo].[All]" dimensionUniqueName="[LocalDateTable_e409a5bd-3c62-4a3a-96e8-e678b497145f]" displayFolder="" count="0" unbalanced="0" hidden="1"/>
    <cacheHierarchy uniqueName="[LocalDateTable_e409a5bd-3c62-4a3a-96e8-e678b497145f].[Quarter]" caption="Quarter" attribute="1" defaultMemberUniqueName="[LocalDateTable_e409a5bd-3c62-4a3a-96e8-e678b497145f].[Quarter].[All]" allUniqueName="[LocalDateTable_e409a5bd-3c62-4a3a-96e8-e678b497145f].[Quarter].[All]" dimensionUniqueName="[LocalDateTable_e409a5bd-3c62-4a3a-96e8-e678b497145f]" displayFolder="" count="0" unbalanced="0" hidden="1"/>
    <cacheHierarchy uniqueName="[LocalDateTable_e409a5bd-3c62-4a3a-96e8-e678b497145f].[QuarterNo]" caption="QuarterNo" attribute="1" defaultMemberUniqueName="[LocalDateTable_e409a5bd-3c62-4a3a-96e8-e678b497145f].[QuarterNo].[All]" allUniqueName="[LocalDateTable_e409a5bd-3c62-4a3a-96e8-e678b497145f].[QuarterNo].[All]" dimensionUniqueName="[LocalDateTable_e409a5bd-3c62-4a3a-96e8-e678b497145f]" displayFolder="" count="0" unbalanced="0" hidden="1"/>
    <cacheHierarchy uniqueName="[LocalDateTable_e409a5bd-3c62-4a3a-96e8-e678b497145f].[Year]" caption="Year" attribute="1" defaultMemberUniqueName="[LocalDateTable_e409a5bd-3c62-4a3a-96e8-e678b497145f].[Year].[All]" allUniqueName="[LocalDateTable_e409a5bd-3c62-4a3a-96e8-e678b497145f].[Year].[All]" dimensionUniqueName="[LocalDateTable_e409a5bd-3c62-4a3a-96e8-e678b497145f]" displayFolder="" count="0" unbalanced="0" hidden="1"/>
    <cacheHierarchy uniqueName="[LocalDateTable_e58b0157-2556-4b79-a8ed-879543e961ff].[Date]" caption="Date" attribute="1" defaultMemberUniqueName="[LocalDateTable_e58b0157-2556-4b79-a8ed-879543e961ff].[Date].[All]" allUniqueName="[LocalDateTable_e58b0157-2556-4b79-a8ed-879543e961ff].[Date].[All]" dimensionUniqueName="[LocalDateTable_e58b0157-2556-4b79-a8ed-879543e961ff]" displayFolder="" count="0" unbalanced="0" hidden="1"/>
    <cacheHierarchy uniqueName="[LocalDateTable_e58b0157-2556-4b79-a8ed-879543e961ff].[Date Hierarchy]" caption="Date Hierarchy" defaultMemberUniqueName="[LocalDateTable_e58b0157-2556-4b79-a8ed-879543e961ff].[Date Hierarchy].[All]" allUniqueName="[LocalDateTable_e58b0157-2556-4b79-a8ed-879543e961ff].[Date Hierarchy].[All]" dimensionUniqueName="[LocalDateTable_e58b0157-2556-4b79-a8ed-879543e961ff]" displayFolder="" count="0" unbalanced="0" hidden="1"/>
    <cacheHierarchy uniqueName="[LocalDateTable_e58b0157-2556-4b79-a8ed-879543e961ff].[Day]" caption="Day" attribute="1" defaultMemberUniqueName="[LocalDateTable_e58b0157-2556-4b79-a8ed-879543e961ff].[Day].[All]" allUniqueName="[LocalDateTable_e58b0157-2556-4b79-a8ed-879543e961ff].[Day].[All]" dimensionUniqueName="[LocalDateTable_e58b0157-2556-4b79-a8ed-879543e961ff]" displayFolder="" count="0" unbalanced="0" hidden="1"/>
    <cacheHierarchy uniqueName="[LocalDateTable_e58b0157-2556-4b79-a8ed-879543e961ff].[Month]" caption="Month" attribute="1" defaultMemberUniqueName="[LocalDateTable_e58b0157-2556-4b79-a8ed-879543e961ff].[Month].[All]" allUniqueName="[LocalDateTable_e58b0157-2556-4b79-a8ed-879543e961ff].[Month].[All]" dimensionUniqueName="[LocalDateTable_e58b0157-2556-4b79-a8ed-879543e961ff]" displayFolder="" count="0" unbalanced="0" hidden="1"/>
    <cacheHierarchy uniqueName="[LocalDateTable_e58b0157-2556-4b79-a8ed-879543e961ff].[MonthNo]" caption="MonthNo" attribute="1" defaultMemberUniqueName="[LocalDateTable_e58b0157-2556-4b79-a8ed-879543e961ff].[MonthNo].[All]" allUniqueName="[LocalDateTable_e58b0157-2556-4b79-a8ed-879543e961ff].[MonthNo].[All]" dimensionUniqueName="[LocalDateTable_e58b0157-2556-4b79-a8ed-879543e961ff]" displayFolder="" count="0" unbalanced="0" hidden="1"/>
    <cacheHierarchy uniqueName="[LocalDateTable_e58b0157-2556-4b79-a8ed-879543e961ff].[Quarter]" caption="Quarter" attribute="1" defaultMemberUniqueName="[LocalDateTable_e58b0157-2556-4b79-a8ed-879543e961ff].[Quarter].[All]" allUniqueName="[LocalDateTable_e58b0157-2556-4b79-a8ed-879543e961ff].[Quarter].[All]" dimensionUniqueName="[LocalDateTable_e58b0157-2556-4b79-a8ed-879543e961ff]" displayFolder="" count="0" unbalanced="0" hidden="1"/>
    <cacheHierarchy uniqueName="[LocalDateTable_e58b0157-2556-4b79-a8ed-879543e961ff].[QuarterNo]" caption="QuarterNo" attribute="1" defaultMemberUniqueName="[LocalDateTable_e58b0157-2556-4b79-a8ed-879543e961ff].[QuarterNo].[All]" allUniqueName="[LocalDateTable_e58b0157-2556-4b79-a8ed-879543e961ff].[QuarterNo].[All]" dimensionUniqueName="[LocalDateTable_e58b0157-2556-4b79-a8ed-879543e961ff]" displayFolder="" count="0" unbalanced="0" hidden="1"/>
    <cacheHierarchy uniqueName="[LocalDateTable_e58b0157-2556-4b79-a8ed-879543e961ff].[Year]" caption="Year" attribute="1" defaultMemberUniqueName="[LocalDateTable_e58b0157-2556-4b79-a8ed-879543e961ff].[Year].[All]" allUniqueName="[LocalDateTable_e58b0157-2556-4b79-a8ed-879543e961ff].[Year].[All]" dimensionUniqueName="[LocalDateTable_e58b0157-2556-4b79-a8ed-879543e961ff]" displayFolder="" count="0" unbalanced="0" hidden="1"/>
    <cacheHierarchy uniqueName="[LocalDateTable_e8334bd5-1849-42af-8c91-b9cab54e5872].[Date]" caption="Date" attribute="1" defaultMemberUniqueName="[LocalDateTable_e8334bd5-1849-42af-8c91-b9cab54e5872].[Date].[All]" allUniqueName="[LocalDateTable_e8334bd5-1849-42af-8c91-b9cab54e5872].[Date].[All]" dimensionUniqueName="[LocalDateTable_e8334bd5-1849-42af-8c91-b9cab54e5872]" displayFolder="" count="0" unbalanced="0" hidden="1"/>
    <cacheHierarchy uniqueName="[LocalDateTable_e8334bd5-1849-42af-8c91-b9cab54e5872].[Date Hierarchy]" caption="Date Hierarchy" defaultMemberUniqueName="[LocalDateTable_e8334bd5-1849-42af-8c91-b9cab54e5872].[Date Hierarchy].[All]" allUniqueName="[LocalDateTable_e8334bd5-1849-42af-8c91-b9cab54e5872].[Date Hierarchy].[All]" dimensionUniqueName="[LocalDateTable_e8334bd5-1849-42af-8c91-b9cab54e5872]" displayFolder="" count="0" unbalanced="0" hidden="1"/>
    <cacheHierarchy uniqueName="[LocalDateTable_e8334bd5-1849-42af-8c91-b9cab54e5872].[Day]" caption="Day" attribute="1" defaultMemberUniqueName="[LocalDateTable_e8334bd5-1849-42af-8c91-b9cab54e5872].[Day].[All]" allUniqueName="[LocalDateTable_e8334bd5-1849-42af-8c91-b9cab54e5872].[Day].[All]" dimensionUniqueName="[LocalDateTable_e8334bd5-1849-42af-8c91-b9cab54e5872]" displayFolder="" count="0" unbalanced="0" hidden="1"/>
    <cacheHierarchy uniqueName="[LocalDateTable_e8334bd5-1849-42af-8c91-b9cab54e5872].[Month]" caption="Month" attribute="1" defaultMemberUniqueName="[LocalDateTable_e8334bd5-1849-42af-8c91-b9cab54e5872].[Month].[All]" allUniqueName="[LocalDateTable_e8334bd5-1849-42af-8c91-b9cab54e5872].[Month].[All]" dimensionUniqueName="[LocalDateTable_e8334bd5-1849-42af-8c91-b9cab54e5872]" displayFolder="" count="0" unbalanced="0" hidden="1"/>
    <cacheHierarchy uniqueName="[LocalDateTable_e8334bd5-1849-42af-8c91-b9cab54e5872].[MonthNo]" caption="MonthNo" attribute="1" defaultMemberUniqueName="[LocalDateTable_e8334bd5-1849-42af-8c91-b9cab54e5872].[MonthNo].[All]" allUniqueName="[LocalDateTable_e8334bd5-1849-42af-8c91-b9cab54e5872].[MonthNo].[All]" dimensionUniqueName="[LocalDateTable_e8334bd5-1849-42af-8c91-b9cab54e5872]" displayFolder="" count="0" unbalanced="0" hidden="1"/>
    <cacheHierarchy uniqueName="[LocalDateTable_e8334bd5-1849-42af-8c91-b9cab54e5872].[Quarter]" caption="Quarter" attribute="1" defaultMemberUniqueName="[LocalDateTable_e8334bd5-1849-42af-8c91-b9cab54e5872].[Quarter].[All]" allUniqueName="[LocalDateTable_e8334bd5-1849-42af-8c91-b9cab54e5872].[Quarter].[All]" dimensionUniqueName="[LocalDateTable_e8334bd5-1849-42af-8c91-b9cab54e5872]" displayFolder="" count="0" unbalanced="0" hidden="1"/>
    <cacheHierarchy uniqueName="[LocalDateTable_e8334bd5-1849-42af-8c91-b9cab54e5872].[QuarterNo]" caption="QuarterNo" attribute="1" defaultMemberUniqueName="[LocalDateTable_e8334bd5-1849-42af-8c91-b9cab54e5872].[QuarterNo].[All]" allUniqueName="[LocalDateTable_e8334bd5-1849-42af-8c91-b9cab54e5872].[QuarterNo].[All]" dimensionUniqueName="[LocalDateTable_e8334bd5-1849-42af-8c91-b9cab54e5872]" displayFolder="" count="0" unbalanced="0" hidden="1"/>
    <cacheHierarchy uniqueName="[LocalDateTable_e8334bd5-1849-42af-8c91-b9cab54e5872].[Year]" caption="Year" attribute="1" defaultMemberUniqueName="[LocalDateTable_e8334bd5-1849-42af-8c91-b9cab54e5872].[Year].[All]" allUniqueName="[LocalDateTable_e8334bd5-1849-42af-8c91-b9cab54e5872].[Year].[All]" dimensionUniqueName="[LocalDateTable_e8334bd5-1849-42af-8c91-b9cab54e5872]" displayFolder="" count="0" unbalanced="0" hidden="1"/>
    <cacheHierarchy uniqueName="[LocalDateTable_f81f1f13-e082-4d44-ba64-a484e005f2af].[Date]" caption="Date" attribute="1" defaultMemberUniqueName="[LocalDateTable_f81f1f13-e082-4d44-ba64-a484e005f2af].[Date].[All]" allUniqueName="[LocalDateTable_f81f1f13-e082-4d44-ba64-a484e005f2af].[Date].[All]" dimensionUniqueName="[LocalDateTable_f81f1f13-e082-4d44-ba64-a484e005f2af]" displayFolder="" count="0" unbalanced="0" hidden="1"/>
    <cacheHierarchy uniqueName="[LocalDateTable_f81f1f13-e082-4d44-ba64-a484e005f2af].[Date Hierarchy]" caption="Date Hierarchy" defaultMemberUniqueName="[LocalDateTable_f81f1f13-e082-4d44-ba64-a484e005f2af].[Date Hierarchy].[All]" allUniqueName="[LocalDateTable_f81f1f13-e082-4d44-ba64-a484e005f2af].[Date Hierarchy].[All]" dimensionUniqueName="[LocalDateTable_f81f1f13-e082-4d44-ba64-a484e005f2af]" displayFolder="" count="0" unbalanced="0" hidden="1"/>
    <cacheHierarchy uniqueName="[LocalDateTable_f81f1f13-e082-4d44-ba64-a484e005f2af].[Day]" caption="Day" attribute="1" defaultMemberUniqueName="[LocalDateTable_f81f1f13-e082-4d44-ba64-a484e005f2af].[Day].[All]" allUniqueName="[LocalDateTable_f81f1f13-e082-4d44-ba64-a484e005f2af].[Day].[All]" dimensionUniqueName="[LocalDateTable_f81f1f13-e082-4d44-ba64-a484e005f2af]" displayFolder="" count="0" unbalanced="0" hidden="1"/>
    <cacheHierarchy uniqueName="[LocalDateTable_f81f1f13-e082-4d44-ba64-a484e005f2af].[Month]" caption="Month" attribute="1" defaultMemberUniqueName="[LocalDateTable_f81f1f13-e082-4d44-ba64-a484e005f2af].[Month].[All]" allUniqueName="[LocalDateTable_f81f1f13-e082-4d44-ba64-a484e005f2af].[Month].[All]" dimensionUniqueName="[LocalDateTable_f81f1f13-e082-4d44-ba64-a484e005f2af]" displayFolder="" count="0" unbalanced="0" hidden="1"/>
    <cacheHierarchy uniqueName="[LocalDateTable_f81f1f13-e082-4d44-ba64-a484e005f2af].[MonthNo]" caption="MonthNo" attribute="1" defaultMemberUniqueName="[LocalDateTable_f81f1f13-e082-4d44-ba64-a484e005f2af].[MonthNo].[All]" allUniqueName="[LocalDateTable_f81f1f13-e082-4d44-ba64-a484e005f2af].[MonthNo].[All]" dimensionUniqueName="[LocalDateTable_f81f1f13-e082-4d44-ba64-a484e005f2af]" displayFolder="" count="0" unbalanced="0" hidden="1"/>
    <cacheHierarchy uniqueName="[LocalDateTable_f81f1f13-e082-4d44-ba64-a484e005f2af].[Quarter]" caption="Quarter" attribute="1" defaultMemberUniqueName="[LocalDateTable_f81f1f13-e082-4d44-ba64-a484e005f2af].[Quarter].[All]" allUniqueName="[LocalDateTable_f81f1f13-e082-4d44-ba64-a484e005f2af].[Quarter].[All]" dimensionUniqueName="[LocalDateTable_f81f1f13-e082-4d44-ba64-a484e005f2af]" displayFolder="" count="0" unbalanced="0" hidden="1"/>
    <cacheHierarchy uniqueName="[LocalDateTable_f81f1f13-e082-4d44-ba64-a484e005f2af].[QuarterNo]" caption="QuarterNo" attribute="1" defaultMemberUniqueName="[LocalDateTable_f81f1f13-e082-4d44-ba64-a484e005f2af].[QuarterNo].[All]" allUniqueName="[LocalDateTable_f81f1f13-e082-4d44-ba64-a484e005f2af].[QuarterNo].[All]" dimensionUniqueName="[LocalDateTable_f81f1f13-e082-4d44-ba64-a484e005f2af]" displayFolder="" count="0" unbalanced="0" hidden="1"/>
    <cacheHierarchy uniqueName="[LocalDateTable_f81f1f13-e082-4d44-ba64-a484e005f2af].[Year]" caption="Year" attribute="1" defaultMemberUniqueName="[LocalDateTable_f81f1f13-e082-4d44-ba64-a484e005f2af].[Year].[All]" allUniqueName="[LocalDateTable_f81f1f13-e082-4d44-ba64-a484e005f2af].[Year].[All]" dimensionUniqueName="[LocalDateTable_f81f1f13-e082-4d44-ba64-a484e005f2af]" displayFolder="" count="0" unbalanced="0" hidden="1"/>
    <cacheHierarchy uniqueName="[Measures].[MMS_01_31]" caption="MMS_01_31" measure="1" displayFolder="" measureGroup="_Measures" count="0"/>
    <cacheHierarchy uniqueName="[Measures].[SDI_00_07]" caption="SDI_00_07" measure="1" displayFolder="" measureGroup="_Measures" count="0"/>
    <cacheHierarchy uniqueName="[Measures].[SDI_08_14]" caption="SDI_08_14" measure="1" displayFolder="" measureGroup="_Measures" count="0"/>
    <cacheHierarchy uniqueName="[Measures].[SDI_15+]" caption="SDI_15+" measure="1" displayFolder="" measureGroup="_Measures" count="0"/>
    <cacheHierarchy uniqueName="[Measures].[TX_NEW]" caption="TX_NEW" measure="1" displayFolder="" measureGroup="_Measures" count="0" oneField="1">
      <fieldsUsage count="1">
        <fieldUsage x="1"/>
      </fieldsUsage>
    </cacheHierarchy>
    <cacheHierarchy uniqueName="[Measures].[Patients Started on ART]" caption="Patients Started on ART" measure="1" displayFolder="" measureGroup="_Measures" count="0"/>
    <cacheHierarchy uniqueName="[Measures].[HVL_D]" caption="HVL_D" measure="1" displayFolder="" measureGroup="_Measures" count="0"/>
    <cacheHierarchy uniqueName="[Measures].[HVL_N]" caption="HVL_N" measure="1" displayFolder="" measureGroup="_Measures" count="0"/>
    <cacheHierarchy uniqueName="[Measures].[TX_CURR]" caption="TX_CURR" measure="1" displayFolder="" measureGroup="_Measures" count="0" oneField="1">
      <fieldsUsage count="1">
        <fieldUsage x="4"/>
      </fieldsUsage>
    </cacheHierarchy>
    <cacheHierarchy uniqueName="[Measures].[TX_NEW_2VIS]" caption="TX_NEW_2VIS" measure="1" displayFolder="" measureGroup="_Measures" count="0"/>
    <cacheHierarchy uniqueName="[Measures].[HVL_ELIG]" caption="HVL_ELIG" measure="1" displayFolder="" measureGroup="_Measures" count="0"/>
    <cacheHierarchy uniqueName="[Measures].[TX_NEW minus t_txnew]" caption="TX_NEW minus t_txnew" measure="1" displayFolder="Differences" measureGroup="_Measures" count="0"/>
    <cacheHierarchy uniqueName="[Measures].[TX_NEW_2VIS minus t_txnew_2vis]" caption="TX_NEW_2VIS minus t_txnew_2vis" measure="1" displayFolder="Differences" measureGroup="_Measures" count="0"/>
    <cacheHierarchy uniqueName="[Measures].[SDI_00_07 minus art_u8]" caption="SDI_00_07 minus art_u8" measure="1" displayFolder="Differences" measureGroup="_Measures" count="0"/>
    <cacheHierarchy uniqueName="[Measures].[SDI_15+ minus art_o15d]" caption="SDI_15+ minus art_o15d" measure="1" displayFolder="Differences" measureGroup="_Measures" count="0"/>
    <cacheHierarchy uniqueName="[Measures].[SDI_08_14 minus art_814d]" caption="SDI_08_14 minus art_814d" measure="1" displayFolder="Differences" measureGroup="_Measures" count="0"/>
    <cacheHierarchy uniqueName="[Measures].[MMS_01_31 minus mmp_1m]" caption="MMS_01_31 minus mmp_1m" measure="1" displayFolder="Differences" measureGroup="_Measures" count="0"/>
    <cacheHierarchy uniqueName="[Measures].[HVL_D minus hvl_d]" caption="HVL_D minus hvl_d" measure="1" displayFolder="Differences" measureGroup="_Measures" count="0"/>
    <cacheHierarchy uniqueName="[Measures].[HVL_N minus hvl_u1k_n]" caption="HVL_N minus hvl_u1k_n" measure="1" displayFolder="Differences" measureGroup="_Measures" count="0"/>
    <cacheHierarchy uniqueName="[Measures].[TX_TB_N minus tbprev_n]" caption="TX_TB_N minus tbprev_n" measure="1" displayFolder="Differences" measureGroup="_Measures" count="0"/>
    <cacheHierarchy uniqueName="[Measures].[TX_TB_D minus tbprev_d]" caption="TX_TB_D minus tbprev_d" measure="1" displayFolder="Differences" measureGroup="_Measures" count="0"/>
    <cacheHierarchy uniqueName="[Measures].[DIED]" caption="DIED" measure="1" displayFolder="" measureGroup="_Measures" count="0"/>
    <cacheHierarchy uniqueName="[Measures].[DIED minus died]" caption="DIED minus died" measure="1" displayFolder="Differences" measureGroup="_Measures" count="0"/>
    <cacheHierarchy uniqueName="[Measures].[TI]" caption="TI" measure="1" displayFolder="" measureGroup="_Measures" count="0"/>
    <cacheHierarchy uniqueName="[Measures].[TI minus TI]" caption="TI minus TI" measure="1" displayFolder="Differences" measureGroup="_Measures" count="0"/>
    <cacheHierarchy uniqueName="[Measures].[TO]" caption="TO" measure="1" displayFolder="" measureGroup="_Measures" count="0"/>
    <cacheHierarchy uniqueName="[Measures].[TO minus TO]" caption="TO minus TO" measure="1" displayFolder="Differences" measureGroup="_Measures" count="0"/>
    <cacheHierarchy uniqueName="[Measures].[TX_CURR_PRIOR_MONTH]" caption="TX_CURR_PRIOR_MONTH" measure="1" displayFolder="" measureGroup="_Measures" count="0" oneField="1">
      <fieldsUsage count="1">
        <fieldUsage x="5"/>
      </fieldsUsage>
    </cacheHierarchy>
    <cacheHierarchy uniqueName="[Measures].[TX_CURR minus t_txcurr_thism]" caption="TX_CURR minus t_txcurr_thism" measure="1" displayFolder="Differences" measureGroup="_Measures" count="0"/>
    <cacheHierarchy uniqueName="[Measures].[HVL_ELIG minus hvlelig]" caption="HVL_ELIG minus hvlelig" measure="1" displayFolder="Differences" measureGroup="_Measures" count="0"/>
    <cacheHierarchy uniqueName="[Measures].[MMS_32_62 minus mmp_2m]" caption="MMS_32_62 minus mmp_2m" measure="1" displayFolder="Differences" measureGroup="_Measures" count="0"/>
    <cacheHierarchy uniqueName="[Measures].[MMS_63+ minus mmp_3m]" caption="MMS_63+ minus mmp_3m" measure="1" displayFolder="Differences" measureGroup="_Measures" count="0"/>
    <cacheHierarchy uniqueName="[Measures].[MMS_32_62]" caption="MMS_32_62" measure="1" displayFolder="" measureGroup="_Measures" count="0"/>
    <cacheHierarchy uniqueName="[Measures].[MMS_63+]" caption="MMS_63+" measure="1" displayFolder="" measureGroup="_Measures" count="0"/>
    <cacheHierarchy uniqueName="[Measures].[TBPREV_D]" caption="TBPREV_D" measure="1" displayFolder="" measureGroup="_Measures" count="0"/>
    <cacheHierarchy uniqueName="[Measures].[TBPREV_D minus tbprev_d]" caption="TBPREV_D minus tbprev_d" measure="1" displayFolder="Differences" measureGroup="_Measures" count="0"/>
    <cacheHierarchy uniqueName="[Measures].[TBPREV_N]" caption="TBPREV_N" measure="1" displayFolder="" measureGroup="_Measures" count="0"/>
    <cacheHierarchy uniqueName="[Measures].[MISSEDAPP]" caption="MISSEDAPP" measure="1" displayFolder="" measureGroup="_Measures" count="0"/>
    <cacheHierarchy uniqueName="[Measures].[TBPREV_D minus tbprev_d_3mar]" caption="TBPREV_D minus tbprev_d_3mar" measure="1" displayFolder="Differences" measureGroup="_Measures" count="0"/>
    <cacheHierarchy uniqueName="[Measures].[MISSEDAPP minus missedapp]" caption="MISSEDAPP minus missedapp" measure="1" displayFolder="Differences" measureGroup="_Measures" count="0"/>
    <cacheHierarchy uniqueName="[Measures].[MISSEDAPP_v2]" caption="MISSEDAPP_v2" measure="1" displayFolder="" measureGroup="_Measures" count="0"/>
    <cacheHierarchy uniqueName="[Measures].[MISSEDAPP_v2 minus missedapp]" caption="MISSEDAPP_v2 minus missedapp" measure="1" displayFolder="Differences" measureGroup="_Measures" count="0"/>
    <cacheHierarchy uniqueName="[Measures].[TBPREV_NEW]" caption="TBPREV_NEW" measure="1" displayFolder="" measureGroup="_Measures" count="0"/>
    <cacheHierarchy uniqueName="[Measures].[TBPREV_NEW minus tbprev_start_thismo]" caption="TBPREV_NEW minus tbprev_start_thismo" measure="1" displayFolder="Differences" measureGroup="_Measures" count="0"/>
    <cacheHierarchy uniqueName="[Measures].[TBPREV_N minus tbprev_n]" caption="TBPREV_N minus tbprev_n" measure="1" displayFolder="Differences" measureGroup="_Measures" count="0"/>
    <cacheHierarchy uniqueName="[Measures].[HVL_ELIG_P]" caption="HVL_ELIG_P" measure="1" displayFolder="" measureGroup="_Measures" count="0"/>
    <cacheHierarchy uniqueName="[Measures].[HVL_ELIG_A]" caption="HVL_ELIG_A" measure="1" displayFolder="" measureGroup="_Measures" count="0"/>
    <cacheHierarchy uniqueName="[Measures].[HVL_D_P]" caption="HVL_D_P" measure="1" displayFolder="" measureGroup="_Measures" count="0"/>
    <cacheHierarchy uniqueName="[Measures].[HVL_D_A]" caption="HVL_D_A" measure="1" displayFolder="" measureGroup="_Measures" count="0"/>
    <cacheHierarchy uniqueName="[Measures].[HVL_N_P]" caption="HVL_N_P" measure="1" displayFolder="" measureGroup="_Measures" count="0"/>
    <cacheHierarchy uniqueName="[Measures].[HVL_N_A]" caption="HVL_N_A" measure="1" displayFolder="" measureGroup="_Measures" count="0"/>
    <cacheHierarchy uniqueName="[Measures].[TX_NEW_F_A]" caption="TX_NEW_F_A" measure="1" displayFolder="" measureGroup="_Measures" count="0"/>
    <cacheHierarchy uniqueName="[Measures].[TX_NEW_M_A]" caption="TX_NEW_M_A" measure="1" displayFolder="" measureGroup="_Measures" count="0"/>
    <cacheHierarchy uniqueName="[Measures].[TX_NEW_F_P]" caption="TX_NEW_F_P" measure="1" displayFolder="" measureGroup="_Measures" count="0"/>
    <cacheHierarchy uniqueName="[Measures].[TX_NEW_M_P]" caption="TX_NEW_M_P" measure="1" displayFolder="" measureGroup="_Measures" count="0"/>
    <cacheHierarchy uniqueName="[Measures].[TX_CURR_F_P]" caption="TX_CURR_F_P" measure="1" displayFolder="" measureGroup="_Measures" count="0"/>
    <cacheHierarchy uniqueName="[Measures].[TX_CURR_M_A]" caption="TX_CURR_M_A" measure="1" displayFolder="" measureGroup="_Measures" count="0"/>
    <cacheHierarchy uniqueName="[Measures].[TX_CURR_F_A]" caption="TX_CURR_F_A" measure="1" displayFolder="" measureGroup="_Measures" count="0"/>
    <cacheHierarchy uniqueName="[Measures].[TX_CURR_M_P]" caption="TX_CURR_M_P" measure="1" displayFolder="" measureGroup="_Measures" count="0"/>
    <cacheHierarchy uniqueName="[Measures].[MMS_180+_P]" caption="MMS_180+_P" measure="1" displayFolder="" measureGroup="_Measures" count="0"/>
    <cacheHierarchy uniqueName="[Measures].[MMS_180+]" caption="MMS_180+" measure="1" displayFolder="" measureGroup="_Measures" count="0"/>
    <cacheHierarchy uniqueName="[Measures].[MMS_180+_A]" caption="MMS_180+_A" measure="1" displayFolder="" measureGroup="_Measures" count="0"/>
    <cacheHierarchy uniqueName="[Measures].[MMS_90_179]" caption="MMS_90_179" measure="1" displayFolder="" measureGroup="_Measures" count="0"/>
    <cacheHierarchy uniqueName="[Measures].[MMS_01_89]" caption="MMS_01_89" measure="1" displayFolder="" measureGroup="_Measures" count="0"/>
    <cacheHierarchy uniqueName="[Measures].[MMS_01_89_F_A]" caption="MMS_01_89_F_A" measure="1" displayFolder="" measureGroup="_Measures" count="0"/>
    <cacheHierarchy uniqueName="[Measures].[MMS_01_89_M_A]" caption="MMS_01_89_M_A" measure="1" displayFolder="" measureGroup="_Measures" count="0"/>
    <cacheHierarchy uniqueName="[Measures].[MMS_01_89_F_P]" caption="MMS_01_89_F_P" measure="1" displayFolder="" measureGroup="_Measures" count="0"/>
    <cacheHierarchy uniqueName="[Measures].[MMS_01_89_M_P]" caption="MMS_01_89_M_P" measure="1" displayFolder="" measureGroup="_Measures" count="0"/>
    <cacheHierarchy uniqueName="[Measures].[MMS_90_179_F_A]" caption="MMS_90_179_F_A" measure="1" displayFolder="" measureGroup="_Measures" count="0"/>
    <cacheHierarchy uniqueName="[Measures].[MMS_90_179_M_A]" caption="MMS_90_179_M_A" measure="1" displayFolder="" measureGroup="_Measures" count="0"/>
    <cacheHierarchy uniqueName="[Measures].[MMS_90_179_F_P]" caption="MMS_90_179_F_P" measure="1" displayFolder="" measureGroup="_Measures" count="0"/>
    <cacheHierarchy uniqueName="[Measures].[MMS_90_179_M_P]" caption="MMS_90_179_M_P" measure="1" displayFolder="" measureGroup="_Measures" count="0"/>
    <cacheHierarchy uniqueName="[Measures].[MMS_180+_F_A]" caption="MMS_180+_F_A" measure="1" displayFolder="" measureGroup="_Measures" count="0"/>
    <cacheHierarchy uniqueName="[Measures].[MMS_180+_M_A]" caption="MMS_180+_M_A" measure="1" displayFolder="" measureGroup="_Measures" count="0"/>
    <cacheHierarchy uniqueName="[Measures].[MMS_180+_F_P]" caption="MMS_180+_F_P" measure="1" displayFolder="" measureGroup="_Measures" count="0"/>
    <cacheHierarchy uniqueName="[Measures].[MMS_180+_M_P]" caption="MMS_180+_M_P" measure="1" displayFolder="" measureGroup="_Measures" count="0"/>
    <cacheHierarchy uniqueName="[Measures].[MISSEDAPP minus missedapp 2]" caption="MISSEDAPP minus missedapp 2" measure="1" displayFolder="" measureGroup="_Measures" count="0"/>
    <cacheHierarchy uniqueName="[Measures].[HVL_D minus hvl_d 2]" caption="HVL_D minus hvl_d 2" measure="1" displayFolder="" measureGroup="_Measures" count="0"/>
    <cacheHierarchy uniqueName="[Measures].[__Default measure]" caption="__Default measure" measure="1" displayFolder="" count="0" hidden="1"/>
  </cacheHierarchies>
  <kpis count="0"/>
  <dimensions count="13">
    <dimension name="Age Group" uniqueName="[Age Group]" caption="Age Group"/>
    <dimension name="DimDate" uniqueName="[DimDate]" caption="DimDate"/>
    <dimension name="Facilities" uniqueName="[Facilities]" caption="Facilities"/>
    <dimension name="feb results" uniqueName="[feb results]" caption="feb results"/>
    <dimension name="Grace Period Days" uniqueName="[Grace Period Days]" caption="Grace Period Days"/>
    <dimension name="Gretchen Results" uniqueName="[Gretchen Results]" caption="Gretchen Results"/>
    <dimension name="Gretchen Results 3mar" uniqueName="[Gretchen Results 3mar]" caption="Gretchen Results 3mar"/>
    <dimension name="Gretchen tx_curr Detail" uniqueName="[Gretchen tx_curr Detail]" caption="Gretchen tx_curr Detail"/>
    <dimension measure="1" name="Measures" uniqueName="[Measures]" caption="Measures"/>
    <dimension name="Patients" uniqueName="[Patients]" caption="Patients"/>
    <dimension name="Status" uniqueName="[Status]" caption="Status"/>
    <dimension name="Tests" uniqueName="[Tests]" caption="Tests"/>
    <dimension name="VisitsAndAppointments" uniqueName="[VisitsAndAppointments]" caption="VisitsAndAppointments"/>
  </dimensions>
  <measureGroups count="45">
    <measureGroup name="_Measures" caption="_Measures"/>
    <measureGroup name="Age Group" caption="Age Group"/>
    <measureGroup name="DateTableTemplate_67311400-74fb-473f-8bb8-78ddea2ee040" caption="DateTableTemplate_67311400-74fb-473f-8bb8-78ddea2ee040"/>
    <measureGroup name="DimDate" caption="DimDate"/>
    <measureGroup name="Facilities" caption="Facilities"/>
    <measureGroup name="feb results" caption="feb results"/>
    <measureGroup name="Grace Period Days" caption="Grace Period Days"/>
    <measureGroup name="Gretchen Results" caption="Gretchen Results"/>
    <measureGroup name="Gretchen Results 3mar" caption="Gretchen Results 3mar"/>
    <measureGroup name="Gretchen tx_curr Detail" caption="Gretchen tx_curr Detail"/>
    <measureGroup name="LocalDateTable_048e15b4-68bf-41ef-8bcb-f4b4a48e87d1" caption="LocalDateTable_048e15b4-68bf-41ef-8bcb-f4b4a48e87d1"/>
    <measureGroup name="LocalDateTable_198c0f25-be56-470d-9563-6ba85adc20f6" caption="LocalDateTable_198c0f25-be56-470d-9563-6ba85adc20f6"/>
    <measureGroup name="LocalDateTable_1a9c82fc-1d61-4945-b631-466fd7cb79e1" caption="LocalDateTable_1a9c82fc-1d61-4945-b631-466fd7cb79e1"/>
    <measureGroup name="LocalDateTable_32153099-8e28-4611-a8e3-a94f0e0a48ba" caption="LocalDateTable_32153099-8e28-4611-a8e3-a94f0e0a48ba"/>
    <measureGroup name="LocalDateTable_39873660-9783-47c3-831f-1ea7ff6357e4" caption="LocalDateTable_39873660-9783-47c3-831f-1ea7ff6357e4"/>
    <measureGroup name="LocalDateTable_39cbebff-eeb7-4252-a359-139059305106" caption="LocalDateTable_39cbebff-eeb7-4252-a359-139059305106"/>
    <measureGroup name="LocalDateTable_44ed01c2-444c-4c6a-9e1d-8f64a65ebd53" caption="LocalDateTable_44ed01c2-444c-4c6a-9e1d-8f64a65ebd53"/>
    <measureGroup name="LocalDateTable_4b503ea0-8a9e-4452-8df1-77875d493416" caption="LocalDateTable_4b503ea0-8a9e-4452-8df1-77875d493416"/>
    <measureGroup name="LocalDateTable_53bd0de1-8e4f-45ec-a73d-720779e52dac" caption="LocalDateTable_53bd0de1-8e4f-45ec-a73d-720779e52dac"/>
    <measureGroup name="LocalDateTable_582d8559-64fe-4f94-ac65-40b1120ce9fa" caption="LocalDateTable_582d8559-64fe-4f94-ac65-40b1120ce9fa"/>
    <measureGroup name="LocalDateTable_5e304ffa-9c13-4348-a0b1-bac4f702bb98" caption="LocalDateTable_5e304ffa-9c13-4348-a0b1-bac4f702bb98"/>
    <measureGroup name="LocalDateTable_6ad1a7b7-0918-439f-9116-bb49452fb306" caption="LocalDateTable_6ad1a7b7-0918-439f-9116-bb49452fb306"/>
    <measureGroup name="LocalDateTable_72411a4b-2028-45fd-859f-ca035717f902" caption="LocalDateTable_72411a4b-2028-45fd-859f-ca035717f902"/>
    <measureGroup name="LocalDateTable_762e9f08-71b7-474b-bf32-18e125928c8b" caption="LocalDateTable_762e9f08-71b7-474b-bf32-18e125928c8b"/>
    <measureGroup name="LocalDateTable_79b3c506-b619-4a92-a39e-5963880b27f4" caption="LocalDateTable_79b3c506-b619-4a92-a39e-5963880b27f4"/>
    <measureGroup name="LocalDateTable_7e4579ac-e1ba-4376-bd93-89713ab2d695" caption="LocalDateTable_7e4579ac-e1ba-4376-bd93-89713ab2d695"/>
    <measureGroup name="LocalDateTable_8171f62b-6985-4fa9-89cc-d461fa08834f" caption="LocalDateTable_8171f62b-6985-4fa9-89cc-d461fa08834f"/>
    <measureGroup name="LocalDateTable_8c167247-2007-40a2-8eb4-a67a7a0ffe69" caption="LocalDateTable_8c167247-2007-40a2-8eb4-a67a7a0ffe69"/>
    <measureGroup name="LocalDateTable_8cc8371a-f4aa-43ae-ad3c-80e424f8db7b" caption="LocalDateTable_8cc8371a-f4aa-43ae-ad3c-80e424f8db7b"/>
    <measureGroup name="LocalDateTable_a7bb61e7-fb22-4577-85f7-8202724a0cab" caption="LocalDateTable_a7bb61e7-fb22-4577-85f7-8202724a0cab"/>
    <measureGroup name="LocalDateTable_ac50e709-a83e-40da-92b7-c09d4749ca90" caption="LocalDateTable_ac50e709-a83e-40da-92b7-c09d4749ca90"/>
    <measureGroup name="LocalDateTable_b9674d41-7d4a-4bcc-9fba-60f51abd930f" caption="LocalDateTable_b9674d41-7d4a-4bcc-9fba-60f51abd930f"/>
    <measureGroup name="LocalDateTable_c51bdc8f-f532-4538-8d59-a1f847d37fc7" caption="LocalDateTable_c51bdc8f-f532-4538-8d59-a1f847d37fc7"/>
    <measureGroup name="LocalDateTable_cff06c49-b10f-4186-b8ce-801667abc242" caption="LocalDateTable_cff06c49-b10f-4186-b8ce-801667abc242"/>
    <measureGroup name="LocalDateTable_d556de67-934a-4e60-b501-c142594d01f3" caption="LocalDateTable_d556de67-934a-4e60-b501-c142594d01f3"/>
    <measureGroup name="LocalDateTable_db52efe7-f8a9-46be-907f-5a39fe4d61de" caption="LocalDateTable_db52efe7-f8a9-46be-907f-5a39fe4d61de"/>
    <measureGroup name="LocalDateTable_df4bea45-32ed-442a-9234-aaca0cd7dbed" caption="LocalDateTable_df4bea45-32ed-442a-9234-aaca0cd7dbed"/>
    <measureGroup name="LocalDateTable_e409a5bd-3c62-4a3a-96e8-e678b497145f" caption="LocalDateTable_e409a5bd-3c62-4a3a-96e8-e678b497145f"/>
    <measureGroup name="LocalDateTable_e58b0157-2556-4b79-a8ed-879543e961ff" caption="LocalDateTable_e58b0157-2556-4b79-a8ed-879543e961ff"/>
    <measureGroup name="LocalDateTable_e8334bd5-1849-42af-8c91-b9cab54e5872" caption="LocalDateTable_e8334bd5-1849-42af-8c91-b9cab54e5872"/>
    <measureGroup name="LocalDateTable_f81f1f13-e082-4d44-ba64-a484e005f2af" caption="LocalDateTable_f81f1f13-e082-4d44-ba64-a484e005f2af"/>
    <measureGroup name="Patients" caption="Patients"/>
    <measureGroup name="Status" caption="Status"/>
    <measureGroup name="Tests" caption="Tests"/>
    <measureGroup name="VisitsAndAppointments" caption="VisitsAndAppointments"/>
  </measureGroups>
  <maps count="56">
    <map measureGroup="1" dimension="0"/>
    <map measureGroup="3" dimension="1"/>
    <map measureGroup="4" dimension="2"/>
    <map measureGroup="4" dimension="3"/>
    <map measureGroup="4" dimension="5"/>
    <map measureGroup="4" dimension="6"/>
    <map measureGroup="5" dimension="2"/>
    <map measureGroup="5" dimension="3"/>
    <map measureGroup="5" dimension="5"/>
    <map measureGroup="5" dimension="6"/>
    <map measureGroup="6" dimension="4"/>
    <map measureGroup="7" dimension="2"/>
    <map measureGroup="7" dimension="3"/>
    <map measureGroup="7" dimension="5"/>
    <map measureGroup="7" dimension="6"/>
    <map measureGroup="8" dimension="2"/>
    <map measureGroup="8" dimension="3"/>
    <map measureGroup="8" dimension="5"/>
    <map measureGroup="8" dimension="6"/>
    <map measureGroup="9" dimension="2"/>
    <map measureGroup="9" dimension="3"/>
    <map measureGroup="9" dimension="5"/>
    <map measureGroup="9" dimension="6"/>
    <map measureGroup="9" dimension="7"/>
    <map measureGroup="9" dimension="9"/>
    <map measureGroup="41" dimension="2"/>
    <map measureGroup="41" dimension="3"/>
    <map measureGroup="41" dimension="5"/>
    <map measureGroup="41" dimension="6"/>
    <map measureGroup="41" dimension="7"/>
    <map measureGroup="41" dimension="9"/>
    <map measureGroup="42" dimension="1"/>
    <map measureGroup="42" dimension="2"/>
    <map measureGroup="42" dimension="3"/>
    <map measureGroup="42" dimension="5"/>
    <map measureGroup="42" dimension="6"/>
    <map measureGroup="42" dimension="7"/>
    <map measureGroup="42" dimension="9"/>
    <map measureGroup="42" dimension="10"/>
    <map measureGroup="43" dimension="0"/>
    <map measureGroup="43" dimension="2"/>
    <map measureGroup="43" dimension="3"/>
    <map measureGroup="43" dimension="5"/>
    <map measureGroup="43" dimension="6"/>
    <map measureGroup="43" dimension="7"/>
    <map measureGroup="43" dimension="9"/>
    <map measureGroup="43" dimension="11"/>
    <map measureGroup="44" dimension="0"/>
    <map measureGroup="44" dimension="1"/>
    <map measureGroup="44" dimension="2"/>
    <map measureGroup="44" dimension="3"/>
    <map measureGroup="44" dimension="5"/>
    <map measureGroup="44" dimension="6"/>
    <map measureGroup="44" dimension="7"/>
    <map measureGroup="44" dimension="9"/>
    <map measureGroup="44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Jay Mtei" refreshedDate="44308.008296874999" backgroundQuery="1" createdVersion="6" refreshedVersion="7" minRefreshableVersion="3" recordCount="0" supportSubquery="1" supportAdvancedDrill="1" xr:uid="{00000000-000A-0000-FFFF-FFFF06000000}">
  <cacheSource type="external" connectionId="1"/>
  <cacheFields count="15">
    <cacheField name="[Measures].[TX_NEW_2VIS]" caption="TX_NEW_2VIS" numFmtId="0" hierarchy="658" level="32767"/>
    <cacheField name="[Measures].[TX_NEW]" caption="TX_NEW" numFmtId="0" hierarchy="653" level="32767"/>
    <cacheField name="[Measures].[TX_CURR]" caption="TX_CURR" numFmtId="0" hierarchy="657" level="32767"/>
    <cacheField name="[DimDate].[MonthYear].[MonthYear]" caption="MonthYear" numFmtId="0" hierarchy="13" level="1">
      <sharedItems containsSemiMixedTypes="0" containsString="0"/>
    </cacheField>
    <cacheField name="[Measures].[SDI_00_07]" caption="SDI_00_07" numFmtId="0" hierarchy="650" level="32767"/>
    <cacheField name="[Measures].[SDI_08_14]" caption="SDI_08_14" numFmtId="0" hierarchy="651" level="32767"/>
    <cacheField name="[Measures].[SDI_15+]" caption="SDI_15+" numFmtId="0" hierarchy="652" level="32767"/>
    <cacheField name="[Measures].[TX_CURR_PRIOR_MONTH]" caption="TX_CURR_PRIOR_MONTH" numFmtId="0" hierarchy="676" level="32767"/>
    <cacheField name="[Measures].[TI]" caption="TI" numFmtId="0" hierarchy="672" level="32767"/>
    <cacheField name="[Measures].[TO]" caption="TO" numFmtId="0" hierarchy="674" level="32767"/>
    <cacheField name="[Measures].[DIED]" caption="DIED" numFmtId="0" hierarchy="670" level="32767"/>
    <cacheField name="[Measures].[MMS_01_31]" caption="MMS_01_31" numFmtId="0" hierarchy="649" level="32767"/>
    <cacheField name="[Measures].[MMS_32_62]" caption="MMS_32_62" numFmtId="0" hierarchy="681" level="32767"/>
    <cacheField name="[Measures].[MMS_63+]" caption="MMS_63+" numFmtId="0" hierarchy="682" level="32767"/>
    <cacheField name="[Facilities].[DATIMName].[DATIMName]" caption="DATIMName" numFmtId="0" hierarchy="22" level="1">
      <sharedItems count="309">
        <s v="[Facilities].[DATIMName].&amp;" c=""/>
        <s v="[Facilities].[DATIMName].&amp;[Africa Amini Momella Health Center]" c="Africa Amini Momella Health Center"/>
        <s v="[Facilities].[DATIMName].&amp;[Aga Khan Dispensary]" c="Aga Khan Dispensary"/>
        <s v="[Facilities].[DATIMName].&amp;[AICC Hospital]" c="AICC Hospital"/>
        <s v="[Facilities].[DATIMName].&amp;[Arusha Lutheran Center Hospital - Referral Hospital]" c="Arusha Lutheran Center Hospital - Referral Hospital"/>
        <s v="[Facilities].[DATIMName].&amp;[Ashe engai RC Health Center]" c="Ashe engai RC Health Center"/>
        <s v="[Facilities].[DATIMName].&amp;[Babati Hospital - District Hospital]" c="Babati Hospital - District Hospital"/>
        <s v="[Facilities].[DATIMName].&amp;[Babati Romancatholic Dispensary]" c="Babati Romancatholic Dispensary"/>
        <s v="[Facilities].[DATIMName].&amp;[Babayu Dispensary]" c="Babayu Dispensary"/>
        <s v="[Facilities].[DATIMName].&amp;[Bahi Health Center]" c="Bahi Health Center"/>
        <s v="[Facilities].[DATIMName].&amp;[Bahi Makulu Dispensary]" c="Bahi Makulu Dispensary"/>
        <s v="[Facilities].[DATIMName].&amp;[Bashay Dispensary]" c="Bashay Dispensary"/>
        <s v="[Facilities].[DATIMName].&amp;[Bashnet Hospital]" c="Bashnet Hospital"/>
        <s v="[Facilities].[DATIMName].&amp;[Bassotu Ziwani Dispensary]" c="Bassotu Ziwani Dispensary"/>
        <s v="[Facilities].[DATIMName].&amp;[Benjamini Mkapa]" c="Benjamini Mkapa"/>
        <s v="[Facilities].[DATIMName].&amp;[Bereko Dispensary]" c="Bereko Dispensary"/>
        <s v="[Facilities].[DATIMName].&amp;[Bolisa Dispensary]" c="Bolisa Dispensary"/>
        <s v="[Facilities].[DATIMName].&amp;[Bondeni Dispensary]" c="Bondeni Dispensary"/>
        <s v="[Facilities].[DATIMName].&amp;[Bonga Health Center]" c="Bonga Health Center"/>
        <s v="[Facilities].[DATIMName].&amp;[Busi Health Center]" c="Busi Health Center"/>
        <s v="[Facilities].[DATIMName].&amp;[Bwagamoyo Dispensary]" c="Bwagamoyo Dispensary"/>
        <s v="[Facilities].[DATIMName].&amp;[Bwambo HC Health Center]" c="Bwambo HC Health Center"/>
        <s v="[Facilities].[DATIMName].&amp;[Chali Isangha Dispensary]" c="Chali Isangha Dispensary"/>
        <s v="[Facilities].[DATIMName].&amp;[Chambalo Dispensary]" c="Chambalo Dispensary"/>
        <s v="[Facilities].[DATIMName].&amp;[Chamkoroma Dispensary]" c="Chamkoroma Dispensary"/>
        <s v="[Facilities].[DATIMName].&amp;[Chamwino RHC Health Center]" c="Chamwino RHC Health Center"/>
        <s v="[Facilities].[DATIMName].&amp;[Charlotte Health Center]" c="Charlotte Health Center"/>
        <s v="[Facilities].[DATIMName].&amp;[Chekereni Dispensary]" c="Chekereni Dispensary"/>
        <s v="[Facilities].[DATIMName].&amp;[Chibelela Dispensary]" c="Chibelela Dispensary"/>
        <s v="[Facilities].[DATIMName].&amp;[Chifukuta Dispensary]" c="Chifukuta Dispensary"/>
        <s v="[Facilities].[DATIMName].&amp;[Chikola Dispensary]" c="Chikola Dispensary"/>
        <s v="[Facilities].[DATIMName].&amp;[Chipanga Health Center]" c="Chipanga Health Center"/>
        <s v="[Facilities].[DATIMName].&amp;[Chipogoro Dispensary]" c="Chipogoro Dispensary"/>
        <s v="[Facilities].[DATIMName].&amp;[Chiwe Dispensary]" c="Chiwe Dispensary"/>
        <s v="[Facilities].[DATIMName].&amp;[Chunyu Dispensary]" c="Chunyu Dispensary"/>
        <s v="[Facilities].[DATIMName].&amp;[Daraja II Health Center]" c="Daraja II Health Center"/>
        <s v="[Facilities].[DATIMName].&amp;[Dareda Mission Hospital - Designated District Hospital]" c="Dareda Mission Hospital - Designated District Hospital"/>
        <s v="[Facilities].[DATIMName].&amp;[Daudi Dispensary]" c="Daudi Dispensary"/>
        <s v="[Facilities].[DATIMName].&amp;[DCMC Health Center]" c="DCMC Health Center"/>
        <s v="[Facilities].[DATIMName].&amp;[Digodigo Dispensary]" c="Digodigo Dispensary"/>
        <s v="[Facilities].[DATIMName].&amp;[Dodoma Hospital - Regional Referral Hospital]" c="Dodoma Hospital - Regional Referral Hospital"/>
        <s v="[Facilities].[DATIMName].&amp;[Dongo Dispensary]" c="Dongo Dispensary"/>
        <s v="[Facilities].[DATIMName].&amp;[Dongobesh Health Center]" c="Dongobesh Health Center"/>
        <s v="[Facilities].[DATIMName].&amp;[ELERAI Dispensary]" c="ELERAI Dispensary"/>
        <s v="[Facilities].[DATIMName].&amp;[Emarti Dispensary]" c="Emarti Dispensary"/>
        <s v="[Facilities].[DATIMName].&amp;[Endabash Health Center]" c="Endabash Health Center"/>
        <s v="[Facilities].[DATIMName].&amp;[Endasak Dispensary]" c="Endasak Dispensary"/>
        <s v="[Facilities].[DATIMName].&amp;[Endulen Hospital - Other Hospital]" c="Endulen Hospital - Other Hospital"/>
        <s v="[Facilities].[DATIMName].&amp;[Engarenaibor Hospital]" c="Engarenaibor Hospital"/>
        <s v="[Facilities].[DATIMName].&amp;[Engusero Health Center]" c="Engusero Health Center"/>
        <s v="[Facilities].[DATIMName].&amp;[Fame Medical Health Center]" c="Fame Medical Health Center"/>
        <s v="[Facilities].[DATIMName].&amp;[Faraja Health Center]" c="Faraja Health Center"/>
        <s v="[Facilities].[DATIMName].&amp;[Gallapo Health Center]" c="Gallapo Health Center"/>
        <s v="[Facilities].[DATIMName].&amp;[Gelai Bomba Dispensary]" c="Gelai Bomba Dispensary"/>
        <s v="[Facilities].[DATIMName].&amp;[Gendabi Health Center]" c="Gendabi Health Center"/>
        <s v="[Facilities].[DATIMName].&amp;[Gidas Health Center]" c="Gidas Health Center"/>
        <s v="[Facilities].[DATIMName].&amp;[Gonja Lutheran Hospital - Other Hospital]" c="Gonja Lutheran Hospital - Other Hospital"/>
        <s v="[Facilities].[DATIMName].&amp;[Gunge Dispensary]" c="Gunge Dispensary"/>
        <s v="[Facilities].[DATIMName].&amp;[Hai Hospital - District Hospital]" c="Hai Hospital - District Hospital"/>
        <s v="[Facilities].[DATIMName].&amp;[Hamai Health Center]" c="Hamai Health Center"/>
        <s v="[Facilities].[DATIMName].&amp;[Haneti Health Center]" c="Haneti Health Center"/>
        <s v="[Facilities].[DATIMName].&amp;[Haubi VA Dispensary]" c="Haubi VA Dispensary"/>
        <s v="[Facilities].[DATIMName].&amp;[Haydarer Dispensary]" c="Haydarer Dispensary"/>
        <s v="[Facilities].[DATIMName].&amp;[Hedaru Health Center]" c="Hedaru Health Center"/>
        <s v="[Facilities].[DATIMName].&amp;[Himo COG Dispensary]" c="Himo COG Dispensary"/>
        <s v="[Facilities].[DATIMName].&amp;[Himo Health Center]" c="Himo Health Center"/>
        <s v="[Facilities].[DATIMName].&amp;[Hogoro Dispensary]" c="Hogoro Dispensary"/>
        <s v="[Facilities].[DATIMName].&amp;[Holili Health Centre Dispensary]" c="Holili Health Centre Dispensary"/>
        <s v="[Facilities].[DATIMName].&amp;[Hombolo Makulu Dispensary]" c="Hombolo Makulu Dispensary"/>
        <s v="[Facilities].[DATIMName].&amp;[Huruma Hospital - Designated District Hospital]" c="Huruma Hospital - Designated District Hospital"/>
        <s v="[Facilities].[DATIMName].&amp;[Hydom Hospital - Referral Hospital]" c="Hydom Hospital - Referral Hospital"/>
        <s v="[Facilities].[DATIMName].&amp;[Ibihwa Dispensary]" c="Ibihwa Dispensary"/>
        <s v="[Facilities].[DATIMName].&amp;[Ibugule Dispensary]" c="Ibugule Dispensary"/>
        <s v="[Facilities].[DATIMName].&amp;[Ibwaga Dispensary]" c="Ibwaga Dispensary"/>
        <s v="[Facilities].[DATIMName].&amp;[Iduo Dispensary]" c="Iduo Dispensary"/>
        <s v="[Facilities].[DATIMName].&amp;[Ihumwa Dispensary]" c="Ihumwa Dispensary"/>
        <s v="[Facilities].[DATIMName].&amp;[Inzomvu Dispensary]" c="Inzomvu Dispensary"/>
        <s v="[Facilities].[DATIMName].&amp;[Ipala Dispensary]" c="Ipala Dispensary"/>
        <s v="[Facilities].[DATIMName].&amp;[Ithnaasheri charitable Dispensary]" c="Ithnaasheri charitable Dispensary"/>
        <s v="[Facilities].[DATIMName].&amp;[Itolwa Dispensary]" c="Itolwa Dispensary"/>
        <s v="[Facilities].[DATIMName].&amp;[Kagongo Health Center]" c="Kagongo Health Center"/>
        <s v="[Facilities].[DATIMName].&amp;[Kainam Dispensary]" c="Kainam Dispensary"/>
        <s v="[Facilities].[DATIMName].&amp;[Kaloleni Health Center]" c="Kaloleni Health Center"/>
        <s v="[Facilities].[DATIMName].&amp;[KAM Med Health Centre Health Center]" c="KAM Med Health Centre Health Center"/>
        <s v="[Facilities].[DATIMName].&amp;[Kamwanga Dispensary]" c="Kamwanga Dispensary"/>
        <s v="[Facilities].[DATIMName].&amp;[Karatu Health Center]" c="Karatu Health Center"/>
        <s v="[Facilities].[DATIMName].&amp;[Karatu Lutheran Hospital - Designated District Hospital]" c="Karatu Lutheran Hospital - Designated District Hospital"/>
        <s v="[Facilities].[DATIMName].&amp;[Karume Health Center]" c="Karume Health Center"/>
        <s v="[Facilities].[DATIMName].&amp;[Katesh Health Center]" c="Katesh Health Center"/>
        <s v="[Facilities].[DATIMName].&amp;[KCMC Hospital - Zonal Super Specialist Hospital]" c="KCMC Hospital - Zonal Super Specialist Hospital"/>
        <s v="[Facilities].[DATIMName].&amp;[Kelema Dispensary]" c="Kelema Dispensary"/>
        <s v="[Facilities].[DATIMName].&amp;[Keni Health Center]" c="Keni Health Center"/>
        <s v="[Facilities].[DATIMName].&amp;[Ketumbeine Dispensary]" c="Ketumbeine Dispensary"/>
        <s v="[Facilities].[DATIMName].&amp;[KIA Dispensary]" c="KIA Dispensary"/>
        <s v="[Facilities].[DATIMName].&amp;[Kibaigwa Health Center]" c="Kibaigwa Health Center"/>
        <s v="[Facilities].[DATIMName].&amp;[Kibakwe Health Center]" c="Kibakwe Health Center"/>
        <s v="[Facilities].[DATIMName].&amp;[Kibaya Hospital - District Hospital]" c="Kibaya Hospital - District Hospital"/>
        <s v="[Facilities].[DATIMName].&amp;[Kibong'oto Infection Disease (KIDH) Hospital - National Super Specialist Hospital]" c="Kibong'oto Infection Disease (KIDH) Hospital - National Super Specialist Hospital"/>
        <s v="[Facilities].[DATIMName].&amp;[Kiboriloni Dispensary]" c="Kiboriloni Dispensary"/>
        <s v="[Facilities].[DATIMName].&amp;[Kibosho Hospital - Designated District Hospital]" c="Kibosho Hospital - Designated District Hospital"/>
        <s v="[Facilities].[DATIMName].&amp;[Kidoka Dispensary]" c="Kidoka Dispensary"/>
        <s v="[Facilities].[DATIMName].&amp;[Kifaru Dispensary]" c="Kifaru Dispensary"/>
        <s v="[Facilities].[DATIMName].&amp;[Kifula Health Center]" c="Kifula Health Center"/>
        <s v="[Facilities].[DATIMName].&amp;[Kigonigoni Health Center]" c="Kigonigoni Health Center"/>
        <s v="[Facilities].[DATIMName].&amp;[Kijenge RC Dispensary]" c="Kijenge RC Dispensary"/>
        <s v="[Facilities].[DATIMName].&amp;[Kijungu Dispensary]" c="Kijungu Dispensary"/>
        <s v="[Facilities].[DATIMName].&amp;[Kikarara Dispensary]" c="Kikarara Dispensary"/>
        <s v="[Facilities].[DATIMName].&amp;[Kikavu Chini Dispensary]" c="Kikavu Chini Dispensary"/>
        <s v="[Facilities].[DATIMName].&amp;[Kikombo Health Center]" c="Kikombo Health Center"/>
        <s v="[Facilities].[DATIMName].&amp;[Kikuyu Dispensary]" c="Kikuyu Dispensary"/>
        <s v="[Facilities].[DATIMName].&amp;[Kilema Hospital - Designated District Hospital]" c="Kilema Hospital - Designated District Hospital"/>
        <s v="[Facilities].[DATIMName].&amp;[Kilema Pofo Dispensary]" c="Kilema Pofo Dispensary"/>
        <s v="[Facilities].[DATIMName].&amp;[Kilimanjaro medical (PAPRI) Dispensary]" c="Kilimanjaro medical (PAPRI) Dispensary"/>
        <s v="[Facilities].[DATIMName].&amp;[Kilombero Dispensary]" c="Kilombero Dispensary"/>
        <s v="[Facilities].[DATIMName].&amp;[Kimotorok Dispensary]" c="Kimotorok Dispensary"/>
        <s v="[Facilities].[DATIMName].&amp;[Kingale Dispensary]" c="Kingale Dispensary"/>
        <s v="[Facilities].[DATIMName].&amp;[Kinyasi Dispensary]" c="Kinyasi Dispensary"/>
        <s v="[Facilities].[DATIMName].&amp;[Kioga Dispensary]" c="Kioga Dispensary"/>
        <s v="[Facilities].[DATIMName].&amp;[Kiongozi Dispensary]" c="Kiongozi Dispensary"/>
        <s v="[Facilities].[DATIMName].&amp;[Kiperesa Dispensary]" c="Kiperesa Dispensary"/>
        <s v="[Facilities].[DATIMName].&amp;[kipok Dispensary]" c="kipok Dispensary"/>
        <s v="[Facilities].[DATIMName].&amp;[Kiranyi Dispensary]" c="Kiranyi Dispensary"/>
        <s v="[Facilities].[DATIMName].&amp;[Kiru Dispensary]" c="Kiru Dispensary"/>
        <s v="[Facilities].[DATIMName].&amp;[Kirua Vunjo Health Center]" c="Kirua Vunjo Health Center"/>
        <s v="[Facilities].[DATIMName].&amp;[Kirurumo Health Center]" c="Kirurumo Health Center"/>
        <s v="[Facilities].[DATIMName].&amp;[Kirwa Mashati Health Center]" c="Kirwa Mashati Health Center"/>
        <s v="[Facilities].[DATIMName].&amp;[Kisangara Health Center]" c="Kisangara Health Center"/>
        <s v="[Facilities].[DATIMName].&amp;[Kisese RHC Health Center]" c="Kisese RHC Health Center"/>
        <s v="[Facilities].[DATIMName].&amp;[Kisiki Health Center]" c="Kisiki Health Center"/>
        <s v="[Facilities].[DATIMName].&amp;[Kisiwani Health Center]" c="Kisiwani Health Center"/>
        <s v="[Facilities].[DATIMName].&amp;[Kitwai A Dispensary]" c="Kitwai A Dispensary"/>
        <s v="[Facilities].[DATIMName].&amp;[Kondoa Hospital - District Hospital]" c="Kondoa Hospital - District Hospital"/>
        <s v="[Facilities].[DATIMName].&amp;[Kongogo Dispensary]" c="Kongogo Dispensary"/>
        <s v="[Facilities].[DATIMName].&amp;[Kongwa Hospital]" c="Kongwa Hospital"/>
        <s v="[Facilities].[DATIMName].&amp;[Korongoni Dispensary]" c="Korongoni Dispensary"/>
        <s v="[Facilities].[DATIMName].&amp;[Kwamtoro Health Centre]" c="Kwamtoro Health Centre"/>
        <s v="[Facilities].[DATIMName].&amp;[Kyomu Dispensary]" c="Kyomu Dispensary"/>
        <s v="[Facilities].[DATIMName].&amp;[Labay Pentecoste Dispensary]" c="Labay Pentecoste Dispensary"/>
        <s v="[Facilities].[DATIMName].&amp;[Laikala Dispensary]" c="Laikala Dispensary"/>
        <s v="[Facilities].[DATIMName].&amp;[Lamaiti Dispensary]" c="Lamaiti Dispensary"/>
        <s v="[Facilities].[DATIMName].&amp;[Lengasiti Dispensary]" c="Lengasiti Dispensary"/>
        <s v="[Facilities].[DATIMName].&amp;[Lerang'wa Dispensary]" c="Lerang'wa Dispensary"/>
        <s v="[Facilities].[DATIMName].&amp;[Levishi Dispensary]" c="Levishi Dispensary"/>
        <s v="[Facilities].[DATIMName].&amp;[Levolosi Health Center]" c="Levolosi Health Center"/>
        <s v="[Facilities].[DATIMName].&amp;[Loiborsiret Dispensary]" c="Loiborsiret Dispensary"/>
        <s v="[Facilities].[DATIMName].&amp;[Loliondo Health Center]" c="Loliondo Health Center"/>
        <s v="[Facilities].[DATIMName].&amp;[Lolkisale Dispensary]" c="Lolkisale Dispensary"/>
        <s v="[Facilities].[DATIMName].&amp;[Longido Health Center]" c="Longido Health Center"/>
        <s v="[Facilities].[DATIMName].&amp;[Lumuma RC Health Center]" c="Lumuma RC Health Center"/>
        <s v="[Facilities].[DATIMName].&amp;[M&amp;M Kiwera Dispensary]" c="M&amp;M Kiwera Dispensary"/>
        <s v="[Facilities].[DATIMName].&amp;[Mabogini Dispensary]" c="Mabogini Dispensary"/>
        <s v="[Facilities].[DATIMName].&amp;[Machame Hospital - Designated District Hospital]" c="Machame Hospital - Designated District Hospital"/>
        <s v="[Facilities].[DATIMName].&amp;[Magara Health Center]" c="Magara Health Center"/>
        <s v="[Facilities].[DATIMName].&amp;[Magugu Health Center]" c="Magugu Health Center"/>
        <s v="[Facilities].[DATIMName].&amp;[Mahomanyika Dispensary]" c="Mahomanyika Dispensary"/>
        <s v="[Facilities].[DATIMName].&amp;[Maili Sita RC Dispensary]" c="Maili Sita RC Dispensary"/>
        <s v="[Facilities].[DATIMName].&amp;[Majengo Health Center]" c="Majengo Health Center"/>
        <s v="[Facilities].[DATIMName].&amp;[Makaa Pumwani Dispensary]" c="Makaa Pumwani Dispensary"/>
        <s v="[Facilities].[DATIMName].&amp;[Makanya Health Center]" c="Makanya Health Center"/>
        <s v="[Facilities].[DATIMName].&amp;[Makanya Kitivo Dispensary]" c="Makanya Kitivo Dispensary"/>
        <s v="[Facilities].[DATIMName].&amp;[Makiba Health Center]" c="Makiba Health Center"/>
        <s v="[Facilities].[DATIMName].&amp;[Makole HC Health Center]" c="Makole HC Health Center"/>
        <s v="[Facilities].[DATIMName].&amp;[Makuyuni Dispensary]" c="Makuyuni Dispensary"/>
        <s v="[Facilities].[DATIMName].&amp;[Malambo Health Center]" c="Malambo Health Center"/>
        <s v="[Facilities].[DATIMName].&amp;[Malangi Dispensary]" c="Malangi Dispensary"/>
        <s v="[Facilities].[DATIMName].&amp;[Mamire Health Center]" c="Mamire Health Center"/>
        <s v="[Facilities].[DATIMName].&amp;[Manchali Dispensary]" c="Manchali Dispensary"/>
        <s v="[Facilities].[DATIMName].&amp;[Manyara Hospital - Regional Referral Hospital]" c="Manyara Hospital - Regional Referral Hospital"/>
        <s v="[Facilities].[DATIMName].&amp;[Maore Dispensary]" c="Maore Dispensary"/>
        <s v="[Facilities].[DATIMName].&amp;[Marangu Lutheran Hospital]" c="Marangu Lutheran Hospital"/>
        <s v="[Facilities].[DATIMName].&amp;[Maretadu Dispensary]" c="Maretadu Dispensary"/>
        <s v="[Facilities].[DATIMName].&amp;[Mareu Health Center]" c="Mareu Health Center"/>
        <s v="[Facilities].[DATIMName].&amp;[Masama Health Center]" c="Masama Health Center"/>
        <s v="[Facilities].[DATIMName].&amp;[Matui Azimio Dispensary]" c="Matui Azimio Dispensary"/>
        <s v="[Facilities].[DATIMName].&amp;[Matumbulu Dispensary]" c="Matumbulu Dispensary"/>
        <s v="[Facilities].[DATIMName].&amp;[Mawenzi Hospital - Regional Referral Hospital]" c="Mawenzi Hospital - Regional Referral Hospital"/>
        <s v="[Facilities].[DATIMName].&amp;[Mbande Dispensary]" c="Mbande Dispensary"/>
        <s v="[Facilities].[DATIMName].&amp;[Mbori Dispensary]" c="Mbori Dispensary"/>
        <s v="[Facilities].[DATIMName].&amp;[Mbuguni Health Center]" c="Mbuguni Health Center"/>
        <s v="[Facilities].[DATIMName].&amp;[Mbulu Hospital - District Hospital]" c="Mbulu Hospital - District Hospital"/>
        <s v="[Facilities].[DATIMName].&amp;[Mbuyuni Health Center]" c="Mbuyuni Health Center"/>
        <s v="[Facilities].[DATIMName].&amp;[Mererani RC Dispensary]" c="Mererani RC Dispensary"/>
        <s v="[Facilities].[DATIMName].&amp;[Meru Hospital - District Hospital]" c="Meru Hospital - District Hospital"/>
        <s v="[Facilities].[DATIMName].&amp;[Michese Dispensary]" c="Michese Dispensary"/>
        <s v="[Facilities].[DATIMName].&amp;[Mima Dispensary]" c="Mima Dispensary"/>
        <s v="[Facilities].[DATIMName].&amp;[Mirembe Mental Health (MMHH) Hospital - National Super Specialist Hospital]" c="Mirembe Mental Health (MMHH) Hospital - National Super Specialist Hospital"/>
        <s v="[Facilities].[DATIMName].&amp;[Mirerani UHC Health Center]" c="Mirerani UHC Health Center"/>
        <s v="[Facilities].[DATIMName].&amp;[Mkoka Health Centre]" c="Mkoka Health Centre"/>
        <s v="[Facilities].[DATIMName].&amp;[Mkondai Dispensary]" c="Mkondai Dispensary"/>
        <s v="[Facilities].[DATIMName].&amp;[Mkonoo Health Center]" c="Mkonoo Health Center"/>
        <s v="[Facilities].[DATIMName].&amp;[Mkonze Health Center]" c="Mkonze Health Center"/>
        <s v="[Facilities].[DATIMName].&amp;[Mlali Health Center]" c="Mlali Health Center"/>
        <s v="[Facilities].[DATIMName].&amp;[Mlowa Barabarani Health Center]" c="Mlowa Barabarani Health Center"/>
        <s v="[Facilities].[DATIMName].&amp;[Mnenia Health Center]" c="Mnenia Health Center"/>
        <s v="[Facilities].[DATIMName].&amp;[Moivo Dispensary]" c="Moivo Dispensary"/>
        <s v="[Facilities].[DATIMName].&amp;[Mondo Dispensary]" c="Mondo Dispensary"/>
        <s v="[Facilities].[DATIMName].&amp;[Monduli Hospital - District Hospital]" c="Monduli Hospital - District Hospital"/>
        <s v="[Facilities].[DATIMName].&amp;[Moshes Health Center]" c="Moshes Health Center"/>
        <s v="[Facilities].[DATIMName].&amp;[Mpalanga Dispensary]" c="Mpalanga Dispensary"/>
        <s v="[Facilities].[DATIMName].&amp;[Mpamatwa Dispensary]" c="Mpamatwa Dispensary"/>
        <s v="[Facilities].[DATIMName].&amp;[Mpunguzi Dispensary]" c="Mpunguzi Dispensary"/>
        <s v="[Facilities].[DATIMName].&amp;[Mpwapwa Hospital - District Hospital]" c="Mpwapwa Hospital - District Hospital"/>
        <s v="[Facilities].[DATIMName].&amp;[Mpwayungu Health Center]" c="Mpwayungu Health Center"/>
        <s v="[Facilities].[DATIMName].&amp;[Mrijo Health Center]" c="Mrijo Health Center"/>
        <s v="[Facilities].[DATIMName].&amp;[Msaranga Dispensary]" c="Msaranga Dispensary"/>
        <s v="[Facilities].[DATIMName].&amp;[Msisi Dispensary]" c="Msisi Dispensary"/>
        <s v="[Facilities].[DATIMName].&amp;[Msitu wa Tembo Dispensary]" c="Msitu wa Tembo Dispensary"/>
        <s v="[Facilities].[DATIMName].&amp;[Mt. Meru Hospital - Regional Referral Hospital]" c="Mt. Meru Hospital - Regional Referral Hospital"/>
        <s v="[Facilities].[DATIMName].&amp;[Mtakuja Dispensary]" c="Mtakuja Dispensary"/>
        <s v="[Facilities].[DATIMName].&amp;[Mtanana A Dispensary]" c="Mtanana A Dispensary"/>
        <s v="[Facilities].[DATIMName].&amp;[Mtitaa Health Center]" c="Mtitaa Health Center"/>
        <s v="[Facilities].[DATIMName].&amp;[Mto wa Mbu Health Center]" c="Mto wa Mbu Health Center"/>
        <s v="[Facilities].[DATIMName].&amp;[Mto wa Mbu RC Dispensary]" c="Mto wa Mbu RC Dispensary"/>
        <s v="[Facilities].[DATIMName].&amp;[Mundarara Dispensary]" c="Mundarara Dispensary"/>
        <s v="[Facilities].[DATIMName].&amp;[Mundemu Health Center]" c="Mundemu Health Center"/>
        <s v="[Facilities].[DATIMName].&amp;[Mvumi Mission Hospital - Designated District Hospital]" c="Mvumi Mission Hospital - Designated District Hospital"/>
        <s v="[Facilities].[DATIMName].&amp;[Mwada Dispensary]" c="Mwada Dispensary"/>
        <s v="[Facilities].[DATIMName].&amp;[Mwana Kianga Dispensary]" c="Mwana Kianga Dispensary"/>
        <s v="[Facilities].[DATIMName].&amp;[Mwandet Dispensary]" c="Mwandet Dispensary"/>
        <s v="[Facilities].[DATIMName].&amp;[Mwanga Health Center]" c="Mwanga Health Center"/>
        <s v="[Facilities].[DATIMName].&amp;[Mwika Health Center]" c="Mwika Health Center"/>
        <s v="[Facilities].[DATIMName].&amp;[Naberera Health Center]" c="Naberera Health Center"/>
        <s v="[Facilities].[DATIMName].&amp;[Naibili Dispensary]" c="Naibili Dispensary"/>
        <s v="[Facilities].[DATIMName].&amp;[Nainokanoka Health Center]" c="Nainokanoka Health Center"/>
        <s v="[Facilities].[DATIMName].&amp;[Naisinyai Dispensary]" c="Naisinyai Dispensary"/>
        <s v="[Facilities].[DATIMName].&amp;[Namalulu Dispensary]" c="Namalulu Dispensary"/>
        <s v="[Facilities].[DATIMName].&amp;[Namanga Dispensary]" c="Namanga Dispensary"/>
        <s v="[Facilities].[DATIMName].&amp;[Ndaleta Dispensary]" c="Ndaleta Dispensary"/>
        <s v="[Facilities].[DATIMName].&amp;[Ndedo Dispensary]" c="Ndedo Dispensary"/>
        <s v="[Facilities].[DATIMName].&amp;[Ndungu Health Center]" c="Ndungu Health Center"/>
        <s v="[Facilities].[DATIMName].&amp;[Nduruma Health Center]" c="Nduruma Health Center"/>
        <s v="[Facilities].[DATIMName].&amp;[Neema Health Center]" c="Neema Health Center"/>
        <s v="[Facilities].[DATIMName].&amp;[Ngage Dispensary]" c="Ngage Dispensary"/>
        <s v="[Facilities].[DATIMName].&amp;[Ngarenanyuki Health Center]" c="Ngarenanyuki Health Center"/>
        <s v="[Facilities].[DATIMName].&amp;[Ngarenaro Health Center]" c="Ngarenaro Health Center"/>
        <s v="[Facilities].[DATIMName].&amp;[Ngaresero Dispensary]" c="Ngaresero Dispensary"/>
        <s v="[Facilities].[DATIMName].&amp;[Nghonghonha Dispensary]" c="Nghonghonha Dispensary"/>
        <s v="[Facilities].[DATIMName].&amp;[Nghulugano Dispensary]" c="Nghulugano Dispensary"/>
        <s v="[Facilities].[DATIMName].&amp;[Ngomai Dispensary]" c="Ngomai Dispensary"/>
        <s v="[Facilities].[DATIMName].&amp;[Ngorbobo Dispensary]" c="Ngorbobo Dispensary"/>
        <s v="[Facilities].[DATIMName].&amp;[Ngorika Dispensary]" c="Ngorika Dispensary"/>
        <s v="[Facilities].[DATIMName].&amp;[Ngoyoni Hospital Hospital - Other Hospital]" c="Ngoyoni Hospital Hospital - Other Hospital"/>
        <s v="[Facilities].[DATIMName].&amp;[Njoge Dispensary]" c="Njoge Dispensary"/>
        <s v="[Facilities].[DATIMName].&amp;[Njoro Dispensary]" c="Njoro Dispensary"/>
        <s v="[Facilities].[DATIMName].&amp;[Nkhome Dispensary]" c="Nkhome Dispensary"/>
        <s v="[Facilities].[DATIMName].&amp;[Nkoaranga Hospital - Other Hospital]" c="Nkoaranga Hospital - Other Hospital"/>
        <s v="[Facilities].[DATIMName].&amp;[Nkwansira Health Center]" c="Nkwansira Health Center"/>
        <s v="[Facilities].[DATIMName].&amp;[Nyumba ya Mungu Dispensary]" c="Nyumba ya Mungu Dispensary"/>
        <s v="[Facilities].[DATIMName].&amp;[Nzungoni Dispensary]" c="Nzungoni Dispensary"/>
        <s v="[Facilities].[DATIMName].&amp;[Oldeani Health Center]" c="Oldeani Health Center"/>
        <s v="[Facilities].[DATIMName].&amp;[Oldonyo Sambu Health Center]" c="Oldonyo Sambu Health Center"/>
        <s v="[Facilities].[DATIMName].&amp;[Olkokola RC Dispensary]" c="Olkokola RC Dispensary"/>
        <s v="[Facilities].[DATIMName].&amp;[Oltrument Hospital - District Hospital]" c="Oltrument Hospital - District Hospital"/>
        <s v="[Facilities].[DATIMName].&amp;[Orkesumet KKKT Hospital]" c="Orkesumet KKKT Hospital"/>
        <s v="[Facilities].[DATIMName].&amp;[Orkesumet UHC Health Center]" c="Orkesumet UHC Health Center"/>
        <s v="[Facilities].[DATIMName].&amp;[Pahi Dispensary]" c="Pahi Dispensary"/>
        <s v="[Facilities].[DATIMName].&amp;[Pasua Health Center]" c="Pasua Health Center"/>
        <s v="[Facilities].[DATIMName].&amp;[Pwaga Dispensary]" c="Pwaga Dispensary"/>
        <s v="[Facilities].[DATIMName].&amp;[Rau Dispensary]" c="Rau Dispensary"/>
        <s v="[Facilities].[DATIMName].&amp;[Riroda Dispensary]" c="Riroda Dispensary"/>
        <s v="[Facilities].[DATIMName].&amp;[Riroda public Dispensary]" c="Riroda public Dispensary"/>
        <s v="[Facilities].[DATIMName].&amp;[Rongai Dispensary]" c="Rongai Dispensary"/>
        <s v="[Facilities].[DATIMName].&amp;[Rudi Health Center]" c="Rudi Health Center"/>
        <s v="[Facilities].[DATIMName].&amp;[Rundugai Dispensary]" c="Rundugai Dispensary"/>
        <s v="[Facilities].[DATIMName].&amp;[Ruvu Remit Dispensary]" c="Ruvu Remit Dispensary"/>
        <s v="[Facilities].[DATIMName].&amp;[Sabilo Dispensary]" c="Sabilo Dispensary"/>
        <s v="[Facilities].[DATIMName].&amp;[Sakami Dispensary]" c="Sakami Dispensary"/>
        <s v="[Facilities].[DATIMName].&amp;[Sambasha Dispensary]" c="Sambasha Dispensary"/>
        <s v="[Facilities].[DATIMName].&amp;[Same Hospital - District Hospital]" c="Same Hospital - District Hospital"/>
        <s v="[Facilities].[DATIMName].&amp;[Selela Dispensary]" c="Selela Dispensary"/>
        <s v="[Facilities].[DATIMName].&amp;[Selian Hospital - Designated District Hospital]" c="Selian Hospital - Designated District Hospital"/>
        <s v="[Facilities].[DATIMName].&amp;[Shengena Health Center]" c="Shengena Health Center"/>
        <s v="[Facilities].[DATIMName].&amp;[Shimbwe Health Center]" c="Shimbwe Health Center"/>
        <s v="[Facilities].[DATIMName].&amp;[Shiri Matunda Dispensary]" c="Shiri Matunda Dispensary"/>
        <s v="[Facilities].[DATIMName].&amp;[Shirimgungani Dispensary]" c="Shirimgungani Dispensary"/>
        <s v="[Facilities].[DATIMName].&amp;[Siha Health Center]" c="Siha Health Center"/>
        <s v="[Facilities].[DATIMName].&amp;[Siha Hospital - District Hospital]" c="Siha Hospital - District Hospital"/>
        <s v="[Facilities].[DATIMName].&amp;[Siima Health Center]" c="Siima Health Center"/>
        <s v="[Facilities].[DATIMName].&amp;[Simanjiro HC Health Center]" c="Simanjiro HC Health Center"/>
        <s v="[Facilities].[DATIMName].&amp;[Sombetini Dispensary]" c="Sombetini Dispensary"/>
        <s v="[Facilities].[DATIMName].&amp;[Songambele Dispensary]" c="Songambele Dispensary"/>
        <s v="[Facilities].[DATIMName].&amp;[Soya Dispensary]" c="Soya Dispensary"/>
        <s v="[Facilities].[DATIMName].&amp;[St Lukes Health Center]" c="St Lukes Health Center"/>
        <s v="[Facilities].[DATIMName].&amp;[St. Alois Health Center]" c="St. Alois Health Center"/>
        <s v="[Facilities].[DATIMName].&amp;[St. Elizabeth Hospital - Designated District Hospital]" c="St. Elizabeth Hospital - Designated District Hospital"/>
        <s v="[Facilities].[DATIMName].&amp;[St. Gemma Hospital - Designated District Hospital]" c="St. Gemma Hospital - Designated District Hospital"/>
        <s v="[Facilities].[DATIMName].&amp;[St. Joseph Hospital - Designated District Hospital]" c="St. Joseph Hospital - Designated District Hospital"/>
        <s v="[Facilities].[DATIMName].&amp;[St. Thomas Health Center]" c="St. Thomas Health Center"/>
        <s v="[Facilities].[DATIMName].&amp;[Sukuro Dispensary]" c="Sukuro Dispensary"/>
        <s v="[Facilities].[DATIMName].&amp;[Sunya Health Center]" c="Sunya Health Center"/>
        <s v="[Facilities].[DATIMName].&amp;[Tambi Dispensary]" c="Tambi Dispensary"/>
        <s v="[Facilities].[DATIMName].&amp;[Tarakea Health Center]" c="Tarakea Health Center"/>
        <s v="[Facilities].[DATIMName].&amp;[Terrat Dispensary]" c="Terrat Dispensary"/>
        <s v="[Facilities].[DATIMName].&amp;[Thawi Dispensary]" c="Thawi Dispensary"/>
        <s v="[Facilities].[DATIMName].&amp;[Themi Health Center]" c="Themi Health Center"/>
        <s v="[Facilities].[DATIMName].&amp;[TPC Hospital - Other Hospital]" c="TPC Hospital - Other Hospital"/>
        <s v="[Facilities].[DATIMName].&amp;[Tubugwe Dispensary]" c="Tubugwe Dispensary"/>
        <s v="[Facilities].[DATIMName].&amp;[Tumaini Hospital]" c="Tumaini Hospital"/>
        <s v="[Facilities].[DATIMName].&amp;[UDOM Health Center]" c="UDOM Health Center"/>
        <s v="[Facilities].[DATIMName].&amp;[Ugogoni Health Center]" c="Ugogoni Health Center"/>
        <s v="[Facilities].[DATIMName].&amp;[UMATI Clinic]" c="UMATI Clinic"/>
        <s v="[Facilities].[DATIMName].&amp;[Umbwe Health Center]" c="Umbwe Health Center"/>
        <s v="[Facilities].[DATIMName].&amp;[Uru kaskazini Dispensary]" c="Uru kaskazini Dispensary"/>
        <s v="[Facilities].[DATIMName].&amp;[Uru Kyaseni Health Center]" c="Uru Kyaseni Health Center"/>
        <s v="[Facilities].[DATIMName].&amp;[Usa RC Health Center]" c="Usa RC Health Center"/>
        <s v="[Facilities].[DATIMName].&amp;[USA River Health Center]" c="USA River Health Center"/>
        <s v="[Facilities].[DATIMName].&amp;[Usangi Hospital - District Hospital]" c="Usangi Hospital - District Hospital"/>
        <s v="[Facilities].[DATIMName].&amp;[Village of Hope Health Center]" c="Village of Hope Health Center"/>
        <s v="[Facilities].[DATIMName].&amp;[Wasso Hospital - Designated District Hospital]" c="Wasso Hospital - Designated District Hospital"/>
      </sharedItems>
    </cacheField>
  </cacheFields>
  <cacheHierarchies count="728">
    <cacheHierarchy uniqueName="[Age Group].[Age]" caption="Age" attribute="1" defaultMemberUniqueName="[Age Group].[Age].[All]" allUniqueName="[Age Group].[Age].[All]" dimensionUniqueName="[Age Group]" displayFolder="" count="0" unbalanced="0"/>
    <cacheHierarchy uniqueName="[Age Group].[AgeGroup]" caption="AgeGroup" attribute="1" defaultMemberUniqueName="[Age Group].[AgeGroup].[All]" allUniqueName="[Age Group].[AgeGroup].[All]" dimensionUniqueName="[Age Group]" displayFolder="" count="0" unbalanced="0"/>
    <cacheHierarchy uniqueName="[Age Group].[AgeGroup_A_P]" caption="AgeGroup_A_P" attribute="1" defaultMemberUniqueName="[Age Group].[AgeGroup_A_P].[All]" allUniqueName="[Age Group].[AgeGroup_A_P].[All]" dimensionUniqueName="[Age Group]" displayFolder="" count="0" unbalanced="0"/>
    <cacheHierarchy uniqueName="[DimDate].[Date]" caption="Date" attribute="1" defaultMemberUniqueName="[DimDate].[Date].[All]" allUniqueName="[DimDate].[Date].[All]" dimensionUniqueName="[DimDate]" displayFolder="" count="0" unbalanced="0"/>
    <cacheHierarchy uniqueName="[DimDate].[DateKey]" caption="DateKey" attribute="1" defaultMemberUniqueName="[DimDate].[DateKey].[All]" allUniqueName="[DimDate].[DateKey].[All]" dimensionUniqueName="[DimDate]" displayFolder="" count="0" unbalanced="0"/>
    <cacheHierarchy uniqueName="[DimDate].[DayName]" caption="DayName" attribute="1" defaultMemberUniqueName="[DimDate].[DayName].[All]" allUniqueName="[DimDate].[DayName].[All]" dimensionUniqueName="[DimDate]" displayFolder="" count="0" unbalanced="0"/>
    <cacheHierarchy uniqueName="[DimDate].[FiscalQuarter]" caption="FiscalQuarter" attribute="1" defaultMemberUniqueName="[DimDate].[FiscalQuarter].[All]" allUniqueName="[DimDate].[FiscalQuarter].[All]" dimensionUniqueName="[DimDate]" displayFolder="" count="0" unbalanced="0"/>
    <cacheHierarchy uniqueName="[DimDate].[FiscalQuarterName]" caption="FiscalQuarterName" attribute="1" defaultMemberUniqueName="[DimDate].[FiscalQuarterName].[All]" allUniqueName="[DimDate].[FiscalQuarterName].[All]" dimensionUniqueName="[DimDate]" displayFolder="" count="0" unbalanced="0"/>
    <cacheHierarchy uniqueName="[DimDate].[FiscalQuarterNum]" caption="FiscalQuarterNum" attribute="1" defaultMemberUniqueName="[DimDate].[FiscalQuarterNum].[All]" allUniqueName="[DimDate].[FiscalQuarterNum].[All]" dimensionUniqueName="[DimDate]" displayFolder="" count="0" unbalanced="0"/>
    <cacheHierarchy uniqueName="[DimDate].[FiscalYear]" caption="FiscalYear" attribute="1" defaultMemberUniqueName="[DimDate].[FiscalYear].[All]" allUniqueName="[DimDate].[FiscalYear].[All]" dimensionUniqueName="[DimDate]" displayFolder="" count="0" unbalanced="0"/>
    <cacheHierarchy uniqueName="[DimDate].[Month]" caption="Month" attribute="1" defaultMemberUniqueName="[DimDate].[Month].[All]" allUniqueName="[DimDate].[Month].[All]" dimensionUniqueName="[DimDate]" displayFolder="" count="0" unbalanced="0"/>
    <cacheHierarchy uniqueName="[DimDate].[MonthName]" caption="MonthName" attribute="1" defaultMemberUniqueName="[DimDate].[MonthName].[All]" allUniqueName="[DimDate].[MonthName].[All]" dimensionUniqueName="[DimDate]" displayFolder="" count="0" unbalanced="0"/>
    <cacheHierarchy uniqueName="[DimDate].[MonthNameShort]" caption="MonthNameShort" attribute="1" defaultMemberUniqueName="[DimDate].[MonthNameShort].[All]" allUniqueName="[DimDate].[MonthNameShort].[All]" dimensionUniqueName="[DimDate]" displayFolder="" count="0" unbalanced="0"/>
    <cacheHierarchy uniqueName="[DimDate].[MonthYear]" caption="MonthYear" attribute="1" defaultMemberUniqueName="[DimDate].[MonthYear].[All]" allUniqueName="[DimDate].[MonthYear].[All]" dimensionUniqueName="[DimDate]" displayFolder="" count="2" unbalanced="0">
      <fieldsUsage count="2">
        <fieldUsage x="-1"/>
        <fieldUsage x="3"/>
      </fieldsUsage>
    </cacheHierarchy>
    <cacheHierarchy uniqueName="[DimDate].[Quarter]" caption="Quarter" attribute="1" defaultMemberUniqueName="[DimDate].[Quarter].[All]" allUniqueName="[DimDate].[Quarter].[All]" dimensionUniqueName="[DimDate]" displayFolder="" count="0" unbalanced="0"/>
    <cacheHierarchy uniqueName="[DimDate].[QuarterName]" caption="QuarterName" attribute="1" defaultMemberUniqueName="[DimDate].[QuarterName].[All]" allUniqueName="[DimDate].[QuarterName].[All]" dimensionUniqueName="[DimDate]" displayFolder="" count="0" unbalanced="0"/>
    <cacheHierarchy uniqueName="[DimDate].[Year]" caption="Year" attribute="1" defaultMemberUniqueName="[DimDate].[Year].[All]" allUniqueName="[DimDate].[Year].[All]" dimensionUniqueName="[DimDate]" displayFolder="" count="0" unbalanced="0"/>
    <cacheHierarchy uniqueName="[Facilities].[AccessFilename]" caption="AccessFilename" attribute="1" defaultMemberUniqueName="[Facilities].[AccessFilename].[All]" allUniqueName="[Facilities].[AccessFilename].[All]" dimensionUniqueName="[Facilities]" displayFolder="" count="0" unbalanced="0"/>
    <cacheHierarchy uniqueName="[Facilities].[CTCPrefix]" caption="CTCPrefix" attribute="1" defaultMemberUniqueName="[Facilities].[CTCPrefix].[All]" allUniqueName="[Facilities].[CTCPrefix].[All]" dimensionUniqueName="[Facilities]" displayFolder="" count="0" unbalanced="0"/>
    <cacheHierarchy uniqueName="[Facilities].[DATIMCouncil]" caption="DATIMCouncil" attribute="1" defaultMemberUniqueName="[Facilities].[DATIMCouncil].[All]" allUniqueName="[Facilities].[DATIMCouncil].[All]" dimensionUniqueName="[Facilities]" displayFolder="" count="0" unbalanced="0"/>
    <cacheHierarchy uniqueName="[Facilities].[DATIMID]" caption="DATIMID" attribute="1" defaultMemberUniqueName="[Facilities].[DATIMID].[All]" allUniqueName="[Facilities].[DATIMID].[All]" dimensionUniqueName="[Facilities]" displayFolder="" count="0" unbalanced="0"/>
    <cacheHierarchy uniqueName="[Facilities].[DATIMID_USG]" caption="DATIMID_USG" attribute="1" defaultMemberUniqueName="[Facilities].[DATIMID_USG].[All]" allUniqueName="[Facilities].[DATIMID_USG].[All]" dimensionUniqueName="[Facilities]" displayFolder="" count="0" unbalanced="0"/>
    <cacheHierarchy uniqueName="[Facilities].[DATIMName]" caption="DATIMName" attribute="1" defaultMemberUniqueName="[Facilities].[DATIMName].[All]" allUniqueName="[Facilities].[DATIMName].[All]" dimensionUniqueName="[Facilities]" displayFolder="" count="2" unbalanced="0">
      <fieldsUsage count="2">
        <fieldUsage x="-1"/>
        <fieldUsage x="14"/>
      </fieldsUsage>
    </cacheHierarchy>
    <cacheHierarchy uniqueName="[Facilities].[DHISOwnership]" caption="DHISOwnership" attribute="1" defaultMemberUniqueName="[Facilities].[DHISOwnership].[All]" allUniqueName="[Facilities].[DHISOwnership].[All]" dimensionUniqueName="[Facilities]" displayFolder="" count="0" unbalanced="0"/>
    <cacheHierarchy uniqueName="[Facilities].[DHSID]" caption="DHSID" attribute="1" defaultMemberUniqueName="[Facilities].[DHSID].[All]" allUniqueName="[Facilities].[DHSID].[All]" dimensionUniqueName="[Facilities]" displayFolder="" count="0" unbalanced="0"/>
    <cacheHierarchy uniqueName="[Facilities].[DHSName]" caption="DHSName" attribute="1" defaultMemberUniqueName="[Facilities].[DHSName].[All]" allUniqueName="[Facilities].[DHSName].[All]" dimensionUniqueName="[Facilities]" displayFolder="" count="0" unbalanced="0"/>
    <cacheHierarchy uniqueName="[Facilities].[District]" caption="District" attribute="1" defaultMemberUniqueName="[Facilities].[District].[All]" allUniqueName="[Facilities].[District].[All]" dimensionUniqueName="[Facilities]" displayFolder="" count="0" unbalanced="0"/>
    <cacheHierarchy uniqueName="[Facilities].[DistrictRevised]" caption="DistrictRevised" attribute="1" defaultMemberUniqueName="[Facilities].[DistrictRevised].[All]" allUniqueName="[Facilities].[DistrictRevised].[All]" dimensionUniqueName="[Facilities]" displayFolder="" count="0" unbalanced="0"/>
    <cacheHierarchy uniqueName="[Facilities].[FacilityKey]" caption="FacilityKey" attribute="1" defaultMemberUniqueName="[Facilities].[FacilityKey].[All]" allUniqueName="[Facilities].[FacilityKey].[All]" dimensionUniqueName="[Facilities]" displayFolder="" count="0" unbalanced="0"/>
    <cacheHierarchy uniqueName="[Facilities].[FacilityName]" caption="FacilityName" attribute="1" defaultMemberUniqueName="[Facilities].[FacilityName].[All]" allUniqueName="[Facilities].[FacilityName].[All]" dimensionUniqueName="[Facilities]" displayFolder="" count="0" unbalanced="0"/>
    <cacheHierarchy uniqueName="[Facilities].[GlaserFacilityType]" caption="GlaserFacilityType" attribute="1" defaultMemberUniqueName="[Facilities].[GlaserFacilityType].[All]" allUniqueName="[Facilities].[GlaserFacilityType].[All]" dimensionUniqueName="[Facilities]" displayFolder="" count="0" unbalanced="0"/>
    <cacheHierarchy uniqueName="[Facilities].[GlaserID]" caption="GlaserID" attribute="1" defaultMemberUniqueName="[Facilities].[GlaserID].[All]" allUniqueName="[Facilities].[GlaserID].[All]" dimensionUniqueName="[Facilities]" displayFolder="" count="0" unbalanced="0"/>
    <cacheHierarchy uniqueName="[Facilities].[GlaserOwnership]" caption="GlaserOwnership" attribute="1" defaultMemberUniqueName="[Facilities].[GlaserOwnership].[All]" allUniqueName="[Facilities].[GlaserOwnership].[All]" dimensionUniqueName="[Facilities]" displayFolder="" count="0" unbalanced="0"/>
    <cacheHierarchy uniqueName="[Facilities].[HFRID]" caption="HFRID" attribute="1" defaultMemberUniqueName="[Facilities].[HFRID].[All]" allUniqueName="[Facilities].[HFRID].[All]" dimensionUniqueName="[Facilities]" displayFolder="" count="0" unbalanced="0"/>
    <cacheHierarchy uniqueName="[Facilities].[HFRID_USG]" caption="HFRID_USG" attribute="1" defaultMemberUniqueName="[Facilities].[HFRID_USG].[All]" allUniqueName="[Facilities].[HFRID_USG].[All]" dimensionUniqueName="[Facilities]" displayFolder="" count="0" unbalanced="0"/>
    <cacheHierarchy uniqueName="[Facilities].[latitude]" caption="latitude" attribute="1" defaultMemberUniqueName="[Facilities].[latitude].[All]" allUniqueName="[Facilities].[latitude].[All]" dimensionUniqueName="[Facilities]" displayFolder="" count="0" unbalanced="0"/>
    <cacheHierarchy uniqueName="[Facilities].[longitude]" caption="longitude" attribute="1" defaultMemberUniqueName="[Facilities].[longitude].[All]" allUniqueName="[Facilities].[longitude].[All]" dimensionUniqueName="[Facilities]" displayFolder="" count="0" unbalanced="0"/>
    <cacheHierarchy uniqueName="[Facilities].[ProgramYear]" caption="ProgramYear" attribute="1" defaultMemberUniqueName="[Facilities].[ProgramYear].[All]" allUniqueName="[Facilities].[ProgramYear].[All]" dimensionUniqueName="[Facilities]" displayFolder="" count="0" unbalanced="0"/>
    <cacheHierarchy uniqueName="[Facilities].[Region]" caption="Region" attribute="1" defaultMemberUniqueName="[Facilities].[Region].[All]" allUniqueName="[Facilities].[Region].[All]" dimensionUniqueName="[Facilities]" displayFolder="" count="0" unbalanced="0"/>
    <cacheHierarchy uniqueName="[Facilities].[ShortName]" caption="ShortName" attribute="1" defaultMemberUniqueName="[Facilities].[ShortName].[All]" allUniqueName="[Facilities].[ShortName].[All]" dimensionUniqueName="[Facilities]" displayFolder="" count="0" unbalanced="0"/>
    <cacheHierarchy uniqueName="[Facilities].[Tier]" caption="Tier" attribute="1" defaultMemberUniqueName="[Facilities].[Tier].[All]" allUniqueName="[Facilities].[Tier].[All]" dimensionUniqueName="[Facilities]" displayFolder="" count="0" unbalanced="0"/>
    <cacheHierarchy uniqueName="[Facilities].[Ward]" caption="Ward" attribute="1" defaultMemberUniqueName="[Facilities].[Ward].[All]" allUniqueName="[Facilities].[Ward].[All]" dimensionUniqueName="[Facilities]" displayFolder="" count="0" unbalanced="0"/>
    <cacheHierarchy uniqueName="[feb results].[agegp]" caption="agegp" attribute="1" defaultMemberUniqueName="[feb results].[agegp].[All]" allUniqueName="[feb results].[agegp].[All]" dimensionUniqueName="[feb results]" displayFolder="" count="0" unbalanced="0"/>
    <cacheHierarchy uniqueName="[feb results].[ageyrs]" caption="ageyrs" attribute="1" defaultMemberUniqueName="[feb results].[ageyrs].[All]" allUniqueName="[feb results].[ageyrs].[All]" dimensionUniqueName="[feb results]" displayFolder="" count="0" unbalanced="0"/>
    <cacheHierarchy uniqueName="[feb results].[art_814d]" caption="art_814d" attribute="1" defaultMemberUniqueName="[feb results].[art_814d].[All]" allUniqueName="[feb results].[art_814d].[All]" dimensionUniqueName="[feb results]" displayFolder="" count="0" unbalanced="0"/>
    <cacheHierarchy uniqueName="[feb results].[art_o15d]" caption="art_o15d" attribute="1" defaultMemberUniqueName="[feb results].[art_o15d].[All]" allUniqueName="[feb results].[art_o15d].[All]" dimensionUniqueName="[feb results]" displayFolder="" count="0" unbalanced="0"/>
    <cacheHierarchy uniqueName="[feb results].[art_u8]" caption="art_u8" attribute="1" defaultMemberUniqueName="[feb results].[art_u8].[All]" allUniqueName="[feb results].[art_u8].[All]" dimensionUniqueName="[feb results]" displayFolder="" count="0" unbalanced="0"/>
    <cacheHierarchy uniqueName="[feb results].[council]" caption="council" attribute="1" defaultMemberUniqueName="[feb results].[council].[All]" allUniqueName="[feb results].[council].[All]" dimensionUniqueName="[feb results]" displayFolder="" count="0" unbalanced="0"/>
    <cacheHierarchy uniqueName="[feb results].[datimname]" caption="datimname" attribute="1" defaultMemberUniqueName="[feb results].[datimname].[All]" allUniqueName="[feb results].[datimname].[All]" dimensionUniqueName="[feb results]" displayFolder="" count="0" unbalanced="0"/>
    <cacheHierarchy uniqueName="[feb results].[datimuid]" caption="datimuid" attribute="1" defaultMemberUniqueName="[feb results].[datimuid].[All]" allUniqueName="[feb results].[datimuid].[All]" dimensionUniqueName="[feb results]" displayFolder="" count="0" unbalanced="0"/>
    <cacheHierarchy uniqueName="[feb results].[died]" caption="died" attribute="1" defaultMemberUniqueName="[feb results].[died].[All]" allUniqueName="[feb results].[died].[All]" dimensionUniqueName="[feb results]" displayFolder="" count="0" unbalanced="0"/>
    <cacheHierarchy uniqueName="[feb results].[district]" caption="district" attribute="1" defaultMemberUniqueName="[feb results].[district].[All]" allUniqueName="[feb results].[district].[All]" dimensionUniqueName="[feb results]" displayFolder="" count="0" unbalanced="0"/>
    <cacheHierarchy uniqueName="[feb results].[hvl_d]" caption="hvl_d" attribute="1" defaultMemberUniqueName="[feb results].[hvl_d].[All]" allUniqueName="[feb results].[hvl_d].[All]" dimensionUniqueName="[feb results]" displayFolder="" count="0" unbalanced="0"/>
    <cacheHierarchy uniqueName="[feb results].[hvl_d_u15]" caption="hvl_d_u15" attribute="1" defaultMemberUniqueName="[feb results].[hvl_d_u15].[All]" allUniqueName="[feb results].[hvl_d_u15].[All]" dimensionUniqueName="[feb results]" displayFolder="" count="0" unbalanced="0"/>
    <cacheHierarchy uniqueName="[feb results].[hvl_u1k_n]" caption="hvl_u1k_n" attribute="1" defaultMemberUniqueName="[feb results].[hvl_u1k_n].[All]" allUniqueName="[feb results].[hvl_u1k_n].[All]" dimensionUniqueName="[feb results]" displayFolder="" count="0" unbalanced="0"/>
    <cacheHierarchy uniqueName="[feb results].[hvl_u1k_n_u15]" caption="hvl_u1k_n_u15" attribute="1" defaultMemberUniqueName="[feb results].[hvl_u1k_n_u15].[All]" allUniqueName="[feb results].[hvl_u1k_n_u15].[All]" dimensionUniqueName="[feb results]" displayFolder="" count="0" unbalanced="0"/>
    <cacheHierarchy uniqueName="[feb results].[hvlelig]" caption="hvlelig" attribute="1" defaultMemberUniqueName="[feb results].[hvlelig].[All]" allUniqueName="[feb results].[hvlelig].[All]" dimensionUniqueName="[feb results]" displayFolder="" count="0" unbalanced="0"/>
    <cacheHierarchy uniqueName="[feb results].[hvlelig_u15]" caption="hvlelig_u15" attribute="1" defaultMemberUniqueName="[feb results].[hvlelig_u15].[All]" allUniqueName="[feb results].[hvlelig_u15].[All]" dimensionUniqueName="[feb results]" displayFolder="" count="0" unbalanced="0"/>
    <cacheHierarchy uniqueName="[feb results].[missedapp]" caption="missedapp" attribute="1" defaultMemberUniqueName="[feb results].[missedapp].[All]" allUniqueName="[feb results].[missedapp].[All]" dimensionUniqueName="[feb results]" displayFolder="" count="0" unbalanced="0"/>
    <cacheHierarchy uniqueName="[feb results].[mmp_1m]" caption="mmp_1m" attribute="1" defaultMemberUniqueName="[feb results].[mmp_1m].[All]" allUniqueName="[feb results].[mmp_1m].[All]" dimensionUniqueName="[feb results]" displayFolder="" count="0" unbalanced="0"/>
    <cacheHierarchy uniqueName="[feb results].[mmp_2m]" caption="mmp_2m" attribute="1" defaultMemberUniqueName="[feb results].[mmp_2m].[All]" allUniqueName="[feb results].[mmp_2m].[All]" dimensionUniqueName="[feb results]" displayFolder="" count="0" unbalanced="0"/>
    <cacheHierarchy uniqueName="[feb results].[mmp_3m]" caption="mmp_3m" attribute="1" defaultMemberUniqueName="[feb results].[mmp_3m].[All]" allUniqueName="[feb results].[mmp_3m].[All]" dimensionUniqueName="[feb results]" displayFolder="" count="0" unbalanced="0"/>
    <cacheHierarchy uniqueName="[feb results].[mmp_6m]" caption="mmp_6m" attribute="1" defaultMemberUniqueName="[feb results].[mmp_6m].[All]" allUniqueName="[feb results].[mmp_6m].[All]" dimensionUniqueName="[feb results]" displayFolder="" count="0" unbalanced="0"/>
    <cacheHierarchy uniqueName="[feb results].[noDBsubmitted]" caption="noDBsubmitted" attribute="1" defaultMemberUniqueName="[feb results].[noDBsubmitted].[All]" allUniqueName="[feb results].[noDBsubmitted].[All]" dimensionUniqueName="[feb results]" displayFolder="" count="0" unbalanced="0"/>
    <cacheHierarchy uniqueName="[feb results].[region]" caption="region" attribute="1" defaultMemberUniqueName="[feb results].[region].[All]" allUniqueName="[feb results].[region].[All]" dimensionUniqueName="[feb results]" displayFolder="" count="0" unbalanced="0"/>
    <cacheHierarchy uniqueName="[feb results].[t_tc_mmd3to5m_o15_f]" caption="t_tc_mmd3to5m_o15_f" attribute="1" defaultMemberUniqueName="[feb results].[t_tc_mmd3to5m_o15_f].[All]" allUniqueName="[feb results].[t_tc_mmd3to5m_o15_f].[All]" dimensionUniqueName="[feb results]" displayFolder="" count="0" unbalanced="0"/>
    <cacheHierarchy uniqueName="[feb results].[t_tc_mmd3to5m_o15_m]" caption="t_tc_mmd3to5m_o15_m" attribute="1" defaultMemberUniqueName="[feb results].[t_tc_mmd3to5m_o15_m].[All]" allUniqueName="[feb results].[t_tc_mmd3to5m_o15_m].[All]" dimensionUniqueName="[feb results]" displayFolder="" count="0" unbalanced="0"/>
    <cacheHierarchy uniqueName="[feb results].[t_tc_mmd3to5m_u15_f]" caption="t_tc_mmd3to5m_u15_f" attribute="1" defaultMemberUniqueName="[feb results].[t_tc_mmd3to5m_u15_f].[All]" allUniqueName="[feb results].[t_tc_mmd3to5m_u15_f].[All]" dimensionUniqueName="[feb results]" displayFolder="" count="0" unbalanced="0"/>
    <cacheHierarchy uniqueName="[feb results].[t_tc_mmd3to5m_u15_m]" caption="t_tc_mmd3to5m_u15_m" attribute="1" defaultMemberUniqueName="[feb results].[t_tc_mmd3to5m_u15_m].[All]" allUniqueName="[feb results].[t_tc_mmd3to5m_u15_m].[All]" dimensionUniqueName="[feb results]" displayFolder="" count="0" unbalanced="0"/>
    <cacheHierarchy uniqueName="[feb results].[t_tc_mmdo6m_o15_f]" caption="t_tc_mmdo6m_o15_f" attribute="1" defaultMemberUniqueName="[feb results].[t_tc_mmdo6m_o15_f].[All]" allUniqueName="[feb results].[t_tc_mmdo6m_o15_f].[All]" dimensionUniqueName="[feb results]" displayFolder="" count="0" unbalanced="0"/>
    <cacheHierarchy uniqueName="[feb results].[t_tc_mmdo6m_o15_m]" caption="t_tc_mmdo6m_o15_m" attribute="1" defaultMemberUniqueName="[feb results].[t_tc_mmdo6m_o15_m].[All]" allUniqueName="[feb results].[t_tc_mmdo6m_o15_m].[All]" dimensionUniqueName="[feb results]" displayFolder="" count="0" unbalanced="0"/>
    <cacheHierarchy uniqueName="[feb results].[t_tc_mmdo6m_u15_f]" caption="t_tc_mmdo6m_u15_f" attribute="1" defaultMemberUniqueName="[feb results].[t_tc_mmdo6m_u15_f].[All]" allUniqueName="[feb results].[t_tc_mmdo6m_u15_f].[All]" dimensionUniqueName="[feb results]" displayFolder="" count="0" unbalanced="0"/>
    <cacheHierarchy uniqueName="[feb results].[t_tc_mmdo6m_u15_m]" caption="t_tc_mmdo6m_u15_m" attribute="1" defaultMemberUniqueName="[feb results].[t_tc_mmdo6m_u15_m].[All]" allUniqueName="[feb results].[t_tc_mmdo6m_u15_m].[All]" dimensionUniqueName="[feb results]" displayFolder="" count="0" unbalanced="0"/>
    <cacheHierarchy uniqueName="[feb results].[t_tc_mmdu3m_o15_f]" caption="t_tc_mmdu3m_o15_f" attribute="1" defaultMemberUniqueName="[feb results].[t_tc_mmdu3m_o15_f].[All]" allUniqueName="[feb results].[t_tc_mmdu3m_o15_f].[All]" dimensionUniqueName="[feb results]" displayFolder="" count="0" unbalanced="0"/>
    <cacheHierarchy uniqueName="[feb results].[t_tc_mmdu3m_o15_m]" caption="t_tc_mmdu3m_o15_m" attribute="1" defaultMemberUniqueName="[feb results].[t_tc_mmdu3m_o15_m].[All]" allUniqueName="[feb results].[t_tc_mmdu3m_o15_m].[All]" dimensionUniqueName="[feb results]" displayFolder="" count="0" unbalanced="0"/>
    <cacheHierarchy uniqueName="[feb results].[t_tc_mmdu3m_u15_f]" caption="t_tc_mmdu3m_u15_f" attribute="1" defaultMemberUniqueName="[feb results].[t_tc_mmdu3m_u15_f].[All]" allUniqueName="[feb results].[t_tc_mmdu3m_u15_f].[All]" dimensionUniqueName="[feb results]" displayFolder="" count="0" unbalanced="0"/>
    <cacheHierarchy uniqueName="[feb results].[t_tc_mmdu3m_u15_m]" caption="t_tc_mmdu3m_u15_m" attribute="1" defaultMemberUniqueName="[feb results].[t_tc_mmdu3m_u15_m].[All]" allUniqueName="[feb results].[t_tc_mmdu3m_u15_m].[All]" dimensionUniqueName="[feb results]" displayFolder="" count="0" unbalanced="0"/>
    <cacheHierarchy uniqueName="[feb results].[t_txcurr_lastm]" caption="t_txcurr_lastm" attribute="1" defaultMemberUniqueName="[feb results].[t_txcurr_lastm].[All]" allUniqueName="[feb results].[t_txcurr_lastm].[All]" dimensionUniqueName="[feb results]" displayFolder="" count="0" unbalanced="0"/>
    <cacheHierarchy uniqueName="[feb results].[t_txcurr_o15_f]" caption="t_txcurr_o15_f" attribute="1" defaultMemberUniqueName="[feb results].[t_txcurr_o15_f].[All]" allUniqueName="[feb results].[t_txcurr_o15_f].[All]" dimensionUniqueName="[feb results]" displayFolder="" count="0" unbalanced="0"/>
    <cacheHierarchy uniqueName="[feb results].[t_txcurr_o15_m]" caption="t_txcurr_o15_m" attribute="1" defaultMemberUniqueName="[feb results].[t_txcurr_o15_m].[All]" allUniqueName="[feb results].[t_txcurr_o15_m].[All]" dimensionUniqueName="[feb results]" displayFolder="" count="0" unbalanced="0"/>
    <cacheHierarchy uniqueName="[feb results].[t_txcurr_thism]" caption="t_txcurr_thism" attribute="1" defaultMemberUniqueName="[feb results].[t_txcurr_thism].[All]" allUniqueName="[feb results].[t_txcurr_thism].[All]" dimensionUniqueName="[feb results]" displayFolder="" count="0" unbalanced="0"/>
    <cacheHierarchy uniqueName="[feb results].[t_txcurr_u15_f]" caption="t_txcurr_u15_f" attribute="1" defaultMemberUniqueName="[feb results].[t_txcurr_u15_f].[All]" allUniqueName="[feb results].[t_txcurr_u15_f].[All]" dimensionUniqueName="[feb results]" displayFolder="" count="0" unbalanced="0"/>
    <cacheHierarchy uniqueName="[feb results].[t_txcurr_u15_m]" caption="t_txcurr_u15_m" attribute="1" defaultMemberUniqueName="[feb results].[t_txcurr_u15_m].[All]" allUniqueName="[feb results].[t_txcurr_u15_m].[All]" dimensionUniqueName="[feb results]" displayFolder="" count="0" unbalanced="0"/>
    <cacheHierarchy uniqueName="[feb results].[t_txnew]" caption="t_txnew" attribute="1" defaultMemberUniqueName="[feb results].[t_txnew].[All]" allUniqueName="[feb results].[t_txnew].[All]" dimensionUniqueName="[feb results]" displayFolder="" count="0" unbalanced="0"/>
    <cacheHierarchy uniqueName="[feb results].[t_txnew_2vis]" caption="t_txnew_2vis" attribute="1" defaultMemberUniqueName="[feb results].[t_txnew_2vis].[All]" allUniqueName="[feb results].[t_txnew_2vis].[All]" dimensionUniqueName="[feb results]" displayFolder="" count="0" unbalanced="0"/>
    <cacheHierarchy uniqueName="[feb results].[t_txnew_o15_f]" caption="t_txnew_o15_f" attribute="1" defaultMemberUniqueName="[feb results].[t_txnew_o15_f].[All]" allUniqueName="[feb results].[t_txnew_o15_f].[All]" dimensionUniqueName="[feb results]" displayFolder="" count="0" unbalanced="0"/>
    <cacheHierarchy uniqueName="[feb results].[t_txnew_o15_m]" caption="t_txnew_o15_m" attribute="1" defaultMemberUniqueName="[feb results].[t_txnew_o15_m].[All]" allUniqueName="[feb results].[t_txnew_o15_m].[All]" dimensionUniqueName="[feb results]" displayFolder="" count="0" unbalanced="0"/>
    <cacheHierarchy uniqueName="[feb results].[t_txnew_u15_f]" caption="t_txnew_u15_f" attribute="1" defaultMemberUniqueName="[feb results].[t_txnew_u15_f].[All]" allUniqueName="[feb results].[t_txnew_u15_f].[All]" dimensionUniqueName="[feb results]" displayFolder="" count="0" unbalanced="0"/>
    <cacheHierarchy uniqueName="[feb results].[t_txnew_u15_m]" caption="t_txnew_u15_m" attribute="1" defaultMemberUniqueName="[feb results].[t_txnew_u15_m].[All]" allUniqueName="[feb results].[t_txnew_u15_m].[All]" dimensionUniqueName="[feb results]" displayFolder="" count="0" unbalanced="0"/>
    <cacheHierarchy uniqueName="[feb results].[tbprev_d]" caption="tbprev_d" attribute="1" defaultMemberUniqueName="[feb results].[tbprev_d].[All]" allUniqueName="[feb results].[tbprev_d].[All]" dimensionUniqueName="[feb results]" displayFolder="" count="0" unbalanced="0"/>
    <cacheHierarchy uniqueName="[feb results].[tbprev_n]" caption="tbprev_n" attribute="1" defaultMemberUniqueName="[feb results].[tbprev_n].[All]" allUniqueName="[feb results].[tbprev_n].[All]" dimensionUniqueName="[feb results]" displayFolder="" count="0" unbalanced="0"/>
    <cacheHierarchy uniqueName="[feb results].[tbprev_start_thismo]" caption="tbprev_start_thismo" attribute="1" defaultMemberUniqueName="[feb results].[tbprev_start_thismo].[All]" allUniqueName="[feb results].[tbprev_start_thismo].[All]" dimensionUniqueName="[feb results]" displayFolder="" count="0" unbalanced="0"/>
    <cacheHierarchy uniqueName="[feb results].[TI]" caption="TI" attribute="1" defaultMemberUniqueName="[feb results].[TI].[All]" allUniqueName="[feb results].[TI].[All]" dimensionUniqueName="[feb results]" displayFolder="" count="0" unbalanced="0"/>
    <cacheHierarchy uniqueName="[feb results].[tier]" caption="tier" attribute="1" defaultMemberUniqueName="[feb results].[tier].[All]" allUniqueName="[feb results].[tier].[All]" dimensionUniqueName="[feb results]" displayFolder="" count="0" unbalanced="0"/>
    <cacheHierarchy uniqueName="[feb results].[TO]" caption="TO" attribute="1" defaultMemberUniqueName="[feb results].[TO].[All]" allUniqueName="[feb results].[TO].[All]" dimensionUniqueName="[feb results]" displayFolder="" count="0" unbalanced="0"/>
    <cacheHierarchy uniqueName="[feb results].[ward]" caption="ward" attribute="1" defaultMemberUniqueName="[feb results].[ward].[All]" allUniqueName="[feb results].[ward].[All]" dimensionUniqueName="[feb results]" displayFolder="" count="0" unbalanced="0"/>
    <cacheHierarchy uniqueName="[Grace Period Days].[Grace Period Days]" caption="Grace Period Days" attribute="1" defaultMemberUniqueName="[Grace Period Days].[Grace Period Days].[All]" allUniqueName="[Grace Period Days].[Grace Period Days].[All]" dimensionUniqueName="[Grace Period Days]" displayFolder="" count="0" unbalanced="0"/>
    <cacheHierarchy uniqueName="[Gretchen Results].[agegp]" caption="agegp" attribute="1" defaultMemberUniqueName="[Gretchen Results].[agegp].[All]" allUniqueName="[Gretchen Results].[agegp].[All]" dimensionUniqueName="[Gretchen Results]" displayFolder="" count="0" unbalanced="0"/>
    <cacheHierarchy uniqueName="[Gretchen Results].[ageyrs]" caption="ageyrs" attribute="1" defaultMemberUniqueName="[Gretchen Results].[ageyrs].[All]" allUniqueName="[Gretchen Results].[ageyrs].[All]" dimensionUniqueName="[Gretchen Results]" displayFolder="" count="0" unbalanced="0"/>
    <cacheHierarchy uniqueName="[Gretchen Results].[art_814d]" caption="art_814d" attribute="1" defaultMemberUniqueName="[Gretchen Results].[art_814d].[All]" allUniqueName="[Gretchen Results].[art_814d].[All]" dimensionUniqueName="[Gretchen Results]" displayFolder="" count="0" unbalanced="0"/>
    <cacheHierarchy uniqueName="[Gretchen Results].[art_o15d]" caption="art_o15d" attribute="1" defaultMemberUniqueName="[Gretchen Results].[art_o15d].[All]" allUniqueName="[Gretchen Results].[art_o15d].[All]" dimensionUniqueName="[Gretchen Results]" displayFolder="" count="0" unbalanced="0"/>
    <cacheHierarchy uniqueName="[Gretchen Results].[art_u8]" caption="art_u8" attribute="1" defaultMemberUniqueName="[Gretchen Results].[art_u8].[All]" allUniqueName="[Gretchen Results].[art_u8].[All]" dimensionUniqueName="[Gretchen Results]" displayFolder="" count="0" unbalanced="0"/>
    <cacheHierarchy uniqueName="[Gretchen Results].[council]" caption="council" attribute="1" defaultMemberUniqueName="[Gretchen Results].[council].[All]" allUniqueName="[Gretchen Results].[council].[All]" dimensionUniqueName="[Gretchen Results]" displayFolder="" count="0" unbalanced="0"/>
    <cacheHierarchy uniqueName="[Gretchen Results].[countpy5]" caption="countpy5" attribute="1" defaultMemberUniqueName="[Gretchen Results].[countpy5].[All]" allUniqueName="[Gretchen Results].[countpy5].[All]" dimensionUniqueName="[Gretchen Results]" displayFolder="" count="0" unbalanced="0"/>
    <cacheHierarchy uniqueName="[Gretchen Results].[datimname]" caption="datimname" attribute="1" defaultMemberUniqueName="[Gretchen Results].[datimname].[All]" allUniqueName="[Gretchen Results].[datimname].[All]" dimensionUniqueName="[Gretchen Results]" displayFolder="" count="0" unbalanced="0"/>
    <cacheHierarchy uniqueName="[Gretchen Results].[datimuid]" caption="datimuid" attribute="1" defaultMemberUniqueName="[Gretchen Results].[datimuid].[All]" allUniqueName="[Gretchen Results].[datimuid].[All]" dimensionUniqueName="[Gretchen Results]" displayFolder="" count="0" unbalanced="0"/>
    <cacheHierarchy uniqueName="[Gretchen Results].[dhisid]" caption="dhisid" attribute="1" defaultMemberUniqueName="[Gretchen Results].[dhisid].[All]" allUniqueName="[Gretchen Results].[dhisid].[All]" dimensionUniqueName="[Gretchen Results]" displayFolder="" count="0" unbalanced="0"/>
    <cacheHierarchy uniqueName="[Gretchen Results].[dhisname]" caption="dhisname" attribute="1" defaultMemberUniqueName="[Gretchen Results].[dhisname].[All]" allUniqueName="[Gretchen Results].[dhisname].[All]" dimensionUniqueName="[Gretchen Results]" displayFolder="" count="0" unbalanced="0"/>
    <cacheHierarchy uniqueName="[Gretchen Results].[died]" caption="died" attribute="1" defaultMemberUniqueName="[Gretchen Results].[died].[All]" allUniqueName="[Gretchen Results].[died].[All]" dimensionUniqueName="[Gretchen Results]" displayFolder="" count="0" unbalanced="0"/>
    <cacheHierarchy uniqueName="[Gretchen Results].[district]" caption="district" attribute="1" defaultMemberUniqueName="[Gretchen Results].[district].[All]" allUniqueName="[Gretchen Results].[district].[All]" dimensionUniqueName="[Gretchen Results]" displayFolder="" count="0" unbalanced="0"/>
    <cacheHierarchy uniqueName="[Gretchen Results].[hfrid]" caption="hfrid" attribute="1" defaultMemberUniqueName="[Gretchen Results].[hfrid].[All]" allUniqueName="[Gretchen Results].[hfrid].[All]" dimensionUniqueName="[Gretchen Results]" displayFolder="" count="0" unbalanced="0"/>
    <cacheHierarchy uniqueName="[Gretchen Results].[hvl_d]" caption="hvl_d" attribute="1" defaultMemberUniqueName="[Gretchen Results].[hvl_d].[All]" allUniqueName="[Gretchen Results].[hvl_d].[All]" dimensionUniqueName="[Gretchen Results]" displayFolder="" count="0" unbalanced="0"/>
    <cacheHierarchy uniqueName="[Gretchen Results].[hvl_d_o15]" caption="hvl_d_o15" attribute="1" defaultMemberUniqueName="[Gretchen Results].[hvl_d_o15].[All]" allUniqueName="[Gretchen Results].[hvl_d_o15].[All]" dimensionUniqueName="[Gretchen Results]" displayFolder="" count="0" unbalanced="0"/>
    <cacheHierarchy uniqueName="[Gretchen Results].[hvl_d_u15]" caption="hvl_d_u15" attribute="1" defaultMemberUniqueName="[Gretchen Results].[hvl_d_u15].[All]" allUniqueName="[Gretchen Results].[hvl_d_u15].[All]" dimensionUniqueName="[Gretchen Results]" displayFolder="" count="0" unbalanced="0"/>
    <cacheHierarchy uniqueName="[Gretchen Results].[hvl_u1k_n]" caption="hvl_u1k_n" attribute="1" defaultMemberUniqueName="[Gretchen Results].[hvl_u1k_n].[All]" allUniqueName="[Gretchen Results].[hvl_u1k_n].[All]" dimensionUniqueName="[Gretchen Results]" displayFolder="" count="0" unbalanced="0"/>
    <cacheHierarchy uniqueName="[Gretchen Results].[hvl_u1k_n_o15]" caption="hvl_u1k_n_o15" attribute="1" defaultMemberUniqueName="[Gretchen Results].[hvl_u1k_n_o15].[All]" allUniqueName="[Gretchen Results].[hvl_u1k_n_o15].[All]" dimensionUniqueName="[Gretchen Results]" displayFolder="" count="0" unbalanced="0"/>
    <cacheHierarchy uniqueName="[Gretchen Results].[hvl_u1k_n_u15]" caption="hvl_u1k_n_u15" attribute="1" defaultMemberUniqueName="[Gretchen Results].[hvl_u1k_n_u15].[All]" allUniqueName="[Gretchen Results].[hvl_u1k_n_u15].[All]" dimensionUniqueName="[Gretchen Results]" displayFolder="" count="0" unbalanced="0"/>
    <cacheHierarchy uniqueName="[Gretchen Results].[hvlelig]" caption="hvlelig" attribute="1" defaultMemberUniqueName="[Gretchen Results].[hvlelig].[All]" allUniqueName="[Gretchen Results].[hvlelig].[All]" dimensionUniqueName="[Gretchen Results]" displayFolder="" count="0" unbalanced="0"/>
    <cacheHierarchy uniqueName="[Gretchen Results].[hvlelig_o15]" caption="hvlelig_o15" attribute="1" defaultMemberUniqueName="[Gretchen Results].[hvlelig_o15].[All]" allUniqueName="[Gretchen Results].[hvlelig_o15].[All]" dimensionUniqueName="[Gretchen Results]" displayFolder="" count="0" unbalanced="0"/>
    <cacheHierarchy uniqueName="[Gretchen Results].[hvlelig_u15]" caption="hvlelig_u15" attribute="1" defaultMemberUniqueName="[Gretchen Results].[hvlelig_u15].[All]" allUniqueName="[Gretchen Results].[hvlelig_u15].[All]" dimensionUniqueName="[Gretchen Results]" displayFolder="" count="0" unbalanced="0"/>
    <cacheHierarchy uniqueName="[Gretchen Results].[missedapp]" caption="missedapp" attribute="1" defaultMemberUniqueName="[Gretchen Results].[missedapp].[All]" allUniqueName="[Gretchen Results].[missedapp].[All]" dimensionUniqueName="[Gretchen Results]" displayFolder="" count="0" unbalanced="0"/>
    <cacheHierarchy uniqueName="[Gretchen Results].[mmp_1m]" caption="mmp_1m" attribute="1" defaultMemberUniqueName="[Gretchen Results].[mmp_1m].[All]" allUniqueName="[Gretchen Results].[mmp_1m].[All]" dimensionUniqueName="[Gretchen Results]" displayFolder="" count="0" unbalanced="0"/>
    <cacheHierarchy uniqueName="[Gretchen Results].[mmp_2m]" caption="mmp_2m" attribute="1" defaultMemberUniqueName="[Gretchen Results].[mmp_2m].[All]" allUniqueName="[Gretchen Results].[mmp_2m].[All]" dimensionUniqueName="[Gretchen Results]" displayFolder="" count="0" unbalanced="0"/>
    <cacheHierarchy uniqueName="[Gretchen Results].[mmp_3m]" caption="mmp_3m" attribute="1" defaultMemberUniqueName="[Gretchen Results].[mmp_3m].[All]" allUniqueName="[Gretchen Results].[mmp_3m].[All]" dimensionUniqueName="[Gretchen Results]" displayFolder="" count="0" unbalanced="0"/>
    <cacheHierarchy uniqueName="[Gretchen Results].[mmp_6m]" caption="mmp_6m" attribute="1" defaultMemberUniqueName="[Gretchen Results].[mmp_6m].[All]" allUniqueName="[Gretchen Results].[mmp_6m].[All]" dimensionUniqueName="[Gretchen Results]" displayFolder="" count="0" unbalanced="0"/>
    <cacheHierarchy uniqueName="[Gretchen Results].[mmp_u6m]" caption="mmp_u6m" attribute="1" defaultMemberUniqueName="[Gretchen Results].[mmp_u6m].[All]" allUniqueName="[Gretchen Results].[mmp_u6m].[All]" dimensionUniqueName="[Gretchen Results]" displayFolder="" count="0" unbalanced="0"/>
    <cacheHierarchy uniqueName="[Gretchen Results].[noDBsubmitted]" caption="noDBsubmitted" attribute="1" defaultMemberUniqueName="[Gretchen Results].[noDBsubmitted].[All]" allUniqueName="[Gretchen Results].[noDBsubmitted].[All]" dimensionUniqueName="[Gretchen Results]" displayFolder="" count="0" unbalanced="0"/>
    <cacheHierarchy uniqueName="[Gretchen Results].[pid]" caption="pid" attribute="1" defaultMemberUniqueName="[Gretchen Results].[pid].[All]" allUniqueName="[Gretchen Results].[pid].[All]" dimensionUniqueName="[Gretchen Results]" displayFolder="" count="0" unbalanced="0"/>
    <cacheHierarchy uniqueName="[Gretchen Results].[region]" caption="region" attribute="1" defaultMemberUniqueName="[Gretchen Results].[region].[All]" allUniqueName="[Gretchen Results].[region].[All]" dimensionUniqueName="[Gretchen Results]" displayFolder="" count="0" unbalanced="0"/>
    <cacheHierarchy uniqueName="[Gretchen Results].[siteid]" caption="siteid" attribute="1" defaultMemberUniqueName="[Gretchen Results].[siteid].[All]" allUniqueName="[Gretchen Results].[siteid].[All]" dimensionUniqueName="[Gretchen Results]" displayFolder="" count="0" unbalanced="0"/>
    <cacheHierarchy uniqueName="[Gretchen Results].[t_tc_mmd3to5m_o15_f]" caption="t_tc_mmd3to5m_o15_f" attribute="1" defaultMemberUniqueName="[Gretchen Results].[t_tc_mmd3to5m_o15_f].[All]" allUniqueName="[Gretchen Results].[t_tc_mmd3to5m_o15_f].[All]" dimensionUniqueName="[Gretchen Results]" displayFolder="" count="0" unbalanced="0"/>
    <cacheHierarchy uniqueName="[Gretchen Results].[t_tc_mmd3to5m_o15_m]" caption="t_tc_mmd3to5m_o15_m" attribute="1" defaultMemberUniqueName="[Gretchen Results].[t_tc_mmd3to5m_o15_m].[All]" allUniqueName="[Gretchen Results].[t_tc_mmd3to5m_o15_m].[All]" dimensionUniqueName="[Gretchen Results]" displayFolder="" count="0" unbalanced="0"/>
    <cacheHierarchy uniqueName="[Gretchen Results].[t_tc_mmd3to5m_u15_f]" caption="t_tc_mmd3to5m_u15_f" attribute="1" defaultMemberUniqueName="[Gretchen Results].[t_tc_mmd3to5m_u15_f].[All]" allUniqueName="[Gretchen Results].[t_tc_mmd3to5m_u15_f].[All]" dimensionUniqueName="[Gretchen Results]" displayFolder="" count="0" unbalanced="0"/>
    <cacheHierarchy uniqueName="[Gretchen Results].[t_tc_mmd3to5m_u15_m]" caption="t_tc_mmd3to5m_u15_m" attribute="1" defaultMemberUniqueName="[Gretchen Results].[t_tc_mmd3to5m_u15_m].[All]" allUniqueName="[Gretchen Results].[t_tc_mmd3to5m_u15_m].[All]" dimensionUniqueName="[Gretchen Results]" displayFolder="" count="0" unbalanced="0"/>
    <cacheHierarchy uniqueName="[Gretchen Results].[t_tc_mmdo6m_o15_f]" caption="t_tc_mmdo6m_o15_f" attribute="1" defaultMemberUniqueName="[Gretchen Results].[t_tc_mmdo6m_o15_f].[All]" allUniqueName="[Gretchen Results].[t_tc_mmdo6m_o15_f].[All]" dimensionUniqueName="[Gretchen Results]" displayFolder="" count="0" unbalanced="0"/>
    <cacheHierarchy uniqueName="[Gretchen Results].[t_tc_mmdo6m_o15_m]" caption="t_tc_mmdo6m_o15_m" attribute="1" defaultMemberUniqueName="[Gretchen Results].[t_tc_mmdo6m_o15_m].[All]" allUniqueName="[Gretchen Results].[t_tc_mmdo6m_o15_m].[All]" dimensionUniqueName="[Gretchen Results]" displayFolder="" count="0" unbalanced="0"/>
    <cacheHierarchy uniqueName="[Gretchen Results].[t_tc_mmdo6m_u15_f]" caption="t_tc_mmdo6m_u15_f" attribute="1" defaultMemberUniqueName="[Gretchen Results].[t_tc_mmdo6m_u15_f].[All]" allUniqueName="[Gretchen Results].[t_tc_mmdo6m_u15_f].[All]" dimensionUniqueName="[Gretchen Results]" displayFolder="" count="0" unbalanced="0"/>
    <cacheHierarchy uniqueName="[Gretchen Results].[t_tc_mmdo6m_u15_m]" caption="t_tc_mmdo6m_u15_m" attribute="1" defaultMemberUniqueName="[Gretchen Results].[t_tc_mmdo6m_u15_m].[All]" allUniqueName="[Gretchen Results].[t_tc_mmdo6m_u15_m].[All]" dimensionUniqueName="[Gretchen Results]" displayFolder="" count="0" unbalanced="0"/>
    <cacheHierarchy uniqueName="[Gretchen Results].[t_tc_mmdu3m_o15_f]" caption="t_tc_mmdu3m_o15_f" attribute="1" defaultMemberUniqueName="[Gretchen Results].[t_tc_mmdu3m_o15_f].[All]" allUniqueName="[Gretchen Results].[t_tc_mmdu3m_o15_f].[All]" dimensionUniqueName="[Gretchen Results]" displayFolder="" count="0" unbalanced="0"/>
    <cacheHierarchy uniqueName="[Gretchen Results].[t_tc_mmdu3m_o15_m]" caption="t_tc_mmdu3m_o15_m" attribute="1" defaultMemberUniqueName="[Gretchen Results].[t_tc_mmdu3m_o15_m].[All]" allUniqueName="[Gretchen Results].[t_tc_mmdu3m_o15_m].[All]" dimensionUniqueName="[Gretchen Results]" displayFolder="" count="0" unbalanced="0"/>
    <cacheHierarchy uniqueName="[Gretchen Results].[t_tc_mmdu3m_u15_f]" caption="t_tc_mmdu3m_u15_f" attribute="1" defaultMemberUniqueName="[Gretchen Results].[t_tc_mmdu3m_u15_f].[All]" allUniqueName="[Gretchen Results].[t_tc_mmdu3m_u15_f].[All]" dimensionUniqueName="[Gretchen Results]" displayFolder="" count="0" unbalanced="0"/>
    <cacheHierarchy uniqueName="[Gretchen Results].[t_tc_mmdu3m_u15_m]" caption="t_tc_mmdu3m_u15_m" attribute="1" defaultMemberUniqueName="[Gretchen Results].[t_tc_mmdu3m_u15_m].[All]" allUniqueName="[Gretchen Results].[t_tc_mmdu3m_u15_m].[All]" dimensionUniqueName="[Gretchen Results]" displayFolder="" count="0" unbalanced="0"/>
    <cacheHierarchy uniqueName="[Gretchen Results].[t_txcurr_lastm]" caption="t_txcurr_lastm" attribute="1" defaultMemberUniqueName="[Gretchen Results].[t_txcurr_lastm].[All]" allUniqueName="[Gretchen Results].[t_txcurr_lastm].[All]" dimensionUniqueName="[Gretchen Results]" displayFolder="" count="0" unbalanced="0"/>
    <cacheHierarchy uniqueName="[Gretchen Results].[t_txcurr_o15_f]" caption="t_txcurr_o15_f" attribute="1" defaultMemberUniqueName="[Gretchen Results].[t_txcurr_o15_f].[All]" allUniqueName="[Gretchen Results].[t_txcurr_o15_f].[All]" dimensionUniqueName="[Gretchen Results]" displayFolder="" count="0" unbalanced="0"/>
    <cacheHierarchy uniqueName="[Gretchen Results].[t_txcurr_o15_m]" caption="t_txcurr_o15_m" attribute="1" defaultMemberUniqueName="[Gretchen Results].[t_txcurr_o15_m].[All]" allUniqueName="[Gretchen Results].[t_txcurr_o15_m].[All]" dimensionUniqueName="[Gretchen Results]" displayFolder="" count="0" unbalanced="0"/>
    <cacheHierarchy uniqueName="[Gretchen Results].[t_txcurr_thism]" caption="t_txcurr_thism" attribute="1" defaultMemberUniqueName="[Gretchen Results].[t_txcurr_thism].[All]" allUniqueName="[Gretchen Results].[t_txcurr_thism].[All]" dimensionUniqueName="[Gretchen Results]" displayFolder="" count="0" unbalanced="0"/>
    <cacheHierarchy uniqueName="[Gretchen Results].[t_txcurr_u15_f]" caption="t_txcurr_u15_f" attribute="1" defaultMemberUniqueName="[Gretchen Results].[t_txcurr_u15_f].[All]" allUniqueName="[Gretchen Results].[t_txcurr_u15_f].[All]" dimensionUniqueName="[Gretchen Results]" displayFolder="" count="0" unbalanced="0"/>
    <cacheHierarchy uniqueName="[Gretchen Results].[t_txcurr_u15_m]" caption="t_txcurr_u15_m" attribute="1" defaultMemberUniqueName="[Gretchen Results].[t_txcurr_u15_m].[All]" allUniqueName="[Gretchen Results].[t_txcurr_u15_m].[All]" dimensionUniqueName="[Gretchen Results]" displayFolder="" count="0" unbalanced="0"/>
    <cacheHierarchy uniqueName="[Gretchen Results].[t_txnew]" caption="t_txnew" attribute="1" defaultMemberUniqueName="[Gretchen Results].[t_txnew].[All]" allUniqueName="[Gretchen Results].[t_txnew].[All]" dimensionUniqueName="[Gretchen Results]" displayFolder="" count="0" unbalanced="0"/>
    <cacheHierarchy uniqueName="[Gretchen Results].[t_txnew_2vis]" caption="t_txnew_2vis" attribute="1" defaultMemberUniqueName="[Gretchen Results].[t_txnew_2vis].[All]" allUniqueName="[Gretchen Results].[t_txnew_2vis].[All]" dimensionUniqueName="[Gretchen Results]" displayFolder="" count="0" unbalanced="0"/>
    <cacheHierarchy uniqueName="[Gretchen Results].[t_txnew_lastm]" caption="t_txnew_lastm" attribute="1" defaultMemberUniqueName="[Gretchen Results].[t_txnew_lastm].[All]" allUniqueName="[Gretchen Results].[t_txnew_lastm].[All]" dimensionUniqueName="[Gretchen Results]" displayFolder="" count="0" unbalanced="0"/>
    <cacheHierarchy uniqueName="[Gretchen Results].[t_txnew_o15_f]" caption="t_txnew_o15_f" attribute="1" defaultMemberUniqueName="[Gretchen Results].[t_txnew_o15_f].[All]" allUniqueName="[Gretchen Results].[t_txnew_o15_f].[All]" dimensionUniqueName="[Gretchen Results]" displayFolder="" count="0" unbalanced="0"/>
    <cacheHierarchy uniqueName="[Gretchen Results].[t_txnew_o15_m]" caption="t_txnew_o15_m" attribute="1" defaultMemberUniqueName="[Gretchen Results].[t_txnew_o15_m].[All]" allUniqueName="[Gretchen Results].[t_txnew_o15_m].[All]" dimensionUniqueName="[Gretchen Results]" displayFolder="" count="0" unbalanced="0"/>
    <cacheHierarchy uniqueName="[Gretchen Results].[t_txnew_u15]" caption="t_txnew_u15" attribute="1" defaultMemberUniqueName="[Gretchen Results].[t_txnew_u15].[All]" allUniqueName="[Gretchen Results].[t_txnew_u15].[All]" dimensionUniqueName="[Gretchen Results]" displayFolder="" count="0" unbalanced="0"/>
    <cacheHierarchy uniqueName="[Gretchen Results].[t_txnew_u15_f]" caption="t_txnew_u15_f" attribute="1" defaultMemberUniqueName="[Gretchen Results].[t_txnew_u15_f].[All]" allUniqueName="[Gretchen Results].[t_txnew_u15_f].[All]" dimensionUniqueName="[Gretchen Results]" displayFolder="" count="0" unbalanced="0"/>
    <cacheHierarchy uniqueName="[Gretchen Results].[t_txnew_u15_m]" caption="t_txnew_u15_m" attribute="1" defaultMemberUniqueName="[Gretchen Results].[t_txnew_u15_m].[All]" allUniqueName="[Gretchen Results].[t_txnew_u15_m].[All]" dimensionUniqueName="[Gretchen Results]" displayFolder="" count="0" unbalanced="0"/>
    <cacheHierarchy uniqueName="[Gretchen Results].[tbprev_d]" caption="tbprev_d" attribute="1" defaultMemberUniqueName="[Gretchen Results].[tbprev_d].[All]" allUniqueName="[Gretchen Results].[tbprev_d].[All]" dimensionUniqueName="[Gretchen Results]" displayFolder="" count="0" unbalanced="0"/>
    <cacheHierarchy uniqueName="[Gretchen Results].[tbprev_n]" caption="tbprev_n" attribute="1" defaultMemberUniqueName="[Gretchen Results].[tbprev_n].[All]" allUniqueName="[Gretchen Results].[tbprev_n].[All]" dimensionUniqueName="[Gretchen Results]" displayFolder="" count="0" unbalanced="0"/>
    <cacheHierarchy uniqueName="[Gretchen Results].[tbprev_start_thismo]" caption="tbprev_start_thismo" attribute="1" defaultMemberUniqueName="[Gretchen Results].[tbprev_start_thismo].[All]" allUniqueName="[Gretchen Results].[tbprev_start_thismo].[All]" dimensionUniqueName="[Gretchen Results]" displayFolder="" count="0" unbalanced="0"/>
    <cacheHierarchy uniqueName="[Gretchen Results].[TI]" caption="TI" attribute="1" defaultMemberUniqueName="[Gretchen Results].[TI].[All]" allUniqueName="[Gretchen Results].[TI].[All]" dimensionUniqueName="[Gretchen Results]" displayFolder="" count="0" unbalanced="0"/>
    <cacheHierarchy uniqueName="[Gretchen Results].[tier]" caption="tier" attribute="1" defaultMemberUniqueName="[Gretchen Results].[tier].[All]" allUniqueName="[Gretchen Results].[tier].[All]" dimensionUniqueName="[Gretchen Results]" displayFolder="" count="0" unbalanced="0"/>
    <cacheHierarchy uniqueName="[Gretchen Results].[TO]" caption="TO" attribute="1" defaultMemberUniqueName="[Gretchen Results].[TO].[All]" allUniqueName="[Gretchen Results].[TO].[All]" dimensionUniqueName="[Gretchen Results]" displayFolder="" count="0" unbalanced="0"/>
    <cacheHierarchy uniqueName="[Gretchen Results].[ward]" caption="ward" attribute="1" defaultMemberUniqueName="[Gretchen Results].[ward].[All]" allUniqueName="[Gretchen Results].[ward].[All]" dimensionUniqueName="[Gretchen Results]" displayFolder="" count="0" unbalanced="0"/>
    <cacheHierarchy uniqueName="[Gretchen Results].[yrmo]" caption="yrmo" attribute="1" defaultMemberUniqueName="[Gretchen Results].[yrmo].[All]" allUniqueName="[Gretchen Results].[yrmo].[All]" dimensionUniqueName="[Gretchen Results]" displayFolder="" count="0" unbalanced="0"/>
    <cacheHierarchy uniqueName="[Gretchen Results 3mar].[agegp]" caption="agegp" attribute="1" defaultMemberUniqueName="[Gretchen Results 3mar].[agegp].[All]" allUniqueName="[Gretchen Results 3mar].[agegp].[All]" dimensionUniqueName="[Gretchen Results 3mar]" displayFolder="" count="0" unbalanced="0"/>
    <cacheHierarchy uniqueName="[Gretchen Results 3mar].[ageyrs]" caption="ageyrs" attribute="1" defaultMemberUniqueName="[Gretchen Results 3mar].[ageyrs].[All]" allUniqueName="[Gretchen Results 3mar].[ageyrs].[All]" dimensionUniqueName="[Gretchen Results 3mar]" displayFolder="" count="0" unbalanced="0"/>
    <cacheHierarchy uniqueName="[Gretchen Results 3mar].[art_814d]" caption="art_814d" attribute="1" defaultMemberUniqueName="[Gretchen Results 3mar].[art_814d].[All]" allUniqueName="[Gretchen Results 3mar].[art_814d].[All]" dimensionUniqueName="[Gretchen Results 3mar]" displayFolder="" count="0" unbalanced="0"/>
    <cacheHierarchy uniqueName="[Gretchen Results 3mar].[art_o15d]" caption="art_o15d" attribute="1" defaultMemberUniqueName="[Gretchen Results 3mar].[art_o15d].[All]" allUniqueName="[Gretchen Results 3mar].[art_o15d].[All]" dimensionUniqueName="[Gretchen Results 3mar]" displayFolder="" count="0" unbalanced="0"/>
    <cacheHierarchy uniqueName="[Gretchen Results 3mar].[art_u8]" caption="art_u8" attribute="1" defaultMemberUniqueName="[Gretchen Results 3mar].[art_u8].[All]" allUniqueName="[Gretchen Results 3mar].[art_u8].[All]" dimensionUniqueName="[Gretchen Results 3mar]" displayFolder="" count="0" unbalanced="0"/>
    <cacheHierarchy uniqueName="[Gretchen Results 3mar].[council]" caption="council" attribute="1" defaultMemberUniqueName="[Gretchen Results 3mar].[council].[All]" allUniqueName="[Gretchen Results 3mar].[council].[All]" dimensionUniqueName="[Gretchen Results 3mar]" displayFolder="" count="0" unbalanced="0"/>
    <cacheHierarchy uniqueName="[Gretchen Results 3mar].[countpy5]" caption="countpy5" attribute="1" defaultMemberUniqueName="[Gretchen Results 3mar].[countpy5].[All]" allUniqueName="[Gretchen Results 3mar].[countpy5].[All]" dimensionUniqueName="[Gretchen Results 3mar]" displayFolder="" count="0" unbalanced="0"/>
    <cacheHierarchy uniqueName="[Gretchen Results 3mar].[datimname]" caption="datimname" attribute="1" defaultMemberUniqueName="[Gretchen Results 3mar].[datimname].[All]" allUniqueName="[Gretchen Results 3mar].[datimname].[All]" dimensionUniqueName="[Gretchen Results 3mar]" displayFolder="" count="0" unbalanced="0"/>
    <cacheHierarchy uniqueName="[Gretchen Results 3mar].[datimuid]" caption="datimuid" attribute="1" defaultMemberUniqueName="[Gretchen Results 3mar].[datimuid].[All]" allUniqueName="[Gretchen Results 3mar].[datimuid].[All]" dimensionUniqueName="[Gretchen Results 3mar]" displayFolder="" count="0" unbalanced="0"/>
    <cacheHierarchy uniqueName="[Gretchen Results 3mar].[dhisid]" caption="dhisid" attribute="1" defaultMemberUniqueName="[Gretchen Results 3mar].[dhisid].[All]" allUniqueName="[Gretchen Results 3mar].[dhisid].[All]" dimensionUniqueName="[Gretchen Results 3mar]" displayFolder="" count="0" unbalanced="0"/>
    <cacheHierarchy uniqueName="[Gretchen Results 3mar].[dhisname]" caption="dhisname" attribute="1" defaultMemberUniqueName="[Gretchen Results 3mar].[dhisname].[All]" allUniqueName="[Gretchen Results 3mar].[dhisname].[All]" dimensionUniqueName="[Gretchen Results 3mar]" displayFolder="" count="0" unbalanced="0"/>
    <cacheHierarchy uniqueName="[Gretchen Results 3mar].[died]" caption="died" attribute="1" defaultMemberUniqueName="[Gretchen Results 3mar].[died].[All]" allUniqueName="[Gretchen Results 3mar].[died].[All]" dimensionUniqueName="[Gretchen Results 3mar]" displayFolder="" count="0" unbalanced="0"/>
    <cacheHierarchy uniqueName="[Gretchen Results 3mar].[district]" caption="district" attribute="1" defaultMemberUniqueName="[Gretchen Results 3mar].[district].[All]" allUniqueName="[Gretchen Results 3mar].[district].[All]" dimensionUniqueName="[Gretchen Results 3mar]" displayFolder="" count="0" unbalanced="0"/>
    <cacheHierarchy uniqueName="[Gretchen Results 3mar].[hfrid]" caption="hfrid" attribute="1" defaultMemberUniqueName="[Gretchen Results 3mar].[hfrid].[All]" allUniqueName="[Gretchen Results 3mar].[hfrid].[All]" dimensionUniqueName="[Gretchen Results 3mar]" displayFolder="" count="0" unbalanced="0"/>
    <cacheHierarchy uniqueName="[Gretchen Results 3mar].[hvl_d]" caption="hvl_d" attribute="1" defaultMemberUniqueName="[Gretchen Results 3mar].[hvl_d].[All]" allUniqueName="[Gretchen Results 3mar].[hvl_d].[All]" dimensionUniqueName="[Gretchen Results 3mar]" displayFolder="" count="0" unbalanced="0"/>
    <cacheHierarchy uniqueName="[Gretchen Results 3mar].[hvl_d_o15]" caption="hvl_d_o15" attribute="1" defaultMemberUniqueName="[Gretchen Results 3mar].[hvl_d_o15].[All]" allUniqueName="[Gretchen Results 3mar].[hvl_d_o15].[All]" dimensionUniqueName="[Gretchen Results 3mar]" displayFolder="" count="0" unbalanced="0"/>
    <cacheHierarchy uniqueName="[Gretchen Results 3mar].[hvl_d_u15]" caption="hvl_d_u15" attribute="1" defaultMemberUniqueName="[Gretchen Results 3mar].[hvl_d_u15].[All]" allUniqueName="[Gretchen Results 3mar].[hvl_d_u15].[All]" dimensionUniqueName="[Gretchen Results 3mar]" displayFolder="" count="0" unbalanced="0"/>
    <cacheHierarchy uniqueName="[Gretchen Results 3mar].[hvl_u1k_n]" caption="hvl_u1k_n" attribute="1" defaultMemberUniqueName="[Gretchen Results 3mar].[hvl_u1k_n].[All]" allUniqueName="[Gretchen Results 3mar].[hvl_u1k_n].[All]" dimensionUniqueName="[Gretchen Results 3mar]" displayFolder="" count="0" unbalanced="0"/>
    <cacheHierarchy uniqueName="[Gretchen Results 3mar].[hvl_u1k_n_o15]" caption="hvl_u1k_n_o15" attribute="1" defaultMemberUniqueName="[Gretchen Results 3mar].[hvl_u1k_n_o15].[All]" allUniqueName="[Gretchen Results 3mar].[hvl_u1k_n_o15].[All]" dimensionUniqueName="[Gretchen Results 3mar]" displayFolder="" count="0" unbalanced="0"/>
    <cacheHierarchy uniqueName="[Gretchen Results 3mar].[hvl_u1k_n_u15]" caption="hvl_u1k_n_u15" attribute="1" defaultMemberUniqueName="[Gretchen Results 3mar].[hvl_u1k_n_u15].[All]" allUniqueName="[Gretchen Results 3mar].[hvl_u1k_n_u15].[All]" dimensionUniqueName="[Gretchen Results 3mar]" displayFolder="" count="0" unbalanced="0"/>
    <cacheHierarchy uniqueName="[Gretchen Results 3mar].[hvlelig]" caption="hvlelig" attribute="1" defaultMemberUniqueName="[Gretchen Results 3mar].[hvlelig].[All]" allUniqueName="[Gretchen Results 3mar].[hvlelig].[All]" dimensionUniqueName="[Gretchen Results 3mar]" displayFolder="" count="0" unbalanced="0"/>
    <cacheHierarchy uniqueName="[Gretchen Results 3mar].[hvlelig_o15]" caption="hvlelig_o15" attribute="1" defaultMemberUniqueName="[Gretchen Results 3mar].[hvlelig_o15].[All]" allUniqueName="[Gretchen Results 3mar].[hvlelig_o15].[All]" dimensionUniqueName="[Gretchen Results 3mar]" displayFolder="" count="0" unbalanced="0"/>
    <cacheHierarchy uniqueName="[Gretchen Results 3mar].[hvlelig_u15]" caption="hvlelig_u15" attribute="1" defaultMemberUniqueName="[Gretchen Results 3mar].[hvlelig_u15].[All]" allUniqueName="[Gretchen Results 3mar].[hvlelig_u15].[All]" dimensionUniqueName="[Gretchen Results 3mar]" displayFolder="" count="0" unbalanced="0"/>
    <cacheHierarchy uniqueName="[Gretchen Results 3mar].[missedapp]" caption="missedapp" attribute="1" defaultMemberUniqueName="[Gretchen Results 3mar].[missedapp].[All]" allUniqueName="[Gretchen Results 3mar].[missedapp].[All]" dimensionUniqueName="[Gretchen Results 3mar]" displayFolder="" count="0" unbalanced="0"/>
    <cacheHierarchy uniqueName="[Gretchen Results 3mar].[mmp_1m]" caption="mmp_1m" attribute="1" defaultMemberUniqueName="[Gretchen Results 3mar].[mmp_1m].[All]" allUniqueName="[Gretchen Results 3mar].[mmp_1m].[All]" dimensionUniqueName="[Gretchen Results 3mar]" displayFolder="" count="0" unbalanced="0"/>
    <cacheHierarchy uniqueName="[Gretchen Results 3mar].[mmp_2m]" caption="mmp_2m" attribute="1" defaultMemberUniqueName="[Gretchen Results 3mar].[mmp_2m].[All]" allUniqueName="[Gretchen Results 3mar].[mmp_2m].[All]" dimensionUniqueName="[Gretchen Results 3mar]" displayFolder="" count="0" unbalanced="0"/>
    <cacheHierarchy uniqueName="[Gretchen Results 3mar].[mmp_3m]" caption="mmp_3m" attribute="1" defaultMemberUniqueName="[Gretchen Results 3mar].[mmp_3m].[All]" allUniqueName="[Gretchen Results 3mar].[mmp_3m].[All]" dimensionUniqueName="[Gretchen Results 3mar]" displayFolder="" count="0" unbalanced="0"/>
    <cacheHierarchy uniqueName="[Gretchen Results 3mar].[mmp_6m]" caption="mmp_6m" attribute="1" defaultMemberUniqueName="[Gretchen Results 3mar].[mmp_6m].[All]" allUniqueName="[Gretchen Results 3mar].[mmp_6m].[All]" dimensionUniqueName="[Gretchen Results 3mar]" displayFolder="" count="0" unbalanced="0"/>
    <cacheHierarchy uniqueName="[Gretchen Results 3mar].[mmp_u6m]" caption="mmp_u6m" attribute="1" defaultMemberUniqueName="[Gretchen Results 3mar].[mmp_u6m].[All]" allUniqueName="[Gretchen Results 3mar].[mmp_u6m].[All]" dimensionUniqueName="[Gretchen Results 3mar]" displayFolder="" count="0" unbalanced="0"/>
    <cacheHierarchy uniqueName="[Gretchen Results 3mar].[noDBsubmitted]" caption="noDBsubmitted" attribute="1" defaultMemberUniqueName="[Gretchen Results 3mar].[noDBsubmitted].[All]" allUniqueName="[Gretchen Results 3mar].[noDBsubmitted].[All]" dimensionUniqueName="[Gretchen Results 3mar]" displayFolder="" count="0" unbalanced="0"/>
    <cacheHierarchy uniqueName="[Gretchen Results 3mar].[pid]" caption="pid" attribute="1" defaultMemberUniqueName="[Gretchen Results 3mar].[pid].[All]" allUniqueName="[Gretchen Results 3mar].[pid].[All]" dimensionUniqueName="[Gretchen Results 3mar]" displayFolder="" count="0" unbalanced="0"/>
    <cacheHierarchy uniqueName="[Gretchen Results 3mar].[region]" caption="region" attribute="1" defaultMemberUniqueName="[Gretchen Results 3mar].[region].[All]" allUniqueName="[Gretchen Results 3mar].[region].[All]" dimensionUniqueName="[Gretchen Results 3mar]" displayFolder="" count="0" unbalanced="0"/>
    <cacheHierarchy uniqueName="[Gretchen Results 3mar].[siteid]" caption="siteid" attribute="1" defaultMemberUniqueName="[Gretchen Results 3mar].[siteid].[All]" allUniqueName="[Gretchen Results 3mar].[siteid].[All]" dimensionUniqueName="[Gretchen Results 3mar]" displayFolder="" count="0" unbalanced="0"/>
    <cacheHierarchy uniqueName="[Gretchen Results 3mar].[t_tc_mmd3to5m_o15_f]" caption="t_tc_mmd3to5m_o15_f" attribute="1" defaultMemberUniqueName="[Gretchen Results 3mar].[t_tc_mmd3to5m_o15_f].[All]" allUniqueName="[Gretchen Results 3mar].[t_tc_mmd3to5m_o15_f].[All]" dimensionUniqueName="[Gretchen Results 3mar]" displayFolder="" count="0" unbalanced="0"/>
    <cacheHierarchy uniqueName="[Gretchen Results 3mar].[t_tc_mmd3to5m_o15_m]" caption="t_tc_mmd3to5m_o15_m" attribute="1" defaultMemberUniqueName="[Gretchen Results 3mar].[t_tc_mmd3to5m_o15_m].[All]" allUniqueName="[Gretchen Results 3mar].[t_tc_mmd3to5m_o15_m].[All]" dimensionUniqueName="[Gretchen Results 3mar]" displayFolder="" count="0" unbalanced="0"/>
    <cacheHierarchy uniqueName="[Gretchen Results 3mar].[t_tc_mmd3to5m_u15_f]" caption="t_tc_mmd3to5m_u15_f" attribute="1" defaultMemberUniqueName="[Gretchen Results 3mar].[t_tc_mmd3to5m_u15_f].[All]" allUniqueName="[Gretchen Results 3mar].[t_tc_mmd3to5m_u15_f].[All]" dimensionUniqueName="[Gretchen Results 3mar]" displayFolder="" count="0" unbalanced="0"/>
    <cacheHierarchy uniqueName="[Gretchen Results 3mar].[t_tc_mmd3to5m_u15_m]" caption="t_tc_mmd3to5m_u15_m" attribute="1" defaultMemberUniqueName="[Gretchen Results 3mar].[t_tc_mmd3to5m_u15_m].[All]" allUniqueName="[Gretchen Results 3mar].[t_tc_mmd3to5m_u15_m].[All]" dimensionUniqueName="[Gretchen Results 3mar]" displayFolder="" count="0" unbalanced="0"/>
    <cacheHierarchy uniqueName="[Gretchen Results 3mar].[t_tc_mmdo6m_o15_f]" caption="t_tc_mmdo6m_o15_f" attribute="1" defaultMemberUniqueName="[Gretchen Results 3mar].[t_tc_mmdo6m_o15_f].[All]" allUniqueName="[Gretchen Results 3mar].[t_tc_mmdo6m_o15_f].[All]" dimensionUniqueName="[Gretchen Results 3mar]" displayFolder="" count="0" unbalanced="0"/>
    <cacheHierarchy uniqueName="[Gretchen Results 3mar].[t_tc_mmdo6m_o15_m]" caption="t_tc_mmdo6m_o15_m" attribute="1" defaultMemberUniqueName="[Gretchen Results 3mar].[t_tc_mmdo6m_o15_m].[All]" allUniqueName="[Gretchen Results 3mar].[t_tc_mmdo6m_o15_m].[All]" dimensionUniqueName="[Gretchen Results 3mar]" displayFolder="" count="0" unbalanced="0"/>
    <cacheHierarchy uniqueName="[Gretchen Results 3mar].[t_tc_mmdo6m_u15_f]" caption="t_tc_mmdo6m_u15_f" attribute="1" defaultMemberUniqueName="[Gretchen Results 3mar].[t_tc_mmdo6m_u15_f].[All]" allUniqueName="[Gretchen Results 3mar].[t_tc_mmdo6m_u15_f].[All]" dimensionUniqueName="[Gretchen Results 3mar]" displayFolder="" count="0" unbalanced="0"/>
    <cacheHierarchy uniqueName="[Gretchen Results 3mar].[t_tc_mmdo6m_u15_m]" caption="t_tc_mmdo6m_u15_m" attribute="1" defaultMemberUniqueName="[Gretchen Results 3mar].[t_tc_mmdo6m_u15_m].[All]" allUniqueName="[Gretchen Results 3mar].[t_tc_mmdo6m_u15_m].[All]" dimensionUniqueName="[Gretchen Results 3mar]" displayFolder="" count="0" unbalanced="0"/>
    <cacheHierarchy uniqueName="[Gretchen Results 3mar].[t_tc_mmdu3m_o15_f]" caption="t_tc_mmdu3m_o15_f" attribute="1" defaultMemberUniqueName="[Gretchen Results 3mar].[t_tc_mmdu3m_o15_f].[All]" allUniqueName="[Gretchen Results 3mar].[t_tc_mmdu3m_o15_f].[All]" dimensionUniqueName="[Gretchen Results 3mar]" displayFolder="" count="0" unbalanced="0"/>
    <cacheHierarchy uniqueName="[Gretchen Results 3mar].[t_tc_mmdu3m_o15_m]" caption="t_tc_mmdu3m_o15_m" attribute="1" defaultMemberUniqueName="[Gretchen Results 3mar].[t_tc_mmdu3m_o15_m].[All]" allUniqueName="[Gretchen Results 3mar].[t_tc_mmdu3m_o15_m].[All]" dimensionUniqueName="[Gretchen Results 3mar]" displayFolder="" count="0" unbalanced="0"/>
    <cacheHierarchy uniqueName="[Gretchen Results 3mar].[t_tc_mmdu3m_u15_f]" caption="t_tc_mmdu3m_u15_f" attribute="1" defaultMemberUniqueName="[Gretchen Results 3mar].[t_tc_mmdu3m_u15_f].[All]" allUniqueName="[Gretchen Results 3mar].[t_tc_mmdu3m_u15_f].[All]" dimensionUniqueName="[Gretchen Results 3mar]" displayFolder="" count="0" unbalanced="0"/>
    <cacheHierarchy uniqueName="[Gretchen Results 3mar].[t_tc_mmdu3m_u15_m]" caption="t_tc_mmdu3m_u15_m" attribute="1" defaultMemberUniqueName="[Gretchen Results 3mar].[t_tc_mmdu3m_u15_m].[All]" allUniqueName="[Gretchen Results 3mar].[t_tc_mmdu3m_u15_m].[All]" dimensionUniqueName="[Gretchen Results 3mar]" displayFolder="" count="0" unbalanced="0"/>
    <cacheHierarchy uniqueName="[Gretchen Results 3mar].[t_txcurr_lastm]" caption="t_txcurr_lastm" attribute="1" defaultMemberUniqueName="[Gretchen Results 3mar].[t_txcurr_lastm].[All]" allUniqueName="[Gretchen Results 3mar].[t_txcurr_lastm].[All]" dimensionUniqueName="[Gretchen Results 3mar]" displayFolder="" count="0" unbalanced="0"/>
    <cacheHierarchy uniqueName="[Gretchen Results 3mar].[t_txcurr_o15_f]" caption="t_txcurr_o15_f" attribute="1" defaultMemberUniqueName="[Gretchen Results 3mar].[t_txcurr_o15_f].[All]" allUniqueName="[Gretchen Results 3mar].[t_txcurr_o15_f].[All]" dimensionUniqueName="[Gretchen Results 3mar]" displayFolder="" count="0" unbalanced="0"/>
    <cacheHierarchy uniqueName="[Gretchen Results 3mar].[t_txcurr_o15_m]" caption="t_txcurr_o15_m" attribute="1" defaultMemberUniqueName="[Gretchen Results 3mar].[t_txcurr_o15_m].[All]" allUniqueName="[Gretchen Results 3mar].[t_txcurr_o15_m].[All]" dimensionUniqueName="[Gretchen Results 3mar]" displayFolder="" count="0" unbalanced="0"/>
    <cacheHierarchy uniqueName="[Gretchen Results 3mar].[t_txcurr_thism]" caption="t_txcurr_thism" attribute="1" defaultMemberUniqueName="[Gretchen Results 3mar].[t_txcurr_thism].[All]" allUniqueName="[Gretchen Results 3mar].[t_txcurr_thism].[All]" dimensionUniqueName="[Gretchen Results 3mar]" displayFolder="" count="0" unbalanced="0"/>
    <cacheHierarchy uniqueName="[Gretchen Results 3mar].[t_txcurr_u15_f]" caption="t_txcurr_u15_f" attribute="1" defaultMemberUniqueName="[Gretchen Results 3mar].[t_txcurr_u15_f].[All]" allUniqueName="[Gretchen Results 3mar].[t_txcurr_u15_f].[All]" dimensionUniqueName="[Gretchen Results 3mar]" displayFolder="" count="0" unbalanced="0"/>
    <cacheHierarchy uniqueName="[Gretchen Results 3mar].[t_txcurr_u15_m]" caption="t_txcurr_u15_m" attribute="1" defaultMemberUniqueName="[Gretchen Results 3mar].[t_txcurr_u15_m].[All]" allUniqueName="[Gretchen Results 3mar].[t_txcurr_u15_m].[All]" dimensionUniqueName="[Gretchen Results 3mar]" displayFolder="" count="0" unbalanced="0"/>
    <cacheHierarchy uniqueName="[Gretchen Results 3mar].[t_txnew]" caption="t_txnew" attribute="1" defaultMemberUniqueName="[Gretchen Results 3mar].[t_txnew].[All]" allUniqueName="[Gretchen Results 3mar].[t_txnew].[All]" dimensionUniqueName="[Gretchen Results 3mar]" displayFolder="" count="0" unbalanced="0"/>
    <cacheHierarchy uniqueName="[Gretchen Results 3mar].[t_txnew_2vis]" caption="t_txnew_2vis" attribute="1" defaultMemberUniqueName="[Gretchen Results 3mar].[t_txnew_2vis].[All]" allUniqueName="[Gretchen Results 3mar].[t_txnew_2vis].[All]" dimensionUniqueName="[Gretchen Results 3mar]" displayFolder="" count="0" unbalanced="0"/>
    <cacheHierarchy uniqueName="[Gretchen Results 3mar].[t_txnew_lastm]" caption="t_txnew_lastm" attribute="1" defaultMemberUniqueName="[Gretchen Results 3mar].[t_txnew_lastm].[All]" allUniqueName="[Gretchen Results 3mar].[t_txnew_lastm].[All]" dimensionUniqueName="[Gretchen Results 3mar]" displayFolder="" count="0" unbalanced="0"/>
    <cacheHierarchy uniqueName="[Gretchen Results 3mar].[t_txnew_o15_f]" caption="t_txnew_o15_f" attribute="1" defaultMemberUniqueName="[Gretchen Results 3mar].[t_txnew_o15_f].[All]" allUniqueName="[Gretchen Results 3mar].[t_txnew_o15_f].[All]" dimensionUniqueName="[Gretchen Results 3mar]" displayFolder="" count="0" unbalanced="0"/>
    <cacheHierarchy uniqueName="[Gretchen Results 3mar].[t_txnew_o15_m]" caption="t_txnew_o15_m" attribute="1" defaultMemberUniqueName="[Gretchen Results 3mar].[t_txnew_o15_m].[All]" allUniqueName="[Gretchen Results 3mar].[t_txnew_o15_m].[All]" dimensionUniqueName="[Gretchen Results 3mar]" displayFolder="" count="0" unbalanced="0"/>
    <cacheHierarchy uniqueName="[Gretchen Results 3mar].[t_txnew_u15]" caption="t_txnew_u15" attribute="1" defaultMemberUniqueName="[Gretchen Results 3mar].[t_txnew_u15].[All]" allUniqueName="[Gretchen Results 3mar].[t_txnew_u15].[All]" dimensionUniqueName="[Gretchen Results 3mar]" displayFolder="" count="0" unbalanced="0"/>
    <cacheHierarchy uniqueName="[Gretchen Results 3mar].[t_txnew_u15_f]" caption="t_txnew_u15_f" attribute="1" defaultMemberUniqueName="[Gretchen Results 3mar].[t_txnew_u15_f].[All]" allUniqueName="[Gretchen Results 3mar].[t_txnew_u15_f].[All]" dimensionUniqueName="[Gretchen Results 3mar]" displayFolder="" count="0" unbalanced="0"/>
    <cacheHierarchy uniqueName="[Gretchen Results 3mar].[t_txnew_u15_m]" caption="t_txnew_u15_m" attribute="1" defaultMemberUniqueName="[Gretchen Results 3mar].[t_txnew_u15_m].[All]" allUniqueName="[Gretchen Results 3mar].[t_txnew_u15_m].[All]" dimensionUniqueName="[Gretchen Results 3mar]" displayFolder="" count="0" unbalanced="0"/>
    <cacheHierarchy uniqueName="[Gretchen Results 3mar].[tbprev_d_3mar]" caption="tbprev_d_3mar" attribute="1" defaultMemberUniqueName="[Gretchen Results 3mar].[tbprev_d_3mar].[All]" allUniqueName="[Gretchen Results 3mar].[tbprev_d_3mar].[All]" dimensionUniqueName="[Gretchen Results 3mar]" displayFolder="" count="0" unbalanced="0"/>
    <cacheHierarchy uniqueName="[Gretchen Results 3mar].[tbprev_n]" caption="tbprev_n" attribute="1" defaultMemberUniqueName="[Gretchen Results 3mar].[tbprev_n].[All]" allUniqueName="[Gretchen Results 3mar].[tbprev_n].[All]" dimensionUniqueName="[Gretchen Results 3mar]" displayFolder="" count="0" unbalanced="0"/>
    <cacheHierarchy uniqueName="[Gretchen Results 3mar].[tbprev_start_thismo]" caption="tbprev_start_thismo" attribute="1" defaultMemberUniqueName="[Gretchen Results 3mar].[tbprev_start_thismo].[All]" allUniqueName="[Gretchen Results 3mar].[tbprev_start_thismo].[All]" dimensionUniqueName="[Gretchen Results 3mar]" displayFolder="" count="0" unbalanced="0"/>
    <cacheHierarchy uniqueName="[Gretchen Results 3mar].[TI]" caption="TI" attribute="1" defaultMemberUniqueName="[Gretchen Results 3mar].[TI].[All]" allUniqueName="[Gretchen Results 3mar].[TI].[All]" dimensionUniqueName="[Gretchen Results 3mar]" displayFolder="" count="0" unbalanced="0"/>
    <cacheHierarchy uniqueName="[Gretchen Results 3mar].[tier]" caption="tier" attribute="1" defaultMemberUniqueName="[Gretchen Results 3mar].[tier].[All]" allUniqueName="[Gretchen Results 3mar].[tier].[All]" dimensionUniqueName="[Gretchen Results 3mar]" displayFolder="" count="0" unbalanced="0"/>
    <cacheHierarchy uniqueName="[Gretchen Results 3mar].[TO]" caption="TO" attribute="1" defaultMemberUniqueName="[Gretchen Results 3mar].[TO].[All]" allUniqueName="[Gretchen Results 3mar].[TO].[All]" dimensionUniqueName="[Gretchen Results 3mar]" displayFolder="" count="0" unbalanced="0"/>
    <cacheHierarchy uniqueName="[Gretchen Results 3mar].[ward]" caption="ward" attribute="1" defaultMemberUniqueName="[Gretchen Results 3mar].[ward].[All]" allUniqueName="[Gretchen Results 3mar].[ward].[All]" dimensionUniqueName="[Gretchen Results 3mar]" displayFolder="" count="0" unbalanced="0"/>
    <cacheHierarchy uniqueName="[Gretchen Results 3mar].[yrmo]" caption="yrmo" attribute="1" defaultMemberUniqueName="[Gretchen Results 3mar].[yrmo].[All]" allUniqueName="[Gretchen Results 3mar].[yrmo].[All]" dimensionUniqueName="[Gretchen Results 3mar]" displayFolder="" count="0" unbalanced="0"/>
    <cacheHierarchy uniqueName="[Gretchen tx_curr Detail].[age_o15]" caption="age_o15" attribute="1" defaultMemberUniqueName="[Gretchen tx_curr Detail].[age_o15].[All]" allUniqueName="[Gretchen tx_curr Detail].[age_o15].[All]" dimensionUniqueName="[Gretchen tx_curr Detail]" displayFolder="" count="0" unbalanced="0"/>
    <cacheHierarchy uniqueName="[Gretchen tx_curr Detail].[age_u15]" caption="age_u15" attribute="1" defaultMemberUniqueName="[Gretchen tx_curr Detail].[age_u15].[All]" allUniqueName="[Gretchen tx_curr Detail].[age_u15].[All]" dimensionUniqueName="[Gretchen tx_curr Detail]" displayFolder="" count="0" unbalanced="0"/>
    <cacheHierarchy uniqueName="[Gretchen tx_curr Detail].[agegp]" caption="agegp" attribute="1" defaultMemberUniqueName="[Gretchen tx_curr Detail].[agegp].[All]" allUniqueName="[Gretchen tx_curr Detail].[agegp].[All]" dimensionUniqueName="[Gretchen tx_curr Detail]" displayFolder="" count="0" unbalanced="0"/>
    <cacheHierarchy uniqueName="[Gretchen tx_curr Detail].[ageyrs]" caption="ageyrs" attribute="1" defaultMemberUniqueName="[Gretchen tx_curr Detail].[ageyrs].[All]" allUniqueName="[Gretchen tx_curr Detail].[ageyrs].[All]" dimensionUniqueName="[Gretchen tx_curr Detail]" displayFolder="" count="0" unbalanced="0"/>
    <cacheHierarchy uniqueName="[Gretchen tx_curr Detail].[appduedt]" caption="appduedt" attribute="1" defaultMemberUniqueName="[Gretchen tx_curr Detail].[appduedt].[All]" allUniqueName="[Gretchen tx_curr Detail].[appduedt].[All]" dimensionUniqueName="[Gretchen tx_curr Detail]" displayFolder="" count="0" unbalanced="0"/>
    <cacheHierarchy uniqueName="[Gretchen tx_curr Detail].[appduedt_imp]" caption="appduedt_imp" attribute="1" defaultMemberUniqueName="[Gretchen tx_curr Detail].[appduedt_imp].[All]" allUniqueName="[Gretchen tx_curr Detail].[appduedt_imp].[All]" dimensionUniqueName="[Gretchen tx_curr Detail]" displayFolder="" count="0" unbalanced="0"/>
    <cacheHierarchy uniqueName="[Gretchen tx_curr Detail].[appmaxint]" caption="appmaxint" attribute="1" defaultMemberUniqueName="[Gretchen tx_curr Detail].[appmaxint].[All]" allUniqueName="[Gretchen tx_curr Detail].[appmaxint].[All]" dimensionUniqueName="[Gretchen tx_curr Detail]" displayFolder="" count="0" unbalanced="0"/>
    <cacheHierarchy uniqueName="[Gretchen tx_curr Detail].[artdys]" caption="artdys" attribute="1" defaultMemberUniqueName="[Gretchen tx_curr Detail].[artdys].[All]" allUniqueName="[Gretchen tx_curr Detail].[artdys].[All]" dimensionUniqueName="[Gretchen tx_curr Detail]" displayFolder="" count="0" unbalanced="0"/>
    <cacheHierarchy uniqueName="[Gretchen tx_curr Detail].[artdys_imp]" caption="artdys_imp" attribute="1" defaultMemberUniqueName="[Gretchen tx_curr Detail].[artdys_imp].[All]" allUniqueName="[Gretchen tx_curr Detail].[artdys_imp].[All]" dimensionUniqueName="[Gretchen tx_curr Detail]" displayFolder="" count="0" unbalanced="0"/>
    <cacheHierarchy uniqueName="[Gretchen tx_curr Detail].[artfinishdt]" caption="artfinishdt" attribute="1" defaultMemberUniqueName="[Gretchen tx_curr Detail].[artfinishdt].[All]" allUniqueName="[Gretchen tx_curr Detail].[artfinishdt].[All]" dimensionUniqueName="[Gretchen tx_curr Detail]" displayFolder="" count="0" unbalanced="0"/>
    <cacheHierarchy uniqueName="[Gretchen tx_curr Detail].[artmaxint]" caption="artmaxint" attribute="1" defaultMemberUniqueName="[Gretchen tx_curr Detail].[artmaxint].[All]" allUniqueName="[Gretchen tx_curr Detail].[artmaxint].[All]" dimensionUniqueName="[Gretchen tx_curr Detail]" displayFolder="" count="0" unbalanced="0"/>
    <cacheHierarchy uniqueName="[Gretchen tx_curr Detail].[dieddt]" caption="dieddt" attribute="1" defaultMemberUniqueName="[Gretchen tx_curr Detail].[dieddt].[All]" allUniqueName="[Gretchen tx_curr Detail].[dieddt].[All]" dimensionUniqueName="[Gretchen tx_curr Detail]" displayFolder="" count="0" unbalanced="0"/>
    <cacheHierarchy uniqueName="[Gretchen tx_curr Detail].[dob]" caption="dob" attribute="1" defaultMemberUniqueName="[Gretchen tx_curr Detail].[dob].[All]" allUniqueName="[Gretchen tx_curr Detail].[dob].[All]" dimensionUniqueName="[Gretchen tx_curr Detail]" displayFolder="" count="0" unbalanced="0"/>
    <cacheHierarchy uniqueName="[Gretchen tx_curr Detail].[lastvis]" caption="lastvis" attribute="1" defaultMemberUniqueName="[Gretchen tx_curr Detail].[lastvis].[All]" allUniqueName="[Gretchen tx_curr Detail].[lastvis].[All]" dimensionUniqueName="[Gretchen tx_curr Detail]" displayFolder="" count="0" unbalanced="0"/>
    <cacheHierarchy uniqueName="[Gretchen tx_curr Detail].[maxint]" caption="maxint" attribute="1" defaultMemberUniqueName="[Gretchen tx_curr Detail].[maxint].[All]" allUniqueName="[Gretchen tx_curr Detail].[maxint].[All]" dimensionUniqueName="[Gretchen tx_curr Detail]" displayFolder="" count="0" unbalanced="0"/>
    <cacheHierarchy uniqueName="[Gretchen tx_curr Detail].[pid]" caption="pid" attribute="1" defaultMemberUniqueName="[Gretchen tx_curr Detail].[pid].[All]" allUniqueName="[Gretchen tx_curr Detail].[pid].[All]" dimensionUniqueName="[Gretchen tx_curr Detail]" displayFolder="" count="0" unbalanced="0"/>
    <cacheHierarchy uniqueName="[Gretchen tx_curr Detail].[sex]" caption="sex" attribute="1" defaultMemberUniqueName="[Gretchen tx_curr Detail].[sex].[All]" allUniqueName="[Gretchen tx_curr Detail].[sex].[All]" dimensionUniqueName="[Gretchen tx_curr Detail]" displayFolder="" count="0" unbalanced="0"/>
    <cacheHierarchy uniqueName="[Gretchen tx_curr Detail].[siteid]" caption="siteid" attribute="1" defaultMemberUniqueName="[Gretchen tx_curr Detail].[siteid].[All]" allUniqueName="[Gretchen tx_curr Detail].[siteid].[All]" dimensionUniqueName="[Gretchen tx_curr Detail]" displayFolder="" count="0" unbalanced="0"/>
    <cacheHierarchy uniqueName="[Gretchen tx_curr Detail].[tc_o15_f]" caption="tc_o15_f" attribute="1" defaultMemberUniqueName="[Gretchen tx_curr Detail].[tc_o15_f].[All]" allUniqueName="[Gretchen tx_curr Detail].[tc_o15_f].[All]" dimensionUniqueName="[Gretchen tx_curr Detail]" displayFolder="" count="0" unbalanced="0"/>
    <cacheHierarchy uniqueName="[Gretchen tx_curr Detail].[tc_o15_m]" caption="tc_o15_m" attribute="1" defaultMemberUniqueName="[Gretchen tx_curr Detail].[tc_o15_m].[All]" allUniqueName="[Gretchen tx_curr Detail].[tc_o15_m].[All]" dimensionUniqueName="[Gretchen tx_curr Detail]" displayFolder="" count="0" unbalanced="0"/>
    <cacheHierarchy uniqueName="[Gretchen tx_curr Detail].[tc_u15_f]" caption="tc_u15_f" attribute="1" defaultMemberUniqueName="[Gretchen tx_curr Detail].[tc_u15_f].[All]" allUniqueName="[Gretchen tx_curr Detail].[tc_u15_f].[All]" dimensionUniqueName="[Gretchen tx_curr Detail]" displayFolder="" count="0" unbalanced="0"/>
    <cacheHierarchy uniqueName="[Gretchen tx_curr Detail].[tc_u15_m]" caption="tc_u15_m" attribute="1" defaultMemberUniqueName="[Gretchen tx_curr Detail].[tc_u15_m].[All]" allUniqueName="[Gretchen tx_curr Detail].[tc_u15_m].[All]" dimensionUniqueName="[Gretchen tx_curr Detail]" displayFolder="" count="0" unbalanced="0"/>
    <cacheHierarchy uniqueName="[Gretchen tx_curr Detail].[txcurr]" caption="txcurr" attribute="1" defaultMemberUniqueName="[Gretchen tx_curr Detail].[txcurr].[All]" allUniqueName="[Gretchen tx_curr Detail].[txcurr].[All]" dimensionUniqueName="[Gretchen tx_curr Detail]" displayFolder="" count="0" unbalanced="0"/>
    <cacheHierarchy uniqueName="[Gretchen tx_curr Detail].[txcurr_art]" caption="txcurr_art" attribute="1" defaultMemberUniqueName="[Gretchen tx_curr Detail].[txcurr_art].[All]" allUniqueName="[Gretchen tx_curr Detail].[txcurr_art].[All]" dimensionUniqueName="[Gretchen tx_curr Detail]" displayFolder="" count="0" unbalanced="0"/>
    <cacheHierarchy uniqueName="[Gretchen tx_curr Detail].[txcurr_exclude]" caption="txcurr_exclude" attribute="1" defaultMemberUniqueName="[Gretchen tx_curr Detail].[txcurr_exclude].[All]" allUniqueName="[Gretchen tx_curr Detail].[txcurr_exclude].[All]" dimensionUniqueName="[Gretchen tx_curr Detail]" displayFolder="" count="0" unbalanced="0"/>
    <cacheHierarchy uniqueName="[Gretchen tx_curr Detail].[txcurr_vis]" caption="txcurr_vis" attribute="1" defaultMemberUniqueName="[Gretchen tx_curr Detail].[txcurr_vis].[All]" allUniqueName="[Gretchen tx_curr Detail].[txcurr_vis].[All]" dimensionUniqueName="[Gretchen tx_curr Detail]" displayFolder="" count="0" unbalanced="0"/>
    <cacheHierarchy uniqueName="[Gretchen tx_curr Detail].[UniquePatientID]" caption="UniquePatientID" attribute="1" defaultMemberUniqueName="[Gretchen tx_curr Detail].[UniquePatientID].[All]" allUniqueName="[Gretchen tx_curr Detail].[UniquePatientID].[All]" dimensionUniqueName="[Gretchen tx_curr Detail]" displayFolder="" count="0" unbalanced="0"/>
    <cacheHierarchy uniqueName="[Patients].[Age at ART Start]" caption="Age at ART Start" attribute="1" defaultMemberUniqueName="[Patients].[Age at ART Start].[All]" allUniqueName="[Patients].[Age at ART Start].[All]" dimensionUniqueName="[Patients]" displayFolder="" count="0" unbalanced="0"/>
    <cacheHierarchy uniqueName="[Patients].[Age at ART Start (bins)]" caption="Age at ART Start (bins)" attribute="1" defaultMemberUniqueName="[Patients].[Age at ART Start (bins)].[All]" allUniqueName="[Patients].[Age at ART Start (bins)].[All]" dimensionUniqueName="[Patients]" displayFolder="" count="0" unbalanced="0"/>
    <cacheHierarchy uniqueName="[Patients].[CommunitySupportOrg]" caption="CommunitySupportOrg" attribute="1" defaultMemberUniqueName="[Patients].[CommunitySupportOrg].[All]" allUniqueName="[Patients].[CommunitySupportOrg].[All]" dimensionUniqueName="[Patients]" displayFolder="" count="0" unbalanced="0"/>
    <cacheHierarchy uniqueName="[Patients].[DateConfirmedHIVPositive]" caption="DateConfirmedHIVPositive" attribute="1" defaultMemberUniqueName="[Patients].[DateConfirmedHIVPositive].[All]" allUniqueName="[Patients].[DateConfirmedHIVPositive].[All]" dimensionUniqueName="[Patients]" displayFolder="" count="0" unbalanced="0"/>
    <cacheHierarchy uniqueName="[Patients].[DateConfirmedHIVPositiveKey]" caption="DateConfirmedHIVPositiveKey" attribute="1" defaultMemberUniqueName="[Patients].[DateConfirmedHIVPositiveKey].[All]" allUniqueName="[Patients].[DateConfirmedHIVPositiveKey].[All]" dimensionUniqueName="[Patients]" displayFolder="" count="0" unbalanced="0"/>
    <cacheHierarchy uniqueName="[Patients].[DateFirstPositiveHIVTest]" caption="DateFirstPositiveHIVTest" attribute="1" defaultMemberUniqueName="[Patients].[DateFirstPositiveHIVTest].[All]" allUniqueName="[Patients].[DateFirstPositiveHIVTest].[All]" dimensionUniqueName="[Patients]" displayFolder="" count="0" unbalanced="0"/>
    <cacheHierarchy uniqueName="[Patients].[DateFirstPositiveHIVTestKey]" caption="DateFirstPositiveHIVTestKey" attribute="1" defaultMemberUniqueName="[Patients].[DateFirstPositiveHIVTestKey].[All]" allUniqueName="[Patients].[DateFirstPositiveHIVTestKey].[All]" dimensionUniqueName="[Patients]" displayFolder="" count="0" unbalanced="0"/>
    <cacheHierarchy uniqueName="[Patients].[DateFirstVisit]" caption="DateFirstVisit" attribute="1" defaultMemberUniqueName="[Patients].[DateFirstVisit].[All]" allUniqueName="[Patients].[DateFirstVisit].[All]" dimensionUniqueName="[Patients]" displayFolder="" count="0" unbalanced="0"/>
    <cacheHierarchy uniqueName="[Patients].[DateFirstVisitKey]" caption="DateFirstVisitKey" attribute="1" defaultMemberUniqueName="[Patients].[DateFirstVisitKey].[All]" allUniqueName="[Patients].[DateFirstVisitKey].[All]" dimensionUniqueName="[Patients]" displayFolder="" count="0" unbalanced="0"/>
    <cacheHierarchy uniqueName="[Patients].[DateLastVisit]" caption="DateLastVisit" attribute="1" defaultMemberUniqueName="[Patients].[DateLastVisit].[All]" allUniqueName="[Patients].[DateLastVisit].[All]" dimensionUniqueName="[Patients]" displayFolder="" count="0" unbalanced="0"/>
    <cacheHierarchy uniqueName="[Patients].[DateLastVisitKey]" caption="DateLastVisitKey" attribute="1" defaultMemberUniqueName="[Patients].[DateLastVisitKey].[All]" allUniqueName="[Patients].[DateLastVisitKey].[All]" dimensionUniqueName="[Patients]" displayFolder="" count="0" unbalanced="0"/>
    <cacheHierarchy uniqueName="[Patients].[DateOfBirth]" caption="DateOfBirth" attribute="1" defaultMemberUniqueName="[Patients].[DateOfBirth].[All]" allUniqueName="[Patients].[DateOfBirth].[All]" dimensionUniqueName="[Patients]" displayFolder="" count="0" unbalanced="0"/>
    <cacheHierarchy uniqueName="[Patients].[DateOfDeath]" caption="DateOfDeath" attribute="1" defaultMemberUniqueName="[Patients].[DateOfDeath].[All]" allUniqueName="[Patients].[DateOfDeath].[All]" dimensionUniqueName="[Patients]" displayFolder="" count="0" unbalanced="0"/>
    <cacheHierarchy uniqueName="[Patients].[DateOfDeathKey]" caption="DateOfDeathKey" attribute="1" defaultMemberUniqueName="[Patients].[DateOfDeathKey].[All]" allUniqueName="[Patients].[DateOfDeathKey].[All]" dimensionUniqueName="[Patients]" displayFolder="" count="0" unbalanced="0"/>
    <cacheHierarchy uniqueName="[Patients].[DateReadyStartART]" caption="DateReadyStartART" attribute="1" defaultMemberUniqueName="[Patients].[DateReadyStartART].[All]" allUniqueName="[Patients].[DateReadyStartART].[All]" dimensionUniqueName="[Patients]" displayFolder="" count="0" unbalanced="0"/>
    <cacheHierarchy uniqueName="[Patients].[DateReadyStartARTKey]" caption="DateReadyStartARTKey" attribute="1" defaultMemberUniqueName="[Patients].[DateReadyStartARTKey].[All]" allUniqueName="[Patients].[DateReadyStartARTKey].[All]" dimensionUniqueName="[Patients]" displayFolder="" count="0" unbalanced="0"/>
    <cacheHierarchy uniqueName="[Patients].[DateStartART]" caption="DateStartART" attribute="1" defaultMemberUniqueName="[Patients].[DateStartART].[All]" allUniqueName="[Patients].[DateStartART].[All]" dimensionUniqueName="[Patients]" displayFolder="" count="0" unbalanced="0"/>
    <cacheHierarchy uniqueName="[Patients].[DateStartART15]" caption="DateStartART15" attribute="1" defaultMemberUniqueName="[Patients].[DateStartART15].[All]" allUniqueName="[Patients].[DateStartART15].[All]" dimensionUniqueName="[Patients]" displayFolder="" count="0" unbalanced="0"/>
    <cacheHierarchy uniqueName="[Patients].[DateStartART15Key]" caption="DateStartART15Key" attribute="1" defaultMemberUniqueName="[Patients].[DateStartART15Key].[All]" allUniqueName="[Patients].[DateStartART15Key].[All]" dimensionUniqueName="[Patients]" displayFolder="" count="0" unbalanced="0"/>
    <cacheHierarchy uniqueName="[Patients].[DateStartART2]" caption="DateStartART2" attribute="1" defaultMemberUniqueName="[Patients].[DateStartART2].[All]" allUniqueName="[Patients].[DateStartART2].[All]" dimensionUniqueName="[Patients]" displayFolder="" count="0" unbalanced="0"/>
    <cacheHierarchy uniqueName="[Patients].[DateStartART2Key]" caption="DateStartART2Key" attribute="1" defaultMemberUniqueName="[Patients].[DateStartART2Key].[All]" allUniqueName="[Patients].[DateStartART2Key].[All]" dimensionUniqueName="[Patients]" displayFolder="" count="0" unbalanced="0"/>
    <cacheHierarchy uniqueName="[Patients].[DateStartARTKey]" caption="DateStartARTKey" attribute="1" defaultMemberUniqueName="[Patients].[DateStartARTKey].[All]" allUniqueName="[Patients].[DateStartARTKey].[All]" dimensionUniqueName="[Patients]" displayFolder="" count="0" unbalanced="0"/>
    <cacheHierarchy uniqueName="[Patients].[DaysToInitiation]" caption="DaysToInitiation" attribute="1" defaultMemberUniqueName="[Patients].[DaysToInitiation].[All]" allUniqueName="[Patients].[DaysToInitiation].[All]" dimensionUniqueName="[Patients]" displayFolder="" count="0" unbalanced="0"/>
    <cacheHierarchy uniqueName="[Patients].[DaysToInitiationGrouping]" caption="DaysToInitiationGrouping" attribute="1" defaultMemberUniqueName="[Patients].[DaysToInitiationGrouping].[All]" allUniqueName="[Patients].[DaysToInitiationGrouping].[All]" dimensionUniqueName="[Patients]" displayFolder="" count="0" unbalanced="0"/>
    <cacheHierarchy uniqueName="[Patients].[DrugAllergies]" caption="DrugAllergies" attribute="1" defaultMemberUniqueName="[Patients].[DrugAllergies].[All]" allUniqueName="[Patients].[DrugAllergies].[All]" dimensionUniqueName="[Patients]" displayFolder="" count="0" unbalanced="0"/>
    <cacheHierarchy uniqueName="[Patients].[FacilityKey]" caption="FacilityKey" attribute="1" defaultMemberUniqueName="[Patients].[FacilityKey].[All]" allUniqueName="[Patients].[FacilityKey].[All]" dimensionUniqueName="[Patients]" displayFolder="" count="0" unbalanced="0"/>
    <cacheHierarchy uniqueName="[Patients].[FileRef]" caption="FileRef" attribute="1" defaultMemberUniqueName="[Patients].[FileRef].[All]" allUniqueName="[Patients].[FileRef].[All]" dimensionUniqueName="[Patients]" displayFolder="" count="0" unbalanced="0"/>
    <cacheHierarchy uniqueName="[Patients].[ht]" caption="ht" attribute="1" defaultMemberUniqueName="[Patients].[ht].[All]" allUniqueName="[Patients].[ht].[All]" dimensionUniqueName="[Patients]" displayFolder="" count="0" unbalanced="0"/>
    <cacheHierarchy uniqueName="[Patients].[LastDiedStatusDate]" caption="LastDiedStatusDate" attribute="1" defaultMemberUniqueName="[Patients].[LastDiedStatusDate].[All]" allUniqueName="[Patients].[LastDiedStatusDate].[All]" dimensionUniqueName="[Patients]" displayFolder="" count="0" unbalanced="0"/>
    <cacheHierarchy uniqueName="[Patients].[MaritalStatusCode]" caption="MaritalStatusCode" attribute="1" defaultMemberUniqueName="[Patients].[MaritalStatusCode].[All]" allUniqueName="[Patients].[MaritalStatusCode].[All]" dimensionUniqueName="[Patients]" displayFolder="" count="0" unbalanced="0"/>
    <cacheHierarchy uniqueName="[Patients].[PatientDistrictCode]" caption="PatientDistrictCode" attribute="1" defaultMemberUniqueName="[Patients].[PatientDistrictCode].[All]" allUniqueName="[Patients].[PatientDistrictCode].[All]" dimensionUniqueName="[Patients]" displayFolder="" count="0" unbalanced="0"/>
    <cacheHierarchy uniqueName="[Patients].[PatientDivisionName]" caption="PatientDivisionName" attribute="1" defaultMemberUniqueName="[Patients].[PatientDivisionName].[All]" allUniqueName="[Patients].[PatientDivisionName].[All]" dimensionUniqueName="[Patients]" displayFolder="" count="0" unbalanced="0"/>
    <cacheHierarchy uniqueName="[Patients].[PatientID]" caption="PatientID" attribute="1" defaultMemberUniqueName="[Patients].[PatientID].[All]" allUniqueName="[Patients].[PatientID].[All]" dimensionUniqueName="[Patients]" displayFolder="" count="0" unbalanced="0"/>
    <cacheHierarchy uniqueName="[Patients].[PatientKey]" caption="PatientKey" attribute="1" defaultMemberUniqueName="[Patients].[PatientKey].[All]" allUniqueName="[Patients].[PatientKey].[All]" dimensionUniqueName="[Patients]" displayFolder="" count="0" unbalanced="0"/>
    <cacheHierarchy uniqueName="[Patients].[PatientRegionCode]" caption="PatientRegionCode" attribute="1" defaultMemberUniqueName="[Patients].[PatientRegionCode].[All]" allUniqueName="[Patients].[PatientRegionCode].[All]" dimensionUniqueName="[Patients]" displayFolder="" count="0" unbalanced="0"/>
    <cacheHierarchy uniqueName="[Patients].[PatientWardName]" caption="PatientWardName" attribute="1" defaultMemberUniqueName="[Patients].[PatientWardName].[All]" allUniqueName="[Patients].[PatientWardName].[All]" dimensionUniqueName="[Patients]" displayFolder="" count="0" unbalanced="0"/>
    <cacheHierarchy uniqueName="[Patients].[PriorExposure]" caption="PriorExposure" attribute="1" defaultMemberUniqueName="[Patients].[PriorExposure].[All]" allUniqueName="[Patients].[PriorExposure].[All]" dimensionUniqueName="[Patients]" displayFolder="" count="0" unbalanced="0"/>
    <cacheHierarchy uniqueName="[Patients].[ReferredFrom]" caption="ReferredFrom" attribute="1" defaultMemberUniqueName="[Patients].[ReferredFrom].[All]" allUniqueName="[Patients].[ReferredFrom].[All]" dimensionUniqueName="[Patients]" displayFolder="" count="0" unbalanced="0"/>
    <cacheHierarchy uniqueName="[Patients].[ReferredFromID]" caption="ReferredFromID" attribute="1" defaultMemberUniqueName="[Patients].[ReferredFromID].[All]" allUniqueName="[Patients].[ReferredFromID].[All]" dimensionUniqueName="[Patients]" displayFolder="" count="0" unbalanced="0"/>
    <cacheHierarchy uniqueName="[Patients].[ReferredFromKey]" caption="ReferredFromKey" attribute="1" defaultMemberUniqueName="[Patients].[ReferredFromKey].[All]" allUniqueName="[Patients].[ReferredFromKey].[All]" dimensionUniqueName="[Patients]" displayFolder="" count="0" unbalanced="0"/>
    <cacheHierarchy uniqueName="[Patients].[Sex]" caption="Sex" attribute="1" defaultMemberUniqueName="[Patients].[Sex].[All]" allUniqueName="[Patients].[Sex].[All]" dimensionUniqueName="[Patients]" displayFolder="" count="0" unbalanced="0"/>
    <cacheHierarchy uniqueName="[Patients].[SexShort]" caption="SexShort" attribute="1" defaultMemberUniqueName="[Patients].[SexShort].[All]" allUniqueName="[Patients].[SexShort].[All]" dimensionUniqueName="[Patients]" displayFolder="" count="0" unbalanced="0"/>
    <cacheHierarchy uniqueName="[Patients].[TransferIn]" caption="TransferIn" attribute="1" defaultMemberUniqueName="[Patients].[TransferIn].[All]" allUniqueName="[Patients].[TransferIn].[All]" dimensionUniqueName="[Patients]" displayFolder="" count="0" unbalanced="0"/>
    <cacheHierarchy uniqueName="[Patients].[TransferInID]" caption="TransferInID" attribute="1" defaultMemberUniqueName="[Patients].[TransferInID].[All]" allUniqueName="[Patients].[TransferInID].[All]" dimensionUniqueName="[Patients]" displayFolder="" count="0" unbalanced="0"/>
    <cacheHierarchy uniqueName="[Patients].[TransferInShort]" caption="TransferInShort" attribute="1" defaultMemberUniqueName="[Patients].[TransferInShort].[All]" allUniqueName="[Patients].[TransferInShort].[All]" dimensionUniqueName="[Patients]" displayFolder="" count="0" unbalanced="0"/>
    <cacheHierarchy uniqueName="[Patients].[TrulyDied]" caption="TrulyDied" attribute="1" defaultMemberUniqueName="[Patients].[TrulyDied].[All]" allUniqueName="[Patients].[TrulyDied].[All]" dimensionUniqueName="[Patients]" displayFolder="" count="0" unbalanced="0"/>
    <cacheHierarchy uniqueName="[Patients].[TrulyDiedDate]" caption="TrulyDiedDate" attribute="1" defaultMemberUniqueName="[Patients].[TrulyDiedDate].[All]" allUniqueName="[Patients].[TrulyDiedDate].[All]" dimensionUniqueName="[Patients]" displayFolder="" count="0" unbalanced="0"/>
    <cacheHierarchy uniqueName="[Patients].[UniquePatientID]" caption="UniquePatientID" attribute="1" defaultMemberUniqueName="[Patients].[UniquePatientID].[All]" allUniqueName="[Patients].[UniquePatientID].[All]" dimensionUniqueName="[Patients]" displayFolder="" count="0" unbalanced="0"/>
    <cacheHierarchy uniqueName="[Status].[District]" caption="District" attribute="1" defaultMemberUniqueName="[Status].[District].[All]" allUniqueName="[Status].[District].[All]" dimensionUniqueName="[Status]" displayFolder="" count="0" unbalanced="0"/>
    <cacheHierarchy uniqueName="[Status].[FacilityKey]" caption="FacilityKey" attribute="1" defaultMemberUniqueName="[Status].[FacilityKey].[All]" allUniqueName="[Status].[FacilityKey].[All]" dimensionUniqueName="[Status]" displayFolder="" count="0" unbalanced="0"/>
    <cacheHierarchy uniqueName="[Status].[FacilityName]" caption="FacilityName" attribute="1" defaultMemberUniqueName="[Status].[FacilityName].[All]" allUniqueName="[Status].[FacilityName].[All]" dimensionUniqueName="[Status]" displayFolder="" count="0" unbalanced="0"/>
    <cacheHierarchy uniqueName="[Status].[FactStatusKey]" caption="FactStatusKey" attribute="1" defaultMemberUniqueName="[Status].[FactStatusKey].[All]" allUniqueName="[Status].[FactStatusKey].[All]" dimensionUniqueName="[Status]" displayFolder="" count="0" unbalanced="0"/>
    <cacheHierarchy uniqueName="[Status].[Notes]" caption="Notes" attribute="1" defaultMemberUniqueName="[Status].[Notes].[All]" allUniqueName="[Status].[Notes].[All]" dimensionUniqueName="[Status]" displayFolder="" count="0" unbalanced="0"/>
    <cacheHierarchy uniqueName="[Status].[PatientID]" caption="PatientID" attribute="1" defaultMemberUniqueName="[Status].[PatientID].[All]" allUniqueName="[Status].[PatientID].[All]" dimensionUniqueName="[Status]" displayFolder="" count="0" unbalanced="0"/>
    <cacheHierarchy uniqueName="[Status].[PatientKey]" caption="PatientKey" attribute="1" defaultMemberUniqueName="[Status].[PatientKey].[All]" allUniqueName="[Status].[PatientKey].[All]" dimensionUniqueName="[Status]" displayFolder="" count="0" unbalanced="0"/>
    <cacheHierarchy uniqueName="[Status].[PtAgeAtStatusDate]" caption="PtAgeAtStatusDate" attribute="1" defaultMemberUniqueName="[Status].[PtAgeAtStatusDate].[All]" allUniqueName="[Status].[PtAgeAtStatusDate].[All]" dimensionUniqueName="[Status]" displayFolder="" count="0" unbalanced="0"/>
    <cacheHierarchy uniqueName="[Status].[Region]" caption="Region" attribute="1" defaultMemberUniqueName="[Status].[Region].[All]" allUniqueName="[Status].[Region].[All]" dimensionUniqueName="[Status]" displayFolder="" count="0" unbalanced="0"/>
    <cacheHierarchy uniqueName="[Status].[StatusDate]" caption="StatusDate" attribute="1" defaultMemberUniqueName="[Status].[StatusDate].[All]" allUniqueName="[Status].[StatusDate].[All]" dimensionUniqueName="[Status]" displayFolder="" count="0" unbalanced="0"/>
    <cacheHierarchy uniqueName="[Status].[StatusDateKey]" caption="StatusDateKey" attribute="1" defaultMemberUniqueName="[Status].[StatusDateKey].[All]" allUniqueName="[Status].[StatusDateKey].[All]" dimensionUniqueName="[Status]" displayFolder="" count="0" unbalanced="0"/>
    <cacheHierarchy uniqueName="[Status].[StatusDescription]" caption="StatusDescription" attribute="1" defaultMemberUniqueName="[Status].[StatusDescription].[All]" allUniqueName="[Status].[StatusDescription].[All]" dimensionUniqueName="[Status]" displayFolder="" count="0" unbalanced="0"/>
    <cacheHierarchy uniqueName="[Status].[StatusKey]" caption="StatusKey" attribute="1" defaultMemberUniqueName="[Status].[StatusKey].[All]" allUniqueName="[Status].[StatusKey].[All]" dimensionUniqueName="[Status]" displayFolder="" count="0" unbalanced="0"/>
    <cacheHierarchy uniqueName="[Status].[StatusReason]" caption="StatusReason" attribute="1" defaultMemberUniqueName="[Status].[StatusReason].[All]" allUniqueName="[Status].[StatusReason].[All]" dimensionUniqueName="[Status]" displayFolder="" count="0" unbalanced="0"/>
    <cacheHierarchy uniqueName="[Status].[TransferredOutWhere]" caption="TransferredOutWhere" attribute="1" defaultMemberUniqueName="[Status].[TransferredOutWhere].[All]" allUniqueName="[Status].[TransferredOutWhere].[All]" dimensionUniqueName="[Status]" displayFolder="" count="0" unbalanced="0"/>
    <cacheHierarchy uniqueName="[Tests].[DateCompletedEAC]" caption="DateCompletedEAC" attribute="1" defaultMemberUniqueName="[Tests].[DateCompletedEAC].[All]" allUniqueName="[Tests].[DateCompletedEAC].[All]" dimensionUniqueName="[Tests]" displayFolder="" count="0" unbalanced="0"/>
    <cacheHierarchy uniqueName="[Tests].[DateHVLTestAfterEAC]" caption="DateHVLTestAfterEAC" attribute="1" defaultMemberUniqueName="[Tests].[DateHVLTestAfterEAC].[All]" allUniqueName="[Tests].[DateHVLTestAfterEAC].[All]" dimensionUniqueName="[Tests]" displayFolder="" count="0" unbalanced="0"/>
    <cacheHierarchy uniqueName="[Tests].[DateInitiatedEAC]" caption="DateInitiatedEAC" attribute="1" defaultMemberUniqueName="[Tests].[DateInitiatedEAC].[All]" allUniqueName="[Tests].[DateInitiatedEAC].[All]" dimensionUniqueName="[Tests]" displayFolder="" count="0" unbalanced="0"/>
    <cacheHierarchy uniqueName="[Tests].[District]" caption="District" attribute="1" defaultMemberUniqueName="[Tests].[District].[All]" allUniqueName="[Tests].[District].[All]" dimensionUniqueName="[Tests]" displayFolder="" count="0" unbalanced="0"/>
    <cacheHierarchy uniqueName="[Tests].[FacilityKey]" caption="FacilityKey" attribute="1" defaultMemberUniqueName="[Tests].[FacilityKey].[All]" allUniqueName="[Tests].[FacilityKey].[All]" dimensionUniqueName="[Tests]" displayFolder="" count="0" unbalanced="0"/>
    <cacheHierarchy uniqueName="[Tests].[FacilityName]" caption="FacilityName" attribute="1" defaultMemberUniqueName="[Tests].[FacilityName].[All]" allUniqueName="[Tests].[FacilityName].[All]" dimensionUniqueName="[Tests]" displayFolder="" count="0" unbalanced="0"/>
    <cacheHierarchy uniqueName="[Tests].[PatientID]" caption="PatientID" attribute="1" defaultMemberUniqueName="[Tests].[PatientID].[All]" allUniqueName="[Tests].[PatientID].[All]" dimensionUniqueName="[Tests]" displayFolder="" count="0" unbalanced="0"/>
    <cacheHierarchy uniqueName="[Tests].[PatientKey]" caption="PatientKey" attribute="1" defaultMemberUniqueName="[Tests].[PatientKey].[All]" allUniqueName="[Tests].[PatientKey].[All]" dimensionUniqueName="[Tests]" displayFolder="" count="0" unbalanced="0"/>
    <cacheHierarchy uniqueName="[Tests].[PtAgeAtRefVisitDate]" caption="PtAgeAtRefVisitDate" attribute="1" defaultMemberUniqueName="[Tests].[PtAgeAtRefVisitDate].[All]" allUniqueName="[Tests].[PtAgeAtRefVisitDate].[All]" dimensionUniqueName="[Tests]" displayFolder="" count="0" unbalanced="0"/>
    <cacheHierarchy uniqueName="[Tests].[RefVisitDate]" caption="RefVisitDate" attribute="1" defaultMemberUniqueName="[Tests].[RefVisitDate].[All]" allUniqueName="[Tests].[RefVisitDate].[All]" dimensionUniqueName="[Tests]" displayFolder="" count="0" unbalanced="0"/>
    <cacheHierarchy uniqueName="[Tests].[Region]" caption="Region" attribute="1" defaultMemberUniqueName="[Tests].[Region].[All]" allUniqueName="[Tests].[Region].[All]" dimensionUniqueName="[Tests]" displayFolder="" count="0" unbalanced="0"/>
    <cacheHierarchy uniqueName="[Tests].[ResultDate]" caption="ResultDate" attribute="1" defaultMemberUniqueName="[Tests].[ResultDate].[All]" allUniqueName="[Tests].[ResultDate].[All]" dimensionUniqueName="[Tests]" displayFolder="" count="0" unbalanced="0"/>
    <cacheHierarchy uniqueName="[Tests].[ResultNotes]" caption="ResultNotes" attribute="1" defaultMemberUniqueName="[Tests].[ResultNotes].[All]" allUniqueName="[Tests].[ResultNotes].[All]" dimensionUniqueName="[Tests]" displayFolder="" count="0" unbalanced="0"/>
    <cacheHierarchy uniqueName="[Tests].[ResultNotesClean]" caption="ResultNotesClean" attribute="1" defaultMemberUniqueName="[Tests].[ResultNotesClean].[All]" allUniqueName="[Tests].[ResultNotesClean].[All]" dimensionUniqueName="[Tests]" displayFolder="" count="0" unbalanced="0"/>
    <cacheHierarchy uniqueName="[Tests].[ResultNotesDiffer]" caption="ResultNotesDiffer" attribute="1" defaultMemberUniqueName="[Tests].[ResultNotesDiffer].[All]" allUniqueName="[Tests].[ResultNotesDiffer].[All]" dimensionUniqueName="[Tests]" displayFolder="" count="0" unbalanced="0"/>
    <cacheHierarchy uniqueName="[Tests].[ResultNumeric]" caption="ResultNumeric" attribute="1" defaultMemberUniqueName="[Tests].[ResultNumeric].[All]" allUniqueName="[Tests].[ResultNumeric].[All]" dimensionUniqueName="[Tests]" displayFolder="" count="0" unbalanced="0"/>
    <cacheHierarchy uniqueName="[Tests].[ResultNumericClean]" caption="ResultNumericClean" attribute="1" defaultMemberUniqueName="[Tests].[ResultNumericClean].[All]" allUniqueName="[Tests].[ResultNumericClean].[All]" dimensionUniqueName="[Tests]" displayFolder="" count="0" unbalanced="0"/>
    <cacheHierarchy uniqueName="[Tests].[ResultNumericDiffers]" caption="ResultNumericDiffers" attribute="1" defaultMemberUniqueName="[Tests].[ResultNumericDiffers].[All]" allUniqueName="[Tests].[ResultNumericDiffers].[All]" dimensionUniqueName="[Tests]" displayFolder="" count="0" unbalanced="0"/>
    <cacheHierarchy uniqueName="[Tests].[ResultsStatusID]" caption="ResultsStatusID" attribute="1" defaultMemberUniqueName="[Tests].[ResultsStatusID].[All]" allUniqueName="[Tests].[ResultsStatusID].[All]" dimensionUniqueName="[Tests]" displayFolder="" count="0" unbalanced="0"/>
    <cacheHierarchy uniqueName="[Tests].[ReturnResultDate]" caption="ReturnResultDate" attribute="1" defaultMemberUniqueName="[Tests].[ReturnResultDate].[All]" allUniqueName="[Tests].[ReturnResultDate].[All]" dimensionUniqueName="[Tests]" displayFolder="" count="0" unbalanced="0"/>
    <cacheHierarchy uniqueName="[Tests].[TestDate]" caption="TestDate" attribute="1" defaultMemberUniqueName="[Tests].[TestDate].[All]" allUniqueName="[Tests].[TestDate].[All]" dimensionUniqueName="[Tests]" displayFolder="" count="0" unbalanced="0"/>
    <cacheHierarchy uniqueName="[Tests].[TestType]" caption="TestType" attribute="1" defaultMemberUniqueName="[Tests].[TestType].[All]" allUniqueName="[Tests].[TestType].[All]" dimensionUniqueName="[Tests]" displayFolder="" count="0" unbalanced="0"/>
    <cacheHierarchy uniqueName="[Tests].[TestTypeID]" caption="TestTypeID" attribute="1" defaultMemberUniqueName="[Tests].[TestTypeID].[All]" allUniqueName="[Tests].[TestTypeID].[All]" dimensionUniqueName="[Tests]" displayFolder="" count="0" unbalanced="0"/>
    <cacheHierarchy uniqueName="[Tests].[TheID]" caption="TheID" attribute="1" defaultMemberUniqueName="[Tests].[TheID].[All]" allUniqueName="[Tests].[TheID].[All]" dimensionUniqueName="[Tests]" displayFolder="" count="0" unbalanced="0"/>
    <cacheHierarchy uniqueName="[VisitsAndAppointments].[appduedt]" caption="appduedt" attribute="1" defaultMemberUniqueName="[VisitsAndAppointments].[appduedt].[All]" allUniqueName="[VisitsAndAppointments].[appduedt].[All]" dimensionUniqueName="[VisitsAndAppointments]" displayFolder="" count="0" unbalanced="0"/>
    <cacheHierarchy uniqueName="[VisitsAndAppointments].[appduedt_imp]" caption="appduedt_imp" attribute="1" defaultMemberUniqueName="[VisitsAndAppointments].[appduedt_imp].[All]" allUniqueName="[VisitsAndAppointments].[appduedt_imp].[All]" dimensionUniqueName="[VisitsAndAppointments]" displayFolder="" count="0" unbalanced="0"/>
    <cacheHierarchy uniqueName="[VisitsAndAppointments].[appduedt_key]" caption="appduedt_key" attribute="1" defaultMemberUniqueName="[VisitsAndAppointments].[appduedt_key].[All]" allUniqueName="[VisitsAndAppointments].[appduedt_key].[All]" dimensionUniqueName="[VisitsAndAppointments]" displayFolder="" count="0" unbalanced="0"/>
    <cacheHierarchy uniqueName="[VisitsAndAppointments].[appmaxint]" caption="appmaxint" attribute="1" defaultMemberUniqueName="[VisitsAndAppointments].[appmaxint].[All]" allUniqueName="[VisitsAndAppointments].[appmaxint].[All]" dimensionUniqueName="[VisitsAndAppointments]" displayFolder="" count="0" unbalanced="0"/>
    <cacheHierarchy uniqueName="[VisitsAndAppointments].[AppointmentDate]" caption="AppointmentDate" attribute="1" defaultMemberUniqueName="[VisitsAndAppointments].[AppointmentDate].[All]" allUniqueName="[VisitsAndAppointments].[AppointmentDate].[All]" dimensionUniqueName="[VisitsAndAppointments]" displayFolder="" count="0" unbalanced="0"/>
    <cacheHierarchy uniqueName="[VisitsAndAppointments].[AppointmentDateKey]" caption="AppointmentDateKey" attribute="1" defaultMemberUniqueName="[VisitsAndAppointments].[AppointmentDateKey].[All]" allUniqueName="[VisitsAndAppointments].[AppointmentDateKey].[All]" dimensionUniqueName="[VisitsAndAppointments]" displayFolder="" count="0" unbalanced="0"/>
    <cacheHierarchy uniqueName="[VisitsAndAppointments].[artdys]" caption="artdys" attribute="1" defaultMemberUniqueName="[VisitsAndAppointments].[artdys].[All]" allUniqueName="[VisitsAndAppointments].[artdys].[All]" dimensionUniqueName="[VisitsAndAppointments]" displayFolder="" count="0" unbalanced="0"/>
    <cacheHierarchy uniqueName="[VisitsAndAppointments].[artdys_imp]" caption="artdys_imp" attribute="1" defaultMemberUniqueName="[VisitsAndAppointments].[artdys_imp].[All]" allUniqueName="[VisitsAndAppointments].[artdys_imp].[All]" dimensionUniqueName="[VisitsAndAppointments]" displayFolder="" count="0" unbalanced="0"/>
    <cacheHierarchy uniqueName="[VisitsAndAppointments].[artmaxint]" caption="artmaxint" attribute="1" defaultMemberUniqueName="[VisitsAndAppointments].[artmaxint].[All]" allUniqueName="[VisitsAndAppointments].[artmaxint].[All]" dimensionUniqueName="[VisitsAndAppointments]" displayFolder="" count="0" unbalanced="0"/>
    <cacheHierarchy uniqueName="[VisitsAndAppointments].[ARVCode]" caption="ARVCode" attribute="1" defaultMemberUniqueName="[VisitsAndAppointments].[ARVCode].[All]" allUniqueName="[VisitsAndAppointments].[ARVCode].[All]" dimensionUniqueName="[VisitsAndAppointments]" displayFolder="" count="0" unbalanced="0"/>
    <cacheHierarchy uniqueName="[VisitsAndAppointments].[ARVCodeKey]" caption="ARVCodeKey" attribute="1" defaultMemberUniqueName="[VisitsAndAppointments].[ARVCodeKey].[All]" allUniqueName="[VisitsAndAppointments].[ARVCodeKey].[All]" dimensionUniqueName="[VisitsAndAppointments]" displayFolder="" count="0" unbalanced="0"/>
    <cacheHierarchy uniqueName="[VisitsAndAppointments].[ARVDescription]" caption="ARVDescription" attribute="1" defaultMemberUniqueName="[VisitsAndAppointments].[ARVDescription].[All]" allUniqueName="[VisitsAndAppointments].[ARVDescription].[All]" dimensionUniqueName="[VisitsAndAppointments]" displayFolder="" count="0" unbalanced="0"/>
    <cacheHierarchy uniqueName="[VisitsAndAppointments].[ARVStatus]" caption="ARVStatus" attribute="1" defaultMemberUniqueName="[VisitsAndAppointments].[ARVStatus].[All]" allUniqueName="[VisitsAndAppointments].[ARVStatus].[All]" dimensionUniqueName="[VisitsAndAppointments]" displayFolder="" count="0" unbalanced="0"/>
    <cacheHierarchy uniqueName="[VisitsAndAppointments].[ARVStatusDescription]" caption="ARVStatusDescription" attribute="1" defaultMemberUniqueName="[VisitsAndAppointments].[ARVStatusDescription].[All]" allUniqueName="[VisitsAndAppointments].[ARVStatusDescription].[All]" dimensionUniqueName="[VisitsAndAppointments]" displayFolder="" count="0" unbalanced="0"/>
    <cacheHierarchy uniqueName="[VisitsAndAppointments].[ARVStatusKey]" caption="ARVStatusKey" attribute="1" defaultMemberUniqueName="[VisitsAndAppointments].[ARVStatusKey].[All]" allUniqueName="[VisitsAndAppointments].[ARVStatusKey].[All]" dimensionUniqueName="[VisitsAndAppointments]" displayFolder="" count="0" unbalanced="0"/>
    <cacheHierarchy uniqueName="[VisitsAndAppointments].[ConsiderForTX_CURR]" caption="ConsiderForTX_CURR" attribute="1" defaultMemberUniqueName="[VisitsAndAppointments].[ConsiderForTX_CURR].[All]" allUniqueName="[VisitsAndAppointments].[ConsiderForTX_CURR].[All]" dimensionUniqueName="[VisitsAndAppointments]" displayFolder="" count="0" unbalanced="0"/>
    <cacheHierarchy uniqueName="[VisitsAndAppointments].[DATIMName]" caption="DATIMName" attribute="1" defaultMemberUniqueName="[VisitsAndAppointments].[DATIMName].[All]" allUniqueName="[VisitsAndAppointments].[DATIMName].[All]" dimensionUniqueName="[VisitsAndAppointments]" displayFolder="" count="0" unbalanced="0"/>
    <cacheHierarchy uniqueName="[VisitsAndAppointments].[DHISName]" caption="DHISName" attribute="1" defaultMemberUniqueName="[VisitsAndAppointments].[DHISName].[All]" allUniqueName="[VisitsAndAppointments].[DHISName].[All]" dimensionUniqueName="[VisitsAndAppointments]" displayFolder="" count="0" unbalanced="0"/>
    <cacheHierarchy uniqueName="[VisitsAndAppointments].[FacilityKey]" caption="FacilityKey" attribute="1" defaultMemberUniqueName="[VisitsAndAppointments].[FacilityKey].[All]" allUniqueName="[VisitsAndAppointments].[FacilityKey].[All]" dimensionUniqueName="[VisitsAndAppointments]" displayFolder="" count="0" unbalanced="0"/>
    <cacheHierarchy uniqueName="[VisitsAndAppointments].[maxint]" caption="maxint" attribute="1" defaultMemberUniqueName="[VisitsAndAppointments].[maxint].[All]" allUniqueName="[VisitsAndAppointments].[maxint].[All]" dimensionUniqueName="[VisitsAndAppointments]" displayFolder="" count="0" unbalanced="0"/>
    <cacheHierarchy uniqueName="[VisitsAndAppointments].[MaxVisitDateKey]" caption="MaxVisitDateKey" attribute="1" defaultMemberUniqueName="[VisitsAndAppointments].[MaxVisitDateKey].[All]" allUniqueName="[VisitsAndAppointments].[MaxVisitDateKey].[All]" dimensionUniqueName="[VisitsAndAppointments]" displayFolder="" count="0" unbalanced="0"/>
    <cacheHierarchy uniqueName="[VisitsAndAppointments].[NextActualVisitDate]" caption="NextActualVisitDate" attribute="1" defaultMemberUniqueName="[VisitsAndAppointments].[NextActualVisitDate].[All]" allUniqueName="[VisitsAndAppointments].[NextActualVisitDate].[All]" dimensionUniqueName="[VisitsAndAppointments]" displayFolder="" count="0" unbalanced="0"/>
    <cacheHierarchy uniqueName="[VisitsAndAppointments].[NextActualVisitDateKey]" caption="NextActualVisitDateKey" attribute="1" defaultMemberUniqueName="[VisitsAndAppointments].[NextActualVisitDateKey].[All]" allUniqueName="[VisitsAndAppointments].[NextActualVisitDateKey].[All]" dimensionUniqueName="[VisitsAndAppointments]" displayFolder="" count="0" unbalanced="0"/>
    <cacheHierarchy uniqueName="[VisitsAndAppointments].[NextTXCURRVisitDate]" caption="NextTXCURRVisitDate" attribute="1" defaultMemberUniqueName="[VisitsAndAppointments].[NextTXCURRVisitDate].[All]" allUniqueName="[VisitsAndAppointments].[NextTXCURRVisitDate].[All]" dimensionUniqueName="[VisitsAndAppointments]" displayFolder="" count="0" unbalanced="0"/>
    <cacheHierarchy uniqueName="[VisitsAndAppointments].[NumDaysDispensed]" caption="NumDaysDispensed" attribute="1" defaultMemberUniqueName="[VisitsAndAppointments].[NumDaysDispensed].[All]" allUniqueName="[VisitsAndAppointments].[NumDaysDispensed].[All]" dimensionUniqueName="[VisitsAndAppointments]" displayFolder="" count="0" unbalanced="0"/>
    <cacheHierarchy uniqueName="[VisitsAndAppointments].[PatientID]" caption="PatientID" attribute="1" defaultMemberUniqueName="[VisitsAndAppointments].[PatientID].[All]" allUniqueName="[VisitsAndAppointments].[PatientID].[All]" dimensionUniqueName="[VisitsAndAppointments]" displayFolder="" count="0" unbalanced="0"/>
    <cacheHierarchy uniqueName="[VisitsAndAppointments].[PatientKey]" caption="PatientKey" attribute="1" defaultMemberUniqueName="[VisitsAndAppointments].[PatientKey].[All]" allUniqueName="[VisitsAndAppointments].[PatientKey].[All]" dimensionUniqueName="[VisitsAndAppointments]" displayFolder="" count="0" unbalanced="0"/>
    <cacheHierarchy uniqueName="[VisitsAndAppointments].[PtAgeAtVisit]" caption="PtAgeAtVisit" attribute="1" defaultMemberUniqueName="[VisitsAndAppointments].[PtAgeAtVisit].[All]" allUniqueName="[VisitsAndAppointments].[PtAgeAtVisit].[All]" dimensionUniqueName="[VisitsAndAppointments]" displayFolder="" count="0" unbalanced="0"/>
    <cacheHierarchy uniqueName="[VisitsAndAppointments].[src]" caption="src" attribute="1" defaultMemberUniqueName="[VisitsAndAppointments].[src].[All]" allUniqueName="[VisitsAndAppointments].[src].[All]" dimensionUniqueName="[VisitsAndAppointments]" displayFolder="" count="0" unbalanced="0"/>
    <cacheHierarchy uniqueName="[VisitsAndAppointments].[TBRXIPTID]" caption="TBRXIPTID" attribute="1" defaultMemberUniqueName="[VisitsAndAppointments].[TBRXIPTID].[All]" allUniqueName="[VisitsAndAppointments].[TBRXIPTID].[All]" dimensionUniqueName="[VisitsAndAppointments]" displayFolder="" count="0" unbalanced="0"/>
    <cacheHierarchy uniqueName="[VisitsAndAppointments].[TBRXIPTKey]" caption="TBRXIPTKey" attribute="1" defaultMemberUniqueName="[VisitsAndAppointments].[TBRXIPTKey].[All]" allUniqueName="[VisitsAndAppointments].[TBRXIPTKey].[All]" dimensionUniqueName="[VisitsAndAppointments]" displayFolder="" count="0" unbalanced="0"/>
    <cacheHierarchy uniqueName="[VisitsAndAppointments].[TimeOnART]" caption="TimeOnART" attribute="1" defaultMemberUniqueName="[VisitsAndAppointments].[TimeOnART].[All]" allUniqueName="[VisitsAndAppointments].[TimeOnART].[All]" dimensionUniqueName="[VisitsAndAppointments]" displayFolder="" count="0" unbalanced="0"/>
    <cacheHierarchy uniqueName="[VisitsAndAppointments].[VisitDate]" caption="VisitDate" attribute="1" defaultMemberUniqueName="[VisitsAndAppointments].[VisitDate].[All]" allUniqueName="[VisitsAndAppointments].[VisitDate].[All]" dimensionUniqueName="[VisitsAndAppointments]" displayFolder="" count="0" unbalanced="0"/>
    <cacheHierarchy uniqueName="[VisitsAndAppointments].[VisitDateKey]" caption="VisitDateKey" attribute="1" defaultMemberUniqueName="[VisitsAndAppointments].[VisitDateKey].[All]" allUniqueName="[VisitsAndAppointments].[VisitDateKey].[All]" dimensionUniqueName="[VisitsAndAppointments]" displayFolder="" count="0" unbalanced="0"/>
    <cacheHierarchy uniqueName="[VisitsAndAppointments].[VisitKey]" caption="VisitKey" attribute="1" defaultMemberUniqueName="[VisitsAndAppointments].[VisitKey].[All]" allUniqueName="[VisitsAndAppointments].[VisitKey].[All]" dimensionUniqueName="[VisitsAndAppointments]" displayFolder="" count="0" unbalanced="0"/>
    <cacheHierarchy uniqueName="[_Measures].[nothing]" caption="nothing" attribute="1" defaultMemberUniqueName="[_Measures].[nothing].[All]" allUniqueName="[_Measures].[nothing].[All]" dimensionUniqueName="[_Measures]" displayFolder="" count="0" unbalanced="0" hidden="1"/>
    <cacheHierarchy uniqueName="[Age Group].[AgeKey]" caption="AgeKey" attribute="1" defaultMemberUniqueName="[Age Group].[AgeKey].[All]" allUniqueName="[Age Group].[AgeKey].[All]" dimensionUniqueName="[Age Group]" displayFolder="" count="0" unbalanced="0" hidden="1"/>
    <cacheHierarchy uniqueName="[Age Group].[AgeMax]" caption="AgeMax" attribute="1" defaultMemberUniqueName="[Age Group].[AgeMax].[All]" allUniqueName="[Age Group].[AgeMax].[All]" dimensionUniqueName="[Age Group]" displayFolder="" count="0" unbalanced="0" hidden="1"/>
    <cacheHierarchy uniqueName="[Age Group].[AgeMin]" caption="AgeMin" attribute="1" defaultMemberUniqueName="[Age Group].[AgeMin].[All]" allUniqueName="[Age Group].[AgeMin].[All]" dimensionUniqueName="[Age Group]" displayFolder="" count="0" unbalanced="0" hidden="1"/>
    <cacheHierarchy uniqueName="[DateTableTemplate_67311400-74fb-473f-8bb8-78ddea2ee040].[Date]" caption="Date" attribute="1" defaultMemberUniqueName="[DateTableTemplate_67311400-74fb-473f-8bb8-78ddea2ee040].[Date].[All]" allUniqueName="[DateTableTemplate_67311400-74fb-473f-8bb8-78ddea2ee040].[Date].[All]" dimensionUniqueName="[DateTableTemplate_67311400-74fb-473f-8bb8-78ddea2ee040]" displayFolder="" count="0" unbalanced="0" hidden="1"/>
    <cacheHierarchy uniqueName="[DateTableTemplate_67311400-74fb-473f-8bb8-78ddea2ee040].[Date Hierarchy]" caption="Date Hierarchy" defaultMemberUniqueName="[DateTableTemplate_67311400-74fb-473f-8bb8-78ddea2ee040].[Date Hierarchy].[All]" allUniqueName="[DateTableTemplate_67311400-74fb-473f-8bb8-78ddea2ee040].[Date Hierarchy].[All]" dimensionUniqueName="[DateTableTemplate_67311400-74fb-473f-8bb8-78ddea2ee040]" displayFolder="" count="0" unbalanced="0" hidden="1"/>
    <cacheHierarchy uniqueName="[DateTableTemplate_67311400-74fb-473f-8bb8-78ddea2ee040].[Day]" caption="Day" attribute="1" defaultMemberUniqueName="[DateTableTemplate_67311400-74fb-473f-8bb8-78ddea2ee040].[Day].[All]" allUniqueName="[DateTableTemplate_67311400-74fb-473f-8bb8-78ddea2ee040].[Day].[All]" dimensionUniqueName="[DateTableTemplate_67311400-74fb-473f-8bb8-78ddea2ee040]" displayFolder="" count="0" unbalanced="0" hidden="1"/>
    <cacheHierarchy uniqueName="[DateTableTemplate_67311400-74fb-473f-8bb8-78ddea2ee040].[Month]" caption="Month" attribute="1" defaultMemberUniqueName="[DateTableTemplate_67311400-74fb-473f-8bb8-78ddea2ee040].[Month].[All]" allUniqueName="[DateTableTemplate_67311400-74fb-473f-8bb8-78ddea2ee040].[Month].[All]" dimensionUniqueName="[DateTableTemplate_67311400-74fb-473f-8bb8-78ddea2ee040]" displayFolder="" count="0" unbalanced="0" hidden="1"/>
    <cacheHierarchy uniqueName="[DateTableTemplate_67311400-74fb-473f-8bb8-78ddea2ee040].[MonthNo]" caption="MonthNo" attribute="1" defaultMemberUniqueName="[DateTableTemplate_67311400-74fb-473f-8bb8-78ddea2ee040].[MonthNo].[All]" allUniqueName="[DateTableTemplate_67311400-74fb-473f-8bb8-78ddea2ee040].[MonthNo].[All]" dimensionUniqueName="[DateTableTemplate_67311400-74fb-473f-8bb8-78ddea2ee040]" displayFolder="" count="0" unbalanced="0" hidden="1"/>
    <cacheHierarchy uniqueName="[DateTableTemplate_67311400-74fb-473f-8bb8-78ddea2ee040].[Quarter]" caption="Quarter" attribute="1" defaultMemberUniqueName="[DateTableTemplate_67311400-74fb-473f-8bb8-78ddea2ee040].[Quarter].[All]" allUniqueName="[DateTableTemplate_67311400-74fb-473f-8bb8-78ddea2ee040].[Quarter].[All]" dimensionUniqueName="[DateTableTemplate_67311400-74fb-473f-8bb8-78ddea2ee040]" displayFolder="" count="0" unbalanced="0" hidden="1"/>
    <cacheHierarchy uniqueName="[DateTableTemplate_67311400-74fb-473f-8bb8-78ddea2ee040].[QuarterNo]" caption="QuarterNo" attribute="1" defaultMemberUniqueName="[DateTableTemplate_67311400-74fb-473f-8bb8-78ddea2ee040].[QuarterNo].[All]" allUniqueName="[DateTableTemplate_67311400-74fb-473f-8bb8-78ddea2ee040].[QuarterNo].[All]" dimensionUniqueName="[DateTableTemplate_67311400-74fb-473f-8bb8-78ddea2ee040]" displayFolder="" count="0" unbalanced="0" hidden="1"/>
    <cacheHierarchy uniqueName="[DateTableTemplate_67311400-74fb-473f-8bb8-78ddea2ee040].[Year]" caption="Year" attribute="1" defaultMemberUniqueName="[DateTableTemplate_67311400-74fb-473f-8bb8-78ddea2ee040].[Year].[All]" allUniqueName="[DateTableTemplate_67311400-74fb-473f-8bb8-78ddea2ee040].[Year].[All]" dimensionUniqueName="[DateTableTemplate_67311400-74fb-473f-8bb8-78ddea2ee040]" displayFolder="" count="0" unbalanced="0" hidden="1"/>
    <cacheHierarchy uniqueName="[DimDate].[DateTime]" caption="DateTime" attribute="1" defaultMemberUniqueName="[DimDate].[DateTime].[All]" allUniqueName="[DimDate].[DateTime].[All]" dimensionUniqueName="[DimDate]" displayFolder="" count="0" unbalanced="0" hidden="1"/>
    <cacheHierarchy uniqueName="[DimDate].[DayOfMonth]" caption="DayOfMonth" attribute="1" defaultMemberUniqueName="[DimDate].[DayOfMonth].[All]" allUniqueName="[DimDate].[DayOfMonth].[All]" dimensionUniqueName="[DimDate]" displayFolder="" count="0" unbalanced="0" hidden="1"/>
    <cacheHierarchy uniqueName="[DimDate].[FiscalMonth]" caption="FiscalMonth" attribute="1" defaultMemberUniqueName="[DimDate].[FiscalMonth].[All]" allUniqueName="[DimDate].[FiscalMonth].[All]" dimensionUniqueName="[DimDate]" displayFolder="" count="0" unbalanced="0" hidden="1"/>
    <cacheHierarchy uniqueName="[DimDate].[FiscalYearName]" caption="FiscalYearName" attribute="1" defaultMemberUniqueName="[DimDate].[FiscalYearName].[All]" allUniqueName="[DimDate].[FiscalYearName].[All]" dimensionUniqueName="[DimDate]" displayFolder="" count="0" unbalanced="0" hidden="1"/>
    <cacheHierarchy uniqueName="[DimDate].[FiscalYearQuarterName]" caption="FiscalYearQuarterName" attribute="1" defaultMemberUniqueName="[DimDate].[FiscalYearQuarterName].[All]" allUniqueName="[DimDate].[FiscalYearQuarterName].[All]" dimensionUniqueName="[DimDate]" displayFolder="" count="0" unbalanced="0" hidden="1"/>
    <cacheHierarchy uniqueName="[DimDate].[FiscalYYYYMM]" caption="FiscalYYYYMM" attribute="1" defaultMemberUniqueName="[DimDate].[FiscalYYYYMM].[All]" allUniqueName="[DimDate].[FiscalYYYYMM].[All]" dimensionUniqueName="[DimDate]" displayFolder="" count="0" unbalanced="0" hidden="1"/>
    <cacheHierarchy uniqueName="[DimDate].[MMYYYY]" caption="MMYYYY" attribute="1" defaultMemberUniqueName="[DimDate].[MMYYYY].[All]" allUniqueName="[DimDate].[MMYYYY].[All]" dimensionUniqueName="[DimDate]" displayFolder="" count="0" unbalanced="0" hidden="1"/>
    <cacheHierarchy uniqueName="[DimDate].[YearName]" caption="YearName" attribute="1" defaultMemberUniqueName="[DimDate].[YearName].[All]" allUniqueName="[DimDate].[YearName].[All]" dimensionUniqueName="[DimDate]" displayFolder="" count="0" unbalanced="0" hidden="1"/>
    <cacheHierarchy uniqueName="[DimDate].[YYYYMM]" caption="YYYYMM" attribute="1" defaultMemberUniqueName="[DimDate].[YYYYMM].[All]" allUniqueName="[DimDate].[YYYYMM].[All]" dimensionUniqueName="[DimDate]" displayFolder="" count="0" unbalanced="0" hidden="1"/>
    <cacheHierarchy uniqueName="[LocalDateTable_048e15b4-68bf-41ef-8bcb-f4b4a48e87d1].[Date]" caption="Date" attribute="1" defaultMemberUniqueName="[LocalDateTable_048e15b4-68bf-41ef-8bcb-f4b4a48e87d1].[Date].[All]" allUniqueName="[LocalDateTable_048e15b4-68bf-41ef-8bcb-f4b4a48e87d1].[Date].[All]" dimensionUniqueName="[LocalDateTable_048e15b4-68bf-41ef-8bcb-f4b4a48e87d1]" displayFolder="" count="0" unbalanced="0" hidden="1"/>
    <cacheHierarchy uniqueName="[LocalDateTable_048e15b4-68bf-41ef-8bcb-f4b4a48e87d1].[Date Hierarchy]" caption="Date Hierarchy" defaultMemberUniqueName="[LocalDateTable_048e15b4-68bf-41ef-8bcb-f4b4a48e87d1].[Date Hierarchy].[All]" allUniqueName="[LocalDateTable_048e15b4-68bf-41ef-8bcb-f4b4a48e87d1].[Date Hierarchy].[All]" dimensionUniqueName="[LocalDateTable_048e15b4-68bf-41ef-8bcb-f4b4a48e87d1]" displayFolder="" count="0" unbalanced="0" hidden="1"/>
    <cacheHierarchy uniqueName="[LocalDateTable_048e15b4-68bf-41ef-8bcb-f4b4a48e87d1].[Day]" caption="Day" attribute="1" defaultMemberUniqueName="[LocalDateTable_048e15b4-68bf-41ef-8bcb-f4b4a48e87d1].[Day].[All]" allUniqueName="[LocalDateTable_048e15b4-68bf-41ef-8bcb-f4b4a48e87d1].[Day].[All]" dimensionUniqueName="[LocalDateTable_048e15b4-68bf-41ef-8bcb-f4b4a48e87d1]" displayFolder="" count="0" unbalanced="0" hidden="1"/>
    <cacheHierarchy uniqueName="[LocalDateTable_048e15b4-68bf-41ef-8bcb-f4b4a48e87d1].[Month]" caption="Month" attribute="1" defaultMemberUniqueName="[LocalDateTable_048e15b4-68bf-41ef-8bcb-f4b4a48e87d1].[Month].[All]" allUniqueName="[LocalDateTable_048e15b4-68bf-41ef-8bcb-f4b4a48e87d1].[Month].[All]" dimensionUniqueName="[LocalDateTable_048e15b4-68bf-41ef-8bcb-f4b4a48e87d1]" displayFolder="" count="0" unbalanced="0" hidden="1"/>
    <cacheHierarchy uniqueName="[LocalDateTable_048e15b4-68bf-41ef-8bcb-f4b4a48e87d1].[MonthNo]" caption="MonthNo" attribute="1" defaultMemberUniqueName="[LocalDateTable_048e15b4-68bf-41ef-8bcb-f4b4a48e87d1].[MonthNo].[All]" allUniqueName="[LocalDateTable_048e15b4-68bf-41ef-8bcb-f4b4a48e87d1].[MonthNo].[All]" dimensionUniqueName="[LocalDateTable_048e15b4-68bf-41ef-8bcb-f4b4a48e87d1]" displayFolder="" count="0" unbalanced="0" hidden="1"/>
    <cacheHierarchy uniqueName="[LocalDateTable_048e15b4-68bf-41ef-8bcb-f4b4a48e87d1].[Quarter]" caption="Quarter" attribute="1" defaultMemberUniqueName="[LocalDateTable_048e15b4-68bf-41ef-8bcb-f4b4a48e87d1].[Quarter].[All]" allUniqueName="[LocalDateTable_048e15b4-68bf-41ef-8bcb-f4b4a48e87d1].[Quarter].[All]" dimensionUniqueName="[LocalDateTable_048e15b4-68bf-41ef-8bcb-f4b4a48e87d1]" displayFolder="" count="0" unbalanced="0" hidden="1"/>
    <cacheHierarchy uniqueName="[LocalDateTable_048e15b4-68bf-41ef-8bcb-f4b4a48e87d1].[QuarterNo]" caption="QuarterNo" attribute="1" defaultMemberUniqueName="[LocalDateTable_048e15b4-68bf-41ef-8bcb-f4b4a48e87d1].[QuarterNo].[All]" allUniqueName="[LocalDateTable_048e15b4-68bf-41ef-8bcb-f4b4a48e87d1].[QuarterNo].[All]" dimensionUniqueName="[LocalDateTable_048e15b4-68bf-41ef-8bcb-f4b4a48e87d1]" displayFolder="" count="0" unbalanced="0" hidden="1"/>
    <cacheHierarchy uniqueName="[LocalDateTable_048e15b4-68bf-41ef-8bcb-f4b4a48e87d1].[Year]" caption="Year" attribute="1" defaultMemberUniqueName="[LocalDateTable_048e15b4-68bf-41ef-8bcb-f4b4a48e87d1].[Year].[All]" allUniqueName="[LocalDateTable_048e15b4-68bf-41ef-8bcb-f4b4a48e87d1].[Year].[All]" dimensionUniqueName="[LocalDateTable_048e15b4-68bf-41ef-8bcb-f4b4a48e87d1]" displayFolder="" count="0" unbalanced="0" hidden="1"/>
    <cacheHierarchy uniqueName="[LocalDateTable_198c0f25-be56-470d-9563-6ba85adc20f6].[Date]" caption="Date" attribute="1" defaultMemberUniqueName="[LocalDateTable_198c0f25-be56-470d-9563-6ba85adc20f6].[Date].[All]" allUniqueName="[LocalDateTable_198c0f25-be56-470d-9563-6ba85adc20f6].[Date].[All]" dimensionUniqueName="[LocalDateTable_198c0f25-be56-470d-9563-6ba85adc20f6]" displayFolder="" count="0" unbalanced="0" hidden="1"/>
    <cacheHierarchy uniqueName="[LocalDateTable_198c0f25-be56-470d-9563-6ba85adc20f6].[Date Hierarchy]" caption="Date Hierarchy" defaultMemberUniqueName="[LocalDateTable_198c0f25-be56-470d-9563-6ba85adc20f6].[Date Hierarchy].[All]" allUniqueName="[LocalDateTable_198c0f25-be56-470d-9563-6ba85adc20f6].[Date Hierarchy].[All]" dimensionUniqueName="[LocalDateTable_198c0f25-be56-470d-9563-6ba85adc20f6]" displayFolder="" count="0" unbalanced="0" hidden="1"/>
    <cacheHierarchy uniqueName="[LocalDateTable_198c0f25-be56-470d-9563-6ba85adc20f6].[Day]" caption="Day" attribute="1" defaultMemberUniqueName="[LocalDateTable_198c0f25-be56-470d-9563-6ba85adc20f6].[Day].[All]" allUniqueName="[LocalDateTable_198c0f25-be56-470d-9563-6ba85adc20f6].[Day].[All]" dimensionUniqueName="[LocalDateTable_198c0f25-be56-470d-9563-6ba85adc20f6]" displayFolder="" count="0" unbalanced="0" hidden="1"/>
    <cacheHierarchy uniqueName="[LocalDateTable_198c0f25-be56-470d-9563-6ba85adc20f6].[Month]" caption="Month" attribute="1" defaultMemberUniqueName="[LocalDateTable_198c0f25-be56-470d-9563-6ba85adc20f6].[Month].[All]" allUniqueName="[LocalDateTable_198c0f25-be56-470d-9563-6ba85adc20f6].[Month].[All]" dimensionUniqueName="[LocalDateTable_198c0f25-be56-470d-9563-6ba85adc20f6]" displayFolder="" count="0" unbalanced="0" hidden="1"/>
    <cacheHierarchy uniqueName="[LocalDateTable_198c0f25-be56-470d-9563-6ba85adc20f6].[MonthNo]" caption="MonthNo" attribute="1" defaultMemberUniqueName="[LocalDateTable_198c0f25-be56-470d-9563-6ba85adc20f6].[MonthNo].[All]" allUniqueName="[LocalDateTable_198c0f25-be56-470d-9563-6ba85adc20f6].[MonthNo].[All]" dimensionUniqueName="[LocalDateTable_198c0f25-be56-470d-9563-6ba85adc20f6]" displayFolder="" count="0" unbalanced="0" hidden="1"/>
    <cacheHierarchy uniqueName="[LocalDateTable_198c0f25-be56-470d-9563-6ba85adc20f6].[Quarter]" caption="Quarter" attribute="1" defaultMemberUniqueName="[LocalDateTable_198c0f25-be56-470d-9563-6ba85adc20f6].[Quarter].[All]" allUniqueName="[LocalDateTable_198c0f25-be56-470d-9563-6ba85adc20f6].[Quarter].[All]" dimensionUniqueName="[LocalDateTable_198c0f25-be56-470d-9563-6ba85adc20f6]" displayFolder="" count="0" unbalanced="0" hidden="1"/>
    <cacheHierarchy uniqueName="[LocalDateTable_198c0f25-be56-470d-9563-6ba85adc20f6].[QuarterNo]" caption="QuarterNo" attribute="1" defaultMemberUniqueName="[LocalDateTable_198c0f25-be56-470d-9563-6ba85adc20f6].[QuarterNo].[All]" allUniqueName="[LocalDateTable_198c0f25-be56-470d-9563-6ba85adc20f6].[QuarterNo].[All]" dimensionUniqueName="[LocalDateTable_198c0f25-be56-470d-9563-6ba85adc20f6]" displayFolder="" count="0" unbalanced="0" hidden="1"/>
    <cacheHierarchy uniqueName="[LocalDateTable_198c0f25-be56-470d-9563-6ba85adc20f6].[Year]" caption="Year" attribute="1" defaultMemberUniqueName="[LocalDateTable_198c0f25-be56-470d-9563-6ba85adc20f6].[Year].[All]" allUniqueName="[LocalDateTable_198c0f25-be56-470d-9563-6ba85adc20f6].[Year].[All]" dimensionUniqueName="[LocalDateTable_198c0f25-be56-470d-9563-6ba85adc20f6]" displayFolder="" count="0" unbalanced="0" hidden="1"/>
    <cacheHierarchy uniqueName="[LocalDateTable_1a9c82fc-1d61-4945-b631-466fd7cb79e1].[Date]" caption="Date" attribute="1" defaultMemberUniqueName="[LocalDateTable_1a9c82fc-1d61-4945-b631-466fd7cb79e1].[Date].[All]" allUniqueName="[LocalDateTable_1a9c82fc-1d61-4945-b631-466fd7cb79e1].[Date].[All]" dimensionUniqueName="[LocalDateTable_1a9c82fc-1d61-4945-b631-466fd7cb79e1]" displayFolder="" count="0" unbalanced="0" hidden="1"/>
    <cacheHierarchy uniqueName="[LocalDateTable_1a9c82fc-1d61-4945-b631-466fd7cb79e1].[Date Hierarchy]" caption="Date Hierarchy" defaultMemberUniqueName="[LocalDateTable_1a9c82fc-1d61-4945-b631-466fd7cb79e1].[Date Hierarchy].[All]" allUniqueName="[LocalDateTable_1a9c82fc-1d61-4945-b631-466fd7cb79e1].[Date Hierarchy].[All]" dimensionUniqueName="[LocalDateTable_1a9c82fc-1d61-4945-b631-466fd7cb79e1]" displayFolder="" count="0" unbalanced="0" hidden="1"/>
    <cacheHierarchy uniqueName="[LocalDateTable_1a9c82fc-1d61-4945-b631-466fd7cb79e1].[Day]" caption="Day" attribute="1" defaultMemberUniqueName="[LocalDateTable_1a9c82fc-1d61-4945-b631-466fd7cb79e1].[Day].[All]" allUniqueName="[LocalDateTable_1a9c82fc-1d61-4945-b631-466fd7cb79e1].[Day].[All]" dimensionUniqueName="[LocalDateTable_1a9c82fc-1d61-4945-b631-466fd7cb79e1]" displayFolder="" count="0" unbalanced="0" hidden="1"/>
    <cacheHierarchy uniqueName="[LocalDateTable_1a9c82fc-1d61-4945-b631-466fd7cb79e1].[Month]" caption="Month" attribute="1" defaultMemberUniqueName="[LocalDateTable_1a9c82fc-1d61-4945-b631-466fd7cb79e1].[Month].[All]" allUniqueName="[LocalDateTable_1a9c82fc-1d61-4945-b631-466fd7cb79e1].[Month].[All]" dimensionUniqueName="[LocalDateTable_1a9c82fc-1d61-4945-b631-466fd7cb79e1]" displayFolder="" count="0" unbalanced="0" hidden="1"/>
    <cacheHierarchy uniqueName="[LocalDateTable_1a9c82fc-1d61-4945-b631-466fd7cb79e1].[MonthNo]" caption="MonthNo" attribute="1" defaultMemberUniqueName="[LocalDateTable_1a9c82fc-1d61-4945-b631-466fd7cb79e1].[MonthNo].[All]" allUniqueName="[LocalDateTable_1a9c82fc-1d61-4945-b631-466fd7cb79e1].[MonthNo].[All]" dimensionUniqueName="[LocalDateTable_1a9c82fc-1d61-4945-b631-466fd7cb79e1]" displayFolder="" count="0" unbalanced="0" hidden="1"/>
    <cacheHierarchy uniqueName="[LocalDateTable_1a9c82fc-1d61-4945-b631-466fd7cb79e1].[Quarter]" caption="Quarter" attribute="1" defaultMemberUniqueName="[LocalDateTable_1a9c82fc-1d61-4945-b631-466fd7cb79e1].[Quarter].[All]" allUniqueName="[LocalDateTable_1a9c82fc-1d61-4945-b631-466fd7cb79e1].[Quarter].[All]" dimensionUniqueName="[LocalDateTable_1a9c82fc-1d61-4945-b631-466fd7cb79e1]" displayFolder="" count="0" unbalanced="0" hidden="1"/>
    <cacheHierarchy uniqueName="[LocalDateTable_1a9c82fc-1d61-4945-b631-466fd7cb79e1].[QuarterNo]" caption="QuarterNo" attribute="1" defaultMemberUniqueName="[LocalDateTable_1a9c82fc-1d61-4945-b631-466fd7cb79e1].[QuarterNo].[All]" allUniqueName="[LocalDateTable_1a9c82fc-1d61-4945-b631-466fd7cb79e1].[QuarterNo].[All]" dimensionUniqueName="[LocalDateTable_1a9c82fc-1d61-4945-b631-466fd7cb79e1]" displayFolder="" count="0" unbalanced="0" hidden="1"/>
    <cacheHierarchy uniqueName="[LocalDateTable_1a9c82fc-1d61-4945-b631-466fd7cb79e1].[Year]" caption="Year" attribute="1" defaultMemberUniqueName="[LocalDateTable_1a9c82fc-1d61-4945-b631-466fd7cb79e1].[Year].[All]" allUniqueName="[LocalDateTable_1a9c82fc-1d61-4945-b631-466fd7cb79e1].[Year].[All]" dimensionUniqueName="[LocalDateTable_1a9c82fc-1d61-4945-b631-466fd7cb79e1]" displayFolder="" count="0" unbalanced="0" hidden="1"/>
    <cacheHierarchy uniqueName="[LocalDateTable_32153099-8e28-4611-a8e3-a94f0e0a48ba].[Date]" caption="Date" attribute="1" defaultMemberUniqueName="[LocalDateTable_32153099-8e28-4611-a8e3-a94f0e0a48ba].[Date].[All]" allUniqueName="[LocalDateTable_32153099-8e28-4611-a8e3-a94f0e0a48ba].[Date].[All]" dimensionUniqueName="[LocalDateTable_32153099-8e28-4611-a8e3-a94f0e0a48ba]" displayFolder="" count="0" unbalanced="0" hidden="1"/>
    <cacheHierarchy uniqueName="[LocalDateTable_32153099-8e28-4611-a8e3-a94f0e0a48ba].[Date Hierarchy]" caption="Date Hierarchy" defaultMemberUniqueName="[LocalDateTable_32153099-8e28-4611-a8e3-a94f0e0a48ba].[Date Hierarchy].[All]" allUniqueName="[LocalDateTable_32153099-8e28-4611-a8e3-a94f0e0a48ba].[Date Hierarchy].[All]" dimensionUniqueName="[LocalDateTable_32153099-8e28-4611-a8e3-a94f0e0a48ba]" displayFolder="" count="0" unbalanced="0" hidden="1"/>
    <cacheHierarchy uniqueName="[LocalDateTable_32153099-8e28-4611-a8e3-a94f0e0a48ba].[Day]" caption="Day" attribute="1" defaultMemberUniqueName="[LocalDateTable_32153099-8e28-4611-a8e3-a94f0e0a48ba].[Day].[All]" allUniqueName="[LocalDateTable_32153099-8e28-4611-a8e3-a94f0e0a48ba].[Day].[All]" dimensionUniqueName="[LocalDateTable_32153099-8e28-4611-a8e3-a94f0e0a48ba]" displayFolder="" count="0" unbalanced="0" hidden="1"/>
    <cacheHierarchy uniqueName="[LocalDateTable_32153099-8e28-4611-a8e3-a94f0e0a48ba].[Month]" caption="Month" attribute="1" defaultMemberUniqueName="[LocalDateTable_32153099-8e28-4611-a8e3-a94f0e0a48ba].[Month].[All]" allUniqueName="[LocalDateTable_32153099-8e28-4611-a8e3-a94f0e0a48ba].[Month].[All]" dimensionUniqueName="[LocalDateTable_32153099-8e28-4611-a8e3-a94f0e0a48ba]" displayFolder="" count="0" unbalanced="0" hidden="1"/>
    <cacheHierarchy uniqueName="[LocalDateTable_32153099-8e28-4611-a8e3-a94f0e0a48ba].[MonthNo]" caption="MonthNo" attribute="1" defaultMemberUniqueName="[LocalDateTable_32153099-8e28-4611-a8e3-a94f0e0a48ba].[MonthNo].[All]" allUniqueName="[LocalDateTable_32153099-8e28-4611-a8e3-a94f0e0a48ba].[MonthNo].[All]" dimensionUniqueName="[LocalDateTable_32153099-8e28-4611-a8e3-a94f0e0a48ba]" displayFolder="" count="0" unbalanced="0" hidden="1"/>
    <cacheHierarchy uniqueName="[LocalDateTable_32153099-8e28-4611-a8e3-a94f0e0a48ba].[Quarter]" caption="Quarter" attribute="1" defaultMemberUniqueName="[LocalDateTable_32153099-8e28-4611-a8e3-a94f0e0a48ba].[Quarter].[All]" allUniqueName="[LocalDateTable_32153099-8e28-4611-a8e3-a94f0e0a48ba].[Quarter].[All]" dimensionUniqueName="[LocalDateTable_32153099-8e28-4611-a8e3-a94f0e0a48ba]" displayFolder="" count="0" unbalanced="0" hidden="1"/>
    <cacheHierarchy uniqueName="[LocalDateTable_32153099-8e28-4611-a8e3-a94f0e0a48ba].[QuarterNo]" caption="QuarterNo" attribute="1" defaultMemberUniqueName="[LocalDateTable_32153099-8e28-4611-a8e3-a94f0e0a48ba].[QuarterNo].[All]" allUniqueName="[LocalDateTable_32153099-8e28-4611-a8e3-a94f0e0a48ba].[QuarterNo].[All]" dimensionUniqueName="[LocalDateTable_32153099-8e28-4611-a8e3-a94f0e0a48ba]" displayFolder="" count="0" unbalanced="0" hidden="1"/>
    <cacheHierarchy uniqueName="[LocalDateTable_32153099-8e28-4611-a8e3-a94f0e0a48ba].[Year]" caption="Year" attribute="1" defaultMemberUniqueName="[LocalDateTable_32153099-8e28-4611-a8e3-a94f0e0a48ba].[Year].[All]" allUniqueName="[LocalDateTable_32153099-8e28-4611-a8e3-a94f0e0a48ba].[Year].[All]" dimensionUniqueName="[LocalDateTable_32153099-8e28-4611-a8e3-a94f0e0a48ba]" displayFolder="" count="0" unbalanced="0" hidden="1"/>
    <cacheHierarchy uniqueName="[LocalDateTable_39873660-9783-47c3-831f-1ea7ff6357e4].[Date]" caption="Date" attribute="1" defaultMemberUniqueName="[LocalDateTable_39873660-9783-47c3-831f-1ea7ff6357e4].[Date].[All]" allUniqueName="[LocalDateTable_39873660-9783-47c3-831f-1ea7ff6357e4].[Date].[All]" dimensionUniqueName="[LocalDateTable_39873660-9783-47c3-831f-1ea7ff6357e4]" displayFolder="" count="0" unbalanced="0" hidden="1"/>
    <cacheHierarchy uniqueName="[LocalDateTable_39873660-9783-47c3-831f-1ea7ff6357e4].[Date Hierarchy]" caption="Date Hierarchy" defaultMemberUniqueName="[LocalDateTable_39873660-9783-47c3-831f-1ea7ff6357e4].[Date Hierarchy].[All]" allUniqueName="[LocalDateTable_39873660-9783-47c3-831f-1ea7ff6357e4].[Date Hierarchy].[All]" dimensionUniqueName="[LocalDateTable_39873660-9783-47c3-831f-1ea7ff6357e4]" displayFolder="" count="0" unbalanced="0" hidden="1"/>
    <cacheHierarchy uniqueName="[LocalDateTable_39873660-9783-47c3-831f-1ea7ff6357e4].[Day]" caption="Day" attribute="1" defaultMemberUniqueName="[LocalDateTable_39873660-9783-47c3-831f-1ea7ff6357e4].[Day].[All]" allUniqueName="[LocalDateTable_39873660-9783-47c3-831f-1ea7ff6357e4].[Day].[All]" dimensionUniqueName="[LocalDateTable_39873660-9783-47c3-831f-1ea7ff6357e4]" displayFolder="" count="0" unbalanced="0" hidden="1"/>
    <cacheHierarchy uniqueName="[LocalDateTable_39873660-9783-47c3-831f-1ea7ff6357e4].[Month]" caption="Month" attribute="1" defaultMemberUniqueName="[LocalDateTable_39873660-9783-47c3-831f-1ea7ff6357e4].[Month].[All]" allUniqueName="[LocalDateTable_39873660-9783-47c3-831f-1ea7ff6357e4].[Month].[All]" dimensionUniqueName="[LocalDateTable_39873660-9783-47c3-831f-1ea7ff6357e4]" displayFolder="" count="0" unbalanced="0" hidden="1"/>
    <cacheHierarchy uniqueName="[LocalDateTable_39873660-9783-47c3-831f-1ea7ff6357e4].[MonthNo]" caption="MonthNo" attribute="1" defaultMemberUniqueName="[LocalDateTable_39873660-9783-47c3-831f-1ea7ff6357e4].[MonthNo].[All]" allUniqueName="[LocalDateTable_39873660-9783-47c3-831f-1ea7ff6357e4].[MonthNo].[All]" dimensionUniqueName="[LocalDateTable_39873660-9783-47c3-831f-1ea7ff6357e4]" displayFolder="" count="0" unbalanced="0" hidden="1"/>
    <cacheHierarchy uniqueName="[LocalDateTable_39873660-9783-47c3-831f-1ea7ff6357e4].[Quarter]" caption="Quarter" attribute="1" defaultMemberUniqueName="[LocalDateTable_39873660-9783-47c3-831f-1ea7ff6357e4].[Quarter].[All]" allUniqueName="[LocalDateTable_39873660-9783-47c3-831f-1ea7ff6357e4].[Quarter].[All]" dimensionUniqueName="[LocalDateTable_39873660-9783-47c3-831f-1ea7ff6357e4]" displayFolder="" count="0" unbalanced="0" hidden="1"/>
    <cacheHierarchy uniqueName="[LocalDateTable_39873660-9783-47c3-831f-1ea7ff6357e4].[QuarterNo]" caption="QuarterNo" attribute="1" defaultMemberUniqueName="[LocalDateTable_39873660-9783-47c3-831f-1ea7ff6357e4].[QuarterNo].[All]" allUniqueName="[LocalDateTable_39873660-9783-47c3-831f-1ea7ff6357e4].[QuarterNo].[All]" dimensionUniqueName="[LocalDateTable_39873660-9783-47c3-831f-1ea7ff6357e4]" displayFolder="" count="0" unbalanced="0" hidden="1"/>
    <cacheHierarchy uniqueName="[LocalDateTable_39873660-9783-47c3-831f-1ea7ff6357e4].[Year]" caption="Year" attribute="1" defaultMemberUniqueName="[LocalDateTable_39873660-9783-47c3-831f-1ea7ff6357e4].[Year].[All]" allUniqueName="[LocalDateTable_39873660-9783-47c3-831f-1ea7ff6357e4].[Year].[All]" dimensionUniqueName="[LocalDateTable_39873660-9783-47c3-831f-1ea7ff6357e4]" displayFolder="" count="0" unbalanced="0" hidden="1"/>
    <cacheHierarchy uniqueName="[LocalDateTable_39cbebff-eeb7-4252-a359-139059305106].[Date]" caption="Date" attribute="1" defaultMemberUniqueName="[LocalDateTable_39cbebff-eeb7-4252-a359-139059305106].[Date].[All]" allUniqueName="[LocalDateTable_39cbebff-eeb7-4252-a359-139059305106].[Date].[All]" dimensionUniqueName="[LocalDateTable_39cbebff-eeb7-4252-a359-139059305106]" displayFolder="" count="0" unbalanced="0" hidden="1"/>
    <cacheHierarchy uniqueName="[LocalDateTable_39cbebff-eeb7-4252-a359-139059305106].[Date Hierarchy]" caption="Date Hierarchy" defaultMemberUniqueName="[LocalDateTable_39cbebff-eeb7-4252-a359-139059305106].[Date Hierarchy].[All]" allUniqueName="[LocalDateTable_39cbebff-eeb7-4252-a359-139059305106].[Date Hierarchy].[All]" dimensionUniqueName="[LocalDateTable_39cbebff-eeb7-4252-a359-139059305106]" displayFolder="" count="0" unbalanced="0" hidden="1"/>
    <cacheHierarchy uniqueName="[LocalDateTable_39cbebff-eeb7-4252-a359-139059305106].[Day]" caption="Day" attribute="1" defaultMemberUniqueName="[LocalDateTable_39cbebff-eeb7-4252-a359-139059305106].[Day].[All]" allUniqueName="[LocalDateTable_39cbebff-eeb7-4252-a359-139059305106].[Day].[All]" dimensionUniqueName="[LocalDateTable_39cbebff-eeb7-4252-a359-139059305106]" displayFolder="" count="0" unbalanced="0" hidden="1"/>
    <cacheHierarchy uniqueName="[LocalDateTable_39cbebff-eeb7-4252-a359-139059305106].[Month]" caption="Month" attribute="1" defaultMemberUniqueName="[LocalDateTable_39cbebff-eeb7-4252-a359-139059305106].[Month].[All]" allUniqueName="[LocalDateTable_39cbebff-eeb7-4252-a359-139059305106].[Month].[All]" dimensionUniqueName="[LocalDateTable_39cbebff-eeb7-4252-a359-139059305106]" displayFolder="" count="0" unbalanced="0" hidden="1"/>
    <cacheHierarchy uniqueName="[LocalDateTable_39cbebff-eeb7-4252-a359-139059305106].[MonthNo]" caption="MonthNo" attribute="1" defaultMemberUniqueName="[LocalDateTable_39cbebff-eeb7-4252-a359-139059305106].[MonthNo].[All]" allUniqueName="[LocalDateTable_39cbebff-eeb7-4252-a359-139059305106].[MonthNo].[All]" dimensionUniqueName="[LocalDateTable_39cbebff-eeb7-4252-a359-139059305106]" displayFolder="" count="0" unbalanced="0" hidden="1"/>
    <cacheHierarchy uniqueName="[LocalDateTable_39cbebff-eeb7-4252-a359-139059305106].[Quarter]" caption="Quarter" attribute="1" defaultMemberUniqueName="[LocalDateTable_39cbebff-eeb7-4252-a359-139059305106].[Quarter].[All]" allUniqueName="[LocalDateTable_39cbebff-eeb7-4252-a359-139059305106].[Quarter].[All]" dimensionUniqueName="[LocalDateTable_39cbebff-eeb7-4252-a359-139059305106]" displayFolder="" count="0" unbalanced="0" hidden="1"/>
    <cacheHierarchy uniqueName="[LocalDateTable_39cbebff-eeb7-4252-a359-139059305106].[QuarterNo]" caption="QuarterNo" attribute="1" defaultMemberUniqueName="[LocalDateTable_39cbebff-eeb7-4252-a359-139059305106].[QuarterNo].[All]" allUniqueName="[LocalDateTable_39cbebff-eeb7-4252-a359-139059305106].[QuarterNo].[All]" dimensionUniqueName="[LocalDateTable_39cbebff-eeb7-4252-a359-139059305106]" displayFolder="" count="0" unbalanced="0" hidden="1"/>
    <cacheHierarchy uniqueName="[LocalDateTable_39cbebff-eeb7-4252-a359-139059305106].[Year]" caption="Year" attribute="1" defaultMemberUniqueName="[LocalDateTable_39cbebff-eeb7-4252-a359-139059305106].[Year].[All]" allUniqueName="[LocalDateTable_39cbebff-eeb7-4252-a359-139059305106].[Year].[All]" dimensionUniqueName="[LocalDateTable_39cbebff-eeb7-4252-a359-139059305106]" displayFolder="" count="0" unbalanced="0" hidden="1"/>
    <cacheHierarchy uniqueName="[LocalDateTable_44ed01c2-444c-4c6a-9e1d-8f64a65ebd53].[Date]" caption="Date" attribute="1" defaultMemberUniqueName="[LocalDateTable_44ed01c2-444c-4c6a-9e1d-8f64a65ebd53].[Date].[All]" allUniqueName="[LocalDateTable_44ed01c2-444c-4c6a-9e1d-8f64a65ebd53].[Date].[All]" dimensionUniqueName="[LocalDateTable_44ed01c2-444c-4c6a-9e1d-8f64a65ebd53]" displayFolder="" count="0" unbalanced="0" hidden="1"/>
    <cacheHierarchy uniqueName="[LocalDateTable_44ed01c2-444c-4c6a-9e1d-8f64a65ebd53].[Date Hierarchy]" caption="Date Hierarchy" defaultMemberUniqueName="[LocalDateTable_44ed01c2-444c-4c6a-9e1d-8f64a65ebd53].[Date Hierarchy].[All]" allUniqueName="[LocalDateTable_44ed01c2-444c-4c6a-9e1d-8f64a65ebd53].[Date Hierarchy].[All]" dimensionUniqueName="[LocalDateTable_44ed01c2-444c-4c6a-9e1d-8f64a65ebd53]" displayFolder="" count="0" unbalanced="0" hidden="1"/>
    <cacheHierarchy uniqueName="[LocalDateTable_44ed01c2-444c-4c6a-9e1d-8f64a65ebd53].[Day]" caption="Day" attribute="1" defaultMemberUniqueName="[LocalDateTable_44ed01c2-444c-4c6a-9e1d-8f64a65ebd53].[Day].[All]" allUniqueName="[LocalDateTable_44ed01c2-444c-4c6a-9e1d-8f64a65ebd53].[Day].[All]" dimensionUniqueName="[LocalDateTable_44ed01c2-444c-4c6a-9e1d-8f64a65ebd53]" displayFolder="" count="0" unbalanced="0" hidden="1"/>
    <cacheHierarchy uniqueName="[LocalDateTable_44ed01c2-444c-4c6a-9e1d-8f64a65ebd53].[Month]" caption="Month" attribute="1" defaultMemberUniqueName="[LocalDateTable_44ed01c2-444c-4c6a-9e1d-8f64a65ebd53].[Month].[All]" allUniqueName="[LocalDateTable_44ed01c2-444c-4c6a-9e1d-8f64a65ebd53].[Month].[All]" dimensionUniqueName="[LocalDateTable_44ed01c2-444c-4c6a-9e1d-8f64a65ebd53]" displayFolder="" count="0" unbalanced="0" hidden="1"/>
    <cacheHierarchy uniqueName="[LocalDateTable_44ed01c2-444c-4c6a-9e1d-8f64a65ebd53].[MonthNo]" caption="MonthNo" attribute="1" defaultMemberUniqueName="[LocalDateTable_44ed01c2-444c-4c6a-9e1d-8f64a65ebd53].[MonthNo].[All]" allUniqueName="[LocalDateTable_44ed01c2-444c-4c6a-9e1d-8f64a65ebd53].[MonthNo].[All]" dimensionUniqueName="[LocalDateTable_44ed01c2-444c-4c6a-9e1d-8f64a65ebd53]" displayFolder="" count="0" unbalanced="0" hidden="1"/>
    <cacheHierarchy uniqueName="[LocalDateTable_44ed01c2-444c-4c6a-9e1d-8f64a65ebd53].[Quarter]" caption="Quarter" attribute="1" defaultMemberUniqueName="[LocalDateTable_44ed01c2-444c-4c6a-9e1d-8f64a65ebd53].[Quarter].[All]" allUniqueName="[LocalDateTable_44ed01c2-444c-4c6a-9e1d-8f64a65ebd53].[Quarter].[All]" dimensionUniqueName="[LocalDateTable_44ed01c2-444c-4c6a-9e1d-8f64a65ebd53]" displayFolder="" count="0" unbalanced="0" hidden="1"/>
    <cacheHierarchy uniqueName="[LocalDateTable_44ed01c2-444c-4c6a-9e1d-8f64a65ebd53].[QuarterNo]" caption="QuarterNo" attribute="1" defaultMemberUniqueName="[LocalDateTable_44ed01c2-444c-4c6a-9e1d-8f64a65ebd53].[QuarterNo].[All]" allUniqueName="[LocalDateTable_44ed01c2-444c-4c6a-9e1d-8f64a65ebd53].[QuarterNo].[All]" dimensionUniqueName="[LocalDateTable_44ed01c2-444c-4c6a-9e1d-8f64a65ebd53]" displayFolder="" count="0" unbalanced="0" hidden="1"/>
    <cacheHierarchy uniqueName="[LocalDateTable_44ed01c2-444c-4c6a-9e1d-8f64a65ebd53].[Year]" caption="Year" attribute="1" defaultMemberUniqueName="[LocalDateTable_44ed01c2-444c-4c6a-9e1d-8f64a65ebd53].[Year].[All]" allUniqueName="[LocalDateTable_44ed01c2-444c-4c6a-9e1d-8f64a65ebd53].[Year].[All]" dimensionUniqueName="[LocalDateTable_44ed01c2-444c-4c6a-9e1d-8f64a65ebd53]" displayFolder="" count="0" unbalanced="0" hidden="1"/>
    <cacheHierarchy uniqueName="[LocalDateTable_4b503ea0-8a9e-4452-8df1-77875d493416].[Date]" caption="Date" attribute="1" defaultMemberUniqueName="[LocalDateTable_4b503ea0-8a9e-4452-8df1-77875d493416].[Date].[All]" allUniqueName="[LocalDateTable_4b503ea0-8a9e-4452-8df1-77875d493416].[Date].[All]" dimensionUniqueName="[LocalDateTable_4b503ea0-8a9e-4452-8df1-77875d493416]" displayFolder="" count="0" unbalanced="0" hidden="1"/>
    <cacheHierarchy uniqueName="[LocalDateTable_4b503ea0-8a9e-4452-8df1-77875d493416].[Date Hierarchy]" caption="Date Hierarchy" defaultMemberUniqueName="[LocalDateTable_4b503ea0-8a9e-4452-8df1-77875d493416].[Date Hierarchy].[All]" allUniqueName="[LocalDateTable_4b503ea0-8a9e-4452-8df1-77875d493416].[Date Hierarchy].[All]" dimensionUniqueName="[LocalDateTable_4b503ea0-8a9e-4452-8df1-77875d493416]" displayFolder="" count="0" unbalanced="0" hidden="1"/>
    <cacheHierarchy uniqueName="[LocalDateTable_4b503ea0-8a9e-4452-8df1-77875d493416].[Day]" caption="Day" attribute="1" defaultMemberUniqueName="[LocalDateTable_4b503ea0-8a9e-4452-8df1-77875d493416].[Day].[All]" allUniqueName="[LocalDateTable_4b503ea0-8a9e-4452-8df1-77875d493416].[Day].[All]" dimensionUniqueName="[LocalDateTable_4b503ea0-8a9e-4452-8df1-77875d493416]" displayFolder="" count="0" unbalanced="0" hidden="1"/>
    <cacheHierarchy uniqueName="[LocalDateTable_4b503ea0-8a9e-4452-8df1-77875d493416].[Month]" caption="Month" attribute="1" defaultMemberUniqueName="[LocalDateTable_4b503ea0-8a9e-4452-8df1-77875d493416].[Month].[All]" allUniqueName="[LocalDateTable_4b503ea0-8a9e-4452-8df1-77875d493416].[Month].[All]" dimensionUniqueName="[LocalDateTable_4b503ea0-8a9e-4452-8df1-77875d493416]" displayFolder="" count="0" unbalanced="0" hidden="1"/>
    <cacheHierarchy uniqueName="[LocalDateTable_4b503ea0-8a9e-4452-8df1-77875d493416].[MonthNo]" caption="MonthNo" attribute="1" defaultMemberUniqueName="[LocalDateTable_4b503ea0-8a9e-4452-8df1-77875d493416].[MonthNo].[All]" allUniqueName="[LocalDateTable_4b503ea0-8a9e-4452-8df1-77875d493416].[MonthNo].[All]" dimensionUniqueName="[LocalDateTable_4b503ea0-8a9e-4452-8df1-77875d493416]" displayFolder="" count="0" unbalanced="0" hidden="1"/>
    <cacheHierarchy uniqueName="[LocalDateTable_4b503ea0-8a9e-4452-8df1-77875d493416].[Quarter]" caption="Quarter" attribute="1" defaultMemberUniqueName="[LocalDateTable_4b503ea0-8a9e-4452-8df1-77875d493416].[Quarter].[All]" allUniqueName="[LocalDateTable_4b503ea0-8a9e-4452-8df1-77875d493416].[Quarter].[All]" dimensionUniqueName="[LocalDateTable_4b503ea0-8a9e-4452-8df1-77875d493416]" displayFolder="" count="0" unbalanced="0" hidden="1"/>
    <cacheHierarchy uniqueName="[LocalDateTable_4b503ea0-8a9e-4452-8df1-77875d493416].[QuarterNo]" caption="QuarterNo" attribute="1" defaultMemberUniqueName="[LocalDateTable_4b503ea0-8a9e-4452-8df1-77875d493416].[QuarterNo].[All]" allUniqueName="[LocalDateTable_4b503ea0-8a9e-4452-8df1-77875d493416].[QuarterNo].[All]" dimensionUniqueName="[LocalDateTable_4b503ea0-8a9e-4452-8df1-77875d493416]" displayFolder="" count="0" unbalanced="0" hidden="1"/>
    <cacheHierarchy uniqueName="[LocalDateTable_4b503ea0-8a9e-4452-8df1-77875d493416].[Year]" caption="Year" attribute="1" defaultMemberUniqueName="[LocalDateTable_4b503ea0-8a9e-4452-8df1-77875d493416].[Year].[All]" allUniqueName="[LocalDateTable_4b503ea0-8a9e-4452-8df1-77875d493416].[Year].[All]" dimensionUniqueName="[LocalDateTable_4b503ea0-8a9e-4452-8df1-77875d493416]" displayFolder="" count="0" unbalanced="0" hidden="1"/>
    <cacheHierarchy uniqueName="[LocalDateTable_53bd0de1-8e4f-45ec-a73d-720779e52dac].[Date]" caption="Date" attribute="1" defaultMemberUniqueName="[LocalDateTable_53bd0de1-8e4f-45ec-a73d-720779e52dac].[Date].[All]" allUniqueName="[LocalDateTable_53bd0de1-8e4f-45ec-a73d-720779e52dac].[Date].[All]" dimensionUniqueName="[LocalDateTable_53bd0de1-8e4f-45ec-a73d-720779e52dac]" displayFolder="" count="0" unbalanced="0" hidden="1"/>
    <cacheHierarchy uniqueName="[LocalDateTable_53bd0de1-8e4f-45ec-a73d-720779e52dac].[Date Hierarchy]" caption="Date Hierarchy" defaultMemberUniqueName="[LocalDateTable_53bd0de1-8e4f-45ec-a73d-720779e52dac].[Date Hierarchy].[All]" allUniqueName="[LocalDateTable_53bd0de1-8e4f-45ec-a73d-720779e52dac].[Date Hierarchy].[All]" dimensionUniqueName="[LocalDateTable_53bd0de1-8e4f-45ec-a73d-720779e52dac]" displayFolder="" count="0" unbalanced="0" hidden="1"/>
    <cacheHierarchy uniqueName="[LocalDateTable_53bd0de1-8e4f-45ec-a73d-720779e52dac].[Day]" caption="Day" attribute="1" defaultMemberUniqueName="[LocalDateTable_53bd0de1-8e4f-45ec-a73d-720779e52dac].[Day].[All]" allUniqueName="[LocalDateTable_53bd0de1-8e4f-45ec-a73d-720779e52dac].[Day].[All]" dimensionUniqueName="[LocalDateTable_53bd0de1-8e4f-45ec-a73d-720779e52dac]" displayFolder="" count="0" unbalanced="0" hidden="1"/>
    <cacheHierarchy uniqueName="[LocalDateTable_53bd0de1-8e4f-45ec-a73d-720779e52dac].[Month]" caption="Month" attribute="1" defaultMemberUniqueName="[LocalDateTable_53bd0de1-8e4f-45ec-a73d-720779e52dac].[Month].[All]" allUniqueName="[LocalDateTable_53bd0de1-8e4f-45ec-a73d-720779e52dac].[Month].[All]" dimensionUniqueName="[LocalDateTable_53bd0de1-8e4f-45ec-a73d-720779e52dac]" displayFolder="" count="0" unbalanced="0" hidden="1"/>
    <cacheHierarchy uniqueName="[LocalDateTable_53bd0de1-8e4f-45ec-a73d-720779e52dac].[MonthNo]" caption="MonthNo" attribute="1" defaultMemberUniqueName="[LocalDateTable_53bd0de1-8e4f-45ec-a73d-720779e52dac].[MonthNo].[All]" allUniqueName="[LocalDateTable_53bd0de1-8e4f-45ec-a73d-720779e52dac].[MonthNo].[All]" dimensionUniqueName="[LocalDateTable_53bd0de1-8e4f-45ec-a73d-720779e52dac]" displayFolder="" count="0" unbalanced="0" hidden="1"/>
    <cacheHierarchy uniqueName="[LocalDateTable_53bd0de1-8e4f-45ec-a73d-720779e52dac].[Quarter]" caption="Quarter" attribute="1" defaultMemberUniqueName="[LocalDateTable_53bd0de1-8e4f-45ec-a73d-720779e52dac].[Quarter].[All]" allUniqueName="[LocalDateTable_53bd0de1-8e4f-45ec-a73d-720779e52dac].[Quarter].[All]" dimensionUniqueName="[LocalDateTable_53bd0de1-8e4f-45ec-a73d-720779e52dac]" displayFolder="" count="0" unbalanced="0" hidden="1"/>
    <cacheHierarchy uniqueName="[LocalDateTable_53bd0de1-8e4f-45ec-a73d-720779e52dac].[QuarterNo]" caption="QuarterNo" attribute="1" defaultMemberUniqueName="[LocalDateTable_53bd0de1-8e4f-45ec-a73d-720779e52dac].[QuarterNo].[All]" allUniqueName="[LocalDateTable_53bd0de1-8e4f-45ec-a73d-720779e52dac].[QuarterNo].[All]" dimensionUniqueName="[LocalDateTable_53bd0de1-8e4f-45ec-a73d-720779e52dac]" displayFolder="" count="0" unbalanced="0" hidden="1"/>
    <cacheHierarchy uniqueName="[LocalDateTable_53bd0de1-8e4f-45ec-a73d-720779e52dac].[Year]" caption="Year" attribute="1" defaultMemberUniqueName="[LocalDateTable_53bd0de1-8e4f-45ec-a73d-720779e52dac].[Year].[All]" allUniqueName="[LocalDateTable_53bd0de1-8e4f-45ec-a73d-720779e52dac].[Year].[All]" dimensionUniqueName="[LocalDateTable_53bd0de1-8e4f-45ec-a73d-720779e52dac]" displayFolder="" count="0" unbalanced="0" hidden="1"/>
    <cacheHierarchy uniqueName="[LocalDateTable_582d8559-64fe-4f94-ac65-40b1120ce9fa].[Date]" caption="Date" attribute="1" defaultMemberUniqueName="[LocalDateTable_582d8559-64fe-4f94-ac65-40b1120ce9fa].[Date].[All]" allUniqueName="[LocalDateTable_582d8559-64fe-4f94-ac65-40b1120ce9fa].[Date].[All]" dimensionUniqueName="[LocalDateTable_582d8559-64fe-4f94-ac65-40b1120ce9fa]" displayFolder="" count="0" unbalanced="0" hidden="1"/>
    <cacheHierarchy uniqueName="[LocalDateTable_582d8559-64fe-4f94-ac65-40b1120ce9fa].[Date Hierarchy]" caption="Date Hierarchy" defaultMemberUniqueName="[LocalDateTable_582d8559-64fe-4f94-ac65-40b1120ce9fa].[Date Hierarchy].[All]" allUniqueName="[LocalDateTable_582d8559-64fe-4f94-ac65-40b1120ce9fa].[Date Hierarchy].[All]" dimensionUniqueName="[LocalDateTable_582d8559-64fe-4f94-ac65-40b1120ce9fa]" displayFolder="" count="0" unbalanced="0" hidden="1"/>
    <cacheHierarchy uniqueName="[LocalDateTable_582d8559-64fe-4f94-ac65-40b1120ce9fa].[Day]" caption="Day" attribute="1" defaultMemberUniqueName="[LocalDateTable_582d8559-64fe-4f94-ac65-40b1120ce9fa].[Day].[All]" allUniqueName="[LocalDateTable_582d8559-64fe-4f94-ac65-40b1120ce9fa].[Day].[All]" dimensionUniqueName="[LocalDateTable_582d8559-64fe-4f94-ac65-40b1120ce9fa]" displayFolder="" count="0" unbalanced="0" hidden="1"/>
    <cacheHierarchy uniqueName="[LocalDateTable_582d8559-64fe-4f94-ac65-40b1120ce9fa].[Month]" caption="Month" attribute="1" defaultMemberUniqueName="[LocalDateTable_582d8559-64fe-4f94-ac65-40b1120ce9fa].[Month].[All]" allUniqueName="[LocalDateTable_582d8559-64fe-4f94-ac65-40b1120ce9fa].[Month].[All]" dimensionUniqueName="[LocalDateTable_582d8559-64fe-4f94-ac65-40b1120ce9fa]" displayFolder="" count="0" unbalanced="0" hidden="1"/>
    <cacheHierarchy uniqueName="[LocalDateTable_582d8559-64fe-4f94-ac65-40b1120ce9fa].[MonthNo]" caption="MonthNo" attribute="1" defaultMemberUniqueName="[LocalDateTable_582d8559-64fe-4f94-ac65-40b1120ce9fa].[MonthNo].[All]" allUniqueName="[LocalDateTable_582d8559-64fe-4f94-ac65-40b1120ce9fa].[MonthNo].[All]" dimensionUniqueName="[LocalDateTable_582d8559-64fe-4f94-ac65-40b1120ce9fa]" displayFolder="" count="0" unbalanced="0" hidden="1"/>
    <cacheHierarchy uniqueName="[LocalDateTable_582d8559-64fe-4f94-ac65-40b1120ce9fa].[Quarter]" caption="Quarter" attribute="1" defaultMemberUniqueName="[LocalDateTable_582d8559-64fe-4f94-ac65-40b1120ce9fa].[Quarter].[All]" allUniqueName="[LocalDateTable_582d8559-64fe-4f94-ac65-40b1120ce9fa].[Quarter].[All]" dimensionUniqueName="[LocalDateTable_582d8559-64fe-4f94-ac65-40b1120ce9fa]" displayFolder="" count="0" unbalanced="0" hidden="1"/>
    <cacheHierarchy uniqueName="[LocalDateTable_582d8559-64fe-4f94-ac65-40b1120ce9fa].[QuarterNo]" caption="QuarterNo" attribute="1" defaultMemberUniqueName="[LocalDateTable_582d8559-64fe-4f94-ac65-40b1120ce9fa].[QuarterNo].[All]" allUniqueName="[LocalDateTable_582d8559-64fe-4f94-ac65-40b1120ce9fa].[QuarterNo].[All]" dimensionUniqueName="[LocalDateTable_582d8559-64fe-4f94-ac65-40b1120ce9fa]" displayFolder="" count="0" unbalanced="0" hidden="1"/>
    <cacheHierarchy uniqueName="[LocalDateTable_582d8559-64fe-4f94-ac65-40b1120ce9fa].[Year]" caption="Year" attribute="1" defaultMemberUniqueName="[LocalDateTable_582d8559-64fe-4f94-ac65-40b1120ce9fa].[Year].[All]" allUniqueName="[LocalDateTable_582d8559-64fe-4f94-ac65-40b1120ce9fa].[Year].[All]" dimensionUniqueName="[LocalDateTable_582d8559-64fe-4f94-ac65-40b1120ce9fa]" displayFolder="" count="0" unbalanced="0" hidden="1"/>
    <cacheHierarchy uniqueName="[LocalDateTable_5e304ffa-9c13-4348-a0b1-bac4f702bb98].[Date]" caption="Date" attribute="1" defaultMemberUniqueName="[LocalDateTable_5e304ffa-9c13-4348-a0b1-bac4f702bb98].[Date].[All]" allUniqueName="[LocalDateTable_5e304ffa-9c13-4348-a0b1-bac4f702bb98].[Date].[All]" dimensionUniqueName="[LocalDateTable_5e304ffa-9c13-4348-a0b1-bac4f702bb98]" displayFolder="" count="0" unbalanced="0" hidden="1"/>
    <cacheHierarchy uniqueName="[LocalDateTable_5e304ffa-9c13-4348-a0b1-bac4f702bb98].[Date Hierarchy]" caption="Date Hierarchy" defaultMemberUniqueName="[LocalDateTable_5e304ffa-9c13-4348-a0b1-bac4f702bb98].[Date Hierarchy].[All]" allUniqueName="[LocalDateTable_5e304ffa-9c13-4348-a0b1-bac4f702bb98].[Date Hierarchy].[All]" dimensionUniqueName="[LocalDateTable_5e304ffa-9c13-4348-a0b1-bac4f702bb98]" displayFolder="" count="0" unbalanced="0" hidden="1"/>
    <cacheHierarchy uniqueName="[LocalDateTable_5e304ffa-9c13-4348-a0b1-bac4f702bb98].[Day]" caption="Day" attribute="1" defaultMemberUniqueName="[LocalDateTable_5e304ffa-9c13-4348-a0b1-bac4f702bb98].[Day].[All]" allUniqueName="[LocalDateTable_5e304ffa-9c13-4348-a0b1-bac4f702bb98].[Day].[All]" dimensionUniqueName="[LocalDateTable_5e304ffa-9c13-4348-a0b1-bac4f702bb98]" displayFolder="" count="0" unbalanced="0" hidden="1"/>
    <cacheHierarchy uniqueName="[LocalDateTable_5e304ffa-9c13-4348-a0b1-bac4f702bb98].[Month]" caption="Month" attribute="1" defaultMemberUniqueName="[LocalDateTable_5e304ffa-9c13-4348-a0b1-bac4f702bb98].[Month].[All]" allUniqueName="[LocalDateTable_5e304ffa-9c13-4348-a0b1-bac4f702bb98].[Month].[All]" dimensionUniqueName="[LocalDateTable_5e304ffa-9c13-4348-a0b1-bac4f702bb98]" displayFolder="" count="0" unbalanced="0" hidden="1"/>
    <cacheHierarchy uniqueName="[LocalDateTable_5e304ffa-9c13-4348-a0b1-bac4f702bb98].[MonthNo]" caption="MonthNo" attribute="1" defaultMemberUniqueName="[LocalDateTable_5e304ffa-9c13-4348-a0b1-bac4f702bb98].[MonthNo].[All]" allUniqueName="[LocalDateTable_5e304ffa-9c13-4348-a0b1-bac4f702bb98].[MonthNo].[All]" dimensionUniqueName="[LocalDateTable_5e304ffa-9c13-4348-a0b1-bac4f702bb98]" displayFolder="" count="0" unbalanced="0" hidden="1"/>
    <cacheHierarchy uniqueName="[LocalDateTable_5e304ffa-9c13-4348-a0b1-bac4f702bb98].[Quarter]" caption="Quarter" attribute="1" defaultMemberUniqueName="[LocalDateTable_5e304ffa-9c13-4348-a0b1-bac4f702bb98].[Quarter].[All]" allUniqueName="[LocalDateTable_5e304ffa-9c13-4348-a0b1-bac4f702bb98].[Quarter].[All]" dimensionUniqueName="[LocalDateTable_5e304ffa-9c13-4348-a0b1-bac4f702bb98]" displayFolder="" count="0" unbalanced="0" hidden="1"/>
    <cacheHierarchy uniqueName="[LocalDateTable_5e304ffa-9c13-4348-a0b1-bac4f702bb98].[QuarterNo]" caption="QuarterNo" attribute="1" defaultMemberUniqueName="[LocalDateTable_5e304ffa-9c13-4348-a0b1-bac4f702bb98].[QuarterNo].[All]" allUniqueName="[LocalDateTable_5e304ffa-9c13-4348-a0b1-bac4f702bb98].[QuarterNo].[All]" dimensionUniqueName="[LocalDateTable_5e304ffa-9c13-4348-a0b1-bac4f702bb98]" displayFolder="" count="0" unbalanced="0" hidden="1"/>
    <cacheHierarchy uniqueName="[LocalDateTable_5e304ffa-9c13-4348-a0b1-bac4f702bb98].[Year]" caption="Year" attribute="1" defaultMemberUniqueName="[LocalDateTable_5e304ffa-9c13-4348-a0b1-bac4f702bb98].[Year].[All]" allUniqueName="[LocalDateTable_5e304ffa-9c13-4348-a0b1-bac4f702bb98].[Year].[All]" dimensionUniqueName="[LocalDateTable_5e304ffa-9c13-4348-a0b1-bac4f702bb98]" displayFolder="" count="0" unbalanced="0" hidden="1"/>
    <cacheHierarchy uniqueName="[LocalDateTable_6ad1a7b7-0918-439f-9116-bb49452fb306].[Date]" caption="Date" attribute="1" defaultMemberUniqueName="[LocalDateTable_6ad1a7b7-0918-439f-9116-bb49452fb306].[Date].[All]" allUniqueName="[LocalDateTable_6ad1a7b7-0918-439f-9116-bb49452fb306].[Date].[All]" dimensionUniqueName="[LocalDateTable_6ad1a7b7-0918-439f-9116-bb49452fb306]" displayFolder="" count="0" unbalanced="0" hidden="1"/>
    <cacheHierarchy uniqueName="[LocalDateTable_6ad1a7b7-0918-439f-9116-bb49452fb306].[Date Hierarchy]" caption="Date Hierarchy" defaultMemberUniqueName="[LocalDateTable_6ad1a7b7-0918-439f-9116-bb49452fb306].[Date Hierarchy].[All]" allUniqueName="[LocalDateTable_6ad1a7b7-0918-439f-9116-bb49452fb306].[Date Hierarchy].[All]" dimensionUniqueName="[LocalDateTable_6ad1a7b7-0918-439f-9116-bb49452fb306]" displayFolder="" count="0" unbalanced="0" hidden="1"/>
    <cacheHierarchy uniqueName="[LocalDateTable_6ad1a7b7-0918-439f-9116-bb49452fb306].[Day]" caption="Day" attribute="1" defaultMemberUniqueName="[LocalDateTable_6ad1a7b7-0918-439f-9116-bb49452fb306].[Day].[All]" allUniqueName="[LocalDateTable_6ad1a7b7-0918-439f-9116-bb49452fb306].[Day].[All]" dimensionUniqueName="[LocalDateTable_6ad1a7b7-0918-439f-9116-bb49452fb306]" displayFolder="" count="0" unbalanced="0" hidden="1"/>
    <cacheHierarchy uniqueName="[LocalDateTable_6ad1a7b7-0918-439f-9116-bb49452fb306].[Month]" caption="Month" attribute="1" defaultMemberUniqueName="[LocalDateTable_6ad1a7b7-0918-439f-9116-bb49452fb306].[Month].[All]" allUniqueName="[LocalDateTable_6ad1a7b7-0918-439f-9116-bb49452fb306].[Month].[All]" dimensionUniqueName="[LocalDateTable_6ad1a7b7-0918-439f-9116-bb49452fb306]" displayFolder="" count="0" unbalanced="0" hidden="1"/>
    <cacheHierarchy uniqueName="[LocalDateTable_6ad1a7b7-0918-439f-9116-bb49452fb306].[MonthNo]" caption="MonthNo" attribute="1" defaultMemberUniqueName="[LocalDateTable_6ad1a7b7-0918-439f-9116-bb49452fb306].[MonthNo].[All]" allUniqueName="[LocalDateTable_6ad1a7b7-0918-439f-9116-bb49452fb306].[MonthNo].[All]" dimensionUniqueName="[LocalDateTable_6ad1a7b7-0918-439f-9116-bb49452fb306]" displayFolder="" count="0" unbalanced="0" hidden="1"/>
    <cacheHierarchy uniqueName="[LocalDateTable_6ad1a7b7-0918-439f-9116-bb49452fb306].[Quarter]" caption="Quarter" attribute="1" defaultMemberUniqueName="[LocalDateTable_6ad1a7b7-0918-439f-9116-bb49452fb306].[Quarter].[All]" allUniqueName="[LocalDateTable_6ad1a7b7-0918-439f-9116-bb49452fb306].[Quarter].[All]" dimensionUniqueName="[LocalDateTable_6ad1a7b7-0918-439f-9116-bb49452fb306]" displayFolder="" count="0" unbalanced="0" hidden="1"/>
    <cacheHierarchy uniqueName="[LocalDateTable_6ad1a7b7-0918-439f-9116-bb49452fb306].[QuarterNo]" caption="QuarterNo" attribute="1" defaultMemberUniqueName="[LocalDateTable_6ad1a7b7-0918-439f-9116-bb49452fb306].[QuarterNo].[All]" allUniqueName="[LocalDateTable_6ad1a7b7-0918-439f-9116-bb49452fb306].[QuarterNo].[All]" dimensionUniqueName="[LocalDateTable_6ad1a7b7-0918-439f-9116-bb49452fb306]" displayFolder="" count="0" unbalanced="0" hidden="1"/>
    <cacheHierarchy uniqueName="[LocalDateTable_6ad1a7b7-0918-439f-9116-bb49452fb306].[Year]" caption="Year" attribute="1" defaultMemberUniqueName="[LocalDateTable_6ad1a7b7-0918-439f-9116-bb49452fb306].[Year].[All]" allUniqueName="[LocalDateTable_6ad1a7b7-0918-439f-9116-bb49452fb306].[Year].[All]" dimensionUniqueName="[LocalDateTable_6ad1a7b7-0918-439f-9116-bb49452fb306]" displayFolder="" count="0" unbalanced="0" hidden="1"/>
    <cacheHierarchy uniqueName="[LocalDateTable_72411a4b-2028-45fd-859f-ca035717f902].[Date]" caption="Date" attribute="1" defaultMemberUniqueName="[LocalDateTable_72411a4b-2028-45fd-859f-ca035717f902].[Date].[All]" allUniqueName="[LocalDateTable_72411a4b-2028-45fd-859f-ca035717f902].[Date].[All]" dimensionUniqueName="[LocalDateTable_72411a4b-2028-45fd-859f-ca035717f902]" displayFolder="" count="0" unbalanced="0" hidden="1"/>
    <cacheHierarchy uniqueName="[LocalDateTable_72411a4b-2028-45fd-859f-ca035717f902].[Date Hierarchy]" caption="Date Hierarchy" defaultMemberUniqueName="[LocalDateTable_72411a4b-2028-45fd-859f-ca035717f902].[Date Hierarchy].[All]" allUniqueName="[LocalDateTable_72411a4b-2028-45fd-859f-ca035717f902].[Date Hierarchy].[All]" dimensionUniqueName="[LocalDateTable_72411a4b-2028-45fd-859f-ca035717f902]" displayFolder="" count="0" unbalanced="0" hidden="1"/>
    <cacheHierarchy uniqueName="[LocalDateTable_72411a4b-2028-45fd-859f-ca035717f902].[Day]" caption="Day" attribute="1" defaultMemberUniqueName="[LocalDateTable_72411a4b-2028-45fd-859f-ca035717f902].[Day].[All]" allUniqueName="[LocalDateTable_72411a4b-2028-45fd-859f-ca035717f902].[Day].[All]" dimensionUniqueName="[LocalDateTable_72411a4b-2028-45fd-859f-ca035717f902]" displayFolder="" count="0" unbalanced="0" hidden="1"/>
    <cacheHierarchy uniqueName="[LocalDateTable_72411a4b-2028-45fd-859f-ca035717f902].[Month]" caption="Month" attribute="1" defaultMemberUniqueName="[LocalDateTable_72411a4b-2028-45fd-859f-ca035717f902].[Month].[All]" allUniqueName="[LocalDateTable_72411a4b-2028-45fd-859f-ca035717f902].[Month].[All]" dimensionUniqueName="[LocalDateTable_72411a4b-2028-45fd-859f-ca035717f902]" displayFolder="" count="0" unbalanced="0" hidden="1"/>
    <cacheHierarchy uniqueName="[LocalDateTable_72411a4b-2028-45fd-859f-ca035717f902].[MonthNo]" caption="MonthNo" attribute="1" defaultMemberUniqueName="[LocalDateTable_72411a4b-2028-45fd-859f-ca035717f902].[MonthNo].[All]" allUniqueName="[LocalDateTable_72411a4b-2028-45fd-859f-ca035717f902].[MonthNo].[All]" dimensionUniqueName="[LocalDateTable_72411a4b-2028-45fd-859f-ca035717f902]" displayFolder="" count="0" unbalanced="0" hidden="1"/>
    <cacheHierarchy uniqueName="[LocalDateTable_72411a4b-2028-45fd-859f-ca035717f902].[Quarter]" caption="Quarter" attribute="1" defaultMemberUniqueName="[LocalDateTable_72411a4b-2028-45fd-859f-ca035717f902].[Quarter].[All]" allUniqueName="[LocalDateTable_72411a4b-2028-45fd-859f-ca035717f902].[Quarter].[All]" dimensionUniqueName="[LocalDateTable_72411a4b-2028-45fd-859f-ca035717f902]" displayFolder="" count="0" unbalanced="0" hidden="1"/>
    <cacheHierarchy uniqueName="[LocalDateTable_72411a4b-2028-45fd-859f-ca035717f902].[QuarterNo]" caption="QuarterNo" attribute="1" defaultMemberUniqueName="[LocalDateTable_72411a4b-2028-45fd-859f-ca035717f902].[QuarterNo].[All]" allUniqueName="[LocalDateTable_72411a4b-2028-45fd-859f-ca035717f902].[QuarterNo].[All]" dimensionUniqueName="[LocalDateTable_72411a4b-2028-45fd-859f-ca035717f902]" displayFolder="" count="0" unbalanced="0" hidden="1"/>
    <cacheHierarchy uniqueName="[LocalDateTable_72411a4b-2028-45fd-859f-ca035717f902].[Year]" caption="Year" attribute="1" defaultMemberUniqueName="[LocalDateTable_72411a4b-2028-45fd-859f-ca035717f902].[Year].[All]" allUniqueName="[LocalDateTable_72411a4b-2028-45fd-859f-ca035717f902].[Year].[All]" dimensionUniqueName="[LocalDateTable_72411a4b-2028-45fd-859f-ca035717f902]" displayFolder="" count="0" unbalanced="0" hidden="1"/>
    <cacheHierarchy uniqueName="[LocalDateTable_762e9f08-71b7-474b-bf32-18e125928c8b].[Date]" caption="Date" attribute="1" defaultMemberUniqueName="[LocalDateTable_762e9f08-71b7-474b-bf32-18e125928c8b].[Date].[All]" allUniqueName="[LocalDateTable_762e9f08-71b7-474b-bf32-18e125928c8b].[Date].[All]" dimensionUniqueName="[LocalDateTable_762e9f08-71b7-474b-bf32-18e125928c8b]" displayFolder="" count="0" unbalanced="0" hidden="1"/>
    <cacheHierarchy uniqueName="[LocalDateTable_762e9f08-71b7-474b-bf32-18e125928c8b].[Date Hierarchy]" caption="Date Hierarchy" defaultMemberUniqueName="[LocalDateTable_762e9f08-71b7-474b-bf32-18e125928c8b].[Date Hierarchy].[All]" allUniqueName="[LocalDateTable_762e9f08-71b7-474b-bf32-18e125928c8b].[Date Hierarchy].[All]" dimensionUniqueName="[LocalDateTable_762e9f08-71b7-474b-bf32-18e125928c8b]" displayFolder="" count="0" unbalanced="0" hidden="1"/>
    <cacheHierarchy uniqueName="[LocalDateTable_762e9f08-71b7-474b-bf32-18e125928c8b].[Day]" caption="Day" attribute="1" defaultMemberUniqueName="[LocalDateTable_762e9f08-71b7-474b-bf32-18e125928c8b].[Day].[All]" allUniqueName="[LocalDateTable_762e9f08-71b7-474b-bf32-18e125928c8b].[Day].[All]" dimensionUniqueName="[LocalDateTable_762e9f08-71b7-474b-bf32-18e125928c8b]" displayFolder="" count="0" unbalanced="0" hidden="1"/>
    <cacheHierarchy uniqueName="[LocalDateTable_762e9f08-71b7-474b-bf32-18e125928c8b].[Month]" caption="Month" attribute="1" defaultMemberUniqueName="[LocalDateTable_762e9f08-71b7-474b-bf32-18e125928c8b].[Month].[All]" allUniqueName="[LocalDateTable_762e9f08-71b7-474b-bf32-18e125928c8b].[Month].[All]" dimensionUniqueName="[LocalDateTable_762e9f08-71b7-474b-bf32-18e125928c8b]" displayFolder="" count="0" unbalanced="0" hidden="1"/>
    <cacheHierarchy uniqueName="[LocalDateTable_762e9f08-71b7-474b-bf32-18e125928c8b].[MonthNo]" caption="MonthNo" attribute="1" defaultMemberUniqueName="[LocalDateTable_762e9f08-71b7-474b-bf32-18e125928c8b].[MonthNo].[All]" allUniqueName="[LocalDateTable_762e9f08-71b7-474b-bf32-18e125928c8b].[MonthNo].[All]" dimensionUniqueName="[LocalDateTable_762e9f08-71b7-474b-bf32-18e125928c8b]" displayFolder="" count="0" unbalanced="0" hidden="1"/>
    <cacheHierarchy uniqueName="[LocalDateTable_762e9f08-71b7-474b-bf32-18e125928c8b].[Quarter]" caption="Quarter" attribute="1" defaultMemberUniqueName="[LocalDateTable_762e9f08-71b7-474b-bf32-18e125928c8b].[Quarter].[All]" allUniqueName="[LocalDateTable_762e9f08-71b7-474b-bf32-18e125928c8b].[Quarter].[All]" dimensionUniqueName="[LocalDateTable_762e9f08-71b7-474b-bf32-18e125928c8b]" displayFolder="" count="0" unbalanced="0" hidden="1"/>
    <cacheHierarchy uniqueName="[LocalDateTable_762e9f08-71b7-474b-bf32-18e125928c8b].[QuarterNo]" caption="QuarterNo" attribute="1" defaultMemberUniqueName="[LocalDateTable_762e9f08-71b7-474b-bf32-18e125928c8b].[QuarterNo].[All]" allUniqueName="[LocalDateTable_762e9f08-71b7-474b-bf32-18e125928c8b].[QuarterNo].[All]" dimensionUniqueName="[LocalDateTable_762e9f08-71b7-474b-bf32-18e125928c8b]" displayFolder="" count="0" unbalanced="0" hidden="1"/>
    <cacheHierarchy uniqueName="[LocalDateTable_762e9f08-71b7-474b-bf32-18e125928c8b].[Year]" caption="Year" attribute="1" defaultMemberUniqueName="[LocalDateTable_762e9f08-71b7-474b-bf32-18e125928c8b].[Year].[All]" allUniqueName="[LocalDateTable_762e9f08-71b7-474b-bf32-18e125928c8b].[Year].[All]" dimensionUniqueName="[LocalDateTable_762e9f08-71b7-474b-bf32-18e125928c8b]" displayFolder="" count="0" unbalanced="0" hidden="1"/>
    <cacheHierarchy uniqueName="[LocalDateTable_79b3c506-b619-4a92-a39e-5963880b27f4].[Date]" caption="Date" attribute="1" defaultMemberUniqueName="[LocalDateTable_79b3c506-b619-4a92-a39e-5963880b27f4].[Date].[All]" allUniqueName="[LocalDateTable_79b3c506-b619-4a92-a39e-5963880b27f4].[Date].[All]" dimensionUniqueName="[LocalDateTable_79b3c506-b619-4a92-a39e-5963880b27f4]" displayFolder="" count="0" unbalanced="0" hidden="1"/>
    <cacheHierarchy uniqueName="[LocalDateTable_79b3c506-b619-4a92-a39e-5963880b27f4].[Date Hierarchy]" caption="Date Hierarchy" defaultMemberUniqueName="[LocalDateTable_79b3c506-b619-4a92-a39e-5963880b27f4].[Date Hierarchy].[All]" allUniqueName="[LocalDateTable_79b3c506-b619-4a92-a39e-5963880b27f4].[Date Hierarchy].[All]" dimensionUniqueName="[LocalDateTable_79b3c506-b619-4a92-a39e-5963880b27f4]" displayFolder="" count="0" unbalanced="0" hidden="1"/>
    <cacheHierarchy uniqueName="[LocalDateTable_79b3c506-b619-4a92-a39e-5963880b27f4].[Day]" caption="Day" attribute="1" defaultMemberUniqueName="[LocalDateTable_79b3c506-b619-4a92-a39e-5963880b27f4].[Day].[All]" allUniqueName="[LocalDateTable_79b3c506-b619-4a92-a39e-5963880b27f4].[Day].[All]" dimensionUniqueName="[LocalDateTable_79b3c506-b619-4a92-a39e-5963880b27f4]" displayFolder="" count="0" unbalanced="0" hidden="1"/>
    <cacheHierarchy uniqueName="[LocalDateTable_79b3c506-b619-4a92-a39e-5963880b27f4].[Month]" caption="Month" attribute="1" defaultMemberUniqueName="[LocalDateTable_79b3c506-b619-4a92-a39e-5963880b27f4].[Month].[All]" allUniqueName="[LocalDateTable_79b3c506-b619-4a92-a39e-5963880b27f4].[Month].[All]" dimensionUniqueName="[LocalDateTable_79b3c506-b619-4a92-a39e-5963880b27f4]" displayFolder="" count="0" unbalanced="0" hidden="1"/>
    <cacheHierarchy uniqueName="[LocalDateTable_79b3c506-b619-4a92-a39e-5963880b27f4].[MonthNo]" caption="MonthNo" attribute="1" defaultMemberUniqueName="[LocalDateTable_79b3c506-b619-4a92-a39e-5963880b27f4].[MonthNo].[All]" allUniqueName="[LocalDateTable_79b3c506-b619-4a92-a39e-5963880b27f4].[MonthNo].[All]" dimensionUniqueName="[LocalDateTable_79b3c506-b619-4a92-a39e-5963880b27f4]" displayFolder="" count="0" unbalanced="0" hidden="1"/>
    <cacheHierarchy uniqueName="[LocalDateTable_79b3c506-b619-4a92-a39e-5963880b27f4].[Quarter]" caption="Quarter" attribute="1" defaultMemberUniqueName="[LocalDateTable_79b3c506-b619-4a92-a39e-5963880b27f4].[Quarter].[All]" allUniqueName="[LocalDateTable_79b3c506-b619-4a92-a39e-5963880b27f4].[Quarter].[All]" dimensionUniqueName="[LocalDateTable_79b3c506-b619-4a92-a39e-5963880b27f4]" displayFolder="" count="0" unbalanced="0" hidden="1"/>
    <cacheHierarchy uniqueName="[LocalDateTable_79b3c506-b619-4a92-a39e-5963880b27f4].[QuarterNo]" caption="QuarterNo" attribute="1" defaultMemberUniqueName="[LocalDateTable_79b3c506-b619-4a92-a39e-5963880b27f4].[QuarterNo].[All]" allUniqueName="[LocalDateTable_79b3c506-b619-4a92-a39e-5963880b27f4].[QuarterNo].[All]" dimensionUniqueName="[LocalDateTable_79b3c506-b619-4a92-a39e-5963880b27f4]" displayFolder="" count="0" unbalanced="0" hidden="1"/>
    <cacheHierarchy uniqueName="[LocalDateTable_79b3c506-b619-4a92-a39e-5963880b27f4].[Year]" caption="Year" attribute="1" defaultMemberUniqueName="[LocalDateTable_79b3c506-b619-4a92-a39e-5963880b27f4].[Year].[All]" allUniqueName="[LocalDateTable_79b3c506-b619-4a92-a39e-5963880b27f4].[Year].[All]" dimensionUniqueName="[LocalDateTable_79b3c506-b619-4a92-a39e-5963880b27f4]" displayFolder="" count="0" unbalanced="0" hidden="1"/>
    <cacheHierarchy uniqueName="[LocalDateTable_7e4579ac-e1ba-4376-bd93-89713ab2d695].[Date]" caption="Date" attribute="1" defaultMemberUniqueName="[LocalDateTable_7e4579ac-e1ba-4376-bd93-89713ab2d695].[Date].[All]" allUniqueName="[LocalDateTable_7e4579ac-e1ba-4376-bd93-89713ab2d695].[Date].[All]" dimensionUniqueName="[LocalDateTable_7e4579ac-e1ba-4376-bd93-89713ab2d695]" displayFolder="" count="0" unbalanced="0" hidden="1"/>
    <cacheHierarchy uniqueName="[LocalDateTable_7e4579ac-e1ba-4376-bd93-89713ab2d695].[Date Hierarchy]" caption="Date Hierarchy" defaultMemberUniqueName="[LocalDateTable_7e4579ac-e1ba-4376-bd93-89713ab2d695].[Date Hierarchy].[All]" allUniqueName="[LocalDateTable_7e4579ac-e1ba-4376-bd93-89713ab2d695].[Date Hierarchy].[All]" dimensionUniqueName="[LocalDateTable_7e4579ac-e1ba-4376-bd93-89713ab2d695]" displayFolder="" count="0" unbalanced="0" hidden="1"/>
    <cacheHierarchy uniqueName="[LocalDateTable_7e4579ac-e1ba-4376-bd93-89713ab2d695].[Day]" caption="Day" attribute="1" defaultMemberUniqueName="[LocalDateTable_7e4579ac-e1ba-4376-bd93-89713ab2d695].[Day].[All]" allUniqueName="[LocalDateTable_7e4579ac-e1ba-4376-bd93-89713ab2d695].[Day].[All]" dimensionUniqueName="[LocalDateTable_7e4579ac-e1ba-4376-bd93-89713ab2d695]" displayFolder="" count="0" unbalanced="0" hidden="1"/>
    <cacheHierarchy uniqueName="[LocalDateTable_7e4579ac-e1ba-4376-bd93-89713ab2d695].[Month]" caption="Month" attribute="1" defaultMemberUniqueName="[LocalDateTable_7e4579ac-e1ba-4376-bd93-89713ab2d695].[Month].[All]" allUniqueName="[LocalDateTable_7e4579ac-e1ba-4376-bd93-89713ab2d695].[Month].[All]" dimensionUniqueName="[LocalDateTable_7e4579ac-e1ba-4376-bd93-89713ab2d695]" displayFolder="" count="0" unbalanced="0" hidden="1"/>
    <cacheHierarchy uniqueName="[LocalDateTable_7e4579ac-e1ba-4376-bd93-89713ab2d695].[MonthNo]" caption="MonthNo" attribute="1" defaultMemberUniqueName="[LocalDateTable_7e4579ac-e1ba-4376-bd93-89713ab2d695].[MonthNo].[All]" allUniqueName="[LocalDateTable_7e4579ac-e1ba-4376-bd93-89713ab2d695].[MonthNo].[All]" dimensionUniqueName="[LocalDateTable_7e4579ac-e1ba-4376-bd93-89713ab2d695]" displayFolder="" count="0" unbalanced="0" hidden="1"/>
    <cacheHierarchy uniqueName="[LocalDateTable_7e4579ac-e1ba-4376-bd93-89713ab2d695].[Quarter]" caption="Quarter" attribute="1" defaultMemberUniqueName="[LocalDateTable_7e4579ac-e1ba-4376-bd93-89713ab2d695].[Quarter].[All]" allUniqueName="[LocalDateTable_7e4579ac-e1ba-4376-bd93-89713ab2d695].[Quarter].[All]" dimensionUniqueName="[LocalDateTable_7e4579ac-e1ba-4376-bd93-89713ab2d695]" displayFolder="" count="0" unbalanced="0" hidden="1"/>
    <cacheHierarchy uniqueName="[LocalDateTable_7e4579ac-e1ba-4376-bd93-89713ab2d695].[QuarterNo]" caption="QuarterNo" attribute="1" defaultMemberUniqueName="[LocalDateTable_7e4579ac-e1ba-4376-bd93-89713ab2d695].[QuarterNo].[All]" allUniqueName="[LocalDateTable_7e4579ac-e1ba-4376-bd93-89713ab2d695].[QuarterNo].[All]" dimensionUniqueName="[LocalDateTable_7e4579ac-e1ba-4376-bd93-89713ab2d695]" displayFolder="" count="0" unbalanced="0" hidden="1"/>
    <cacheHierarchy uniqueName="[LocalDateTable_7e4579ac-e1ba-4376-bd93-89713ab2d695].[Year]" caption="Year" attribute="1" defaultMemberUniqueName="[LocalDateTable_7e4579ac-e1ba-4376-bd93-89713ab2d695].[Year].[All]" allUniqueName="[LocalDateTable_7e4579ac-e1ba-4376-bd93-89713ab2d695].[Year].[All]" dimensionUniqueName="[LocalDateTable_7e4579ac-e1ba-4376-bd93-89713ab2d695]" displayFolder="" count="0" unbalanced="0" hidden="1"/>
    <cacheHierarchy uniqueName="[LocalDateTable_8171f62b-6985-4fa9-89cc-d461fa08834f].[Date]" caption="Date" attribute="1" defaultMemberUniqueName="[LocalDateTable_8171f62b-6985-4fa9-89cc-d461fa08834f].[Date].[All]" allUniqueName="[LocalDateTable_8171f62b-6985-4fa9-89cc-d461fa08834f].[Date].[All]" dimensionUniqueName="[LocalDateTable_8171f62b-6985-4fa9-89cc-d461fa08834f]" displayFolder="" count="0" unbalanced="0" hidden="1"/>
    <cacheHierarchy uniqueName="[LocalDateTable_8171f62b-6985-4fa9-89cc-d461fa08834f].[Date Hierarchy]" caption="Date Hierarchy" defaultMemberUniqueName="[LocalDateTable_8171f62b-6985-4fa9-89cc-d461fa08834f].[Date Hierarchy].[All]" allUniqueName="[LocalDateTable_8171f62b-6985-4fa9-89cc-d461fa08834f].[Date Hierarchy].[All]" dimensionUniqueName="[LocalDateTable_8171f62b-6985-4fa9-89cc-d461fa08834f]" displayFolder="" count="0" unbalanced="0" hidden="1"/>
    <cacheHierarchy uniqueName="[LocalDateTable_8171f62b-6985-4fa9-89cc-d461fa08834f].[Day]" caption="Day" attribute="1" defaultMemberUniqueName="[LocalDateTable_8171f62b-6985-4fa9-89cc-d461fa08834f].[Day].[All]" allUniqueName="[LocalDateTable_8171f62b-6985-4fa9-89cc-d461fa08834f].[Day].[All]" dimensionUniqueName="[LocalDateTable_8171f62b-6985-4fa9-89cc-d461fa08834f]" displayFolder="" count="0" unbalanced="0" hidden="1"/>
    <cacheHierarchy uniqueName="[LocalDateTable_8171f62b-6985-4fa9-89cc-d461fa08834f].[Month]" caption="Month" attribute="1" defaultMemberUniqueName="[LocalDateTable_8171f62b-6985-4fa9-89cc-d461fa08834f].[Month].[All]" allUniqueName="[LocalDateTable_8171f62b-6985-4fa9-89cc-d461fa08834f].[Month].[All]" dimensionUniqueName="[LocalDateTable_8171f62b-6985-4fa9-89cc-d461fa08834f]" displayFolder="" count="0" unbalanced="0" hidden="1"/>
    <cacheHierarchy uniqueName="[LocalDateTable_8171f62b-6985-4fa9-89cc-d461fa08834f].[MonthNo]" caption="MonthNo" attribute="1" defaultMemberUniqueName="[LocalDateTable_8171f62b-6985-4fa9-89cc-d461fa08834f].[MonthNo].[All]" allUniqueName="[LocalDateTable_8171f62b-6985-4fa9-89cc-d461fa08834f].[MonthNo].[All]" dimensionUniqueName="[LocalDateTable_8171f62b-6985-4fa9-89cc-d461fa08834f]" displayFolder="" count="0" unbalanced="0" hidden="1"/>
    <cacheHierarchy uniqueName="[LocalDateTable_8171f62b-6985-4fa9-89cc-d461fa08834f].[Quarter]" caption="Quarter" attribute="1" defaultMemberUniqueName="[LocalDateTable_8171f62b-6985-4fa9-89cc-d461fa08834f].[Quarter].[All]" allUniqueName="[LocalDateTable_8171f62b-6985-4fa9-89cc-d461fa08834f].[Quarter].[All]" dimensionUniqueName="[LocalDateTable_8171f62b-6985-4fa9-89cc-d461fa08834f]" displayFolder="" count="0" unbalanced="0" hidden="1"/>
    <cacheHierarchy uniqueName="[LocalDateTable_8171f62b-6985-4fa9-89cc-d461fa08834f].[QuarterNo]" caption="QuarterNo" attribute="1" defaultMemberUniqueName="[LocalDateTable_8171f62b-6985-4fa9-89cc-d461fa08834f].[QuarterNo].[All]" allUniqueName="[LocalDateTable_8171f62b-6985-4fa9-89cc-d461fa08834f].[QuarterNo].[All]" dimensionUniqueName="[LocalDateTable_8171f62b-6985-4fa9-89cc-d461fa08834f]" displayFolder="" count="0" unbalanced="0" hidden="1"/>
    <cacheHierarchy uniqueName="[LocalDateTable_8171f62b-6985-4fa9-89cc-d461fa08834f].[Year]" caption="Year" attribute="1" defaultMemberUniqueName="[LocalDateTable_8171f62b-6985-4fa9-89cc-d461fa08834f].[Year].[All]" allUniqueName="[LocalDateTable_8171f62b-6985-4fa9-89cc-d461fa08834f].[Year].[All]" dimensionUniqueName="[LocalDateTable_8171f62b-6985-4fa9-89cc-d461fa08834f]" displayFolder="" count="0" unbalanced="0" hidden="1"/>
    <cacheHierarchy uniqueName="[LocalDateTable_8c167247-2007-40a2-8eb4-a67a7a0ffe69].[Date]" caption="Date" attribute="1" defaultMemberUniqueName="[LocalDateTable_8c167247-2007-40a2-8eb4-a67a7a0ffe69].[Date].[All]" allUniqueName="[LocalDateTable_8c167247-2007-40a2-8eb4-a67a7a0ffe69].[Date].[All]" dimensionUniqueName="[LocalDateTable_8c167247-2007-40a2-8eb4-a67a7a0ffe69]" displayFolder="" count="0" unbalanced="0" hidden="1"/>
    <cacheHierarchy uniqueName="[LocalDateTable_8c167247-2007-40a2-8eb4-a67a7a0ffe69].[Date Hierarchy]" caption="Date Hierarchy" defaultMemberUniqueName="[LocalDateTable_8c167247-2007-40a2-8eb4-a67a7a0ffe69].[Date Hierarchy].[All]" allUniqueName="[LocalDateTable_8c167247-2007-40a2-8eb4-a67a7a0ffe69].[Date Hierarchy].[All]" dimensionUniqueName="[LocalDateTable_8c167247-2007-40a2-8eb4-a67a7a0ffe69]" displayFolder="" count="0" unbalanced="0" hidden="1"/>
    <cacheHierarchy uniqueName="[LocalDateTable_8c167247-2007-40a2-8eb4-a67a7a0ffe69].[Day]" caption="Day" attribute="1" defaultMemberUniqueName="[LocalDateTable_8c167247-2007-40a2-8eb4-a67a7a0ffe69].[Day].[All]" allUniqueName="[LocalDateTable_8c167247-2007-40a2-8eb4-a67a7a0ffe69].[Day].[All]" dimensionUniqueName="[LocalDateTable_8c167247-2007-40a2-8eb4-a67a7a0ffe69]" displayFolder="" count="0" unbalanced="0" hidden="1"/>
    <cacheHierarchy uniqueName="[LocalDateTable_8c167247-2007-40a2-8eb4-a67a7a0ffe69].[Month]" caption="Month" attribute="1" defaultMemberUniqueName="[LocalDateTable_8c167247-2007-40a2-8eb4-a67a7a0ffe69].[Month].[All]" allUniqueName="[LocalDateTable_8c167247-2007-40a2-8eb4-a67a7a0ffe69].[Month].[All]" dimensionUniqueName="[LocalDateTable_8c167247-2007-40a2-8eb4-a67a7a0ffe69]" displayFolder="" count="0" unbalanced="0" hidden="1"/>
    <cacheHierarchy uniqueName="[LocalDateTable_8c167247-2007-40a2-8eb4-a67a7a0ffe69].[MonthNo]" caption="MonthNo" attribute="1" defaultMemberUniqueName="[LocalDateTable_8c167247-2007-40a2-8eb4-a67a7a0ffe69].[MonthNo].[All]" allUniqueName="[LocalDateTable_8c167247-2007-40a2-8eb4-a67a7a0ffe69].[MonthNo].[All]" dimensionUniqueName="[LocalDateTable_8c167247-2007-40a2-8eb4-a67a7a0ffe69]" displayFolder="" count="0" unbalanced="0" hidden="1"/>
    <cacheHierarchy uniqueName="[LocalDateTable_8c167247-2007-40a2-8eb4-a67a7a0ffe69].[Quarter]" caption="Quarter" attribute="1" defaultMemberUniqueName="[LocalDateTable_8c167247-2007-40a2-8eb4-a67a7a0ffe69].[Quarter].[All]" allUniqueName="[LocalDateTable_8c167247-2007-40a2-8eb4-a67a7a0ffe69].[Quarter].[All]" dimensionUniqueName="[LocalDateTable_8c167247-2007-40a2-8eb4-a67a7a0ffe69]" displayFolder="" count="0" unbalanced="0" hidden="1"/>
    <cacheHierarchy uniqueName="[LocalDateTable_8c167247-2007-40a2-8eb4-a67a7a0ffe69].[QuarterNo]" caption="QuarterNo" attribute="1" defaultMemberUniqueName="[LocalDateTable_8c167247-2007-40a2-8eb4-a67a7a0ffe69].[QuarterNo].[All]" allUniqueName="[LocalDateTable_8c167247-2007-40a2-8eb4-a67a7a0ffe69].[QuarterNo].[All]" dimensionUniqueName="[LocalDateTable_8c167247-2007-40a2-8eb4-a67a7a0ffe69]" displayFolder="" count="0" unbalanced="0" hidden="1"/>
    <cacheHierarchy uniqueName="[LocalDateTable_8c167247-2007-40a2-8eb4-a67a7a0ffe69].[Year]" caption="Year" attribute="1" defaultMemberUniqueName="[LocalDateTable_8c167247-2007-40a2-8eb4-a67a7a0ffe69].[Year].[All]" allUniqueName="[LocalDateTable_8c167247-2007-40a2-8eb4-a67a7a0ffe69].[Year].[All]" dimensionUniqueName="[LocalDateTable_8c167247-2007-40a2-8eb4-a67a7a0ffe69]" displayFolder="" count="0" unbalanced="0" hidden="1"/>
    <cacheHierarchy uniqueName="[LocalDateTable_8cc8371a-f4aa-43ae-ad3c-80e424f8db7b].[Date]" caption="Date" attribute="1" defaultMemberUniqueName="[LocalDateTable_8cc8371a-f4aa-43ae-ad3c-80e424f8db7b].[Date].[All]" allUniqueName="[LocalDateTable_8cc8371a-f4aa-43ae-ad3c-80e424f8db7b].[Date].[All]" dimensionUniqueName="[LocalDateTable_8cc8371a-f4aa-43ae-ad3c-80e424f8db7b]" displayFolder="" count="0" unbalanced="0" hidden="1"/>
    <cacheHierarchy uniqueName="[LocalDateTable_8cc8371a-f4aa-43ae-ad3c-80e424f8db7b].[Date Hierarchy]" caption="Date Hierarchy" defaultMemberUniqueName="[LocalDateTable_8cc8371a-f4aa-43ae-ad3c-80e424f8db7b].[Date Hierarchy].[All]" allUniqueName="[LocalDateTable_8cc8371a-f4aa-43ae-ad3c-80e424f8db7b].[Date Hierarchy].[All]" dimensionUniqueName="[LocalDateTable_8cc8371a-f4aa-43ae-ad3c-80e424f8db7b]" displayFolder="" count="0" unbalanced="0" hidden="1"/>
    <cacheHierarchy uniqueName="[LocalDateTable_8cc8371a-f4aa-43ae-ad3c-80e424f8db7b].[Day]" caption="Day" attribute="1" defaultMemberUniqueName="[LocalDateTable_8cc8371a-f4aa-43ae-ad3c-80e424f8db7b].[Day].[All]" allUniqueName="[LocalDateTable_8cc8371a-f4aa-43ae-ad3c-80e424f8db7b].[Day].[All]" dimensionUniqueName="[LocalDateTable_8cc8371a-f4aa-43ae-ad3c-80e424f8db7b]" displayFolder="" count="0" unbalanced="0" hidden="1"/>
    <cacheHierarchy uniqueName="[LocalDateTable_8cc8371a-f4aa-43ae-ad3c-80e424f8db7b].[Month]" caption="Month" attribute="1" defaultMemberUniqueName="[LocalDateTable_8cc8371a-f4aa-43ae-ad3c-80e424f8db7b].[Month].[All]" allUniqueName="[LocalDateTable_8cc8371a-f4aa-43ae-ad3c-80e424f8db7b].[Month].[All]" dimensionUniqueName="[LocalDateTable_8cc8371a-f4aa-43ae-ad3c-80e424f8db7b]" displayFolder="" count="0" unbalanced="0" hidden="1"/>
    <cacheHierarchy uniqueName="[LocalDateTable_8cc8371a-f4aa-43ae-ad3c-80e424f8db7b].[MonthNo]" caption="MonthNo" attribute="1" defaultMemberUniqueName="[LocalDateTable_8cc8371a-f4aa-43ae-ad3c-80e424f8db7b].[MonthNo].[All]" allUniqueName="[LocalDateTable_8cc8371a-f4aa-43ae-ad3c-80e424f8db7b].[MonthNo].[All]" dimensionUniqueName="[LocalDateTable_8cc8371a-f4aa-43ae-ad3c-80e424f8db7b]" displayFolder="" count="0" unbalanced="0" hidden="1"/>
    <cacheHierarchy uniqueName="[LocalDateTable_8cc8371a-f4aa-43ae-ad3c-80e424f8db7b].[Quarter]" caption="Quarter" attribute="1" defaultMemberUniqueName="[LocalDateTable_8cc8371a-f4aa-43ae-ad3c-80e424f8db7b].[Quarter].[All]" allUniqueName="[LocalDateTable_8cc8371a-f4aa-43ae-ad3c-80e424f8db7b].[Quarter].[All]" dimensionUniqueName="[LocalDateTable_8cc8371a-f4aa-43ae-ad3c-80e424f8db7b]" displayFolder="" count="0" unbalanced="0" hidden="1"/>
    <cacheHierarchy uniqueName="[LocalDateTable_8cc8371a-f4aa-43ae-ad3c-80e424f8db7b].[QuarterNo]" caption="QuarterNo" attribute="1" defaultMemberUniqueName="[LocalDateTable_8cc8371a-f4aa-43ae-ad3c-80e424f8db7b].[QuarterNo].[All]" allUniqueName="[LocalDateTable_8cc8371a-f4aa-43ae-ad3c-80e424f8db7b].[QuarterNo].[All]" dimensionUniqueName="[LocalDateTable_8cc8371a-f4aa-43ae-ad3c-80e424f8db7b]" displayFolder="" count="0" unbalanced="0" hidden="1"/>
    <cacheHierarchy uniqueName="[LocalDateTable_8cc8371a-f4aa-43ae-ad3c-80e424f8db7b].[Year]" caption="Year" attribute="1" defaultMemberUniqueName="[LocalDateTable_8cc8371a-f4aa-43ae-ad3c-80e424f8db7b].[Year].[All]" allUniqueName="[LocalDateTable_8cc8371a-f4aa-43ae-ad3c-80e424f8db7b].[Year].[All]" dimensionUniqueName="[LocalDateTable_8cc8371a-f4aa-43ae-ad3c-80e424f8db7b]" displayFolder="" count="0" unbalanced="0" hidden="1"/>
    <cacheHierarchy uniqueName="[LocalDateTable_a7bb61e7-fb22-4577-85f7-8202724a0cab].[Date]" caption="Date" attribute="1" defaultMemberUniqueName="[LocalDateTable_a7bb61e7-fb22-4577-85f7-8202724a0cab].[Date].[All]" allUniqueName="[LocalDateTable_a7bb61e7-fb22-4577-85f7-8202724a0cab].[Date].[All]" dimensionUniqueName="[LocalDateTable_a7bb61e7-fb22-4577-85f7-8202724a0cab]" displayFolder="" count="0" unbalanced="0" hidden="1"/>
    <cacheHierarchy uniqueName="[LocalDateTable_a7bb61e7-fb22-4577-85f7-8202724a0cab].[Date Hierarchy]" caption="Date Hierarchy" defaultMemberUniqueName="[LocalDateTable_a7bb61e7-fb22-4577-85f7-8202724a0cab].[Date Hierarchy].[All]" allUniqueName="[LocalDateTable_a7bb61e7-fb22-4577-85f7-8202724a0cab].[Date Hierarchy].[All]" dimensionUniqueName="[LocalDateTable_a7bb61e7-fb22-4577-85f7-8202724a0cab]" displayFolder="" count="0" unbalanced="0" hidden="1"/>
    <cacheHierarchy uniqueName="[LocalDateTable_a7bb61e7-fb22-4577-85f7-8202724a0cab].[Day]" caption="Day" attribute="1" defaultMemberUniqueName="[LocalDateTable_a7bb61e7-fb22-4577-85f7-8202724a0cab].[Day].[All]" allUniqueName="[LocalDateTable_a7bb61e7-fb22-4577-85f7-8202724a0cab].[Day].[All]" dimensionUniqueName="[LocalDateTable_a7bb61e7-fb22-4577-85f7-8202724a0cab]" displayFolder="" count="0" unbalanced="0" hidden="1"/>
    <cacheHierarchy uniqueName="[LocalDateTable_a7bb61e7-fb22-4577-85f7-8202724a0cab].[Month]" caption="Month" attribute="1" defaultMemberUniqueName="[LocalDateTable_a7bb61e7-fb22-4577-85f7-8202724a0cab].[Month].[All]" allUniqueName="[LocalDateTable_a7bb61e7-fb22-4577-85f7-8202724a0cab].[Month].[All]" dimensionUniqueName="[LocalDateTable_a7bb61e7-fb22-4577-85f7-8202724a0cab]" displayFolder="" count="0" unbalanced="0" hidden="1"/>
    <cacheHierarchy uniqueName="[LocalDateTable_a7bb61e7-fb22-4577-85f7-8202724a0cab].[MonthNo]" caption="MonthNo" attribute="1" defaultMemberUniqueName="[LocalDateTable_a7bb61e7-fb22-4577-85f7-8202724a0cab].[MonthNo].[All]" allUniqueName="[LocalDateTable_a7bb61e7-fb22-4577-85f7-8202724a0cab].[MonthNo].[All]" dimensionUniqueName="[LocalDateTable_a7bb61e7-fb22-4577-85f7-8202724a0cab]" displayFolder="" count="0" unbalanced="0" hidden="1"/>
    <cacheHierarchy uniqueName="[LocalDateTable_a7bb61e7-fb22-4577-85f7-8202724a0cab].[Quarter]" caption="Quarter" attribute="1" defaultMemberUniqueName="[LocalDateTable_a7bb61e7-fb22-4577-85f7-8202724a0cab].[Quarter].[All]" allUniqueName="[LocalDateTable_a7bb61e7-fb22-4577-85f7-8202724a0cab].[Quarter].[All]" dimensionUniqueName="[LocalDateTable_a7bb61e7-fb22-4577-85f7-8202724a0cab]" displayFolder="" count="0" unbalanced="0" hidden="1"/>
    <cacheHierarchy uniqueName="[LocalDateTable_a7bb61e7-fb22-4577-85f7-8202724a0cab].[QuarterNo]" caption="QuarterNo" attribute="1" defaultMemberUniqueName="[LocalDateTable_a7bb61e7-fb22-4577-85f7-8202724a0cab].[QuarterNo].[All]" allUniqueName="[LocalDateTable_a7bb61e7-fb22-4577-85f7-8202724a0cab].[QuarterNo].[All]" dimensionUniqueName="[LocalDateTable_a7bb61e7-fb22-4577-85f7-8202724a0cab]" displayFolder="" count="0" unbalanced="0" hidden="1"/>
    <cacheHierarchy uniqueName="[LocalDateTable_a7bb61e7-fb22-4577-85f7-8202724a0cab].[Year]" caption="Year" attribute="1" defaultMemberUniqueName="[LocalDateTable_a7bb61e7-fb22-4577-85f7-8202724a0cab].[Year].[All]" allUniqueName="[LocalDateTable_a7bb61e7-fb22-4577-85f7-8202724a0cab].[Year].[All]" dimensionUniqueName="[LocalDateTable_a7bb61e7-fb22-4577-85f7-8202724a0cab]" displayFolder="" count="0" unbalanced="0" hidden="1"/>
    <cacheHierarchy uniqueName="[LocalDateTable_ac50e709-a83e-40da-92b7-c09d4749ca90].[Date]" caption="Date" attribute="1" defaultMemberUniqueName="[LocalDateTable_ac50e709-a83e-40da-92b7-c09d4749ca90].[Date].[All]" allUniqueName="[LocalDateTable_ac50e709-a83e-40da-92b7-c09d4749ca90].[Date].[All]" dimensionUniqueName="[LocalDateTable_ac50e709-a83e-40da-92b7-c09d4749ca90]" displayFolder="" count="0" unbalanced="0" hidden="1"/>
    <cacheHierarchy uniqueName="[LocalDateTable_ac50e709-a83e-40da-92b7-c09d4749ca90].[Date Hierarchy]" caption="Date Hierarchy" defaultMemberUniqueName="[LocalDateTable_ac50e709-a83e-40da-92b7-c09d4749ca90].[Date Hierarchy].[All]" allUniqueName="[LocalDateTable_ac50e709-a83e-40da-92b7-c09d4749ca90].[Date Hierarchy].[All]" dimensionUniqueName="[LocalDateTable_ac50e709-a83e-40da-92b7-c09d4749ca90]" displayFolder="" count="0" unbalanced="0" hidden="1"/>
    <cacheHierarchy uniqueName="[LocalDateTable_ac50e709-a83e-40da-92b7-c09d4749ca90].[Day]" caption="Day" attribute="1" defaultMemberUniqueName="[LocalDateTable_ac50e709-a83e-40da-92b7-c09d4749ca90].[Day].[All]" allUniqueName="[LocalDateTable_ac50e709-a83e-40da-92b7-c09d4749ca90].[Day].[All]" dimensionUniqueName="[LocalDateTable_ac50e709-a83e-40da-92b7-c09d4749ca90]" displayFolder="" count="0" unbalanced="0" hidden="1"/>
    <cacheHierarchy uniqueName="[LocalDateTable_ac50e709-a83e-40da-92b7-c09d4749ca90].[Month]" caption="Month" attribute="1" defaultMemberUniqueName="[LocalDateTable_ac50e709-a83e-40da-92b7-c09d4749ca90].[Month].[All]" allUniqueName="[LocalDateTable_ac50e709-a83e-40da-92b7-c09d4749ca90].[Month].[All]" dimensionUniqueName="[LocalDateTable_ac50e709-a83e-40da-92b7-c09d4749ca90]" displayFolder="" count="0" unbalanced="0" hidden="1"/>
    <cacheHierarchy uniqueName="[LocalDateTable_ac50e709-a83e-40da-92b7-c09d4749ca90].[MonthNo]" caption="MonthNo" attribute="1" defaultMemberUniqueName="[LocalDateTable_ac50e709-a83e-40da-92b7-c09d4749ca90].[MonthNo].[All]" allUniqueName="[LocalDateTable_ac50e709-a83e-40da-92b7-c09d4749ca90].[MonthNo].[All]" dimensionUniqueName="[LocalDateTable_ac50e709-a83e-40da-92b7-c09d4749ca90]" displayFolder="" count="0" unbalanced="0" hidden="1"/>
    <cacheHierarchy uniqueName="[LocalDateTable_ac50e709-a83e-40da-92b7-c09d4749ca90].[Quarter]" caption="Quarter" attribute="1" defaultMemberUniqueName="[LocalDateTable_ac50e709-a83e-40da-92b7-c09d4749ca90].[Quarter].[All]" allUniqueName="[LocalDateTable_ac50e709-a83e-40da-92b7-c09d4749ca90].[Quarter].[All]" dimensionUniqueName="[LocalDateTable_ac50e709-a83e-40da-92b7-c09d4749ca90]" displayFolder="" count="0" unbalanced="0" hidden="1"/>
    <cacheHierarchy uniqueName="[LocalDateTable_ac50e709-a83e-40da-92b7-c09d4749ca90].[QuarterNo]" caption="QuarterNo" attribute="1" defaultMemberUniqueName="[LocalDateTable_ac50e709-a83e-40da-92b7-c09d4749ca90].[QuarterNo].[All]" allUniqueName="[LocalDateTable_ac50e709-a83e-40da-92b7-c09d4749ca90].[QuarterNo].[All]" dimensionUniqueName="[LocalDateTable_ac50e709-a83e-40da-92b7-c09d4749ca90]" displayFolder="" count="0" unbalanced="0" hidden="1"/>
    <cacheHierarchy uniqueName="[LocalDateTable_ac50e709-a83e-40da-92b7-c09d4749ca90].[Year]" caption="Year" attribute="1" defaultMemberUniqueName="[LocalDateTable_ac50e709-a83e-40da-92b7-c09d4749ca90].[Year].[All]" allUniqueName="[LocalDateTable_ac50e709-a83e-40da-92b7-c09d4749ca90].[Year].[All]" dimensionUniqueName="[LocalDateTable_ac50e709-a83e-40da-92b7-c09d4749ca90]" displayFolder="" count="0" unbalanced="0" hidden="1"/>
    <cacheHierarchy uniqueName="[LocalDateTable_b9674d41-7d4a-4bcc-9fba-60f51abd930f].[Date]" caption="Date" attribute="1" defaultMemberUniqueName="[LocalDateTable_b9674d41-7d4a-4bcc-9fba-60f51abd930f].[Date].[All]" allUniqueName="[LocalDateTable_b9674d41-7d4a-4bcc-9fba-60f51abd930f].[Date].[All]" dimensionUniqueName="[LocalDateTable_b9674d41-7d4a-4bcc-9fba-60f51abd930f]" displayFolder="" count="0" unbalanced="0" hidden="1"/>
    <cacheHierarchy uniqueName="[LocalDateTable_b9674d41-7d4a-4bcc-9fba-60f51abd930f].[Date Hierarchy]" caption="Date Hierarchy" defaultMemberUniqueName="[LocalDateTable_b9674d41-7d4a-4bcc-9fba-60f51abd930f].[Date Hierarchy].[All]" allUniqueName="[LocalDateTable_b9674d41-7d4a-4bcc-9fba-60f51abd930f].[Date Hierarchy].[All]" dimensionUniqueName="[LocalDateTable_b9674d41-7d4a-4bcc-9fba-60f51abd930f]" displayFolder="" count="0" unbalanced="0" hidden="1"/>
    <cacheHierarchy uniqueName="[LocalDateTable_b9674d41-7d4a-4bcc-9fba-60f51abd930f].[Day]" caption="Day" attribute="1" defaultMemberUniqueName="[LocalDateTable_b9674d41-7d4a-4bcc-9fba-60f51abd930f].[Day].[All]" allUniqueName="[LocalDateTable_b9674d41-7d4a-4bcc-9fba-60f51abd930f].[Day].[All]" dimensionUniqueName="[LocalDateTable_b9674d41-7d4a-4bcc-9fba-60f51abd930f]" displayFolder="" count="0" unbalanced="0" hidden="1"/>
    <cacheHierarchy uniqueName="[LocalDateTable_b9674d41-7d4a-4bcc-9fba-60f51abd930f].[Month]" caption="Month" attribute="1" defaultMemberUniqueName="[LocalDateTable_b9674d41-7d4a-4bcc-9fba-60f51abd930f].[Month].[All]" allUniqueName="[LocalDateTable_b9674d41-7d4a-4bcc-9fba-60f51abd930f].[Month].[All]" dimensionUniqueName="[LocalDateTable_b9674d41-7d4a-4bcc-9fba-60f51abd930f]" displayFolder="" count="0" unbalanced="0" hidden="1"/>
    <cacheHierarchy uniqueName="[LocalDateTable_b9674d41-7d4a-4bcc-9fba-60f51abd930f].[MonthNo]" caption="MonthNo" attribute="1" defaultMemberUniqueName="[LocalDateTable_b9674d41-7d4a-4bcc-9fba-60f51abd930f].[MonthNo].[All]" allUniqueName="[LocalDateTable_b9674d41-7d4a-4bcc-9fba-60f51abd930f].[MonthNo].[All]" dimensionUniqueName="[LocalDateTable_b9674d41-7d4a-4bcc-9fba-60f51abd930f]" displayFolder="" count="0" unbalanced="0" hidden="1"/>
    <cacheHierarchy uniqueName="[LocalDateTable_b9674d41-7d4a-4bcc-9fba-60f51abd930f].[Quarter]" caption="Quarter" attribute="1" defaultMemberUniqueName="[LocalDateTable_b9674d41-7d4a-4bcc-9fba-60f51abd930f].[Quarter].[All]" allUniqueName="[LocalDateTable_b9674d41-7d4a-4bcc-9fba-60f51abd930f].[Quarter].[All]" dimensionUniqueName="[LocalDateTable_b9674d41-7d4a-4bcc-9fba-60f51abd930f]" displayFolder="" count="0" unbalanced="0" hidden="1"/>
    <cacheHierarchy uniqueName="[LocalDateTable_b9674d41-7d4a-4bcc-9fba-60f51abd930f].[QuarterNo]" caption="QuarterNo" attribute="1" defaultMemberUniqueName="[LocalDateTable_b9674d41-7d4a-4bcc-9fba-60f51abd930f].[QuarterNo].[All]" allUniqueName="[LocalDateTable_b9674d41-7d4a-4bcc-9fba-60f51abd930f].[QuarterNo].[All]" dimensionUniqueName="[LocalDateTable_b9674d41-7d4a-4bcc-9fba-60f51abd930f]" displayFolder="" count="0" unbalanced="0" hidden="1"/>
    <cacheHierarchy uniqueName="[LocalDateTable_b9674d41-7d4a-4bcc-9fba-60f51abd930f].[Year]" caption="Year" attribute="1" defaultMemberUniqueName="[LocalDateTable_b9674d41-7d4a-4bcc-9fba-60f51abd930f].[Year].[All]" allUniqueName="[LocalDateTable_b9674d41-7d4a-4bcc-9fba-60f51abd930f].[Year].[All]" dimensionUniqueName="[LocalDateTable_b9674d41-7d4a-4bcc-9fba-60f51abd930f]" displayFolder="" count="0" unbalanced="0" hidden="1"/>
    <cacheHierarchy uniqueName="[LocalDateTable_c51bdc8f-f532-4538-8d59-a1f847d37fc7].[Date]" caption="Date" attribute="1" defaultMemberUniqueName="[LocalDateTable_c51bdc8f-f532-4538-8d59-a1f847d37fc7].[Date].[All]" allUniqueName="[LocalDateTable_c51bdc8f-f532-4538-8d59-a1f847d37fc7].[Date].[All]" dimensionUniqueName="[LocalDateTable_c51bdc8f-f532-4538-8d59-a1f847d37fc7]" displayFolder="" count="0" unbalanced="0" hidden="1"/>
    <cacheHierarchy uniqueName="[LocalDateTable_c51bdc8f-f532-4538-8d59-a1f847d37fc7].[Date Hierarchy]" caption="Date Hierarchy" defaultMemberUniqueName="[LocalDateTable_c51bdc8f-f532-4538-8d59-a1f847d37fc7].[Date Hierarchy].[All]" allUniqueName="[LocalDateTable_c51bdc8f-f532-4538-8d59-a1f847d37fc7].[Date Hierarchy].[All]" dimensionUniqueName="[LocalDateTable_c51bdc8f-f532-4538-8d59-a1f847d37fc7]" displayFolder="" count="0" unbalanced="0" hidden="1"/>
    <cacheHierarchy uniqueName="[LocalDateTable_c51bdc8f-f532-4538-8d59-a1f847d37fc7].[Day]" caption="Day" attribute="1" defaultMemberUniqueName="[LocalDateTable_c51bdc8f-f532-4538-8d59-a1f847d37fc7].[Day].[All]" allUniqueName="[LocalDateTable_c51bdc8f-f532-4538-8d59-a1f847d37fc7].[Day].[All]" dimensionUniqueName="[LocalDateTable_c51bdc8f-f532-4538-8d59-a1f847d37fc7]" displayFolder="" count="0" unbalanced="0" hidden="1"/>
    <cacheHierarchy uniqueName="[LocalDateTable_c51bdc8f-f532-4538-8d59-a1f847d37fc7].[Month]" caption="Month" attribute="1" defaultMemberUniqueName="[LocalDateTable_c51bdc8f-f532-4538-8d59-a1f847d37fc7].[Month].[All]" allUniqueName="[LocalDateTable_c51bdc8f-f532-4538-8d59-a1f847d37fc7].[Month].[All]" dimensionUniqueName="[LocalDateTable_c51bdc8f-f532-4538-8d59-a1f847d37fc7]" displayFolder="" count="0" unbalanced="0" hidden="1"/>
    <cacheHierarchy uniqueName="[LocalDateTable_c51bdc8f-f532-4538-8d59-a1f847d37fc7].[MonthNo]" caption="MonthNo" attribute="1" defaultMemberUniqueName="[LocalDateTable_c51bdc8f-f532-4538-8d59-a1f847d37fc7].[MonthNo].[All]" allUniqueName="[LocalDateTable_c51bdc8f-f532-4538-8d59-a1f847d37fc7].[MonthNo].[All]" dimensionUniqueName="[LocalDateTable_c51bdc8f-f532-4538-8d59-a1f847d37fc7]" displayFolder="" count="0" unbalanced="0" hidden="1"/>
    <cacheHierarchy uniqueName="[LocalDateTable_c51bdc8f-f532-4538-8d59-a1f847d37fc7].[Quarter]" caption="Quarter" attribute="1" defaultMemberUniqueName="[LocalDateTable_c51bdc8f-f532-4538-8d59-a1f847d37fc7].[Quarter].[All]" allUniqueName="[LocalDateTable_c51bdc8f-f532-4538-8d59-a1f847d37fc7].[Quarter].[All]" dimensionUniqueName="[LocalDateTable_c51bdc8f-f532-4538-8d59-a1f847d37fc7]" displayFolder="" count="0" unbalanced="0" hidden="1"/>
    <cacheHierarchy uniqueName="[LocalDateTable_c51bdc8f-f532-4538-8d59-a1f847d37fc7].[QuarterNo]" caption="QuarterNo" attribute="1" defaultMemberUniqueName="[LocalDateTable_c51bdc8f-f532-4538-8d59-a1f847d37fc7].[QuarterNo].[All]" allUniqueName="[LocalDateTable_c51bdc8f-f532-4538-8d59-a1f847d37fc7].[QuarterNo].[All]" dimensionUniqueName="[LocalDateTable_c51bdc8f-f532-4538-8d59-a1f847d37fc7]" displayFolder="" count="0" unbalanced="0" hidden="1"/>
    <cacheHierarchy uniqueName="[LocalDateTable_c51bdc8f-f532-4538-8d59-a1f847d37fc7].[Year]" caption="Year" attribute="1" defaultMemberUniqueName="[LocalDateTable_c51bdc8f-f532-4538-8d59-a1f847d37fc7].[Year].[All]" allUniqueName="[LocalDateTable_c51bdc8f-f532-4538-8d59-a1f847d37fc7].[Year].[All]" dimensionUniqueName="[LocalDateTable_c51bdc8f-f532-4538-8d59-a1f847d37fc7]" displayFolder="" count="0" unbalanced="0" hidden="1"/>
    <cacheHierarchy uniqueName="[LocalDateTable_cff06c49-b10f-4186-b8ce-801667abc242].[Date]" caption="Date" attribute="1" defaultMemberUniqueName="[LocalDateTable_cff06c49-b10f-4186-b8ce-801667abc242].[Date].[All]" allUniqueName="[LocalDateTable_cff06c49-b10f-4186-b8ce-801667abc242].[Date].[All]" dimensionUniqueName="[LocalDateTable_cff06c49-b10f-4186-b8ce-801667abc242]" displayFolder="" count="0" unbalanced="0" hidden="1"/>
    <cacheHierarchy uniqueName="[LocalDateTable_cff06c49-b10f-4186-b8ce-801667abc242].[Date Hierarchy]" caption="Date Hierarchy" defaultMemberUniqueName="[LocalDateTable_cff06c49-b10f-4186-b8ce-801667abc242].[Date Hierarchy].[All]" allUniqueName="[LocalDateTable_cff06c49-b10f-4186-b8ce-801667abc242].[Date Hierarchy].[All]" dimensionUniqueName="[LocalDateTable_cff06c49-b10f-4186-b8ce-801667abc242]" displayFolder="" count="0" unbalanced="0" hidden="1"/>
    <cacheHierarchy uniqueName="[LocalDateTable_cff06c49-b10f-4186-b8ce-801667abc242].[Day]" caption="Day" attribute="1" defaultMemberUniqueName="[LocalDateTable_cff06c49-b10f-4186-b8ce-801667abc242].[Day].[All]" allUniqueName="[LocalDateTable_cff06c49-b10f-4186-b8ce-801667abc242].[Day].[All]" dimensionUniqueName="[LocalDateTable_cff06c49-b10f-4186-b8ce-801667abc242]" displayFolder="" count="0" unbalanced="0" hidden="1"/>
    <cacheHierarchy uniqueName="[LocalDateTable_cff06c49-b10f-4186-b8ce-801667abc242].[Month]" caption="Month" attribute="1" defaultMemberUniqueName="[LocalDateTable_cff06c49-b10f-4186-b8ce-801667abc242].[Month].[All]" allUniqueName="[LocalDateTable_cff06c49-b10f-4186-b8ce-801667abc242].[Month].[All]" dimensionUniqueName="[LocalDateTable_cff06c49-b10f-4186-b8ce-801667abc242]" displayFolder="" count="0" unbalanced="0" hidden="1"/>
    <cacheHierarchy uniqueName="[LocalDateTable_cff06c49-b10f-4186-b8ce-801667abc242].[MonthNo]" caption="MonthNo" attribute="1" defaultMemberUniqueName="[LocalDateTable_cff06c49-b10f-4186-b8ce-801667abc242].[MonthNo].[All]" allUniqueName="[LocalDateTable_cff06c49-b10f-4186-b8ce-801667abc242].[MonthNo].[All]" dimensionUniqueName="[LocalDateTable_cff06c49-b10f-4186-b8ce-801667abc242]" displayFolder="" count="0" unbalanced="0" hidden="1"/>
    <cacheHierarchy uniqueName="[LocalDateTable_cff06c49-b10f-4186-b8ce-801667abc242].[Quarter]" caption="Quarter" attribute="1" defaultMemberUniqueName="[LocalDateTable_cff06c49-b10f-4186-b8ce-801667abc242].[Quarter].[All]" allUniqueName="[LocalDateTable_cff06c49-b10f-4186-b8ce-801667abc242].[Quarter].[All]" dimensionUniqueName="[LocalDateTable_cff06c49-b10f-4186-b8ce-801667abc242]" displayFolder="" count="0" unbalanced="0" hidden="1"/>
    <cacheHierarchy uniqueName="[LocalDateTable_cff06c49-b10f-4186-b8ce-801667abc242].[QuarterNo]" caption="QuarterNo" attribute="1" defaultMemberUniqueName="[LocalDateTable_cff06c49-b10f-4186-b8ce-801667abc242].[QuarterNo].[All]" allUniqueName="[LocalDateTable_cff06c49-b10f-4186-b8ce-801667abc242].[QuarterNo].[All]" dimensionUniqueName="[LocalDateTable_cff06c49-b10f-4186-b8ce-801667abc242]" displayFolder="" count="0" unbalanced="0" hidden="1"/>
    <cacheHierarchy uniqueName="[LocalDateTable_cff06c49-b10f-4186-b8ce-801667abc242].[Year]" caption="Year" attribute="1" defaultMemberUniqueName="[LocalDateTable_cff06c49-b10f-4186-b8ce-801667abc242].[Year].[All]" allUniqueName="[LocalDateTable_cff06c49-b10f-4186-b8ce-801667abc242].[Year].[All]" dimensionUniqueName="[LocalDateTable_cff06c49-b10f-4186-b8ce-801667abc242]" displayFolder="" count="0" unbalanced="0" hidden="1"/>
    <cacheHierarchy uniqueName="[LocalDateTable_d556de67-934a-4e60-b501-c142594d01f3].[Date]" caption="Date" attribute="1" defaultMemberUniqueName="[LocalDateTable_d556de67-934a-4e60-b501-c142594d01f3].[Date].[All]" allUniqueName="[LocalDateTable_d556de67-934a-4e60-b501-c142594d01f3].[Date].[All]" dimensionUniqueName="[LocalDateTable_d556de67-934a-4e60-b501-c142594d01f3]" displayFolder="" count="0" unbalanced="0" hidden="1"/>
    <cacheHierarchy uniqueName="[LocalDateTable_d556de67-934a-4e60-b501-c142594d01f3].[Date Hierarchy]" caption="Date Hierarchy" defaultMemberUniqueName="[LocalDateTable_d556de67-934a-4e60-b501-c142594d01f3].[Date Hierarchy].[All]" allUniqueName="[LocalDateTable_d556de67-934a-4e60-b501-c142594d01f3].[Date Hierarchy].[All]" dimensionUniqueName="[LocalDateTable_d556de67-934a-4e60-b501-c142594d01f3]" displayFolder="" count="0" unbalanced="0" hidden="1"/>
    <cacheHierarchy uniqueName="[LocalDateTable_d556de67-934a-4e60-b501-c142594d01f3].[Day]" caption="Day" attribute="1" defaultMemberUniqueName="[LocalDateTable_d556de67-934a-4e60-b501-c142594d01f3].[Day].[All]" allUniqueName="[LocalDateTable_d556de67-934a-4e60-b501-c142594d01f3].[Day].[All]" dimensionUniqueName="[LocalDateTable_d556de67-934a-4e60-b501-c142594d01f3]" displayFolder="" count="0" unbalanced="0" hidden="1"/>
    <cacheHierarchy uniqueName="[LocalDateTable_d556de67-934a-4e60-b501-c142594d01f3].[Month]" caption="Month" attribute="1" defaultMemberUniqueName="[LocalDateTable_d556de67-934a-4e60-b501-c142594d01f3].[Month].[All]" allUniqueName="[LocalDateTable_d556de67-934a-4e60-b501-c142594d01f3].[Month].[All]" dimensionUniqueName="[LocalDateTable_d556de67-934a-4e60-b501-c142594d01f3]" displayFolder="" count="0" unbalanced="0" hidden="1"/>
    <cacheHierarchy uniqueName="[LocalDateTable_d556de67-934a-4e60-b501-c142594d01f3].[MonthNo]" caption="MonthNo" attribute="1" defaultMemberUniqueName="[LocalDateTable_d556de67-934a-4e60-b501-c142594d01f3].[MonthNo].[All]" allUniqueName="[LocalDateTable_d556de67-934a-4e60-b501-c142594d01f3].[MonthNo].[All]" dimensionUniqueName="[LocalDateTable_d556de67-934a-4e60-b501-c142594d01f3]" displayFolder="" count="0" unbalanced="0" hidden="1"/>
    <cacheHierarchy uniqueName="[LocalDateTable_d556de67-934a-4e60-b501-c142594d01f3].[Quarter]" caption="Quarter" attribute="1" defaultMemberUniqueName="[LocalDateTable_d556de67-934a-4e60-b501-c142594d01f3].[Quarter].[All]" allUniqueName="[LocalDateTable_d556de67-934a-4e60-b501-c142594d01f3].[Quarter].[All]" dimensionUniqueName="[LocalDateTable_d556de67-934a-4e60-b501-c142594d01f3]" displayFolder="" count="0" unbalanced="0" hidden="1"/>
    <cacheHierarchy uniqueName="[LocalDateTable_d556de67-934a-4e60-b501-c142594d01f3].[QuarterNo]" caption="QuarterNo" attribute="1" defaultMemberUniqueName="[LocalDateTable_d556de67-934a-4e60-b501-c142594d01f3].[QuarterNo].[All]" allUniqueName="[LocalDateTable_d556de67-934a-4e60-b501-c142594d01f3].[QuarterNo].[All]" dimensionUniqueName="[LocalDateTable_d556de67-934a-4e60-b501-c142594d01f3]" displayFolder="" count="0" unbalanced="0" hidden="1"/>
    <cacheHierarchy uniqueName="[LocalDateTable_d556de67-934a-4e60-b501-c142594d01f3].[Year]" caption="Year" attribute="1" defaultMemberUniqueName="[LocalDateTable_d556de67-934a-4e60-b501-c142594d01f3].[Year].[All]" allUniqueName="[LocalDateTable_d556de67-934a-4e60-b501-c142594d01f3].[Year].[All]" dimensionUniqueName="[LocalDateTable_d556de67-934a-4e60-b501-c142594d01f3]" displayFolder="" count="0" unbalanced="0" hidden="1"/>
    <cacheHierarchy uniqueName="[LocalDateTable_db52efe7-f8a9-46be-907f-5a39fe4d61de].[Date]" caption="Date" attribute="1" defaultMemberUniqueName="[LocalDateTable_db52efe7-f8a9-46be-907f-5a39fe4d61de].[Date].[All]" allUniqueName="[LocalDateTable_db52efe7-f8a9-46be-907f-5a39fe4d61de].[Date].[All]" dimensionUniqueName="[LocalDateTable_db52efe7-f8a9-46be-907f-5a39fe4d61de]" displayFolder="" count="0" unbalanced="0" hidden="1"/>
    <cacheHierarchy uniqueName="[LocalDateTable_db52efe7-f8a9-46be-907f-5a39fe4d61de].[Date Hierarchy]" caption="Date Hierarchy" defaultMemberUniqueName="[LocalDateTable_db52efe7-f8a9-46be-907f-5a39fe4d61de].[Date Hierarchy].[All]" allUniqueName="[LocalDateTable_db52efe7-f8a9-46be-907f-5a39fe4d61de].[Date Hierarchy].[All]" dimensionUniqueName="[LocalDateTable_db52efe7-f8a9-46be-907f-5a39fe4d61de]" displayFolder="" count="0" unbalanced="0" hidden="1"/>
    <cacheHierarchy uniqueName="[LocalDateTable_db52efe7-f8a9-46be-907f-5a39fe4d61de].[Day]" caption="Day" attribute="1" defaultMemberUniqueName="[LocalDateTable_db52efe7-f8a9-46be-907f-5a39fe4d61de].[Day].[All]" allUniqueName="[LocalDateTable_db52efe7-f8a9-46be-907f-5a39fe4d61de].[Day].[All]" dimensionUniqueName="[LocalDateTable_db52efe7-f8a9-46be-907f-5a39fe4d61de]" displayFolder="" count="0" unbalanced="0" hidden="1"/>
    <cacheHierarchy uniqueName="[LocalDateTable_db52efe7-f8a9-46be-907f-5a39fe4d61de].[Month]" caption="Month" attribute="1" defaultMemberUniqueName="[LocalDateTable_db52efe7-f8a9-46be-907f-5a39fe4d61de].[Month].[All]" allUniqueName="[LocalDateTable_db52efe7-f8a9-46be-907f-5a39fe4d61de].[Month].[All]" dimensionUniqueName="[LocalDateTable_db52efe7-f8a9-46be-907f-5a39fe4d61de]" displayFolder="" count="0" unbalanced="0" hidden="1"/>
    <cacheHierarchy uniqueName="[LocalDateTable_db52efe7-f8a9-46be-907f-5a39fe4d61de].[MonthNo]" caption="MonthNo" attribute="1" defaultMemberUniqueName="[LocalDateTable_db52efe7-f8a9-46be-907f-5a39fe4d61de].[MonthNo].[All]" allUniqueName="[LocalDateTable_db52efe7-f8a9-46be-907f-5a39fe4d61de].[MonthNo].[All]" dimensionUniqueName="[LocalDateTable_db52efe7-f8a9-46be-907f-5a39fe4d61de]" displayFolder="" count="0" unbalanced="0" hidden="1"/>
    <cacheHierarchy uniqueName="[LocalDateTable_db52efe7-f8a9-46be-907f-5a39fe4d61de].[Quarter]" caption="Quarter" attribute="1" defaultMemberUniqueName="[LocalDateTable_db52efe7-f8a9-46be-907f-5a39fe4d61de].[Quarter].[All]" allUniqueName="[LocalDateTable_db52efe7-f8a9-46be-907f-5a39fe4d61de].[Quarter].[All]" dimensionUniqueName="[LocalDateTable_db52efe7-f8a9-46be-907f-5a39fe4d61de]" displayFolder="" count="0" unbalanced="0" hidden="1"/>
    <cacheHierarchy uniqueName="[LocalDateTable_db52efe7-f8a9-46be-907f-5a39fe4d61de].[QuarterNo]" caption="QuarterNo" attribute="1" defaultMemberUniqueName="[LocalDateTable_db52efe7-f8a9-46be-907f-5a39fe4d61de].[QuarterNo].[All]" allUniqueName="[LocalDateTable_db52efe7-f8a9-46be-907f-5a39fe4d61de].[QuarterNo].[All]" dimensionUniqueName="[LocalDateTable_db52efe7-f8a9-46be-907f-5a39fe4d61de]" displayFolder="" count="0" unbalanced="0" hidden="1"/>
    <cacheHierarchy uniqueName="[LocalDateTable_db52efe7-f8a9-46be-907f-5a39fe4d61de].[Year]" caption="Year" attribute="1" defaultMemberUniqueName="[LocalDateTable_db52efe7-f8a9-46be-907f-5a39fe4d61de].[Year].[All]" allUniqueName="[LocalDateTable_db52efe7-f8a9-46be-907f-5a39fe4d61de].[Year].[All]" dimensionUniqueName="[LocalDateTable_db52efe7-f8a9-46be-907f-5a39fe4d61de]" displayFolder="" count="0" unbalanced="0" hidden="1"/>
    <cacheHierarchy uniqueName="[LocalDateTable_df4bea45-32ed-442a-9234-aaca0cd7dbed].[Date]" caption="Date" attribute="1" defaultMemberUniqueName="[LocalDateTable_df4bea45-32ed-442a-9234-aaca0cd7dbed].[Date].[All]" allUniqueName="[LocalDateTable_df4bea45-32ed-442a-9234-aaca0cd7dbed].[Date].[All]" dimensionUniqueName="[LocalDateTable_df4bea45-32ed-442a-9234-aaca0cd7dbed]" displayFolder="" count="0" unbalanced="0" hidden="1"/>
    <cacheHierarchy uniqueName="[LocalDateTable_df4bea45-32ed-442a-9234-aaca0cd7dbed].[Date Hierarchy]" caption="Date Hierarchy" defaultMemberUniqueName="[LocalDateTable_df4bea45-32ed-442a-9234-aaca0cd7dbed].[Date Hierarchy].[All]" allUniqueName="[LocalDateTable_df4bea45-32ed-442a-9234-aaca0cd7dbed].[Date Hierarchy].[All]" dimensionUniqueName="[LocalDateTable_df4bea45-32ed-442a-9234-aaca0cd7dbed]" displayFolder="" count="0" unbalanced="0" hidden="1"/>
    <cacheHierarchy uniqueName="[LocalDateTable_df4bea45-32ed-442a-9234-aaca0cd7dbed].[Day]" caption="Day" attribute="1" defaultMemberUniqueName="[LocalDateTable_df4bea45-32ed-442a-9234-aaca0cd7dbed].[Day].[All]" allUniqueName="[LocalDateTable_df4bea45-32ed-442a-9234-aaca0cd7dbed].[Day].[All]" dimensionUniqueName="[LocalDateTable_df4bea45-32ed-442a-9234-aaca0cd7dbed]" displayFolder="" count="0" unbalanced="0" hidden="1"/>
    <cacheHierarchy uniqueName="[LocalDateTable_df4bea45-32ed-442a-9234-aaca0cd7dbed].[Month]" caption="Month" attribute="1" defaultMemberUniqueName="[LocalDateTable_df4bea45-32ed-442a-9234-aaca0cd7dbed].[Month].[All]" allUniqueName="[LocalDateTable_df4bea45-32ed-442a-9234-aaca0cd7dbed].[Month].[All]" dimensionUniqueName="[LocalDateTable_df4bea45-32ed-442a-9234-aaca0cd7dbed]" displayFolder="" count="0" unbalanced="0" hidden="1"/>
    <cacheHierarchy uniqueName="[LocalDateTable_df4bea45-32ed-442a-9234-aaca0cd7dbed].[MonthNo]" caption="MonthNo" attribute="1" defaultMemberUniqueName="[LocalDateTable_df4bea45-32ed-442a-9234-aaca0cd7dbed].[MonthNo].[All]" allUniqueName="[LocalDateTable_df4bea45-32ed-442a-9234-aaca0cd7dbed].[MonthNo].[All]" dimensionUniqueName="[LocalDateTable_df4bea45-32ed-442a-9234-aaca0cd7dbed]" displayFolder="" count="0" unbalanced="0" hidden="1"/>
    <cacheHierarchy uniqueName="[LocalDateTable_df4bea45-32ed-442a-9234-aaca0cd7dbed].[Quarter]" caption="Quarter" attribute="1" defaultMemberUniqueName="[LocalDateTable_df4bea45-32ed-442a-9234-aaca0cd7dbed].[Quarter].[All]" allUniqueName="[LocalDateTable_df4bea45-32ed-442a-9234-aaca0cd7dbed].[Quarter].[All]" dimensionUniqueName="[LocalDateTable_df4bea45-32ed-442a-9234-aaca0cd7dbed]" displayFolder="" count="0" unbalanced="0" hidden="1"/>
    <cacheHierarchy uniqueName="[LocalDateTable_df4bea45-32ed-442a-9234-aaca0cd7dbed].[QuarterNo]" caption="QuarterNo" attribute="1" defaultMemberUniqueName="[LocalDateTable_df4bea45-32ed-442a-9234-aaca0cd7dbed].[QuarterNo].[All]" allUniqueName="[LocalDateTable_df4bea45-32ed-442a-9234-aaca0cd7dbed].[QuarterNo].[All]" dimensionUniqueName="[LocalDateTable_df4bea45-32ed-442a-9234-aaca0cd7dbed]" displayFolder="" count="0" unbalanced="0" hidden="1"/>
    <cacheHierarchy uniqueName="[LocalDateTable_df4bea45-32ed-442a-9234-aaca0cd7dbed].[Year]" caption="Year" attribute="1" defaultMemberUniqueName="[LocalDateTable_df4bea45-32ed-442a-9234-aaca0cd7dbed].[Year].[All]" allUniqueName="[LocalDateTable_df4bea45-32ed-442a-9234-aaca0cd7dbed].[Year].[All]" dimensionUniqueName="[LocalDateTable_df4bea45-32ed-442a-9234-aaca0cd7dbed]" displayFolder="" count="0" unbalanced="0" hidden="1"/>
    <cacheHierarchy uniqueName="[LocalDateTable_e409a5bd-3c62-4a3a-96e8-e678b497145f].[Date]" caption="Date" attribute="1" defaultMemberUniqueName="[LocalDateTable_e409a5bd-3c62-4a3a-96e8-e678b497145f].[Date].[All]" allUniqueName="[LocalDateTable_e409a5bd-3c62-4a3a-96e8-e678b497145f].[Date].[All]" dimensionUniqueName="[LocalDateTable_e409a5bd-3c62-4a3a-96e8-e678b497145f]" displayFolder="" count="0" unbalanced="0" hidden="1"/>
    <cacheHierarchy uniqueName="[LocalDateTable_e409a5bd-3c62-4a3a-96e8-e678b497145f].[Date Hierarchy]" caption="Date Hierarchy" defaultMemberUniqueName="[LocalDateTable_e409a5bd-3c62-4a3a-96e8-e678b497145f].[Date Hierarchy].[All]" allUniqueName="[LocalDateTable_e409a5bd-3c62-4a3a-96e8-e678b497145f].[Date Hierarchy].[All]" dimensionUniqueName="[LocalDateTable_e409a5bd-3c62-4a3a-96e8-e678b497145f]" displayFolder="" count="0" unbalanced="0" hidden="1"/>
    <cacheHierarchy uniqueName="[LocalDateTable_e409a5bd-3c62-4a3a-96e8-e678b497145f].[Day]" caption="Day" attribute="1" defaultMemberUniqueName="[LocalDateTable_e409a5bd-3c62-4a3a-96e8-e678b497145f].[Day].[All]" allUniqueName="[LocalDateTable_e409a5bd-3c62-4a3a-96e8-e678b497145f].[Day].[All]" dimensionUniqueName="[LocalDateTable_e409a5bd-3c62-4a3a-96e8-e678b497145f]" displayFolder="" count="0" unbalanced="0" hidden="1"/>
    <cacheHierarchy uniqueName="[LocalDateTable_e409a5bd-3c62-4a3a-96e8-e678b497145f].[Month]" caption="Month" attribute="1" defaultMemberUniqueName="[LocalDateTable_e409a5bd-3c62-4a3a-96e8-e678b497145f].[Month].[All]" allUniqueName="[LocalDateTable_e409a5bd-3c62-4a3a-96e8-e678b497145f].[Month].[All]" dimensionUniqueName="[LocalDateTable_e409a5bd-3c62-4a3a-96e8-e678b497145f]" displayFolder="" count="0" unbalanced="0" hidden="1"/>
    <cacheHierarchy uniqueName="[LocalDateTable_e409a5bd-3c62-4a3a-96e8-e678b497145f].[MonthNo]" caption="MonthNo" attribute="1" defaultMemberUniqueName="[LocalDateTable_e409a5bd-3c62-4a3a-96e8-e678b497145f].[MonthNo].[All]" allUniqueName="[LocalDateTable_e409a5bd-3c62-4a3a-96e8-e678b497145f].[MonthNo].[All]" dimensionUniqueName="[LocalDateTable_e409a5bd-3c62-4a3a-96e8-e678b497145f]" displayFolder="" count="0" unbalanced="0" hidden="1"/>
    <cacheHierarchy uniqueName="[LocalDateTable_e409a5bd-3c62-4a3a-96e8-e678b497145f].[Quarter]" caption="Quarter" attribute="1" defaultMemberUniqueName="[LocalDateTable_e409a5bd-3c62-4a3a-96e8-e678b497145f].[Quarter].[All]" allUniqueName="[LocalDateTable_e409a5bd-3c62-4a3a-96e8-e678b497145f].[Quarter].[All]" dimensionUniqueName="[LocalDateTable_e409a5bd-3c62-4a3a-96e8-e678b497145f]" displayFolder="" count="0" unbalanced="0" hidden="1"/>
    <cacheHierarchy uniqueName="[LocalDateTable_e409a5bd-3c62-4a3a-96e8-e678b497145f].[QuarterNo]" caption="QuarterNo" attribute="1" defaultMemberUniqueName="[LocalDateTable_e409a5bd-3c62-4a3a-96e8-e678b497145f].[QuarterNo].[All]" allUniqueName="[LocalDateTable_e409a5bd-3c62-4a3a-96e8-e678b497145f].[QuarterNo].[All]" dimensionUniqueName="[LocalDateTable_e409a5bd-3c62-4a3a-96e8-e678b497145f]" displayFolder="" count="0" unbalanced="0" hidden="1"/>
    <cacheHierarchy uniqueName="[LocalDateTable_e409a5bd-3c62-4a3a-96e8-e678b497145f].[Year]" caption="Year" attribute="1" defaultMemberUniqueName="[LocalDateTable_e409a5bd-3c62-4a3a-96e8-e678b497145f].[Year].[All]" allUniqueName="[LocalDateTable_e409a5bd-3c62-4a3a-96e8-e678b497145f].[Year].[All]" dimensionUniqueName="[LocalDateTable_e409a5bd-3c62-4a3a-96e8-e678b497145f]" displayFolder="" count="0" unbalanced="0" hidden="1"/>
    <cacheHierarchy uniqueName="[LocalDateTable_e58b0157-2556-4b79-a8ed-879543e961ff].[Date]" caption="Date" attribute="1" defaultMemberUniqueName="[LocalDateTable_e58b0157-2556-4b79-a8ed-879543e961ff].[Date].[All]" allUniqueName="[LocalDateTable_e58b0157-2556-4b79-a8ed-879543e961ff].[Date].[All]" dimensionUniqueName="[LocalDateTable_e58b0157-2556-4b79-a8ed-879543e961ff]" displayFolder="" count="0" unbalanced="0" hidden="1"/>
    <cacheHierarchy uniqueName="[LocalDateTable_e58b0157-2556-4b79-a8ed-879543e961ff].[Date Hierarchy]" caption="Date Hierarchy" defaultMemberUniqueName="[LocalDateTable_e58b0157-2556-4b79-a8ed-879543e961ff].[Date Hierarchy].[All]" allUniqueName="[LocalDateTable_e58b0157-2556-4b79-a8ed-879543e961ff].[Date Hierarchy].[All]" dimensionUniqueName="[LocalDateTable_e58b0157-2556-4b79-a8ed-879543e961ff]" displayFolder="" count="0" unbalanced="0" hidden="1"/>
    <cacheHierarchy uniqueName="[LocalDateTable_e58b0157-2556-4b79-a8ed-879543e961ff].[Day]" caption="Day" attribute="1" defaultMemberUniqueName="[LocalDateTable_e58b0157-2556-4b79-a8ed-879543e961ff].[Day].[All]" allUniqueName="[LocalDateTable_e58b0157-2556-4b79-a8ed-879543e961ff].[Day].[All]" dimensionUniqueName="[LocalDateTable_e58b0157-2556-4b79-a8ed-879543e961ff]" displayFolder="" count="0" unbalanced="0" hidden="1"/>
    <cacheHierarchy uniqueName="[LocalDateTable_e58b0157-2556-4b79-a8ed-879543e961ff].[Month]" caption="Month" attribute="1" defaultMemberUniqueName="[LocalDateTable_e58b0157-2556-4b79-a8ed-879543e961ff].[Month].[All]" allUniqueName="[LocalDateTable_e58b0157-2556-4b79-a8ed-879543e961ff].[Month].[All]" dimensionUniqueName="[LocalDateTable_e58b0157-2556-4b79-a8ed-879543e961ff]" displayFolder="" count="0" unbalanced="0" hidden="1"/>
    <cacheHierarchy uniqueName="[LocalDateTable_e58b0157-2556-4b79-a8ed-879543e961ff].[MonthNo]" caption="MonthNo" attribute="1" defaultMemberUniqueName="[LocalDateTable_e58b0157-2556-4b79-a8ed-879543e961ff].[MonthNo].[All]" allUniqueName="[LocalDateTable_e58b0157-2556-4b79-a8ed-879543e961ff].[MonthNo].[All]" dimensionUniqueName="[LocalDateTable_e58b0157-2556-4b79-a8ed-879543e961ff]" displayFolder="" count="0" unbalanced="0" hidden="1"/>
    <cacheHierarchy uniqueName="[LocalDateTable_e58b0157-2556-4b79-a8ed-879543e961ff].[Quarter]" caption="Quarter" attribute="1" defaultMemberUniqueName="[LocalDateTable_e58b0157-2556-4b79-a8ed-879543e961ff].[Quarter].[All]" allUniqueName="[LocalDateTable_e58b0157-2556-4b79-a8ed-879543e961ff].[Quarter].[All]" dimensionUniqueName="[LocalDateTable_e58b0157-2556-4b79-a8ed-879543e961ff]" displayFolder="" count="0" unbalanced="0" hidden="1"/>
    <cacheHierarchy uniqueName="[LocalDateTable_e58b0157-2556-4b79-a8ed-879543e961ff].[QuarterNo]" caption="QuarterNo" attribute="1" defaultMemberUniqueName="[LocalDateTable_e58b0157-2556-4b79-a8ed-879543e961ff].[QuarterNo].[All]" allUniqueName="[LocalDateTable_e58b0157-2556-4b79-a8ed-879543e961ff].[QuarterNo].[All]" dimensionUniqueName="[LocalDateTable_e58b0157-2556-4b79-a8ed-879543e961ff]" displayFolder="" count="0" unbalanced="0" hidden="1"/>
    <cacheHierarchy uniqueName="[LocalDateTable_e58b0157-2556-4b79-a8ed-879543e961ff].[Year]" caption="Year" attribute="1" defaultMemberUniqueName="[LocalDateTable_e58b0157-2556-4b79-a8ed-879543e961ff].[Year].[All]" allUniqueName="[LocalDateTable_e58b0157-2556-4b79-a8ed-879543e961ff].[Year].[All]" dimensionUniqueName="[LocalDateTable_e58b0157-2556-4b79-a8ed-879543e961ff]" displayFolder="" count="0" unbalanced="0" hidden="1"/>
    <cacheHierarchy uniqueName="[LocalDateTable_e8334bd5-1849-42af-8c91-b9cab54e5872].[Date]" caption="Date" attribute="1" defaultMemberUniqueName="[LocalDateTable_e8334bd5-1849-42af-8c91-b9cab54e5872].[Date].[All]" allUniqueName="[LocalDateTable_e8334bd5-1849-42af-8c91-b9cab54e5872].[Date].[All]" dimensionUniqueName="[LocalDateTable_e8334bd5-1849-42af-8c91-b9cab54e5872]" displayFolder="" count="0" unbalanced="0" hidden="1"/>
    <cacheHierarchy uniqueName="[LocalDateTable_e8334bd5-1849-42af-8c91-b9cab54e5872].[Date Hierarchy]" caption="Date Hierarchy" defaultMemberUniqueName="[LocalDateTable_e8334bd5-1849-42af-8c91-b9cab54e5872].[Date Hierarchy].[All]" allUniqueName="[LocalDateTable_e8334bd5-1849-42af-8c91-b9cab54e5872].[Date Hierarchy].[All]" dimensionUniqueName="[LocalDateTable_e8334bd5-1849-42af-8c91-b9cab54e5872]" displayFolder="" count="0" unbalanced="0" hidden="1"/>
    <cacheHierarchy uniqueName="[LocalDateTable_e8334bd5-1849-42af-8c91-b9cab54e5872].[Day]" caption="Day" attribute="1" defaultMemberUniqueName="[LocalDateTable_e8334bd5-1849-42af-8c91-b9cab54e5872].[Day].[All]" allUniqueName="[LocalDateTable_e8334bd5-1849-42af-8c91-b9cab54e5872].[Day].[All]" dimensionUniqueName="[LocalDateTable_e8334bd5-1849-42af-8c91-b9cab54e5872]" displayFolder="" count="0" unbalanced="0" hidden="1"/>
    <cacheHierarchy uniqueName="[LocalDateTable_e8334bd5-1849-42af-8c91-b9cab54e5872].[Month]" caption="Month" attribute="1" defaultMemberUniqueName="[LocalDateTable_e8334bd5-1849-42af-8c91-b9cab54e5872].[Month].[All]" allUniqueName="[LocalDateTable_e8334bd5-1849-42af-8c91-b9cab54e5872].[Month].[All]" dimensionUniqueName="[LocalDateTable_e8334bd5-1849-42af-8c91-b9cab54e5872]" displayFolder="" count="0" unbalanced="0" hidden="1"/>
    <cacheHierarchy uniqueName="[LocalDateTable_e8334bd5-1849-42af-8c91-b9cab54e5872].[MonthNo]" caption="MonthNo" attribute="1" defaultMemberUniqueName="[LocalDateTable_e8334bd5-1849-42af-8c91-b9cab54e5872].[MonthNo].[All]" allUniqueName="[LocalDateTable_e8334bd5-1849-42af-8c91-b9cab54e5872].[MonthNo].[All]" dimensionUniqueName="[LocalDateTable_e8334bd5-1849-42af-8c91-b9cab54e5872]" displayFolder="" count="0" unbalanced="0" hidden="1"/>
    <cacheHierarchy uniqueName="[LocalDateTable_e8334bd5-1849-42af-8c91-b9cab54e5872].[Quarter]" caption="Quarter" attribute="1" defaultMemberUniqueName="[LocalDateTable_e8334bd5-1849-42af-8c91-b9cab54e5872].[Quarter].[All]" allUniqueName="[LocalDateTable_e8334bd5-1849-42af-8c91-b9cab54e5872].[Quarter].[All]" dimensionUniqueName="[LocalDateTable_e8334bd5-1849-42af-8c91-b9cab54e5872]" displayFolder="" count="0" unbalanced="0" hidden="1"/>
    <cacheHierarchy uniqueName="[LocalDateTable_e8334bd5-1849-42af-8c91-b9cab54e5872].[QuarterNo]" caption="QuarterNo" attribute="1" defaultMemberUniqueName="[LocalDateTable_e8334bd5-1849-42af-8c91-b9cab54e5872].[QuarterNo].[All]" allUniqueName="[LocalDateTable_e8334bd5-1849-42af-8c91-b9cab54e5872].[QuarterNo].[All]" dimensionUniqueName="[LocalDateTable_e8334bd5-1849-42af-8c91-b9cab54e5872]" displayFolder="" count="0" unbalanced="0" hidden="1"/>
    <cacheHierarchy uniqueName="[LocalDateTable_e8334bd5-1849-42af-8c91-b9cab54e5872].[Year]" caption="Year" attribute="1" defaultMemberUniqueName="[LocalDateTable_e8334bd5-1849-42af-8c91-b9cab54e5872].[Year].[All]" allUniqueName="[LocalDateTable_e8334bd5-1849-42af-8c91-b9cab54e5872].[Year].[All]" dimensionUniqueName="[LocalDateTable_e8334bd5-1849-42af-8c91-b9cab54e5872]" displayFolder="" count="0" unbalanced="0" hidden="1"/>
    <cacheHierarchy uniqueName="[LocalDateTable_f81f1f13-e082-4d44-ba64-a484e005f2af].[Date]" caption="Date" attribute="1" defaultMemberUniqueName="[LocalDateTable_f81f1f13-e082-4d44-ba64-a484e005f2af].[Date].[All]" allUniqueName="[LocalDateTable_f81f1f13-e082-4d44-ba64-a484e005f2af].[Date].[All]" dimensionUniqueName="[LocalDateTable_f81f1f13-e082-4d44-ba64-a484e005f2af]" displayFolder="" count="0" unbalanced="0" hidden="1"/>
    <cacheHierarchy uniqueName="[LocalDateTable_f81f1f13-e082-4d44-ba64-a484e005f2af].[Date Hierarchy]" caption="Date Hierarchy" defaultMemberUniqueName="[LocalDateTable_f81f1f13-e082-4d44-ba64-a484e005f2af].[Date Hierarchy].[All]" allUniqueName="[LocalDateTable_f81f1f13-e082-4d44-ba64-a484e005f2af].[Date Hierarchy].[All]" dimensionUniqueName="[LocalDateTable_f81f1f13-e082-4d44-ba64-a484e005f2af]" displayFolder="" count="0" unbalanced="0" hidden="1"/>
    <cacheHierarchy uniqueName="[LocalDateTable_f81f1f13-e082-4d44-ba64-a484e005f2af].[Day]" caption="Day" attribute="1" defaultMemberUniqueName="[LocalDateTable_f81f1f13-e082-4d44-ba64-a484e005f2af].[Day].[All]" allUniqueName="[LocalDateTable_f81f1f13-e082-4d44-ba64-a484e005f2af].[Day].[All]" dimensionUniqueName="[LocalDateTable_f81f1f13-e082-4d44-ba64-a484e005f2af]" displayFolder="" count="0" unbalanced="0" hidden="1"/>
    <cacheHierarchy uniqueName="[LocalDateTable_f81f1f13-e082-4d44-ba64-a484e005f2af].[Month]" caption="Month" attribute="1" defaultMemberUniqueName="[LocalDateTable_f81f1f13-e082-4d44-ba64-a484e005f2af].[Month].[All]" allUniqueName="[LocalDateTable_f81f1f13-e082-4d44-ba64-a484e005f2af].[Month].[All]" dimensionUniqueName="[LocalDateTable_f81f1f13-e082-4d44-ba64-a484e005f2af]" displayFolder="" count="0" unbalanced="0" hidden="1"/>
    <cacheHierarchy uniqueName="[LocalDateTable_f81f1f13-e082-4d44-ba64-a484e005f2af].[MonthNo]" caption="MonthNo" attribute="1" defaultMemberUniqueName="[LocalDateTable_f81f1f13-e082-4d44-ba64-a484e005f2af].[MonthNo].[All]" allUniqueName="[LocalDateTable_f81f1f13-e082-4d44-ba64-a484e005f2af].[MonthNo].[All]" dimensionUniqueName="[LocalDateTable_f81f1f13-e082-4d44-ba64-a484e005f2af]" displayFolder="" count="0" unbalanced="0" hidden="1"/>
    <cacheHierarchy uniqueName="[LocalDateTable_f81f1f13-e082-4d44-ba64-a484e005f2af].[Quarter]" caption="Quarter" attribute="1" defaultMemberUniqueName="[LocalDateTable_f81f1f13-e082-4d44-ba64-a484e005f2af].[Quarter].[All]" allUniqueName="[LocalDateTable_f81f1f13-e082-4d44-ba64-a484e005f2af].[Quarter].[All]" dimensionUniqueName="[LocalDateTable_f81f1f13-e082-4d44-ba64-a484e005f2af]" displayFolder="" count="0" unbalanced="0" hidden="1"/>
    <cacheHierarchy uniqueName="[LocalDateTable_f81f1f13-e082-4d44-ba64-a484e005f2af].[QuarterNo]" caption="QuarterNo" attribute="1" defaultMemberUniqueName="[LocalDateTable_f81f1f13-e082-4d44-ba64-a484e005f2af].[QuarterNo].[All]" allUniqueName="[LocalDateTable_f81f1f13-e082-4d44-ba64-a484e005f2af].[QuarterNo].[All]" dimensionUniqueName="[LocalDateTable_f81f1f13-e082-4d44-ba64-a484e005f2af]" displayFolder="" count="0" unbalanced="0" hidden="1"/>
    <cacheHierarchy uniqueName="[LocalDateTable_f81f1f13-e082-4d44-ba64-a484e005f2af].[Year]" caption="Year" attribute="1" defaultMemberUniqueName="[LocalDateTable_f81f1f13-e082-4d44-ba64-a484e005f2af].[Year].[All]" allUniqueName="[LocalDateTable_f81f1f13-e082-4d44-ba64-a484e005f2af].[Year].[All]" dimensionUniqueName="[LocalDateTable_f81f1f13-e082-4d44-ba64-a484e005f2af]" displayFolder="" count="0" unbalanced="0" hidden="1"/>
    <cacheHierarchy uniqueName="[Measures].[MMS_01_31]" caption="MMS_01_31" measure="1" displayFolder="" measureGroup="_Measures" count="0" oneField="1">
      <fieldsUsage count="1">
        <fieldUsage x="11"/>
      </fieldsUsage>
    </cacheHierarchy>
    <cacheHierarchy uniqueName="[Measures].[SDI_00_07]" caption="SDI_00_07" measure="1" displayFolder="" measureGroup="_Measures" count="0" oneField="1">
      <fieldsUsage count="1">
        <fieldUsage x="4"/>
      </fieldsUsage>
    </cacheHierarchy>
    <cacheHierarchy uniqueName="[Measures].[SDI_08_14]" caption="SDI_08_14" measure="1" displayFolder="" measureGroup="_Measures" count="0" oneField="1">
      <fieldsUsage count="1">
        <fieldUsage x="5"/>
      </fieldsUsage>
    </cacheHierarchy>
    <cacheHierarchy uniqueName="[Measures].[SDI_15+]" caption="SDI_15+" measure="1" displayFolder="" measureGroup="_Measures" count="0" oneField="1">
      <fieldsUsage count="1">
        <fieldUsage x="6"/>
      </fieldsUsage>
    </cacheHierarchy>
    <cacheHierarchy uniqueName="[Measures].[TX_NEW]" caption="TX_NEW" measure="1" displayFolder="" measureGroup="_Measures" count="0" oneField="1">
      <fieldsUsage count="1">
        <fieldUsage x="1"/>
      </fieldsUsage>
    </cacheHierarchy>
    <cacheHierarchy uniqueName="[Measures].[Patients Started on ART]" caption="Patients Started on ART" measure="1" displayFolder="" measureGroup="_Measures" count="0"/>
    <cacheHierarchy uniqueName="[Measures].[HVL_D]" caption="HVL_D" measure="1" displayFolder="" measureGroup="_Measures" count="0"/>
    <cacheHierarchy uniqueName="[Measures].[HVL_N]" caption="HVL_N" measure="1" displayFolder="" measureGroup="_Measures" count="0"/>
    <cacheHierarchy uniqueName="[Measures].[TX_CURR]" caption="TX_CURR" measure="1" displayFolder="" measureGroup="_Measures" count="0" oneField="1">
      <fieldsUsage count="1">
        <fieldUsage x="2"/>
      </fieldsUsage>
    </cacheHierarchy>
    <cacheHierarchy uniqueName="[Measures].[TX_NEW_2VIS]" caption="TX_NEW_2VIS" measure="1" displayFolder="" measureGroup="_Measures" count="0" oneField="1">
      <fieldsUsage count="1">
        <fieldUsage x="0"/>
      </fieldsUsage>
    </cacheHierarchy>
    <cacheHierarchy uniqueName="[Measures].[HVL_ELIG]" caption="HVL_ELIG" measure="1" displayFolder="" measureGroup="_Measures" count="0"/>
    <cacheHierarchy uniqueName="[Measures].[TX_NEW minus t_txnew]" caption="TX_NEW minus t_txnew" measure="1" displayFolder="Differences" measureGroup="_Measures" count="0"/>
    <cacheHierarchy uniqueName="[Measures].[TX_NEW_2VIS minus t_txnew_2vis]" caption="TX_NEW_2VIS minus t_txnew_2vis" measure="1" displayFolder="Differences" measureGroup="_Measures" count="0"/>
    <cacheHierarchy uniqueName="[Measures].[SDI_00_07 minus art_u8]" caption="SDI_00_07 minus art_u8" measure="1" displayFolder="Differences" measureGroup="_Measures" count="0"/>
    <cacheHierarchy uniqueName="[Measures].[SDI_15+ minus art_o15d]" caption="SDI_15+ minus art_o15d" measure="1" displayFolder="Differences" measureGroup="_Measures" count="0"/>
    <cacheHierarchy uniqueName="[Measures].[SDI_08_14 minus art_814d]" caption="SDI_08_14 minus art_814d" measure="1" displayFolder="Differences" measureGroup="_Measures" count="0"/>
    <cacheHierarchy uniqueName="[Measures].[MMS_01_31 minus mmp_1m]" caption="MMS_01_31 minus mmp_1m" measure="1" displayFolder="Differences" measureGroup="_Measures" count="0"/>
    <cacheHierarchy uniqueName="[Measures].[HVL_D minus hvl_d]" caption="HVL_D minus hvl_d" measure="1" displayFolder="Differences" measureGroup="_Measures" count="0"/>
    <cacheHierarchy uniqueName="[Measures].[HVL_N minus hvl_u1k_n]" caption="HVL_N minus hvl_u1k_n" measure="1" displayFolder="Differences" measureGroup="_Measures" count="0"/>
    <cacheHierarchy uniqueName="[Measures].[TX_TB_N minus tbprev_n]" caption="TX_TB_N minus tbprev_n" measure="1" displayFolder="Differences" measureGroup="_Measures" count="0"/>
    <cacheHierarchy uniqueName="[Measures].[TX_TB_D minus tbprev_d]" caption="TX_TB_D minus tbprev_d" measure="1" displayFolder="Differences" measureGroup="_Measures" count="0"/>
    <cacheHierarchy uniqueName="[Measures].[DIED]" caption="DIED" measure="1" displayFolder="" measureGroup="_Measures" count="0" oneField="1">
      <fieldsUsage count="1">
        <fieldUsage x="10"/>
      </fieldsUsage>
    </cacheHierarchy>
    <cacheHierarchy uniqueName="[Measures].[DIED minus died]" caption="DIED minus died" measure="1" displayFolder="Differences" measureGroup="_Measures" count="0"/>
    <cacheHierarchy uniqueName="[Measures].[TI]" caption="TI" measure="1" displayFolder="" measureGroup="_Measures" count="0" oneField="1">
      <fieldsUsage count="1">
        <fieldUsage x="8"/>
      </fieldsUsage>
    </cacheHierarchy>
    <cacheHierarchy uniqueName="[Measures].[TI minus TI]" caption="TI minus TI" measure="1" displayFolder="Differences" measureGroup="_Measures" count="0"/>
    <cacheHierarchy uniqueName="[Measures].[TO]" caption="TO" measure="1" displayFolder="" measureGroup="_Measures" count="0" oneField="1">
      <fieldsUsage count="1">
        <fieldUsage x="9"/>
      </fieldsUsage>
    </cacheHierarchy>
    <cacheHierarchy uniqueName="[Measures].[TO minus TO]" caption="TO minus TO" measure="1" displayFolder="Differences" measureGroup="_Measures" count="0"/>
    <cacheHierarchy uniqueName="[Measures].[TX_CURR_PRIOR_MONTH]" caption="TX_CURR_PRIOR_MONTH" measure="1" displayFolder="" measureGroup="_Measures" count="0" oneField="1">
      <fieldsUsage count="1">
        <fieldUsage x="7"/>
      </fieldsUsage>
    </cacheHierarchy>
    <cacheHierarchy uniqueName="[Measures].[TX_CURR minus t_txcurr_thism]" caption="TX_CURR minus t_txcurr_thism" measure="1" displayFolder="Differences" measureGroup="_Measures" count="0"/>
    <cacheHierarchy uniqueName="[Measures].[HVL_ELIG minus hvlelig]" caption="HVL_ELIG minus hvlelig" measure="1" displayFolder="Differences" measureGroup="_Measures" count="0"/>
    <cacheHierarchy uniqueName="[Measures].[MMS_32_62 minus mmp_2m]" caption="MMS_32_62 minus mmp_2m" measure="1" displayFolder="Differences" measureGroup="_Measures" count="0"/>
    <cacheHierarchy uniqueName="[Measures].[MMS_63+ minus mmp_3m]" caption="MMS_63+ minus mmp_3m" measure="1" displayFolder="Differences" measureGroup="_Measures" count="0"/>
    <cacheHierarchy uniqueName="[Measures].[MMS_32_62]" caption="MMS_32_62" measure="1" displayFolder="" measureGroup="_Measures" count="0" oneField="1">
      <fieldsUsage count="1">
        <fieldUsage x="12"/>
      </fieldsUsage>
    </cacheHierarchy>
    <cacheHierarchy uniqueName="[Measures].[MMS_63+]" caption="MMS_63+" measure="1" displayFolder="" measureGroup="_Measures" count="0" oneField="1">
      <fieldsUsage count="1">
        <fieldUsage x="13"/>
      </fieldsUsage>
    </cacheHierarchy>
    <cacheHierarchy uniqueName="[Measures].[TBPREV_D]" caption="TBPREV_D" measure="1" displayFolder="" measureGroup="_Measures" count="0"/>
    <cacheHierarchy uniqueName="[Measures].[TBPREV_D minus tbprev_d]" caption="TBPREV_D minus tbprev_d" measure="1" displayFolder="Differences" measureGroup="_Measures" count="0"/>
    <cacheHierarchy uniqueName="[Measures].[TBPREV_N]" caption="TBPREV_N" measure="1" displayFolder="" measureGroup="_Measures" count="0"/>
    <cacheHierarchy uniqueName="[Measures].[MISSEDAPP]" caption="MISSEDAPP" measure="1" displayFolder="" measureGroup="_Measures" count="0"/>
    <cacheHierarchy uniqueName="[Measures].[TBPREV_D minus tbprev_d_3mar]" caption="TBPREV_D minus tbprev_d_3mar" measure="1" displayFolder="Differences" measureGroup="_Measures" count="0"/>
    <cacheHierarchy uniqueName="[Measures].[MISSEDAPP minus missedapp]" caption="MISSEDAPP minus missedapp" measure="1" displayFolder="Differences" measureGroup="_Measures" count="0"/>
    <cacheHierarchy uniqueName="[Measures].[MISSEDAPP_v2]" caption="MISSEDAPP_v2" measure="1" displayFolder="" measureGroup="_Measures" count="0"/>
    <cacheHierarchy uniqueName="[Measures].[MISSEDAPP_v2 minus missedapp]" caption="MISSEDAPP_v2 minus missedapp" measure="1" displayFolder="Differences" measureGroup="_Measures" count="0"/>
    <cacheHierarchy uniqueName="[Measures].[TBPREV_NEW]" caption="TBPREV_NEW" measure="1" displayFolder="" measureGroup="_Measures" count="0"/>
    <cacheHierarchy uniqueName="[Measures].[TBPREV_NEW minus tbprev_start_thismo]" caption="TBPREV_NEW minus tbprev_start_thismo" measure="1" displayFolder="Differences" measureGroup="_Measures" count="0"/>
    <cacheHierarchy uniqueName="[Measures].[TBPREV_N minus tbprev_n]" caption="TBPREV_N minus tbprev_n" measure="1" displayFolder="Differences" measureGroup="_Measures" count="0"/>
    <cacheHierarchy uniqueName="[Measures].[HVL_ELIG_P]" caption="HVL_ELIG_P" measure="1" displayFolder="" measureGroup="_Measures" count="0"/>
    <cacheHierarchy uniqueName="[Measures].[HVL_ELIG_A]" caption="HVL_ELIG_A" measure="1" displayFolder="" measureGroup="_Measures" count="0"/>
    <cacheHierarchy uniqueName="[Measures].[HVL_D_P]" caption="HVL_D_P" measure="1" displayFolder="" measureGroup="_Measures" count="0"/>
    <cacheHierarchy uniqueName="[Measures].[HVL_D_A]" caption="HVL_D_A" measure="1" displayFolder="" measureGroup="_Measures" count="0"/>
    <cacheHierarchy uniqueName="[Measures].[HVL_N_P]" caption="HVL_N_P" measure="1" displayFolder="" measureGroup="_Measures" count="0"/>
    <cacheHierarchy uniqueName="[Measures].[HVL_N_A]" caption="HVL_N_A" measure="1" displayFolder="" measureGroup="_Measures" count="0"/>
    <cacheHierarchy uniqueName="[Measures].[TX_NEW_F_A]" caption="TX_NEW_F_A" measure="1" displayFolder="" measureGroup="_Measures" count="0"/>
    <cacheHierarchy uniqueName="[Measures].[TX_NEW_M_A]" caption="TX_NEW_M_A" measure="1" displayFolder="" measureGroup="_Measures" count="0"/>
    <cacheHierarchy uniqueName="[Measures].[TX_NEW_F_P]" caption="TX_NEW_F_P" measure="1" displayFolder="" measureGroup="_Measures" count="0"/>
    <cacheHierarchy uniqueName="[Measures].[TX_NEW_M_P]" caption="TX_NEW_M_P" measure="1" displayFolder="" measureGroup="_Measures" count="0"/>
    <cacheHierarchy uniqueName="[Measures].[TX_CURR_F_P]" caption="TX_CURR_F_P" measure="1" displayFolder="" measureGroup="_Measures" count="0"/>
    <cacheHierarchy uniqueName="[Measures].[TX_CURR_M_A]" caption="TX_CURR_M_A" measure="1" displayFolder="" measureGroup="_Measures" count="0"/>
    <cacheHierarchy uniqueName="[Measures].[TX_CURR_F_A]" caption="TX_CURR_F_A" measure="1" displayFolder="" measureGroup="_Measures" count="0"/>
    <cacheHierarchy uniqueName="[Measures].[TX_CURR_M_P]" caption="TX_CURR_M_P" measure="1" displayFolder="" measureGroup="_Measures" count="0"/>
    <cacheHierarchy uniqueName="[Measures].[MMS_180+_P]" caption="MMS_180+_P" measure="1" displayFolder="" measureGroup="_Measures" count="0"/>
    <cacheHierarchy uniqueName="[Measures].[MMS_180+]" caption="MMS_180+" measure="1" displayFolder="" measureGroup="_Measures" count="0"/>
    <cacheHierarchy uniqueName="[Measures].[MMS_180+_A]" caption="MMS_180+_A" measure="1" displayFolder="" measureGroup="_Measures" count="0"/>
    <cacheHierarchy uniqueName="[Measures].[MMS_90_179]" caption="MMS_90_179" measure="1" displayFolder="" measureGroup="_Measures" count="0"/>
    <cacheHierarchy uniqueName="[Measures].[MMS_01_89]" caption="MMS_01_89" measure="1" displayFolder="" measureGroup="_Measures" count="0"/>
    <cacheHierarchy uniqueName="[Measures].[MMS_01_89_F_A]" caption="MMS_01_89_F_A" measure="1" displayFolder="" measureGroup="_Measures" count="0"/>
    <cacheHierarchy uniqueName="[Measures].[MMS_01_89_M_A]" caption="MMS_01_89_M_A" measure="1" displayFolder="" measureGroup="_Measures" count="0"/>
    <cacheHierarchy uniqueName="[Measures].[MMS_01_89_F_P]" caption="MMS_01_89_F_P" measure="1" displayFolder="" measureGroup="_Measures" count="0"/>
    <cacheHierarchy uniqueName="[Measures].[MMS_01_89_M_P]" caption="MMS_01_89_M_P" measure="1" displayFolder="" measureGroup="_Measures" count="0"/>
    <cacheHierarchy uniqueName="[Measures].[MMS_90_179_F_A]" caption="MMS_90_179_F_A" measure="1" displayFolder="" measureGroup="_Measures" count="0"/>
    <cacheHierarchy uniqueName="[Measures].[MMS_90_179_M_A]" caption="MMS_90_179_M_A" measure="1" displayFolder="" measureGroup="_Measures" count="0"/>
    <cacheHierarchy uniqueName="[Measures].[MMS_90_179_F_P]" caption="MMS_90_179_F_P" measure="1" displayFolder="" measureGroup="_Measures" count="0"/>
    <cacheHierarchy uniqueName="[Measures].[MMS_90_179_M_P]" caption="MMS_90_179_M_P" measure="1" displayFolder="" measureGroup="_Measures" count="0"/>
    <cacheHierarchy uniqueName="[Measures].[MMS_180+_F_A]" caption="MMS_180+_F_A" measure="1" displayFolder="" measureGroup="_Measures" count="0"/>
    <cacheHierarchy uniqueName="[Measures].[MMS_180+_M_A]" caption="MMS_180+_M_A" measure="1" displayFolder="" measureGroup="_Measures" count="0"/>
    <cacheHierarchy uniqueName="[Measures].[MMS_180+_F_P]" caption="MMS_180+_F_P" measure="1" displayFolder="" measureGroup="_Measures" count="0"/>
    <cacheHierarchy uniqueName="[Measures].[MMS_180+_M_P]" caption="MMS_180+_M_P" measure="1" displayFolder="" measureGroup="_Measures" count="0"/>
    <cacheHierarchy uniqueName="[Measures].[MISSEDAPP minus missedapp 2]" caption="MISSEDAPP minus missedapp 2" measure="1" displayFolder="" measureGroup="_Measures" count="0"/>
    <cacheHierarchy uniqueName="[Measures].[HVL_D minus hvl_d 2]" caption="HVL_D minus hvl_d 2" measure="1" displayFolder="" measureGroup="_Measures" count="0"/>
    <cacheHierarchy uniqueName="[Measures].[__Default measure]" caption="__Default measure" measure="1" displayFolder="" count="0" hidden="1"/>
  </cacheHierarchies>
  <kpis count="0"/>
  <dimensions count="13">
    <dimension name="Age Group" uniqueName="[Age Group]" caption="Age Group"/>
    <dimension name="DimDate" uniqueName="[DimDate]" caption="DimDate"/>
    <dimension name="Facilities" uniqueName="[Facilities]" caption="Facilities"/>
    <dimension name="feb results" uniqueName="[feb results]" caption="feb results"/>
    <dimension name="Grace Period Days" uniqueName="[Grace Period Days]" caption="Grace Period Days"/>
    <dimension name="Gretchen Results" uniqueName="[Gretchen Results]" caption="Gretchen Results"/>
    <dimension name="Gretchen Results 3mar" uniqueName="[Gretchen Results 3mar]" caption="Gretchen Results 3mar"/>
    <dimension name="Gretchen tx_curr Detail" uniqueName="[Gretchen tx_curr Detail]" caption="Gretchen tx_curr Detail"/>
    <dimension measure="1" name="Measures" uniqueName="[Measures]" caption="Measures"/>
    <dimension name="Patients" uniqueName="[Patients]" caption="Patients"/>
    <dimension name="Status" uniqueName="[Status]" caption="Status"/>
    <dimension name="Tests" uniqueName="[Tests]" caption="Tests"/>
    <dimension name="VisitsAndAppointments" uniqueName="[VisitsAndAppointments]" caption="VisitsAndAppointments"/>
  </dimensions>
  <measureGroups count="45">
    <measureGroup name="_Measures" caption="_Measures"/>
    <measureGroup name="Age Group" caption="Age Group"/>
    <measureGroup name="DateTableTemplate_67311400-74fb-473f-8bb8-78ddea2ee040" caption="DateTableTemplate_67311400-74fb-473f-8bb8-78ddea2ee040"/>
    <measureGroup name="DimDate" caption="DimDate"/>
    <measureGroup name="Facilities" caption="Facilities"/>
    <measureGroup name="feb results" caption="feb results"/>
    <measureGroup name="Grace Period Days" caption="Grace Period Days"/>
    <measureGroup name="Gretchen Results" caption="Gretchen Results"/>
    <measureGroup name="Gretchen Results 3mar" caption="Gretchen Results 3mar"/>
    <measureGroup name="Gretchen tx_curr Detail" caption="Gretchen tx_curr Detail"/>
    <measureGroup name="LocalDateTable_048e15b4-68bf-41ef-8bcb-f4b4a48e87d1" caption="LocalDateTable_048e15b4-68bf-41ef-8bcb-f4b4a48e87d1"/>
    <measureGroup name="LocalDateTable_198c0f25-be56-470d-9563-6ba85adc20f6" caption="LocalDateTable_198c0f25-be56-470d-9563-6ba85adc20f6"/>
    <measureGroup name="LocalDateTable_1a9c82fc-1d61-4945-b631-466fd7cb79e1" caption="LocalDateTable_1a9c82fc-1d61-4945-b631-466fd7cb79e1"/>
    <measureGroup name="LocalDateTable_32153099-8e28-4611-a8e3-a94f0e0a48ba" caption="LocalDateTable_32153099-8e28-4611-a8e3-a94f0e0a48ba"/>
    <measureGroup name="LocalDateTable_39873660-9783-47c3-831f-1ea7ff6357e4" caption="LocalDateTable_39873660-9783-47c3-831f-1ea7ff6357e4"/>
    <measureGroup name="LocalDateTable_39cbebff-eeb7-4252-a359-139059305106" caption="LocalDateTable_39cbebff-eeb7-4252-a359-139059305106"/>
    <measureGroup name="LocalDateTable_44ed01c2-444c-4c6a-9e1d-8f64a65ebd53" caption="LocalDateTable_44ed01c2-444c-4c6a-9e1d-8f64a65ebd53"/>
    <measureGroup name="LocalDateTable_4b503ea0-8a9e-4452-8df1-77875d493416" caption="LocalDateTable_4b503ea0-8a9e-4452-8df1-77875d493416"/>
    <measureGroup name="LocalDateTable_53bd0de1-8e4f-45ec-a73d-720779e52dac" caption="LocalDateTable_53bd0de1-8e4f-45ec-a73d-720779e52dac"/>
    <measureGroup name="LocalDateTable_582d8559-64fe-4f94-ac65-40b1120ce9fa" caption="LocalDateTable_582d8559-64fe-4f94-ac65-40b1120ce9fa"/>
    <measureGroup name="LocalDateTable_5e304ffa-9c13-4348-a0b1-bac4f702bb98" caption="LocalDateTable_5e304ffa-9c13-4348-a0b1-bac4f702bb98"/>
    <measureGroup name="LocalDateTable_6ad1a7b7-0918-439f-9116-bb49452fb306" caption="LocalDateTable_6ad1a7b7-0918-439f-9116-bb49452fb306"/>
    <measureGroup name="LocalDateTable_72411a4b-2028-45fd-859f-ca035717f902" caption="LocalDateTable_72411a4b-2028-45fd-859f-ca035717f902"/>
    <measureGroup name="LocalDateTable_762e9f08-71b7-474b-bf32-18e125928c8b" caption="LocalDateTable_762e9f08-71b7-474b-bf32-18e125928c8b"/>
    <measureGroup name="LocalDateTable_79b3c506-b619-4a92-a39e-5963880b27f4" caption="LocalDateTable_79b3c506-b619-4a92-a39e-5963880b27f4"/>
    <measureGroup name="LocalDateTable_7e4579ac-e1ba-4376-bd93-89713ab2d695" caption="LocalDateTable_7e4579ac-e1ba-4376-bd93-89713ab2d695"/>
    <measureGroup name="LocalDateTable_8171f62b-6985-4fa9-89cc-d461fa08834f" caption="LocalDateTable_8171f62b-6985-4fa9-89cc-d461fa08834f"/>
    <measureGroup name="LocalDateTable_8c167247-2007-40a2-8eb4-a67a7a0ffe69" caption="LocalDateTable_8c167247-2007-40a2-8eb4-a67a7a0ffe69"/>
    <measureGroup name="LocalDateTable_8cc8371a-f4aa-43ae-ad3c-80e424f8db7b" caption="LocalDateTable_8cc8371a-f4aa-43ae-ad3c-80e424f8db7b"/>
    <measureGroup name="LocalDateTable_a7bb61e7-fb22-4577-85f7-8202724a0cab" caption="LocalDateTable_a7bb61e7-fb22-4577-85f7-8202724a0cab"/>
    <measureGroup name="LocalDateTable_ac50e709-a83e-40da-92b7-c09d4749ca90" caption="LocalDateTable_ac50e709-a83e-40da-92b7-c09d4749ca90"/>
    <measureGroup name="LocalDateTable_b9674d41-7d4a-4bcc-9fba-60f51abd930f" caption="LocalDateTable_b9674d41-7d4a-4bcc-9fba-60f51abd930f"/>
    <measureGroup name="LocalDateTable_c51bdc8f-f532-4538-8d59-a1f847d37fc7" caption="LocalDateTable_c51bdc8f-f532-4538-8d59-a1f847d37fc7"/>
    <measureGroup name="LocalDateTable_cff06c49-b10f-4186-b8ce-801667abc242" caption="LocalDateTable_cff06c49-b10f-4186-b8ce-801667abc242"/>
    <measureGroup name="LocalDateTable_d556de67-934a-4e60-b501-c142594d01f3" caption="LocalDateTable_d556de67-934a-4e60-b501-c142594d01f3"/>
    <measureGroup name="LocalDateTable_db52efe7-f8a9-46be-907f-5a39fe4d61de" caption="LocalDateTable_db52efe7-f8a9-46be-907f-5a39fe4d61de"/>
    <measureGroup name="LocalDateTable_df4bea45-32ed-442a-9234-aaca0cd7dbed" caption="LocalDateTable_df4bea45-32ed-442a-9234-aaca0cd7dbed"/>
    <measureGroup name="LocalDateTable_e409a5bd-3c62-4a3a-96e8-e678b497145f" caption="LocalDateTable_e409a5bd-3c62-4a3a-96e8-e678b497145f"/>
    <measureGroup name="LocalDateTable_e58b0157-2556-4b79-a8ed-879543e961ff" caption="LocalDateTable_e58b0157-2556-4b79-a8ed-879543e961ff"/>
    <measureGroup name="LocalDateTable_e8334bd5-1849-42af-8c91-b9cab54e5872" caption="LocalDateTable_e8334bd5-1849-42af-8c91-b9cab54e5872"/>
    <measureGroup name="LocalDateTable_f81f1f13-e082-4d44-ba64-a484e005f2af" caption="LocalDateTable_f81f1f13-e082-4d44-ba64-a484e005f2af"/>
    <measureGroup name="Patients" caption="Patients"/>
    <measureGroup name="Status" caption="Status"/>
    <measureGroup name="Tests" caption="Tests"/>
    <measureGroup name="VisitsAndAppointments" caption="VisitsAndAppointments"/>
  </measureGroups>
  <maps count="56">
    <map measureGroup="1" dimension="0"/>
    <map measureGroup="3" dimension="1"/>
    <map measureGroup="4" dimension="2"/>
    <map measureGroup="4" dimension="3"/>
    <map measureGroup="4" dimension="5"/>
    <map measureGroup="4" dimension="6"/>
    <map measureGroup="5" dimension="2"/>
    <map measureGroup="5" dimension="3"/>
    <map measureGroup="5" dimension="5"/>
    <map measureGroup="5" dimension="6"/>
    <map measureGroup="6" dimension="4"/>
    <map measureGroup="7" dimension="2"/>
    <map measureGroup="7" dimension="3"/>
    <map measureGroup="7" dimension="5"/>
    <map measureGroup="7" dimension="6"/>
    <map measureGroup="8" dimension="2"/>
    <map measureGroup="8" dimension="3"/>
    <map measureGroup="8" dimension="5"/>
    <map measureGroup="8" dimension="6"/>
    <map measureGroup="9" dimension="2"/>
    <map measureGroup="9" dimension="3"/>
    <map measureGroup="9" dimension="5"/>
    <map measureGroup="9" dimension="6"/>
    <map measureGroup="9" dimension="7"/>
    <map measureGroup="9" dimension="9"/>
    <map measureGroup="41" dimension="2"/>
    <map measureGroup="41" dimension="3"/>
    <map measureGroup="41" dimension="5"/>
    <map measureGroup="41" dimension="6"/>
    <map measureGroup="41" dimension="7"/>
    <map measureGroup="41" dimension="9"/>
    <map measureGroup="42" dimension="1"/>
    <map measureGroup="42" dimension="2"/>
    <map measureGroup="42" dimension="3"/>
    <map measureGroup="42" dimension="5"/>
    <map measureGroup="42" dimension="6"/>
    <map measureGroup="42" dimension="7"/>
    <map measureGroup="42" dimension="9"/>
    <map measureGroup="42" dimension="10"/>
    <map measureGroup="43" dimension="0"/>
    <map measureGroup="43" dimension="2"/>
    <map measureGroup="43" dimension="3"/>
    <map measureGroup="43" dimension="5"/>
    <map measureGroup="43" dimension="6"/>
    <map measureGroup="43" dimension="7"/>
    <map measureGroup="43" dimension="9"/>
    <map measureGroup="43" dimension="11"/>
    <map measureGroup="44" dimension="0"/>
    <map measureGroup="44" dimension="1"/>
    <map measureGroup="44" dimension="2"/>
    <map measureGroup="44" dimension="3"/>
    <map measureGroup="44" dimension="5"/>
    <map measureGroup="44" dimension="6"/>
    <map measureGroup="44" dimension="7"/>
    <map measureGroup="44" dimension="9"/>
    <map measureGroup="44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OnLoad="1" refreshedBy="Jay Mtei" refreshedDate="44308.008320949077" backgroundQuery="1" createdVersion="3" refreshedVersion="7" minRefreshableVersion="3" recordCount="0" tupleCache="1" supportSubquery="1" supportAdvancedDrill="1" xr:uid="{00000000-000A-0000-FFFF-FFFF02000000}">
  <cacheSource type="external" connectionId="1"/>
  <cacheFields count="5">
    <cacheField name="[DimDate].[MonthYear].[MonthYear]" caption="MonthYear" numFmtId="0" hierarchy="13" level="1">
      <sharedItems count="1">
        <s v="[DimDate].[MonthYear].&amp;[Mar-2021]" c="Mar-2021"/>
      </sharedItems>
    </cacheField>
    <cacheField name="[Facilities].[DATIMID_USG].[DATIMID_USG]" caption="DATIMID_USG" numFmtId="0" hierarchy="21" level="1">
      <sharedItems count="458">
        <s v="[Facilities].[DATIMID_USG].&amp;[SMQHXlvCu3E]" c="SMQHXlvCu3E"/>
        <s v="[Facilities].[DATIMID_USG].&amp;[xnLQ6iHEMl0]" c="xnLQ6iHEMl0"/>
        <s v="[Facilities].[DATIMID_USG].&amp;[U7KZ5felBfl]" c="U7KZ5felBfl"/>
        <s v="[Facilities].[DATIMID_USG].&amp;[IMo8jiYPN3x]" c="IMo8jiYPN3x"/>
        <s v="[Facilities].[DATIMID_USG].&amp;[U4KlQrYnLuT]" c="U4KlQrYnLuT"/>
        <s v="[Facilities].[DATIMID_USG].&amp;[fBDng9a6xmT]" c="fBDng9a6xmT"/>
        <s v="[Facilities].[DATIMID_USG].&amp;[vu43BvILKnh]" c="vu43BvILKnh"/>
        <s v="[Facilities].[DATIMID_USG].&amp;[iSW2OEfgaB0]" c="iSW2OEfgaB0"/>
        <s v="[Facilities].[DATIMID_USG].&amp;[qMa6PmSTFDb]" c="qMa6PmSTFDb"/>
        <s v="[Facilities].[DATIMID_USG].&amp;[pmFxsXjnZTR]" c="pmFxsXjnZTR"/>
        <s v="[Facilities].[DATIMID_USG].&amp;[sAiUHL6o4Zy]" c="sAiUHL6o4Zy"/>
        <s v="[Facilities].[DATIMID_USG].&amp;[yyh3ldMnCqw]" c="yyh3ldMnCqw"/>
        <s v="[Facilities].[DATIMID_USG].&amp;[c70Hpw2wvsl]" c="c70Hpw2wvsl"/>
        <s v="[Facilities].[DATIMID_USG].&amp;[fK0WApsPTnR]" c="fK0WApsPTnR"/>
        <s v="[Facilities].[DATIMID_USG].&amp;[clfMiN7t4oi]" c="clfMiN7t4oi"/>
        <s v="[Facilities].[DATIMID_USG].&amp;[uoqb9h9OYWB]" c="uoqb9h9OYWB"/>
        <s v="[Facilities].[DATIMID_USG].&amp;[z1s0nhA2AwA]" c="z1s0nhA2AwA"/>
        <s v="[Facilities].[DATIMID_USG].&amp;[NcKkqQ0weuO]" c="NcKkqQ0weuO"/>
        <s v="[Facilities].[DATIMID_USG].&amp;[uLmEopM5eak]" c="uLmEopM5eak"/>
        <s v="[Facilities].[DATIMID_USG].&amp;[cziV9MZvghm]" c="cziV9MZvghm"/>
        <s v="[Facilities].[DATIMID_USG].&amp;[bX98B3p125A]" c="bX98B3p125A"/>
        <s v="[Facilities].[DATIMID_USG].&amp;[F5YLv2Qe3LH]" c="F5YLv2Qe3LH"/>
        <s v="[Facilities].[DATIMID_USG].&amp;[ZUuECn6hGeF]" c="ZUuECn6hGeF"/>
        <s v="[Facilities].[DATIMID_USG].&amp;[vwQnm09aNfp]" c="vwQnm09aNfp"/>
        <s v="[Facilities].[DATIMID_USG].&amp;[TssW05z275O]" c="TssW05z275O"/>
        <s v="[Facilities].[DATIMID_USG].&amp;[zRODh1oUwN3]" c="zRODh1oUwN3"/>
        <s v="[Facilities].[DATIMID_USG].&amp;[NeGbQFFTVgt]" c="NeGbQFFTVgt"/>
        <s v="[Facilities].[DATIMID_USG].&amp;[AK9l0Uij1A3]" c="AK9l0Uij1A3"/>
        <s v="[Facilities].[DATIMID_USG].&amp;[gFz5EsVW0LX]" c="gFz5EsVW0LX"/>
        <s v="[Facilities].[DATIMID_USG].&amp;[JFi5ZngxtG9]" c="JFi5ZngxtG9"/>
        <s v="[Facilities].[DATIMID_USG].&amp;[uPPW9FYgBKQ]" c="uPPW9FYgBKQ"/>
        <s v="[Facilities].[DATIMID_USG].&amp;[muQgzuM2tnC]" c="muQgzuM2tnC"/>
        <s v="[Facilities].[DATIMID_USG].&amp;[VHdizOLlCcM]" c="VHdizOLlCcM"/>
        <s v="[Facilities].[DATIMID_USG].&amp;[tUY31w3gRzj]" c="tUY31w3gRzj"/>
        <s v="[Facilities].[DATIMID_USG].&amp;[QYd2sBZMbHk]" c="QYd2sBZMbHk"/>
        <s v="[Facilities].[DATIMID_USG].&amp;[i3FmyyPnFsY]" c="i3FmyyPnFsY"/>
        <s v="[Facilities].[DATIMID_USG].&amp;[XbmFgmYboW4]" c="XbmFgmYboW4"/>
        <s v="[Facilities].[DATIMID_USG].&amp;[U5YX4pAJTog]" c="U5YX4pAJTog"/>
        <s v="[Facilities].[DATIMID_USG].&amp;[tXhoKpdkzMD]" c="tXhoKpdkzMD"/>
        <s v="[Facilities].[DATIMID_USG].&amp;[Bpzm6iRYANd]" c="Bpzm6iRYANd"/>
        <s v="[Facilities].[DATIMID_USG].&amp;[S1EY8S9iohH]" c="S1EY8S9iohH"/>
        <s v="[Facilities].[DATIMID_USG].&amp;[KDX3TYylacB]" c="KDX3TYylacB"/>
        <s v="[Facilities].[DATIMID_USG].&amp;[Ud7qGxaoZo6]" c="Ud7qGxaoZo6"/>
        <s v="[Facilities].[DATIMID_USG].&amp;[Zq16fskl8Xm]" c="Zq16fskl8Xm"/>
        <s v="[Facilities].[DATIMID_USG].&amp;[yFiYgAMf4Rw]" c="yFiYgAMf4Rw"/>
        <s v="[Facilities].[DATIMID_USG].&amp;[Iwf7mFEFBQb]" c="Iwf7mFEFBQb"/>
        <s v="[Facilities].[DATIMID_USG].&amp;[Lh12f6DN46Q]" c="Lh12f6DN46Q"/>
        <s v="[Facilities].[DATIMID_USG].&amp;[YbLGEdUJKxq]" c="YbLGEdUJKxq"/>
        <s v="[Facilities].[DATIMID_USG].&amp;[MgKoXfwe0qs]" c="MgKoXfwe0qs"/>
        <s v="[Facilities].[DATIMID_USG].&amp;[MsbIhftosap]" c="MsbIhftosap"/>
        <s v="[Facilities].[DATIMID_USG].&amp;[UVtBvguGE1l]" c="UVtBvguGE1l"/>
        <s v="[Facilities].[DATIMID_USG].&amp;[bXn9b3ySqcY]" c="bXn9b3ySqcY"/>
        <s v="[Facilities].[DATIMID_USG].&amp;[XYkVymEGXVv]" c="XYkVymEGXVv"/>
        <s v="[Facilities].[DATIMID_USG].&amp;[bZTYSMB1mzT]" c="bZTYSMB1mzT"/>
        <s v="[Facilities].[DATIMID_USG].&amp;[PyXqJHKvdcL]" c="PyXqJHKvdcL"/>
        <s v="[Facilities].[DATIMID_USG].&amp;[UmFKGzYIRlH]" c="UmFKGzYIRlH"/>
        <s v="[Facilities].[DATIMID_USG].&amp;[ex0HWmhH8xE]" c="ex0HWmhH8xE"/>
        <s v="[Facilities].[DATIMID_USG].&amp;[F0YRADCbTWW]" c="F0YRADCbTWW"/>
        <s v="[Facilities].[DATIMID_USG].&amp;[KFI7eRyi92B]" c="KFI7eRyi92B"/>
        <s v="[Facilities].[DATIMID_USG].&amp;[GO6UJtTT70U]" c="GO6UJtTT70U"/>
        <s v="[Facilities].[DATIMID_USG].&amp;[mflVv9PoWrX]" c="mflVv9PoWrX"/>
        <s v="[Facilities].[DATIMID_USG].&amp;[onnSlIb3fov]" c="onnSlIb3fov"/>
        <s v="[Facilities].[DATIMID_USG].&amp;[qqFsT5vwiNj]" c="qqFsT5vwiNj"/>
        <s v="[Facilities].[DATIMID_USG].&amp;[Uog0cksni8j]" c="Uog0cksni8j"/>
        <s v="[Facilities].[DATIMID_USG].&amp;[sPnks3ULfzh]" c="sPnks3ULfzh"/>
        <s v="[Facilities].[DATIMID_USG].&amp;[IlbcsFglOas]" c="IlbcsFglOas"/>
        <s v="[Facilities].[DATIMID_USG].&amp;[I3bnCBLIOUg]" c="I3bnCBLIOUg"/>
        <s v="[Facilities].[DATIMID_USG].&amp;[E3b007udXJO]" c="E3b007udXJO"/>
        <s v="[Facilities].[DATIMID_USG].&amp;[SbOeezkgkxi]" c="SbOeezkgkxi"/>
        <s v="[Facilities].[DATIMID_USG].&amp;[sH0BZ50HC3G]" c="sH0BZ50HC3G"/>
        <s v="[Facilities].[DATIMID_USG].&amp;[m9IPB5W2ui5]" c="m9IPB5W2ui5"/>
        <s v="[Facilities].[DATIMID_USG].&amp;[jzgT3RN1k0K]" c="jzgT3RN1k0K"/>
        <s v="[Facilities].[DATIMID_USG].&amp;[DPvLCtVV1fE]" c="DPvLCtVV1fE"/>
        <s v="[Facilities].[DATIMID_USG].&amp;[URMOjIdUz8v]" c="URMOjIdUz8v"/>
        <s v="[Facilities].[DATIMID_USG].&amp;[HOdPAXnaKgD]" c="HOdPAXnaKgD"/>
        <s v="[Facilities].[DATIMID_USG].&amp;[NutklHYs98l]" c="NutklHYs98l"/>
        <s v="[Facilities].[DATIMID_USG].&amp;[gw5xiUIssDi]" c="gw5xiUIssDi"/>
        <s v="[Facilities].[DATIMID_USG].&amp;[yjiBGeQ9eSm]" c="yjiBGeQ9eSm"/>
        <s v="[Facilities].[DATIMID_USG].&amp;[jko4TJ7zXdc]" c="jko4TJ7zXdc"/>
        <s v="[Facilities].[DATIMID_USG].&amp;[TTzq8jvhQLa]" c="TTzq8jvhQLa"/>
        <s v="[Facilities].[DATIMID_USG].&amp;[x64PignSHiF]" c="x64PignSHiF"/>
        <s v="[Facilities].[DATIMID_USG].&amp;[F3LX6VorS69]" c="F3LX6VorS69"/>
        <s v="[Facilities].[DATIMID_USG].&amp;[YxOIfEqAGHJ]" c="YxOIfEqAGHJ"/>
        <s v="[Facilities].[DATIMID_USG].&amp;[OpvjykY5Rg3]" c="OpvjykY5Rg3"/>
        <s v="[Facilities].[DATIMID_USG].&amp;[ekk83JtC1b5]" c="ekk83JtC1b5"/>
        <s v="[Facilities].[DATIMID_USG].&amp;[Dp3rtgtfIFF]" c="Dp3rtgtfIFF"/>
        <s v="[Facilities].[DATIMID_USG].&amp;[oP49AJl9PMe]" c="oP49AJl9PMe"/>
        <s v="[Facilities].[DATIMID_USG].&amp;[CKpAgVkDXi0]" c="CKpAgVkDXi0"/>
        <s v="[Facilities].[DATIMID_USG].&amp;[vznSllthow8]" c="vznSllthow8"/>
        <s v="[Facilities].[DATIMID_USG].&amp;[ChgS0lWHqdu]" c="ChgS0lWHqdu"/>
        <s v="[Facilities].[DATIMID_USG].&amp;[A7H0Bj3oEUb]" c="A7H0Bj3oEUb"/>
        <s v="[Facilities].[DATIMID_USG].&amp;[v2hoVpNNLLz]" c="v2hoVpNNLLz"/>
        <s v="[Facilities].[DATIMID_USG].&amp;[MoAxgdrUeiF]" c="MoAxgdrUeiF"/>
        <s v="[Facilities].[DATIMID_USG].&amp;[p0N8H8sexN7]" c="p0N8H8sexN7"/>
        <s v="[Facilities].[DATIMID_USG].&amp;[zgztK7Zhycv]" c="zgztK7Zhycv"/>
        <s v="[Facilities].[DATIMID_USG].&amp;[Si2ovtj1kIW]" c="Si2ovtj1kIW"/>
        <s v="[Facilities].[DATIMID_USG].&amp;[ShwCDL3Zk6K]" c="ShwCDL3Zk6K"/>
        <s v="[Facilities].[DATIMID_USG].&amp;[RqxywsnxG5B]" c="RqxywsnxG5B"/>
        <s v="[Facilities].[DATIMID_USG].&amp;[wj0v8Ax2R2k]" c="wj0v8Ax2R2k"/>
        <s v="[Facilities].[DATIMID_USG].&amp;[GSXct5moJkF]" c="GSXct5moJkF"/>
        <s v="[Facilities].[DATIMID_USG].&amp;[Hm48W2usGXa]" c="Hm48W2usGXa"/>
        <s v="[Facilities].[DATIMID_USG].&amp;[H8MHwDT5LEX]" c="H8MHwDT5LEX"/>
        <s v="[Facilities].[DATIMID_USG].&amp;[FfTauIa3plC]" c="FfTauIa3plC"/>
        <s v="[Facilities].[DATIMID_USG].&amp;[gPkyxeE8Pz8]" c="gPkyxeE8Pz8"/>
        <s v="[Facilities].[DATIMID_USG].&amp;[aQpQuVSdSfa]" c="aQpQuVSdSfa"/>
        <s v="[Facilities].[DATIMID_USG].&amp;[fJm3k6nWBv9]" c="fJm3k6nWBv9"/>
        <s v="[Facilities].[DATIMID_USG].&amp;[hD1ajlgmDlr]" c="hD1ajlgmDlr"/>
        <s v="[Facilities].[DATIMID_USG].&amp;[Wju5tA8Pa8z]" c="Wju5tA8Pa8z"/>
        <s v="[Facilities].[DATIMID_USG].&amp;[heqdTuQ4nVI]" c="heqdTuQ4nVI"/>
        <s v="[Facilities].[DATIMID_USG].&amp;[opwbxzA0SxO]" c="opwbxzA0SxO"/>
        <s v="[Facilities].[DATIMID_USG].&amp;[BqLWxJKhoov]" c="BqLWxJKhoov"/>
        <s v="[Facilities].[DATIMID_USG].&amp;[aS8xS9udCEb]" c="aS8xS9udCEb"/>
        <s v="[Facilities].[DATIMID_USG].&amp;[Ds6hoqP633F]" c="Ds6hoqP633F"/>
        <s v="[Facilities].[DATIMID_USG].&amp;[OlnAUL94Brl]" c="OlnAUL94Brl"/>
        <s v="[Facilities].[DATIMID_USG].&amp;[xCQBwPBz5Xj]" c="xCQBwPBz5Xj"/>
        <s v="[Facilities].[DATIMID_USG].&amp;[Zuoti8S10SH]" c="Zuoti8S10SH"/>
        <s v="[Facilities].[DATIMID_USG].&amp;[EnUhkzNgKk1]" c="EnUhkzNgKk1"/>
        <s v="[Facilities].[DATIMID_USG].&amp;[jgV66kom6Mz]" c="jgV66kom6Mz"/>
        <s v="[Facilities].[DATIMID_USG].&amp;[j3SElBP8EH7]" c="j3SElBP8EH7"/>
        <s v="[Facilities].[DATIMID_USG].&amp;[xvkbTM2WUqk]" c="xvkbTM2WUqk"/>
        <s v="[Facilities].[DATIMID_USG].&amp;[UhZhYnEVIlk]" c="UhZhYnEVIlk"/>
        <s v="[Facilities].[DATIMID_USG].&amp;[Cl2R3A3CXLz]" c="Cl2R3A3CXLz"/>
        <s v="[Facilities].[DATIMID_USG].&amp;[RYJZ1FyyRmL]" c="RYJZ1FyyRmL"/>
        <s v="[Facilities].[DATIMID_USG].&amp;[XEEVmTsbgr7]" c="XEEVmTsbgr7"/>
        <s v="[Facilities].[DATIMID_USG].&amp;[C4TxOq9JMl2]" c="C4TxOq9JMl2"/>
        <s v="[Facilities].[DATIMID_USG].&amp;[Gpy7ai3okAi]" c="Gpy7ai3okAi"/>
        <s v="[Facilities].[DATIMID_USG].&amp;[LHXkMX09pp6]" c="LHXkMX09pp6"/>
        <s v="[Facilities].[DATIMID_USG].&amp;[mWf5sYJssot]" c="mWf5sYJssot"/>
        <s v="[Facilities].[DATIMID_USG].&amp;[ycSpyYkBfsY]" c="ycSpyYkBfsY"/>
        <s v="[Facilities].[DATIMID_USG].&amp;[ItWmY6sJUVT]" c="ItWmY6sJUVT"/>
        <s v="[Facilities].[DATIMID_USG].&amp;[S2NRGJ8zrIK]" c="S2NRGJ8zrIK"/>
        <s v="[Facilities].[DATIMID_USG].&amp;[Gl6fMdljbLX]" c="Gl6fMdljbLX"/>
        <s v="[Facilities].[DATIMID_USG].&amp;[e18PQnXrGHz]" c="e18PQnXrGHz"/>
        <s v="[Facilities].[DATIMID_USG].&amp;[zzbRHWE2TyL]" c="zzbRHWE2TyL"/>
        <s v="[Facilities].[DATIMID_USG].&amp;[wE4pOav0ksB]" c="wE4pOav0ksB"/>
        <s v="[Facilities].[DATIMID_USG].&amp;[RDEW3Qh4CeM]" c="RDEW3Qh4CeM"/>
        <s v="[Facilities].[DATIMID_USG].&amp;[DSjSuEp7VsC]" c="DSjSuEp7VsC"/>
        <s v="[Facilities].[DATIMID_USG].&amp;[PPrMXOyJp96]" c="PPrMXOyJp96"/>
        <s v="[Facilities].[DATIMID_USG].&amp;[ELQDeDWVGrk]" c="ELQDeDWVGrk"/>
        <s v="[Facilities].[DATIMID_USG].&amp;[OxiUumWLJry]" c="OxiUumWLJry"/>
        <s v="[Facilities].[DATIMID_USG].&amp;[YSRFsacHvd8]" c="YSRFsacHvd8"/>
        <s v="[Facilities].[DATIMID_USG].&amp;[cM3Y5if2Jqp]" c="cM3Y5if2Jqp"/>
        <s v="[Facilities].[DATIMID_USG].&amp;[o0Q8LkjToOP]" c="o0Q8LkjToOP"/>
        <s v="[Facilities].[DATIMID_USG].&amp;[R1C6X7xTgBl]" c="R1C6X7xTgBl"/>
        <s v="[Facilities].[DATIMID_USG].&amp;[trixg6G3fxg]" c="trixg6G3fxg"/>
        <s v="[Facilities].[DATIMID_USG].&amp;[M40HNlw3PvV]" c="M40HNlw3PvV"/>
        <s v="[Facilities].[DATIMID_USG].&amp;[NSjnORHNMsq]" c="NSjnORHNMsq"/>
        <s v="[Facilities].[DATIMID_USG].&amp;[djak6fHOzPk]" c="djak6fHOzPk"/>
        <s v="[Facilities].[DATIMID_USG].&amp;[mbQl11CbcGn]" c="mbQl11CbcGn"/>
        <s v="[Facilities].[DATIMID_USG].&amp;[BdNBVRJ34pX]" c="BdNBVRJ34pX"/>
        <s v="[Facilities].[DATIMID_USG].&amp;[wbOGKMKaR6b]" c="wbOGKMKaR6b"/>
        <s v="[Facilities].[DATIMID_USG].&amp;[Bjz6d6dIFv7]" c="Bjz6d6dIFv7"/>
        <s v="[Facilities].[DATIMID_USG].&amp;[RzIULFwpOAp]" c="RzIULFwpOAp"/>
        <s v="[Facilities].[DATIMID_USG].&amp;[hfz4dPBVK9F]" c="hfz4dPBVK9F"/>
        <s v="[Facilities].[DATIMID_USG].&amp;[YIHta2d6BMG]" c="YIHta2d6BMG"/>
        <s v="[Facilities].[DATIMID_USG].&amp;[iUaEAyiSm6i]" c="iUaEAyiSm6i"/>
        <s v="[Facilities].[DATIMID_USG].&amp;[oRTNggd3OxT]" c="oRTNggd3OxT"/>
        <s v="[Facilities].[DATIMID_USG].&amp;[V3AT5xzqmnd]" c="V3AT5xzqmnd"/>
        <s v="[Facilities].[DATIMID_USG].&amp;[rLOIAw0yDYl]" c="rLOIAw0yDYl"/>
        <s v="[Facilities].[DATIMID_USG].&amp;[oOHflfGAo0t]" c="oOHflfGAo0t"/>
        <s v="[Facilities].[DATIMID_USG].&amp;[H32wglLsifS]" c="H32wglLsifS"/>
        <s v="[Facilities].[DATIMID_USG].&amp;[Sas4inTdsn7]" c="Sas4inTdsn7"/>
        <s v="[Facilities].[DATIMID_USG].&amp;[KY53V8ao3xr]" c="KY53V8ao3xr"/>
        <s v="[Facilities].[DATIMID_USG].&amp;[S2T9PNNSILo]" c="S2T9PNNSILo"/>
        <s v="[Facilities].[DATIMID_USG].&amp;[oz4wV0RCA8A]" c="oz4wV0RCA8A"/>
        <s v="[Facilities].[DATIMID_USG].&amp;[wAE3jX0VttC]" c="wAE3jX0VttC"/>
        <s v="[Facilities].[DATIMID_USG].&amp;[Q3WrXxmuaJx]" c="Q3WrXxmuaJx"/>
        <s v="[Facilities].[DATIMID_USG].&amp;[eDEOZVZ8rp4]" c="eDEOZVZ8rp4"/>
        <s v="[Facilities].[DATIMID_USG].&amp;[XJFi3MHLdb6]" c="XJFi3MHLdb6"/>
        <s v="[Facilities].[DATIMID_USG].&amp;[Klv29JoYvNz]" c="Klv29JoYvNz"/>
        <s v="[Facilities].[DATIMID_USG].&amp;[rXbnN1N3miY]" c="rXbnN1N3miY"/>
        <s v="[Facilities].[DATIMID_USG].&amp;[iCWGDfcMrLf]" c="iCWGDfcMrLf"/>
        <s v="[Facilities].[DATIMID_USG].&amp;[J0GYmZwVn6j]" c="J0GYmZwVn6j"/>
        <s v="[Facilities].[DATIMID_USG].&amp;[iVZSZDNIlZI]" c="iVZSZDNIlZI"/>
        <s v="[Facilities].[DATIMID_USG].&amp;[EXLpGRLfKW6]" c="EXLpGRLfKW6"/>
        <s v="[Facilities].[DATIMID_USG].&amp;[kCo6yS73mKp]" c="kCo6yS73mKp"/>
        <s v="[Facilities].[DATIMID_USG].&amp;[RGYr7gq0WGk]" c="RGYr7gq0WGk"/>
        <s v="[Facilities].[DATIMID_USG].&amp;[xVYspAZ2gIs]" c="xVYspAZ2gIs"/>
        <s v="[Facilities].[DATIMID_USG].&amp;[AjiiSQ0MyeM]" c="AjiiSQ0MyeM"/>
        <s v="[Facilities].[DATIMID_USG].&amp;[jEIVE89LvkC]" c="jEIVE89LvkC"/>
        <s v="[Facilities].[DATIMID_USG].&amp;[sq0JPWanBtn]" c="sq0JPWanBtn"/>
        <s v="[Facilities].[DATIMID_USG].&amp;[CeYHbVX07Aa]" c="CeYHbVX07Aa"/>
        <s v="[Facilities].[DATIMID_USG].&amp;[qY2EeAWVZrA]" c="qY2EeAWVZrA"/>
        <s v="[Facilities].[DATIMID_USG].&amp;[OWMG9Wj9MzK]" c="OWMG9Wj9MzK"/>
        <s v="[Facilities].[DATIMID_USG].&amp;[VsbAhLi12A5]" c="VsbAhLi12A5"/>
        <s v="[Facilities].[DATIMID_USG].&amp;[UEh5yPxgWcB]" c="UEh5yPxgWcB"/>
        <s v="[Facilities].[DATIMID_USG].&amp;[jMADqQzHl46]" c="jMADqQzHl46"/>
        <s v="[Facilities].[DATIMID_USG].&amp;[rqIZSNUrges]" c="rqIZSNUrges"/>
        <s v="[Facilities].[DATIMID_USG].&amp;[a0GBRdGUhKN]" c="a0GBRdGUhKN"/>
        <s v="[Facilities].[DATIMID_USG].&amp;[d8wL2A0qjsW]" c="d8wL2A0qjsW"/>
        <s v="[Facilities].[DATIMID_USG].&amp;[evT0ozlNfnY]" c="evT0ozlNfnY"/>
        <s v="[Facilities].[DATIMID_USG].&amp;[vYSh1bCczUX]" c="vYSh1bCczUX"/>
        <s v="[Facilities].[DATIMID_USG].&amp;[wNc2OpUaFRF]" c="wNc2OpUaFRF"/>
        <s v="[Facilities].[DATIMID_USG].&amp;[pdB8DCmTUY5]" c="pdB8DCmTUY5"/>
        <s v="[Facilities].[DATIMID_USG].&amp;[USpZAV2rtji]" c="USpZAV2rtji"/>
        <s v="[Facilities].[DATIMID_USG].&amp;[CqzwqgXZzHW]" c="CqzwqgXZzHW"/>
        <s v="[Facilities].[DATIMID_USG].&amp;[PFkGSMrtBcu]" c="PFkGSMrtBcu"/>
        <s v="[Facilities].[DATIMID_USG].&amp;[rXOwjCuPoqu]" c="rXOwjCuPoqu"/>
        <s v="[Facilities].[DATIMID_USG].&amp;[SkkagomuCDx]" c="SkkagomuCDx"/>
        <s v="[Facilities].[DATIMID_USG].&amp;[dXm9x7MJyQN]" c="dXm9x7MJyQN"/>
        <s v="[Facilities].[DATIMID_USG].&amp;[L8c8qYknyd1]" c="L8c8qYknyd1"/>
        <s v="[Facilities].[DATIMID_USG].&amp;[uS3QKrq2t9W]" c="uS3QKrq2t9W"/>
        <s v="[Facilities].[DATIMID_USG].&amp;[KQrPeIlbLUK]" c="KQrPeIlbLUK"/>
        <s v="[Facilities].[DATIMID_USG].&amp;[tNtahLAJhOR]" c="tNtahLAJhOR"/>
        <s v="[Facilities].[DATIMID_USG].&amp;[ziS0w5Z0gp9]" c="ziS0w5Z0gp9"/>
        <s v="[Facilities].[DATIMID_USG].&amp;[zlTchTQkMY4]" c="zlTchTQkMY4"/>
        <s v="[Facilities].[DATIMID_USG].&amp;[POxTI7ekTAs]" c="POxTI7ekTAs"/>
        <s v="[Facilities].[DATIMID_USG].&amp;[eJoop7PVwYf]" c="eJoop7PVwYf"/>
        <s v="[Facilities].[DATIMID_USG].&amp;[uQasoVPqvTG]" c="uQasoVPqvTG"/>
        <s v="[Facilities].[DATIMID_USG].&amp;[NbGMoYOcMOY]" c="NbGMoYOcMOY"/>
        <s v="[Facilities].[DATIMID_USG].&amp;[ZqIbJ9o2jNc]" c="ZqIbJ9o2jNc"/>
        <s v="[Facilities].[DATIMID_USG].&amp;[dZ6O2x9Nbc3]" c="dZ6O2x9Nbc3"/>
        <s v="[Facilities].[DATIMID_USG].&amp;[aH7J4xxE7qg]" c="aH7J4xxE7qg"/>
        <s v="[Facilities].[DATIMID_USG].&amp;[Xime4FtcA5r]" c="Xime4FtcA5r"/>
        <s v="[Facilities].[DATIMID_USG].&amp;[TCbZv0rA0KH]" c="TCbZv0rA0KH"/>
        <s v="[Facilities].[DATIMID_USG].&amp;[yt8dRMOX3Pm]" c="yt8dRMOX3Pm"/>
        <s v="[Facilities].[DATIMID_USG].&amp;[qpQLGtXO1lL]" c="qpQLGtXO1lL"/>
        <s v="[Facilities].[DATIMID_USG].&amp;[Fb3mHHm2pEs]" c="Fb3mHHm2pEs"/>
        <s v="[Facilities].[DATIMID_USG].&amp;[NmIIrhkWSy5]" c="NmIIrhkWSy5"/>
        <s v="[Facilities].[DATIMID_USG].&amp;[k5JdPt9uWMm]" c="k5JdPt9uWMm"/>
        <s v="[Facilities].[DATIMID_USG].&amp;[gX2Cg14njcr]" c="gX2Cg14njcr"/>
        <s v="[Facilities].[DATIMID_USG].&amp;[g5He5r5b8jn]" c="g5He5r5b8jn"/>
        <s v="[Facilities].[DATIMID_USG].&amp;[xNuTBqUD1CF]" c="xNuTBqUD1CF"/>
        <s v="[Facilities].[DATIMID_USG].&amp;[jhI1z4GFcrl]" c="jhI1z4GFcrl"/>
        <s v="[Facilities].[DATIMID_USG].&amp;[m4O6PehLsi1]" c="m4O6PehLsi1"/>
        <s v="[Facilities].[DATIMID_USG].&amp;[ElPj16KSNVJ]" c="ElPj16KSNVJ"/>
        <s v="[Facilities].[DATIMID_USG].&amp;[DzZANKgWLsZ]" c="DzZANKgWLsZ"/>
        <s v="[Facilities].[DATIMID_USG].&amp;[YnzHDqtim6s]" c="YnzHDqtim6s"/>
        <s v="[Facilities].[DATIMID_USG].&amp;[u8Z5X7umrKF]" c="u8Z5X7umrKF"/>
        <s v="[Facilities].[DATIMID_USG].&amp;[tSUpf6UUCSh]" c="tSUpf6UUCSh"/>
        <s v="[Facilities].[DATIMID_USG].&amp;[DhxPPEcKWwn]" c="DhxPPEcKWwn"/>
        <s v="[Facilities].[DATIMID_USG].&amp;[ha5KY2J0lIZ]" c="ha5KY2J0lIZ"/>
        <s v="[Facilities].[DATIMID_USG].&amp;[R2vEVSiQPQC]" c="R2vEVSiQPQC"/>
        <s v="[Facilities].[DATIMID_USG].&amp;[Pl878H0dW6t]" c="Pl878H0dW6t"/>
        <s v="[Facilities].[DATIMID_USG].&amp;[f8d2QFShGCb]" c="f8d2QFShGCb"/>
        <s v="[Facilities].[DATIMID_USG].&amp;[q0RTM91LPKf]" c="q0RTM91LPKf"/>
        <s v="[Facilities].[DATIMID_USG].&amp;[EoebORoQaqz]" c="EoebORoQaqz"/>
        <s v="[Facilities].[DATIMID_USG].&amp;[V2m0GCVZ735]" c="V2m0GCVZ735"/>
        <s v="[Facilities].[DATIMID_USG].&amp;[gocLA3DsGuo]" c="gocLA3DsGuo"/>
        <s v="[Facilities].[DATIMID_USG].&amp;[iHa4SxjJIqs]" c="iHa4SxjJIqs"/>
        <s v="[Facilities].[DATIMID_USG].&amp;[i7OQo6Nb1LR]" c="i7OQo6Nb1LR"/>
        <s v="[Facilities].[DATIMID_USG].&amp;[sWnqop46NE4]" c="sWnqop46NE4"/>
        <s v="[Facilities].[DATIMID_USG].&amp;[bptuZLv5bzt]" c="bptuZLv5bzt"/>
        <s v="[Facilities].[DATIMID_USG].&amp;[a2Ze7109ES6]" c="a2Ze7109ES6"/>
        <s v="[Facilities].[DATIMID_USG].&amp;[Kh1JbOLW00R]" c="Kh1JbOLW00R"/>
        <s v="[Facilities].[DATIMID_USG].&amp;[XdhcW1ZJmIy]" c="XdhcW1ZJmIy"/>
        <s v="[Facilities].[DATIMID_USG].&amp;[r8T82ZWjItm]" c="r8T82ZWjItm"/>
        <s v="[Facilities].[DATIMID_USG].&amp;[y3UeJKrJ3wp]" c="y3UeJKrJ3wp"/>
        <s v="[Facilities].[DATIMID_USG].&amp;[kHLU2PGkMNV]" c="kHLU2PGkMNV"/>
        <s v="[Facilities].[DATIMID_USG].&amp;[XRyLwWX2FCr]" c="XRyLwWX2FCr"/>
        <s v="[Facilities].[DATIMID_USG].&amp;[AQkzUHYZhin]" c="AQkzUHYZhin"/>
        <s v="[Facilities].[DATIMID_USG].&amp;[ype7as8vCCz]" c="ype7as8vCCz"/>
        <s v="[Facilities].[DATIMID_USG].&amp;[Ewp1SOEYY4A]" c="Ewp1SOEYY4A"/>
        <s v="[Facilities].[DATIMID_USG].&amp;[vc2vrM0eRa9]" c="vc2vrM0eRa9"/>
        <s v="[Facilities].[DATIMID_USG].&amp;[lpS3qrn0282]" c="lpS3qrn0282"/>
        <s v="[Facilities].[DATIMID_USG].&amp;[CEU9yO371Mi]" c="CEU9yO371Mi"/>
        <s v="[Facilities].[DATIMID_USG].&amp;[Q7U7EjRbDDp]" c="Q7U7EjRbDDp"/>
        <s v="[Facilities].[DATIMID_USG].&amp;[Wh43rnbHu0k]" c="Wh43rnbHu0k"/>
        <s v="[Facilities].[DATIMID_USG].&amp;[NNN5tv8JzZ7]" c="NNN5tv8JzZ7"/>
        <s v="[Facilities].[DATIMID_USG].&amp;[DvMZMOliEMg]" c="DvMZMOliEMg"/>
        <s v="[Facilities].[DATIMID_USG].&amp;[kN5szzGVVPA]" c="kN5szzGVVPA"/>
        <s v="[Facilities].[DATIMID_USG].&amp;[gyLYKSdPL50]" c="gyLYKSdPL50"/>
        <s v="[Facilities].[DATIMID_USG].&amp;[Wg3kxqZvjy6]" c="Wg3kxqZvjy6"/>
        <s v="[Facilities].[DATIMID_USG].&amp;[EA9QSH5E9rT]" c="EA9QSH5E9rT"/>
        <s v="[Facilities].[DATIMID_USG].&amp;[Z2QHwX0smcB]" c="Z2QHwX0smcB"/>
        <s v="[Facilities].[DATIMID_USG].&amp;[fA9JHQsNQIh]" c="fA9JHQsNQIh"/>
        <s v="[Facilities].[DATIMID_USG].&amp;[GJTtdD5NFe7]" c="GJTtdD5NFe7"/>
        <s v="[Facilities].[DATIMID_USG].&amp;[VsgxkJoBDhS]" c="VsgxkJoBDhS"/>
        <s v="[Facilities].[DATIMID_USG].&amp;[fH5EQ7VQj7z]" c="fH5EQ7VQj7z"/>
        <s v="[Facilities].[DATIMID_USG].&amp;[qZVg6nPZGJN]" c="qZVg6nPZGJN"/>
        <s v="[Facilities].[DATIMID_USG].&amp;[eYYJ2x33LSm]" c="eYYJ2x33LSm"/>
        <s v="[Facilities].[DATIMID_USG].&amp;[DQOuGZTSrMh]" c="DQOuGZTSrMh"/>
        <s v="[Facilities].[DATIMID_USG].&amp;[imzp3bxAiR7]" c="imzp3bxAiR7"/>
        <s v="[Facilities].[DATIMID_USG].&amp;[OIO0oNhelQM]" c="OIO0oNhelQM"/>
        <s v="[Facilities].[DATIMID_USG].&amp;[t2MTbiuns7N]" c="t2MTbiuns7N"/>
        <s v="[Facilities].[DATIMID_USG].&amp;[fyXn8nk3SVx]" c="fyXn8nk3SVx"/>
        <s v="[Facilities].[DATIMID_USG].&amp;[s2mEKIAhowY]" c="s2mEKIAhowY"/>
        <s v="[Facilities].[DATIMID_USG].&amp;[p6OQT6Wjl35]" c="p6OQT6Wjl35"/>
        <s v="[Facilities].[DATIMID_USG].&amp;[JhASbKPHApc]" c="JhASbKPHApc"/>
        <s v="[Facilities].[DATIMID_USG].&amp;[G3K7MWu2FkG]" c="G3K7MWu2FkG"/>
        <s v="[Facilities].[DATIMID_USG].&amp;[FBxZJ72lHQM]" c="FBxZJ72lHQM"/>
        <s v="[Facilities].[DATIMID_USG].&amp;[PMbjVVW8qTt]" c="PMbjVVW8qTt"/>
        <s v="[Facilities].[DATIMID_USG].&amp;[OGdMaRMXR9V]" c="OGdMaRMXR9V"/>
        <s v="[Facilities].[DATIMID_USG].&amp;[pHiOvopsoCQ]" c="pHiOvopsoCQ"/>
        <s v="[Facilities].[DATIMID_USG].&amp;[RFGXom1x5Jg]" c="RFGXom1x5Jg"/>
        <s v="[Facilities].[DATIMID_USG].&amp;[LvMXzjGSGKV]" c="LvMXzjGSGKV"/>
        <s v="[Facilities].[DATIMID_USG].&amp;[euYn6gh0LBD]" c="euYn6gh0LBD"/>
        <s v="[Facilities].[DATIMID_USG].&amp;[umsQSO7x6oq]" c="umsQSO7x6oq"/>
        <s v="[Facilities].[DATIMID_USG].&amp;[SySFSGmIUr6]" c="SySFSGmIUr6"/>
        <s v="[Facilities].[DATIMID_USG].&amp;[WkMCo6Urj7W]" c="WkMCo6Urj7W"/>
        <s v="[Facilities].[DATIMID_USG].&amp;[eUe2oj8pBRp]" c="eUe2oj8pBRp"/>
        <s v="[Facilities].[DATIMID_USG].&amp;[xUFgvQYf66Q]" c="xUFgvQYf66Q"/>
        <s v="[Facilities].[DATIMID_USG].&amp;[hh4I018dlYf]" c="hh4I018dlYf"/>
        <s v="[Facilities].[DATIMID_USG].&amp;[Z6wIHssPEOm]" c="Z6wIHssPEOm"/>
        <s v="[Facilities].[DATIMID_USG].&amp;[rMvxuDOq0Ap]" c="rMvxuDOq0Ap"/>
        <s v="[Facilities].[DATIMID_USG].&amp;[OSjAZHq3PNR]" c="OSjAZHq3PNR"/>
        <s v="[Facilities].[DATIMID_USG].&amp;[a7335V3rMOm]" c="a7335V3rMOm"/>
        <s v="[Facilities].[DATIMID_USG].&amp;[NDbc1PHxClB]" c="NDbc1PHxClB"/>
        <s v="[Facilities].[DATIMID_USG].&amp;[G6odWxL3Lot]" c="G6odWxL3Lot"/>
        <s v="[Facilities].[DATIMID_USG].&amp;[QRvQodV8ctU]" c="QRvQodV8ctU"/>
        <s v="[Facilities].[DATIMID_USG].&amp;[DvLBPHEyZPY]" c="DvLBPHEyZPY"/>
        <s v="[Facilities].[DATIMID_USG].&amp;[DewMRPsDa4i]" c="DewMRPsDa4i"/>
        <s v="[Facilities].[DATIMID_USG].&amp;[ZOdvlLfTctk]" c="ZOdvlLfTctk"/>
        <s v="[Facilities].[DATIMID_USG].&amp;[uTu73s9Jyd4]" c="uTu73s9Jyd4"/>
        <s v="[Facilities].[DATIMID_USG].&amp;[MsddktaHsa7]" c="MsddktaHsa7"/>
        <s v="[Facilities].[DATIMID_USG].&amp;[FX3sU5mzgXC]" c="FX3sU5mzgXC"/>
        <s v="[Facilities].[DATIMID_USG].&amp;[hMSI3KCb55X]" c="hMSI3KCb55X"/>
        <s v="[Facilities].[DATIMID_USG].&amp;[C1MQYO4pETs]" c="C1MQYO4pETs"/>
        <s v="[Facilities].[DATIMID_USG].&amp;[bhPZMJIRI9k]" c="bhPZMJIRI9k"/>
        <s v="[Facilities].[DATIMID_USG].&amp;[Ox24wFnPHiN]" c="Ox24wFnPHiN"/>
        <s v="[Facilities].[DATIMID_USG].&amp;[Ku7PUMHKneW]" c="Ku7PUMHKneW"/>
        <s v="[Facilities].[DATIMID_USG].&amp;[VuiYHy2vsKJ]" c="VuiYHy2vsKJ"/>
        <s v="[Facilities].[DATIMID_USG].&amp;[dKlgstRMZOX]" c="dKlgstRMZOX"/>
        <s v="[Facilities].[DATIMID_USG].&amp;[sAbhLuicNGv]" c="sAbhLuicNGv"/>
        <s v="[Facilities].[DATIMID_USG].&amp;[BSq5SofHdES]" c="BSq5SofHdES"/>
        <s v="[Facilities].[DATIMID_USG].&amp;[ae8wbmpnrol]" c="ae8wbmpnrol"/>
        <s v="[Facilities].[DATIMID_USG].&amp;[vX7k6iVXzce]" c="vX7k6iVXzce"/>
        <s v="[Facilities].[DATIMID_USG].&amp;[keCluxPGkqO]" c="keCluxPGkqO"/>
        <s v="[Facilities].[DATIMID_USG].&amp;[OvYKTP1NCmG]" c="OvYKTP1NCmG"/>
        <s v="[Facilities].[DATIMID_USG].&amp;[JjndrWlUdky]" c="JjndrWlUdky"/>
        <s v="[Facilities].[DATIMID_USG].&amp;[OIWlSbw0KRp]" c="OIWlSbw0KRp"/>
        <s v="[Facilities].[DATIMID_USG].&amp;[j9lfgNapcK6]" c="j9lfgNapcK6"/>
        <s v="[Facilities].[DATIMID_USG].&amp;[RpQ3yUtKCjx]" c="RpQ3yUtKCjx"/>
        <s v="[Facilities].[DATIMID_USG].&amp;[eCNrWanqg0w]" c="eCNrWanqg0w"/>
        <s v="[Facilities].[DATIMID_USG].&amp;[mzSbzgFfiEv]" c="mzSbzgFfiEv"/>
        <s v="[Facilities].[DATIMID_USG].&amp;[lZvN4Uk0xtC]" c="lZvN4Uk0xtC"/>
        <s v="[Facilities].[DATIMID_USG].&amp;[UmFBkUDnRNw]" c="UmFBkUDnRNw"/>
        <s v="[Facilities].[DATIMID_USG].&amp;[ER0AFFZz9bE]" c="ER0AFFZz9bE"/>
        <s v="[Facilities].[DATIMID_USG].&amp;[c3mdURjYLhI]" c="c3mdURjYLhI"/>
        <s v="[Facilities].[DATIMID_USG].&amp;[h74zk3vHZvn]" c="h74zk3vHZvn"/>
        <s v="[Facilities].[DATIMID_USG].&amp;[umgWbKkUInS]" c="umgWbKkUInS"/>
        <s v="[Facilities].[DATIMID_USG].&amp;[yuvleWr5Lr2]" c="yuvleWr5Lr2"/>
        <s v="[Facilities].[DATIMID_USG].&amp;[F6q6yi4hTZ4]" c="F6q6yi4hTZ4"/>
        <s v="[Facilities].[DATIMID_USG].&amp;[FjbY4bEV8FN]" c="FjbY4bEV8FN"/>
        <s v="[Facilities].[DATIMID_USG].&amp;[fOZAy8vpDh7]" c="fOZAy8vpDh7"/>
        <s v="[Facilities].[DATIMID_USG].&amp;[MVyAgeKXn1e]" c="MVyAgeKXn1e"/>
        <s v="[Facilities].[DATIMID_USG].&amp;[Y5NLQUn0ySZ]" c="Y5NLQUn0ySZ"/>
        <s v="[Facilities].[DATIMID_USG].&amp;[oYIw1dx2Urj]" c="oYIw1dx2Urj"/>
        <s v="[Facilities].[DATIMID_USG].&amp;[c0MndohPBsb]" c="c0MndohPBsb"/>
        <s v="[Facilities].[DATIMID_USG].&amp;[CTT3AYSV96z]" c="CTT3AYSV96z"/>
        <s v="[Facilities].[DATIMID_USG].&amp;[OLgVGknNnhd]" c="OLgVGknNnhd"/>
        <s v="[Facilities].[DATIMID_USG].&amp;[PCc1DGsj8fV]" c="PCc1DGsj8fV"/>
        <s v="[Facilities].[DATIMID_USG].&amp;[yJrvCXphLJg]" c="yJrvCXphLJg"/>
        <s v="[Facilities].[DATIMID_USG].&amp;[ZUoOfY6Hp8w]" c="ZUoOfY6Hp8w"/>
        <s v="[Facilities].[DATIMID_USG].&amp;[MojsOgY49E7]" c="MojsOgY49E7"/>
        <s v="[Facilities].[DATIMID_USG].&amp;[D9gdIGY57dl]" c="D9gdIGY57dl"/>
        <s v="[Facilities].[DATIMID_USG].&amp;[JGa5loOablm]" c="JGa5loOablm"/>
        <s v="[Facilities].[DATIMID_USG].&amp;[FI8yz55dz7t]" c="FI8yz55dz7t"/>
        <s v="[Facilities].[DATIMID_USG].&amp;[a6ayJWzVm6Z]" c="a6ayJWzVm6Z"/>
        <s v="[Facilities].[DATIMID_USG].&amp;[palE7ZPMBeJ]" c="palE7ZPMBeJ"/>
        <s v="[Facilities].[DATIMID_USG].&amp;[EaRRViOvC5g]" c="EaRRViOvC5g"/>
        <s v="[Facilities].[DATIMID_USG].&amp;[TIAOn3flmSf]" c="TIAOn3flmSf"/>
        <s v="[Facilities].[DATIMID_USG].&amp;[GpyJTjJFzf0]" c="GpyJTjJFzf0"/>
        <s v="[Facilities].[DATIMID_USG].&amp;[zSKx1i3INce]" c="zSKx1i3INce"/>
        <s v="[Facilities].[DATIMID_USG].&amp;[eNjUkmSHksk]" c="eNjUkmSHksk"/>
        <s v="[Facilities].[DATIMID_USG].&amp;[tktiBXhdLNC]" c="tktiBXhdLNC"/>
        <s v="[Facilities].[DATIMID_USG].&amp;[YfXdS5hPW2h]" c="YfXdS5hPW2h"/>
        <s v="[Facilities].[DATIMID_USG].&amp;[nDEdjpWNurX]" c="nDEdjpWNurX"/>
        <s v="[Facilities].[DATIMID_USG].&amp;[VMnMmQCzyGF]" c="VMnMmQCzyGF"/>
        <s v="[Facilities].[DATIMID_USG].&amp;[RSd6t37kTWD]" c="RSd6t37kTWD"/>
        <s v="[Facilities].[DATIMID_USG].&amp;[oxDoMGkDQzy]" c="oxDoMGkDQzy"/>
        <s v="[Facilities].[DATIMID_USG].&amp;[Js4r1kNLEOW]" c="Js4r1kNLEOW"/>
        <s v="[Facilities].[DATIMID_USG].&amp;[avNfPOuDrZP]" c="avNfPOuDrZP"/>
        <s v="[Facilities].[DATIMID_USG].&amp;[OJloEEIlMCR]" c="OJloEEIlMCR"/>
        <s v="[Facilities].[DATIMID_USG].&amp;[FuQ8to06axT]" c="FuQ8to06axT"/>
        <s v="[Facilities].[DATIMID_USG].&amp;[xU715Z9uoPN]" c="xU715Z9uoPN"/>
        <s v="[Facilities].[DATIMID_USG].&amp;[swmn854gwLX]" c="swmn854gwLX"/>
        <s v="[Facilities].[DATIMID_USG].&amp;[TbP7lvi2d6U]" c="TbP7lvi2d6U"/>
        <s v="[Facilities].[DATIMID_USG].&amp;[Z3O0K5r3pM4]" c="Z3O0K5r3pM4"/>
        <s v="[Facilities].[DATIMID_USG].&amp;[Lx9O6vI0TSs]" c="Lx9O6vI0TSs"/>
        <s v="[Facilities].[DATIMID_USG].&amp;[OVww8PN6jdv]" c="OVww8PN6jdv"/>
        <s v="[Facilities].[DATIMID_USG].&amp;[guC2e5acV6k]" c="guC2e5acV6k"/>
        <s v="[Facilities].[DATIMID_USG].&amp;[Jpw4LOb2lPd]" c="Jpw4LOb2lPd"/>
        <s v="[Facilities].[DATIMID_USG].&amp;[T53PQVYgYbk]" c="T53PQVYgYbk"/>
        <s v="[Facilities].[DATIMID_USG].&amp;[rWXqL4f2ua3]" c="rWXqL4f2ua3"/>
        <s v="[Facilities].[DATIMID_USG].&amp;[eXBYDeWs7sl]" c="eXBYDeWs7sl"/>
        <s v="[Facilities].[DATIMID_USG].&amp;[F4ocpWKl1zu]" c="F4ocpWKl1zu"/>
        <s v="[Facilities].[DATIMID_USG].&amp;[s3GjZrhH2MN]" c="s3GjZrhH2MN"/>
        <s v="[Facilities].[DATIMID_USG].&amp;[OO4wczWBizi]" c="OO4wczWBizi"/>
        <s v="[Facilities].[DATIMID_USG].&amp;[WQrJcX9pXpe]" c="WQrJcX9pXpe"/>
        <s v="[Facilities].[DATIMID_USG].&amp;[O4nN5UviHtb]" c="O4nN5UviHtb"/>
        <s v="[Facilities].[DATIMID_USG].&amp;[l57aKtqj9SK]" c="l57aKtqj9SK"/>
        <s v="[Facilities].[DATIMID_USG].&amp;[bWxKiL0V3wH]" c="bWxKiL0V3wH"/>
        <s v="[Facilities].[DATIMID_USG].&amp;[qkw5QhFNuKU]" c="qkw5QhFNuKU"/>
        <s v="[Facilities].[DATIMID_USG].&amp;[T3328UF2Fk2]" c="T3328UF2Fk2"/>
        <s v="[Facilities].[DATIMID_USG].&amp;[e3CnSFj0AJJ]" c="e3CnSFj0AJJ"/>
        <s v="[Facilities].[DATIMID_USG].&amp;[k0THP58Q2jA]" c="k0THP58Q2jA"/>
        <s v="[Facilities].[DATIMID_USG].&amp;[dndcoOmSVRn]" c="dndcoOmSVRn"/>
        <s v="[Facilities].[DATIMID_USG].&amp;[fYDKTeRRa00]" c="fYDKTeRRa00"/>
        <s v="[Facilities].[DATIMID_USG].&amp;[gATcaCjhtlu]" c="gATcaCjhtlu"/>
        <s v="[Facilities].[DATIMID_USG].&amp;[GdSLs01rdPN]" c="GdSLs01rdPN"/>
        <s v="[Facilities].[DATIMID_USG].&amp;[BgrsUOuExCC]" c="BgrsUOuExCC"/>
        <s v="[Facilities].[DATIMID_USG].&amp;[z3qmLgwuQwS]" c="z3qmLgwuQwS"/>
        <s v="[Facilities].[DATIMID_USG].&amp;[iaZW53FrWzp]" c="iaZW53FrWzp"/>
        <s v="[Facilities].[DATIMID_USG].&amp;[X7QTHbbT1ae]" c="X7QTHbbT1ae"/>
        <s v="[Facilities].[DATIMID_USG].&amp;[A40gRVDVynG]" c="A40gRVDVynG"/>
        <s v="[Facilities].[DATIMID_USG].&amp;[lRsqzpXRdqm]" c="lRsqzpXRdqm"/>
        <s v="[Facilities].[DATIMID_USG].&amp;[pEvTGcRiuyU]" c="pEvTGcRiuyU"/>
        <s v="[Facilities].[DATIMID_USG].&amp;[bKMjDPMnFoj]" c="bKMjDPMnFoj"/>
        <s v="[Facilities].[DATIMID_USG].&amp;[j3mYl9szVpe]" c="j3mYl9szVpe"/>
        <s v="[Facilities].[DATIMID_USG].&amp;[SXKUGqmjUFL]" c="SXKUGqmjUFL"/>
        <s v="[Facilities].[DATIMID_USG].&amp;[wbI3tayWWm3]" c="wbI3tayWWm3"/>
        <s v="[Facilities].[DATIMID_USG].&amp;[fTr17NWmmTU]" c="fTr17NWmmTU"/>
        <s v="[Facilities].[DATIMID_USG].&amp;[tAtz6KnCWrH]" c="tAtz6KnCWrH"/>
        <s v="[Facilities].[DATIMID_USG].&amp;[xt7npagKTti]" c="xt7npagKTti"/>
        <s v="[Facilities].[DATIMID_USG].&amp;[vvy5cPW2NnJ]" c="vvy5cPW2NnJ"/>
        <s v="[Facilities].[DATIMID_USG].&amp;[Ksl44TAO0xF]" c="Ksl44TAO0xF"/>
        <s v="[Facilities].[DATIMID_USG].&amp;[F9A1y0XBwgi]" c="F9A1y0XBwgi"/>
        <s v="[Facilities].[DATIMID_USG].&amp;[q0iU4ijqSYm]" c="q0iU4ijqSYm"/>
        <s v="[Facilities].[DATIMID_USG].&amp;[vWwDK254Okb]" c="vWwDK254Okb"/>
        <s v="[Facilities].[DATIMID_USG].&amp;[VchcmEoue4p]" c="VchcmEoue4p"/>
        <s v="[Facilities].[DATIMID_USG].&amp;[TiAhCvzxgfw]" c="TiAhCvzxgfw"/>
        <s v="[Facilities].[DATIMID_USG].&amp;[RSL8MgCVxmo]" c="RSL8MgCVxmo"/>
        <s v="[Facilities].[DATIMID_USG].&amp;[zBK0Swy4PWU]" c="zBK0Swy4PWU"/>
        <s v="[Facilities].[DATIMID_USG].&amp;[vk4LrOLhUey]" c="vk4LrOLhUey"/>
        <s v="[Facilities].[DATIMID_USG].&amp;[ogZZ5O3QhWj]" c="ogZZ5O3QhWj"/>
        <s v="[Facilities].[DATIMID_USG].&amp;[MNkhHqkgd5n]" c="MNkhHqkgd5n"/>
        <s v="[Facilities].[DATIMID_USG].&amp;[eGNP1huD9zy]" c="eGNP1huD9zy"/>
        <s v="[Facilities].[DATIMID_USG].&amp;[w11N4JPT0x6]" c="w11N4JPT0x6"/>
        <s v="[Facilities].[DATIMID_USG].&amp;[OWzlK0QFLyf]" c="OWzlK0QFLyf"/>
        <s v="[Facilities].[DATIMID_USG].&amp;[Fxsr7ZDyNcu]" c="Fxsr7ZDyNcu"/>
        <s v="[Facilities].[DATIMID_USG].&amp;[Wl8wGdHRGN1]" c="Wl8wGdHRGN1"/>
        <s v="[Facilities].[DATIMID_USG].&amp;[RLkTSPu66Ty]" c="RLkTSPu66Ty"/>
        <s v="[Facilities].[DATIMID_USG].&amp;[N3j9hD0lIWP]" c="N3j9hD0lIWP"/>
        <s v="[Facilities].[DATIMID_USG].&amp;[HFdnPaEfFVn]" c="HFdnPaEfFVn"/>
        <s v="[Facilities].[DATIMID_USG].&amp;[UbJHGsxvxEe]" c="UbJHGsxvxEe"/>
        <s v="[Facilities].[DATIMID_USG].&amp;[BmMyrNuj6RH]" c="BmMyrNuj6RH"/>
        <s v="[Facilities].[DATIMID_USG].&amp;[kgkqXguSvhF]" c="kgkqXguSvhF"/>
        <s v="[Facilities].[DATIMID_USG].&amp;[pupmcjQ2Yhq]" c="pupmcjQ2Yhq"/>
        <s v="[Facilities].[DATIMID_USG].&amp;[srRT7qdx6aW]" c="srRT7qdx6aW"/>
        <s v="[Facilities].[DATIMID_USG].&amp;[AJp5NT1cN7O]" c="AJp5NT1cN7O"/>
        <s v="[Facilities].[DATIMID_USG].&amp;[s7n2YHCY9R2]" c="s7n2YHCY9R2"/>
        <s v="[Facilities].[DATIMID_USG].&amp;[GoZObLKJsH7]" c="GoZObLKJsH7"/>
        <s v="[Facilities].[DATIMID_USG].&amp;[Rug5Jx8xMVJ]" c="Rug5Jx8xMVJ"/>
        <s v="[Facilities].[DATIMID_USG].&amp;[QTDhqPadI7q]" c="QTDhqPadI7q"/>
        <s v="[Facilities].[DATIMID_USG].&amp;[KDhxY3quLCY]" c="KDhxY3quLCY"/>
        <s v="[Facilities].[DATIMID_USG].&amp;[zF3bQsmyhVR]" c="zF3bQsmyhVR"/>
        <s v="[Facilities].[DATIMID_USG].&amp;[PN06yVOKBWp]" c="PN06yVOKBWp"/>
        <s v="[Facilities].[DATIMID_USG].&amp;[e0rnqByy8ia]" c="e0rnqByy8ia"/>
        <s v="[Facilities].[DATIMID_USG].&amp;[TqhUMoFeJiw]" c="TqhUMoFeJiw"/>
        <s v="[Facilities].[DATIMID_USG].&amp;[gUHKrTOKCD8]" c="gUHKrTOKCD8"/>
        <s v="[Facilities].[DATIMID_USG].&amp;[y6wjTE92baX]" c="y6wjTE92baX"/>
        <s v="[Facilities].[DATIMID_USG].&amp;[egABWArYbm6]" c="egABWArYbm6"/>
        <s v="[Facilities].[DATIMID_USG].&amp;[XUJUFm4ohAC]" c="XUJUFm4ohAC"/>
        <s v="[Facilities].[DATIMID_USG].&amp;[kKhP3RHvrjS]" c="kKhP3RHvrjS"/>
        <s v="[Facilities].[DATIMID_USG].&amp;[Qrg4fTo2egd]" c="Qrg4fTo2egd"/>
        <s v="[Facilities].[DATIMID_USG].&amp;[LSliDW416R5]" c="LSliDW416R5"/>
        <s v="[Facilities].[DATIMID_USG].&amp;[S4Ad0TiiKg9]" c="S4Ad0TiiKg9"/>
        <s v="[Facilities].[DATIMID_USG].&amp;[mAYmZpFCe2h]" c="mAYmZpFCe2h"/>
        <s v="[Facilities].[DATIMID_USG].&amp;[pVpMQjbiWGe]" c="pVpMQjbiWGe"/>
        <s v="[Facilities].[DATIMID_USG].&amp;[jOG25nSDBbR]" c="jOG25nSDBbR"/>
        <s v="[Facilities].[DATIMID_USG].&amp;[PnwaZxmugHM]" c="PnwaZxmugHM"/>
        <s v="[Facilities].[DATIMID_USG].&amp;[YC4myequeDn]" c="YC4myequeDn"/>
        <s v="[Facilities].[DATIMID_USG].&amp;[BnkYj0nDiTt]" c="BnkYj0nDiTt"/>
        <s v="[Facilities].[DATIMID_USG].&amp;[dphEnEyZusY]" c="dphEnEyZusY"/>
        <s v="[Facilities].[DATIMID_USG].&amp;[mDrVnC7TQve]" c="mDrVnC7TQve"/>
        <s v="[Facilities].[DATIMID_USG].&amp;[lOrNfZGGes9]" c="lOrNfZGGes9"/>
        <s v="[Facilities].[DATIMID_USG].&amp;[N5xJgGNQEbZ]" c="N5xJgGNQEbZ"/>
      </sharedItems>
    </cacheField>
    <cacheField name="[Facilities].[DATIMID].[DATIMID]" caption="DATIMID" numFmtId="0" hierarchy="20" level="1">
      <sharedItems count="1">
        <s v="[Facilities].[DATIMID].&amp;[cO2BEfldruW]" c="cO2BEfldruW"/>
      </sharedItems>
    </cacheField>
    <cacheField name="[Facilities].[ShortName].[ShortName]" caption="ShortName" numFmtId="0" hierarchy="39" level="1">
      <sharedItems count="1">
        <s v="[Facilities].[ShortName].&amp;[muriet]" c="muriet"/>
      </sharedItems>
    </cacheField>
    <cacheField name="[Measures].[MeasuresLevel]" caption="MeasuresLevel" numFmtId="0" hierarchy="258">
      <sharedItems count="44">
        <s v="[Measures].[MMS_180+_M_A]" c="MMS_180+_M_A"/>
        <s v="[Measures].[SDI_00_07]" c="SDI_00_07"/>
        <s v="[Measures].[MMS_180+_F_P]" c="MMS_180+_F_P"/>
        <s v="[Measures].[MMS_180+_F_A]" c="MMS_180+_F_A"/>
        <s v="[Measures].[MMS_180+_M_P]" c="MMS_180+_M_P"/>
        <s v="[Measures].[SDI_15+]" c="SDI_15+"/>
        <s v="[Measures].[SDI_08_14]" c="SDI_08_14"/>
        <s v="[Measures].[TX_CURR]" c="TX_CURR"/>
        <s v="[Measures].[TO]" c="TO"/>
        <s v="[Measures].[TI]" c="TI"/>
        <s v="[Measures].[TX_CURR_PRIOR_MONTH]" c="TX_CURR_PRIOR_MONTH"/>
        <s v="[Measures].[TX_NEW_2VIS]" c="TX_NEW_2VIS"/>
        <s v="[Measures].[DIED]" c="DIED"/>
        <s v="[Measures].[MMS_32_62]" c="MMS_32_62"/>
        <s v="[Measures].[MMS_01_31]" c="MMS_01_31"/>
        <s v="[Measures].[MISSEDAPP]" c="MISSEDAPP"/>
        <s v="[Measures].[TBPREV_N]" c="TBPREV_N"/>
        <s v="[Measures].[HVL_ELIG_P]" c="HVL_ELIG_P"/>
        <s v="[Measures].[TBPREV_NEW]" c="TBPREV_NEW"/>
        <s v="[Measures].[TBPREV_D]" c="TBPREV_D"/>
        <s v="[Measures].[MMS_63+]" c="MMS_63+"/>
        <s v="[Measures].[HVL_D_P]" c="HVL_D_P"/>
        <s v="[Measures].[TX_CURR_F_P]" c="TX_CURR_F_P"/>
        <s v="[Measures].[HVL_ELIG_A]" c="HVL_ELIG_A"/>
        <s v="[Measures].[TX_CURR_M_A]" c="TX_CURR_M_A"/>
        <s v="[Measures].[TX_CURR_F_A]" c="TX_CURR_F_A"/>
        <s v="[Measures].[TX_CURR_M_P]" c="TX_CURR_M_P"/>
        <s v="[Measures].[HVL_N_A]" c="HVL_N_A"/>
        <s v="[Measures].[HVL_N_P]" c="HVL_N_P"/>
        <s v="[Measures].[HVL_D_A]" c="HVL_D_A"/>
        <s v="[Measures].[TX_NEW_M_A]" c="TX_NEW_M_A"/>
        <s v="[Measures].[MMS_180+_A]" c="MMS_180+_A"/>
        <s v="[Measures].[MMS_180+_P]" c="MMS_180+_P"/>
        <s v="[Measures].[TX_NEW_F_A]" c="TX_NEW_F_A"/>
        <s v="[Measures].[TX_NEW_F_P]" c="TX_NEW_F_P"/>
        <s v="[Measures].[TX_NEW_M_P]" c="TX_NEW_M_P"/>
        <s v="[Measures].[MMS_90_179_M_A]" c="MMS_90_179_M_A"/>
        <s v="[Measures].[MMS_90_179_F_A]" c="MMS_90_179_F_A"/>
        <s v="[Measures].[MMS_90_179_M_P]" c="MMS_90_179_M_P"/>
        <s v="[Measures].[MMS_90_179_F_P]" c="MMS_90_179_F_P"/>
        <s v="[Measures].[MMS_01_89_M_A]" c="MMS_01_89_M_A"/>
        <s v="[Measures].[MMS_01_89_F_A]" c="MMS_01_89_F_A"/>
        <s v="[Measures].[MMS_01_89_M_P]" c="MMS_01_89_M_P"/>
        <s v="[Measures].[MMS_01_89_F_P]" c="MMS_01_89_F_P"/>
      </sharedItems>
    </cacheField>
  </cacheFields>
  <cacheHierarchies count="729">
    <cacheHierarchy uniqueName="[Age Group].[Age]" caption="Age" attribute="1" defaultMemberUniqueName="[Age Group].[Age].[All]" allUniqueName="[Age Group].[Age].[All]" dimensionUniqueName="[Age Group]" displayFolder="" count="2" unbalanced="0"/>
    <cacheHierarchy uniqueName="[Age Group].[AgeGroup]" caption="AgeGroup" attribute="1" defaultMemberUniqueName="[Age Group].[AgeGroup].[All]" allUniqueName="[Age Group].[AgeGroup].[All]" dimensionUniqueName="[Age Group]" displayFolder="" count="2" unbalanced="0"/>
    <cacheHierarchy uniqueName="[Age Group].[AgeGroup_A_P]" caption="AgeGroup_A_P" attribute="1" defaultMemberUniqueName="[Age Group].[AgeGroup_A_P].[All]" allUniqueName="[Age Group].[AgeGroup_A_P].[All]" dimensionUniqueName="[Age Group]" displayFolder="" count="2" unbalanced="0"/>
    <cacheHierarchy uniqueName="[DimDate].[Date]" caption="Date" attribute="1" defaultMemberUniqueName="[DimDate].[Date].[All]" allUniqueName="[DimDate].[Date].[All]" dimensionUniqueName="[DimDate]" displayFolder="" count="2" unbalanced="0"/>
    <cacheHierarchy uniqueName="[DimDate].[DateKey]" caption="DateKey" attribute="1" defaultMemberUniqueName="[DimDate].[DateKey].[All]" allUniqueName="[DimDate].[DateKey].[All]" dimensionUniqueName="[DimDate]" displayFolder="" count="2" unbalanced="0"/>
    <cacheHierarchy uniqueName="[DimDate].[DayName]" caption="DayName" attribute="1" defaultMemberUniqueName="[DimDate].[DayName].[All]" allUniqueName="[DimDate].[DayName].[All]" dimensionUniqueName="[DimDate]" displayFolder="" count="2" unbalanced="0"/>
    <cacheHierarchy uniqueName="[DimDate].[FiscalQuarter]" caption="FiscalQuarter" attribute="1" defaultMemberUniqueName="[DimDate].[FiscalQuarter].[All]" allUniqueName="[DimDate].[FiscalQuarter].[All]" dimensionUniqueName="[DimDate]" displayFolder="" count="2" unbalanced="0"/>
    <cacheHierarchy uniqueName="[DimDate].[FiscalQuarterName]" caption="FiscalQuarterName" attribute="1" defaultMemberUniqueName="[DimDate].[FiscalQuarterName].[All]" allUniqueName="[DimDate].[FiscalQuarterName].[All]" dimensionUniqueName="[DimDate]" displayFolder="" count="2" unbalanced="0"/>
    <cacheHierarchy uniqueName="[DimDate].[FiscalQuarterNum]" caption="FiscalQuarterNum" attribute="1" defaultMemberUniqueName="[DimDate].[FiscalQuarterNum].[All]" allUniqueName="[DimDate].[FiscalQuarterNum].[All]" dimensionUniqueName="[DimDate]" displayFolder="" count="2" unbalanced="0"/>
    <cacheHierarchy uniqueName="[DimDate].[FiscalYear]" caption="FiscalYear" attribute="1" defaultMemberUniqueName="[DimDate].[FiscalYear].[All]" allUniqueName="[DimDate].[FiscalYear].[All]" dimensionUniqueName="[DimDate]" displayFolder="" count="2" unbalanced="0"/>
    <cacheHierarchy uniqueName="[DimDate].[Month]" caption="Month" attribute="1" defaultMemberUniqueName="[DimDate].[Month].[All]" allUniqueName="[DimDate].[Month].[All]" dimensionUniqueName="[DimDate]" displayFolder="" count="2" unbalanced="0"/>
    <cacheHierarchy uniqueName="[DimDate].[MonthName]" caption="MonthName" attribute="1" defaultMemberUniqueName="[DimDate].[MonthName].[All]" allUniqueName="[DimDate].[MonthName].[All]" dimensionUniqueName="[DimDate]" displayFolder="" count="2" unbalanced="0"/>
    <cacheHierarchy uniqueName="[DimDate].[MonthNameShort]" caption="MonthNameShort" attribute="1" defaultMemberUniqueName="[DimDate].[MonthNameShort].[All]" allUniqueName="[DimDate].[MonthNameShort].[All]" dimensionUniqueName="[DimDate]" displayFolder="" count="2" unbalanced="0"/>
    <cacheHierarchy uniqueName="[DimDate].[MonthYear]" caption="MonthYear" attribute="1" defaultMemberUniqueName="[DimDate].[MonthYear].[All]" allUniqueName="[DimDate].[MonthYear].[All]" dimensionUniqueName="[DimDate]" displayFolder="" count="2" unbalanced="0">
      <fieldsUsage count="2">
        <fieldUsage x="-1"/>
        <fieldUsage x="0"/>
      </fieldsUsage>
    </cacheHierarchy>
    <cacheHierarchy uniqueName="[DimDate].[Quarter]" caption="Quarter" attribute="1" defaultMemberUniqueName="[DimDate].[Quarter].[All]" allUniqueName="[DimDate].[Quarter].[All]" dimensionUniqueName="[DimDate]" displayFolder="" count="2" unbalanced="0"/>
    <cacheHierarchy uniqueName="[DimDate].[QuarterName]" caption="QuarterName" attribute="1" defaultMemberUniqueName="[DimDate].[QuarterName].[All]" allUniqueName="[DimDate].[QuarterName].[All]" dimensionUniqueName="[DimDate]" displayFolder="" count="2" unbalanced="0"/>
    <cacheHierarchy uniqueName="[DimDate].[Year]" caption="Year" attribute="1" defaultMemberUniqueName="[DimDate].[Year].[All]" allUniqueName="[DimDate].[Year].[All]" dimensionUniqueName="[DimDate]" displayFolder="" count="2" unbalanced="0"/>
    <cacheHierarchy uniqueName="[Facilities].[AccessFilename]" caption="AccessFilename" attribute="1" defaultMemberUniqueName="[Facilities].[AccessFilename].[All]" allUniqueName="[Facilities].[AccessFilename].[All]" dimensionUniqueName="[Facilities]" displayFolder="" count="2" unbalanced="0"/>
    <cacheHierarchy uniqueName="[Facilities].[CTCPrefix]" caption="CTCPrefix" attribute="1" defaultMemberUniqueName="[Facilities].[CTCPrefix].[All]" allUniqueName="[Facilities].[CTCPrefix].[All]" dimensionUniqueName="[Facilities]" displayFolder="" count="2" unbalanced="0"/>
    <cacheHierarchy uniqueName="[Facilities].[DATIMCouncil]" caption="DATIMCouncil" attribute="1" defaultMemberUniqueName="[Facilities].[DATIMCouncil].[All]" allUniqueName="[Facilities].[DATIMCouncil].[All]" dimensionUniqueName="[Facilities]" displayFolder="" count="2" unbalanced="0"/>
    <cacheHierarchy uniqueName="[Facilities].[DATIMID]" caption="DATIMID" attribute="1" defaultMemberUniqueName="[Facilities].[DATIMID].[All]" allUniqueName="[Facilities].[DATIMID].[All]" dimensionUniqueName="[Facilities]" displayFolder="" count="2" unbalanced="0">
      <fieldsUsage count="2">
        <fieldUsage x="-1"/>
        <fieldUsage x="2"/>
      </fieldsUsage>
    </cacheHierarchy>
    <cacheHierarchy uniqueName="[Facilities].[DATIMID_USG]" caption="DATIMID_USG" attribute="1" defaultMemberUniqueName="[Facilities].[DATIMID_USG].[All]" allUniqueName="[Facilities].[DATIMID_USG].[All]" dimensionUniqueName="[Facilities]" displayFolder="" count="2" unbalanced="0">
      <fieldsUsage count="2">
        <fieldUsage x="-1"/>
        <fieldUsage x="1"/>
      </fieldsUsage>
    </cacheHierarchy>
    <cacheHierarchy uniqueName="[Facilities].[DATIMName]" caption="DATIMName" attribute="1" defaultMemberUniqueName="[Facilities].[DATIMName].[All]" allUniqueName="[Facilities].[DATIMName].[All]" dimensionUniqueName="[Facilities]" displayFolder="" count="2" unbalanced="0"/>
    <cacheHierarchy uniqueName="[Facilities].[DHISOwnership]" caption="DHISOwnership" attribute="1" defaultMemberUniqueName="[Facilities].[DHISOwnership].[All]" allUniqueName="[Facilities].[DHISOwnership].[All]" dimensionUniqueName="[Facilities]" displayFolder="" count="2" unbalanced="0"/>
    <cacheHierarchy uniqueName="[Facilities].[DHSID]" caption="DHSID" attribute="1" defaultMemberUniqueName="[Facilities].[DHSID].[All]" allUniqueName="[Facilities].[DHSID].[All]" dimensionUniqueName="[Facilities]" displayFolder="" count="2" unbalanced="0"/>
    <cacheHierarchy uniqueName="[Facilities].[DHSName]" caption="DHSName" attribute="1" defaultMemberUniqueName="[Facilities].[DHSName].[All]" allUniqueName="[Facilities].[DHSName].[All]" dimensionUniqueName="[Facilities]" displayFolder="" count="2" unbalanced="0"/>
    <cacheHierarchy uniqueName="[Facilities].[District]" caption="District" attribute="1" defaultMemberUniqueName="[Facilities].[District].[All]" allUniqueName="[Facilities].[District].[All]" dimensionUniqueName="[Facilities]" displayFolder="" count="2" unbalanced="0"/>
    <cacheHierarchy uniqueName="[Facilities].[DistrictRevised]" caption="DistrictRevised" attribute="1" defaultMemberUniqueName="[Facilities].[DistrictRevised].[All]" allUniqueName="[Facilities].[DistrictRevised].[All]" dimensionUniqueName="[Facilities]" displayFolder="" count="2" unbalanced="0"/>
    <cacheHierarchy uniqueName="[Facilities].[FacilityKey]" caption="FacilityKey" attribute="1" defaultMemberUniqueName="[Facilities].[FacilityKey].[All]" allUniqueName="[Facilities].[FacilityKey].[All]" dimensionUniqueName="[Facilities]" displayFolder="" count="2" unbalanced="0"/>
    <cacheHierarchy uniqueName="[Facilities].[FacilityName]" caption="FacilityName" attribute="1" defaultMemberUniqueName="[Facilities].[FacilityName].[All]" allUniqueName="[Facilities].[FacilityName].[All]" dimensionUniqueName="[Facilities]" displayFolder="" count="2" unbalanced="0"/>
    <cacheHierarchy uniqueName="[Facilities].[GlaserFacilityType]" caption="GlaserFacilityType" attribute="1" defaultMemberUniqueName="[Facilities].[GlaserFacilityType].[All]" allUniqueName="[Facilities].[GlaserFacilityType].[All]" dimensionUniqueName="[Facilities]" displayFolder="" count="2" unbalanced="0"/>
    <cacheHierarchy uniqueName="[Facilities].[GlaserID]" caption="GlaserID" attribute="1" defaultMemberUniqueName="[Facilities].[GlaserID].[All]" allUniqueName="[Facilities].[GlaserID].[All]" dimensionUniqueName="[Facilities]" displayFolder="" count="2" unbalanced="0"/>
    <cacheHierarchy uniqueName="[Facilities].[GlaserOwnership]" caption="GlaserOwnership" attribute="1" defaultMemberUniqueName="[Facilities].[GlaserOwnership].[All]" allUniqueName="[Facilities].[GlaserOwnership].[All]" dimensionUniqueName="[Facilities]" displayFolder="" count="2" unbalanced="0"/>
    <cacheHierarchy uniqueName="[Facilities].[HFRID]" caption="HFRID" attribute="1" defaultMemberUniqueName="[Facilities].[HFRID].[All]" allUniqueName="[Facilities].[HFRID].[All]" dimensionUniqueName="[Facilities]" displayFolder="" count="2" unbalanced="0"/>
    <cacheHierarchy uniqueName="[Facilities].[HFRID_USG]" caption="HFRID_USG" attribute="1" defaultMemberUniqueName="[Facilities].[HFRID_USG].[All]" allUniqueName="[Facilities].[HFRID_USG].[All]" dimensionUniqueName="[Facilities]" displayFolder="" count="2" unbalanced="0"/>
    <cacheHierarchy uniqueName="[Facilities].[latitude]" caption="latitude" attribute="1" defaultMemberUniqueName="[Facilities].[latitude].[All]" allUniqueName="[Facilities].[latitude].[All]" dimensionUniqueName="[Facilities]" displayFolder="" count="2" unbalanced="0"/>
    <cacheHierarchy uniqueName="[Facilities].[longitude]" caption="longitude" attribute="1" defaultMemberUniqueName="[Facilities].[longitude].[All]" allUniqueName="[Facilities].[longitude].[All]" dimensionUniqueName="[Facilities]" displayFolder="" count="2" unbalanced="0"/>
    <cacheHierarchy uniqueName="[Facilities].[ProgramYear]" caption="ProgramYear" attribute="1" defaultMemberUniqueName="[Facilities].[ProgramYear].[All]" allUniqueName="[Facilities].[ProgramYear].[All]" dimensionUniqueName="[Facilities]" displayFolder="" count="2" unbalanced="0"/>
    <cacheHierarchy uniqueName="[Facilities].[Region]" caption="Region" attribute="1" defaultMemberUniqueName="[Facilities].[Region].[All]" allUniqueName="[Facilities].[Region].[All]" dimensionUniqueName="[Facilities]" displayFolder="" count="2" unbalanced="0"/>
    <cacheHierarchy uniqueName="[Facilities].[ShortName]" caption="ShortName" attribute="1" defaultMemberUniqueName="[Facilities].[ShortName].[All]" allUniqueName="[Facilities].[ShortName].[All]" dimensionUniqueName="[Facilities]" displayFolder="" count="2" unbalanced="0">
      <fieldsUsage count="2">
        <fieldUsage x="-1"/>
        <fieldUsage x="3"/>
      </fieldsUsage>
    </cacheHierarchy>
    <cacheHierarchy uniqueName="[Facilities].[Tier]" caption="Tier" attribute="1" defaultMemberUniqueName="[Facilities].[Tier].[All]" allUniqueName="[Facilities].[Tier].[All]" dimensionUniqueName="[Facilities]" displayFolder="" count="2" unbalanced="0"/>
    <cacheHierarchy uniqueName="[Facilities].[Ward]" caption="Ward" attribute="1" defaultMemberUniqueName="[Facilities].[Ward].[All]" allUniqueName="[Facilities].[Ward].[All]" dimensionUniqueName="[Facilities]" displayFolder="" count="2" unbalanced="0"/>
    <cacheHierarchy uniqueName="[feb results].[agegp]" caption="agegp" attribute="1" defaultMemberUniqueName="[feb results].[agegp].[All]" allUniqueName="[feb results].[agegp].[All]" dimensionUniqueName="[feb results]" displayFolder="" count="2" unbalanced="0"/>
    <cacheHierarchy uniqueName="[feb results].[ageyrs]" caption="ageyrs" attribute="1" defaultMemberUniqueName="[feb results].[ageyrs].[All]" allUniqueName="[feb results].[ageyrs].[All]" dimensionUniqueName="[feb results]" displayFolder="" count="2" unbalanced="0"/>
    <cacheHierarchy uniqueName="[feb results].[art_814d]" caption="art_814d" attribute="1" defaultMemberUniqueName="[feb results].[art_814d].[All]" allUniqueName="[feb results].[art_814d].[All]" dimensionUniqueName="[feb results]" displayFolder="" count="2" unbalanced="0"/>
    <cacheHierarchy uniqueName="[feb results].[art_o15d]" caption="art_o15d" attribute="1" defaultMemberUniqueName="[feb results].[art_o15d].[All]" allUniqueName="[feb results].[art_o15d].[All]" dimensionUniqueName="[feb results]" displayFolder="" count="2" unbalanced="0"/>
    <cacheHierarchy uniqueName="[feb results].[art_u8]" caption="art_u8" attribute="1" defaultMemberUniqueName="[feb results].[art_u8].[All]" allUniqueName="[feb results].[art_u8].[All]" dimensionUniqueName="[feb results]" displayFolder="" count="2" unbalanced="0"/>
    <cacheHierarchy uniqueName="[feb results].[council]" caption="council" attribute="1" defaultMemberUniqueName="[feb results].[council].[All]" allUniqueName="[feb results].[council].[All]" dimensionUniqueName="[feb results]" displayFolder="" count="2" unbalanced="0"/>
    <cacheHierarchy uniqueName="[feb results].[datimname]" caption="datimname" attribute="1" defaultMemberUniqueName="[feb results].[datimname].[All]" allUniqueName="[feb results].[datimname].[All]" dimensionUniqueName="[feb results]" displayFolder="" count="2" unbalanced="0"/>
    <cacheHierarchy uniqueName="[feb results].[datimuid]" caption="datimuid" attribute="1" defaultMemberUniqueName="[feb results].[datimuid].[All]" allUniqueName="[feb results].[datimuid].[All]" dimensionUniqueName="[feb results]" displayFolder="" count="2" unbalanced="0"/>
    <cacheHierarchy uniqueName="[feb results].[died]" caption="died" attribute="1" defaultMemberUniqueName="[feb results].[died].[All]" allUniqueName="[feb results].[died].[All]" dimensionUniqueName="[feb results]" displayFolder="" count="2" unbalanced="0"/>
    <cacheHierarchy uniqueName="[feb results].[district]" caption="district" attribute="1" defaultMemberUniqueName="[feb results].[district].[All]" allUniqueName="[feb results].[district].[All]" dimensionUniqueName="[feb results]" displayFolder="" count="2" unbalanced="0"/>
    <cacheHierarchy uniqueName="[feb results].[hvl_d]" caption="hvl_d" attribute="1" defaultMemberUniqueName="[feb results].[hvl_d].[All]" allUniqueName="[feb results].[hvl_d].[All]" dimensionUniqueName="[feb results]" displayFolder="" count="2" unbalanced="0"/>
    <cacheHierarchy uniqueName="[feb results].[hvl_d_u15]" caption="hvl_d_u15" attribute="1" defaultMemberUniqueName="[feb results].[hvl_d_u15].[All]" allUniqueName="[feb results].[hvl_d_u15].[All]" dimensionUniqueName="[feb results]" displayFolder="" count="2" unbalanced="0"/>
    <cacheHierarchy uniqueName="[feb results].[hvl_u1k_n]" caption="hvl_u1k_n" attribute="1" defaultMemberUniqueName="[feb results].[hvl_u1k_n].[All]" allUniqueName="[feb results].[hvl_u1k_n].[All]" dimensionUniqueName="[feb results]" displayFolder="" count="2" unbalanced="0"/>
    <cacheHierarchy uniqueName="[feb results].[hvl_u1k_n_u15]" caption="hvl_u1k_n_u15" attribute="1" defaultMemberUniqueName="[feb results].[hvl_u1k_n_u15].[All]" allUniqueName="[feb results].[hvl_u1k_n_u15].[All]" dimensionUniqueName="[feb results]" displayFolder="" count="2" unbalanced="0"/>
    <cacheHierarchy uniqueName="[feb results].[hvlelig]" caption="hvlelig" attribute="1" defaultMemberUniqueName="[feb results].[hvlelig].[All]" allUniqueName="[feb results].[hvlelig].[All]" dimensionUniqueName="[feb results]" displayFolder="" count="2" unbalanced="0"/>
    <cacheHierarchy uniqueName="[feb results].[hvlelig_u15]" caption="hvlelig_u15" attribute="1" defaultMemberUniqueName="[feb results].[hvlelig_u15].[All]" allUniqueName="[feb results].[hvlelig_u15].[All]" dimensionUniqueName="[feb results]" displayFolder="" count="2" unbalanced="0"/>
    <cacheHierarchy uniqueName="[feb results].[missedapp]" caption="missedapp" attribute="1" defaultMemberUniqueName="[feb results].[missedapp].[All]" allUniqueName="[feb results].[missedapp].[All]" dimensionUniqueName="[feb results]" displayFolder="" count="2" unbalanced="0"/>
    <cacheHierarchy uniqueName="[feb results].[mmp_1m]" caption="mmp_1m" attribute="1" defaultMemberUniqueName="[feb results].[mmp_1m].[All]" allUniqueName="[feb results].[mmp_1m].[All]" dimensionUniqueName="[feb results]" displayFolder="" count="2" unbalanced="0"/>
    <cacheHierarchy uniqueName="[feb results].[mmp_2m]" caption="mmp_2m" attribute="1" defaultMemberUniqueName="[feb results].[mmp_2m].[All]" allUniqueName="[feb results].[mmp_2m].[All]" dimensionUniqueName="[feb results]" displayFolder="" count="2" unbalanced="0"/>
    <cacheHierarchy uniqueName="[feb results].[mmp_3m]" caption="mmp_3m" attribute="1" defaultMemberUniqueName="[feb results].[mmp_3m].[All]" allUniqueName="[feb results].[mmp_3m].[All]" dimensionUniqueName="[feb results]" displayFolder="" count="2" unbalanced="0"/>
    <cacheHierarchy uniqueName="[feb results].[mmp_6m]" caption="mmp_6m" attribute="1" defaultMemberUniqueName="[feb results].[mmp_6m].[All]" allUniqueName="[feb results].[mmp_6m].[All]" dimensionUniqueName="[feb results]" displayFolder="" count="2" unbalanced="0"/>
    <cacheHierarchy uniqueName="[feb results].[noDBsubmitted]" caption="noDBsubmitted" attribute="1" defaultMemberUniqueName="[feb results].[noDBsubmitted].[All]" allUniqueName="[feb results].[noDBsubmitted].[All]" dimensionUniqueName="[feb results]" displayFolder="" count="2" unbalanced="0"/>
    <cacheHierarchy uniqueName="[feb results].[region]" caption="region" attribute="1" defaultMemberUniqueName="[feb results].[region].[All]" allUniqueName="[feb results].[region].[All]" dimensionUniqueName="[feb results]" displayFolder="" count="2" unbalanced="0"/>
    <cacheHierarchy uniqueName="[feb results].[t_tc_mmd3to5m_o15_f]" caption="t_tc_mmd3to5m_o15_f" attribute="1" defaultMemberUniqueName="[feb results].[t_tc_mmd3to5m_o15_f].[All]" allUniqueName="[feb results].[t_tc_mmd3to5m_o15_f].[All]" dimensionUniqueName="[feb results]" displayFolder="" count="2" unbalanced="0"/>
    <cacheHierarchy uniqueName="[feb results].[t_tc_mmd3to5m_o15_m]" caption="t_tc_mmd3to5m_o15_m" attribute="1" defaultMemberUniqueName="[feb results].[t_tc_mmd3to5m_o15_m].[All]" allUniqueName="[feb results].[t_tc_mmd3to5m_o15_m].[All]" dimensionUniqueName="[feb results]" displayFolder="" count="2" unbalanced="0"/>
    <cacheHierarchy uniqueName="[feb results].[t_tc_mmd3to5m_u15_f]" caption="t_tc_mmd3to5m_u15_f" attribute="1" defaultMemberUniqueName="[feb results].[t_tc_mmd3to5m_u15_f].[All]" allUniqueName="[feb results].[t_tc_mmd3to5m_u15_f].[All]" dimensionUniqueName="[feb results]" displayFolder="" count="2" unbalanced="0"/>
    <cacheHierarchy uniqueName="[feb results].[t_tc_mmd3to5m_u15_m]" caption="t_tc_mmd3to5m_u15_m" attribute="1" defaultMemberUniqueName="[feb results].[t_tc_mmd3to5m_u15_m].[All]" allUniqueName="[feb results].[t_tc_mmd3to5m_u15_m].[All]" dimensionUniqueName="[feb results]" displayFolder="" count="2" unbalanced="0"/>
    <cacheHierarchy uniqueName="[feb results].[t_tc_mmdo6m_o15_f]" caption="t_tc_mmdo6m_o15_f" attribute="1" defaultMemberUniqueName="[feb results].[t_tc_mmdo6m_o15_f].[All]" allUniqueName="[feb results].[t_tc_mmdo6m_o15_f].[All]" dimensionUniqueName="[feb results]" displayFolder="" count="2" unbalanced="0"/>
    <cacheHierarchy uniqueName="[feb results].[t_tc_mmdo6m_o15_m]" caption="t_tc_mmdo6m_o15_m" attribute="1" defaultMemberUniqueName="[feb results].[t_tc_mmdo6m_o15_m].[All]" allUniqueName="[feb results].[t_tc_mmdo6m_o15_m].[All]" dimensionUniqueName="[feb results]" displayFolder="" count="2" unbalanced="0"/>
    <cacheHierarchy uniqueName="[feb results].[t_tc_mmdo6m_u15_f]" caption="t_tc_mmdo6m_u15_f" attribute="1" defaultMemberUniqueName="[feb results].[t_tc_mmdo6m_u15_f].[All]" allUniqueName="[feb results].[t_tc_mmdo6m_u15_f].[All]" dimensionUniqueName="[feb results]" displayFolder="" count="2" unbalanced="0"/>
    <cacheHierarchy uniqueName="[feb results].[t_tc_mmdo6m_u15_m]" caption="t_tc_mmdo6m_u15_m" attribute="1" defaultMemberUniqueName="[feb results].[t_tc_mmdo6m_u15_m].[All]" allUniqueName="[feb results].[t_tc_mmdo6m_u15_m].[All]" dimensionUniqueName="[feb results]" displayFolder="" count="2" unbalanced="0"/>
    <cacheHierarchy uniqueName="[feb results].[t_tc_mmdu3m_o15_f]" caption="t_tc_mmdu3m_o15_f" attribute="1" defaultMemberUniqueName="[feb results].[t_tc_mmdu3m_o15_f].[All]" allUniqueName="[feb results].[t_tc_mmdu3m_o15_f].[All]" dimensionUniqueName="[feb results]" displayFolder="" count="2" unbalanced="0"/>
    <cacheHierarchy uniqueName="[feb results].[t_tc_mmdu3m_o15_m]" caption="t_tc_mmdu3m_o15_m" attribute="1" defaultMemberUniqueName="[feb results].[t_tc_mmdu3m_o15_m].[All]" allUniqueName="[feb results].[t_tc_mmdu3m_o15_m].[All]" dimensionUniqueName="[feb results]" displayFolder="" count="2" unbalanced="0"/>
    <cacheHierarchy uniqueName="[feb results].[t_tc_mmdu3m_u15_f]" caption="t_tc_mmdu3m_u15_f" attribute="1" defaultMemberUniqueName="[feb results].[t_tc_mmdu3m_u15_f].[All]" allUniqueName="[feb results].[t_tc_mmdu3m_u15_f].[All]" dimensionUniqueName="[feb results]" displayFolder="" count="2" unbalanced="0"/>
    <cacheHierarchy uniqueName="[feb results].[t_tc_mmdu3m_u15_m]" caption="t_tc_mmdu3m_u15_m" attribute="1" defaultMemberUniqueName="[feb results].[t_tc_mmdu3m_u15_m].[All]" allUniqueName="[feb results].[t_tc_mmdu3m_u15_m].[All]" dimensionUniqueName="[feb results]" displayFolder="" count="2" unbalanced="0"/>
    <cacheHierarchy uniqueName="[feb results].[t_txcurr_lastm]" caption="t_txcurr_lastm" attribute="1" defaultMemberUniqueName="[feb results].[t_txcurr_lastm].[All]" allUniqueName="[feb results].[t_txcurr_lastm].[All]" dimensionUniqueName="[feb results]" displayFolder="" count="2" unbalanced="0"/>
    <cacheHierarchy uniqueName="[feb results].[t_txcurr_o15_f]" caption="t_txcurr_o15_f" attribute="1" defaultMemberUniqueName="[feb results].[t_txcurr_o15_f].[All]" allUniqueName="[feb results].[t_txcurr_o15_f].[All]" dimensionUniqueName="[feb results]" displayFolder="" count="2" unbalanced="0"/>
    <cacheHierarchy uniqueName="[feb results].[t_txcurr_o15_m]" caption="t_txcurr_o15_m" attribute="1" defaultMemberUniqueName="[feb results].[t_txcurr_o15_m].[All]" allUniqueName="[feb results].[t_txcurr_o15_m].[All]" dimensionUniqueName="[feb results]" displayFolder="" count="2" unbalanced="0"/>
    <cacheHierarchy uniqueName="[feb results].[t_txcurr_thism]" caption="t_txcurr_thism" attribute="1" defaultMemberUniqueName="[feb results].[t_txcurr_thism].[All]" allUniqueName="[feb results].[t_txcurr_thism].[All]" dimensionUniqueName="[feb results]" displayFolder="" count="2" unbalanced="0"/>
    <cacheHierarchy uniqueName="[feb results].[t_txcurr_u15_f]" caption="t_txcurr_u15_f" attribute="1" defaultMemberUniqueName="[feb results].[t_txcurr_u15_f].[All]" allUniqueName="[feb results].[t_txcurr_u15_f].[All]" dimensionUniqueName="[feb results]" displayFolder="" count="2" unbalanced="0"/>
    <cacheHierarchy uniqueName="[feb results].[t_txcurr_u15_m]" caption="t_txcurr_u15_m" attribute="1" defaultMemberUniqueName="[feb results].[t_txcurr_u15_m].[All]" allUniqueName="[feb results].[t_txcurr_u15_m].[All]" dimensionUniqueName="[feb results]" displayFolder="" count="2" unbalanced="0"/>
    <cacheHierarchy uniqueName="[feb results].[t_txnew]" caption="t_txnew" attribute="1" defaultMemberUniqueName="[feb results].[t_txnew].[All]" allUniqueName="[feb results].[t_txnew].[All]" dimensionUniqueName="[feb results]" displayFolder="" count="2" unbalanced="0"/>
    <cacheHierarchy uniqueName="[feb results].[t_txnew_2vis]" caption="t_txnew_2vis" attribute="1" defaultMemberUniqueName="[feb results].[t_txnew_2vis].[All]" allUniqueName="[feb results].[t_txnew_2vis].[All]" dimensionUniqueName="[feb results]" displayFolder="" count="2" unbalanced="0"/>
    <cacheHierarchy uniqueName="[feb results].[t_txnew_o15_f]" caption="t_txnew_o15_f" attribute="1" defaultMemberUniqueName="[feb results].[t_txnew_o15_f].[All]" allUniqueName="[feb results].[t_txnew_o15_f].[All]" dimensionUniqueName="[feb results]" displayFolder="" count="2" unbalanced="0"/>
    <cacheHierarchy uniqueName="[feb results].[t_txnew_o15_m]" caption="t_txnew_o15_m" attribute="1" defaultMemberUniqueName="[feb results].[t_txnew_o15_m].[All]" allUniqueName="[feb results].[t_txnew_o15_m].[All]" dimensionUniqueName="[feb results]" displayFolder="" count="2" unbalanced="0"/>
    <cacheHierarchy uniqueName="[feb results].[t_txnew_u15_f]" caption="t_txnew_u15_f" attribute="1" defaultMemberUniqueName="[feb results].[t_txnew_u15_f].[All]" allUniqueName="[feb results].[t_txnew_u15_f].[All]" dimensionUniqueName="[feb results]" displayFolder="" count="2" unbalanced="0"/>
    <cacheHierarchy uniqueName="[feb results].[t_txnew_u15_m]" caption="t_txnew_u15_m" attribute="1" defaultMemberUniqueName="[feb results].[t_txnew_u15_m].[All]" allUniqueName="[feb results].[t_txnew_u15_m].[All]" dimensionUniqueName="[feb results]" displayFolder="" count="2" unbalanced="0"/>
    <cacheHierarchy uniqueName="[feb results].[tbprev_d]" caption="tbprev_d" attribute="1" defaultMemberUniqueName="[feb results].[tbprev_d].[All]" allUniqueName="[feb results].[tbprev_d].[All]" dimensionUniqueName="[feb results]" displayFolder="" count="2" unbalanced="0"/>
    <cacheHierarchy uniqueName="[feb results].[tbprev_n]" caption="tbprev_n" attribute="1" defaultMemberUniqueName="[feb results].[tbprev_n].[All]" allUniqueName="[feb results].[tbprev_n].[All]" dimensionUniqueName="[feb results]" displayFolder="" count="2" unbalanced="0"/>
    <cacheHierarchy uniqueName="[feb results].[tbprev_start_thismo]" caption="tbprev_start_thismo" attribute="1" defaultMemberUniqueName="[feb results].[tbprev_start_thismo].[All]" allUniqueName="[feb results].[tbprev_start_thismo].[All]" dimensionUniqueName="[feb results]" displayFolder="" count="2" unbalanced="0"/>
    <cacheHierarchy uniqueName="[feb results].[TI]" caption="TI" attribute="1" defaultMemberUniqueName="[feb results].[TI].[All]" allUniqueName="[feb results].[TI].[All]" dimensionUniqueName="[feb results]" displayFolder="" count="2" unbalanced="0"/>
    <cacheHierarchy uniqueName="[feb results].[tier]" caption="tier" attribute="1" defaultMemberUniqueName="[feb results].[tier].[All]" allUniqueName="[feb results].[tier].[All]" dimensionUniqueName="[feb results]" displayFolder="" count="2" unbalanced="0"/>
    <cacheHierarchy uniqueName="[feb results].[TO]" caption="TO" attribute="1" defaultMemberUniqueName="[feb results].[TO].[All]" allUniqueName="[feb results].[TO].[All]" dimensionUniqueName="[feb results]" displayFolder="" count="2" unbalanced="0"/>
    <cacheHierarchy uniqueName="[feb results].[ward]" caption="ward" attribute="1" defaultMemberUniqueName="[feb results].[ward].[All]" allUniqueName="[feb results].[ward].[All]" dimensionUniqueName="[feb results]" displayFolder="" count="2" unbalanced="0"/>
    <cacheHierarchy uniqueName="[Grace Period Days].[Grace Period Days]" caption="Grace Period Days" attribute="1" defaultMemberUniqueName="[Grace Period Days].[Grace Period Days].[All]" allUniqueName="[Grace Period Days].[Grace Period Days].[All]" dimensionUniqueName="[Grace Period Days]" displayFolder="" count="2" unbalanced="0"/>
    <cacheHierarchy uniqueName="[Gretchen Results].[agegp]" caption="agegp" attribute="1" defaultMemberUniqueName="[Gretchen Results].[agegp].[All]" allUniqueName="[Gretchen Results].[agegp].[All]" dimensionUniqueName="[Gretchen Results]" displayFolder="" count="2" unbalanced="0"/>
    <cacheHierarchy uniqueName="[Gretchen Results].[ageyrs]" caption="ageyrs" attribute="1" defaultMemberUniqueName="[Gretchen Results].[ageyrs].[All]" allUniqueName="[Gretchen Results].[ageyrs].[All]" dimensionUniqueName="[Gretchen Results]" displayFolder="" count="2" unbalanced="0"/>
    <cacheHierarchy uniqueName="[Gretchen Results].[art_814d]" caption="art_814d" attribute="1" defaultMemberUniqueName="[Gretchen Results].[art_814d].[All]" allUniqueName="[Gretchen Results].[art_814d].[All]" dimensionUniqueName="[Gretchen Results]" displayFolder="" count="2" unbalanced="0"/>
    <cacheHierarchy uniqueName="[Gretchen Results].[art_o15d]" caption="art_o15d" attribute="1" defaultMemberUniqueName="[Gretchen Results].[art_o15d].[All]" allUniqueName="[Gretchen Results].[art_o15d].[All]" dimensionUniqueName="[Gretchen Results]" displayFolder="" count="2" unbalanced="0"/>
    <cacheHierarchy uniqueName="[Gretchen Results].[art_u8]" caption="art_u8" attribute="1" defaultMemberUniqueName="[Gretchen Results].[art_u8].[All]" allUniqueName="[Gretchen Results].[art_u8].[All]" dimensionUniqueName="[Gretchen Results]" displayFolder="" count="2" unbalanced="0"/>
    <cacheHierarchy uniqueName="[Gretchen Results].[council]" caption="council" attribute="1" defaultMemberUniqueName="[Gretchen Results].[council].[All]" allUniqueName="[Gretchen Results].[council].[All]" dimensionUniqueName="[Gretchen Results]" displayFolder="" count="2" unbalanced="0"/>
    <cacheHierarchy uniqueName="[Gretchen Results].[countpy5]" caption="countpy5" attribute="1" defaultMemberUniqueName="[Gretchen Results].[countpy5].[All]" allUniqueName="[Gretchen Results].[countpy5].[All]" dimensionUniqueName="[Gretchen Results]" displayFolder="" count="2" unbalanced="0"/>
    <cacheHierarchy uniqueName="[Gretchen Results].[datimname]" caption="datimname" attribute="1" defaultMemberUniqueName="[Gretchen Results].[datimname].[All]" allUniqueName="[Gretchen Results].[datimname].[All]" dimensionUniqueName="[Gretchen Results]" displayFolder="" count="2" unbalanced="0"/>
    <cacheHierarchy uniqueName="[Gretchen Results].[datimuid]" caption="datimuid" attribute="1" defaultMemberUniqueName="[Gretchen Results].[datimuid].[All]" allUniqueName="[Gretchen Results].[datimuid].[All]" dimensionUniqueName="[Gretchen Results]" displayFolder="" count="2" unbalanced="0"/>
    <cacheHierarchy uniqueName="[Gretchen Results].[dhisid]" caption="dhisid" attribute="1" defaultMemberUniqueName="[Gretchen Results].[dhisid].[All]" allUniqueName="[Gretchen Results].[dhisid].[All]" dimensionUniqueName="[Gretchen Results]" displayFolder="" count="2" unbalanced="0"/>
    <cacheHierarchy uniqueName="[Gretchen Results].[dhisname]" caption="dhisname" attribute="1" defaultMemberUniqueName="[Gretchen Results].[dhisname].[All]" allUniqueName="[Gretchen Results].[dhisname].[All]" dimensionUniqueName="[Gretchen Results]" displayFolder="" count="2" unbalanced="0"/>
    <cacheHierarchy uniqueName="[Gretchen Results].[died]" caption="died" attribute="1" defaultMemberUniqueName="[Gretchen Results].[died].[All]" allUniqueName="[Gretchen Results].[died].[All]" dimensionUniqueName="[Gretchen Results]" displayFolder="" count="2" unbalanced="0"/>
    <cacheHierarchy uniqueName="[Gretchen Results].[district]" caption="district" attribute="1" defaultMemberUniqueName="[Gretchen Results].[district].[All]" allUniqueName="[Gretchen Results].[district].[All]" dimensionUniqueName="[Gretchen Results]" displayFolder="" count="2" unbalanced="0"/>
    <cacheHierarchy uniqueName="[Gretchen Results].[hfrid]" caption="hfrid" attribute="1" defaultMemberUniqueName="[Gretchen Results].[hfrid].[All]" allUniqueName="[Gretchen Results].[hfrid].[All]" dimensionUniqueName="[Gretchen Results]" displayFolder="" count="2" unbalanced="0"/>
    <cacheHierarchy uniqueName="[Gretchen Results].[hvl_d]" caption="hvl_d" attribute="1" defaultMemberUniqueName="[Gretchen Results].[hvl_d].[All]" allUniqueName="[Gretchen Results].[hvl_d].[All]" dimensionUniqueName="[Gretchen Results]" displayFolder="" count="2" unbalanced="0"/>
    <cacheHierarchy uniqueName="[Gretchen Results].[hvl_d_o15]" caption="hvl_d_o15" attribute="1" defaultMemberUniqueName="[Gretchen Results].[hvl_d_o15].[All]" allUniqueName="[Gretchen Results].[hvl_d_o15].[All]" dimensionUniqueName="[Gretchen Results]" displayFolder="" count="2" unbalanced="0"/>
    <cacheHierarchy uniqueName="[Gretchen Results].[hvl_d_u15]" caption="hvl_d_u15" attribute="1" defaultMemberUniqueName="[Gretchen Results].[hvl_d_u15].[All]" allUniqueName="[Gretchen Results].[hvl_d_u15].[All]" dimensionUniqueName="[Gretchen Results]" displayFolder="" count="2" unbalanced="0"/>
    <cacheHierarchy uniqueName="[Gretchen Results].[hvl_u1k_n]" caption="hvl_u1k_n" attribute="1" defaultMemberUniqueName="[Gretchen Results].[hvl_u1k_n].[All]" allUniqueName="[Gretchen Results].[hvl_u1k_n].[All]" dimensionUniqueName="[Gretchen Results]" displayFolder="" count="2" unbalanced="0"/>
    <cacheHierarchy uniqueName="[Gretchen Results].[hvl_u1k_n_o15]" caption="hvl_u1k_n_o15" attribute="1" defaultMemberUniqueName="[Gretchen Results].[hvl_u1k_n_o15].[All]" allUniqueName="[Gretchen Results].[hvl_u1k_n_o15].[All]" dimensionUniqueName="[Gretchen Results]" displayFolder="" count="2" unbalanced="0"/>
    <cacheHierarchy uniqueName="[Gretchen Results].[hvl_u1k_n_u15]" caption="hvl_u1k_n_u15" attribute="1" defaultMemberUniqueName="[Gretchen Results].[hvl_u1k_n_u15].[All]" allUniqueName="[Gretchen Results].[hvl_u1k_n_u15].[All]" dimensionUniqueName="[Gretchen Results]" displayFolder="" count="2" unbalanced="0"/>
    <cacheHierarchy uniqueName="[Gretchen Results].[hvlelig]" caption="hvlelig" attribute="1" defaultMemberUniqueName="[Gretchen Results].[hvlelig].[All]" allUniqueName="[Gretchen Results].[hvlelig].[All]" dimensionUniqueName="[Gretchen Results]" displayFolder="" count="2" unbalanced="0"/>
    <cacheHierarchy uniqueName="[Gretchen Results].[hvlelig_o15]" caption="hvlelig_o15" attribute="1" defaultMemberUniqueName="[Gretchen Results].[hvlelig_o15].[All]" allUniqueName="[Gretchen Results].[hvlelig_o15].[All]" dimensionUniqueName="[Gretchen Results]" displayFolder="" count="2" unbalanced="0"/>
    <cacheHierarchy uniqueName="[Gretchen Results].[hvlelig_u15]" caption="hvlelig_u15" attribute="1" defaultMemberUniqueName="[Gretchen Results].[hvlelig_u15].[All]" allUniqueName="[Gretchen Results].[hvlelig_u15].[All]" dimensionUniqueName="[Gretchen Results]" displayFolder="" count="2" unbalanced="0"/>
    <cacheHierarchy uniqueName="[Gretchen Results].[missedapp]" caption="missedapp" attribute="1" defaultMemberUniqueName="[Gretchen Results].[missedapp].[All]" allUniqueName="[Gretchen Results].[missedapp].[All]" dimensionUniqueName="[Gretchen Results]" displayFolder="" count="2" unbalanced="0"/>
    <cacheHierarchy uniqueName="[Gretchen Results].[mmp_1m]" caption="mmp_1m" attribute="1" defaultMemberUniqueName="[Gretchen Results].[mmp_1m].[All]" allUniqueName="[Gretchen Results].[mmp_1m].[All]" dimensionUniqueName="[Gretchen Results]" displayFolder="" count="2" unbalanced="0"/>
    <cacheHierarchy uniqueName="[Gretchen Results].[mmp_2m]" caption="mmp_2m" attribute="1" defaultMemberUniqueName="[Gretchen Results].[mmp_2m].[All]" allUniqueName="[Gretchen Results].[mmp_2m].[All]" dimensionUniqueName="[Gretchen Results]" displayFolder="" count="2" unbalanced="0"/>
    <cacheHierarchy uniqueName="[Gretchen Results].[mmp_3m]" caption="mmp_3m" attribute="1" defaultMemberUniqueName="[Gretchen Results].[mmp_3m].[All]" allUniqueName="[Gretchen Results].[mmp_3m].[All]" dimensionUniqueName="[Gretchen Results]" displayFolder="" count="2" unbalanced="0"/>
    <cacheHierarchy uniqueName="[Gretchen Results].[mmp_6m]" caption="mmp_6m" attribute="1" defaultMemberUniqueName="[Gretchen Results].[mmp_6m].[All]" allUniqueName="[Gretchen Results].[mmp_6m].[All]" dimensionUniqueName="[Gretchen Results]" displayFolder="" count="2" unbalanced="0"/>
    <cacheHierarchy uniqueName="[Gretchen Results].[mmp_u6m]" caption="mmp_u6m" attribute="1" defaultMemberUniqueName="[Gretchen Results].[mmp_u6m].[All]" allUniqueName="[Gretchen Results].[mmp_u6m].[All]" dimensionUniqueName="[Gretchen Results]" displayFolder="" count="2" unbalanced="0"/>
    <cacheHierarchy uniqueName="[Gretchen Results].[noDBsubmitted]" caption="noDBsubmitted" attribute="1" defaultMemberUniqueName="[Gretchen Results].[noDBsubmitted].[All]" allUniqueName="[Gretchen Results].[noDBsubmitted].[All]" dimensionUniqueName="[Gretchen Results]" displayFolder="" count="2" unbalanced="0"/>
    <cacheHierarchy uniqueName="[Gretchen Results].[pid]" caption="pid" attribute="1" defaultMemberUniqueName="[Gretchen Results].[pid].[All]" allUniqueName="[Gretchen Results].[pid].[All]" dimensionUniqueName="[Gretchen Results]" displayFolder="" count="2" unbalanced="0"/>
    <cacheHierarchy uniqueName="[Gretchen Results].[region]" caption="region" attribute="1" defaultMemberUniqueName="[Gretchen Results].[region].[All]" allUniqueName="[Gretchen Results].[region].[All]" dimensionUniqueName="[Gretchen Results]" displayFolder="" count="2" unbalanced="0"/>
    <cacheHierarchy uniqueName="[Gretchen Results].[siteid]" caption="siteid" attribute="1" defaultMemberUniqueName="[Gretchen Results].[siteid].[All]" allUniqueName="[Gretchen Results].[siteid].[All]" dimensionUniqueName="[Gretchen Results]" displayFolder="" count="2" unbalanced="0"/>
    <cacheHierarchy uniqueName="[Gretchen Results].[t_tc_mmd3to5m_o15_f]" caption="t_tc_mmd3to5m_o15_f" attribute="1" defaultMemberUniqueName="[Gretchen Results].[t_tc_mmd3to5m_o15_f].[All]" allUniqueName="[Gretchen Results].[t_tc_mmd3to5m_o15_f].[All]" dimensionUniqueName="[Gretchen Results]" displayFolder="" count="2" unbalanced="0"/>
    <cacheHierarchy uniqueName="[Gretchen Results].[t_tc_mmd3to5m_o15_m]" caption="t_tc_mmd3to5m_o15_m" attribute="1" defaultMemberUniqueName="[Gretchen Results].[t_tc_mmd3to5m_o15_m].[All]" allUniqueName="[Gretchen Results].[t_tc_mmd3to5m_o15_m].[All]" dimensionUniqueName="[Gretchen Results]" displayFolder="" count="2" unbalanced="0"/>
    <cacheHierarchy uniqueName="[Gretchen Results].[t_tc_mmd3to5m_u15_f]" caption="t_tc_mmd3to5m_u15_f" attribute="1" defaultMemberUniqueName="[Gretchen Results].[t_tc_mmd3to5m_u15_f].[All]" allUniqueName="[Gretchen Results].[t_tc_mmd3to5m_u15_f].[All]" dimensionUniqueName="[Gretchen Results]" displayFolder="" count="2" unbalanced="0"/>
    <cacheHierarchy uniqueName="[Gretchen Results].[t_tc_mmd3to5m_u15_m]" caption="t_tc_mmd3to5m_u15_m" attribute="1" defaultMemberUniqueName="[Gretchen Results].[t_tc_mmd3to5m_u15_m].[All]" allUniqueName="[Gretchen Results].[t_tc_mmd3to5m_u15_m].[All]" dimensionUniqueName="[Gretchen Results]" displayFolder="" count="2" unbalanced="0"/>
    <cacheHierarchy uniqueName="[Gretchen Results].[t_tc_mmdo6m_o15_f]" caption="t_tc_mmdo6m_o15_f" attribute="1" defaultMemberUniqueName="[Gretchen Results].[t_tc_mmdo6m_o15_f].[All]" allUniqueName="[Gretchen Results].[t_tc_mmdo6m_o15_f].[All]" dimensionUniqueName="[Gretchen Results]" displayFolder="" count="2" unbalanced="0"/>
    <cacheHierarchy uniqueName="[Gretchen Results].[t_tc_mmdo6m_o15_m]" caption="t_tc_mmdo6m_o15_m" attribute="1" defaultMemberUniqueName="[Gretchen Results].[t_tc_mmdo6m_o15_m].[All]" allUniqueName="[Gretchen Results].[t_tc_mmdo6m_o15_m].[All]" dimensionUniqueName="[Gretchen Results]" displayFolder="" count="2" unbalanced="0"/>
    <cacheHierarchy uniqueName="[Gretchen Results].[t_tc_mmdo6m_u15_f]" caption="t_tc_mmdo6m_u15_f" attribute="1" defaultMemberUniqueName="[Gretchen Results].[t_tc_mmdo6m_u15_f].[All]" allUniqueName="[Gretchen Results].[t_tc_mmdo6m_u15_f].[All]" dimensionUniqueName="[Gretchen Results]" displayFolder="" count="2" unbalanced="0"/>
    <cacheHierarchy uniqueName="[Gretchen Results].[t_tc_mmdo6m_u15_m]" caption="t_tc_mmdo6m_u15_m" attribute="1" defaultMemberUniqueName="[Gretchen Results].[t_tc_mmdo6m_u15_m].[All]" allUniqueName="[Gretchen Results].[t_tc_mmdo6m_u15_m].[All]" dimensionUniqueName="[Gretchen Results]" displayFolder="" count="2" unbalanced="0"/>
    <cacheHierarchy uniqueName="[Gretchen Results].[t_tc_mmdu3m_o15_f]" caption="t_tc_mmdu3m_o15_f" attribute="1" defaultMemberUniqueName="[Gretchen Results].[t_tc_mmdu3m_o15_f].[All]" allUniqueName="[Gretchen Results].[t_tc_mmdu3m_o15_f].[All]" dimensionUniqueName="[Gretchen Results]" displayFolder="" count="2" unbalanced="0"/>
    <cacheHierarchy uniqueName="[Gretchen Results].[t_tc_mmdu3m_o15_m]" caption="t_tc_mmdu3m_o15_m" attribute="1" defaultMemberUniqueName="[Gretchen Results].[t_tc_mmdu3m_o15_m].[All]" allUniqueName="[Gretchen Results].[t_tc_mmdu3m_o15_m].[All]" dimensionUniqueName="[Gretchen Results]" displayFolder="" count="2" unbalanced="0"/>
    <cacheHierarchy uniqueName="[Gretchen Results].[t_tc_mmdu3m_u15_f]" caption="t_tc_mmdu3m_u15_f" attribute="1" defaultMemberUniqueName="[Gretchen Results].[t_tc_mmdu3m_u15_f].[All]" allUniqueName="[Gretchen Results].[t_tc_mmdu3m_u15_f].[All]" dimensionUniqueName="[Gretchen Results]" displayFolder="" count="2" unbalanced="0"/>
    <cacheHierarchy uniqueName="[Gretchen Results].[t_tc_mmdu3m_u15_m]" caption="t_tc_mmdu3m_u15_m" attribute="1" defaultMemberUniqueName="[Gretchen Results].[t_tc_mmdu3m_u15_m].[All]" allUniqueName="[Gretchen Results].[t_tc_mmdu3m_u15_m].[All]" dimensionUniqueName="[Gretchen Results]" displayFolder="" count="2" unbalanced="0"/>
    <cacheHierarchy uniqueName="[Gretchen Results].[t_txcurr_lastm]" caption="t_txcurr_lastm" attribute="1" defaultMemberUniqueName="[Gretchen Results].[t_txcurr_lastm].[All]" allUniqueName="[Gretchen Results].[t_txcurr_lastm].[All]" dimensionUniqueName="[Gretchen Results]" displayFolder="" count="2" unbalanced="0"/>
    <cacheHierarchy uniqueName="[Gretchen Results].[t_txcurr_o15_f]" caption="t_txcurr_o15_f" attribute="1" defaultMemberUniqueName="[Gretchen Results].[t_txcurr_o15_f].[All]" allUniqueName="[Gretchen Results].[t_txcurr_o15_f].[All]" dimensionUniqueName="[Gretchen Results]" displayFolder="" count="2" unbalanced="0"/>
    <cacheHierarchy uniqueName="[Gretchen Results].[t_txcurr_o15_m]" caption="t_txcurr_o15_m" attribute="1" defaultMemberUniqueName="[Gretchen Results].[t_txcurr_o15_m].[All]" allUniqueName="[Gretchen Results].[t_txcurr_o15_m].[All]" dimensionUniqueName="[Gretchen Results]" displayFolder="" count="2" unbalanced="0"/>
    <cacheHierarchy uniqueName="[Gretchen Results].[t_txcurr_thism]" caption="t_txcurr_thism" attribute="1" defaultMemberUniqueName="[Gretchen Results].[t_txcurr_thism].[All]" allUniqueName="[Gretchen Results].[t_txcurr_thism].[All]" dimensionUniqueName="[Gretchen Results]" displayFolder="" count="2" unbalanced="0"/>
    <cacheHierarchy uniqueName="[Gretchen Results].[t_txcurr_u15_f]" caption="t_txcurr_u15_f" attribute="1" defaultMemberUniqueName="[Gretchen Results].[t_txcurr_u15_f].[All]" allUniqueName="[Gretchen Results].[t_txcurr_u15_f].[All]" dimensionUniqueName="[Gretchen Results]" displayFolder="" count="2" unbalanced="0"/>
    <cacheHierarchy uniqueName="[Gretchen Results].[t_txcurr_u15_m]" caption="t_txcurr_u15_m" attribute="1" defaultMemberUniqueName="[Gretchen Results].[t_txcurr_u15_m].[All]" allUniqueName="[Gretchen Results].[t_txcurr_u15_m].[All]" dimensionUniqueName="[Gretchen Results]" displayFolder="" count="2" unbalanced="0"/>
    <cacheHierarchy uniqueName="[Gretchen Results].[t_txnew]" caption="t_txnew" attribute="1" defaultMemberUniqueName="[Gretchen Results].[t_txnew].[All]" allUniqueName="[Gretchen Results].[t_txnew].[All]" dimensionUniqueName="[Gretchen Results]" displayFolder="" count="2" unbalanced="0"/>
    <cacheHierarchy uniqueName="[Gretchen Results].[t_txnew_2vis]" caption="t_txnew_2vis" attribute="1" defaultMemberUniqueName="[Gretchen Results].[t_txnew_2vis].[All]" allUniqueName="[Gretchen Results].[t_txnew_2vis].[All]" dimensionUniqueName="[Gretchen Results]" displayFolder="" count="2" unbalanced="0"/>
    <cacheHierarchy uniqueName="[Gretchen Results].[t_txnew_lastm]" caption="t_txnew_lastm" attribute="1" defaultMemberUniqueName="[Gretchen Results].[t_txnew_lastm].[All]" allUniqueName="[Gretchen Results].[t_txnew_lastm].[All]" dimensionUniqueName="[Gretchen Results]" displayFolder="" count="2" unbalanced="0"/>
    <cacheHierarchy uniqueName="[Gretchen Results].[t_txnew_o15_f]" caption="t_txnew_o15_f" attribute="1" defaultMemberUniqueName="[Gretchen Results].[t_txnew_o15_f].[All]" allUniqueName="[Gretchen Results].[t_txnew_o15_f].[All]" dimensionUniqueName="[Gretchen Results]" displayFolder="" count="2" unbalanced="0"/>
    <cacheHierarchy uniqueName="[Gretchen Results].[t_txnew_o15_m]" caption="t_txnew_o15_m" attribute="1" defaultMemberUniqueName="[Gretchen Results].[t_txnew_o15_m].[All]" allUniqueName="[Gretchen Results].[t_txnew_o15_m].[All]" dimensionUniqueName="[Gretchen Results]" displayFolder="" count="2" unbalanced="0"/>
    <cacheHierarchy uniqueName="[Gretchen Results].[t_txnew_u15]" caption="t_txnew_u15" attribute="1" defaultMemberUniqueName="[Gretchen Results].[t_txnew_u15].[All]" allUniqueName="[Gretchen Results].[t_txnew_u15].[All]" dimensionUniqueName="[Gretchen Results]" displayFolder="" count="2" unbalanced="0"/>
    <cacheHierarchy uniqueName="[Gretchen Results].[t_txnew_u15_f]" caption="t_txnew_u15_f" attribute="1" defaultMemberUniqueName="[Gretchen Results].[t_txnew_u15_f].[All]" allUniqueName="[Gretchen Results].[t_txnew_u15_f].[All]" dimensionUniqueName="[Gretchen Results]" displayFolder="" count="2" unbalanced="0"/>
    <cacheHierarchy uniqueName="[Gretchen Results].[t_txnew_u15_m]" caption="t_txnew_u15_m" attribute="1" defaultMemberUniqueName="[Gretchen Results].[t_txnew_u15_m].[All]" allUniqueName="[Gretchen Results].[t_txnew_u15_m].[All]" dimensionUniqueName="[Gretchen Results]" displayFolder="" count="2" unbalanced="0"/>
    <cacheHierarchy uniqueName="[Gretchen Results].[tbprev_d]" caption="tbprev_d" attribute="1" defaultMemberUniqueName="[Gretchen Results].[tbprev_d].[All]" allUniqueName="[Gretchen Results].[tbprev_d].[All]" dimensionUniqueName="[Gretchen Results]" displayFolder="" count="2" unbalanced="0"/>
    <cacheHierarchy uniqueName="[Gretchen Results].[tbprev_n]" caption="tbprev_n" attribute="1" defaultMemberUniqueName="[Gretchen Results].[tbprev_n].[All]" allUniqueName="[Gretchen Results].[tbprev_n].[All]" dimensionUniqueName="[Gretchen Results]" displayFolder="" count="2" unbalanced="0"/>
    <cacheHierarchy uniqueName="[Gretchen Results].[tbprev_start_thismo]" caption="tbprev_start_thismo" attribute="1" defaultMemberUniqueName="[Gretchen Results].[tbprev_start_thismo].[All]" allUniqueName="[Gretchen Results].[tbprev_start_thismo].[All]" dimensionUniqueName="[Gretchen Results]" displayFolder="" count="2" unbalanced="0"/>
    <cacheHierarchy uniqueName="[Gretchen Results].[TI]" caption="TI" attribute="1" defaultMemberUniqueName="[Gretchen Results].[TI].[All]" allUniqueName="[Gretchen Results].[TI].[All]" dimensionUniqueName="[Gretchen Results]" displayFolder="" count="2" unbalanced="0"/>
    <cacheHierarchy uniqueName="[Gretchen Results].[tier]" caption="tier" attribute="1" defaultMemberUniqueName="[Gretchen Results].[tier].[All]" allUniqueName="[Gretchen Results].[tier].[All]" dimensionUniqueName="[Gretchen Results]" displayFolder="" count="2" unbalanced="0"/>
    <cacheHierarchy uniqueName="[Gretchen Results].[TO]" caption="TO" attribute="1" defaultMemberUniqueName="[Gretchen Results].[TO].[All]" allUniqueName="[Gretchen Results].[TO].[All]" dimensionUniqueName="[Gretchen Results]" displayFolder="" count="2" unbalanced="0"/>
    <cacheHierarchy uniqueName="[Gretchen Results].[ward]" caption="ward" attribute="1" defaultMemberUniqueName="[Gretchen Results].[ward].[All]" allUniqueName="[Gretchen Results].[ward].[All]" dimensionUniqueName="[Gretchen Results]" displayFolder="" count="2" unbalanced="0"/>
    <cacheHierarchy uniqueName="[Gretchen Results].[yrmo]" caption="yrmo" attribute="1" defaultMemberUniqueName="[Gretchen Results].[yrmo].[All]" allUniqueName="[Gretchen Results].[yrmo].[All]" dimensionUniqueName="[Gretchen Results]" displayFolder="" count="2" unbalanced="0"/>
    <cacheHierarchy uniqueName="[Gretchen Results 3mar].[agegp]" caption="agegp" attribute="1" defaultMemberUniqueName="[Gretchen Results 3mar].[agegp].[All]" allUniqueName="[Gretchen Results 3mar].[agegp].[All]" dimensionUniqueName="[Gretchen Results 3mar]" displayFolder="" count="2" unbalanced="0"/>
    <cacheHierarchy uniqueName="[Gretchen Results 3mar].[ageyrs]" caption="ageyrs" attribute="1" defaultMemberUniqueName="[Gretchen Results 3mar].[ageyrs].[All]" allUniqueName="[Gretchen Results 3mar].[ageyrs].[All]" dimensionUniqueName="[Gretchen Results 3mar]" displayFolder="" count="2" unbalanced="0"/>
    <cacheHierarchy uniqueName="[Gretchen Results 3mar].[art_814d]" caption="art_814d" attribute="1" defaultMemberUniqueName="[Gretchen Results 3mar].[art_814d].[All]" allUniqueName="[Gretchen Results 3mar].[art_814d].[All]" dimensionUniqueName="[Gretchen Results 3mar]" displayFolder="" count="2" unbalanced="0"/>
    <cacheHierarchy uniqueName="[Gretchen Results 3mar].[art_o15d]" caption="art_o15d" attribute="1" defaultMemberUniqueName="[Gretchen Results 3mar].[art_o15d].[All]" allUniqueName="[Gretchen Results 3mar].[art_o15d].[All]" dimensionUniqueName="[Gretchen Results 3mar]" displayFolder="" count="2" unbalanced="0"/>
    <cacheHierarchy uniqueName="[Gretchen Results 3mar].[art_u8]" caption="art_u8" attribute="1" defaultMemberUniqueName="[Gretchen Results 3mar].[art_u8].[All]" allUniqueName="[Gretchen Results 3mar].[art_u8].[All]" dimensionUniqueName="[Gretchen Results 3mar]" displayFolder="" count="2" unbalanced="0"/>
    <cacheHierarchy uniqueName="[Gretchen Results 3mar].[council]" caption="council" attribute="1" defaultMemberUniqueName="[Gretchen Results 3mar].[council].[All]" allUniqueName="[Gretchen Results 3mar].[council].[All]" dimensionUniqueName="[Gretchen Results 3mar]" displayFolder="" count="2" unbalanced="0"/>
    <cacheHierarchy uniqueName="[Gretchen Results 3mar].[countpy5]" caption="countpy5" attribute="1" defaultMemberUniqueName="[Gretchen Results 3mar].[countpy5].[All]" allUniqueName="[Gretchen Results 3mar].[countpy5].[All]" dimensionUniqueName="[Gretchen Results 3mar]" displayFolder="" count="2" unbalanced="0"/>
    <cacheHierarchy uniqueName="[Gretchen Results 3mar].[datimname]" caption="datimname" attribute="1" defaultMemberUniqueName="[Gretchen Results 3mar].[datimname].[All]" allUniqueName="[Gretchen Results 3mar].[datimname].[All]" dimensionUniqueName="[Gretchen Results 3mar]" displayFolder="" count="2" unbalanced="0"/>
    <cacheHierarchy uniqueName="[Gretchen Results 3mar].[datimuid]" caption="datimuid" attribute="1" defaultMemberUniqueName="[Gretchen Results 3mar].[datimuid].[All]" allUniqueName="[Gretchen Results 3mar].[datimuid].[All]" dimensionUniqueName="[Gretchen Results 3mar]" displayFolder="" count="2" unbalanced="0"/>
    <cacheHierarchy uniqueName="[Gretchen Results 3mar].[dhisid]" caption="dhisid" attribute="1" defaultMemberUniqueName="[Gretchen Results 3mar].[dhisid].[All]" allUniqueName="[Gretchen Results 3mar].[dhisid].[All]" dimensionUniqueName="[Gretchen Results 3mar]" displayFolder="" count="2" unbalanced="0"/>
    <cacheHierarchy uniqueName="[Gretchen Results 3mar].[dhisname]" caption="dhisname" attribute="1" defaultMemberUniqueName="[Gretchen Results 3mar].[dhisname].[All]" allUniqueName="[Gretchen Results 3mar].[dhisname].[All]" dimensionUniqueName="[Gretchen Results 3mar]" displayFolder="" count="2" unbalanced="0"/>
    <cacheHierarchy uniqueName="[Gretchen Results 3mar].[died]" caption="died" attribute="1" defaultMemberUniqueName="[Gretchen Results 3mar].[died].[All]" allUniqueName="[Gretchen Results 3mar].[died].[All]" dimensionUniqueName="[Gretchen Results 3mar]" displayFolder="" count="2" unbalanced="0"/>
    <cacheHierarchy uniqueName="[Gretchen Results 3mar].[district]" caption="district" attribute="1" defaultMemberUniqueName="[Gretchen Results 3mar].[district].[All]" allUniqueName="[Gretchen Results 3mar].[district].[All]" dimensionUniqueName="[Gretchen Results 3mar]" displayFolder="" count="2" unbalanced="0"/>
    <cacheHierarchy uniqueName="[Gretchen Results 3mar].[hfrid]" caption="hfrid" attribute="1" defaultMemberUniqueName="[Gretchen Results 3mar].[hfrid].[All]" allUniqueName="[Gretchen Results 3mar].[hfrid].[All]" dimensionUniqueName="[Gretchen Results 3mar]" displayFolder="" count="2" unbalanced="0"/>
    <cacheHierarchy uniqueName="[Gretchen Results 3mar].[hvl_d]" caption="hvl_d" attribute="1" defaultMemberUniqueName="[Gretchen Results 3mar].[hvl_d].[All]" allUniqueName="[Gretchen Results 3mar].[hvl_d].[All]" dimensionUniqueName="[Gretchen Results 3mar]" displayFolder="" count="2" unbalanced="0"/>
    <cacheHierarchy uniqueName="[Gretchen Results 3mar].[hvl_d_o15]" caption="hvl_d_o15" attribute="1" defaultMemberUniqueName="[Gretchen Results 3mar].[hvl_d_o15].[All]" allUniqueName="[Gretchen Results 3mar].[hvl_d_o15].[All]" dimensionUniqueName="[Gretchen Results 3mar]" displayFolder="" count="2" unbalanced="0"/>
    <cacheHierarchy uniqueName="[Gretchen Results 3mar].[hvl_d_u15]" caption="hvl_d_u15" attribute="1" defaultMemberUniqueName="[Gretchen Results 3mar].[hvl_d_u15].[All]" allUniqueName="[Gretchen Results 3mar].[hvl_d_u15].[All]" dimensionUniqueName="[Gretchen Results 3mar]" displayFolder="" count="2" unbalanced="0"/>
    <cacheHierarchy uniqueName="[Gretchen Results 3mar].[hvl_u1k_n]" caption="hvl_u1k_n" attribute="1" defaultMemberUniqueName="[Gretchen Results 3mar].[hvl_u1k_n].[All]" allUniqueName="[Gretchen Results 3mar].[hvl_u1k_n].[All]" dimensionUniqueName="[Gretchen Results 3mar]" displayFolder="" count="2" unbalanced="0"/>
    <cacheHierarchy uniqueName="[Gretchen Results 3mar].[hvl_u1k_n_o15]" caption="hvl_u1k_n_o15" attribute="1" defaultMemberUniqueName="[Gretchen Results 3mar].[hvl_u1k_n_o15].[All]" allUniqueName="[Gretchen Results 3mar].[hvl_u1k_n_o15].[All]" dimensionUniqueName="[Gretchen Results 3mar]" displayFolder="" count="2" unbalanced="0"/>
    <cacheHierarchy uniqueName="[Gretchen Results 3mar].[hvl_u1k_n_u15]" caption="hvl_u1k_n_u15" attribute="1" defaultMemberUniqueName="[Gretchen Results 3mar].[hvl_u1k_n_u15].[All]" allUniqueName="[Gretchen Results 3mar].[hvl_u1k_n_u15].[All]" dimensionUniqueName="[Gretchen Results 3mar]" displayFolder="" count="2" unbalanced="0"/>
    <cacheHierarchy uniqueName="[Gretchen Results 3mar].[hvlelig]" caption="hvlelig" attribute="1" defaultMemberUniqueName="[Gretchen Results 3mar].[hvlelig].[All]" allUniqueName="[Gretchen Results 3mar].[hvlelig].[All]" dimensionUniqueName="[Gretchen Results 3mar]" displayFolder="" count="2" unbalanced="0"/>
    <cacheHierarchy uniqueName="[Gretchen Results 3mar].[hvlelig_o15]" caption="hvlelig_o15" attribute="1" defaultMemberUniqueName="[Gretchen Results 3mar].[hvlelig_o15].[All]" allUniqueName="[Gretchen Results 3mar].[hvlelig_o15].[All]" dimensionUniqueName="[Gretchen Results 3mar]" displayFolder="" count="2" unbalanced="0"/>
    <cacheHierarchy uniqueName="[Gretchen Results 3mar].[hvlelig_u15]" caption="hvlelig_u15" attribute="1" defaultMemberUniqueName="[Gretchen Results 3mar].[hvlelig_u15].[All]" allUniqueName="[Gretchen Results 3mar].[hvlelig_u15].[All]" dimensionUniqueName="[Gretchen Results 3mar]" displayFolder="" count="2" unbalanced="0"/>
    <cacheHierarchy uniqueName="[Gretchen Results 3mar].[missedapp]" caption="missedapp" attribute="1" defaultMemberUniqueName="[Gretchen Results 3mar].[missedapp].[All]" allUniqueName="[Gretchen Results 3mar].[missedapp].[All]" dimensionUniqueName="[Gretchen Results 3mar]" displayFolder="" count="2" unbalanced="0"/>
    <cacheHierarchy uniqueName="[Gretchen Results 3mar].[mmp_1m]" caption="mmp_1m" attribute="1" defaultMemberUniqueName="[Gretchen Results 3mar].[mmp_1m].[All]" allUniqueName="[Gretchen Results 3mar].[mmp_1m].[All]" dimensionUniqueName="[Gretchen Results 3mar]" displayFolder="" count="2" unbalanced="0"/>
    <cacheHierarchy uniqueName="[Gretchen Results 3mar].[mmp_2m]" caption="mmp_2m" attribute="1" defaultMemberUniqueName="[Gretchen Results 3mar].[mmp_2m].[All]" allUniqueName="[Gretchen Results 3mar].[mmp_2m].[All]" dimensionUniqueName="[Gretchen Results 3mar]" displayFolder="" count="2" unbalanced="0"/>
    <cacheHierarchy uniqueName="[Gretchen Results 3mar].[mmp_3m]" caption="mmp_3m" attribute="1" defaultMemberUniqueName="[Gretchen Results 3mar].[mmp_3m].[All]" allUniqueName="[Gretchen Results 3mar].[mmp_3m].[All]" dimensionUniqueName="[Gretchen Results 3mar]" displayFolder="" count="2" unbalanced="0"/>
    <cacheHierarchy uniqueName="[Gretchen Results 3mar].[mmp_6m]" caption="mmp_6m" attribute="1" defaultMemberUniqueName="[Gretchen Results 3mar].[mmp_6m].[All]" allUniqueName="[Gretchen Results 3mar].[mmp_6m].[All]" dimensionUniqueName="[Gretchen Results 3mar]" displayFolder="" count="2" unbalanced="0"/>
    <cacheHierarchy uniqueName="[Gretchen Results 3mar].[mmp_u6m]" caption="mmp_u6m" attribute="1" defaultMemberUniqueName="[Gretchen Results 3mar].[mmp_u6m].[All]" allUniqueName="[Gretchen Results 3mar].[mmp_u6m].[All]" dimensionUniqueName="[Gretchen Results 3mar]" displayFolder="" count="2" unbalanced="0"/>
    <cacheHierarchy uniqueName="[Gretchen Results 3mar].[noDBsubmitted]" caption="noDBsubmitted" attribute="1" defaultMemberUniqueName="[Gretchen Results 3mar].[noDBsubmitted].[All]" allUniqueName="[Gretchen Results 3mar].[noDBsubmitted].[All]" dimensionUniqueName="[Gretchen Results 3mar]" displayFolder="" count="2" unbalanced="0"/>
    <cacheHierarchy uniqueName="[Gretchen Results 3mar].[pid]" caption="pid" attribute="1" defaultMemberUniqueName="[Gretchen Results 3mar].[pid].[All]" allUniqueName="[Gretchen Results 3mar].[pid].[All]" dimensionUniqueName="[Gretchen Results 3mar]" displayFolder="" count="2" unbalanced="0"/>
    <cacheHierarchy uniqueName="[Gretchen Results 3mar].[region]" caption="region" attribute="1" defaultMemberUniqueName="[Gretchen Results 3mar].[region].[All]" allUniqueName="[Gretchen Results 3mar].[region].[All]" dimensionUniqueName="[Gretchen Results 3mar]" displayFolder="" count="2" unbalanced="0"/>
    <cacheHierarchy uniqueName="[Gretchen Results 3mar].[siteid]" caption="siteid" attribute="1" defaultMemberUniqueName="[Gretchen Results 3mar].[siteid].[All]" allUniqueName="[Gretchen Results 3mar].[siteid].[All]" dimensionUniqueName="[Gretchen Results 3mar]" displayFolder="" count="2" unbalanced="0"/>
    <cacheHierarchy uniqueName="[Gretchen Results 3mar].[t_tc_mmd3to5m_o15_f]" caption="t_tc_mmd3to5m_o15_f" attribute="1" defaultMemberUniqueName="[Gretchen Results 3mar].[t_tc_mmd3to5m_o15_f].[All]" allUniqueName="[Gretchen Results 3mar].[t_tc_mmd3to5m_o15_f].[All]" dimensionUniqueName="[Gretchen Results 3mar]" displayFolder="" count="2" unbalanced="0"/>
    <cacheHierarchy uniqueName="[Gretchen Results 3mar].[t_tc_mmd3to5m_o15_m]" caption="t_tc_mmd3to5m_o15_m" attribute="1" defaultMemberUniqueName="[Gretchen Results 3mar].[t_tc_mmd3to5m_o15_m].[All]" allUniqueName="[Gretchen Results 3mar].[t_tc_mmd3to5m_o15_m].[All]" dimensionUniqueName="[Gretchen Results 3mar]" displayFolder="" count="2" unbalanced="0"/>
    <cacheHierarchy uniqueName="[Gretchen Results 3mar].[t_tc_mmd3to5m_u15_f]" caption="t_tc_mmd3to5m_u15_f" attribute="1" defaultMemberUniqueName="[Gretchen Results 3mar].[t_tc_mmd3to5m_u15_f].[All]" allUniqueName="[Gretchen Results 3mar].[t_tc_mmd3to5m_u15_f].[All]" dimensionUniqueName="[Gretchen Results 3mar]" displayFolder="" count="2" unbalanced="0"/>
    <cacheHierarchy uniqueName="[Gretchen Results 3mar].[t_tc_mmd3to5m_u15_m]" caption="t_tc_mmd3to5m_u15_m" attribute="1" defaultMemberUniqueName="[Gretchen Results 3mar].[t_tc_mmd3to5m_u15_m].[All]" allUniqueName="[Gretchen Results 3mar].[t_tc_mmd3to5m_u15_m].[All]" dimensionUniqueName="[Gretchen Results 3mar]" displayFolder="" count="2" unbalanced="0"/>
    <cacheHierarchy uniqueName="[Gretchen Results 3mar].[t_tc_mmdo6m_o15_f]" caption="t_tc_mmdo6m_o15_f" attribute="1" defaultMemberUniqueName="[Gretchen Results 3mar].[t_tc_mmdo6m_o15_f].[All]" allUniqueName="[Gretchen Results 3mar].[t_tc_mmdo6m_o15_f].[All]" dimensionUniqueName="[Gretchen Results 3mar]" displayFolder="" count="2" unbalanced="0"/>
    <cacheHierarchy uniqueName="[Gretchen Results 3mar].[t_tc_mmdo6m_o15_m]" caption="t_tc_mmdo6m_o15_m" attribute="1" defaultMemberUniqueName="[Gretchen Results 3mar].[t_tc_mmdo6m_o15_m].[All]" allUniqueName="[Gretchen Results 3mar].[t_tc_mmdo6m_o15_m].[All]" dimensionUniqueName="[Gretchen Results 3mar]" displayFolder="" count="2" unbalanced="0"/>
    <cacheHierarchy uniqueName="[Gretchen Results 3mar].[t_tc_mmdo6m_u15_f]" caption="t_tc_mmdo6m_u15_f" attribute="1" defaultMemberUniqueName="[Gretchen Results 3mar].[t_tc_mmdo6m_u15_f].[All]" allUniqueName="[Gretchen Results 3mar].[t_tc_mmdo6m_u15_f].[All]" dimensionUniqueName="[Gretchen Results 3mar]" displayFolder="" count="2" unbalanced="0"/>
    <cacheHierarchy uniqueName="[Gretchen Results 3mar].[t_tc_mmdo6m_u15_m]" caption="t_tc_mmdo6m_u15_m" attribute="1" defaultMemberUniqueName="[Gretchen Results 3mar].[t_tc_mmdo6m_u15_m].[All]" allUniqueName="[Gretchen Results 3mar].[t_tc_mmdo6m_u15_m].[All]" dimensionUniqueName="[Gretchen Results 3mar]" displayFolder="" count="2" unbalanced="0"/>
    <cacheHierarchy uniqueName="[Gretchen Results 3mar].[t_tc_mmdu3m_o15_f]" caption="t_tc_mmdu3m_o15_f" attribute="1" defaultMemberUniqueName="[Gretchen Results 3mar].[t_tc_mmdu3m_o15_f].[All]" allUniqueName="[Gretchen Results 3mar].[t_tc_mmdu3m_o15_f].[All]" dimensionUniqueName="[Gretchen Results 3mar]" displayFolder="" count="2" unbalanced="0"/>
    <cacheHierarchy uniqueName="[Gretchen Results 3mar].[t_tc_mmdu3m_o15_m]" caption="t_tc_mmdu3m_o15_m" attribute="1" defaultMemberUniqueName="[Gretchen Results 3mar].[t_tc_mmdu3m_o15_m].[All]" allUniqueName="[Gretchen Results 3mar].[t_tc_mmdu3m_o15_m].[All]" dimensionUniqueName="[Gretchen Results 3mar]" displayFolder="" count="2" unbalanced="0"/>
    <cacheHierarchy uniqueName="[Gretchen Results 3mar].[t_tc_mmdu3m_u15_f]" caption="t_tc_mmdu3m_u15_f" attribute="1" defaultMemberUniqueName="[Gretchen Results 3mar].[t_tc_mmdu3m_u15_f].[All]" allUniqueName="[Gretchen Results 3mar].[t_tc_mmdu3m_u15_f].[All]" dimensionUniqueName="[Gretchen Results 3mar]" displayFolder="" count="2" unbalanced="0"/>
    <cacheHierarchy uniqueName="[Gretchen Results 3mar].[t_tc_mmdu3m_u15_m]" caption="t_tc_mmdu3m_u15_m" attribute="1" defaultMemberUniqueName="[Gretchen Results 3mar].[t_tc_mmdu3m_u15_m].[All]" allUniqueName="[Gretchen Results 3mar].[t_tc_mmdu3m_u15_m].[All]" dimensionUniqueName="[Gretchen Results 3mar]" displayFolder="" count="2" unbalanced="0"/>
    <cacheHierarchy uniqueName="[Gretchen Results 3mar].[t_txcurr_lastm]" caption="t_txcurr_lastm" attribute="1" defaultMemberUniqueName="[Gretchen Results 3mar].[t_txcurr_lastm].[All]" allUniqueName="[Gretchen Results 3mar].[t_txcurr_lastm].[All]" dimensionUniqueName="[Gretchen Results 3mar]" displayFolder="" count="2" unbalanced="0"/>
    <cacheHierarchy uniqueName="[Gretchen Results 3mar].[t_txcurr_o15_f]" caption="t_txcurr_o15_f" attribute="1" defaultMemberUniqueName="[Gretchen Results 3mar].[t_txcurr_o15_f].[All]" allUniqueName="[Gretchen Results 3mar].[t_txcurr_o15_f].[All]" dimensionUniqueName="[Gretchen Results 3mar]" displayFolder="" count="2" unbalanced="0"/>
    <cacheHierarchy uniqueName="[Gretchen Results 3mar].[t_txcurr_o15_m]" caption="t_txcurr_o15_m" attribute="1" defaultMemberUniqueName="[Gretchen Results 3mar].[t_txcurr_o15_m].[All]" allUniqueName="[Gretchen Results 3mar].[t_txcurr_o15_m].[All]" dimensionUniqueName="[Gretchen Results 3mar]" displayFolder="" count="2" unbalanced="0"/>
    <cacheHierarchy uniqueName="[Gretchen Results 3mar].[t_txcurr_thism]" caption="t_txcurr_thism" attribute="1" defaultMemberUniqueName="[Gretchen Results 3mar].[t_txcurr_thism].[All]" allUniqueName="[Gretchen Results 3mar].[t_txcurr_thism].[All]" dimensionUniqueName="[Gretchen Results 3mar]" displayFolder="" count="2" unbalanced="0"/>
    <cacheHierarchy uniqueName="[Gretchen Results 3mar].[t_txcurr_u15_f]" caption="t_txcurr_u15_f" attribute="1" defaultMemberUniqueName="[Gretchen Results 3mar].[t_txcurr_u15_f].[All]" allUniqueName="[Gretchen Results 3mar].[t_txcurr_u15_f].[All]" dimensionUniqueName="[Gretchen Results 3mar]" displayFolder="" count="2" unbalanced="0"/>
    <cacheHierarchy uniqueName="[Gretchen Results 3mar].[t_txcurr_u15_m]" caption="t_txcurr_u15_m" attribute="1" defaultMemberUniqueName="[Gretchen Results 3mar].[t_txcurr_u15_m].[All]" allUniqueName="[Gretchen Results 3mar].[t_txcurr_u15_m].[All]" dimensionUniqueName="[Gretchen Results 3mar]" displayFolder="" count="2" unbalanced="0"/>
    <cacheHierarchy uniqueName="[Gretchen Results 3mar].[t_txnew]" caption="t_txnew" attribute="1" defaultMemberUniqueName="[Gretchen Results 3mar].[t_txnew].[All]" allUniqueName="[Gretchen Results 3mar].[t_txnew].[All]" dimensionUniqueName="[Gretchen Results 3mar]" displayFolder="" count="2" unbalanced="0"/>
    <cacheHierarchy uniqueName="[Gretchen Results 3mar].[t_txnew_2vis]" caption="t_txnew_2vis" attribute="1" defaultMemberUniqueName="[Gretchen Results 3mar].[t_txnew_2vis].[All]" allUniqueName="[Gretchen Results 3mar].[t_txnew_2vis].[All]" dimensionUniqueName="[Gretchen Results 3mar]" displayFolder="" count="2" unbalanced="0"/>
    <cacheHierarchy uniqueName="[Gretchen Results 3mar].[t_txnew_lastm]" caption="t_txnew_lastm" attribute="1" defaultMemberUniqueName="[Gretchen Results 3mar].[t_txnew_lastm].[All]" allUniqueName="[Gretchen Results 3mar].[t_txnew_lastm].[All]" dimensionUniqueName="[Gretchen Results 3mar]" displayFolder="" count="2" unbalanced="0"/>
    <cacheHierarchy uniqueName="[Gretchen Results 3mar].[t_txnew_o15_f]" caption="t_txnew_o15_f" attribute="1" defaultMemberUniqueName="[Gretchen Results 3mar].[t_txnew_o15_f].[All]" allUniqueName="[Gretchen Results 3mar].[t_txnew_o15_f].[All]" dimensionUniqueName="[Gretchen Results 3mar]" displayFolder="" count="2" unbalanced="0"/>
    <cacheHierarchy uniqueName="[Gretchen Results 3mar].[t_txnew_o15_m]" caption="t_txnew_o15_m" attribute="1" defaultMemberUniqueName="[Gretchen Results 3mar].[t_txnew_o15_m].[All]" allUniqueName="[Gretchen Results 3mar].[t_txnew_o15_m].[All]" dimensionUniqueName="[Gretchen Results 3mar]" displayFolder="" count="2" unbalanced="0"/>
    <cacheHierarchy uniqueName="[Gretchen Results 3mar].[t_txnew_u15]" caption="t_txnew_u15" attribute="1" defaultMemberUniqueName="[Gretchen Results 3mar].[t_txnew_u15].[All]" allUniqueName="[Gretchen Results 3mar].[t_txnew_u15].[All]" dimensionUniqueName="[Gretchen Results 3mar]" displayFolder="" count="2" unbalanced="0"/>
    <cacheHierarchy uniqueName="[Gretchen Results 3mar].[t_txnew_u15_f]" caption="t_txnew_u15_f" attribute="1" defaultMemberUniqueName="[Gretchen Results 3mar].[t_txnew_u15_f].[All]" allUniqueName="[Gretchen Results 3mar].[t_txnew_u15_f].[All]" dimensionUniqueName="[Gretchen Results 3mar]" displayFolder="" count="2" unbalanced="0"/>
    <cacheHierarchy uniqueName="[Gretchen Results 3mar].[t_txnew_u15_m]" caption="t_txnew_u15_m" attribute="1" defaultMemberUniqueName="[Gretchen Results 3mar].[t_txnew_u15_m].[All]" allUniqueName="[Gretchen Results 3mar].[t_txnew_u15_m].[All]" dimensionUniqueName="[Gretchen Results 3mar]" displayFolder="" count="2" unbalanced="0"/>
    <cacheHierarchy uniqueName="[Gretchen Results 3mar].[tbprev_d_3mar]" caption="tbprev_d_3mar" attribute="1" defaultMemberUniqueName="[Gretchen Results 3mar].[tbprev_d_3mar].[All]" allUniqueName="[Gretchen Results 3mar].[tbprev_d_3mar].[All]" dimensionUniqueName="[Gretchen Results 3mar]" displayFolder="" count="2" unbalanced="0"/>
    <cacheHierarchy uniqueName="[Gretchen Results 3mar].[tbprev_n]" caption="tbprev_n" attribute="1" defaultMemberUniqueName="[Gretchen Results 3mar].[tbprev_n].[All]" allUniqueName="[Gretchen Results 3mar].[tbprev_n].[All]" dimensionUniqueName="[Gretchen Results 3mar]" displayFolder="" count="2" unbalanced="0"/>
    <cacheHierarchy uniqueName="[Gretchen Results 3mar].[tbprev_start_thismo]" caption="tbprev_start_thismo" attribute="1" defaultMemberUniqueName="[Gretchen Results 3mar].[tbprev_start_thismo].[All]" allUniqueName="[Gretchen Results 3mar].[tbprev_start_thismo].[All]" dimensionUniqueName="[Gretchen Results 3mar]" displayFolder="" count="2" unbalanced="0"/>
    <cacheHierarchy uniqueName="[Gretchen Results 3mar].[TI]" caption="TI" attribute="1" defaultMemberUniqueName="[Gretchen Results 3mar].[TI].[All]" allUniqueName="[Gretchen Results 3mar].[TI].[All]" dimensionUniqueName="[Gretchen Results 3mar]" displayFolder="" count="2" unbalanced="0"/>
    <cacheHierarchy uniqueName="[Gretchen Results 3mar].[tier]" caption="tier" attribute="1" defaultMemberUniqueName="[Gretchen Results 3mar].[tier].[All]" allUniqueName="[Gretchen Results 3mar].[tier].[All]" dimensionUniqueName="[Gretchen Results 3mar]" displayFolder="" count="2" unbalanced="0"/>
    <cacheHierarchy uniqueName="[Gretchen Results 3mar].[TO]" caption="TO" attribute="1" defaultMemberUniqueName="[Gretchen Results 3mar].[TO].[All]" allUniqueName="[Gretchen Results 3mar].[TO].[All]" dimensionUniqueName="[Gretchen Results 3mar]" displayFolder="" count="2" unbalanced="0"/>
    <cacheHierarchy uniqueName="[Gretchen Results 3mar].[ward]" caption="ward" attribute="1" defaultMemberUniqueName="[Gretchen Results 3mar].[ward].[All]" allUniqueName="[Gretchen Results 3mar].[ward].[All]" dimensionUniqueName="[Gretchen Results 3mar]" displayFolder="" count="2" unbalanced="0"/>
    <cacheHierarchy uniqueName="[Gretchen Results 3mar].[yrmo]" caption="yrmo" attribute="1" defaultMemberUniqueName="[Gretchen Results 3mar].[yrmo].[All]" allUniqueName="[Gretchen Results 3mar].[yrmo].[All]" dimensionUniqueName="[Gretchen Results 3mar]" displayFolder="" count="2" unbalanced="0"/>
    <cacheHierarchy uniqueName="[Gretchen tx_curr Detail].[age_o15]" caption="age_o15" attribute="1" defaultMemberUniqueName="[Gretchen tx_curr Detail].[age_o15].[All]" allUniqueName="[Gretchen tx_curr Detail].[age_o15].[All]" dimensionUniqueName="[Gretchen tx_curr Detail]" displayFolder="" count="2" unbalanced="0"/>
    <cacheHierarchy uniqueName="[Gretchen tx_curr Detail].[age_u15]" caption="age_u15" attribute="1" defaultMemberUniqueName="[Gretchen tx_curr Detail].[age_u15].[All]" allUniqueName="[Gretchen tx_curr Detail].[age_u15].[All]" dimensionUniqueName="[Gretchen tx_curr Detail]" displayFolder="" count="2" unbalanced="0"/>
    <cacheHierarchy uniqueName="[Gretchen tx_curr Detail].[agegp]" caption="agegp" attribute="1" defaultMemberUniqueName="[Gretchen tx_curr Detail].[agegp].[All]" allUniqueName="[Gretchen tx_curr Detail].[agegp].[All]" dimensionUniqueName="[Gretchen tx_curr Detail]" displayFolder="" count="2" unbalanced="0"/>
    <cacheHierarchy uniqueName="[Gretchen tx_curr Detail].[ageyrs]" caption="ageyrs" attribute="1" defaultMemberUniqueName="[Gretchen tx_curr Detail].[ageyrs].[All]" allUniqueName="[Gretchen tx_curr Detail].[ageyrs].[All]" dimensionUniqueName="[Gretchen tx_curr Detail]" displayFolder="" count="2" unbalanced="0"/>
    <cacheHierarchy uniqueName="[Gretchen tx_curr Detail].[appduedt]" caption="appduedt" attribute="1" defaultMemberUniqueName="[Gretchen tx_curr Detail].[appduedt].[All]" allUniqueName="[Gretchen tx_curr Detail].[appduedt].[All]" dimensionUniqueName="[Gretchen tx_curr Detail]" displayFolder="" count="2" unbalanced="0"/>
    <cacheHierarchy uniqueName="[Gretchen tx_curr Detail].[appduedt_imp]" caption="appduedt_imp" attribute="1" defaultMemberUniqueName="[Gretchen tx_curr Detail].[appduedt_imp].[All]" allUniqueName="[Gretchen tx_curr Detail].[appduedt_imp].[All]" dimensionUniqueName="[Gretchen tx_curr Detail]" displayFolder="" count="2" unbalanced="0"/>
    <cacheHierarchy uniqueName="[Gretchen tx_curr Detail].[appmaxint]" caption="appmaxint" attribute="1" defaultMemberUniqueName="[Gretchen tx_curr Detail].[appmaxint].[All]" allUniqueName="[Gretchen tx_curr Detail].[appmaxint].[All]" dimensionUniqueName="[Gretchen tx_curr Detail]" displayFolder="" count="2" unbalanced="0"/>
    <cacheHierarchy uniqueName="[Gretchen tx_curr Detail].[artdys]" caption="artdys" attribute="1" defaultMemberUniqueName="[Gretchen tx_curr Detail].[artdys].[All]" allUniqueName="[Gretchen tx_curr Detail].[artdys].[All]" dimensionUniqueName="[Gretchen tx_curr Detail]" displayFolder="" count="2" unbalanced="0"/>
    <cacheHierarchy uniqueName="[Gretchen tx_curr Detail].[artdys_imp]" caption="artdys_imp" attribute="1" defaultMemberUniqueName="[Gretchen tx_curr Detail].[artdys_imp].[All]" allUniqueName="[Gretchen tx_curr Detail].[artdys_imp].[All]" dimensionUniqueName="[Gretchen tx_curr Detail]" displayFolder="" count="2" unbalanced="0"/>
    <cacheHierarchy uniqueName="[Gretchen tx_curr Detail].[artfinishdt]" caption="artfinishdt" attribute="1" defaultMemberUniqueName="[Gretchen tx_curr Detail].[artfinishdt].[All]" allUniqueName="[Gretchen tx_curr Detail].[artfinishdt].[All]" dimensionUniqueName="[Gretchen tx_curr Detail]" displayFolder="" count="2" unbalanced="0"/>
    <cacheHierarchy uniqueName="[Gretchen tx_curr Detail].[artmaxint]" caption="artmaxint" attribute="1" defaultMemberUniqueName="[Gretchen tx_curr Detail].[artmaxint].[All]" allUniqueName="[Gretchen tx_curr Detail].[artmaxint].[All]" dimensionUniqueName="[Gretchen tx_curr Detail]" displayFolder="" count="2" unbalanced="0"/>
    <cacheHierarchy uniqueName="[Gretchen tx_curr Detail].[dieddt]" caption="dieddt" attribute="1" defaultMemberUniqueName="[Gretchen tx_curr Detail].[dieddt].[All]" allUniqueName="[Gretchen tx_curr Detail].[dieddt].[All]" dimensionUniqueName="[Gretchen tx_curr Detail]" displayFolder="" count="2" unbalanced="0"/>
    <cacheHierarchy uniqueName="[Gretchen tx_curr Detail].[dob]" caption="dob" attribute="1" defaultMemberUniqueName="[Gretchen tx_curr Detail].[dob].[All]" allUniqueName="[Gretchen tx_curr Detail].[dob].[All]" dimensionUniqueName="[Gretchen tx_curr Detail]" displayFolder="" count="2" unbalanced="0"/>
    <cacheHierarchy uniqueName="[Gretchen tx_curr Detail].[lastvis]" caption="lastvis" attribute="1" defaultMemberUniqueName="[Gretchen tx_curr Detail].[lastvis].[All]" allUniqueName="[Gretchen tx_curr Detail].[lastvis].[All]" dimensionUniqueName="[Gretchen tx_curr Detail]" displayFolder="" count="2" unbalanced="0"/>
    <cacheHierarchy uniqueName="[Gretchen tx_curr Detail].[maxint]" caption="maxint" attribute="1" defaultMemberUniqueName="[Gretchen tx_curr Detail].[maxint].[All]" allUniqueName="[Gretchen tx_curr Detail].[maxint].[All]" dimensionUniqueName="[Gretchen tx_curr Detail]" displayFolder="" count="2" unbalanced="0"/>
    <cacheHierarchy uniqueName="[Gretchen tx_curr Detail].[pid]" caption="pid" attribute="1" defaultMemberUniqueName="[Gretchen tx_curr Detail].[pid].[All]" allUniqueName="[Gretchen tx_curr Detail].[pid].[All]" dimensionUniqueName="[Gretchen tx_curr Detail]" displayFolder="" count="2" unbalanced="0"/>
    <cacheHierarchy uniqueName="[Gretchen tx_curr Detail].[sex]" caption="sex" attribute="1" defaultMemberUniqueName="[Gretchen tx_curr Detail].[sex].[All]" allUniqueName="[Gretchen tx_curr Detail].[sex].[All]" dimensionUniqueName="[Gretchen tx_curr Detail]" displayFolder="" count="2" unbalanced="0"/>
    <cacheHierarchy uniqueName="[Gretchen tx_curr Detail].[siteid]" caption="siteid" attribute="1" defaultMemberUniqueName="[Gretchen tx_curr Detail].[siteid].[All]" allUniqueName="[Gretchen tx_curr Detail].[siteid].[All]" dimensionUniqueName="[Gretchen tx_curr Detail]" displayFolder="" count="2" unbalanced="0"/>
    <cacheHierarchy uniqueName="[Gretchen tx_curr Detail].[tc_o15_f]" caption="tc_o15_f" attribute="1" defaultMemberUniqueName="[Gretchen tx_curr Detail].[tc_o15_f].[All]" allUniqueName="[Gretchen tx_curr Detail].[tc_o15_f].[All]" dimensionUniqueName="[Gretchen tx_curr Detail]" displayFolder="" count="2" unbalanced="0"/>
    <cacheHierarchy uniqueName="[Gretchen tx_curr Detail].[tc_o15_m]" caption="tc_o15_m" attribute="1" defaultMemberUniqueName="[Gretchen tx_curr Detail].[tc_o15_m].[All]" allUniqueName="[Gretchen tx_curr Detail].[tc_o15_m].[All]" dimensionUniqueName="[Gretchen tx_curr Detail]" displayFolder="" count="2" unbalanced="0"/>
    <cacheHierarchy uniqueName="[Gretchen tx_curr Detail].[tc_u15_f]" caption="tc_u15_f" attribute="1" defaultMemberUniqueName="[Gretchen tx_curr Detail].[tc_u15_f].[All]" allUniqueName="[Gretchen tx_curr Detail].[tc_u15_f].[All]" dimensionUniqueName="[Gretchen tx_curr Detail]" displayFolder="" count="2" unbalanced="0"/>
    <cacheHierarchy uniqueName="[Gretchen tx_curr Detail].[tc_u15_m]" caption="tc_u15_m" attribute="1" defaultMemberUniqueName="[Gretchen tx_curr Detail].[tc_u15_m].[All]" allUniqueName="[Gretchen tx_curr Detail].[tc_u15_m].[All]" dimensionUniqueName="[Gretchen tx_curr Detail]" displayFolder="" count="2" unbalanced="0"/>
    <cacheHierarchy uniqueName="[Gretchen tx_curr Detail].[txcurr]" caption="txcurr" attribute="1" defaultMemberUniqueName="[Gretchen tx_curr Detail].[txcurr].[All]" allUniqueName="[Gretchen tx_curr Detail].[txcurr].[All]" dimensionUniqueName="[Gretchen tx_curr Detail]" displayFolder="" count="2" unbalanced="0"/>
    <cacheHierarchy uniqueName="[Gretchen tx_curr Detail].[txcurr_art]" caption="txcurr_art" attribute="1" defaultMemberUniqueName="[Gretchen tx_curr Detail].[txcurr_art].[All]" allUniqueName="[Gretchen tx_curr Detail].[txcurr_art].[All]" dimensionUniqueName="[Gretchen tx_curr Detail]" displayFolder="" count="2" unbalanced="0"/>
    <cacheHierarchy uniqueName="[Gretchen tx_curr Detail].[txcurr_exclude]" caption="txcurr_exclude" attribute="1" defaultMemberUniqueName="[Gretchen tx_curr Detail].[txcurr_exclude].[All]" allUniqueName="[Gretchen tx_curr Detail].[txcurr_exclude].[All]" dimensionUniqueName="[Gretchen tx_curr Detail]" displayFolder="" count="2" unbalanced="0"/>
    <cacheHierarchy uniqueName="[Gretchen tx_curr Detail].[txcurr_vis]" caption="txcurr_vis" attribute="1" defaultMemberUniqueName="[Gretchen tx_curr Detail].[txcurr_vis].[All]" allUniqueName="[Gretchen tx_curr Detail].[txcurr_vis].[All]" dimensionUniqueName="[Gretchen tx_curr Detail]" displayFolder="" count="2" unbalanced="0"/>
    <cacheHierarchy uniqueName="[Gretchen tx_curr Detail].[UniquePatientID]" caption="UniquePatientID" attribute="1" defaultMemberUniqueName="[Gretchen tx_curr Detail].[UniquePatientID].[All]" allUniqueName="[Gretchen tx_curr Detail].[UniquePatientID].[All]" dimensionUniqueName="[Gretchen tx_curr Detail]" displayFolder="" count="2" unbalanced="0"/>
    <cacheHierarchy uniqueName="[Measures]" caption="Measures" attribute="1" keyAttribute="1" defaultMemberUniqueName="[Measures].[__Default measure]" dimensionUniqueName="[Measures]" displayFolder="" measures="1" count="1" unbalanced="0">
      <fieldsUsage count="1">
        <fieldUsage x="4"/>
      </fieldsUsage>
    </cacheHierarchy>
    <cacheHierarchy uniqueName="[Patients].[Age at ART Start]" caption="Age at ART Start" attribute="1" defaultMemberUniqueName="[Patients].[Age at ART Start].[All]" allUniqueName="[Patients].[Age at ART Start].[All]" dimensionUniqueName="[Patients]" displayFolder="" count="2" unbalanced="0"/>
    <cacheHierarchy uniqueName="[Patients].[Age at ART Start (bins)]" caption="Age at ART Start (bins)" attribute="1" defaultMemberUniqueName="[Patients].[Age at ART Start (bins)].[All]" allUniqueName="[Patients].[Age at ART Start (bins)].[All]" dimensionUniqueName="[Patients]" displayFolder="" count="2" unbalanced="0"/>
    <cacheHierarchy uniqueName="[Patients].[CommunitySupportOrg]" caption="CommunitySupportOrg" attribute="1" defaultMemberUniqueName="[Patients].[CommunitySupportOrg].[All]" allUniqueName="[Patients].[CommunitySupportOrg].[All]" dimensionUniqueName="[Patients]" displayFolder="" count="2" unbalanced="0"/>
    <cacheHierarchy uniqueName="[Patients].[DateConfirmedHIVPositive]" caption="DateConfirmedHIVPositive" attribute="1" defaultMemberUniqueName="[Patients].[DateConfirmedHIVPositive].[All]" allUniqueName="[Patients].[DateConfirmedHIVPositive].[All]" dimensionUniqueName="[Patients]" displayFolder="" count="2" unbalanced="0"/>
    <cacheHierarchy uniqueName="[Patients].[DateConfirmedHIVPositiveKey]" caption="DateConfirmedHIVPositiveKey" attribute="1" defaultMemberUniqueName="[Patients].[DateConfirmedHIVPositiveKey].[All]" allUniqueName="[Patients].[DateConfirmedHIVPositiveKey].[All]" dimensionUniqueName="[Patients]" displayFolder="" count="2" unbalanced="0"/>
    <cacheHierarchy uniqueName="[Patients].[DateFirstPositiveHIVTest]" caption="DateFirstPositiveHIVTest" attribute="1" defaultMemberUniqueName="[Patients].[DateFirstPositiveHIVTest].[All]" allUniqueName="[Patients].[DateFirstPositiveHIVTest].[All]" dimensionUniqueName="[Patients]" displayFolder="" count="2" unbalanced="0"/>
    <cacheHierarchy uniqueName="[Patients].[DateFirstPositiveHIVTestKey]" caption="DateFirstPositiveHIVTestKey" attribute="1" defaultMemberUniqueName="[Patients].[DateFirstPositiveHIVTestKey].[All]" allUniqueName="[Patients].[DateFirstPositiveHIVTestKey].[All]" dimensionUniqueName="[Patients]" displayFolder="" count="2" unbalanced="0"/>
    <cacheHierarchy uniqueName="[Patients].[DateFirstVisit]" caption="DateFirstVisit" attribute="1" defaultMemberUniqueName="[Patients].[DateFirstVisit].[All]" allUniqueName="[Patients].[DateFirstVisit].[All]" dimensionUniqueName="[Patients]" displayFolder="" count="2" unbalanced="0"/>
    <cacheHierarchy uniqueName="[Patients].[DateFirstVisitKey]" caption="DateFirstVisitKey" attribute="1" defaultMemberUniqueName="[Patients].[DateFirstVisitKey].[All]" allUniqueName="[Patients].[DateFirstVisitKey].[All]" dimensionUniqueName="[Patients]" displayFolder="" count="2" unbalanced="0"/>
    <cacheHierarchy uniqueName="[Patients].[DateLastVisit]" caption="DateLastVisit" attribute="1" defaultMemberUniqueName="[Patients].[DateLastVisit].[All]" allUniqueName="[Patients].[DateLastVisit].[All]" dimensionUniqueName="[Patients]" displayFolder="" count="2" unbalanced="0"/>
    <cacheHierarchy uniqueName="[Patients].[DateLastVisitKey]" caption="DateLastVisitKey" attribute="1" defaultMemberUniqueName="[Patients].[DateLastVisitKey].[All]" allUniqueName="[Patients].[DateLastVisitKey].[All]" dimensionUniqueName="[Patients]" displayFolder="" count="2" unbalanced="0"/>
    <cacheHierarchy uniqueName="[Patients].[DateOfBirth]" caption="DateOfBirth" attribute="1" defaultMemberUniqueName="[Patients].[DateOfBirth].[All]" allUniqueName="[Patients].[DateOfBirth].[All]" dimensionUniqueName="[Patients]" displayFolder="" count="2" unbalanced="0"/>
    <cacheHierarchy uniqueName="[Patients].[DateOfDeath]" caption="DateOfDeath" attribute="1" defaultMemberUniqueName="[Patients].[DateOfDeath].[All]" allUniqueName="[Patients].[DateOfDeath].[All]" dimensionUniqueName="[Patients]" displayFolder="" count="2" unbalanced="0"/>
    <cacheHierarchy uniqueName="[Patients].[DateOfDeathKey]" caption="DateOfDeathKey" attribute="1" defaultMemberUniqueName="[Patients].[DateOfDeathKey].[All]" allUniqueName="[Patients].[DateOfDeathKey].[All]" dimensionUniqueName="[Patients]" displayFolder="" count="2" unbalanced="0"/>
    <cacheHierarchy uniqueName="[Patients].[DateReadyStartART]" caption="DateReadyStartART" attribute="1" defaultMemberUniqueName="[Patients].[DateReadyStartART].[All]" allUniqueName="[Patients].[DateReadyStartART].[All]" dimensionUniqueName="[Patients]" displayFolder="" count="2" unbalanced="0"/>
    <cacheHierarchy uniqueName="[Patients].[DateReadyStartARTKey]" caption="DateReadyStartARTKey" attribute="1" defaultMemberUniqueName="[Patients].[DateReadyStartARTKey].[All]" allUniqueName="[Patients].[DateReadyStartARTKey].[All]" dimensionUniqueName="[Patients]" displayFolder="" count="2" unbalanced="0"/>
    <cacheHierarchy uniqueName="[Patients].[DateStartART]" caption="DateStartART" attribute="1" defaultMemberUniqueName="[Patients].[DateStartART].[All]" allUniqueName="[Patients].[DateStartART].[All]" dimensionUniqueName="[Patients]" displayFolder="" count="2" unbalanced="0"/>
    <cacheHierarchy uniqueName="[Patients].[DateStartART15]" caption="DateStartART15" attribute="1" defaultMemberUniqueName="[Patients].[DateStartART15].[All]" allUniqueName="[Patients].[DateStartART15].[All]" dimensionUniqueName="[Patients]" displayFolder="" count="2" unbalanced="0"/>
    <cacheHierarchy uniqueName="[Patients].[DateStartART15Key]" caption="DateStartART15Key" attribute="1" defaultMemberUniqueName="[Patients].[DateStartART15Key].[All]" allUniqueName="[Patients].[DateStartART15Key].[All]" dimensionUniqueName="[Patients]" displayFolder="" count="2" unbalanced="0"/>
    <cacheHierarchy uniqueName="[Patients].[DateStartART2]" caption="DateStartART2" attribute="1" defaultMemberUniqueName="[Patients].[DateStartART2].[All]" allUniqueName="[Patients].[DateStartART2].[All]" dimensionUniqueName="[Patients]" displayFolder="" count="2" unbalanced="0"/>
    <cacheHierarchy uniqueName="[Patients].[DateStartART2Key]" caption="DateStartART2Key" attribute="1" defaultMemberUniqueName="[Patients].[DateStartART2Key].[All]" allUniqueName="[Patients].[DateStartART2Key].[All]" dimensionUniqueName="[Patients]" displayFolder="" count="2" unbalanced="0"/>
    <cacheHierarchy uniqueName="[Patients].[DateStartARTKey]" caption="DateStartARTKey" attribute="1" defaultMemberUniqueName="[Patients].[DateStartARTKey].[All]" allUniqueName="[Patients].[DateStartARTKey].[All]" dimensionUniqueName="[Patients]" displayFolder="" count="2" unbalanced="0"/>
    <cacheHierarchy uniqueName="[Patients].[DaysToInitiation]" caption="DaysToInitiation" attribute="1" defaultMemberUniqueName="[Patients].[DaysToInitiation].[All]" allUniqueName="[Patients].[DaysToInitiation].[All]" dimensionUniqueName="[Patients]" displayFolder="" count="2" unbalanced="0"/>
    <cacheHierarchy uniqueName="[Patients].[DaysToInitiationGrouping]" caption="DaysToInitiationGrouping" attribute="1" defaultMemberUniqueName="[Patients].[DaysToInitiationGrouping].[All]" allUniqueName="[Patients].[DaysToInitiationGrouping].[All]" dimensionUniqueName="[Patients]" displayFolder="" count="2" unbalanced="0"/>
    <cacheHierarchy uniqueName="[Patients].[DrugAllergies]" caption="DrugAllergies" attribute="1" defaultMemberUniqueName="[Patients].[DrugAllergies].[All]" allUniqueName="[Patients].[DrugAllergies].[All]" dimensionUniqueName="[Patients]" displayFolder="" count="2" unbalanced="0"/>
    <cacheHierarchy uniqueName="[Patients].[FacilityKey]" caption="FacilityKey" attribute="1" defaultMemberUniqueName="[Patients].[FacilityKey].[All]" allUniqueName="[Patients].[FacilityKey].[All]" dimensionUniqueName="[Patients]" displayFolder="" count="2" unbalanced="0"/>
    <cacheHierarchy uniqueName="[Patients].[FileRef]" caption="FileRef" attribute="1" defaultMemberUniqueName="[Patients].[FileRef].[All]" allUniqueName="[Patients].[FileRef].[All]" dimensionUniqueName="[Patients]" displayFolder="" count="2" unbalanced="0"/>
    <cacheHierarchy uniqueName="[Patients].[ht]" caption="ht" attribute="1" defaultMemberUniqueName="[Patients].[ht].[All]" allUniqueName="[Patients].[ht].[All]" dimensionUniqueName="[Patients]" displayFolder="" count="2" unbalanced="0"/>
    <cacheHierarchy uniqueName="[Patients].[LastDiedStatusDate]" caption="LastDiedStatusDate" attribute="1" defaultMemberUniqueName="[Patients].[LastDiedStatusDate].[All]" allUniqueName="[Patients].[LastDiedStatusDate].[All]" dimensionUniqueName="[Patients]" displayFolder="" count="2" unbalanced="0"/>
    <cacheHierarchy uniqueName="[Patients].[MaritalStatusCode]" caption="MaritalStatusCode" attribute="1" defaultMemberUniqueName="[Patients].[MaritalStatusCode].[All]" allUniqueName="[Patients].[MaritalStatusCode].[All]" dimensionUniqueName="[Patients]" displayFolder="" count="2" unbalanced="0"/>
    <cacheHierarchy uniqueName="[Patients].[PatientDistrictCode]" caption="PatientDistrictCode" attribute="1" defaultMemberUniqueName="[Patients].[PatientDistrictCode].[All]" allUniqueName="[Patients].[PatientDistrictCode].[All]" dimensionUniqueName="[Patients]" displayFolder="" count="2" unbalanced="0"/>
    <cacheHierarchy uniqueName="[Patients].[PatientDivisionName]" caption="PatientDivisionName" attribute="1" defaultMemberUniqueName="[Patients].[PatientDivisionName].[All]" allUniqueName="[Patients].[PatientDivisionName].[All]" dimensionUniqueName="[Patients]" displayFolder="" count="2" unbalanced="0"/>
    <cacheHierarchy uniqueName="[Patients].[PatientID]" caption="PatientID" attribute="1" defaultMemberUniqueName="[Patients].[PatientID].[All]" allUniqueName="[Patients].[PatientID].[All]" dimensionUniqueName="[Patients]" displayFolder="" count="2" unbalanced="0"/>
    <cacheHierarchy uniqueName="[Patients].[PatientKey]" caption="PatientKey" attribute="1" defaultMemberUniqueName="[Patients].[PatientKey].[All]" allUniqueName="[Patients].[PatientKey].[All]" dimensionUniqueName="[Patients]" displayFolder="" count="2" unbalanced="0"/>
    <cacheHierarchy uniqueName="[Patients].[PatientRegionCode]" caption="PatientRegionCode" attribute="1" defaultMemberUniqueName="[Patients].[PatientRegionCode].[All]" allUniqueName="[Patients].[PatientRegionCode].[All]" dimensionUniqueName="[Patients]" displayFolder="" count="2" unbalanced="0"/>
    <cacheHierarchy uniqueName="[Patients].[PatientWardName]" caption="PatientWardName" attribute="1" defaultMemberUniqueName="[Patients].[PatientWardName].[All]" allUniqueName="[Patients].[PatientWardName].[All]" dimensionUniqueName="[Patients]" displayFolder="" count="2" unbalanced="0"/>
    <cacheHierarchy uniqueName="[Patients].[PriorExposure]" caption="PriorExposure" attribute="1" defaultMemberUniqueName="[Patients].[PriorExposure].[All]" allUniqueName="[Patients].[PriorExposure].[All]" dimensionUniqueName="[Patients]" displayFolder="" count="2" unbalanced="0"/>
    <cacheHierarchy uniqueName="[Patients].[ReferredFrom]" caption="ReferredFrom" attribute="1" defaultMemberUniqueName="[Patients].[ReferredFrom].[All]" allUniqueName="[Patients].[ReferredFrom].[All]" dimensionUniqueName="[Patients]" displayFolder="" count="2" unbalanced="0"/>
    <cacheHierarchy uniqueName="[Patients].[ReferredFromID]" caption="ReferredFromID" attribute="1" defaultMemberUniqueName="[Patients].[ReferredFromID].[All]" allUniqueName="[Patients].[ReferredFromID].[All]" dimensionUniqueName="[Patients]" displayFolder="" count="2" unbalanced="0"/>
    <cacheHierarchy uniqueName="[Patients].[ReferredFromKey]" caption="ReferredFromKey" attribute="1" defaultMemberUniqueName="[Patients].[ReferredFromKey].[All]" allUniqueName="[Patients].[ReferredFromKey].[All]" dimensionUniqueName="[Patients]" displayFolder="" count="2" unbalanced="0"/>
    <cacheHierarchy uniqueName="[Patients].[Sex]" caption="Sex" attribute="1" defaultMemberUniqueName="[Patients].[Sex].[All]" allUniqueName="[Patients].[Sex].[All]" dimensionUniqueName="[Patients]" displayFolder="" count="2" unbalanced="0"/>
    <cacheHierarchy uniqueName="[Patients].[SexShort]" caption="SexShort" attribute="1" defaultMemberUniqueName="[Patients].[SexShort].[All]" allUniqueName="[Patients].[SexShort].[All]" dimensionUniqueName="[Patients]" displayFolder="" count="2" unbalanced="0"/>
    <cacheHierarchy uniqueName="[Patients].[TransferIn]" caption="TransferIn" attribute="1" defaultMemberUniqueName="[Patients].[TransferIn].[All]" allUniqueName="[Patients].[TransferIn].[All]" dimensionUniqueName="[Patients]" displayFolder="" count="2" unbalanced="0"/>
    <cacheHierarchy uniqueName="[Patients].[TransferInID]" caption="TransferInID" attribute="1" defaultMemberUniqueName="[Patients].[TransferInID].[All]" allUniqueName="[Patients].[TransferInID].[All]" dimensionUniqueName="[Patients]" displayFolder="" count="2" unbalanced="0"/>
    <cacheHierarchy uniqueName="[Patients].[TransferInShort]" caption="TransferInShort" attribute="1" defaultMemberUniqueName="[Patients].[TransferInShort].[All]" allUniqueName="[Patients].[TransferInShort].[All]" dimensionUniqueName="[Patients]" displayFolder="" count="2" unbalanced="0"/>
    <cacheHierarchy uniqueName="[Patients].[TrulyDied]" caption="TrulyDied" attribute="1" defaultMemberUniqueName="[Patients].[TrulyDied].[All]" allUniqueName="[Patients].[TrulyDied].[All]" dimensionUniqueName="[Patients]" displayFolder="" count="2" unbalanced="0"/>
    <cacheHierarchy uniqueName="[Patients].[TrulyDiedDate]" caption="TrulyDiedDate" attribute="1" defaultMemberUniqueName="[Patients].[TrulyDiedDate].[All]" allUniqueName="[Patients].[TrulyDiedDate].[All]" dimensionUniqueName="[Patients]" displayFolder="" count="2" unbalanced="0"/>
    <cacheHierarchy uniqueName="[Patients].[UniquePatientID]" caption="UniquePatientID" attribute="1" defaultMemberUniqueName="[Patients].[UniquePatientID].[All]" allUniqueName="[Patients].[UniquePatientID].[All]" dimensionUniqueName="[Patients]" displayFolder="" count="2" unbalanced="0"/>
    <cacheHierarchy uniqueName="[Status].[District]" caption="District" attribute="1" defaultMemberUniqueName="[Status].[District].[All]" allUniqueName="[Status].[District].[All]" dimensionUniqueName="[Status]" displayFolder="" count="2" unbalanced="0"/>
    <cacheHierarchy uniqueName="[Status].[FacilityKey]" caption="FacilityKey" attribute="1" defaultMemberUniqueName="[Status].[FacilityKey].[All]" allUniqueName="[Status].[FacilityKey].[All]" dimensionUniqueName="[Status]" displayFolder="" count="2" unbalanced="0"/>
    <cacheHierarchy uniqueName="[Status].[FacilityName]" caption="FacilityName" attribute="1" defaultMemberUniqueName="[Status].[FacilityName].[All]" allUniqueName="[Status].[FacilityName].[All]" dimensionUniqueName="[Status]" displayFolder="" count="2" unbalanced="0"/>
    <cacheHierarchy uniqueName="[Status].[FactStatusKey]" caption="FactStatusKey" attribute="1" defaultMemberUniqueName="[Status].[FactStatusKey].[All]" allUniqueName="[Status].[FactStatusKey].[All]" dimensionUniqueName="[Status]" displayFolder="" count="2" unbalanced="0"/>
    <cacheHierarchy uniqueName="[Status].[Notes]" caption="Notes" attribute="1" defaultMemberUniqueName="[Status].[Notes].[All]" allUniqueName="[Status].[Notes].[All]" dimensionUniqueName="[Status]" displayFolder="" count="2" unbalanced="0"/>
    <cacheHierarchy uniqueName="[Status].[PatientID]" caption="PatientID" attribute="1" defaultMemberUniqueName="[Status].[PatientID].[All]" allUniqueName="[Status].[PatientID].[All]" dimensionUniqueName="[Status]" displayFolder="" count="2" unbalanced="0"/>
    <cacheHierarchy uniqueName="[Status].[PatientKey]" caption="PatientKey" attribute="1" defaultMemberUniqueName="[Status].[PatientKey].[All]" allUniqueName="[Status].[PatientKey].[All]" dimensionUniqueName="[Status]" displayFolder="" count="2" unbalanced="0"/>
    <cacheHierarchy uniqueName="[Status].[PtAgeAtStatusDate]" caption="PtAgeAtStatusDate" attribute="1" defaultMemberUniqueName="[Status].[PtAgeAtStatusDate].[All]" allUniqueName="[Status].[PtAgeAtStatusDate].[All]" dimensionUniqueName="[Status]" displayFolder="" count="2" unbalanced="0"/>
    <cacheHierarchy uniqueName="[Status].[Region]" caption="Region" attribute="1" defaultMemberUniqueName="[Status].[Region].[All]" allUniqueName="[Status].[Region].[All]" dimensionUniqueName="[Status]" displayFolder="" count="2" unbalanced="0"/>
    <cacheHierarchy uniqueName="[Status].[StatusDate]" caption="StatusDate" attribute="1" defaultMemberUniqueName="[Status].[StatusDate].[All]" allUniqueName="[Status].[StatusDate].[All]" dimensionUniqueName="[Status]" displayFolder="" count="2" unbalanced="0"/>
    <cacheHierarchy uniqueName="[Status].[StatusDateKey]" caption="StatusDateKey" attribute="1" defaultMemberUniqueName="[Status].[StatusDateKey].[All]" allUniqueName="[Status].[StatusDateKey].[All]" dimensionUniqueName="[Status]" displayFolder="" count="2" unbalanced="0"/>
    <cacheHierarchy uniqueName="[Status].[StatusDescription]" caption="StatusDescription" attribute="1" defaultMemberUniqueName="[Status].[StatusDescription].[All]" allUniqueName="[Status].[StatusDescription].[All]" dimensionUniqueName="[Status]" displayFolder="" count="2" unbalanced="0"/>
    <cacheHierarchy uniqueName="[Status].[StatusKey]" caption="StatusKey" attribute="1" defaultMemberUniqueName="[Status].[StatusKey].[All]" allUniqueName="[Status].[StatusKey].[All]" dimensionUniqueName="[Status]" displayFolder="" count="2" unbalanced="0"/>
    <cacheHierarchy uniqueName="[Status].[StatusReason]" caption="StatusReason" attribute="1" defaultMemberUniqueName="[Status].[StatusReason].[All]" allUniqueName="[Status].[StatusReason].[All]" dimensionUniqueName="[Status]" displayFolder="" count="2" unbalanced="0"/>
    <cacheHierarchy uniqueName="[Status].[TransferredOutWhere]" caption="TransferredOutWhere" attribute="1" defaultMemberUniqueName="[Status].[TransferredOutWhere].[All]" allUniqueName="[Status].[TransferredOutWhere].[All]" dimensionUniqueName="[Status]" displayFolder="" count="2" unbalanced="0"/>
    <cacheHierarchy uniqueName="[Tests].[DateCompletedEAC]" caption="DateCompletedEAC" attribute="1" defaultMemberUniqueName="[Tests].[DateCompletedEAC].[All]" allUniqueName="[Tests].[DateCompletedEAC].[All]" dimensionUniqueName="[Tests]" displayFolder="" count="2" unbalanced="0"/>
    <cacheHierarchy uniqueName="[Tests].[DateHVLTestAfterEAC]" caption="DateHVLTestAfterEAC" attribute="1" defaultMemberUniqueName="[Tests].[DateHVLTestAfterEAC].[All]" allUniqueName="[Tests].[DateHVLTestAfterEAC].[All]" dimensionUniqueName="[Tests]" displayFolder="" count="2" unbalanced="0"/>
    <cacheHierarchy uniqueName="[Tests].[DateInitiatedEAC]" caption="DateInitiatedEAC" attribute="1" defaultMemberUniqueName="[Tests].[DateInitiatedEAC].[All]" allUniqueName="[Tests].[DateInitiatedEAC].[All]" dimensionUniqueName="[Tests]" displayFolder="" count="2" unbalanced="0"/>
    <cacheHierarchy uniqueName="[Tests].[District]" caption="District" attribute="1" defaultMemberUniqueName="[Tests].[District].[All]" allUniqueName="[Tests].[District].[All]" dimensionUniqueName="[Tests]" displayFolder="" count="2" unbalanced="0"/>
    <cacheHierarchy uniqueName="[Tests].[FacilityKey]" caption="FacilityKey" attribute="1" defaultMemberUniqueName="[Tests].[FacilityKey].[All]" allUniqueName="[Tests].[FacilityKey].[All]" dimensionUniqueName="[Tests]" displayFolder="" count="2" unbalanced="0"/>
    <cacheHierarchy uniqueName="[Tests].[FacilityName]" caption="FacilityName" attribute="1" defaultMemberUniqueName="[Tests].[FacilityName].[All]" allUniqueName="[Tests].[FacilityName].[All]" dimensionUniqueName="[Tests]" displayFolder="" count="2" unbalanced="0"/>
    <cacheHierarchy uniqueName="[Tests].[PatientID]" caption="PatientID" attribute="1" defaultMemberUniqueName="[Tests].[PatientID].[All]" allUniqueName="[Tests].[PatientID].[All]" dimensionUniqueName="[Tests]" displayFolder="" count="2" unbalanced="0"/>
    <cacheHierarchy uniqueName="[Tests].[PatientKey]" caption="PatientKey" attribute="1" defaultMemberUniqueName="[Tests].[PatientKey].[All]" allUniqueName="[Tests].[PatientKey].[All]" dimensionUniqueName="[Tests]" displayFolder="" count="2" unbalanced="0"/>
    <cacheHierarchy uniqueName="[Tests].[PtAgeAtRefVisitDate]" caption="PtAgeAtRefVisitDate" attribute="1" defaultMemberUniqueName="[Tests].[PtAgeAtRefVisitDate].[All]" allUniqueName="[Tests].[PtAgeAtRefVisitDate].[All]" dimensionUniqueName="[Tests]" displayFolder="" count="2" unbalanced="0"/>
    <cacheHierarchy uniqueName="[Tests].[RefVisitDate]" caption="RefVisitDate" attribute="1" defaultMemberUniqueName="[Tests].[RefVisitDate].[All]" allUniqueName="[Tests].[RefVisitDate].[All]" dimensionUniqueName="[Tests]" displayFolder="" count="2" unbalanced="0"/>
    <cacheHierarchy uniqueName="[Tests].[Region]" caption="Region" attribute="1" defaultMemberUniqueName="[Tests].[Region].[All]" allUniqueName="[Tests].[Region].[All]" dimensionUniqueName="[Tests]" displayFolder="" count="2" unbalanced="0"/>
    <cacheHierarchy uniqueName="[Tests].[ResultDate]" caption="ResultDate" attribute="1" defaultMemberUniqueName="[Tests].[ResultDate].[All]" allUniqueName="[Tests].[ResultDate].[All]" dimensionUniqueName="[Tests]" displayFolder="" count="2" unbalanced="0"/>
    <cacheHierarchy uniqueName="[Tests].[ResultNotes]" caption="ResultNotes" attribute="1" defaultMemberUniqueName="[Tests].[ResultNotes].[All]" allUniqueName="[Tests].[ResultNotes].[All]" dimensionUniqueName="[Tests]" displayFolder="" count="2" unbalanced="0"/>
    <cacheHierarchy uniqueName="[Tests].[ResultNotesClean]" caption="ResultNotesClean" attribute="1" defaultMemberUniqueName="[Tests].[ResultNotesClean].[All]" allUniqueName="[Tests].[ResultNotesClean].[All]" dimensionUniqueName="[Tests]" displayFolder="" count="2" unbalanced="0"/>
    <cacheHierarchy uniqueName="[Tests].[ResultNotesDiffer]" caption="ResultNotesDiffer" attribute="1" defaultMemberUniqueName="[Tests].[ResultNotesDiffer].[All]" allUniqueName="[Tests].[ResultNotesDiffer].[All]" dimensionUniqueName="[Tests]" displayFolder="" count="2" unbalanced="0"/>
    <cacheHierarchy uniqueName="[Tests].[ResultNumeric]" caption="ResultNumeric" attribute="1" defaultMemberUniqueName="[Tests].[ResultNumeric].[All]" allUniqueName="[Tests].[ResultNumeric].[All]" dimensionUniqueName="[Tests]" displayFolder="" count="2" unbalanced="0"/>
    <cacheHierarchy uniqueName="[Tests].[ResultNumericClean]" caption="ResultNumericClean" attribute="1" defaultMemberUniqueName="[Tests].[ResultNumericClean].[All]" allUniqueName="[Tests].[ResultNumericClean].[All]" dimensionUniqueName="[Tests]" displayFolder="" count="2" unbalanced="0"/>
    <cacheHierarchy uniqueName="[Tests].[ResultNumericDiffers]" caption="ResultNumericDiffers" attribute="1" defaultMemberUniqueName="[Tests].[ResultNumericDiffers].[All]" allUniqueName="[Tests].[ResultNumericDiffers].[All]" dimensionUniqueName="[Tests]" displayFolder="" count="2" unbalanced="0"/>
    <cacheHierarchy uniqueName="[Tests].[ResultsStatusID]" caption="ResultsStatusID" attribute="1" defaultMemberUniqueName="[Tests].[ResultsStatusID].[All]" allUniqueName="[Tests].[ResultsStatusID].[All]" dimensionUniqueName="[Tests]" displayFolder="" count="2" unbalanced="0"/>
    <cacheHierarchy uniqueName="[Tests].[ReturnResultDate]" caption="ReturnResultDate" attribute="1" defaultMemberUniqueName="[Tests].[ReturnResultDate].[All]" allUniqueName="[Tests].[ReturnResultDate].[All]" dimensionUniqueName="[Tests]" displayFolder="" count="2" unbalanced="0"/>
    <cacheHierarchy uniqueName="[Tests].[TestDate]" caption="TestDate" attribute="1" defaultMemberUniqueName="[Tests].[TestDate].[All]" allUniqueName="[Tests].[TestDate].[All]" dimensionUniqueName="[Tests]" displayFolder="" count="2" unbalanced="0"/>
    <cacheHierarchy uniqueName="[Tests].[TestType]" caption="TestType" attribute="1" defaultMemberUniqueName="[Tests].[TestType].[All]" allUniqueName="[Tests].[TestType].[All]" dimensionUniqueName="[Tests]" displayFolder="" count="2" unbalanced="0"/>
    <cacheHierarchy uniqueName="[Tests].[TestTypeID]" caption="TestTypeID" attribute="1" defaultMemberUniqueName="[Tests].[TestTypeID].[All]" allUniqueName="[Tests].[TestTypeID].[All]" dimensionUniqueName="[Tests]" displayFolder="" count="2" unbalanced="0"/>
    <cacheHierarchy uniqueName="[Tests].[TheID]" caption="TheID" attribute="1" defaultMemberUniqueName="[Tests].[TheID].[All]" allUniqueName="[Tests].[TheID].[All]" dimensionUniqueName="[Tests]" displayFolder="" count="2" unbalanced="0"/>
    <cacheHierarchy uniqueName="[VisitsAndAppointments].[appduedt]" caption="appduedt" attribute="1" defaultMemberUniqueName="[VisitsAndAppointments].[appduedt].[All]" allUniqueName="[VisitsAndAppointments].[appduedt].[All]" dimensionUniqueName="[VisitsAndAppointments]" displayFolder="" count="2" unbalanced="0"/>
    <cacheHierarchy uniqueName="[VisitsAndAppointments].[appduedt_imp]" caption="appduedt_imp" attribute="1" defaultMemberUniqueName="[VisitsAndAppointments].[appduedt_imp].[All]" allUniqueName="[VisitsAndAppointments].[appduedt_imp].[All]" dimensionUniqueName="[VisitsAndAppointments]" displayFolder="" count="2" unbalanced="0"/>
    <cacheHierarchy uniqueName="[VisitsAndAppointments].[appduedt_key]" caption="appduedt_key" attribute="1" defaultMemberUniqueName="[VisitsAndAppointments].[appduedt_key].[All]" allUniqueName="[VisitsAndAppointments].[appduedt_key].[All]" dimensionUniqueName="[VisitsAndAppointments]" displayFolder="" count="2" unbalanced="0"/>
    <cacheHierarchy uniqueName="[VisitsAndAppointments].[appmaxint]" caption="appmaxint" attribute="1" defaultMemberUniqueName="[VisitsAndAppointments].[appmaxint].[All]" allUniqueName="[VisitsAndAppointments].[appmaxint].[All]" dimensionUniqueName="[VisitsAndAppointments]" displayFolder="" count="2" unbalanced="0"/>
    <cacheHierarchy uniqueName="[VisitsAndAppointments].[AppointmentDate]" caption="AppointmentDate" attribute="1" defaultMemberUniqueName="[VisitsAndAppointments].[AppointmentDate].[All]" allUniqueName="[VisitsAndAppointments].[AppointmentDate].[All]" dimensionUniqueName="[VisitsAndAppointments]" displayFolder="" count="2" unbalanced="0"/>
    <cacheHierarchy uniqueName="[VisitsAndAppointments].[AppointmentDateKey]" caption="AppointmentDateKey" attribute="1" defaultMemberUniqueName="[VisitsAndAppointments].[AppointmentDateKey].[All]" allUniqueName="[VisitsAndAppointments].[AppointmentDateKey].[All]" dimensionUniqueName="[VisitsAndAppointments]" displayFolder="" count="2" unbalanced="0"/>
    <cacheHierarchy uniqueName="[VisitsAndAppointments].[artdys]" caption="artdys" attribute="1" defaultMemberUniqueName="[VisitsAndAppointments].[artdys].[All]" allUniqueName="[VisitsAndAppointments].[artdys].[All]" dimensionUniqueName="[VisitsAndAppointments]" displayFolder="" count="2" unbalanced="0"/>
    <cacheHierarchy uniqueName="[VisitsAndAppointments].[artdys_imp]" caption="artdys_imp" attribute="1" defaultMemberUniqueName="[VisitsAndAppointments].[artdys_imp].[All]" allUniqueName="[VisitsAndAppointments].[artdys_imp].[All]" dimensionUniqueName="[VisitsAndAppointments]" displayFolder="" count="2" unbalanced="0"/>
    <cacheHierarchy uniqueName="[VisitsAndAppointments].[artmaxint]" caption="artmaxint" attribute="1" defaultMemberUniqueName="[VisitsAndAppointments].[artmaxint].[All]" allUniqueName="[VisitsAndAppointments].[artmaxint].[All]" dimensionUniqueName="[VisitsAndAppointments]" displayFolder="" count="2" unbalanced="0"/>
    <cacheHierarchy uniqueName="[VisitsAndAppointments].[ARVCode]" caption="ARVCode" attribute="1" defaultMemberUniqueName="[VisitsAndAppointments].[ARVCode].[All]" allUniqueName="[VisitsAndAppointments].[ARVCode].[All]" dimensionUniqueName="[VisitsAndAppointments]" displayFolder="" count="2" unbalanced="0"/>
    <cacheHierarchy uniqueName="[VisitsAndAppointments].[ARVCodeKey]" caption="ARVCodeKey" attribute="1" defaultMemberUniqueName="[VisitsAndAppointments].[ARVCodeKey].[All]" allUniqueName="[VisitsAndAppointments].[ARVCodeKey].[All]" dimensionUniqueName="[VisitsAndAppointments]" displayFolder="" count="2" unbalanced="0"/>
    <cacheHierarchy uniqueName="[VisitsAndAppointments].[ARVDescription]" caption="ARVDescription" attribute="1" defaultMemberUniqueName="[VisitsAndAppointments].[ARVDescription].[All]" allUniqueName="[VisitsAndAppointments].[ARVDescription].[All]" dimensionUniqueName="[VisitsAndAppointments]" displayFolder="" count="2" unbalanced="0"/>
    <cacheHierarchy uniqueName="[VisitsAndAppointments].[ARVStatus]" caption="ARVStatus" attribute="1" defaultMemberUniqueName="[VisitsAndAppointments].[ARVStatus].[All]" allUniqueName="[VisitsAndAppointments].[ARVStatus].[All]" dimensionUniqueName="[VisitsAndAppointments]" displayFolder="" count="2" unbalanced="0"/>
    <cacheHierarchy uniqueName="[VisitsAndAppointments].[ARVStatusDescription]" caption="ARVStatusDescription" attribute="1" defaultMemberUniqueName="[VisitsAndAppointments].[ARVStatusDescription].[All]" allUniqueName="[VisitsAndAppointments].[ARVStatusDescription].[All]" dimensionUniqueName="[VisitsAndAppointments]" displayFolder="" count="2" unbalanced="0"/>
    <cacheHierarchy uniqueName="[VisitsAndAppointments].[ARVStatusKey]" caption="ARVStatusKey" attribute="1" defaultMemberUniqueName="[VisitsAndAppointments].[ARVStatusKey].[All]" allUniqueName="[VisitsAndAppointments].[ARVStatusKey].[All]" dimensionUniqueName="[VisitsAndAppointments]" displayFolder="" count="2" unbalanced="0"/>
    <cacheHierarchy uniqueName="[VisitsAndAppointments].[ConsiderForTX_CURR]" caption="ConsiderForTX_CURR" attribute="1" defaultMemberUniqueName="[VisitsAndAppointments].[ConsiderForTX_CURR].[All]" allUniqueName="[VisitsAndAppointments].[ConsiderForTX_CURR].[All]" dimensionUniqueName="[VisitsAndAppointments]" displayFolder="" count="2" unbalanced="0"/>
    <cacheHierarchy uniqueName="[VisitsAndAppointments].[DATIMName]" caption="DATIMName" attribute="1" defaultMemberUniqueName="[VisitsAndAppointments].[DATIMName].[All]" allUniqueName="[VisitsAndAppointments].[DATIMName].[All]" dimensionUniqueName="[VisitsAndAppointments]" displayFolder="" count="2" unbalanced="0"/>
    <cacheHierarchy uniqueName="[VisitsAndAppointments].[DHISName]" caption="DHISName" attribute="1" defaultMemberUniqueName="[VisitsAndAppointments].[DHISName].[All]" allUniqueName="[VisitsAndAppointments].[DHISName].[All]" dimensionUniqueName="[VisitsAndAppointments]" displayFolder="" count="2" unbalanced="0"/>
    <cacheHierarchy uniqueName="[VisitsAndAppointments].[FacilityKey]" caption="FacilityKey" attribute="1" defaultMemberUniqueName="[VisitsAndAppointments].[FacilityKey].[All]" allUniqueName="[VisitsAndAppointments].[FacilityKey].[All]" dimensionUniqueName="[VisitsAndAppointments]" displayFolder="" count="2" unbalanced="0"/>
    <cacheHierarchy uniqueName="[VisitsAndAppointments].[maxint]" caption="maxint" attribute="1" defaultMemberUniqueName="[VisitsAndAppointments].[maxint].[All]" allUniqueName="[VisitsAndAppointments].[maxint].[All]" dimensionUniqueName="[VisitsAndAppointments]" displayFolder="" count="2" unbalanced="0"/>
    <cacheHierarchy uniqueName="[VisitsAndAppointments].[MaxVisitDateKey]" caption="MaxVisitDateKey" attribute="1" defaultMemberUniqueName="[VisitsAndAppointments].[MaxVisitDateKey].[All]" allUniqueName="[VisitsAndAppointments].[MaxVisitDateKey].[All]" dimensionUniqueName="[VisitsAndAppointments]" displayFolder="" count="2" unbalanced="0"/>
    <cacheHierarchy uniqueName="[VisitsAndAppointments].[NextActualVisitDate]" caption="NextActualVisitDate" attribute="1" defaultMemberUniqueName="[VisitsAndAppointments].[NextActualVisitDate].[All]" allUniqueName="[VisitsAndAppointments].[NextActualVisitDate].[All]" dimensionUniqueName="[VisitsAndAppointments]" displayFolder="" count="2" unbalanced="0"/>
    <cacheHierarchy uniqueName="[VisitsAndAppointments].[NextActualVisitDateKey]" caption="NextActualVisitDateKey" attribute="1" defaultMemberUniqueName="[VisitsAndAppointments].[NextActualVisitDateKey].[All]" allUniqueName="[VisitsAndAppointments].[NextActualVisitDateKey].[All]" dimensionUniqueName="[VisitsAndAppointments]" displayFolder="" count="2" unbalanced="0"/>
    <cacheHierarchy uniqueName="[VisitsAndAppointments].[NextTXCURRVisitDate]" caption="NextTXCURRVisitDate" attribute="1" defaultMemberUniqueName="[VisitsAndAppointments].[NextTXCURRVisitDate].[All]" allUniqueName="[VisitsAndAppointments].[NextTXCURRVisitDate].[All]" dimensionUniqueName="[VisitsAndAppointments]" displayFolder="" count="2" unbalanced="0"/>
    <cacheHierarchy uniqueName="[VisitsAndAppointments].[NumDaysDispensed]" caption="NumDaysDispensed" attribute="1" defaultMemberUniqueName="[VisitsAndAppointments].[NumDaysDispensed].[All]" allUniqueName="[VisitsAndAppointments].[NumDaysDispensed].[All]" dimensionUniqueName="[VisitsAndAppointments]" displayFolder="" count="2" unbalanced="0"/>
    <cacheHierarchy uniqueName="[VisitsAndAppointments].[PatientID]" caption="PatientID" attribute="1" defaultMemberUniqueName="[VisitsAndAppointments].[PatientID].[All]" allUniqueName="[VisitsAndAppointments].[PatientID].[All]" dimensionUniqueName="[VisitsAndAppointments]" displayFolder="" count="2" unbalanced="0"/>
    <cacheHierarchy uniqueName="[VisitsAndAppointments].[PatientKey]" caption="PatientKey" attribute="1" defaultMemberUniqueName="[VisitsAndAppointments].[PatientKey].[All]" allUniqueName="[VisitsAndAppointments].[PatientKey].[All]" dimensionUniqueName="[VisitsAndAppointments]" displayFolder="" count="2" unbalanced="0"/>
    <cacheHierarchy uniqueName="[VisitsAndAppointments].[PtAgeAtVisit]" caption="PtAgeAtVisit" attribute="1" defaultMemberUniqueName="[VisitsAndAppointments].[PtAgeAtVisit].[All]" allUniqueName="[VisitsAndAppointments].[PtAgeAtVisit].[All]" dimensionUniqueName="[VisitsAndAppointments]" displayFolder="" count="2" unbalanced="0"/>
    <cacheHierarchy uniqueName="[VisitsAndAppointments].[src]" caption="src" attribute="1" defaultMemberUniqueName="[VisitsAndAppointments].[src].[All]" allUniqueName="[VisitsAndAppointments].[src].[All]" dimensionUniqueName="[VisitsAndAppointments]" displayFolder="" count="2" unbalanced="0"/>
    <cacheHierarchy uniqueName="[VisitsAndAppointments].[TBRXIPTID]" caption="TBRXIPTID" attribute="1" defaultMemberUniqueName="[VisitsAndAppointments].[TBRXIPTID].[All]" allUniqueName="[VisitsAndAppointments].[TBRXIPTID].[All]" dimensionUniqueName="[VisitsAndAppointments]" displayFolder="" count="2" unbalanced="0"/>
    <cacheHierarchy uniqueName="[VisitsAndAppointments].[TBRXIPTKey]" caption="TBRXIPTKey" attribute="1" defaultMemberUniqueName="[VisitsAndAppointments].[TBRXIPTKey].[All]" allUniqueName="[VisitsAndAppointments].[TBRXIPTKey].[All]" dimensionUniqueName="[VisitsAndAppointments]" displayFolder="" count="2" unbalanced="0"/>
    <cacheHierarchy uniqueName="[VisitsAndAppointments].[TimeOnART]" caption="TimeOnART" attribute="1" defaultMemberUniqueName="[VisitsAndAppointments].[TimeOnART].[All]" allUniqueName="[VisitsAndAppointments].[TimeOnART].[All]" dimensionUniqueName="[VisitsAndAppointments]" displayFolder="" count="2" unbalanced="0"/>
    <cacheHierarchy uniqueName="[VisitsAndAppointments].[VisitDate]" caption="VisitDate" attribute="1" defaultMemberUniqueName="[VisitsAndAppointments].[VisitDate].[All]" allUniqueName="[VisitsAndAppointments].[VisitDate].[All]" dimensionUniqueName="[VisitsAndAppointments]" displayFolder="" count="2" unbalanced="0"/>
    <cacheHierarchy uniqueName="[VisitsAndAppointments].[VisitDateKey]" caption="VisitDateKey" attribute="1" defaultMemberUniqueName="[VisitsAndAppointments].[VisitDateKey].[All]" allUniqueName="[VisitsAndAppointments].[VisitDateKey].[All]" dimensionUniqueName="[VisitsAndAppointments]" displayFolder="" count="2" unbalanced="0"/>
    <cacheHierarchy uniqueName="[VisitsAndAppointments].[VisitKey]" caption="VisitKey" attribute="1" defaultMemberUniqueName="[VisitsAndAppointments].[VisitKey].[All]" allUniqueName="[VisitsAndAppointments].[VisitKey].[All]" dimensionUniqueName="[VisitsAndAppointments]" displayFolder="" count="2" unbalanced="0"/>
    <cacheHierarchy uniqueName="[_Measures].[nothing]" caption="nothing" attribute="1" defaultMemberUniqueName="[_Measures].[nothing].[All]" allUniqueName="[_Measures].[nothing].[All]" dimensionUniqueName="[_Measures]" displayFolder="" count="2" unbalanced="0" hidden="1"/>
    <cacheHierarchy uniqueName="[Age Group].[AgeKey]" caption="AgeKey" attribute="1" defaultMemberUniqueName="[Age Group].[AgeKey].[All]" allUniqueName="[Age Group].[AgeKey].[All]" dimensionUniqueName="[Age Group]" displayFolder="" count="2" unbalanced="0" hidden="1"/>
    <cacheHierarchy uniqueName="[Age Group].[AgeMax]" caption="AgeMax" attribute="1" defaultMemberUniqueName="[Age Group].[AgeMax].[All]" allUniqueName="[Age Group].[AgeMax].[All]" dimensionUniqueName="[Age Group]" displayFolder="" count="2" unbalanced="0" hidden="1"/>
    <cacheHierarchy uniqueName="[Age Group].[AgeMin]" caption="AgeMin" attribute="1" defaultMemberUniqueName="[Age Group].[AgeMin].[All]" allUniqueName="[Age Group].[AgeMin].[All]" dimensionUniqueName="[Age Group]" displayFolder="" count="2" unbalanced="0" hidden="1"/>
    <cacheHierarchy uniqueName="[DateTableTemplate_67311400-74fb-473f-8bb8-78ddea2ee040].[Date]" caption="Date" attribute="1" defaultMemberUniqueName="[DateTableTemplate_67311400-74fb-473f-8bb8-78ddea2ee040].[Date].[All]" allUniqueName="[DateTableTemplate_67311400-74fb-473f-8bb8-78ddea2ee040].[Date].[All]" dimensionUniqueName="[DateTableTemplate_67311400-74fb-473f-8bb8-78ddea2ee040]" displayFolder="" count="2" unbalanced="0" hidden="1"/>
    <cacheHierarchy uniqueName="[DateTableTemplate_67311400-74fb-473f-8bb8-78ddea2ee040].[Date Hierarchy]" caption="Date Hierarchy" defaultMemberUniqueName="[DateTableTemplate_67311400-74fb-473f-8bb8-78ddea2ee040].[Date Hierarchy].[All]" allUniqueName="[DateTableTemplate_67311400-74fb-473f-8bb8-78ddea2ee040].[Date Hierarchy].[All]" dimensionUniqueName="[DateTableTemplate_67311400-74fb-473f-8bb8-78ddea2ee040]" displayFolder="" count="5" unbalanced="0" hidden="1"/>
    <cacheHierarchy uniqueName="[DateTableTemplate_67311400-74fb-473f-8bb8-78ddea2ee040].[Day]" caption="Day" attribute="1" defaultMemberUniqueName="[DateTableTemplate_67311400-74fb-473f-8bb8-78ddea2ee040].[Day].[All]" allUniqueName="[DateTableTemplate_67311400-74fb-473f-8bb8-78ddea2ee040].[Day].[All]" dimensionUniqueName="[DateTableTemplate_67311400-74fb-473f-8bb8-78ddea2ee040]" displayFolder="" count="2" unbalanced="0" hidden="1"/>
    <cacheHierarchy uniqueName="[DateTableTemplate_67311400-74fb-473f-8bb8-78ddea2ee040].[Month]" caption="Month" attribute="1" defaultMemberUniqueName="[DateTableTemplate_67311400-74fb-473f-8bb8-78ddea2ee040].[Month].[All]" allUniqueName="[DateTableTemplate_67311400-74fb-473f-8bb8-78ddea2ee040].[Month].[All]" dimensionUniqueName="[DateTableTemplate_67311400-74fb-473f-8bb8-78ddea2ee040]" displayFolder="" count="2" unbalanced="0" hidden="1"/>
    <cacheHierarchy uniqueName="[DateTableTemplate_67311400-74fb-473f-8bb8-78ddea2ee040].[MonthNo]" caption="MonthNo" attribute="1" defaultMemberUniqueName="[DateTableTemplate_67311400-74fb-473f-8bb8-78ddea2ee040].[MonthNo].[All]" allUniqueName="[DateTableTemplate_67311400-74fb-473f-8bb8-78ddea2ee040].[MonthNo].[All]" dimensionUniqueName="[DateTableTemplate_67311400-74fb-473f-8bb8-78ddea2ee040]" displayFolder="" count="2" unbalanced="0" hidden="1"/>
    <cacheHierarchy uniqueName="[DateTableTemplate_67311400-74fb-473f-8bb8-78ddea2ee040].[Quarter]" caption="Quarter" attribute="1" defaultMemberUniqueName="[DateTableTemplate_67311400-74fb-473f-8bb8-78ddea2ee040].[Quarter].[All]" allUniqueName="[DateTableTemplate_67311400-74fb-473f-8bb8-78ddea2ee040].[Quarter].[All]" dimensionUniqueName="[DateTableTemplate_67311400-74fb-473f-8bb8-78ddea2ee040]" displayFolder="" count="2" unbalanced="0" hidden="1"/>
    <cacheHierarchy uniqueName="[DateTableTemplate_67311400-74fb-473f-8bb8-78ddea2ee040].[QuarterNo]" caption="QuarterNo" attribute="1" defaultMemberUniqueName="[DateTableTemplate_67311400-74fb-473f-8bb8-78ddea2ee040].[QuarterNo].[All]" allUniqueName="[DateTableTemplate_67311400-74fb-473f-8bb8-78ddea2ee040].[QuarterNo].[All]" dimensionUniqueName="[DateTableTemplate_67311400-74fb-473f-8bb8-78ddea2ee040]" displayFolder="" count="2" unbalanced="0" hidden="1"/>
    <cacheHierarchy uniqueName="[DateTableTemplate_67311400-74fb-473f-8bb8-78ddea2ee040].[Year]" caption="Year" attribute="1" defaultMemberUniqueName="[DateTableTemplate_67311400-74fb-473f-8bb8-78ddea2ee040].[Year].[All]" allUniqueName="[DateTableTemplate_67311400-74fb-473f-8bb8-78ddea2ee040].[Year].[All]" dimensionUniqueName="[DateTableTemplate_67311400-74fb-473f-8bb8-78ddea2ee040]" displayFolder="" count="2" unbalanced="0" hidden="1"/>
    <cacheHierarchy uniqueName="[DimDate].[DateTime]" caption="DateTime" attribute="1" defaultMemberUniqueName="[DimDate].[DateTime].[All]" allUniqueName="[DimDate].[DateTime].[All]" dimensionUniqueName="[DimDate]" displayFolder="" count="2" unbalanced="0" hidden="1"/>
    <cacheHierarchy uniqueName="[DimDate].[DayOfMonth]" caption="DayOfMonth" attribute="1" defaultMemberUniqueName="[DimDate].[DayOfMonth].[All]" allUniqueName="[DimDate].[DayOfMonth].[All]" dimensionUniqueName="[DimDate]" displayFolder="" count="2" unbalanced="0" hidden="1"/>
    <cacheHierarchy uniqueName="[DimDate].[FiscalMonth]" caption="FiscalMonth" attribute="1" defaultMemberUniqueName="[DimDate].[FiscalMonth].[All]" allUniqueName="[DimDate].[FiscalMonth].[All]" dimensionUniqueName="[DimDate]" displayFolder="" count="2" unbalanced="0" hidden="1"/>
    <cacheHierarchy uniqueName="[DimDate].[FiscalYearName]" caption="FiscalYearName" attribute="1" defaultMemberUniqueName="[DimDate].[FiscalYearName].[All]" allUniqueName="[DimDate].[FiscalYearName].[All]" dimensionUniqueName="[DimDate]" displayFolder="" count="2" unbalanced="0" hidden="1"/>
    <cacheHierarchy uniqueName="[DimDate].[FiscalYearQuarterName]" caption="FiscalYearQuarterName" attribute="1" defaultMemberUniqueName="[DimDate].[FiscalYearQuarterName].[All]" allUniqueName="[DimDate].[FiscalYearQuarterName].[All]" dimensionUniqueName="[DimDate]" displayFolder="" count="2" unbalanced="0" hidden="1"/>
    <cacheHierarchy uniqueName="[DimDate].[FiscalYYYYMM]" caption="FiscalYYYYMM" attribute="1" defaultMemberUniqueName="[DimDate].[FiscalYYYYMM].[All]" allUniqueName="[DimDate].[FiscalYYYYMM].[All]" dimensionUniqueName="[DimDate]" displayFolder="" count="2" unbalanced="0" hidden="1"/>
    <cacheHierarchy uniqueName="[DimDate].[MMYYYY]" caption="MMYYYY" attribute="1" defaultMemberUniqueName="[DimDate].[MMYYYY].[All]" allUniqueName="[DimDate].[MMYYYY].[All]" dimensionUniqueName="[DimDate]" displayFolder="" count="2" unbalanced="0" hidden="1"/>
    <cacheHierarchy uniqueName="[DimDate].[YearName]" caption="YearName" attribute="1" defaultMemberUniqueName="[DimDate].[YearName].[All]" allUniqueName="[DimDate].[YearName].[All]" dimensionUniqueName="[DimDate]" displayFolder="" count="2" unbalanced="0" hidden="1"/>
    <cacheHierarchy uniqueName="[DimDate].[YYYYMM]" caption="YYYYMM" attribute="1" defaultMemberUniqueName="[DimDate].[YYYYMM].[All]" allUniqueName="[DimDate].[YYYYMM].[All]" dimensionUniqueName="[DimDate]" displayFolder="" count="2" unbalanced="0" hidden="1"/>
    <cacheHierarchy uniqueName="[LocalDateTable_048e15b4-68bf-41ef-8bcb-f4b4a48e87d1].[Date]" caption="Date" attribute="1" defaultMemberUniqueName="[LocalDateTable_048e15b4-68bf-41ef-8bcb-f4b4a48e87d1].[Date].[All]" allUniqueName="[LocalDateTable_048e15b4-68bf-41ef-8bcb-f4b4a48e87d1].[Date].[All]" dimensionUniqueName="[LocalDateTable_048e15b4-68bf-41ef-8bcb-f4b4a48e87d1]" displayFolder="" count="2" unbalanced="0" hidden="1"/>
    <cacheHierarchy uniqueName="[LocalDateTable_048e15b4-68bf-41ef-8bcb-f4b4a48e87d1].[Date Hierarchy]" caption="Date Hierarchy" defaultMemberUniqueName="[LocalDateTable_048e15b4-68bf-41ef-8bcb-f4b4a48e87d1].[Date Hierarchy].[All]" allUniqueName="[LocalDateTable_048e15b4-68bf-41ef-8bcb-f4b4a48e87d1].[Date Hierarchy].[All]" dimensionUniqueName="[LocalDateTable_048e15b4-68bf-41ef-8bcb-f4b4a48e87d1]" displayFolder="" count="5" unbalanced="0" hidden="1"/>
    <cacheHierarchy uniqueName="[LocalDateTable_048e15b4-68bf-41ef-8bcb-f4b4a48e87d1].[Day]" caption="Day" attribute="1" defaultMemberUniqueName="[LocalDateTable_048e15b4-68bf-41ef-8bcb-f4b4a48e87d1].[Day].[All]" allUniqueName="[LocalDateTable_048e15b4-68bf-41ef-8bcb-f4b4a48e87d1].[Day].[All]" dimensionUniqueName="[LocalDateTable_048e15b4-68bf-41ef-8bcb-f4b4a48e87d1]" displayFolder="" count="2" unbalanced="0" hidden="1"/>
    <cacheHierarchy uniqueName="[LocalDateTable_048e15b4-68bf-41ef-8bcb-f4b4a48e87d1].[Month]" caption="Month" attribute="1" defaultMemberUniqueName="[LocalDateTable_048e15b4-68bf-41ef-8bcb-f4b4a48e87d1].[Month].[All]" allUniqueName="[LocalDateTable_048e15b4-68bf-41ef-8bcb-f4b4a48e87d1].[Month].[All]" dimensionUniqueName="[LocalDateTable_048e15b4-68bf-41ef-8bcb-f4b4a48e87d1]" displayFolder="" count="2" unbalanced="0" hidden="1"/>
    <cacheHierarchy uniqueName="[LocalDateTable_048e15b4-68bf-41ef-8bcb-f4b4a48e87d1].[MonthNo]" caption="MonthNo" attribute="1" defaultMemberUniqueName="[LocalDateTable_048e15b4-68bf-41ef-8bcb-f4b4a48e87d1].[MonthNo].[All]" allUniqueName="[LocalDateTable_048e15b4-68bf-41ef-8bcb-f4b4a48e87d1].[MonthNo].[All]" dimensionUniqueName="[LocalDateTable_048e15b4-68bf-41ef-8bcb-f4b4a48e87d1]" displayFolder="" count="2" unbalanced="0" hidden="1"/>
    <cacheHierarchy uniqueName="[LocalDateTable_048e15b4-68bf-41ef-8bcb-f4b4a48e87d1].[Quarter]" caption="Quarter" attribute="1" defaultMemberUniqueName="[LocalDateTable_048e15b4-68bf-41ef-8bcb-f4b4a48e87d1].[Quarter].[All]" allUniqueName="[LocalDateTable_048e15b4-68bf-41ef-8bcb-f4b4a48e87d1].[Quarter].[All]" dimensionUniqueName="[LocalDateTable_048e15b4-68bf-41ef-8bcb-f4b4a48e87d1]" displayFolder="" count="2" unbalanced="0" hidden="1"/>
    <cacheHierarchy uniqueName="[LocalDateTable_048e15b4-68bf-41ef-8bcb-f4b4a48e87d1].[QuarterNo]" caption="QuarterNo" attribute="1" defaultMemberUniqueName="[LocalDateTable_048e15b4-68bf-41ef-8bcb-f4b4a48e87d1].[QuarterNo].[All]" allUniqueName="[LocalDateTable_048e15b4-68bf-41ef-8bcb-f4b4a48e87d1].[QuarterNo].[All]" dimensionUniqueName="[LocalDateTable_048e15b4-68bf-41ef-8bcb-f4b4a48e87d1]" displayFolder="" count="2" unbalanced="0" hidden="1"/>
    <cacheHierarchy uniqueName="[LocalDateTable_048e15b4-68bf-41ef-8bcb-f4b4a48e87d1].[Year]" caption="Year" attribute="1" defaultMemberUniqueName="[LocalDateTable_048e15b4-68bf-41ef-8bcb-f4b4a48e87d1].[Year].[All]" allUniqueName="[LocalDateTable_048e15b4-68bf-41ef-8bcb-f4b4a48e87d1].[Year].[All]" dimensionUniqueName="[LocalDateTable_048e15b4-68bf-41ef-8bcb-f4b4a48e87d1]" displayFolder="" count="2" unbalanced="0" hidden="1"/>
    <cacheHierarchy uniqueName="[LocalDateTable_198c0f25-be56-470d-9563-6ba85adc20f6].[Date]" caption="Date" attribute="1" defaultMemberUniqueName="[LocalDateTable_198c0f25-be56-470d-9563-6ba85adc20f6].[Date].[All]" allUniqueName="[LocalDateTable_198c0f25-be56-470d-9563-6ba85adc20f6].[Date].[All]" dimensionUniqueName="[LocalDateTable_198c0f25-be56-470d-9563-6ba85adc20f6]" displayFolder="" count="2" unbalanced="0" hidden="1"/>
    <cacheHierarchy uniqueName="[LocalDateTable_198c0f25-be56-470d-9563-6ba85adc20f6].[Date Hierarchy]" caption="Date Hierarchy" defaultMemberUniqueName="[LocalDateTable_198c0f25-be56-470d-9563-6ba85adc20f6].[Date Hierarchy].[All]" allUniqueName="[LocalDateTable_198c0f25-be56-470d-9563-6ba85adc20f6].[Date Hierarchy].[All]" dimensionUniqueName="[LocalDateTable_198c0f25-be56-470d-9563-6ba85adc20f6]" displayFolder="" count="5" unbalanced="0" hidden="1"/>
    <cacheHierarchy uniqueName="[LocalDateTable_198c0f25-be56-470d-9563-6ba85adc20f6].[Day]" caption="Day" attribute="1" defaultMemberUniqueName="[LocalDateTable_198c0f25-be56-470d-9563-6ba85adc20f6].[Day].[All]" allUniqueName="[LocalDateTable_198c0f25-be56-470d-9563-6ba85adc20f6].[Day].[All]" dimensionUniqueName="[LocalDateTable_198c0f25-be56-470d-9563-6ba85adc20f6]" displayFolder="" count="2" unbalanced="0" hidden="1"/>
    <cacheHierarchy uniqueName="[LocalDateTable_198c0f25-be56-470d-9563-6ba85adc20f6].[Month]" caption="Month" attribute="1" defaultMemberUniqueName="[LocalDateTable_198c0f25-be56-470d-9563-6ba85adc20f6].[Month].[All]" allUniqueName="[LocalDateTable_198c0f25-be56-470d-9563-6ba85adc20f6].[Month].[All]" dimensionUniqueName="[LocalDateTable_198c0f25-be56-470d-9563-6ba85adc20f6]" displayFolder="" count="2" unbalanced="0" hidden="1"/>
    <cacheHierarchy uniqueName="[LocalDateTable_198c0f25-be56-470d-9563-6ba85adc20f6].[MonthNo]" caption="MonthNo" attribute="1" defaultMemberUniqueName="[LocalDateTable_198c0f25-be56-470d-9563-6ba85adc20f6].[MonthNo].[All]" allUniqueName="[LocalDateTable_198c0f25-be56-470d-9563-6ba85adc20f6].[MonthNo].[All]" dimensionUniqueName="[LocalDateTable_198c0f25-be56-470d-9563-6ba85adc20f6]" displayFolder="" count="2" unbalanced="0" hidden="1"/>
    <cacheHierarchy uniqueName="[LocalDateTable_198c0f25-be56-470d-9563-6ba85adc20f6].[Quarter]" caption="Quarter" attribute="1" defaultMemberUniqueName="[LocalDateTable_198c0f25-be56-470d-9563-6ba85adc20f6].[Quarter].[All]" allUniqueName="[LocalDateTable_198c0f25-be56-470d-9563-6ba85adc20f6].[Quarter].[All]" dimensionUniqueName="[LocalDateTable_198c0f25-be56-470d-9563-6ba85adc20f6]" displayFolder="" count="2" unbalanced="0" hidden="1"/>
    <cacheHierarchy uniqueName="[LocalDateTable_198c0f25-be56-470d-9563-6ba85adc20f6].[QuarterNo]" caption="QuarterNo" attribute="1" defaultMemberUniqueName="[LocalDateTable_198c0f25-be56-470d-9563-6ba85adc20f6].[QuarterNo].[All]" allUniqueName="[LocalDateTable_198c0f25-be56-470d-9563-6ba85adc20f6].[QuarterNo].[All]" dimensionUniqueName="[LocalDateTable_198c0f25-be56-470d-9563-6ba85adc20f6]" displayFolder="" count="2" unbalanced="0" hidden="1"/>
    <cacheHierarchy uniqueName="[LocalDateTable_198c0f25-be56-470d-9563-6ba85adc20f6].[Year]" caption="Year" attribute="1" defaultMemberUniqueName="[LocalDateTable_198c0f25-be56-470d-9563-6ba85adc20f6].[Year].[All]" allUniqueName="[LocalDateTable_198c0f25-be56-470d-9563-6ba85adc20f6].[Year].[All]" dimensionUniqueName="[LocalDateTable_198c0f25-be56-470d-9563-6ba85adc20f6]" displayFolder="" count="2" unbalanced="0" hidden="1"/>
    <cacheHierarchy uniqueName="[LocalDateTable_1a9c82fc-1d61-4945-b631-466fd7cb79e1].[Date]" caption="Date" attribute="1" defaultMemberUniqueName="[LocalDateTable_1a9c82fc-1d61-4945-b631-466fd7cb79e1].[Date].[All]" allUniqueName="[LocalDateTable_1a9c82fc-1d61-4945-b631-466fd7cb79e1].[Date].[All]" dimensionUniqueName="[LocalDateTable_1a9c82fc-1d61-4945-b631-466fd7cb79e1]" displayFolder="" count="2" unbalanced="0" hidden="1"/>
    <cacheHierarchy uniqueName="[LocalDateTable_1a9c82fc-1d61-4945-b631-466fd7cb79e1].[Date Hierarchy]" caption="Date Hierarchy" defaultMemberUniqueName="[LocalDateTable_1a9c82fc-1d61-4945-b631-466fd7cb79e1].[Date Hierarchy].[All]" allUniqueName="[LocalDateTable_1a9c82fc-1d61-4945-b631-466fd7cb79e1].[Date Hierarchy].[All]" dimensionUniqueName="[LocalDateTable_1a9c82fc-1d61-4945-b631-466fd7cb79e1]" displayFolder="" count="5" unbalanced="0" hidden="1"/>
    <cacheHierarchy uniqueName="[LocalDateTable_1a9c82fc-1d61-4945-b631-466fd7cb79e1].[Day]" caption="Day" attribute="1" defaultMemberUniqueName="[LocalDateTable_1a9c82fc-1d61-4945-b631-466fd7cb79e1].[Day].[All]" allUniqueName="[LocalDateTable_1a9c82fc-1d61-4945-b631-466fd7cb79e1].[Day].[All]" dimensionUniqueName="[LocalDateTable_1a9c82fc-1d61-4945-b631-466fd7cb79e1]" displayFolder="" count="2" unbalanced="0" hidden="1"/>
    <cacheHierarchy uniqueName="[LocalDateTable_1a9c82fc-1d61-4945-b631-466fd7cb79e1].[Month]" caption="Month" attribute="1" defaultMemberUniqueName="[LocalDateTable_1a9c82fc-1d61-4945-b631-466fd7cb79e1].[Month].[All]" allUniqueName="[LocalDateTable_1a9c82fc-1d61-4945-b631-466fd7cb79e1].[Month].[All]" dimensionUniqueName="[LocalDateTable_1a9c82fc-1d61-4945-b631-466fd7cb79e1]" displayFolder="" count="2" unbalanced="0" hidden="1"/>
    <cacheHierarchy uniqueName="[LocalDateTable_1a9c82fc-1d61-4945-b631-466fd7cb79e1].[MonthNo]" caption="MonthNo" attribute="1" defaultMemberUniqueName="[LocalDateTable_1a9c82fc-1d61-4945-b631-466fd7cb79e1].[MonthNo].[All]" allUniqueName="[LocalDateTable_1a9c82fc-1d61-4945-b631-466fd7cb79e1].[MonthNo].[All]" dimensionUniqueName="[LocalDateTable_1a9c82fc-1d61-4945-b631-466fd7cb79e1]" displayFolder="" count="2" unbalanced="0" hidden="1"/>
    <cacheHierarchy uniqueName="[LocalDateTable_1a9c82fc-1d61-4945-b631-466fd7cb79e1].[Quarter]" caption="Quarter" attribute="1" defaultMemberUniqueName="[LocalDateTable_1a9c82fc-1d61-4945-b631-466fd7cb79e1].[Quarter].[All]" allUniqueName="[LocalDateTable_1a9c82fc-1d61-4945-b631-466fd7cb79e1].[Quarter].[All]" dimensionUniqueName="[LocalDateTable_1a9c82fc-1d61-4945-b631-466fd7cb79e1]" displayFolder="" count="2" unbalanced="0" hidden="1"/>
    <cacheHierarchy uniqueName="[LocalDateTable_1a9c82fc-1d61-4945-b631-466fd7cb79e1].[QuarterNo]" caption="QuarterNo" attribute="1" defaultMemberUniqueName="[LocalDateTable_1a9c82fc-1d61-4945-b631-466fd7cb79e1].[QuarterNo].[All]" allUniqueName="[LocalDateTable_1a9c82fc-1d61-4945-b631-466fd7cb79e1].[QuarterNo].[All]" dimensionUniqueName="[LocalDateTable_1a9c82fc-1d61-4945-b631-466fd7cb79e1]" displayFolder="" count="2" unbalanced="0" hidden="1"/>
    <cacheHierarchy uniqueName="[LocalDateTable_1a9c82fc-1d61-4945-b631-466fd7cb79e1].[Year]" caption="Year" attribute="1" defaultMemberUniqueName="[LocalDateTable_1a9c82fc-1d61-4945-b631-466fd7cb79e1].[Year].[All]" allUniqueName="[LocalDateTable_1a9c82fc-1d61-4945-b631-466fd7cb79e1].[Year].[All]" dimensionUniqueName="[LocalDateTable_1a9c82fc-1d61-4945-b631-466fd7cb79e1]" displayFolder="" count="2" unbalanced="0" hidden="1"/>
    <cacheHierarchy uniqueName="[LocalDateTable_32153099-8e28-4611-a8e3-a94f0e0a48ba].[Date]" caption="Date" attribute="1" defaultMemberUniqueName="[LocalDateTable_32153099-8e28-4611-a8e3-a94f0e0a48ba].[Date].[All]" allUniqueName="[LocalDateTable_32153099-8e28-4611-a8e3-a94f0e0a48ba].[Date].[All]" dimensionUniqueName="[LocalDateTable_32153099-8e28-4611-a8e3-a94f0e0a48ba]" displayFolder="" count="2" unbalanced="0" hidden="1"/>
    <cacheHierarchy uniqueName="[LocalDateTable_32153099-8e28-4611-a8e3-a94f0e0a48ba].[Date Hierarchy]" caption="Date Hierarchy" defaultMemberUniqueName="[LocalDateTable_32153099-8e28-4611-a8e3-a94f0e0a48ba].[Date Hierarchy].[All]" allUniqueName="[LocalDateTable_32153099-8e28-4611-a8e3-a94f0e0a48ba].[Date Hierarchy].[All]" dimensionUniqueName="[LocalDateTable_32153099-8e28-4611-a8e3-a94f0e0a48ba]" displayFolder="" count="5" unbalanced="0" hidden="1"/>
    <cacheHierarchy uniqueName="[LocalDateTable_32153099-8e28-4611-a8e3-a94f0e0a48ba].[Day]" caption="Day" attribute="1" defaultMemberUniqueName="[LocalDateTable_32153099-8e28-4611-a8e3-a94f0e0a48ba].[Day].[All]" allUniqueName="[LocalDateTable_32153099-8e28-4611-a8e3-a94f0e0a48ba].[Day].[All]" dimensionUniqueName="[LocalDateTable_32153099-8e28-4611-a8e3-a94f0e0a48ba]" displayFolder="" count="2" unbalanced="0" hidden="1"/>
    <cacheHierarchy uniqueName="[LocalDateTable_32153099-8e28-4611-a8e3-a94f0e0a48ba].[Month]" caption="Month" attribute="1" defaultMemberUniqueName="[LocalDateTable_32153099-8e28-4611-a8e3-a94f0e0a48ba].[Month].[All]" allUniqueName="[LocalDateTable_32153099-8e28-4611-a8e3-a94f0e0a48ba].[Month].[All]" dimensionUniqueName="[LocalDateTable_32153099-8e28-4611-a8e3-a94f0e0a48ba]" displayFolder="" count="2" unbalanced="0" hidden="1"/>
    <cacheHierarchy uniqueName="[LocalDateTable_32153099-8e28-4611-a8e3-a94f0e0a48ba].[MonthNo]" caption="MonthNo" attribute="1" defaultMemberUniqueName="[LocalDateTable_32153099-8e28-4611-a8e3-a94f0e0a48ba].[MonthNo].[All]" allUniqueName="[LocalDateTable_32153099-8e28-4611-a8e3-a94f0e0a48ba].[MonthNo].[All]" dimensionUniqueName="[LocalDateTable_32153099-8e28-4611-a8e3-a94f0e0a48ba]" displayFolder="" count="2" unbalanced="0" hidden="1"/>
    <cacheHierarchy uniqueName="[LocalDateTable_32153099-8e28-4611-a8e3-a94f0e0a48ba].[Quarter]" caption="Quarter" attribute="1" defaultMemberUniqueName="[LocalDateTable_32153099-8e28-4611-a8e3-a94f0e0a48ba].[Quarter].[All]" allUniqueName="[LocalDateTable_32153099-8e28-4611-a8e3-a94f0e0a48ba].[Quarter].[All]" dimensionUniqueName="[LocalDateTable_32153099-8e28-4611-a8e3-a94f0e0a48ba]" displayFolder="" count="2" unbalanced="0" hidden="1"/>
    <cacheHierarchy uniqueName="[LocalDateTable_32153099-8e28-4611-a8e3-a94f0e0a48ba].[QuarterNo]" caption="QuarterNo" attribute="1" defaultMemberUniqueName="[LocalDateTable_32153099-8e28-4611-a8e3-a94f0e0a48ba].[QuarterNo].[All]" allUniqueName="[LocalDateTable_32153099-8e28-4611-a8e3-a94f0e0a48ba].[QuarterNo].[All]" dimensionUniqueName="[LocalDateTable_32153099-8e28-4611-a8e3-a94f0e0a48ba]" displayFolder="" count="2" unbalanced="0" hidden="1"/>
    <cacheHierarchy uniqueName="[LocalDateTable_32153099-8e28-4611-a8e3-a94f0e0a48ba].[Year]" caption="Year" attribute="1" defaultMemberUniqueName="[LocalDateTable_32153099-8e28-4611-a8e3-a94f0e0a48ba].[Year].[All]" allUniqueName="[LocalDateTable_32153099-8e28-4611-a8e3-a94f0e0a48ba].[Year].[All]" dimensionUniqueName="[LocalDateTable_32153099-8e28-4611-a8e3-a94f0e0a48ba]" displayFolder="" count="2" unbalanced="0" hidden="1"/>
    <cacheHierarchy uniqueName="[LocalDateTable_39873660-9783-47c3-831f-1ea7ff6357e4].[Date]" caption="Date" attribute="1" defaultMemberUniqueName="[LocalDateTable_39873660-9783-47c3-831f-1ea7ff6357e4].[Date].[All]" allUniqueName="[LocalDateTable_39873660-9783-47c3-831f-1ea7ff6357e4].[Date].[All]" dimensionUniqueName="[LocalDateTable_39873660-9783-47c3-831f-1ea7ff6357e4]" displayFolder="" count="2" unbalanced="0" hidden="1"/>
    <cacheHierarchy uniqueName="[LocalDateTable_39873660-9783-47c3-831f-1ea7ff6357e4].[Date Hierarchy]" caption="Date Hierarchy" defaultMemberUniqueName="[LocalDateTable_39873660-9783-47c3-831f-1ea7ff6357e4].[Date Hierarchy].[All]" allUniqueName="[LocalDateTable_39873660-9783-47c3-831f-1ea7ff6357e4].[Date Hierarchy].[All]" dimensionUniqueName="[LocalDateTable_39873660-9783-47c3-831f-1ea7ff6357e4]" displayFolder="" count="5" unbalanced="0" hidden="1"/>
    <cacheHierarchy uniqueName="[LocalDateTable_39873660-9783-47c3-831f-1ea7ff6357e4].[Day]" caption="Day" attribute="1" defaultMemberUniqueName="[LocalDateTable_39873660-9783-47c3-831f-1ea7ff6357e4].[Day].[All]" allUniqueName="[LocalDateTable_39873660-9783-47c3-831f-1ea7ff6357e4].[Day].[All]" dimensionUniqueName="[LocalDateTable_39873660-9783-47c3-831f-1ea7ff6357e4]" displayFolder="" count="2" unbalanced="0" hidden="1"/>
    <cacheHierarchy uniqueName="[LocalDateTable_39873660-9783-47c3-831f-1ea7ff6357e4].[Month]" caption="Month" attribute="1" defaultMemberUniqueName="[LocalDateTable_39873660-9783-47c3-831f-1ea7ff6357e4].[Month].[All]" allUniqueName="[LocalDateTable_39873660-9783-47c3-831f-1ea7ff6357e4].[Month].[All]" dimensionUniqueName="[LocalDateTable_39873660-9783-47c3-831f-1ea7ff6357e4]" displayFolder="" count="2" unbalanced="0" hidden="1"/>
    <cacheHierarchy uniqueName="[LocalDateTable_39873660-9783-47c3-831f-1ea7ff6357e4].[MonthNo]" caption="MonthNo" attribute="1" defaultMemberUniqueName="[LocalDateTable_39873660-9783-47c3-831f-1ea7ff6357e4].[MonthNo].[All]" allUniqueName="[LocalDateTable_39873660-9783-47c3-831f-1ea7ff6357e4].[MonthNo].[All]" dimensionUniqueName="[LocalDateTable_39873660-9783-47c3-831f-1ea7ff6357e4]" displayFolder="" count="2" unbalanced="0" hidden="1"/>
    <cacheHierarchy uniqueName="[LocalDateTable_39873660-9783-47c3-831f-1ea7ff6357e4].[Quarter]" caption="Quarter" attribute="1" defaultMemberUniqueName="[LocalDateTable_39873660-9783-47c3-831f-1ea7ff6357e4].[Quarter].[All]" allUniqueName="[LocalDateTable_39873660-9783-47c3-831f-1ea7ff6357e4].[Quarter].[All]" dimensionUniqueName="[LocalDateTable_39873660-9783-47c3-831f-1ea7ff6357e4]" displayFolder="" count="2" unbalanced="0" hidden="1"/>
    <cacheHierarchy uniqueName="[LocalDateTable_39873660-9783-47c3-831f-1ea7ff6357e4].[QuarterNo]" caption="QuarterNo" attribute="1" defaultMemberUniqueName="[LocalDateTable_39873660-9783-47c3-831f-1ea7ff6357e4].[QuarterNo].[All]" allUniqueName="[LocalDateTable_39873660-9783-47c3-831f-1ea7ff6357e4].[QuarterNo].[All]" dimensionUniqueName="[LocalDateTable_39873660-9783-47c3-831f-1ea7ff6357e4]" displayFolder="" count="2" unbalanced="0" hidden="1"/>
    <cacheHierarchy uniqueName="[LocalDateTable_39873660-9783-47c3-831f-1ea7ff6357e4].[Year]" caption="Year" attribute="1" defaultMemberUniqueName="[LocalDateTable_39873660-9783-47c3-831f-1ea7ff6357e4].[Year].[All]" allUniqueName="[LocalDateTable_39873660-9783-47c3-831f-1ea7ff6357e4].[Year].[All]" dimensionUniqueName="[LocalDateTable_39873660-9783-47c3-831f-1ea7ff6357e4]" displayFolder="" count="2" unbalanced="0" hidden="1"/>
    <cacheHierarchy uniqueName="[LocalDateTable_39cbebff-eeb7-4252-a359-139059305106].[Date]" caption="Date" attribute="1" defaultMemberUniqueName="[LocalDateTable_39cbebff-eeb7-4252-a359-139059305106].[Date].[All]" allUniqueName="[LocalDateTable_39cbebff-eeb7-4252-a359-139059305106].[Date].[All]" dimensionUniqueName="[LocalDateTable_39cbebff-eeb7-4252-a359-139059305106]" displayFolder="" count="2" unbalanced="0" hidden="1"/>
    <cacheHierarchy uniqueName="[LocalDateTable_39cbebff-eeb7-4252-a359-139059305106].[Date Hierarchy]" caption="Date Hierarchy" defaultMemberUniqueName="[LocalDateTable_39cbebff-eeb7-4252-a359-139059305106].[Date Hierarchy].[All]" allUniqueName="[LocalDateTable_39cbebff-eeb7-4252-a359-139059305106].[Date Hierarchy].[All]" dimensionUniqueName="[LocalDateTable_39cbebff-eeb7-4252-a359-139059305106]" displayFolder="" count="5" unbalanced="0" hidden="1"/>
    <cacheHierarchy uniqueName="[LocalDateTable_39cbebff-eeb7-4252-a359-139059305106].[Day]" caption="Day" attribute="1" defaultMemberUniqueName="[LocalDateTable_39cbebff-eeb7-4252-a359-139059305106].[Day].[All]" allUniqueName="[LocalDateTable_39cbebff-eeb7-4252-a359-139059305106].[Day].[All]" dimensionUniqueName="[LocalDateTable_39cbebff-eeb7-4252-a359-139059305106]" displayFolder="" count="2" unbalanced="0" hidden="1"/>
    <cacheHierarchy uniqueName="[LocalDateTable_39cbebff-eeb7-4252-a359-139059305106].[Month]" caption="Month" attribute="1" defaultMemberUniqueName="[LocalDateTable_39cbebff-eeb7-4252-a359-139059305106].[Month].[All]" allUniqueName="[LocalDateTable_39cbebff-eeb7-4252-a359-139059305106].[Month].[All]" dimensionUniqueName="[LocalDateTable_39cbebff-eeb7-4252-a359-139059305106]" displayFolder="" count="2" unbalanced="0" hidden="1"/>
    <cacheHierarchy uniqueName="[LocalDateTable_39cbebff-eeb7-4252-a359-139059305106].[MonthNo]" caption="MonthNo" attribute="1" defaultMemberUniqueName="[LocalDateTable_39cbebff-eeb7-4252-a359-139059305106].[MonthNo].[All]" allUniqueName="[LocalDateTable_39cbebff-eeb7-4252-a359-139059305106].[MonthNo].[All]" dimensionUniqueName="[LocalDateTable_39cbebff-eeb7-4252-a359-139059305106]" displayFolder="" count="2" unbalanced="0" hidden="1"/>
    <cacheHierarchy uniqueName="[LocalDateTable_39cbebff-eeb7-4252-a359-139059305106].[Quarter]" caption="Quarter" attribute="1" defaultMemberUniqueName="[LocalDateTable_39cbebff-eeb7-4252-a359-139059305106].[Quarter].[All]" allUniqueName="[LocalDateTable_39cbebff-eeb7-4252-a359-139059305106].[Quarter].[All]" dimensionUniqueName="[LocalDateTable_39cbebff-eeb7-4252-a359-139059305106]" displayFolder="" count="2" unbalanced="0" hidden="1"/>
    <cacheHierarchy uniqueName="[LocalDateTable_39cbebff-eeb7-4252-a359-139059305106].[QuarterNo]" caption="QuarterNo" attribute="1" defaultMemberUniqueName="[LocalDateTable_39cbebff-eeb7-4252-a359-139059305106].[QuarterNo].[All]" allUniqueName="[LocalDateTable_39cbebff-eeb7-4252-a359-139059305106].[QuarterNo].[All]" dimensionUniqueName="[LocalDateTable_39cbebff-eeb7-4252-a359-139059305106]" displayFolder="" count="2" unbalanced="0" hidden="1"/>
    <cacheHierarchy uniqueName="[LocalDateTable_39cbebff-eeb7-4252-a359-139059305106].[Year]" caption="Year" attribute="1" defaultMemberUniqueName="[LocalDateTable_39cbebff-eeb7-4252-a359-139059305106].[Year].[All]" allUniqueName="[LocalDateTable_39cbebff-eeb7-4252-a359-139059305106].[Year].[All]" dimensionUniqueName="[LocalDateTable_39cbebff-eeb7-4252-a359-139059305106]" displayFolder="" count="2" unbalanced="0" hidden="1"/>
    <cacheHierarchy uniqueName="[LocalDateTable_44ed01c2-444c-4c6a-9e1d-8f64a65ebd53].[Date]" caption="Date" attribute="1" defaultMemberUniqueName="[LocalDateTable_44ed01c2-444c-4c6a-9e1d-8f64a65ebd53].[Date].[All]" allUniqueName="[LocalDateTable_44ed01c2-444c-4c6a-9e1d-8f64a65ebd53].[Date].[All]" dimensionUniqueName="[LocalDateTable_44ed01c2-444c-4c6a-9e1d-8f64a65ebd53]" displayFolder="" count="2" unbalanced="0" hidden="1"/>
    <cacheHierarchy uniqueName="[LocalDateTable_44ed01c2-444c-4c6a-9e1d-8f64a65ebd53].[Date Hierarchy]" caption="Date Hierarchy" defaultMemberUniqueName="[LocalDateTable_44ed01c2-444c-4c6a-9e1d-8f64a65ebd53].[Date Hierarchy].[All]" allUniqueName="[LocalDateTable_44ed01c2-444c-4c6a-9e1d-8f64a65ebd53].[Date Hierarchy].[All]" dimensionUniqueName="[LocalDateTable_44ed01c2-444c-4c6a-9e1d-8f64a65ebd53]" displayFolder="" count="5" unbalanced="0" hidden="1"/>
    <cacheHierarchy uniqueName="[LocalDateTable_44ed01c2-444c-4c6a-9e1d-8f64a65ebd53].[Day]" caption="Day" attribute="1" defaultMemberUniqueName="[LocalDateTable_44ed01c2-444c-4c6a-9e1d-8f64a65ebd53].[Day].[All]" allUniqueName="[LocalDateTable_44ed01c2-444c-4c6a-9e1d-8f64a65ebd53].[Day].[All]" dimensionUniqueName="[LocalDateTable_44ed01c2-444c-4c6a-9e1d-8f64a65ebd53]" displayFolder="" count="2" unbalanced="0" hidden="1"/>
    <cacheHierarchy uniqueName="[LocalDateTable_44ed01c2-444c-4c6a-9e1d-8f64a65ebd53].[Month]" caption="Month" attribute="1" defaultMemberUniqueName="[LocalDateTable_44ed01c2-444c-4c6a-9e1d-8f64a65ebd53].[Month].[All]" allUniqueName="[LocalDateTable_44ed01c2-444c-4c6a-9e1d-8f64a65ebd53].[Month].[All]" dimensionUniqueName="[LocalDateTable_44ed01c2-444c-4c6a-9e1d-8f64a65ebd53]" displayFolder="" count="2" unbalanced="0" hidden="1"/>
    <cacheHierarchy uniqueName="[LocalDateTable_44ed01c2-444c-4c6a-9e1d-8f64a65ebd53].[MonthNo]" caption="MonthNo" attribute="1" defaultMemberUniqueName="[LocalDateTable_44ed01c2-444c-4c6a-9e1d-8f64a65ebd53].[MonthNo].[All]" allUniqueName="[LocalDateTable_44ed01c2-444c-4c6a-9e1d-8f64a65ebd53].[MonthNo].[All]" dimensionUniqueName="[LocalDateTable_44ed01c2-444c-4c6a-9e1d-8f64a65ebd53]" displayFolder="" count="2" unbalanced="0" hidden="1"/>
    <cacheHierarchy uniqueName="[LocalDateTable_44ed01c2-444c-4c6a-9e1d-8f64a65ebd53].[Quarter]" caption="Quarter" attribute="1" defaultMemberUniqueName="[LocalDateTable_44ed01c2-444c-4c6a-9e1d-8f64a65ebd53].[Quarter].[All]" allUniqueName="[LocalDateTable_44ed01c2-444c-4c6a-9e1d-8f64a65ebd53].[Quarter].[All]" dimensionUniqueName="[LocalDateTable_44ed01c2-444c-4c6a-9e1d-8f64a65ebd53]" displayFolder="" count="2" unbalanced="0" hidden="1"/>
    <cacheHierarchy uniqueName="[LocalDateTable_44ed01c2-444c-4c6a-9e1d-8f64a65ebd53].[QuarterNo]" caption="QuarterNo" attribute="1" defaultMemberUniqueName="[LocalDateTable_44ed01c2-444c-4c6a-9e1d-8f64a65ebd53].[QuarterNo].[All]" allUniqueName="[LocalDateTable_44ed01c2-444c-4c6a-9e1d-8f64a65ebd53].[QuarterNo].[All]" dimensionUniqueName="[LocalDateTable_44ed01c2-444c-4c6a-9e1d-8f64a65ebd53]" displayFolder="" count="2" unbalanced="0" hidden="1"/>
    <cacheHierarchy uniqueName="[LocalDateTable_44ed01c2-444c-4c6a-9e1d-8f64a65ebd53].[Year]" caption="Year" attribute="1" defaultMemberUniqueName="[LocalDateTable_44ed01c2-444c-4c6a-9e1d-8f64a65ebd53].[Year].[All]" allUniqueName="[LocalDateTable_44ed01c2-444c-4c6a-9e1d-8f64a65ebd53].[Year].[All]" dimensionUniqueName="[LocalDateTable_44ed01c2-444c-4c6a-9e1d-8f64a65ebd53]" displayFolder="" count="2" unbalanced="0" hidden="1"/>
    <cacheHierarchy uniqueName="[LocalDateTable_4b503ea0-8a9e-4452-8df1-77875d493416].[Date]" caption="Date" attribute="1" defaultMemberUniqueName="[LocalDateTable_4b503ea0-8a9e-4452-8df1-77875d493416].[Date].[All]" allUniqueName="[LocalDateTable_4b503ea0-8a9e-4452-8df1-77875d493416].[Date].[All]" dimensionUniqueName="[LocalDateTable_4b503ea0-8a9e-4452-8df1-77875d493416]" displayFolder="" count="2" unbalanced="0" hidden="1"/>
    <cacheHierarchy uniqueName="[LocalDateTable_4b503ea0-8a9e-4452-8df1-77875d493416].[Date Hierarchy]" caption="Date Hierarchy" defaultMemberUniqueName="[LocalDateTable_4b503ea0-8a9e-4452-8df1-77875d493416].[Date Hierarchy].[All]" allUniqueName="[LocalDateTable_4b503ea0-8a9e-4452-8df1-77875d493416].[Date Hierarchy].[All]" dimensionUniqueName="[LocalDateTable_4b503ea0-8a9e-4452-8df1-77875d493416]" displayFolder="" count="5" unbalanced="0" hidden="1"/>
    <cacheHierarchy uniqueName="[LocalDateTable_4b503ea0-8a9e-4452-8df1-77875d493416].[Day]" caption="Day" attribute="1" defaultMemberUniqueName="[LocalDateTable_4b503ea0-8a9e-4452-8df1-77875d493416].[Day].[All]" allUniqueName="[LocalDateTable_4b503ea0-8a9e-4452-8df1-77875d493416].[Day].[All]" dimensionUniqueName="[LocalDateTable_4b503ea0-8a9e-4452-8df1-77875d493416]" displayFolder="" count="2" unbalanced="0" hidden="1"/>
    <cacheHierarchy uniqueName="[LocalDateTable_4b503ea0-8a9e-4452-8df1-77875d493416].[Month]" caption="Month" attribute="1" defaultMemberUniqueName="[LocalDateTable_4b503ea0-8a9e-4452-8df1-77875d493416].[Month].[All]" allUniqueName="[LocalDateTable_4b503ea0-8a9e-4452-8df1-77875d493416].[Month].[All]" dimensionUniqueName="[LocalDateTable_4b503ea0-8a9e-4452-8df1-77875d493416]" displayFolder="" count="2" unbalanced="0" hidden="1"/>
    <cacheHierarchy uniqueName="[LocalDateTable_4b503ea0-8a9e-4452-8df1-77875d493416].[MonthNo]" caption="MonthNo" attribute="1" defaultMemberUniqueName="[LocalDateTable_4b503ea0-8a9e-4452-8df1-77875d493416].[MonthNo].[All]" allUniqueName="[LocalDateTable_4b503ea0-8a9e-4452-8df1-77875d493416].[MonthNo].[All]" dimensionUniqueName="[LocalDateTable_4b503ea0-8a9e-4452-8df1-77875d493416]" displayFolder="" count="2" unbalanced="0" hidden="1"/>
    <cacheHierarchy uniqueName="[LocalDateTable_4b503ea0-8a9e-4452-8df1-77875d493416].[Quarter]" caption="Quarter" attribute="1" defaultMemberUniqueName="[LocalDateTable_4b503ea0-8a9e-4452-8df1-77875d493416].[Quarter].[All]" allUniqueName="[LocalDateTable_4b503ea0-8a9e-4452-8df1-77875d493416].[Quarter].[All]" dimensionUniqueName="[LocalDateTable_4b503ea0-8a9e-4452-8df1-77875d493416]" displayFolder="" count="2" unbalanced="0" hidden="1"/>
    <cacheHierarchy uniqueName="[LocalDateTable_4b503ea0-8a9e-4452-8df1-77875d493416].[QuarterNo]" caption="QuarterNo" attribute="1" defaultMemberUniqueName="[LocalDateTable_4b503ea0-8a9e-4452-8df1-77875d493416].[QuarterNo].[All]" allUniqueName="[LocalDateTable_4b503ea0-8a9e-4452-8df1-77875d493416].[QuarterNo].[All]" dimensionUniqueName="[LocalDateTable_4b503ea0-8a9e-4452-8df1-77875d493416]" displayFolder="" count="2" unbalanced="0" hidden="1"/>
    <cacheHierarchy uniqueName="[LocalDateTable_4b503ea0-8a9e-4452-8df1-77875d493416].[Year]" caption="Year" attribute="1" defaultMemberUniqueName="[LocalDateTable_4b503ea0-8a9e-4452-8df1-77875d493416].[Year].[All]" allUniqueName="[LocalDateTable_4b503ea0-8a9e-4452-8df1-77875d493416].[Year].[All]" dimensionUniqueName="[LocalDateTable_4b503ea0-8a9e-4452-8df1-77875d493416]" displayFolder="" count="2" unbalanced="0" hidden="1"/>
    <cacheHierarchy uniqueName="[LocalDateTable_53bd0de1-8e4f-45ec-a73d-720779e52dac].[Date]" caption="Date" attribute="1" defaultMemberUniqueName="[LocalDateTable_53bd0de1-8e4f-45ec-a73d-720779e52dac].[Date].[All]" allUniqueName="[LocalDateTable_53bd0de1-8e4f-45ec-a73d-720779e52dac].[Date].[All]" dimensionUniqueName="[LocalDateTable_53bd0de1-8e4f-45ec-a73d-720779e52dac]" displayFolder="" count="2" unbalanced="0" hidden="1"/>
    <cacheHierarchy uniqueName="[LocalDateTable_53bd0de1-8e4f-45ec-a73d-720779e52dac].[Date Hierarchy]" caption="Date Hierarchy" defaultMemberUniqueName="[LocalDateTable_53bd0de1-8e4f-45ec-a73d-720779e52dac].[Date Hierarchy].[All]" allUniqueName="[LocalDateTable_53bd0de1-8e4f-45ec-a73d-720779e52dac].[Date Hierarchy].[All]" dimensionUniqueName="[LocalDateTable_53bd0de1-8e4f-45ec-a73d-720779e52dac]" displayFolder="" count="5" unbalanced="0" hidden="1"/>
    <cacheHierarchy uniqueName="[LocalDateTable_53bd0de1-8e4f-45ec-a73d-720779e52dac].[Day]" caption="Day" attribute="1" defaultMemberUniqueName="[LocalDateTable_53bd0de1-8e4f-45ec-a73d-720779e52dac].[Day].[All]" allUniqueName="[LocalDateTable_53bd0de1-8e4f-45ec-a73d-720779e52dac].[Day].[All]" dimensionUniqueName="[LocalDateTable_53bd0de1-8e4f-45ec-a73d-720779e52dac]" displayFolder="" count="2" unbalanced="0" hidden="1"/>
    <cacheHierarchy uniqueName="[LocalDateTable_53bd0de1-8e4f-45ec-a73d-720779e52dac].[Month]" caption="Month" attribute="1" defaultMemberUniqueName="[LocalDateTable_53bd0de1-8e4f-45ec-a73d-720779e52dac].[Month].[All]" allUniqueName="[LocalDateTable_53bd0de1-8e4f-45ec-a73d-720779e52dac].[Month].[All]" dimensionUniqueName="[LocalDateTable_53bd0de1-8e4f-45ec-a73d-720779e52dac]" displayFolder="" count="2" unbalanced="0" hidden="1"/>
    <cacheHierarchy uniqueName="[LocalDateTable_53bd0de1-8e4f-45ec-a73d-720779e52dac].[MonthNo]" caption="MonthNo" attribute="1" defaultMemberUniqueName="[LocalDateTable_53bd0de1-8e4f-45ec-a73d-720779e52dac].[MonthNo].[All]" allUniqueName="[LocalDateTable_53bd0de1-8e4f-45ec-a73d-720779e52dac].[MonthNo].[All]" dimensionUniqueName="[LocalDateTable_53bd0de1-8e4f-45ec-a73d-720779e52dac]" displayFolder="" count="2" unbalanced="0" hidden="1"/>
    <cacheHierarchy uniqueName="[LocalDateTable_53bd0de1-8e4f-45ec-a73d-720779e52dac].[Quarter]" caption="Quarter" attribute="1" defaultMemberUniqueName="[LocalDateTable_53bd0de1-8e4f-45ec-a73d-720779e52dac].[Quarter].[All]" allUniqueName="[LocalDateTable_53bd0de1-8e4f-45ec-a73d-720779e52dac].[Quarter].[All]" dimensionUniqueName="[LocalDateTable_53bd0de1-8e4f-45ec-a73d-720779e52dac]" displayFolder="" count="2" unbalanced="0" hidden="1"/>
    <cacheHierarchy uniqueName="[LocalDateTable_53bd0de1-8e4f-45ec-a73d-720779e52dac].[QuarterNo]" caption="QuarterNo" attribute="1" defaultMemberUniqueName="[LocalDateTable_53bd0de1-8e4f-45ec-a73d-720779e52dac].[QuarterNo].[All]" allUniqueName="[LocalDateTable_53bd0de1-8e4f-45ec-a73d-720779e52dac].[QuarterNo].[All]" dimensionUniqueName="[LocalDateTable_53bd0de1-8e4f-45ec-a73d-720779e52dac]" displayFolder="" count="2" unbalanced="0" hidden="1"/>
    <cacheHierarchy uniqueName="[LocalDateTable_53bd0de1-8e4f-45ec-a73d-720779e52dac].[Year]" caption="Year" attribute="1" defaultMemberUniqueName="[LocalDateTable_53bd0de1-8e4f-45ec-a73d-720779e52dac].[Year].[All]" allUniqueName="[LocalDateTable_53bd0de1-8e4f-45ec-a73d-720779e52dac].[Year].[All]" dimensionUniqueName="[LocalDateTable_53bd0de1-8e4f-45ec-a73d-720779e52dac]" displayFolder="" count="2" unbalanced="0" hidden="1"/>
    <cacheHierarchy uniqueName="[LocalDateTable_582d8559-64fe-4f94-ac65-40b1120ce9fa].[Date]" caption="Date" attribute="1" defaultMemberUniqueName="[LocalDateTable_582d8559-64fe-4f94-ac65-40b1120ce9fa].[Date].[All]" allUniqueName="[LocalDateTable_582d8559-64fe-4f94-ac65-40b1120ce9fa].[Date].[All]" dimensionUniqueName="[LocalDateTable_582d8559-64fe-4f94-ac65-40b1120ce9fa]" displayFolder="" count="2" unbalanced="0" hidden="1"/>
    <cacheHierarchy uniqueName="[LocalDateTable_582d8559-64fe-4f94-ac65-40b1120ce9fa].[Date Hierarchy]" caption="Date Hierarchy" defaultMemberUniqueName="[LocalDateTable_582d8559-64fe-4f94-ac65-40b1120ce9fa].[Date Hierarchy].[All]" allUniqueName="[LocalDateTable_582d8559-64fe-4f94-ac65-40b1120ce9fa].[Date Hierarchy].[All]" dimensionUniqueName="[LocalDateTable_582d8559-64fe-4f94-ac65-40b1120ce9fa]" displayFolder="" count="5" unbalanced="0" hidden="1"/>
    <cacheHierarchy uniqueName="[LocalDateTable_582d8559-64fe-4f94-ac65-40b1120ce9fa].[Day]" caption="Day" attribute="1" defaultMemberUniqueName="[LocalDateTable_582d8559-64fe-4f94-ac65-40b1120ce9fa].[Day].[All]" allUniqueName="[LocalDateTable_582d8559-64fe-4f94-ac65-40b1120ce9fa].[Day].[All]" dimensionUniqueName="[LocalDateTable_582d8559-64fe-4f94-ac65-40b1120ce9fa]" displayFolder="" count="2" unbalanced="0" hidden="1"/>
    <cacheHierarchy uniqueName="[LocalDateTable_582d8559-64fe-4f94-ac65-40b1120ce9fa].[Month]" caption="Month" attribute="1" defaultMemberUniqueName="[LocalDateTable_582d8559-64fe-4f94-ac65-40b1120ce9fa].[Month].[All]" allUniqueName="[LocalDateTable_582d8559-64fe-4f94-ac65-40b1120ce9fa].[Month].[All]" dimensionUniqueName="[LocalDateTable_582d8559-64fe-4f94-ac65-40b1120ce9fa]" displayFolder="" count="2" unbalanced="0" hidden="1"/>
    <cacheHierarchy uniqueName="[LocalDateTable_582d8559-64fe-4f94-ac65-40b1120ce9fa].[MonthNo]" caption="MonthNo" attribute="1" defaultMemberUniqueName="[LocalDateTable_582d8559-64fe-4f94-ac65-40b1120ce9fa].[MonthNo].[All]" allUniqueName="[LocalDateTable_582d8559-64fe-4f94-ac65-40b1120ce9fa].[MonthNo].[All]" dimensionUniqueName="[LocalDateTable_582d8559-64fe-4f94-ac65-40b1120ce9fa]" displayFolder="" count="2" unbalanced="0" hidden="1"/>
    <cacheHierarchy uniqueName="[LocalDateTable_582d8559-64fe-4f94-ac65-40b1120ce9fa].[Quarter]" caption="Quarter" attribute="1" defaultMemberUniqueName="[LocalDateTable_582d8559-64fe-4f94-ac65-40b1120ce9fa].[Quarter].[All]" allUniqueName="[LocalDateTable_582d8559-64fe-4f94-ac65-40b1120ce9fa].[Quarter].[All]" dimensionUniqueName="[LocalDateTable_582d8559-64fe-4f94-ac65-40b1120ce9fa]" displayFolder="" count="2" unbalanced="0" hidden="1"/>
    <cacheHierarchy uniqueName="[LocalDateTable_582d8559-64fe-4f94-ac65-40b1120ce9fa].[QuarterNo]" caption="QuarterNo" attribute="1" defaultMemberUniqueName="[LocalDateTable_582d8559-64fe-4f94-ac65-40b1120ce9fa].[QuarterNo].[All]" allUniqueName="[LocalDateTable_582d8559-64fe-4f94-ac65-40b1120ce9fa].[QuarterNo].[All]" dimensionUniqueName="[LocalDateTable_582d8559-64fe-4f94-ac65-40b1120ce9fa]" displayFolder="" count="2" unbalanced="0" hidden="1"/>
    <cacheHierarchy uniqueName="[LocalDateTable_582d8559-64fe-4f94-ac65-40b1120ce9fa].[Year]" caption="Year" attribute="1" defaultMemberUniqueName="[LocalDateTable_582d8559-64fe-4f94-ac65-40b1120ce9fa].[Year].[All]" allUniqueName="[LocalDateTable_582d8559-64fe-4f94-ac65-40b1120ce9fa].[Year].[All]" dimensionUniqueName="[LocalDateTable_582d8559-64fe-4f94-ac65-40b1120ce9fa]" displayFolder="" count="2" unbalanced="0" hidden="1"/>
    <cacheHierarchy uniqueName="[LocalDateTable_5e304ffa-9c13-4348-a0b1-bac4f702bb98].[Date]" caption="Date" attribute="1" defaultMemberUniqueName="[LocalDateTable_5e304ffa-9c13-4348-a0b1-bac4f702bb98].[Date].[All]" allUniqueName="[LocalDateTable_5e304ffa-9c13-4348-a0b1-bac4f702bb98].[Date].[All]" dimensionUniqueName="[LocalDateTable_5e304ffa-9c13-4348-a0b1-bac4f702bb98]" displayFolder="" count="2" unbalanced="0" hidden="1"/>
    <cacheHierarchy uniqueName="[LocalDateTable_5e304ffa-9c13-4348-a0b1-bac4f702bb98].[Date Hierarchy]" caption="Date Hierarchy" defaultMemberUniqueName="[LocalDateTable_5e304ffa-9c13-4348-a0b1-bac4f702bb98].[Date Hierarchy].[All]" allUniqueName="[LocalDateTable_5e304ffa-9c13-4348-a0b1-bac4f702bb98].[Date Hierarchy].[All]" dimensionUniqueName="[LocalDateTable_5e304ffa-9c13-4348-a0b1-bac4f702bb98]" displayFolder="" count="5" unbalanced="0" hidden="1"/>
    <cacheHierarchy uniqueName="[LocalDateTable_5e304ffa-9c13-4348-a0b1-bac4f702bb98].[Day]" caption="Day" attribute="1" defaultMemberUniqueName="[LocalDateTable_5e304ffa-9c13-4348-a0b1-bac4f702bb98].[Day].[All]" allUniqueName="[LocalDateTable_5e304ffa-9c13-4348-a0b1-bac4f702bb98].[Day].[All]" dimensionUniqueName="[LocalDateTable_5e304ffa-9c13-4348-a0b1-bac4f702bb98]" displayFolder="" count="2" unbalanced="0" hidden="1"/>
    <cacheHierarchy uniqueName="[LocalDateTable_5e304ffa-9c13-4348-a0b1-bac4f702bb98].[Month]" caption="Month" attribute="1" defaultMemberUniqueName="[LocalDateTable_5e304ffa-9c13-4348-a0b1-bac4f702bb98].[Month].[All]" allUniqueName="[LocalDateTable_5e304ffa-9c13-4348-a0b1-bac4f702bb98].[Month].[All]" dimensionUniqueName="[LocalDateTable_5e304ffa-9c13-4348-a0b1-bac4f702bb98]" displayFolder="" count="2" unbalanced="0" hidden="1"/>
    <cacheHierarchy uniqueName="[LocalDateTable_5e304ffa-9c13-4348-a0b1-bac4f702bb98].[MonthNo]" caption="MonthNo" attribute="1" defaultMemberUniqueName="[LocalDateTable_5e304ffa-9c13-4348-a0b1-bac4f702bb98].[MonthNo].[All]" allUniqueName="[LocalDateTable_5e304ffa-9c13-4348-a0b1-bac4f702bb98].[MonthNo].[All]" dimensionUniqueName="[LocalDateTable_5e304ffa-9c13-4348-a0b1-bac4f702bb98]" displayFolder="" count="2" unbalanced="0" hidden="1"/>
    <cacheHierarchy uniqueName="[LocalDateTable_5e304ffa-9c13-4348-a0b1-bac4f702bb98].[Quarter]" caption="Quarter" attribute="1" defaultMemberUniqueName="[LocalDateTable_5e304ffa-9c13-4348-a0b1-bac4f702bb98].[Quarter].[All]" allUniqueName="[LocalDateTable_5e304ffa-9c13-4348-a0b1-bac4f702bb98].[Quarter].[All]" dimensionUniqueName="[LocalDateTable_5e304ffa-9c13-4348-a0b1-bac4f702bb98]" displayFolder="" count="2" unbalanced="0" hidden="1"/>
    <cacheHierarchy uniqueName="[LocalDateTable_5e304ffa-9c13-4348-a0b1-bac4f702bb98].[QuarterNo]" caption="QuarterNo" attribute="1" defaultMemberUniqueName="[LocalDateTable_5e304ffa-9c13-4348-a0b1-bac4f702bb98].[QuarterNo].[All]" allUniqueName="[LocalDateTable_5e304ffa-9c13-4348-a0b1-bac4f702bb98].[QuarterNo].[All]" dimensionUniqueName="[LocalDateTable_5e304ffa-9c13-4348-a0b1-bac4f702bb98]" displayFolder="" count="2" unbalanced="0" hidden="1"/>
    <cacheHierarchy uniqueName="[LocalDateTable_5e304ffa-9c13-4348-a0b1-bac4f702bb98].[Year]" caption="Year" attribute="1" defaultMemberUniqueName="[LocalDateTable_5e304ffa-9c13-4348-a0b1-bac4f702bb98].[Year].[All]" allUniqueName="[LocalDateTable_5e304ffa-9c13-4348-a0b1-bac4f702bb98].[Year].[All]" dimensionUniqueName="[LocalDateTable_5e304ffa-9c13-4348-a0b1-bac4f702bb98]" displayFolder="" count="2" unbalanced="0" hidden="1"/>
    <cacheHierarchy uniqueName="[LocalDateTable_6ad1a7b7-0918-439f-9116-bb49452fb306].[Date]" caption="Date" attribute="1" defaultMemberUniqueName="[LocalDateTable_6ad1a7b7-0918-439f-9116-bb49452fb306].[Date].[All]" allUniqueName="[LocalDateTable_6ad1a7b7-0918-439f-9116-bb49452fb306].[Date].[All]" dimensionUniqueName="[LocalDateTable_6ad1a7b7-0918-439f-9116-bb49452fb306]" displayFolder="" count="2" unbalanced="0" hidden="1"/>
    <cacheHierarchy uniqueName="[LocalDateTable_6ad1a7b7-0918-439f-9116-bb49452fb306].[Date Hierarchy]" caption="Date Hierarchy" defaultMemberUniqueName="[LocalDateTable_6ad1a7b7-0918-439f-9116-bb49452fb306].[Date Hierarchy].[All]" allUniqueName="[LocalDateTable_6ad1a7b7-0918-439f-9116-bb49452fb306].[Date Hierarchy].[All]" dimensionUniqueName="[LocalDateTable_6ad1a7b7-0918-439f-9116-bb49452fb306]" displayFolder="" count="5" unbalanced="0" hidden="1"/>
    <cacheHierarchy uniqueName="[LocalDateTable_6ad1a7b7-0918-439f-9116-bb49452fb306].[Day]" caption="Day" attribute="1" defaultMemberUniqueName="[LocalDateTable_6ad1a7b7-0918-439f-9116-bb49452fb306].[Day].[All]" allUniqueName="[LocalDateTable_6ad1a7b7-0918-439f-9116-bb49452fb306].[Day].[All]" dimensionUniqueName="[LocalDateTable_6ad1a7b7-0918-439f-9116-bb49452fb306]" displayFolder="" count="2" unbalanced="0" hidden="1"/>
    <cacheHierarchy uniqueName="[LocalDateTable_6ad1a7b7-0918-439f-9116-bb49452fb306].[Month]" caption="Month" attribute="1" defaultMemberUniqueName="[LocalDateTable_6ad1a7b7-0918-439f-9116-bb49452fb306].[Month].[All]" allUniqueName="[LocalDateTable_6ad1a7b7-0918-439f-9116-bb49452fb306].[Month].[All]" dimensionUniqueName="[LocalDateTable_6ad1a7b7-0918-439f-9116-bb49452fb306]" displayFolder="" count="2" unbalanced="0" hidden="1"/>
    <cacheHierarchy uniqueName="[LocalDateTable_6ad1a7b7-0918-439f-9116-bb49452fb306].[MonthNo]" caption="MonthNo" attribute="1" defaultMemberUniqueName="[LocalDateTable_6ad1a7b7-0918-439f-9116-bb49452fb306].[MonthNo].[All]" allUniqueName="[LocalDateTable_6ad1a7b7-0918-439f-9116-bb49452fb306].[MonthNo].[All]" dimensionUniqueName="[LocalDateTable_6ad1a7b7-0918-439f-9116-bb49452fb306]" displayFolder="" count="2" unbalanced="0" hidden="1"/>
    <cacheHierarchy uniqueName="[LocalDateTable_6ad1a7b7-0918-439f-9116-bb49452fb306].[Quarter]" caption="Quarter" attribute="1" defaultMemberUniqueName="[LocalDateTable_6ad1a7b7-0918-439f-9116-bb49452fb306].[Quarter].[All]" allUniqueName="[LocalDateTable_6ad1a7b7-0918-439f-9116-bb49452fb306].[Quarter].[All]" dimensionUniqueName="[LocalDateTable_6ad1a7b7-0918-439f-9116-bb49452fb306]" displayFolder="" count="2" unbalanced="0" hidden="1"/>
    <cacheHierarchy uniqueName="[LocalDateTable_6ad1a7b7-0918-439f-9116-bb49452fb306].[QuarterNo]" caption="QuarterNo" attribute="1" defaultMemberUniqueName="[LocalDateTable_6ad1a7b7-0918-439f-9116-bb49452fb306].[QuarterNo].[All]" allUniqueName="[LocalDateTable_6ad1a7b7-0918-439f-9116-bb49452fb306].[QuarterNo].[All]" dimensionUniqueName="[LocalDateTable_6ad1a7b7-0918-439f-9116-bb49452fb306]" displayFolder="" count="2" unbalanced="0" hidden="1"/>
    <cacheHierarchy uniqueName="[LocalDateTable_6ad1a7b7-0918-439f-9116-bb49452fb306].[Year]" caption="Year" attribute="1" defaultMemberUniqueName="[LocalDateTable_6ad1a7b7-0918-439f-9116-bb49452fb306].[Year].[All]" allUniqueName="[LocalDateTable_6ad1a7b7-0918-439f-9116-bb49452fb306].[Year].[All]" dimensionUniqueName="[LocalDateTable_6ad1a7b7-0918-439f-9116-bb49452fb306]" displayFolder="" count="2" unbalanced="0" hidden="1"/>
    <cacheHierarchy uniqueName="[LocalDateTable_72411a4b-2028-45fd-859f-ca035717f902].[Date]" caption="Date" attribute="1" defaultMemberUniqueName="[LocalDateTable_72411a4b-2028-45fd-859f-ca035717f902].[Date].[All]" allUniqueName="[LocalDateTable_72411a4b-2028-45fd-859f-ca035717f902].[Date].[All]" dimensionUniqueName="[LocalDateTable_72411a4b-2028-45fd-859f-ca035717f902]" displayFolder="" count="2" unbalanced="0" hidden="1"/>
    <cacheHierarchy uniqueName="[LocalDateTable_72411a4b-2028-45fd-859f-ca035717f902].[Date Hierarchy]" caption="Date Hierarchy" defaultMemberUniqueName="[LocalDateTable_72411a4b-2028-45fd-859f-ca035717f902].[Date Hierarchy].[All]" allUniqueName="[LocalDateTable_72411a4b-2028-45fd-859f-ca035717f902].[Date Hierarchy].[All]" dimensionUniqueName="[LocalDateTable_72411a4b-2028-45fd-859f-ca035717f902]" displayFolder="" count="5" unbalanced="0" hidden="1"/>
    <cacheHierarchy uniqueName="[LocalDateTable_72411a4b-2028-45fd-859f-ca035717f902].[Day]" caption="Day" attribute="1" defaultMemberUniqueName="[LocalDateTable_72411a4b-2028-45fd-859f-ca035717f902].[Day].[All]" allUniqueName="[LocalDateTable_72411a4b-2028-45fd-859f-ca035717f902].[Day].[All]" dimensionUniqueName="[LocalDateTable_72411a4b-2028-45fd-859f-ca035717f902]" displayFolder="" count="2" unbalanced="0" hidden="1"/>
    <cacheHierarchy uniqueName="[LocalDateTable_72411a4b-2028-45fd-859f-ca035717f902].[Month]" caption="Month" attribute="1" defaultMemberUniqueName="[LocalDateTable_72411a4b-2028-45fd-859f-ca035717f902].[Month].[All]" allUniqueName="[LocalDateTable_72411a4b-2028-45fd-859f-ca035717f902].[Month].[All]" dimensionUniqueName="[LocalDateTable_72411a4b-2028-45fd-859f-ca035717f902]" displayFolder="" count="2" unbalanced="0" hidden="1"/>
    <cacheHierarchy uniqueName="[LocalDateTable_72411a4b-2028-45fd-859f-ca035717f902].[MonthNo]" caption="MonthNo" attribute="1" defaultMemberUniqueName="[LocalDateTable_72411a4b-2028-45fd-859f-ca035717f902].[MonthNo].[All]" allUniqueName="[LocalDateTable_72411a4b-2028-45fd-859f-ca035717f902].[MonthNo].[All]" dimensionUniqueName="[LocalDateTable_72411a4b-2028-45fd-859f-ca035717f902]" displayFolder="" count="2" unbalanced="0" hidden="1"/>
    <cacheHierarchy uniqueName="[LocalDateTable_72411a4b-2028-45fd-859f-ca035717f902].[Quarter]" caption="Quarter" attribute="1" defaultMemberUniqueName="[LocalDateTable_72411a4b-2028-45fd-859f-ca035717f902].[Quarter].[All]" allUniqueName="[LocalDateTable_72411a4b-2028-45fd-859f-ca035717f902].[Quarter].[All]" dimensionUniqueName="[LocalDateTable_72411a4b-2028-45fd-859f-ca035717f902]" displayFolder="" count="2" unbalanced="0" hidden="1"/>
    <cacheHierarchy uniqueName="[LocalDateTable_72411a4b-2028-45fd-859f-ca035717f902].[QuarterNo]" caption="QuarterNo" attribute="1" defaultMemberUniqueName="[LocalDateTable_72411a4b-2028-45fd-859f-ca035717f902].[QuarterNo].[All]" allUniqueName="[LocalDateTable_72411a4b-2028-45fd-859f-ca035717f902].[QuarterNo].[All]" dimensionUniqueName="[LocalDateTable_72411a4b-2028-45fd-859f-ca035717f902]" displayFolder="" count="2" unbalanced="0" hidden="1"/>
    <cacheHierarchy uniqueName="[LocalDateTable_72411a4b-2028-45fd-859f-ca035717f902].[Year]" caption="Year" attribute="1" defaultMemberUniqueName="[LocalDateTable_72411a4b-2028-45fd-859f-ca035717f902].[Year].[All]" allUniqueName="[LocalDateTable_72411a4b-2028-45fd-859f-ca035717f902].[Year].[All]" dimensionUniqueName="[LocalDateTable_72411a4b-2028-45fd-859f-ca035717f902]" displayFolder="" count="2" unbalanced="0" hidden="1"/>
    <cacheHierarchy uniqueName="[LocalDateTable_762e9f08-71b7-474b-bf32-18e125928c8b].[Date]" caption="Date" attribute="1" defaultMemberUniqueName="[LocalDateTable_762e9f08-71b7-474b-bf32-18e125928c8b].[Date].[All]" allUniqueName="[LocalDateTable_762e9f08-71b7-474b-bf32-18e125928c8b].[Date].[All]" dimensionUniqueName="[LocalDateTable_762e9f08-71b7-474b-bf32-18e125928c8b]" displayFolder="" count="2" unbalanced="0" hidden="1"/>
    <cacheHierarchy uniqueName="[LocalDateTable_762e9f08-71b7-474b-bf32-18e125928c8b].[Date Hierarchy]" caption="Date Hierarchy" defaultMemberUniqueName="[LocalDateTable_762e9f08-71b7-474b-bf32-18e125928c8b].[Date Hierarchy].[All]" allUniqueName="[LocalDateTable_762e9f08-71b7-474b-bf32-18e125928c8b].[Date Hierarchy].[All]" dimensionUniqueName="[LocalDateTable_762e9f08-71b7-474b-bf32-18e125928c8b]" displayFolder="" count="5" unbalanced="0" hidden="1"/>
    <cacheHierarchy uniqueName="[LocalDateTable_762e9f08-71b7-474b-bf32-18e125928c8b].[Day]" caption="Day" attribute="1" defaultMemberUniqueName="[LocalDateTable_762e9f08-71b7-474b-bf32-18e125928c8b].[Day].[All]" allUniqueName="[LocalDateTable_762e9f08-71b7-474b-bf32-18e125928c8b].[Day].[All]" dimensionUniqueName="[LocalDateTable_762e9f08-71b7-474b-bf32-18e125928c8b]" displayFolder="" count="2" unbalanced="0" hidden="1"/>
    <cacheHierarchy uniqueName="[LocalDateTable_762e9f08-71b7-474b-bf32-18e125928c8b].[Month]" caption="Month" attribute="1" defaultMemberUniqueName="[LocalDateTable_762e9f08-71b7-474b-bf32-18e125928c8b].[Month].[All]" allUniqueName="[LocalDateTable_762e9f08-71b7-474b-bf32-18e125928c8b].[Month].[All]" dimensionUniqueName="[LocalDateTable_762e9f08-71b7-474b-bf32-18e125928c8b]" displayFolder="" count="2" unbalanced="0" hidden="1"/>
    <cacheHierarchy uniqueName="[LocalDateTable_762e9f08-71b7-474b-bf32-18e125928c8b].[MonthNo]" caption="MonthNo" attribute="1" defaultMemberUniqueName="[LocalDateTable_762e9f08-71b7-474b-bf32-18e125928c8b].[MonthNo].[All]" allUniqueName="[LocalDateTable_762e9f08-71b7-474b-bf32-18e125928c8b].[MonthNo].[All]" dimensionUniqueName="[LocalDateTable_762e9f08-71b7-474b-bf32-18e125928c8b]" displayFolder="" count="2" unbalanced="0" hidden="1"/>
    <cacheHierarchy uniqueName="[LocalDateTable_762e9f08-71b7-474b-bf32-18e125928c8b].[Quarter]" caption="Quarter" attribute="1" defaultMemberUniqueName="[LocalDateTable_762e9f08-71b7-474b-bf32-18e125928c8b].[Quarter].[All]" allUniqueName="[LocalDateTable_762e9f08-71b7-474b-bf32-18e125928c8b].[Quarter].[All]" dimensionUniqueName="[LocalDateTable_762e9f08-71b7-474b-bf32-18e125928c8b]" displayFolder="" count="2" unbalanced="0" hidden="1"/>
    <cacheHierarchy uniqueName="[LocalDateTable_762e9f08-71b7-474b-bf32-18e125928c8b].[QuarterNo]" caption="QuarterNo" attribute="1" defaultMemberUniqueName="[LocalDateTable_762e9f08-71b7-474b-bf32-18e125928c8b].[QuarterNo].[All]" allUniqueName="[LocalDateTable_762e9f08-71b7-474b-bf32-18e125928c8b].[QuarterNo].[All]" dimensionUniqueName="[LocalDateTable_762e9f08-71b7-474b-bf32-18e125928c8b]" displayFolder="" count="2" unbalanced="0" hidden="1"/>
    <cacheHierarchy uniqueName="[LocalDateTable_762e9f08-71b7-474b-bf32-18e125928c8b].[Year]" caption="Year" attribute="1" defaultMemberUniqueName="[LocalDateTable_762e9f08-71b7-474b-bf32-18e125928c8b].[Year].[All]" allUniqueName="[LocalDateTable_762e9f08-71b7-474b-bf32-18e125928c8b].[Year].[All]" dimensionUniqueName="[LocalDateTable_762e9f08-71b7-474b-bf32-18e125928c8b]" displayFolder="" count="2" unbalanced="0" hidden="1"/>
    <cacheHierarchy uniqueName="[LocalDateTable_79b3c506-b619-4a92-a39e-5963880b27f4].[Date]" caption="Date" attribute="1" defaultMemberUniqueName="[LocalDateTable_79b3c506-b619-4a92-a39e-5963880b27f4].[Date].[All]" allUniqueName="[LocalDateTable_79b3c506-b619-4a92-a39e-5963880b27f4].[Date].[All]" dimensionUniqueName="[LocalDateTable_79b3c506-b619-4a92-a39e-5963880b27f4]" displayFolder="" count="2" unbalanced="0" hidden="1"/>
    <cacheHierarchy uniqueName="[LocalDateTable_79b3c506-b619-4a92-a39e-5963880b27f4].[Date Hierarchy]" caption="Date Hierarchy" defaultMemberUniqueName="[LocalDateTable_79b3c506-b619-4a92-a39e-5963880b27f4].[Date Hierarchy].[All]" allUniqueName="[LocalDateTable_79b3c506-b619-4a92-a39e-5963880b27f4].[Date Hierarchy].[All]" dimensionUniqueName="[LocalDateTable_79b3c506-b619-4a92-a39e-5963880b27f4]" displayFolder="" count="5" unbalanced="0" hidden="1"/>
    <cacheHierarchy uniqueName="[LocalDateTable_79b3c506-b619-4a92-a39e-5963880b27f4].[Day]" caption="Day" attribute="1" defaultMemberUniqueName="[LocalDateTable_79b3c506-b619-4a92-a39e-5963880b27f4].[Day].[All]" allUniqueName="[LocalDateTable_79b3c506-b619-4a92-a39e-5963880b27f4].[Day].[All]" dimensionUniqueName="[LocalDateTable_79b3c506-b619-4a92-a39e-5963880b27f4]" displayFolder="" count="2" unbalanced="0" hidden="1"/>
    <cacheHierarchy uniqueName="[LocalDateTable_79b3c506-b619-4a92-a39e-5963880b27f4].[Month]" caption="Month" attribute="1" defaultMemberUniqueName="[LocalDateTable_79b3c506-b619-4a92-a39e-5963880b27f4].[Month].[All]" allUniqueName="[LocalDateTable_79b3c506-b619-4a92-a39e-5963880b27f4].[Month].[All]" dimensionUniqueName="[LocalDateTable_79b3c506-b619-4a92-a39e-5963880b27f4]" displayFolder="" count="2" unbalanced="0" hidden="1"/>
    <cacheHierarchy uniqueName="[LocalDateTable_79b3c506-b619-4a92-a39e-5963880b27f4].[MonthNo]" caption="MonthNo" attribute="1" defaultMemberUniqueName="[LocalDateTable_79b3c506-b619-4a92-a39e-5963880b27f4].[MonthNo].[All]" allUniqueName="[LocalDateTable_79b3c506-b619-4a92-a39e-5963880b27f4].[MonthNo].[All]" dimensionUniqueName="[LocalDateTable_79b3c506-b619-4a92-a39e-5963880b27f4]" displayFolder="" count="2" unbalanced="0" hidden="1"/>
    <cacheHierarchy uniqueName="[LocalDateTable_79b3c506-b619-4a92-a39e-5963880b27f4].[Quarter]" caption="Quarter" attribute="1" defaultMemberUniqueName="[LocalDateTable_79b3c506-b619-4a92-a39e-5963880b27f4].[Quarter].[All]" allUniqueName="[LocalDateTable_79b3c506-b619-4a92-a39e-5963880b27f4].[Quarter].[All]" dimensionUniqueName="[LocalDateTable_79b3c506-b619-4a92-a39e-5963880b27f4]" displayFolder="" count="2" unbalanced="0" hidden="1"/>
    <cacheHierarchy uniqueName="[LocalDateTable_79b3c506-b619-4a92-a39e-5963880b27f4].[QuarterNo]" caption="QuarterNo" attribute="1" defaultMemberUniqueName="[LocalDateTable_79b3c506-b619-4a92-a39e-5963880b27f4].[QuarterNo].[All]" allUniqueName="[LocalDateTable_79b3c506-b619-4a92-a39e-5963880b27f4].[QuarterNo].[All]" dimensionUniqueName="[LocalDateTable_79b3c506-b619-4a92-a39e-5963880b27f4]" displayFolder="" count="2" unbalanced="0" hidden="1"/>
    <cacheHierarchy uniqueName="[LocalDateTable_79b3c506-b619-4a92-a39e-5963880b27f4].[Year]" caption="Year" attribute="1" defaultMemberUniqueName="[LocalDateTable_79b3c506-b619-4a92-a39e-5963880b27f4].[Year].[All]" allUniqueName="[LocalDateTable_79b3c506-b619-4a92-a39e-5963880b27f4].[Year].[All]" dimensionUniqueName="[LocalDateTable_79b3c506-b619-4a92-a39e-5963880b27f4]" displayFolder="" count="2" unbalanced="0" hidden="1"/>
    <cacheHierarchy uniqueName="[LocalDateTable_7e4579ac-e1ba-4376-bd93-89713ab2d695].[Date]" caption="Date" attribute="1" defaultMemberUniqueName="[LocalDateTable_7e4579ac-e1ba-4376-bd93-89713ab2d695].[Date].[All]" allUniqueName="[LocalDateTable_7e4579ac-e1ba-4376-bd93-89713ab2d695].[Date].[All]" dimensionUniqueName="[LocalDateTable_7e4579ac-e1ba-4376-bd93-89713ab2d695]" displayFolder="" count="2" unbalanced="0" hidden="1"/>
    <cacheHierarchy uniqueName="[LocalDateTable_7e4579ac-e1ba-4376-bd93-89713ab2d695].[Date Hierarchy]" caption="Date Hierarchy" defaultMemberUniqueName="[LocalDateTable_7e4579ac-e1ba-4376-bd93-89713ab2d695].[Date Hierarchy].[All]" allUniqueName="[LocalDateTable_7e4579ac-e1ba-4376-bd93-89713ab2d695].[Date Hierarchy].[All]" dimensionUniqueName="[LocalDateTable_7e4579ac-e1ba-4376-bd93-89713ab2d695]" displayFolder="" count="5" unbalanced="0" hidden="1"/>
    <cacheHierarchy uniqueName="[LocalDateTable_7e4579ac-e1ba-4376-bd93-89713ab2d695].[Day]" caption="Day" attribute="1" defaultMemberUniqueName="[LocalDateTable_7e4579ac-e1ba-4376-bd93-89713ab2d695].[Day].[All]" allUniqueName="[LocalDateTable_7e4579ac-e1ba-4376-bd93-89713ab2d695].[Day].[All]" dimensionUniqueName="[LocalDateTable_7e4579ac-e1ba-4376-bd93-89713ab2d695]" displayFolder="" count="2" unbalanced="0" hidden="1"/>
    <cacheHierarchy uniqueName="[LocalDateTable_7e4579ac-e1ba-4376-bd93-89713ab2d695].[Month]" caption="Month" attribute="1" defaultMemberUniqueName="[LocalDateTable_7e4579ac-e1ba-4376-bd93-89713ab2d695].[Month].[All]" allUniqueName="[LocalDateTable_7e4579ac-e1ba-4376-bd93-89713ab2d695].[Month].[All]" dimensionUniqueName="[LocalDateTable_7e4579ac-e1ba-4376-bd93-89713ab2d695]" displayFolder="" count="2" unbalanced="0" hidden="1"/>
    <cacheHierarchy uniqueName="[LocalDateTable_7e4579ac-e1ba-4376-bd93-89713ab2d695].[MonthNo]" caption="MonthNo" attribute="1" defaultMemberUniqueName="[LocalDateTable_7e4579ac-e1ba-4376-bd93-89713ab2d695].[MonthNo].[All]" allUniqueName="[LocalDateTable_7e4579ac-e1ba-4376-bd93-89713ab2d695].[MonthNo].[All]" dimensionUniqueName="[LocalDateTable_7e4579ac-e1ba-4376-bd93-89713ab2d695]" displayFolder="" count="2" unbalanced="0" hidden="1"/>
    <cacheHierarchy uniqueName="[LocalDateTable_7e4579ac-e1ba-4376-bd93-89713ab2d695].[Quarter]" caption="Quarter" attribute="1" defaultMemberUniqueName="[LocalDateTable_7e4579ac-e1ba-4376-bd93-89713ab2d695].[Quarter].[All]" allUniqueName="[LocalDateTable_7e4579ac-e1ba-4376-bd93-89713ab2d695].[Quarter].[All]" dimensionUniqueName="[LocalDateTable_7e4579ac-e1ba-4376-bd93-89713ab2d695]" displayFolder="" count="2" unbalanced="0" hidden="1"/>
    <cacheHierarchy uniqueName="[LocalDateTable_7e4579ac-e1ba-4376-bd93-89713ab2d695].[QuarterNo]" caption="QuarterNo" attribute="1" defaultMemberUniqueName="[LocalDateTable_7e4579ac-e1ba-4376-bd93-89713ab2d695].[QuarterNo].[All]" allUniqueName="[LocalDateTable_7e4579ac-e1ba-4376-bd93-89713ab2d695].[QuarterNo].[All]" dimensionUniqueName="[LocalDateTable_7e4579ac-e1ba-4376-bd93-89713ab2d695]" displayFolder="" count="2" unbalanced="0" hidden="1"/>
    <cacheHierarchy uniqueName="[LocalDateTable_7e4579ac-e1ba-4376-bd93-89713ab2d695].[Year]" caption="Year" attribute="1" defaultMemberUniqueName="[LocalDateTable_7e4579ac-e1ba-4376-bd93-89713ab2d695].[Year].[All]" allUniqueName="[LocalDateTable_7e4579ac-e1ba-4376-bd93-89713ab2d695].[Year].[All]" dimensionUniqueName="[LocalDateTable_7e4579ac-e1ba-4376-bd93-89713ab2d695]" displayFolder="" count="2" unbalanced="0" hidden="1"/>
    <cacheHierarchy uniqueName="[LocalDateTable_8171f62b-6985-4fa9-89cc-d461fa08834f].[Date]" caption="Date" attribute="1" defaultMemberUniqueName="[LocalDateTable_8171f62b-6985-4fa9-89cc-d461fa08834f].[Date].[All]" allUniqueName="[LocalDateTable_8171f62b-6985-4fa9-89cc-d461fa08834f].[Date].[All]" dimensionUniqueName="[LocalDateTable_8171f62b-6985-4fa9-89cc-d461fa08834f]" displayFolder="" count="2" unbalanced="0" hidden="1"/>
    <cacheHierarchy uniqueName="[LocalDateTable_8171f62b-6985-4fa9-89cc-d461fa08834f].[Date Hierarchy]" caption="Date Hierarchy" defaultMemberUniqueName="[LocalDateTable_8171f62b-6985-4fa9-89cc-d461fa08834f].[Date Hierarchy].[All]" allUniqueName="[LocalDateTable_8171f62b-6985-4fa9-89cc-d461fa08834f].[Date Hierarchy].[All]" dimensionUniqueName="[LocalDateTable_8171f62b-6985-4fa9-89cc-d461fa08834f]" displayFolder="" count="5" unbalanced="0" hidden="1"/>
    <cacheHierarchy uniqueName="[LocalDateTable_8171f62b-6985-4fa9-89cc-d461fa08834f].[Day]" caption="Day" attribute="1" defaultMemberUniqueName="[LocalDateTable_8171f62b-6985-4fa9-89cc-d461fa08834f].[Day].[All]" allUniqueName="[LocalDateTable_8171f62b-6985-4fa9-89cc-d461fa08834f].[Day].[All]" dimensionUniqueName="[LocalDateTable_8171f62b-6985-4fa9-89cc-d461fa08834f]" displayFolder="" count="2" unbalanced="0" hidden="1"/>
    <cacheHierarchy uniqueName="[LocalDateTable_8171f62b-6985-4fa9-89cc-d461fa08834f].[Month]" caption="Month" attribute="1" defaultMemberUniqueName="[LocalDateTable_8171f62b-6985-4fa9-89cc-d461fa08834f].[Month].[All]" allUniqueName="[LocalDateTable_8171f62b-6985-4fa9-89cc-d461fa08834f].[Month].[All]" dimensionUniqueName="[LocalDateTable_8171f62b-6985-4fa9-89cc-d461fa08834f]" displayFolder="" count="2" unbalanced="0" hidden="1"/>
    <cacheHierarchy uniqueName="[LocalDateTable_8171f62b-6985-4fa9-89cc-d461fa08834f].[MonthNo]" caption="MonthNo" attribute="1" defaultMemberUniqueName="[LocalDateTable_8171f62b-6985-4fa9-89cc-d461fa08834f].[MonthNo].[All]" allUniqueName="[LocalDateTable_8171f62b-6985-4fa9-89cc-d461fa08834f].[MonthNo].[All]" dimensionUniqueName="[LocalDateTable_8171f62b-6985-4fa9-89cc-d461fa08834f]" displayFolder="" count="2" unbalanced="0" hidden="1"/>
    <cacheHierarchy uniqueName="[LocalDateTable_8171f62b-6985-4fa9-89cc-d461fa08834f].[Quarter]" caption="Quarter" attribute="1" defaultMemberUniqueName="[LocalDateTable_8171f62b-6985-4fa9-89cc-d461fa08834f].[Quarter].[All]" allUniqueName="[LocalDateTable_8171f62b-6985-4fa9-89cc-d461fa08834f].[Quarter].[All]" dimensionUniqueName="[LocalDateTable_8171f62b-6985-4fa9-89cc-d461fa08834f]" displayFolder="" count="2" unbalanced="0" hidden="1"/>
    <cacheHierarchy uniqueName="[LocalDateTable_8171f62b-6985-4fa9-89cc-d461fa08834f].[QuarterNo]" caption="QuarterNo" attribute="1" defaultMemberUniqueName="[LocalDateTable_8171f62b-6985-4fa9-89cc-d461fa08834f].[QuarterNo].[All]" allUniqueName="[LocalDateTable_8171f62b-6985-4fa9-89cc-d461fa08834f].[QuarterNo].[All]" dimensionUniqueName="[LocalDateTable_8171f62b-6985-4fa9-89cc-d461fa08834f]" displayFolder="" count="2" unbalanced="0" hidden="1"/>
    <cacheHierarchy uniqueName="[LocalDateTable_8171f62b-6985-4fa9-89cc-d461fa08834f].[Year]" caption="Year" attribute="1" defaultMemberUniqueName="[LocalDateTable_8171f62b-6985-4fa9-89cc-d461fa08834f].[Year].[All]" allUniqueName="[LocalDateTable_8171f62b-6985-4fa9-89cc-d461fa08834f].[Year].[All]" dimensionUniqueName="[LocalDateTable_8171f62b-6985-4fa9-89cc-d461fa08834f]" displayFolder="" count="2" unbalanced="0" hidden="1"/>
    <cacheHierarchy uniqueName="[LocalDateTable_8c167247-2007-40a2-8eb4-a67a7a0ffe69].[Date]" caption="Date" attribute="1" defaultMemberUniqueName="[LocalDateTable_8c167247-2007-40a2-8eb4-a67a7a0ffe69].[Date].[All]" allUniqueName="[LocalDateTable_8c167247-2007-40a2-8eb4-a67a7a0ffe69].[Date].[All]" dimensionUniqueName="[LocalDateTable_8c167247-2007-40a2-8eb4-a67a7a0ffe69]" displayFolder="" count="2" unbalanced="0" hidden="1"/>
    <cacheHierarchy uniqueName="[LocalDateTable_8c167247-2007-40a2-8eb4-a67a7a0ffe69].[Date Hierarchy]" caption="Date Hierarchy" defaultMemberUniqueName="[LocalDateTable_8c167247-2007-40a2-8eb4-a67a7a0ffe69].[Date Hierarchy].[All]" allUniqueName="[LocalDateTable_8c167247-2007-40a2-8eb4-a67a7a0ffe69].[Date Hierarchy].[All]" dimensionUniqueName="[LocalDateTable_8c167247-2007-40a2-8eb4-a67a7a0ffe69]" displayFolder="" count="5" unbalanced="0" hidden="1"/>
    <cacheHierarchy uniqueName="[LocalDateTable_8c167247-2007-40a2-8eb4-a67a7a0ffe69].[Day]" caption="Day" attribute="1" defaultMemberUniqueName="[LocalDateTable_8c167247-2007-40a2-8eb4-a67a7a0ffe69].[Day].[All]" allUniqueName="[LocalDateTable_8c167247-2007-40a2-8eb4-a67a7a0ffe69].[Day].[All]" dimensionUniqueName="[LocalDateTable_8c167247-2007-40a2-8eb4-a67a7a0ffe69]" displayFolder="" count="2" unbalanced="0" hidden="1"/>
    <cacheHierarchy uniqueName="[LocalDateTable_8c167247-2007-40a2-8eb4-a67a7a0ffe69].[Month]" caption="Month" attribute="1" defaultMemberUniqueName="[LocalDateTable_8c167247-2007-40a2-8eb4-a67a7a0ffe69].[Month].[All]" allUniqueName="[LocalDateTable_8c167247-2007-40a2-8eb4-a67a7a0ffe69].[Month].[All]" dimensionUniqueName="[LocalDateTable_8c167247-2007-40a2-8eb4-a67a7a0ffe69]" displayFolder="" count="2" unbalanced="0" hidden="1"/>
    <cacheHierarchy uniqueName="[LocalDateTable_8c167247-2007-40a2-8eb4-a67a7a0ffe69].[MonthNo]" caption="MonthNo" attribute="1" defaultMemberUniqueName="[LocalDateTable_8c167247-2007-40a2-8eb4-a67a7a0ffe69].[MonthNo].[All]" allUniqueName="[LocalDateTable_8c167247-2007-40a2-8eb4-a67a7a0ffe69].[MonthNo].[All]" dimensionUniqueName="[LocalDateTable_8c167247-2007-40a2-8eb4-a67a7a0ffe69]" displayFolder="" count="2" unbalanced="0" hidden="1"/>
    <cacheHierarchy uniqueName="[LocalDateTable_8c167247-2007-40a2-8eb4-a67a7a0ffe69].[Quarter]" caption="Quarter" attribute="1" defaultMemberUniqueName="[LocalDateTable_8c167247-2007-40a2-8eb4-a67a7a0ffe69].[Quarter].[All]" allUniqueName="[LocalDateTable_8c167247-2007-40a2-8eb4-a67a7a0ffe69].[Quarter].[All]" dimensionUniqueName="[LocalDateTable_8c167247-2007-40a2-8eb4-a67a7a0ffe69]" displayFolder="" count="2" unbalanced="0" hidden="1"/>
    <cacheHierarchy uniqueName="[LocalDateTable_8c167247-2007-40a2-8eb4-a67a7a0ffe69].[QuarterNo]" caption="QuarterNo" attribute="1" defaultMemberUniqueName="[LocalDateTable_8c167247-2007-40a2-8eb4-a67a7a0ffe69].[QuarterNo].[All]" allUniqueName="[LocalDateTable_8c167247-2007-40a2-8eb4-a67a7a0ffe69].[QuarterNo].[All]" dimensionUniqueName="[LocalDateTable_8c167247-2007-40a2-8eb4-a67a7a0ffe69]" displayFolder="" count="2" unbalanced="0" hidden="1"/>
    <cacheHierarchy uniqueName="[LocalDateTable_8c167247-2007-40a2-8eb4-a67a7a0ffe69].[Year]" caption="Year" attribute="1" defaultMemberUniqueName="[LocalDateTable_8c167247-2007-40a2-8eb4-a67a7a0ffe69].[Year].[All]" allUniqueName="[LocalDateTable_8c167247-2007-40a2-8eb4-a67a7a0ffe69].[Year].[All]" dimensionUniqueName="[LocalDateTable_8c167247-2007-40a2-8eb4-a67a7a0ffe69]" displayFolder="" count="2" unbalanced="0" hidden="1"/>
    <cacheHierarchy uniqueName="[LocalDateTable_8cc8371a-f4aa-43ae-ad3c-80e424f8db7b].[Date]" caption="Date" attribute="1" defaultMemberUniqueName="[LocalDateTable_8cc8371a-f4aa-43ae-ad3c-80e424f8db7b].[Date].[All]" allUniqueName="[LocalDateTable_8cc8371a-f4aa-43ae-ad3c-80e424f8db7b].[Date].[All]" dimensionUniqueName="[LocalDateTable_8cc8371a-f4aa-43ae-ad3c-80e424f8db7b]" displayFolder="" count="2" unbalanced="0" hidden="1"/>
    <cacheHierarchy uniqueName="[LocalDateTable_8cc8371a-f4aa-43ae-ad3c-80e424f8db7b].[Date Hierarchy]" caption="Date Hierarchy" defaultMemberUniqueName="[LocalDateTable_8cc8371a-f4aa-43ae-ad3c-80e424f8db7b].[Date Hierarchy].[All]" allUniqueName="[LocalDateTable_8cc8371a-f4aa-43ae-ad3c-80e424f8db7b].[Date Hierarchy].[All]" dimensionUniqueName="[LocalDateTable_8cc8371a-f4aa-43ae-ad3c-80e424f8db7b]" displayFolder="" count="5" unbalanced="0" hidden="1"/>
    <cacheHierarchy uniqueName="[LocalDateTable_8cc8371a-f4aa-43ae-ad3c-80e424f8db7b].[Day]" caption="Day" attribute="1" defaultMemberUniqueName="[LocalDateTable_8cc8371a-f4aa-43ae-ad3c-80e424f8db7b].[Day].[All]" allUniqueName="[LocalDateTable_8cc8371a-f4aa-43ae-ad3c-80e424f8db7b].[Day].[All]" dimensionUniqueName="[LocalDateTable_8cc8371a-f4aa-43ae-ad3c-80e424f8db7b]" displayFolder="" count="2" unbalanced="0" hidden="1"/>
    <cacheHierarchy uniqueName="[LocalDateTable_8cc8371a-f4aa-43ae-ad3c-80e424f8db7b].[Month]" caption="Month" attribute="1" defaultMemberUniqueName="[LocalDateTable_8cc8371a-f4aa-43ae-ad3c-80e424f8db7b].[Month].[All]" allUniqueName="[LocalDateTable_8cc8371a-f4aa-43ae-ad3c-80e424f8db7b].[Month].[All]" dimensionUniqueName="[LocalDateTable_8cc8371a-f4aa-43ae-ad3c-80e424f8db7b]" displayFolder="" count="2" unbalanced="0" hidden="1"/>
    <cacheHierarchy uniqueName="[LocalDateTable_8cc8371a-f4aa-43ae-ad3c-80e424f8db7b].[MonthNo]" caption="MonthNo" attribute="1" defaultMemberUniqueName="[LocalDateTable_8cc8371a-f4aa-43ae-ad3c-80e424f8db7b].[MonthNo].[All]" allUniqueName="[LocalDateTable_8cc8371a-f4aa-43ae-ad3c-80e424f8db7b].[MonthNo].[All]" dimensionUniqueName="[LocalDateTable_8cc8371a-f4aa-43ae-ad3c-80e424f8db7b]" displayFolder="" count="2" unbalanced="0" hidden="1"/>
    <cacheHierarchy uniqueName="[LocalDateTable_8cc8371a-f4aa-43ae-ad3c-80e424f8db7b].[Quarter]" caption="Quarter" attribute="1" defaultMemberUniqueName="[LocalDateTable_8cc8371a-f4aa-43ae-ad3c-80e424f8db7b].[Quarter].[All]" allUniqueName="[LocalDateTable_8cc8371a-f4aa-43ae-ad3c-80e424f8db7b].[Quarter].[All]" dimensionUniqueName="[LocalDateTable_8cc8371a-f4aa-43ae-ad3c-80e424f8db7b]" displayFolder="" count="2" unbalanced="0" hidden="1"/>
    <cacheHierarchy uniqueName="[LocalDateTable_8cc8371a-f4aa-43ae-ad3c-80e424f8db7b].[QuarterNo]" caption="QuarterNo" attribute="1" defaultMemberUniqueName="[LocalDateTable_8cc8371a-f4aa-43ae-ad3c-80e424f8db7b].[QuarterNo].[All]" allUniqueName="[LocalDateTable_8cc8371a-f4aa-43ae-ad3c-80e424f8db7b].[QuarterNo].[All]" dimensionUniqueName="[LocalDateTable_8cc8371a-f4aa-43ae-ad3c-80e424f8db7b]" displayFolder="" count="2" unbalanced="0" hidden="1"/>
    <cacheHierarchy uniqueName="[LocalDateTable_8cc8371a-f4aa-43ae-ad3c-80e424f8db7b].[Year]" caption="Year" attribute="1" defaultMemberUniqueName="[LocalDateTable_8cc8371a-f4aa-43ae-ad3c-80e424f8db7b].[Year].[All]" allUniqueName="[LocalDateTable_8cc8371a-f4aa-43ae-ad3c-80e424f8db7b].[Year].[All]" dimensionUniqueName="[LocalDateTable_8cc8371a-f4aa-43ae-ad3c-80e424f8db7b]" displayFolder="" count="2" unbalanced="0" hidden="1"/>
    <cacheHierarchy uniqueName="[LocalDateTable_a7bb61e7-fb22-4577-85f7-8202724a0cab].[Date]" caption="Date" attribute="1" defaultMemberUniqueName="[LocalDateTable_a7bb61e7-fb22-4577-85f7-8202724a0cab].[Date].[All]" allUniqueName="[LocalDateTable_a7bb61e7-fb22-4577-85f7-8202724a0cab].[Date].[All]" dimensionUniqueName="[LocalDateTable_a7bb61e7-fb22-4577-85f7-8202724a0cab]" displayFolder="" count="2" unbalanced="0" hidden="1"/>
    <cacheHierarchy uniqueName="[LocalDateTable_a7bb61e7-fb22-4577-85f7-8202724a0cab].[Date Hierarchy]" caption="Date Hierarchy" defaultMemberUniqueName="[LocalDateTable_a7bb61e7-fb22-4577-85f7-8202724a0cab].[Date Hierarchy].[All]" allUniqueName="[LocalDateTable_a7bb61e7-fb22-4577-85f7-8202724a0cab].[Date Hierarchy].[All]" dimensionUniqueName="[LocalDateTable_a7bb61e7-fb22-4577-85f7-8202724a0cab]" displayFolder="" count="5" unbalanced="0" hidden="1"/>
    <cacheHierarchy uniqueName="[LocalDateTable_a7bb61e7-fb22-4577-85f7-8202724a0cab].[Day]" caption="Day" attribute="1" defaultMemberUniqueName="[LocalDateTable_a7bb61e7-fb22-4577-85f7-8202724a0cab].[Day].[All]" allUniqueName="[LocalDateTable_a7bb61e7-fb22-4577-85f7-8202724a0cab].[Day].[All]" dimensionUniqueName="[LocalDateTable_a7bb61e7-fb22-4577-85f7-8202724a0cab]" displayFolder="" count="2" unbalanced="0" hidden="1"/>
    <cacheHierarchy uniqueName="[LocalDateTable_a7bb61e7-fb22-4577-85f7-8202724a0cab].[Month]" caption="Month" attribute="1" defaultMemberUniqueName="[LocalDateTable_a7bb61e7-fb22-4577-85f7-8202724a0cab].[Month].[All]" allUniqueName="[LocalDateTable_a7bb61e7-fb22-4577-85f7-8202724a0cab].[Month].[All]" dimensionUniqueName="[LocalDateTable_a7bb61e7-fb22-4577-85f7-8202724a0cab]" displayFolder="" count="2" unbalanced="0" hidden="1"/>
    <cacheHierarchy uniqueName="[LocalDateTable_a7bb61e7-fb22-4577-85f7-8202724a0cab].[MonthNo]" caption="MonthNo" attribute="1" defaultMemberUniqueName="[LocalDateTable_a7bb61e7-fb22-4577-85f7-8202724a0cab].[MonthNo].[All]" allUniqueName="[LocalDateTable_a7bb61e7-fb22-4577-85f7-8202724a0cab].[MonthNo].[All]" dimensionUniqueName="[LocalDateTable_a7bb61e7-fb22-4577-85f7-8202724a0cab]" displayFolder="" count="2" unbalanced="0" hidden="1"/>
    <cacheHierarchy uniqueName="[LocalDateTable_a7bb61e7-fb22-4577-85f7-8202724a0cab].[Quarter]" caption="Quarter" attribute="1" defaultMemberUniqueName="[LocalDateTable_a7bb61e7-fb22-4577-85f7-8202724a0cab].[Quarter].[All]" allUniqueName="[LocalDateTable_a7bb61e7-fb22-4577-85f7-8202724a0cab].[Quarter].[All]" dimensionUniqueName="[LocalDateTable_a7bb61e7-fb22-4577-85f7-8202724a0cab]" displayFolder="" count="2" unbalanced="0" hidden="1"/>
    <cacheHierarchy uniqueName="[LocalDateTable_a7bb61e7-fb22-4577-85f7-8202724a0cab].[QuarterNo]" caption="QuarterNo" attribute="1" defaultMemberUniqueName="[LocalDateTable_a7bb61e7-fb22-4577-85f7-8202724a0cab].[QuarterNo].[All]" allUniqueName="[LocalDateTable_a7bb61e7-fb22-4577-85f7-8202724a0cab].[QuarterNo].[All]" dimensionUniqueName="[LocalDateTable_a7bb61e7-fb22-4577-85f7-8202724a0cab]" displayFolder="" count="2" unbalanced="0" hidden="1"/>
    <cacheHierarchy uniqueName="[LocalDateTable_a7bb61e7-fb22-4577-85f7-8202724a0cab].[Year]" caption="Year" attribute="1" defaultMemberUniqueName="[LocalDateTable_a7bb61e7-fb22-4577-85f7-8202724a0cab].[Year].[All]" allUniqueName="[LocalDateTable_a7bb61e7-fb22-4577-85f7-8202724a0cab].[Year].[All]" dimensionUniqueName="[LocalDateTable_a7bb61e7-fb22-4577-85f7-8202724a0cab]" displayFolder="" count="2" unbalanced="0" hidden="1"/>
    <cacheHierarchy uniqueName="[LocalDateTable_ac50e709-a83e-40da-92b7-c09d4749ca90].[Date]" caption="Date" attribute="1" defaultMemberUniqueName="[LocalDateTable_ac50e709-a83e-40da-92b7-c09d4749ca90].[Date].[All]" allUniqueName="[LocalDateTable_ac50e709-a83e-40da-92b7-c09d4749ca90].[Date].[All]" dimensionUniqueName="[LocalDateTable_ac50e709-a83e-40da-92b7-c09d4749ca90]" displayFolder="" count="2" unbalanced="0" hidden="1"/>
    <cacheHierarchy uniqueName="[LocalDateTable_ac50e709-a83e-40da-92b7-c09d4749ca90].[Date Hierarchy]" caption="Date Hierarchy" defaultMemberUniqueName="[LocalDateTable_ac50e709-a83e-40da-92b7-c09d4749ca90].[Date Hierarchy].[All]" allUniqueName="[LocalDateTable_ac50e709-a83e-40da-92b7-c09d4749ca90].[Date Hierarchy].[All]" dimensionUniqueName="[LocalDateTable_ac50e709-a83e-40da-92b7-c09d4749ca90]" displayFolder="" count="5" unbalanced="0" hidden="1"/>
    <cacheHierarchy uniqueName="[LocalDateTable_ac50e709-a83e-40da-92b7-c09d4749ca90].[Day]" caption="Day" attribute="1" defaultMemberUniqueName="[LocalDateTable_ac50e709-a83e-40da-92b7-c09d4749ca90].[Day].[All]" allUniqueName="[LocalDateTable_ac50e709-a83e-40da-92b7-c09d4749ca90].[Day].[All]" dimensionUniqueName="[LocalDateTable_ac50e709-a83e-40da-92b7-c09d4749ca90]" displayFolder="" count="2" unbalanced="0" hidden="1"/>
    <cacheHierarchy uniqueName="[LocalDateTable_ac50e709-a83e-40da-92b7-c09d4749ca90].[Month]" caption="Month" attribute="1" defaultMemberUniqueName="[LocalDateTable_ac50e709-a83e-40da-92b7-c09d4749ca90].[Month].[All]" allUniqueName="[LocalDateTable_ac50e709-a83e-40da-92b7-c09d4749ca90].[Month].[All]" dimensionUniqueName="[LocalDateTable_ac50e709-a83e-40da-92b7-c09d4749ca90]" displayFolder="" count="2" unbalanced="0" hidden="1"/>
    <cacheHierarchy uniqueName="[LocalDateTable_ac50e709-a83e-40da-92b7-c09d4749ca90].[MonthNo]" caption="MonthNo" attribute="1" defaultMemberUniqueName="[LocalDateTable_ac50e709-a83e-40da-92b7-c09d4749ca90].[MonthNo].[All]" allUniqueName="[LocalDateTable_ac50e709-a83e-40da-92b7-c09d4749ca90].[MonthNo].[All]" dimensionUniqueName="[LocalDateTable_ac50e709-a83e-40da-92b7-c09d4749ca90]" displayFolder="" count="2" unbalanced="0" hidden="1"/>
    <cacheHierarchy uniqueName="[LocalDateTable_ac50e709-a83e-40da-92b7-c09d4749ca90].[Quarter]" caption="Quarter" attribute="1" defaultMemberUniqueName="[LocalDateTable_ac50e709-a83e-40da-92b7-c09d4749ca90].[Quarter].[All]" allUniqueName="[LocalDateTable_ac50e709-a83e-40da-92b7-c09d4749ca90].[Quarter].[All]" dimensionUniqueName="[LocalDateTable_ac50e709-a83e-40da-92b7-c09d4749ca90]" displayFolder="" count="2" unbalanced="0" hidden="1"/>
    <cacheHierarchy uniqueName="[LocalDateTable_ac50e709-a83e-40da-92b7-c09d4749ca90].[QuarterNo]" caption="QuarterNo" attribute="1" defaultMemberUniqueName="[LocalDateTable_ac50e709-a83e-40da-92b7-c09d4749ca90].[QuarterNo].[All]" allUniqueName="[LocalDateTable_ac50e709-a83e-40da-92b7-c09d4749ca90].[QuarterNo].[All]" dimensionUniqueName="[LocalDateTable_ac50e709-a83e-40da-92b7-c09d4749ca90]" displayFolder="" count="2" unbalanced="0" hidden="1"/>
    <cacheHierarchy uniqueName="[LocalDateTable_ac50e709-a83e-40da-92b7-c09d4749ca90].[Year]" caption="Year" attribute="1" defaultMemberUniqueName="[LocalDateTable_ac50e709-a83e-40da-92b7-c09d4749ca90].[Year].[All]" allUniqueName="[LocalDateTable_ac50e709-a83e-40da-92b7-c09d4749ca90].[Year].[All]" dimensionUniqueName="[LocalDateTable_ac50e709-a83e-40da-92b7-c09d4749ca90]" displayFolder="" count="2" unbalanced="0" hidden="1"/>
    <cacheHierarchy uniqueName="[LocalDateTable_b9674d41-7d4a-4bcc-9fba-60f51abd930f].[Date]" caption="Date" attribute="1" defaultMemberUniqueName="[LocalDateTable_b9674d41-7d4a-4bcc-9fba-60f51abd930f].[Date].[All]" allUniqueName="[LocalDateTable_b9674d41-7d4a-4bcc-9fba-60f51abd930f].[Date].[All]" dimensionUniqueName="[LocalDateTable_b9674d41-7d4a-4bcc-9fba-60f51abd930f]" displayFolder="" count="2" unbalanced="0" hidden="1"/>
    <cacheHierarchy uniqueName="[LocalDateTable_b9674d41-7d4a-4bcc-9fba-60f51abd930f].[Date Hierarchy]" caption="Date Hierarchy" defaultMemberUniqueName="[LocalDateTable_b9674d41-7d4a-4bcc-9fba-60f51abd930f].[Date Hierarchy].[All]" allUniqueName="[LocalDateTable_b9674d41-7d4a-4bcc-9fba-60f51abd930f].[Date Hierarchy].[All]" dimensionUniqueName="[LocalDateTable_b9674d41-7d4a-4bcc-9fba-60f51abd930f]" displayFolder="" count="5" unbalanced="0" hidden="1"/>
    <cacheHierarchy uniqueName="[LocalDateTable_b9674d41-7d4a-4bcc-9fba-60f51abd930f].[Day]" caption="Day" attribute="1" defaultMemberUniqueName="[LocalDateTable_b9674d41-7d4a-4bcc-9fba-60f51abd930f].[Day].[All]" allUniqueName="[LocalDateTable_b9674d41-7d4a-4bcc-9fba-60f51abd930f].[Day].[All]" dimensionUniqueName="[LocalDateTable_b9674d41-7d4a-4bcc-9fba-60f51abd930f]" displayFolder="" count="2" unbalanced="0" hidden="1"/>
    <cacheHierarchy uniqueName="[LocalDateTable_b9674d41-7d4a-4bcc-9fba-60f51abd930f].[Month]" caption="Month" attribute="1" defaultMemberUniqueName="[LocalDateTable_b9674d41-7d4a-4bcc-9fba-60f51abd930f].[Month].[All]" allUniqueName="[LocalDateTable_b9674d41-7d4a-4bcc-9fba-60f51abd930f].[Month].[All]" dimensionUniqueName="[LocalDateTable_b9674d41-7d4a-4bcc-9fba-60f51abd930f]" displayFolder="" count="2" unbalanced="0" hidden="1"/>
    <cacheHierarchy uniqueName="[LocalDateTable_b9674d41-7d4a-4bcc-9fba-60f51abd930f].[MonthNo]" caption="MonthNo" attribute="1" defaultMemberUniqueName="[LocalDateTable_b9674d41-7d4a-4bcc-9fba-60f51abd930f].[MonthNo].[All]" allUniqueName="[LocalDateTable_b9674d41-7d4a-4bcc-9fba-60f51abd930f].[MonthNo].[All]" dimensionUniqueName="[LocalDateTable_b9674d41-7d4a-4bcc-9fba-60f51abd930f]" displayFolder="" count="2" unbalanced="0" hidden="1"/>
    <cacheHierarchy uniqueName="[LocalDateTable_b9674d41-7d4a-4bcc-9fba-60f51abd930f].[Quarter]" caption="Quarter" attribute="1" defaultMemberUniqueName="[LocalDateTable_b9674d41-7d4a-4bcc-9fba-60f51abd930f].[Quarter].[All]" allUniqueName="[LocalDateTable_b9674d41-7d4a-4bcc-9fba-60f51abd930f].[Quarter].[All]" dimensionUniqueName="[LocalDateTable_b9674d41-7d4a-4bcc-9fba-60f51abd930f]" displayFolder="" count="2" unbalanced="0" hidden="1"/>
    <cacheHierarchy uniqueName="[LocalDateTable_b9674d41-7d4a-4bcc-9fba-60f51abd930f].[QuarterNo]" caption="QuarterNo" attribute="1" defaultMemberUniqueName="[LocalDateTable_b9674d41-7d4a-4bcc-9fba-60f51abd930f].[QuarterNo].[All]" allUniqueName="[LocalDateTable_b9674d41-7d4a-4bcc-9fba-60f51abd930f].[QuarterNo].[All]" dimensionUniqueName="[LocalDateTable_b9674d41-7d4a-4bcc-9fba-60f51abd930f]" displayFolder="" count="2" unbalanced="0" hidden="1"/>
    <cacheHierarchy uniqueName="[LocalDateTable_b9674d41-7d4a-4bcc-9fba-60f51abd930f].[Year]" caption="Year" attribute="1" defaultMemberUniqueName="[LocalDateTable_b9674d41-7d4a-4bcc-9fba-60f51abd930f].[Year].[All]" allUniqueName="[LocalDateTable_b9674d41-7d4a-4bcc-9fba-60f51abd930f].[Year].[All]" dimensionUniqueName="[LocalDateTable_b9674d41-7d4a-4bcc-9fba-60f51abd930f]" displayFolder="" count="2" unbalanced="0" hidden="1"/>
    <cacheHierarchy uniqueName="[LocalDateTable_c51bdc8f-f532-4538-8d59-a1f847d37fc7].[Date]" caption="Date" attribute="1" defaultMemberUniqueName="[LocalDateTable_c51bdc8f-f532-4538-8d59-a1f847d37fc7].[Date].[All]" allUniqueName="[LocalDateTable_c51bdc8f-f532-4538-8d59-a1f847d37fc7].[Date].[All]" dimensionUniqueName="[LocalDateTable_c51bdc8f-f532-4538-8d59-a1f847d37fc7]" displayFolder="" count="2" unbalanced="0" hidden="1"/>
    <cacheHierarchy uniqueName="[LocalDateTable_c51bdc8f-f532-4538-8d59-a1f847d37fc7].[Date Hierarchy]" caption="Date Hierarchy" defaultMemberUniqueName="[LocalDateTable_c51bdc8f-f532-4538-8d59-a1f847d37fc7].[Date Hierarchy].[All]" allUniqueName="[LocalDateTable_c51bdc8f-f532-4538-8d59-a1f847d37fc7].[Date Hierarchy].[All]" dimensionUniqueName="[LocalDateTable_c51bdc8f-f532-4538-8d59-a1f847d37fc7]" displayFolder="" count="5" unbalanced="0" hidden="1"/>
    <cacheHierarchy uniqueName="[LocalDateTable_c51bdc8f-f532-4538-8d59-a1f847d37fc7].[Day]" caption="Day" attribute="1" defaultMemberUniqueName="[LocalDateTable_c51bdc8f-f532-4538-8d59-a1f847d37fc7].[Day].[All]" allUniqueName="[LocalDateTable_c51bdc8f-f532-4538-8d59-a1f847d37fc7].[Day].[All]" dimensionUniqueName="[LocalDateTable_c51bdc8f-f532-4538-8d59-a1f847d37fc7]" displayFolder="" count="2" unbalanced="0" hidden="1"/>
    <cacheHierarchy uniqueName="[LocalDateTable_c51bdc8f-f532-4538-8d59-a1f847d37fc7].[Month]" caption="Month" attribute="1" defaultMemberUniqueName="[LocalDateTable_c51bdc8f-f532-4538-8d59-a1f847d37fc7].[Month].[All]" allUniqueName="[LocalDateTable_c51bdc8f-f532-4538-8d59-a1f847d37fc7].[Month].[All]" dimensionUniqueName="[LocalDateTable_c51bdc8f-f532-4538-8d59-a1f847d37fc7]" displayFolder="" count="2" unbalanced="0" hidden="1"/>
    <cacheHierarchy uniqueName="[LocalDateTable_c51bdc8f-f532-4538-8d59-a1f847d37fc7].[MonthNo]" caption="MonthNo" attribute="1" defaultMemberUniqueName="[LocalDateTable_c51bdc8f-f532-4538-8d59-a1f847d37fc7].[MonthNo].[All]" allUniqueName="[LocalDateTable_c51bdc8f-f532-4538-8d59-a1f847d37fc7].[MonthNo].[All]" dimensionUniqueName="[LocalDateTable_c51bdc8f-f532-4538-8d59-a1f847d37fc7]" displayFolder="" count="2" unbalanced="0" hidden="1"/>
    <cacheHierarchy uniqueName="[LocalDateTable_c51bdc8f-f532-4538-8d59-a1f847d37fc7].[Quarter]" caption="Quarter" attribute="1" defaultMemberUniqueName="[LocalDateTable_c51bdc8f-f532-4538-8d59-a1f847d37fc7].[Quarter].[All]" allUniqueName="[LocalDateTable_c51bdc8f-f532-4538-8d59-a1f847d37fc7].[Quarter].[All]" dimensionUniqueName="[LocalDateTable_c51bdc8f-f532-4538-8d59-a1f847d37fc7]" displayFolder="" count="2" unbalanced="0" hidden="1"/>
    <cacheHierarchy uniqueName="[LocalDateTable_c51bdc8f-f532-4538-8d59-a1f847d37fc7].[QuarterNo]" caption="QuarterNo" attribute="1" defaultMemberUniqueName="[LocalDateTable_c51bdc8f-f532-4538-8d59-a1f847d37fc7].[QuarterNo].[All]" allUniqueName="[LocalDateTable_c51bdc8f-f532-4538-8d59-a1f847d37fc7].[QuarterNo].[All]" dimensionUniqueName="[LocalDateTable_c51bdc8f-f532-4538-8d59-a1f847d37fc7]" displayFolder="" count="2" unbalanced="0" hidden="1"/>
    <cacheHierarchy uniqueName="[LocalDateTable_c51bdc8f-f532-4538-8d59-a1f847d37fc7].[Year]" caption="Year" attribute="1" defaultMemberUniqueName="[LocalDateTable_c51bdc8f-f532-4538-8d59-a1f847d37fc7].[Year].[All]" allUniqueName="[LocalDateTable_c51bdc8f-f532-4538-8d59-a1f847d37fc7].[Year].[All]" dimensionUniqueName="[LocalDateTable_c51bdc8f-f532-4538-8d59-a1f847d37fc7]" displayFolder="" count="2" unbalanced="0" hidden="1"/>
    <cacheHierarchy uniqueName="[LocalDateTable_cff06c49-b10f-4186-b8ce-801667abc242].[Date]" caption="Date" attribute="1" defaultMemberUniqueName="[LocalDateTable_cff06c49-b10f-4186-b8ce-801667abc242].[Date].[All]" allUniqueName="[LocalDateTable_cff06c49-b10f-4186-b8ce-801667abc242].[Date].[All]" dimensionUniqueName="[LocalDateTable_cff06c49-b10f-4186-b8ce-801667abc242]" displayFolder="" count="2" unbalanced="0" hidden="1"/>
    <cacheHierarchy uniqueName="[LocalDateTable_cff06c49-b10f-4186-b8ce-801667abc242].[Date Hierarchy]" caption="Date Hierarchy" defaultMemberUniqueName="[LocalDateTable_cff06c49-b10f-4186-b8ce-801667abc242].[Date Hierarchy].[All]" allUniqueName="[LocalDateTable_cff06c49-b10f-4186-b8ce-801667abc242].[Date Hierarchy].[All]" dimensionUniqueName="[LocalDateTable_cff06c49-b10f-4186-b8ce-801667abc242]" displayFolder="" count="5" unbalanced="0" hidden="1"/>
    <cacheHierarchy uniqueName="[LocalDateTable_cff06c49-b10f-4186-b8ce-801667abc242].[Day]" caption="Day" attribute="1" defaultMemberUniqueName="[LocalDateTable_cff06c49-b10f-4186-b8ce-801667abc242].[Day].[All]" allUniqueName="[LocalDateTable_cff06c49-b10f-4186-b8ce-801667abc242].[Day].[All]" dimensionUniqueName="[LocalDateTable_cff06c49-b10f-4186-b8ce-801667abc242]" displayFolder="" count="2" unbalanced="0" hidden="1"/>
    <cacheHierarchy uniqueName="[LocalDateTable_cff06c49-b10f-4186-b8ce-801667abc242].[Month]" caption="Month" attribute="1" defaultMemberUniqueName="[LocalDateTable_cff06c49-b10f-4186-b8ce-801667abc242].[Month].[All]" allUniqueName="[LocalDateTable_cff06c49-b10f-4186-b8ce-801667abc242].[Month].[All]" dimensionUniqueName="[LocalDateTable_cff06c49-b10f-4186-b8ce-801667abc242]" displayFolder="" count="2" unbalanced="0" hidden="1"/>
    <cacheHierarchy uniqueName="[LocalDateTable_cff06c49-b10f-4186-b8ce-801667abc242].[MonthNo]" caption="MonthNo" attribute="1" defaultMemberUniqueName="[LocalDateTable_cff06c49-b10f-4186-b8ce-801667abc242].[MonthNo].[All]" allUniqueName="[LocalDateTable_cff06c49-b10f-4186-b8ce-801667abc242].[MonthNo].[All]" dimensionUniqueName="[LocalDateTable_cff06c49-b10f-4186-b8ce-801667abc242]" displayFolder="" count="2" unbalanced="0" hidden="1"/>
    <cacheHierarchy uniqueName="[LocalDateTable_cff06c49-b10f-4186-b8ce-801667abc242].[Quarter]" caption="Quarter" attribute="1" defaultMemberUniqueName="[LocalDateTable_cff06c49-b10f-4186-b8ce-801667abc242].[Quarter].[All]" allUniqueName="[LocalDateTable_cff06c49-b10f-4186-b8ce-801667abc242].[Quarter].[All]" dimensionUniqueName="[LocalDateTable_cff06c49-b10f-4186-b8ce-801667abc242]" displayFolder="" count="2" unbalanced="0" hidden="1"/>
    <cacheHierarchy uniqueName="[LocalDateTable_cff06c49-b10f-4186-b8ce-801667abc242].[QuarterNo]" caption="QuarterNo" attribute="1" defaultMemberUniqueName="[LocalDateTable_cff06c49-b10f-4186-b8ce-801667abc242].[QuarterNo].[All]" allUniqueName="[LocalDateTable_cff06c49-b10f-4186-b8ce-801667abc242].[QuarterNo].[All]" dimensionUniqueName="[LocalDateTable_cff06c49-b10f-4186-b8ce-801667abc242]" displayFolder="" count="2" unbalanced="0" hidden="1"/>
    <cacheHierarchy uniqueName="[LocalDateTable_cff06c49-b10f-4186-b8ce-801667abc242].[Year]" caption="Year" attribute="1" defaultMemberUniqueName="[LocalDateTable_cff06c49-b10f-4186-b8ce-801667abc242].[Year].[All]" allUniqueName="[LocalDateTable_cff06c49-b10f-4186-b8ce-801667abc242].[Year].[All]" dimensionUniqueName="[LocalDateTable_cff06c49-b10f-4186-b8ce-801667abc242]" displayFolder="" count="2" unbalanced="0" hidden="1"/>
    <cacheHierarchy uniqueName="[LocalDateTable_d556de67-934a-4e60-b501-c142594d01f3].[Date]" caption="Date" attribute="1" defaultMemberUniqueName="[LocalDateTable_d556de67-934a-4e60-b501-c142594d01f3].[Date].[All]" allUniqueName="[LocalDateTable_d556de67-934a-4e60-b501-c142594d01f3].[Date].[All]" dimensionUniqueName="[LocalDateTable_d556de67-934a-4e60-b501-c142594d01f3]" displayFolder="" count="2" unbalanced="0" hidden="1"/>
    <cacheHierarchy uniqueName="[LocalDateTable_d556de67-934a-4e60-b501-c142594d01f3].[Date Hierarchy]" caption="Date Hierarchy" defaultMemberUniqueName="[LocalDateTable_d556de67-934a-4e60-b501-c142594d01f3].[Date Hierarchy].[All]" allUniqueName="[LocalDateTable_d556de67-934a-4e60-b501-c142594d01f3].[Date Hierarchy].[All]" dimensionUniqueName="[LocalDateTable_d556de67-934a-4e60-b501-c142594d01f3]" displayFolder="" count="5" unbalanced="0" hidden="1"/>
    <cacheHierarchy uniqueName="[LocalDateTable_d556de67-934a-4e60-b501-c142594d01f3].[Day]" caption="Day" attribute="1" defaultMemberUniqueName="[LocalDateTable_d556de67-934a-4e60-b501-c142594d01f3].[Day].[All]" allUniqueName="[LocalDateTable_d556de67-934a-4e60-b501-c142594d01f3].[Day].[All]" dimensionUniqueName="[LocalDateTable_d556de67-934a-4e60-b501-c142594d01f3]" displayFolder="" count="2" unbalanced="0" hidden="1"/>
    <cacheHierarchy uniqueName="[LocalDateTable_d556de67-934a-4e60-b501-c142594d01f3].[Month]" caption="Month" attribute="1" defaultMemberUniqueName="[LocalDateTable_d556de67-934a-4e60-b501-c142594d01f3].[Month].[All]" allUniqueName="[LocalDateTable_d556de67-934a-4e60-b501-c142594d01f3].[Month].[All]" dimensionUniqueName="[LocalDateTable_d556de67-934a-4e60-b501-c142594d01f3]" displayFolder="" count="2" unbalanced="0" hidden="1"/>
    <cacheHierarchy uniqueName="[LocalDateTable_d556de67-934a-4e60-b501-c142594d01f3].[MonthNo]" caption="MonthNo" attribute="1" defaultMemberUniqueName="[LocalDateTable_d556de67-934a-4e60-b501-c142594d01f3].[MonthNo].[All]" allUniqueName="[LocalDateTable_d556de67-934a-4e60-b501-c142594d01f3].[MonthNo].[All]" dimensionUniqueName="[LocalDateTable_d556de67-934a-4e60-b501-c142594d01f3]" displayFolder="" count="2" unbalanced="0" hidden="1"/>
    <cacheHierarchy uniqueName="[LocalDateTable_d556de67-934a-4e60-b501-c142594d01f3].[Quarter]" caption="Quarter" attribute="1" defaultMemberUniqueName="[LocalDateTable_d556de67-934a-4e60-b501-c142594d01f3].[Quarter].[All]" allUniqueName="[LocalDateTable_d556de67-934a-4e60-b501-c142594d01f3].[Quarter].[All]" dimensionUniqueName="[LocalDateTable_d556de67-934a-4e60-b501-c142594d01f3]" displayFolder="" count="2" unbalanced="0" hidden="1"/>
    <cacheHierarchy uniqueName="[LocalDateTable_d556de67-934a-4e60-b501-c142594d01f3].[QuarterNo]" caption="QuarterNo" attribute="1" defaultMemberUniqueName="[LocalDateTable_d556de67-934a-4e60-b501-c142594d01f3].[QuarterNo].[All]" allUniqueName="[LocalDateTable_d556de67-934a-4e60-b501-c142594d01f3].[QuarterNo].[All]" dimensionUniqueName="[LocalDateTable_d556de67-934a-4e60-b501-c142594d01f3]" displayFolder="" count="2" unbalanced="0" hidden="1"/>
    <cacheHierarchy uniqueName="[LocalDateTable_d556de67-934a-4e60-b501-c142594d01f3].[Year]" caption="Year" attribute="1" defaultMemberUniqueName="[LocalDateTable_d556de67-934a-4e60-b501-c142594d01f3].[Year].[All]" allUniqueName="[LocalDateTable_d556de67-934a-4e60-b501-c142594d01f3].[Year].[All]" dimensionUniqueName="[LocalDateTable_d556de67-934a-4e60-b501-c142594d01f3]" displayFolder="" count="2" unbalanced="0" hidden="1"/>
    <cacheHierarchy uniqueName="[LocalDateTable_db52efe7-f8a9-46be-907f-5a39fe4d61de].[Date]" caption="Date" attribute="1" defaultMemberUniqueName="[LocalDateTable_db52efe7-f8a9-46be-907f-5a39fe4d61de].[Date].[All]" allUniqueName="[LocalDateTable_db52efe7-f8a9-46be-907f-5a39fe4d61de].[Date].[All]" dimensionUniqueName="[LocalDateTable_db52efe7-f8a9-46be-907f-5a39fe4d61de]" displayFolder="" count="2" unbalanced="0" hidden="1"/>
    <cacheHierarchy uniqueName="[LocalDateTable_db52efe7-f8a9-46be-907f-5a39fe4d61de].[Date Hierarchy]" caption="Date Hierarchy" defaultMemberUniqueName="[LocalDateTable_db52efe7-f8a9-46be-907f-5a39fe4d61de].[Date Hierarchy].[All]" allUniqueName="[LocalDateTable_db52efe7-f8a9-46be-907f-5a39fe4d61de].[Date Hierarchy].[All]" dimensionUniqueName="[LocalDateTable_db52efe7-f8a9-46be-907f-5a39fe4d61de]" displayFolder="" count="5" unbalanced="0" hidden="1"/>
    <cacheHierarchy uniqueName="[LocalDateTable_db52efe7-f8a9-46be-907f-5a39fe4d61de].[Day]" caption="Day" attribute="1" defaultMemberUniqueName="[LocalDateTable_db52efe7-f8a9-46be-907f-5a39fe4d61de].[Day].[All]" allUniqueName="[LocalDateTable_db52efe7-f8a9-46be-907f-5a39fe4d61de].[Day].[All]" dimensionUniqueName="[LocalDateTable_db52efe7-f8a9-46be-907f-5a39fe4d61de]" displayFolder="" count="2" unbalanced="0" hidden="1"/>
    <cacheHierarchy uniqueName="[LocalDateTable_db52efe7-f8a9-46be-907f-5a39fe4d61de].[Month]" caption="Month" attribute="1" defaultMemberUniqueName="[LocalDateTable_db52efe7-f8a9-46be-907f-5a39fe4d61de].[Month].[All]" allUniqueName="[LocalDateTable_db52efe7-f8a9-46be-907f-5a39fe4d61de].[Month].[All]" dimensionUniqueName="[LocalDateTable_db52efe7-f8a9-46be-907f-5a39fe4d61de]" displayFolder="" count="2" unbalanced="0" hidden="1"/>
    <cacheHierarchy uniqueName="[LocalDateTable_db52efe7-f8a9-46be-907f-5a39fe4d61de].[MonthNo]" caption="MonthNo" attribute="1" defaultMemberUniqueName="[LocalDateTable_db52efe7-f8a9-46be-907f-5a39fe4d61de].[MonthNo].[All]" allUniqueName="[LocalDateTable_db52efe7-f8a9-46be-907f-5a39fe4d61de].[MonthNo].[All]" dimensionUniqueName="[LocalDateTable_db52efe7-f8a9-46be-907f-5a39fe4d61de]" displayFolder="" count="2" unbalanced="0" hidden="1"/>
    <cacheHierarchy uniqueName="[LocalDateTable_db52efe7-f8a9-46be-907f-5a39fe4d61de].[Quarter]" caption="Quarter" attribute="1" defaultMemberUniqueName="[LocalDateTable_db52efe7-f8a9-46be-907f-5a39fe4d61de].[Quarter].[All]" allUniqueName="[LocalDateTable_db52efe7-f8a9-46be-907f-5a39fe4d61de].[Quarter].[All]" dimensionUniqueName="[LocalDateTable_db52efe7-f8a9-46be-907f-5a39fe4d61de]" displayFolder="" count="2" unbalanced="0" hidden="1"/>
    <cacheHierarchy uniqueName="[LocalDateTable_db52efe7-f8a9-46be-907f-5a39fe4d61de].[QuarterNo]" caption="QuarterNo" attribute="1" defaultMemberUniqueName="[LocalDateTable_db52efe7-f8a9-46be-907f-5a39fe4d61de].[QuarterNo].[All]" allUniqueName="[LocalDateTable_db52efe7-f8a9-46be-907f-5a39fe4d61de].[QuarterNo].[All]" dimensionUniqueName="[LocalDateTable_db52efe7-f8a9-46be-907f-5a39fe4d61de]" displayFolder="" count="2" unbalanced="0" hidden="1"/>
    <cacheHierarchy uniqueName="[LocalDateTable_db52efe7-f8a9-46be-907f-5a39fe4d61de].[Year]" caption="Year" attribute="1" defaultMemberUniqueName="[LocalDateTable_db52efe7-f8a9-46be-907f-5a39fe4d61de].[Year].[All]" allUniqueName="[LocalDateTable_db52efe7-f8a9-46be-907f-5a39fe4d61de].[Year].[All]" dimensionUniqueName="[LocalDateTable_db52efe7-f8a9-46be-907f-5a39fe4d61de]" displayFolder="" count="2" unbalanced="0" hidden="1"/>
    <cacheHierarchy uniqueName="[LocalDateTable_df4bea45-32ed-442a-9234-aaca0cd7dbed].[Date]" caption="Date" attribute="1" defaultMemberUniqueName="[LocalDateTable_df4bea45-32ed-442a-9234-aaca0cd7dbed].[Date].[All]" allUniqueName="[LocalDateTable_df4bea45-32ed-442a-9234-aaca0cd7dbed].[Date].[All]" dimensionUniqueName="[LocalDateTable_df4bea45-32ed-442a-9234-aaca0cd7dbed]" displayFolder="" count="2" unbalanced="0" hidden="1"/>
    <cacheHierarchy uniqueName="[LocalDateTable_df4bea45-32ed-442a-9234-aaca0cd7dbed].[Date Hierarchy]" caption="Date Hierarchy" defaultMemberUniqueName="[LocalDateTable_df4bea45-32ed-442a-9234-aaca0cd7dbed].[Date Hierarchy].[All]" allUniqueName="[LocalDateTable_df4bea45-32ed-442a-9234-aaca0cd7dbed].[Date Hierarchy].[All]" dimensionUniqueName="[LocalDateTable_df4bea45-32ed-442a-9234-aaca0cd7dbed]" displayFolder="" count="5" unbalanced="0" hidden="1"/>
    <cacheHierarchy uniqueName="[LocalDateTable_df4bea45-32ed-442a-9234-aaca0cd7dbed].[Day]" caption="Day" attribute="1" defaultMemberUniqueName="[LocalDateTable_df4bea45-32ed-442a-9234-aaca0cd7dbed].[Day].[All]" allUniqueName="[LocalDateTable_df4bea45-32ed-442a-9234-aaca0cd7dbed].[Day].[All]" dimensionUniqueName="[LocalDateTable_df4bea45-32ed-442a-9234-aaca0cd7dbed]" displayFolder="" count="2" unbalanced="0" hidden="1"/>
    <cacheHierarchy uniqueName="[LocalDateTable_df4bea45-32ed-442a-9234-aaca0cd7dbed].[Month]" caption="Month" attribute="1" defaultMemberUniqueName="[LocalDateTable_df4bea45-32ed-442a-9234-aaca0cd7dbed].[Month].[All]" allUniqueName="[LocalDateTable_df4bea45-32ed-442a-9234-aaca0cd7dbed].[Month].[All]" dimensionUniqueName="[LocalDateTable_df4bea45-32ed-442a-9234-aaca0cd7dbed]" displayFolder="" count="2" unbalanced="0" hidden="1"/>
    <cacheHierarchy uniqueName="[LocalDateTable_df4bea45-32ed-442a-9234-aaca0cd7dbed].[MonthNo]" caption="MonthNo" attribute="1" defaultMemberUniqueName="[LocalDateTable_df4bea45-32ed-442a-9234-aaca0cd7dbed].[MonthNo].[All]" allUniqueName="[LocalDateTable_df4bea45-32ed-442a-9234-aaca0cd7dbed].[MonthNo].[All]" dimensionUniqueName="[LocalDateTable_df4bea45-32ed-442a-9234-aaca0cd7dbed]" displayFolder="" count="2" unbalanced="0" hidden="1"/>
    <cacheHierarchy uniqueName="[LocalDateTable_df4bea45-32ed-442a-9234-aaca0cd7dbed].[Quarter]" caption="Quarter" attribute="1" defaultMemberUniqueName="[LocalDateTable_df4bea45-32ed-442a-9234-aaca0cd7dbed].[Quarter].[All]" allUniqueName="[LocalDateTable_df4bea45-32ed-442a-9234-aaca0cd7dbed].[Quarter].[All]" dimensionUniqueName="[LocalDateTable_df4bea45-32ed-442a-9234-aaca0cd7dbed]" displayFolder="" count="2" unbalanced="0" hidden="1"/>
    <cacheHierarchy uniqueName="[LocalDateTable_df4bea45-32ed-442a-9234-aaca0cd7dbed].[QuarterNo]" caption="QuarterNo" attribute="1" defaultMemberUniqueName="[LocalDateTable_df4bea45-32ed-442a-9234-aaca0cd7dbed].[QuarterNo].[All]" allUniqueName="[LocalDateTable_df4bea45-32ed-442a-9234-aaca0cd7dbed].[QuarterNo].[All]" dimensionUniqueName="[LocalDateTable_df4bea45-32ed-442a-9234-aaca0cd7dbed]" displayFolder="" count="2" unbalanced="0" hidden="1"/>
    <cacheHierarchy uniqueName="[LocalDateTable_df4bea45-32ed-442a-9234-aaca0cd7dbed].[Year]" caption="Year" attribute="1" defaultMemberUniqueName="[LocalDateTable_df4bea45-32ed-442a-9234-aaca0cd7dbed].[Year].[All]" allUniqueName="[LocalDateTable_df4bea45-32ed-442a-9234-aaca0cd7dbed].[Year].[All]" dimensionUniqueName="[LocalDateTable_df4bea45-32ed-442a-9234-aaca0cd7dbed]" displayFolder="" count="2" unbalanced="0" hidden="1"/>
    <cacheHierarchy uniqueName="[LocalDateTable_e409a5bd-3c62-4a3a-96e8-e678b497145f].[Date]" caption="Date" attribute="1" defaultMemberUniqueName="[LocalDateTable_e409a5bd-3c62-4a3a-96e8-e678b497145f].[Date].[All]" allUniqueName="[LocalDateTable_e409a5bd-3c62-4a3a-96e8-e678b497145f].[Date].[All]" dimensionUniqueName="[LocalDateTable_e409a5bd-3c62-4a3a-96e8-e678b497145f]" displayFolder="" count="2" unbalanced="0" hidden="1"/>
    <cacheHierarchy uniqueName="[LocalDateTable_e409a5bd-3c62-4a3a-96e8-e678b497145f].[Date Hierarchy]" caption="Date Hierarchy" defaultMemberUniqueName="[LocalDateTable_e409a5bd-3c62-4a3a-96e8-e678b497145f].[Date Hierarchy].[All]" allUniqueName="[LocalDateTable_e409a5bd-3c62-4a3a-96e8-e678b497145f].[Date Hierarchy].[All]" dimensionUniqueName="[LocalDateTable_e409a5bd-3c62-4a3a-96e8-e678b497145f]" displayFolder="" count="5" unbalanced="0" hidden="1"/>
    <cacheHierarchy uniqueName="[LocalDateTable_e409a5bd-3c62-4a3a-96e8-e678b497145f].[Day]" caption="Day" attribute="1" defaultMemberUniqueName="[LocalDateTable_e409a5bd-3c62-4a3a-96e8-e678b497145f].[Day].[All]" allUniqueName="[LocalDateTable_e409a5bd-3c62-4a3a-96e8-e678b497145f].[Day].[All]" dimensionUniqueName="[LocalDateTable_e409a5bd-3c62-4a3a-96e8-e678b497145f]" displayFolder="" count="2" unbalanced="0" hidden="1"/>
    <cacheHierarchy uniqueName="[LocalDateTable_e409a5bd-3c62-4a3a-96e8-e678b497145f].[Month]" caption="Month" attribute="1" defaultMemberUniqueName="[LocalDateTable_e409a5bd-3c62-4a3a-96e8-e678b497145f].[Month].[All]" allUniqueName="[LocalDateTable_e409a5bd-3c62-4a3a-96e8-e678b497145f].[Month].[All]" dimensionUniqueName="[LocalDateTable_e409a5bd-3c62-4a3a-96e8-e678b497145f]" displayFolder="" count="2" unbalanced="0" hidden="1"/>
    <cacheHierarchy uniqueName="[LocalDateTable_e409a5bd-3c62-4a3a-96e8-e678b497145f].[MonthNo]" caption="MonthNo" attribute="1" defaultMemberUniqueName="[LocalDateTable_e409a5bd-3c62-4a3a-96e8-e678b497145f].[MonthNo].[All]" allUniqueName="[LocalDateTable_e409a5bd-3c62-4a3a-96e8-e678b497145f].[MonthNo].[All]" dimensionUniqueName="[LocalDateTable_e409a5bd-3c62-4a3a-96e8-e678b497145f]" displayFolder="" count="2" unbalanced="0" hidden="1"/>
    <cacheHierarchy uniqueName="[LocalDateTable_e409a5bd-3c62-4a3a-96e8-e678b497145f].[Quarter]" caption="Quarter" attribute="1" defaultMemberUniqueName="[LocalDateTable_e409a5bd-3c62-4a3a-96e8-e678b497145f].[Quarter].[All]" allUniqueName="[LocalDateTable_e409a5bd-3c62-4a3a-96e8-e678b497145f].[Quarter].[All]" dimensionUniqueName="[LocalDateTable_e409a5bd-3c62-4a3a-96e8-e678b497145f]" displayFolder="" count="2" unbalanced="0" hidden="1"/>
    <cacheHierarchy uniqueName="[LocalDateTable_e409a5bd-3c62-4a3a-96e8-e678b497145f].[QuarterNo]" caption="QuarterNo" attribute="1" defaultMemberUniqueName="[LocalDateTable_e409a5bd-3c62-4a3a-96e8-e678b497145f].[QuarterNo].[All]" allUniqueName="[LocalDateTable_e409a5bd-3c62-4a3a-96e8-e678b497145f].[QuarterNo].[All]" dimensionUniqueName="[LocalDateTable_e409a5bd-3c62-4a3a-96e8-e678b497145f]" displayFolder="" count="2" unbalanced="0" hidden="1"/>
    <cacheHierarchy uniqueName="[LocalDateTable_e409a5bd-3c62-4a3a-96e8-e678b497145f].[Year]" caption="Year" attribute="1" defaultMemberUniqueName="[LocalDateTable_e409a5bd-3c62-4a3a-96e8-e678b497145f].[Year].[All]" allUniqueName="[LocalDateTable_e409a5bd-3c62-4a3a-96e8-e678b497145f].[Year].[All]" dimensionUniqueName="[LocalDateTable_e409a5bd-3c62-4a3a-96e8-e678b497145f]" displayFolder="" count="2" unbalanced="0" hidden="1"/>
    <cacheHierarchy uniqueName="[LocalDateTable_e58b0157-2556-4b79-a8ed-879543e961ff].[Date]" caption="Date" attribute="1" defaultMemberUniqueName="[LocalDateTable_e58b0157-2556-4b79-a8ed-879543e961ff].[Date].[All]" allUniqueName="[LocalDateTable_e58b0157-2556-4b79-a8ed-879543e961ff].[Date].[All]" dimensionUniqueName="[LocalDateTable_e58b0157-2556-4b79-a8ed-879543e961ff]" displayFolder="" count="2" unbalanced="0" hidden="1"/>
    <cacheHierarchy uniqueName="[LocalDateTable_e58b0157-2556-4b79-a8ed-879543e961ff].[Date Hierarchy]" caption="Date Hierarchy" defaultMemberUniqueName="[LocalDateTable_e58b0157-2556-4b79-a8ed-879543e961ff].[Date Hierarchy].[All]" allUniqueName="[LocalDateTable_e58b0157-2556-4b79-a8ed-879543e961ff].[Date Hierarchy].[All]" dimensionUniqueName="[LocalDateTable_e58b0157-2556-4b79-a8ed-879543e961ff]" displayFolder="" count="5" unbalanced="0" hidden="1"/>
    <cacheHierarchy uniqueName="[LocalDateTable_e58b0157-2556-4b79-a8ed-879543e961ff].[Day]" caption="Day" attribute="1" defaultMemberUniqueName="[LocalDateTable_e58b0157-2556-4b79-a8ed-879543e961ff].[Day].[All]" allUniqueName="[LocalDateTable_e58b0157-2556-4b79-a8ed-879543e961ff].[Day].[All]" dimensionUniqueName="[LocalDateTable_e58b0157-2556-4b79-a8ed-879543e961ff]" displayFolder="" count="2" unbalanced="0" hidden="1"/>
    <cacheHierarchy uniqueName="[LocalDateTable_e58b0157-2556-4b79-a8ed-879543e961ff].[Month]" caption="Month" attribute="1" defaultMemberUniqueName="[LocalDateTable_e58b0157-2556-4b79-a8ed-879543e961ff].[Month].[All]" allUniqueName="[LocalDateTable_e58b0157-2556-4b79-a8ed-879543e961ff].[Month].[All]" dimensionUniqueName="[LocalDateTable_e58b0157-2556-4b79-a8ed-879543e961ff]" displayFolder="" count="2" unbalanced="0" hidden="1"/>
    <cacheHierarchy uniqueName="[LocalDateTable_e58b0157-2556-4b79-a8ed-879543e961ff].[MonthNo]" caption="MonthNo" attribute="1" defaultMemberUniqueName="[LocalDateTable_e58b0157-2556-4b79-a8ed-879543e961ff].[MonthNo].[All]" allUniqueName="[LocalDateTable_e58b0157-2556-4b79-a8ed-879543e961ff].[MonthNo].[All]" dimensionUniqueName="[LocalDateTable_e58b0157-2556-4b79-a8ed-879543e961ff]" displayFolder="" count="2" unbalanced="0" hidden="1"/>
    <cacheHierarchy uniqueName="[LocalDateTable_e58b0157-2556-4b79-a8ed-879543e961ff].[Quarter]" caption="Quarter" attribute="1" defaultMemberUniqueName="[LocalDateTable_e58b0157-2556-4b79-a8ed-879543e961ff].[Quarter].[All]" allUniqueName="[LocalDateTable_e58b0157-2556-4b79-a8ed-879543e961ff].[Quarter].[All]" dimensionUniqueName="[LocalDateTable_e58b0157-2556-4b79-a8ed-879543e961ff]" displayFolder="" count="2" unbalanced="0" hidden="1"/>
    <cacheHierarchy uniqueName="[LocalDateTable_e58b0157-2556-4b79-a8ed-879543e961ff].[QuarterNo]" caption="QuarterNo" attribute="1" defaultMemberUniqueName="[LocalDateTable_e58b0157-2556-4b79-a8ed-879543e961ff].[QuarterNo].[All]" allUniqueName="[LocalDateTable_e58b0157-2556-4b79-a8ed-879543e961ff].[QuarterNo].[All]" dimensionUniqueName="[LocalDateTable_e58b0157-2556-4b79-a8ed-879543e961ff]" displayFolder="" count="2" unbalanced="0" hidden="1"/>
    <cacheHierarchy uniqueName="[LocalDateTable_e58b0157-2556-4b79-a8ed-879543e961ff].[Year]" caption="Year" attribute="1" defaultMemberUniqueName="[LocalDateTable_e58b0157-2556-4b79-a8ed-879543e961ff].[Year].[All]" allUniqueName="[LocalDateTable_e58b0157-2556-4b79-a8ed-879543e961ff].[Year].[All]" dimensionUniqueName="[LocalDateTable_e58b0157-2556-4b79-a8ed-879543e961ff]" displayFolder="" count="2" unbalanced="0" hidden="1"/>
    <cacheHierarchy uniqueName="[LocalDateTable_e8334bd5-1849-42af-8c91-b9cab54e5872].[Date]" caption="Date" attribute="1" defaultMemberUniqueName="[LocalDateTable_e8334bd5-1849-42af-8c91-b9cab54e5872].[Date].[All]" allUniqueName="[LocalDateTable_e8334bd5-1849-42af-8c91-b9cab54e5872].[Date].[All]" dimensionUniqueName="[LocalDateTable_e8334bd5-1849-42af-8c91-b9cab54e5872]" displayFolder="" count="2" unbalanced="0" hidden="1"/>
    <cacheHierarchy uniqueName="[LocalDateTable_e8334bd5-1849-42af-8c91-b9cab54e5872].[Date Hierarchy]" caption="Date Hierarchy" defaultMemberUniqueName="[LocalDateTable_e8334bd5-1849-42af-8c91-b9cab54e5872].[Date Hierarchy].[All]" allUniqueName="[LocalDateTable_e8334bd5-1849-42af-8c91-b9cab54e5872].[Date Hierarchy].[All]" dimensionUniqueName="[LocalDateTable_e8334bd5-1849-42af-8c91-b9cab54e5872]" displayFolder="" count="5" unbalanced="0" hidden="1"/>
    <cacheHierarchy uniqueName="[LocalDateTable_e8334bd5-1849-42af-8c91-b9cab54e5872].[Day]" caption="Day" attribute="1" defaultMemberUniqueName="[LocalDateTable_e8334bd5-1849-42af-8c91-b9cab54e5872].[Day].[All]" allUniqueName="[LocalDateTable_e8334bd5-1849-42af-8c91-b9cab54e5872].[Day].[All]" dimensionUniqueName="[LocalDateTable_e8334bd5-1849-42af-8c91-b9cab54e5872]" displayFolder="" count="2" unbalanced="0" hidden="1"/>
    <cacheHierarchy uniqueName="[LocalDateTable_e8334bd5-1849-42af-8c91-b9cab54e5872].[Month]" caption="Month" attribute="1" defaultMemberUniqueName="[LocalDateTable_e8334bd5-1849-42af-8c91-b9cab54e5872].[Month].[All]" allUniqueName="[LocalDateTable_e8334bd5-1849-42af-8c91-b9cab54e5872].[Month].[All]" dimensionUniqueName="[LocalDateTable_e8334bd5-1849-42af-8c91-b9cab54e5872]" displayFolder="" count="2" unbalanced="0" hidden="1"/>
    <cacheHierarchy uniqueName="[LocalDateTable_e8334bd5-1849-42af-8c91-b9cab54e5872].[MonthNo]" caption="MonthNo" attribute="1" defaultMemberUniqueName="[LocalDateTable_e8334bd5-1849-42af-8c91-b9cab54e5872].[MonthNo].[All]" allUniqueName="[LocalDateTable_e8334bd5-1849-42af-8c91-b9cab54e5872].[MonthNo].[All]" dimensionUniqueName="[LocalDateTable_e8334bd5-1849-42af-8c91-b9cab54e5872]" displayFolder="" count="2" unbalanced="0" hidden="1"/>
    <cacheHierarchy uniqueName="[LocalDateTable_e8334bd5-1849-42af-8c91-b9cab54e5872].[Quarter]" caption="Quarter" attribute="1" defaultMemberUniqueName="[LocalDateTable_e8334bd5-1849-42af-8c91-b9cab54e5872].[Quarter].[All]" allUniqueName="[LocalDateTable_e8334bd5-1849-42af-8c91-b9cab54e5872].[Quarter].[All]" dimensionUniqueName="[LocalDateTable_e8334bd5-1849-42af-8c91-b9cab54e5872]" displayFolder="" count="2" unbalanced="0" hidden="1"/>
    <cacheHierarchy uniqueName="[LocalDateTable_e8334bd5-1849-42af-8c91-b9cab54e5872].[QuarterNo]" caption="QuarterNo" attribute="1" defaultMemberUniqueName="[LocalDateTable_e8334bd5-1849-42af-8c91-b9cab54e5872].[QuarterNo].[All]" allUniqueName="[LocalDateTable_e8334bd5-1849-42af-8c91-b9cab54e5872].[QuarterNo].[All]" dimensionUniqueName="[LocalDateTable_e8334bd5-1849-42af-8c91-b9cab54e5872]" displayFolder="" count="2" unbalanced="0" hidden="1"/>
    <cacheHierarchy uniqueName="[LocalDateTable_e8334bd5-1849-42af-8c91-b9cab54e5872].[Year]" caption="Year" attribute="1" defaultMemberUniqueName="[LocalDateTable_e8334bd5-1849-42af-8c91-b9cab54e5872].[Year].[All]" allUniqueName="[LocalDateTable_e8334bd5-1849-42af-8c91-b9cab54e5872].[Year].[All]" dimensionUniqueName="[LocalDateTable_e8334bd5-1849-42af-8c91-b9cab54e5872]" displayFolder="" count="2" unbalanced="0" hidden="1"/>
    <cacheHierarchy uniqueName="[LocalDateTable_f81f1f13-e082-4d44-ba64-a484e005f2af].[Date]" caption="Date" attribute="1" defaultMemberUniqueName="[LocalDateTable_f81f1f13-e082-4d44-ba64-a484e005f2af].[Date].[All]" allUniqueName="[LocalDateTable_f81f1f13-e082-4d44-ba64-a484e005f2af].[Date].[All]" dimensionUniqueName="[LocalDateTable_f81f1f13-e082-4d44-ba64-a484e005f2af]" displayFolder="" count="2" unbalanced="0" hidden="1"/>
    <cacheHierarchy uniqueName="[LocalDateTable_f81f1f13-e082-4d44-ba64-a484e005f2af].[Date Hierarchy]" caption="Date Hierarchy" defaultMemberUniqueName="[LocalDateTable_f81f1f13-e082-4d44-ba64-a484e005f2af].[Date Hierarchy].[All]" allUniqueName="[LocalDateTable_f81f1f13-e082-4d44-ba64-a484e005f2af].[Date Hierarchy].[All]" dimensionUniqueName="[LocalDateTable_f81f1f13-e082-4d44-ba64-a484e005f2af]" displayFolder="" count="5" unbalanced="0" hidden="1"/>
    <cacheHierarchy uniqueName="[LocalDateTable_f81f1f13-e082-4d44-ba64-a484e005f2af].[Day]" caption="Day" attribute="1" defaultMemberUniqueName="[LocalDateTable_f81f1f13-e082-4d44-ba64-a484e005f2af].[Day].[All]" allUniqueName="[LocalDateTable_f81f1f13-e082-4d44-ba64-a484e005f2af].[Day].[All]" dimensionUniqueName="[LocalDateTable_f81f1f13-e082-4d44-ba64-a484e005f2af]" displayFolder="" count="2" unbalanced="0" hidden="1"/>
    <cacheHierarchy uniqueName="[LocalDateTable_f81f1f13-e082-4d44-ba64-a484e005f2af].[Month]" caption="Month" attribute="1" defaultMemberUniqueName="[LocalDateTable_f81f1f13-e082-4d44-ba64-a484e005f2af].[Month].[All]" allUniqueName="[LocalDateTable_f81f1f13-e082-4d44-ba64-a484e005f2af].[Month].[All]" dimensionUniqueName="[LocalDateTable_f81f1f13-e082-4d44-ba64-a484e005f2af]" displayFolder="" count="2" unbalanced="0" hidden="1"/>
    <cacheHierarchy uniqueName="[LocalDateTable_f81f1f13-e082-4d44-ba64-a484e005f2af].[MonthNo]" caption="MonthNo" attribute="1" defaultMemberUniqueName="[LocalDateTable_f81f1f13-e082-4d44-ba64-a484e005f2af].[MonthNo].[All]" allUniqueName="[LocalDateTable_f81f1f13-e082-4d44-ba64-a484e005f2af].[MonthNo].[All]" dimensionUniqueName="[LocalDateTable_f81f1f13-e082-4d44-ba64-a484e005f2af]" displayFolder="" count="2" unbalanced="0" hidden="1"/>
    <cacheHierarchy uniqueName="[LocalDateTable_f81f1f13-e082-4d44-ba64-a484e005f2af].[Quarter]" caption="Quarter" attribute="1" defaultMemberUniqueName="[LocalDateTable_f81f1f13-e082-4d44-ba64-a484e005f2af].[Quarter].[All]" allUniqueName="[LocalDateTable_f81f1f13-e082-4d44-ba64-a484e005f2af].[Quarter].[All]" dimensionUniqueName="[LocalDateTable_f81f1f13-e082-4d44-ba64-a484e005f2af]" displayFolder="" count="2" unbalanced="0" hidden="1"/>
    <cacheHierarchy uniqueName="[LocalDateTable_f81f1f13-e082-4d44-ba64-a484e005f2af].[QuarterNo]" caption="QuarterNo" attribute="1" defaultMemberUniqueName="[LocalDateTable_f81f1f13-e082-4d44-ba64-a484e005f2af].[QuarterNo].[All]" allUniqueName="[LocalDateTable_f81f1f13-e082-4d44-ba64-a484e005f2af].[QuarterNo].[All]" dimensionUniqueName="[LocalDateTable_f81f1f13-e082-4d44-ba64-a484e005f2af]" displayFolder="" count="2" unbalanced="0" hidden="1"/>
    <cacheHierarchy uniqueName="[LocalDateTable_f81f1f13-e082-4d44-ba64-a484e005f2af].[Year]" caption="Year" attribute="1" defaultMemberUniqueName="[LocalDateTable_f81f1f13-e082-4d44-ba64-a484e005f2af].[Year].[All]" allUniqueName="[LocalDateTable_f81f1f13-e082-4d44-ba64-a484e005f2af].[Year].[All]" dimensionUniqueName="[LocalDateTable_f81f1f13-e082-4d44-ba64-a484e005f2af]" displayFolder="" count="2" unbalanced="0" hidden="1"/>
    <cacheHierarchy uniqueName="[Measures].[MMS_01_31]" caption="MMS_01_31" measure="1" displayFolder="" measureGroup="_Measures" count="0"/>
    <cacheHierarchy uniqueName="[Measures].[SDI_00_07]" caption="SDI_00_07" measure="1" displayFolder="" measureGroup="_Measures" count="0"/>
    <cacheHierarchy uniqueName="[Measures].[SDI_08_14]" caption="SDI_08_14" measure="1" displayFolder="" measureGroup="_Measures" count="0"/>
    <cacheHierarchy uniqueName="[Measures].[SDI_15+]" caption="SDI_15+" measure="1" displayFolder="" measureGroup="_Measures" count="0"/>
    <cacheHierarchy uniqueName="[Measures].[TX_NEW]" caption="TX_NEW" measure="1" displayFolder="" measureGroup="_Measures" count="0"/>
    <cacheHierarchy uniqueName="[Measures].[Patients Started on ART]" caption="Patients Started on ART" measure="1" displayFolder="" measureGroup="_Measures" count="0"/>
    <cacheHierarchy uniqueName="[Measures].[HVL_D]" caption="HVL_D" measure="1" displayFolder="" measureGroup="_Measures" count="0"/>
    <cacheHierarchy uniqueName="[Measures].[HVL_N]" caption="HVL_N" measure="1" displayFolder="" measureGroup="_Measures" count="0"/>
    <cacheHierarchy uniqueName="[Measures].[TX_CURR]" caption="TX_CURR" measure="1" displayFolder="" measureGroup="_Measures" count="0"/>
    <cacheHierarchy uniqueName="[Measures].[TX_NEW_2VIS]" caption="TX_NEW_2VIS" measure="1" displayFolder="" measureGroup="_Measures" count="0"/>
    <cacheHierarchy uniqueName="[Measures].[HVL_ELIG]" caption="HVL_ELIG" measure="1" displayFolder="" measureGroup="_Measures" count="0"/>
    <cacheHierarchy uniqueName="[Measures].[TX_NEW minus t_txnew]" caption="TX_NEW minus t_txnew" measure="1" displayFolder="Differences" measureGroup="_Measures" count="0"/>
    <cacheHierarchy uniqueName="[Measures].[TX_NEW_2VIS minus t_txnew_2vis]" caption="TX_NEW_2VIS minus t_txnew_2vis" measure="1" displayFolder="Differences" measureGroup="_Measures" count="0"/>
    <cacheHierarchy uniqueName="[Measures].[SDI_00_07 minus art_u8]" caption="SDI_00_07 minus art_u8" measure="1" displayFolder="Differences" measureGroup="_Measures" count="0"/>
    <cacheHierarchy uniqueName="[Measures].[SDI_15+ minus art_o15d]" caption="SDI_15+ minus art_o15d" measure="1" displayFolder="Differences" measureGroup="_Measures" count="0"/>
    <cacheHierarchy uniqueName="[Measures].[SDI_08_14 minus art_814d]" caption="SDI_08_14 minus art_814d" measure="1" displayFolder="Differences" measureGroup="_Measures" count="0"/>
    <cacheHierarchy uniqueName="[Measures].[MMS_01_31 minus mmp_1m]" caption="MMS_01_31 minus mmp_1m" measure="1" displayFolder="Differences" measureGroup="_Measures" count="0"/>
    <cacheHierarchy uniqueName="[Measures].[HVL_D minus hvl_d]" caption="HVL_D minus hvl_d" measure="1" displayFolder="Differences" measureGroup="_Measures" count="0"/>
    <cacheHierarchy uniqueName="[Measures].[HVL_N minus hvl_u1k_n]" caption="HVL_N minus hvl_u1k_n" measure="1" displayFolder="Differences" measureGroup="_Measures" count="0"/>
    <cacheHierarchy uniqueName="[Measures].[TX_TB_N minus tbprev_n]" caption="TX_TB_N minus tbprev_n" measure="1" displayFolder="Differences" measureGroup="_Measures" count="0"/>
    <cacheHierarchy uniqueName="[Measures].[TX_TB_D minus tbprev_d]" caption="TX_TB_D minus tbprev_d" measure="1" displayFolder="Differences" measureGroup="_Measures" count="0"/>
    <cacheHierarchy uniqueName="[Measures].[DIED]" caption="DIED" measure="1" displayFolder="" measureGroup="_Measures" count="0"/>
    <cacheHierarchy uniqueName="[Measures].[DIED minus died]" caption="DIED minus died" measure="1" displayFolder="Differences" measureGroup="_Measures" count="0"/>
    <cacheHierarchy uniqueName="[Measures].[TI]" caption="TI" measure="1" displayFolder="" measureGroup="_Measures" count="0"/>
    <cacheHierarchy uniqueName="[Measures].[TI minus TI]" caption="TI minus TI" measure="1" displayFolder="Differences" measureGroup="_Measures" count="0"/>
    <cacheHierarchy uniqueName="[Measures].[TO]" caption="TO" measure="1" displayFolder="" measureGroup="_Measures" count="0"/>
    <cacheHierarchy uniqueName="[Measures].[TO minus TO]" caption="TO minus TO" measure="1" displayFolder="Differences" measureGroup="_Measures" count="0"/>
    <cacheHierarchy uniqueName="[Measures].[TX_CURR_PRIOR_MONTH]" caption="TX_CURR_PRIOR_MONTH" measure="1" displayFolder="" measureGroup="_Measures" count="0"/>
    <cacheHierarchy uniqueName="[Measures].[TX_CURR minus t_txcurr_thism]" caption="TX_CURR minus t_txcurr_thism" measure="1" displayFolder="Differences" measureGroup="_Measures" count="0"/>
    <cacheHierarchy uniqueName="[Measures].[HVL_ELIG minus hvlelig]" caption="HVL_ELIG minus hvlelig" measure="1" displayFolder="Differences" measureGroup="_Measures" count="0"/>
    <cacheHierarchy uniqueName="[Measures].[MMS_32_62 minus mmp_2m]" caption="MMS_32_62 minus mmp_2m" measure="1" displayFolder="Differences" measureGroup="_Measures" count="0"/>
    <cacheHierarchy uniqueName="[Measures].[MMS_63+ minus mmp_3m]" caption="MMS_63+ minus mmp_3m" measure="1" displayFolder="Differences" measureGroup="_Measures" count="0"/>
    <cacheHierarchy uniqueName="[Measures].[MMS_32_62]" caption="MMS_32_62" measure="1" displayFolder="" measureGroup="_Measures" count="0"/>
    <cacheHierarchy uniqueName="[Measures].[MMS_63+]" caption="MMS_63+" measure="1" displayFolder="" measureGroup="_Measures" count="0"/>
    <cacheHierarchy uniqueName="[Measures].[TBPREV_D]" caption="TBPREV_D" measure="1" displayFolder="" measureGroup="_Measures" count="0"/>
    <cacheHierarchy uniqueName="[Measures].[TBPREV_D minus tbprev_d]" caption="TBPREV_D minus tbprev_d" measure="1" displayFolder="Differences" measureGroup="_Measures" count="0"/>
    <cacheHierarchy uniqueName="[Measures].[TBPREV_N]" caption="TBPREV_N" measure="1" displayFolder="" measureGroup="_Measures" count="0"/>
    <cacheHierarchy uniqueName="[Measures].[MISSEDAPP]" caption="MISSEDAPP" measure="1" displayFolder="" measureGroup="_Measures" count="0"/>
    <cacheHierarchy uniqueName="[Measures].[TBPREV_D minus tbprev_d_3mar]" caption="TBPREV_D minus tbprev_d_3mar" measure="1" displayFolder="Differences" measureGroup="_Measures" count="0"/>
    <cacheHierarchy uniqueName="[Measures].[MISSEDAPP minus missedapp]" caption="MISSEDAPP minus missedapp" measure="1" displayFolder="Differences" measureGroup="_Measures" count="0"/>
    <cacheHierarchy uniqueName="[Measures].[MISSEDAPP_v2]" caption="MISSEDAPP_v2" measure="1" displayFolder="" measureGroup="_Measures" count="0"/>
    <cacheHierarchy uniqueName="[Measures].[MISSEDAPP_v2 minus missedapp]" caption="MISSEDAPP_v2 minus missedapp" measure="1" displayFolder="Differences" measureGroup="_Measures" count="0"/>
    <cacheHierarchy uniqueName="[Measures].[TBPREV_NEW]" caption="TBPREV_NEW" measure="1" displayFolder="" measureGroup="_Measures" count="0"/>
    <cacheHierarchy uniqueName="[Measures].[TBPREV_NEW minus tbprev_start_thismo]" caption="TBPREV_NEW minus tbprev_start_thismo" measure="1" displayFolder="Differences" measureGroup="_Measures" count="0"/>
    <cacheHierarchy uniqueName="[Measures].[TBPREV_N minus tbprev_n]" caption="TBPREV_N minus tbprev_n" measure="1" displayFolder="Differences" measureGroup="_Measures" count="0"/>
    <cacheHierarchy uniqueName="[Measures].[HVL_ELIG_P]" caption="HVL_ELIG_P" measure="1" displayFolder="" measureGroup="_Measures" count="0"/>
    <cacheHierarchy uniqueName="[Measures].[HVL_ELIG_A]" caption="HVL_ELIG_A" measure="1" displayFolder="" measureGroup="_Measures" count="0"/>
    <cacheHierarchy uniqueName="[Measures].[HVL_D_P]" caption="HVL_D_P" measure="1" displayFolder="" measureGroup="_Measures" count="0"/>
    <cacheHierarchy uniqueName="[Measures].[HVL_D_A]" caption="HVL_D_A" measure="1" displayFolder="" measureGroup="_Measures" count="0"/>
    <cacheHierarchy uniqueName="[Measures].[HVL_N_P]" caption="HVL_N_P" measure="1" displayFolder="" measureGroup="_Measures" count="0"/>
    <cacheHierarchy uniqueName="[Measures].[HVL_N_A]" caption="HVL_N_A" measure="1" displayFolder="" measureGroup="_Measures" count="0"/>
    <cacheHierarchy uniqueName="[Measures].[TX_NEW_F_A]" caption="TX_NEW_F_A" measure="1" displayFolder="" measureGroup="_Measures" count="0"/>
    <cacheHierarchy uniqueName="[Measures].[TX_NEW_M_A]" caption="TX_NEW_M_A" measure="1" displayFolder="" measureGroup="_Measures" count="0"/>
    <cacheHierarchy uniqueName="[Measures].[TX_NEW_F_P]" caption="TX_NEW_F_P" measure="1" displayFolder="" measureGroup="_Measures" count="0"/>
    <cacheHierarchy uniqueName="[Measures].[TX_NEW_M_P]" caption="TX_NEW_M_P" measure="1" displayFolder="" measureGroup="_Measures" count="0"/>
    <cacheHierarchy uniqueName="[Measures].[TX_CURR_F_P]" caption="TX_CURR_F_P" measure="1" displayFolder="" measureGroup="_Measures" count="0"/>
    <cacheHierarchy uniqueName="[Measures].[TX_CURR_M_A]" caption="TX_CURR_M_A" measure="1" displayFolder="" measureGroup="_Measures" count="0"/>
    <cacheHierarchy uniqueName="[Measures].[TX_CURR_F_A]" caption="TX_CURR_F_A" measure="1" displayFolder="" measureGroup="_Measures" count="0"/>
    <cacheHierarchy uniqueName="[Measures].[TX_CURR_M_P]" caption="TX_CURR_M_P" measure="1" displayFolder="" measureGroup="_Measures" count="0"/>
    <cacheHierarchy uniqueName="[Measures].[MMS_180+_P]" caption="MMS_180+_P" measure="1" displayFolder="" measureGroup="_Measures" count="0"/>
    <cacheHierarchy uniqueName="[Measures].[MMS_180+]" caption="MMS_180+" measure="1" displayFolder="" measureGroup="_Measures" count="0"/>
    <cacheHierarchy uniqueName="[Measures].[MMS_180+_A]" caption="MMS_180+_A" measure="1" displayFolder="" measureGroup="_Measures" count="0"/>
    <cacheHierarchy uniqueName="[Measures].[MMS_90_179]" caption="MMS_90_179" measure="1" displayFolder="" measureGroup="_Measures" count="0"/>
    <cacheHierarchy uniqueName="[Measures].[MMS_01_89]" caption="MMS_01_89" measure="1" displayFolder="" measureGroup="_Measures" count="0"/>
    <cacheHierarchy uniqueName="[Measures].[MMS_01_89_F_A]" caption="MMS_01_89_F_A" measure="1" displayFolder="" measureGroup="_Measures" count="0"/>
    <cacheHierarchy uniqueName="[Measures].[MMS_01_89_M_A]" caption="MMS_01_89_M_A" measure="1" displayFolder="" measureGroup="_Measures" count="0"/>
    <cacheHierarchy uniqueName="[Measures].[MMS_01_89_F_P]" caption="MMS_01_89_F_P" measure="1" displayFolder="" measureGroup="_Measures" count="0"/>
    <cacheHierarchy uniqueName="[Measures].[MMS_01_89_M_P]" caption="MMS_01_89_M_P" measure="1" displayFolder="" measureGroup="_Measures" count="0"/>
    <cacheHierarchy uniqueName="[Measures].[MMS_90_179_F_A]" caption="MMS_90_179_F_A" measure="1" displayFolder="" measureGroup="_Measures" count="0"/>
    <cacheHierarchy uniqueName="[Measures].[MMS_90_179_M_A]" caption="MMS_90_179_M_A" measure="1" displayFolder="" measureGroup="_Measures" count="0"/>
    <cacheHierarchy uniqueName="[Measures].[MMS_90_179_F_P]" caption="MMS_90_179_F_P" measure="1" displayFolder="" measureGroup="_Measures" count="0"/>
    <cacheHierarchy uniqueName="[Measures].[MMS_90_179_M_P]" caption="MMS_90_179_M_P" measure="1" displayFolder="" measureGroup="_Measures" count="0"/>
    <cacheHierarchy uniqueName="[Measures].[MMS_180+_F_A]" caption="MMS_180+_F_A" measure="1" displayFolder="" measureGroup="_Measures" count="0"/>
    <cacheHierarchy uniqueName="[Measures].[MMS_180+_M_A]" caption="MMS_180+_M_A" measure="1" displayFolder="" measureGroup="_Measures" count="0"/>
    <cacheHierarchy uniqueName="[Measures].[MMS_180+_F_P]" caption="MMS_180+_F_P" measure="1" displayFolder="" measureGroup="_Measures" count="0"/>
    <cacheHierarchy uniqueName="[Measures].[MMS_180+_M_P]" caption="MMS_180+_M_P" measure="1" displayFolder="" measureGroup="_Measures" count="0"/>
    <cacheHierarchy uniqueName="[Measures].[MISSEDAPP minus missedapp 2]" caption="MISSEDAPP minus missedapp 2" measure="1" displayFolder="" measureGroup="_Measures" count="0"/>
    <cacheHierarchy uniqueName="[Measures].[HVL_D minus hvl_d 2]" caption="HVL_D minus hvl_d 2" measure="1" displayFolder="" measureGroup="_Measures" count="0"/>
    <cacheHierarchy uniqueName="[Measures].[__Default measure]" caption="__Default measure" measure="1" displayFolder="" count="0" hidden="1"/>
  </cacheHierarchies>
  <kpis count="0"/>
  <tupleCache>
    <entries count="20240">
      <m in="0">
        <tpls c="3">
          <tpl fld="0" item="0"/>
          <tpl fld="1" item="0"/>
          <tpl fld="4" item="0"/>
        </tpls>
      </m>
      <m in="0">
        <tpls c="3">
          <tpl fld="0" item="0"/>
          <tpl fld="1" item="1"/>
          <tpl fld="4" item="0"/>
        </tpls>
      </m>
      <m in="0">
        <tpls c="3">
          <tpl fld="0" item="0"/>
          <tpl fld="1" item="2"/>
          <tpl fld="4" item="0"/>
        </tpls>
      </m>
      <m in="0">
        <tpls c="3">
          <tpl fld="0" item="0"/>
          <tpl fld="1" item="3"/>
          <tpl fld="4" item="0"/>
        </tpls>
      </m>
      <m in="0">
        <tpls c="3">
          <tpl fld="0" item="0"/>
          <tpl fld="1" item="4"/>
          <tpl fld="4" item="0"/>
        </tpls>
      </m>
      <m in="0">
        <tpls c="3">
          <tpl fld="0" item="0"/>
          <tpl fld="1" item="5"/>
          <tpl fld="4" item="1"/>
        </tpls>
      </m>
      <m in="0">
        <tpls c="3">
          <tpl fld="0" item="0"/>
          <tpl fld="1" item="6"/>
          <tpl fld="4" item="0"/>
        </tpls>
      </m>
      <m in="0">
        <tpls c="3">
          <tpl fld="0" item="0"/>
          <tpl fld="1" item="7"/>
          <tpl fld="4" item="0"/>
        </tpls>
      </m>
      <m in="0">
        <tpls c="3">
          <tpl fld="0" item="0"/>
          <tpl fld="1" item="8"/>
          <tpl fld="4" item="2"/>
        </tpls>
      </m>
      <m in="0">
        <tpls c="3">
          <tpl fld="0" item="0"/>
          <tpl fld="1" item="9"/>
          <tpl fld="4" item="0"/>
        </tpls>
      </m>
      <m in="0">
        <tpls c="3">
          <tpl fld="0" item="0"/>
          <tpl fld="1" item="10"/>
          <tpl fld="4" item="0"/>
        </tpls>
      </m>
      <m in="0">
        <tpls c="3">
          <tpl fld="0" item="0"/>
          <tpl fld="1" item="11"/>
          <tpl fld="4" item="0"/>
        </tpls>
      </m>
      <m in="0">
        <tpls c="3">
          <tpl fld="0" item="0"/>
          <tpl fld="1" item="12"/>
          <tpl fld="4" item="0"/>
        </tpls>
      </m>
      <m in="0">
        <tpls c="3">
          <tpl fld="0" item="0"/>
          <tpl fld="1" item="13"/>
          <tpl fld="4" item="3"/>
        </tpls>
      </m>
      <m in="0">
        <tpls c="3">
          <tpl fld="0" item="0"/>
          <tpl fld="1" item="14"/>
          <tpl fld="4" item="4"/>
        </tpls>
      </m>
      <m in="0">
        <tpls c="3">
          <tpl fld="0" item="0"/>
          <tpl fld="1" item="15"/>
          <tpl fld="4" item="3"/>
        </tpls>
      </m>
      <m in="0">
        <tpls c="3">
          <tpl fld="0" item="0"/>
          <tpl fld="1" item="16"/>
          <tpl fld="4" item="0"/>
        </tpls>
      </m>
      <m in="0">
        <tpls c="3">
          <tpl fld="0" item="0"/>
          <tpl fld="1" item="17"/>
          <tpl fld="4" item="0"/>
        </tpls>
      </m>
      <m in="0">
        <tpls c="3">
          <tpl fld="0" item="0"/>
          <tpl fld="1" item="18"/>
          <tpl fld="4" item="0"/>
        </tpls>
      </m>
      <m in="0">
        <tpls c="3">
          <tpl fld="0" item="0"/>
          <tpl fld="1" item="19"/>
          <tpl fld="4" item="0"/>
        </tpls>
      </m>
      <m in="0">
        <tpls c="3">
          <tpl fld="0" item="0"/>
          <tpl fld="1" item="5"/>
          <tpl fld="4" item="0"/>
        </tpls>
      </m>
      <m in="0">
        <tpls c="3">
          <tpl fld="0" item="0"/>
          <tpl fld="1" item="17"/>
          <tpl fld="4" item="3"/>
        </tpls>
      </m>
      <m in="0">
        <tpls c="3">
          <tpl fld="0" item="0"/>
          <tpl fld="1" item="20"/>
          <tpl fld="4" item="4"/>
        </tpls>
      </m>
      <m in="0">
        <tpls c="3">
          <tpl fld="0" item="0"/>
          <tpl fld="1" item="21"/>
          <tpl fld="4" item="0"/>
        </tpls>
      </m>
      <m in="0">
        <tpls c="3">
          <tpl fld="0" item="0"/>
          <tpl fld="1" item="22"/>
          <tpl fld="4" item="0"/>
        </tpls>
      </m>
      <m in="0">
        <tpls c="3">
          <tpl fld="0" item="0"/>
          <tpl fld="1" item="23"/>
          <tpl fld="4" item="4"/>
        </tpls>
      </m>
      <m in="0">
        <tpls c="3">
          <tpl fld="0" item="0"/>
          <tpl fld="1" item="24"/>
          <tpl fld="4" item="3"/>
        </tpls>
      </m>
      <m in="0">
        <tpls c="3">
          <tpl fld="0" item="0"/>
          <tpl fld="1" item="25"/>
          <tpl fld="4" item="3"/>
        </tpls>
      </m>
      <m in="0">
        <tpls c="3">
          <tpl fld="0" item="0"/>
          <tpl fld="1" item="26"/>
          <tpl fld="4" item="3"/>
        </tpls>
      </m>
      <m in="0">
        <tpls c="3">
          <tpl fld="0" item="0"/>
          <tpl fld="1" item="27"/>
          <tpl fld="4" item="1"/>
        </tpls>
      </m>
      <m in="0">
        <tpls c="3">
          <tpl fld="0" item="0"/>
          <tpl fld="1" item="28"/>
          <tpl fld="4" item="0"/>
        </tpls>
      </m>
      <m in="0">
        <tpls c="3">
          <tpl fld="0" item="0"/>
          <tpl fld="1" item="29"/>
          <tpl fld="4" item="0"/>
        </tpls>
      </m>
      <m in="0">
        <tpls c="3">
          <tpl fld="0" item="0"/>
          <tpl fld="1" item="30"/>
          <tpl fld="4" item="3"/>
        </tpls>
      </m>
      <m in="0">
        <tpls c="3">
          <tpl fld="0" item="0"/>
          <tpl fld="1" item="31"/>
          <tpl fld="4" item="3"/>
        </tpls>
      </m>
      <m in="0">
        <tpls c="3">
          <tpl fld="0" item="0"/>
          <tpl fld="1" item="32"/>
          <tpl fld="4" item="0"/>
        </tpls>
      </m>
      <m in="0">
        <tpls c="3">
          <tpl fld="0" item="0"/>
          <tpl fld="1" item="33"/>
          <tpl fld="4" item="0"/>
        </tpls>
      </m>
      <m in="0">
        <tpls c="3">
          <tpl fld="0" item="0"/>
          <tpl fld="1" item="34"/>
          <tpl fld="4" item="3"/>
        </tpls>
      </m>
      <m in="0">
        <tpls c="3">
          <tpl fld="0" item="0"/>
          <tpl fld="1" item="35"/>
          <tpl fld="4" item="4"/>
        </tpls>
      </m>
      <m in="0">
        <tpls c="3">
          <tpl fld="0" item="0"/>
          <tpl fld="1" item="36"/>
          <tpl fld="4" item="0"/>
        </tpls>
      </m>
      <m in="0">
        <tpls c="3">
          <tpl fld="0" item="0"/>
          <tpl fld="1" item="37"/>
          <tpl fld="4" item="5"/>
        </tpls>
      </m>
      <m in="0">
        <tpls c="3">
          <tpl fld="0" item="0"/>
          <tpl fld="1" item="38"/>
          <tpl fld="4" item="0"/>
        </tpls>
      </m>
      <m in="0">
        <tpls c="3">
          <tpl fld="0" item="0"/>
          <tpl fld="1" item="39"/>
          <tpl fld="4" item="4"/>
        </tpls>
      </m>
      <m in="0">
        <tpls c="3">
          <tpl fld="0" item="0"/>
          <tpl fld="1" item="3"/>
          <tpl fld="4" item="3"/>
        </tpls>
      </m>
      <m in="0">
        <tpls c="3">
          <tpl fld="0" item="0"/>
          <tpl fld="1" item="40"/>
          <tpl fld="4" item="3"/>
        </tpls>
      </m>
      <m in="0">
        <tpls c="3">
          <tpl fld="0" item="0"/>
          <tpl fld="1" item="41"/>
          <tpl fld="4" item="3"/>
        </tpls>
      </m>
      <m in="0">
        <tpls c="3">
          <tpl fld="0" item="0"/>
          <tpl fld="1" item="42"/>
          <tpl fld="4" item="0"/>
        </tpls>
      </m>
      <m in="0">
        <tpls c="3">
          <tpl fld="0" item="0"/>
          <tpl fld="1" item="43"/>
          <tpl fld="4" item="0"/>
        </tpls>
      </m>
      <m in="0">
        <tpls c="3">
          <tpl fld="0" item="0"/>
          <tpl fld="1" item="40"/>
          <tpl fld="4" item="0"/>
        </tpls>
      </m>
      <m in="0">
        <tpls c="3">
          <tpl fld="0" item="0"/>
          <tpl fld="1" item="44"/>
          <tpl fld="4" item="0"/>
        </tpls>
      </m>
      <m in="0">
        <tpls c="3">
          <tpl fld="0" item="0"/>
          <tpl fld="1" item="45"/>
          <tpl fld="4" item="4"/>
        </tpls>
      </m>
      <m in="0">
        <tpls c="3">
          <tpl fld="0" item="0"/>
          <tpl fld="1" item="46"/>
          <tpl fld="4" item="3"/>
        </tpls>
      </m>
      <m in="0">
        <tpls c="3">
          <tpl fld="0" item="0"/>
          <tpl fld="1" item="47"/>
          <tpl fld="4" item="3"/>
        </tpls>
      </m>
      <m in="0">
        <tpls c="3">
          <tpl fld="0" item="0"/>
          <tpl fld="1" item="48"/>
          <tpl fld="4" item="0"/>
        </tpls>
      </m>
      <m in="0">
        <tpls c="3">
          <tpl fld="0" item="0"/>
          <tpl fld="1" item="49"/>
          <tpl fld="4" item="3"/>
        </tpls>
      </m>
      <m in="0">
        <tpls c="3">
          <tpl fld="0" item="0"/>
          <tpl fld="1" item="50"/>
          <tpl fld="4" item="0"/>
        </tpls>
      </m>
      <m in="0">
        <tpls c="3">
          <tpl fld="0" item="0"/>
          <tpl fld="1" item="51"/>
          <tpl fld="4" item="0"/>
        </tpls>
      </m>
      <m in="0">
        <tpls c="3">
          <tpl fld="0" item="0"/>
          <tpl fld="1" item="52"/>
          <tpl fld="4" item="4"/>
        </tpls>
      </m>
      <m in="0">
        <tpls c="3">
          <tpl fld="0" item="0"/>
          <tpl fld="1" item="30"/>
          <tpl fld="4" item="0"/>
        </tpls>
      </m>
      <m in="0">
        <tpls c="3">
          <tpl fld="0" item="0"/>
          <tpl fld="1" item="53"/>
          <tpl fld="4" item="4"/>
        </tpls>
      </m>
      <m in="0">
        <tpls c="3">
          <tpl fld="0" item="0"/>
          <tpl fld="1" item="54"/>
          <tpl fld="4" item="3"/>
        </tpls>
      </m>
      <m in="0">
        <tpls c="3">
          <tpl fld="0" item="0"/>
          <tpl fld="1" item="55"/>
          <tpl fld="4" item="0"/>
        </tpls>
      </m>
      <m in="0">
        <tpls c="3">
          <tpl fld="0" item="0"/>
          <tpl fld="1" item="56"/>
          <tpl fld="4" item="0"/>
        </tpls>
      </m>
      <m in="0">
        <tpls c="3">
          <tpl fld="0" item="0"/>
          <tpl fld="1" item="57"/>
          <tpl fld="4" item="2"/>
        </tpls>
      </m>
      <m in="0">
        <tpls c="3">
          <tpl fld="0" item="0"/>
          <tpl fld="1" item="58"/>
          <tpl fld="4" item="3"/>
        </tpls>
      </m>
      <m in="0">
        <tpls c="3">
          <tpl fld="0" item="0"/>
          <tpl fld="1" item="59"/>
          <tpl fld="4" item="3"/>
        </tpls>
      </m>
      <m in="0">
        <tpls c="3">
          <tpl fld="0" item="0"/>
          <tpl fld="1" item="60"/>
          <tpl fld="4" item="0"/>
        </tpls>
      </m>
      <m in="0">
        <tpls c="3">
          <tpl fld="0" item="0"/>
          <tpl fld="1" item="61"/>
          <tpl fld="4" item="3"/>
        </tpls>
      </m>
      <m in="0">
        <tpls c="3">
          <tpl fld="0" item="0"/>
          <tpl fld="1" item="62"/>
          <tpl fld="4" item="0"/>
        </tpls>
      </m>
      <m in="0">
        <tpls c="3">
          <tpl fld="0" item="0"/>
          <tpl fld="1" item="63"/>
          <tpl fld="4" item="3"/>
        </tpls>
      </m>
      <m in="0">
        <tpls c="3">
          <tpl fld="0" item="0"/>
          <tpl fld="1" item="64"/>
          <tpl fld="4" item="0"/>
        </tpls>
      </m>
      <m in="0">
        <tpls c="3">
          <tpl fld="0" item="0"/>
          <tpl fld="1" item="65"/>
          <tpl fld="4" item="0"/>
        </tpls>
      </m>
      <m in="0">
        <tpls c="3">
          <tpl fld="0" item="0"/>
          <tpl fld="1" item="66"/>
          <tpl fld="4" item="0"/>
        </tpls>
      </m>
      <m in="0">
        <tpls c="3">
          <tpl fld="0" item="0"/>
          <tpl fld="1" item="67"/>
          <tpl fld="4" item="0"/>
        </tpls>
      </m>
      <m in="0">
        <tpls c="3">
          <tpl fld="0" item="0"/>
          <tpl fld="1" item="68"/>
          <tpl fld="4" item="3"/>
        </tpls>
      </m>
      <m in="0">
        <tpls c="3">
          <tpl fld="0" item="0"/>
          <tpl fld="1" item="69"/>
          <tpl fld="4" item="0"/>
        </tpls>
      </m>
      <m in="0">
        <tpls c="3">
          <tpl fld="0" item="0"/>
          <tpl fld="1" item="70"/>
          <tpl fld="4" item="0"/>
        </tpls>
      </m>
      <m in="0">
        <tpls c="3">
          <tpl fld="0" item="0"/>
          <tpl fld="1" item="71"/>
          <tpl fld="4" item="4"/>
        </tpls>
      </m>
      <m in="0">
        <tpls c="3">
          <tpl fld="0" item="0"/>
          <tpl fld="1" item="72"/>
          <tpl fld="4" item="4"/>
        </tpls>
      </m>
      <m in="0">
        <tpls c="3">
          <tpl fld="0" item="0"/>
          <tpl fld="1" item="73"/>
          <tpl fld="4" item="3"/>
        </tpls>
      </m>
      <m in="0">
        <tpls c="3">
          <tpl fld="0" item="0"/>
          <tpl fld="1" item="49"/>
          <tpl fld="4" item="0"/>
        </tpls>
      </m>
      <m in="0">
        <tpls c="3">
          <tpl fld="0" item="0"/>
          <tpl fld="1" item="74"/>
          <tpl fld="4" item="5"/>
        </tpls>
      </m>
      <m in="0">
        <tpls c="3">
          <tpl fld="0" item="0"/>
          <tpl fld="1" item="75"/>
          <tpl fld="4" item="0"/>
        </tpls>
      </m>
      <m in="0">
        <tpls c="3">
          <tpl fld="0" item="0"/>
          <tpl fld="1" item="14"/>
          <tpl fld="4" item="3"/>
        </tpls>
      </m>
      <m in="0">
        <tpls c="3">
          <tpl fld="0" item="0"/>
          <tpl fld="1" item="76"/>
          <tpl fld="4" item="0"/>
        </tpls>
      </m>
      <m in="0">
        <tpls c="3">
          <tpl fld="0" item="0"/>
          <tpl fld="1" item="77"/>
          <tpl fld="4" item="6"/>
        </tpls>
      </m>
      <m in="0">
        <tpls c="3">
          <tpl fld="0" item="0"/>
          <tpl fld="1" item="78"/>
          <tpl fld="4" item="0"/>
        </tpls>
      </m>
      <m in="0">
        <tpls c="3">
          <tpl fld="0" item="0"/>
          <tpl fld="1" item="79"/>
          <tpl fld="4" item="0"/>
        </tpls>
      </m>
      <m in="0">
        <tpls c="3">
          <tpl fld="0" item="0"/>
          <tpl fld="1" item="80"/>
          <tpl fld="4" item="0"/>
        </tpls>
      </m>
      <m in="0">
        <tpls c="3">
          <tpl fld="0" item="0"/>
          <tpl fld="1" item="81"/>
          <tpl fld="4" item="3"/>
        </tpls>
      </m>
      <m in="0">
        <tpls c="3">
          <tpl fld="0" item="0"/>
          <tpl fld="1" item="82"/>
          <tpl fld="4" item="0"/>
        </tpls>
      </m>
      <m in="0">
        <tpls c="3">
          <tpl fld="0" item="0"/>
          <tpl fld="1" item="60"/>
          <tpl fld="4" item="3"/>
        </tpls>
      </m>
      <m in="0">
        <tpls c="3">
          <tpl fld="0" item="0"/>
          <tpl fld="1" item="83"/>
          <tpl fld="4" item="4"/>
        </tpls>
      </m>
      <n v="19" in="0">
        <tpls c="3">
          <tpl fld="0" item="0"/>
          <tpl fld="1" item="84"/>
          <tpl fld="4" item="36"/>
        </tpls>
      </n>
      <m in="0">
        <tpls c="3">
          <tpl fld="0" item="0"/>
          <tpl fld="1" item="85"/>
          <tpl fld="4" item="3"/>
        </tpls>
      </m>
      <m in="0">
        <tpls c="3">
          <tpl fld="0" item="0"/>
          <tpl fld="1" item="86"/>
          <tpl fld="4" item="0"/>
        </tpls>
      </m>
      <m in="0">
        <tpls c="3">
          <tpl fld="0" item="0"/>
          <tpl fld="1" item="87"/>
          <tpl fld="4" item="0"/>
        </tpls>
      </m>
      <m in="0">
        <tpls c="3">
          <tpl fld="0" item="0"/>
          <tpl fld="1" item="88"/>
          <tpl fld="4" item="0"/>
        </tpls>
      </m>
      <m in="0">
        <tpls c="3">
          <tpl fld="0" item="0"/>
          <tpl fld="1" item="89"/>
          <tpl fld="4" item="0"/>
        </tpls>
      </m>
      <m in="0">
        <tpls c="3">
          <tpl fld="0" item="0"/>
          <tpl fld="1" item="90"/>
          <tpl fld="4" item="4"/>
        </tpls>
      </m>
      <m in="0">
        <tpls c="3">
          <tpl fld="0" item="0"/>
          <tpl fld="1" item="91"/>
          <tpl fld="4" item="2"/>
        </tpls>
      </m>
      <m in="0">
        <tpls c="3">
          <tpl fld="0" item="0"/>
          <tpl fld="1" item="92"/>
          <tpl fld="4" item="3"/>
        </tpls>
      </m>
      <m in="0">
        <tpls c="3">
          <tpl fld="0" item="0"/>
          <tpl fld="1" item="93"/>
          <tpl fld="4" item="5"/>
        </tpls>
      </m>
      <m in="0">
        <tpls c="3">
          <tpl fld="0" item="0"/>
          <tpl fld="1" item="94"/>
          <tpl fld="4" item="0"/>
        </tpls>
      </m>
      <m in="0">
        <tpls c="3">
          <tpl fld="0" item="0"/>
          <tpl fld="1" item="95"/>
          <tpl fld="4" item="0"/>
        </tpls>
      </m>
      <m in="0">
        <tpls c="3">
          <tpl fld="0" item="0"/>
          <tpl fld="1" item="96"/>
          <tpl fld="4" item="3"/>
        </tpls>
      </m>
      <m in="0">
        <tpls c="3">
          <tpl fld="0" item="0"/>
          <tpl fld="1" item="97"/>
          <tpl fld="4" item="3"/>
        </tpls>
      </m>
      <m in="0">
        <tpls c="3">
          <tpl fld="0" item="0"/>
          <tpl fld="1" item="98"/>
          <tpl fld="4" item="0"/>
        </tpls>
      </m>
      <n v="132" in="0">
        <tpls c="3">
          <tpl fld="0" item="0"/>
          <tpl fld="1" item="99"/>
          <tpl fld="4" item="0"/>
        </tpls>
      </n>
      <m in="0">
        <tpls c="3">
          <tpl fld="0" item="0"/>
          <tpl fld="1" item="100"/>
          <tpl fld="4" item="0"/>
        </tpls>
      </m>
      <m in="0">
        <tpls c="3">
          <tpl fld="0" item="0"/>
          <tpl fld="1" item="101"/>
          <tpl fld="4" item="3"/>
        </tpls>
      </m>
      <m in="0">
        <tpls c="3">
          <tpl fld="0" item="0"/>
          <tpl fld="1" item="102"/>
          <tpl fld="4" item="0"/>
        </tpls>
      </m>
      <m in="0">
        <tpls c="3">
          <tpl fld="0" item="0"/>
          <tpl fld="1" item="103"/>
          <tpl fld="4" item="0"/>
        </tpls>
      </m>
      <m in="0">
        <tpls c="3">
          <tpl fld="0" item="0"/>
          <tpl fld="1" item="5"/>
          <tpl fld="4" item="3"/>
        </tpls>
      </m>
      <m in="0">
        <tpls c="3">
          <tpl fld="0" item="0"/>
          <tpl fld="1" item="104"/>
          <tpl fld="4" item="6"/>
        </tpls>
      </m>
      <m in="0">
        <tpls c="3">
          <tpl fld="0" item="0"/>
          <tpl fld="1" item="105"/>
          <tpl fld="4" item="0"/>
        </tpls>
      </m>
      <m in="0">
        <tpls c="3">
          <tpl fld="0" item="0"/>
          <tpl fld="1" item="99"/>
          <tpl fld="4" item="2"/>
        </tpls>
      </m>
      <m in="0">
        <tpls c="3">
          <tpl fld="0" item="0"/>
          <tpl fld="1" item="106"/>
          <tpl fld="4" item="0"/>
        </tpls>
      </m>
      <m in="0">
        <tpls c="3">
          <tpl fld="0" item="0"/>
          <tpl fld="1" item="107"/>
          <tpl fld="4" item="0"/>
        </tpls>
      </m>
      <m in="0">
        <tpls c="3">
          <tpl fld="0" item="0"/>
          <tpl fld="1" item="108"/>
          <tpl fld="4" item="0"/>
        </tpls>
      </m>
      <m in="0">
        <tpls c="3">
          <tpl fld="0" item="0"/>
          <tpl fld="1" item="109"/>
          <tpl fld="4" item="6"/>
        </tpls>
      </m>
      <m in="0">
        <tpls c="3">
          <tpl fld="0" item="0"/>
          <tpl fld="1" item="110"/>
          <tpl fld="4" item="0"/>
        </tpls>
      </m>
      <n v="1" in="0">
        <tpls c="3">
          <tpl fld="0" item="0"/>
          <tpl fld="1" item="111"/>
          <tpl fld="4" item="0"/>
        </tpls>
      </n>
      <m in="0">
        <tpls c="3">
          <tpl fld="0" item="0"/>
          <tpl fld="1" item="25"/>
          <tpl fld="4" item="2"/>
        </tpls>
      </m>
      <m in="0">
        <tpls c="3">
          <tpl fld="0" item="0"/>
          <tpl fld="1" item="112"/>
          <tpl fld="4" item="6"/>
        </tpls>
      </m>
      <m in="0">
        <tpls c="3">
          <tpl fld="0" item="0"/>
          <tpl fld="1" item="113"/>
          <tpl fld="4" item="0"/>
        </tpls>
      </m>
      <m in="0">
        <tpls c="3">
          <tpl fld="0" item="0"/>
          <tpl fld="1" item="114"/>
          <tpl fld="4" item="6"/>
        </tpls>
      </m>
      <m in="0">
        <tpls c="3">
          <tpl fld="0" item="0"/>
          <tpl fld="1" item="115"/>
          <tpl fld="4" item="0"/>
        </tpls>
      </m>
      <m in="0">
        <tpls c="3">
          <tpl fld="0" item="0"/>
          <tpl fld="1" item="116"/>
          <tpl fld="4" item="3"/>
        </tpls>
      </m>
      <m in="0">
        <tpls c="3">
          <tpl fld="0" item="0"/>
          <tpl fld="1" item="117"/>
          <tpl fld="4" item="0"/>
        </tpls>
      </m>
      <m in="0">
        <tpls c="3">
          <tpl fld="0" item="0"/>
          <tpl fld="1" item="118"/>
          <tpl fld="4" item="4"/>
        </tpls>
      </m>
      <m in="0">
        <tpls c="3">
          <tpl fld="0" item="0"/>
          <tpl fld="1" item="119"/>
          <tpl fld="4" item="0"/>
        </tpls>
      </m>
      <n v="1548" in="0">
        <tpls c="3">
          <tpl fld="0" item="0"/>
          <tpl fld="1" item="68"/>
          <tpl fld="4" item="10"/>
        </tpls>
      </n>
      <m in="0">
        <tpls c="3">
          <tpl fld="0" item="0"/>
          <tpl fld="1" item="120"/>
          <tpl fld="4" item="0"/>
        </tpls>
      </m>
      <m in="0">
        <tpls c="3">
          <tpl fld="0" item="0"/>
          <tpl fld="1" item="121"/>
          <tpl fld="4" item="0"/>
        </tpls>
      </m>
      <m in="0">
        <tpls c="3">
          <tpl fld="0" item="0"/>
          <tpl fld="1" item="122"/>
          <tpl fld="4" item="5"/>
        </tpls>
      </m>
      <m in="0">
        <tpls c="3">
          <tpl fld="0" item="0"/>
          <tpl fld="1" item="123"/>
          <tpl fld="4" item="6"/>
        </tpls>
      </m>
      <m in="0">
        <tpls c="3">
          <tpl fld="0" item="0"/>
          <tpl fld="1" item="124"/>
          <tpl fld="4" item="6"/>
        </tpls>
      </m>
      <m in="0">
        <tpls c="3">
          <tpl fld="0" item="0"/>
          <tpl fld="1" item="125"/>
          <tpl fld="4" item="0"/>
        </tpls>
      </m>
      <m in="0">
        <tpls c="3">
          <tpl fld="0" item="0"/>
          <tpl fld="1" item="126"/>
          <tpl fld="4" item="0"/>
        </tpls>
      </m>
      <m in="0">
        <tpls c="3">
          <tpl fld="0" item="0"/>
          <tpl fld="1" item="127"/>
          <tpl fld="4" item="3"/>
        </tpls>
      </m>
      <m in="0">
        <tpls c="3">
          <tpl fld="0" item="0"/>
          <tpl fld="1" item="128"/>
          <tpl fld="4" item="3"/>
        </tpls>
      </m>
      <m in="0">
        <tpls c="3">
          <tpl fld="0" item="0"/>
          <tpl fld="1" item="129"/>
          <tpl fld="4" item="0"/>
        </tpls>
      </m>
      <m in="0">
        <tpls c="3">
          <tpl fld="0" item="0"/>
          <tpl fld="1" item="53"/>
          <tpl fld="4" item="0"/>
        </tpls>
      </m>
      <m in="0">
        <tpls c="3">
          <tpl fld="0" item="0"/>
          <tpl fld="1" item="130"/>
          <tpl fld="4" item="0"/>
        </tpls>
      </m>
      <m in="0">
        <tpls c="3">
          <tpl fld="0" item="0"/>
          <tpl fld="1" item="131"/>
          <tpl fld="4" item="0"/>
        </tpls>
      </m>
      <m in="0">
        <tpls c="3">
          <tpl fld="0" item="0"/>
          <tpl fld="1" item="132"/>
          <tpl fld="4" item="3"/>
        </tpls>
      </m>
      <m in="0">
        <tpls c="3">
          <tpl fld="0" item="0"/>
          <tpl fld="1" item="122"/>
          <tpl fld="4" item="0"/>
        </tpls>
      </m>
      <m in="0">
        <tpls c="3">
          <tpl fld="0" item="0"/>
          <tpl fld="1" item="116"/>
          <tpl fld="4" item="1"/>
        </tpls>
      </m>
      <m in="0">
        <tpls c="3">
          <tpl fld="0" item="0"/>
          <tpl fld="1" item="133"/>
          <tpl fld="4" item="0"/>
        </tpls>
      </m>
      <m in="0">
        <tpls c="3">
          <tpl fld="0" item="0"/>
          <tpl fld="1" item="134"/>
          <tpl fld="4" item="6"/>
        </tpls>
      </m>
      <m in="0">
        <tpls c="3">
          <tpl fld="0" item="0"/>
          <tpl fld="1" item="135"/>
          <tpl fld="4" item="0"/>
        </tpls>
      </m>
      <m in="0">
        <tpls c="3">
          <tpl fld="0" item="0"/>
          <tpl fld="1" item="136"/>
          <tpl fld="4" item="0"/>
        </tpls>
      </m>
      <m in="0">
        <tpls c="3">
          <tpl fld="0" item="0"/>
          <tpl fld="1" item="137"/>
          <tpl fld="4" item="11"/>
        </tpls>
      </m>
      <m in="0">
        <tpls c="3">
          <tpl fld="0" item="0"/>
          <tpl fld="1" item="138"/>
          <tpl fld="4" item="2"/>
        </tpls>
      </m>
      <m in="0">
        <tpls c="3">
          <tpl fld="0" item="0"/>
          <tpl fld="1" item="139"/>
          <tpl fld="4" item="1"/>
        </tpls>
      </m>
      <m in="0">
        <tpls c="3">
          <tpl fld="0" item="0"/>
          <tpl fld="1" item="140"/>
          <tpl fld="4" item="0"/>
        </tpls>
      </m>
      <m in="0">
        <tpls c="3">
          <tpl fld="0" item="0"/>
          <tpl fld="1" item="141"/>
          <tpl fld="4" item="3"/>
        </tpls>
      </m>
      <m in="0">
        <tpls c="3">
          <tpl fld="0" item="0"/>
          <tpl fld="1" item="142"/>
          <tpl fld="4" item="1"/>
        </tpls>
      </m>
      <m in="0">
        <tpls c="3">
          <tpl fld="0" item="0"/>
          <tpl fld="1" item="143"/>
          <tpl fld="4" item="0"/>
        </tpls>
      </m>
      <m in="0">
        <tpls c="3">
          <tpl fld="0" item="0"/>
          <tpl fld="1" item="144"/>
          <tpl fld="4" item="0"/>
        </tpls>
      </m>
      <m in="0">
        <tpls c="3">
          <tpl fld="0" item="0"/>
          <tpl fld="1" item="145"/>
          <tpl fld="4" item="6"/>
        </tpls>
      </m>
      <m in="0">
        <tpls c="3">
          <tpl fld="0" item="0"/>
          <tpl fld="1" item="146"/>
          <tpl fld="4" item="0"/>
        </tpls>
      </m>
      <m in="0">
        <tpls c="3">
          <tpl fld="0" item="0"/>
          <tpl fld="1" item="147"/>
          <tpl fld="4" item="0"/>
        </tpls>
      </m>
      <m in="0">
        <tpls c="3">
          <tpl fld="0" item="0"/>
          <tpl fld="2" item="0"/>
          <tpl fld="4" item="6"/>
        </tpls>
      </m>
      <m in="0">
        <tpls c="3">
          <tpl fld="0" item="0"/>
          <tpl fld="1" item="148"/>
          <tpl fld="4" item="3"/>
        </tpls>
      </m>
      <m in="0">
        <tpls c="3">
          <tpl fld="0" item="0"/>
          <tpl fld="1" item="149"/>
          <tpl fld="4" item="0"/>
        </tpls>
      </m>
      <m in="0">
        <tpls c="3">
          <tpl fld="0" item="0"/>
          <tpl fld="1" item="150"/>
          <tpl fld="4" item="3"/>
        </tpls>
      </m>
      <m in="0">
        <tpls c="3">
          <tpl fld="0" item="0"/>
          <tpl fld="1" item="151"/>
          <tpl fld="4" item="0"/>
        </tpls>
      </m>
      <m in="0">
        <tpls c="3">
          <tpl fld="0" item="0"/>
          <tpl fld="1" item="152"/>
          <tpl fld="4" item="0"/>
        </tpls>
      </m>
      <m in="0">
        <tpls c="3">
          <tpl fld="0" item="0"/>
          <tpl fld="1" item="153"/>
          <tpl fld="4" item="0"/>
        </tpls>
      </m>
      <m in="0">
        <tpls c="3">
          <tpl fld="0" item="0"/>
          <tpl fld="1" item="154"/>
          <tpl fld="4" item="6"/>
        </tpls>
      </m>
      <m in="0">
        <tpls c="3">
          <tpl fld="0" item="0"/>
          <tpl fld="1" item="60"/>
          <tpl fld="4" item="1"/>
        </tpls>
      </m>
      <m in="0">
        <tpls c="3">
          <tpl fld="0" item="0"/>
          <tpl fld="1" item="155"/>
          <tpl fld="4" item="0"/>
        </tpls>
      </m>
      <m in="0">
        <tpls c="3">
          <tpl fld="0" item="0"/>
          <tpl fld="1" item="25"/>
          <tpl fld="4" item="0"/>
        </tpls>
      </m>
      <m in="0">
        <tpls c="3">
          <tpl fld="0" item="0"/>
          <tpl fld="1" item="137"/>
          <tpl fld="4" item="5"/>
        </tpls>
      </m>
      <m in="0">
        <tpls c="3">
          <tpl fld="0" item="0"/>
          <tpl fld="1" item="156"/>
          <tpl fld="4" item="6"/>
        </tpls>
      </m>
      <m in="0">
        <tpls c="3">
          <tpl fld="0" item="0"/>
          <tpl fld="1" item="157"/>
          <tpl fld="4" item="0"/>
        </tpls>
      </m>
      <m in="0">
        <tpls c="3">
          <tpl fld="0" item="0"/>
          <tpl fld="1" item="138"/>
          <tpl fld="4" item="3"/>
        </tpls>
      </m>
      <m in="0">
        <tpls c="3">
          <tpl fld="0" item="0"/>
          <tpl fld="1" item="158"/>
          <tpl fld="4" item="0"/>
        </tpls>
      </m>
      <n v="8" in="0">
        <tpls c="3">
          <tpl fld="0" item="0"/>
          <tpl fld="1" item="159"/>
          <tpl fld="4" item="10"/>
        </tpls>
      </n>
      <m in="0">
        <tpls c="3">
          <tpl fld="0" item="0"/>
          <tpl fld="1" item="8"/>
          <tpl fld="4" item="0"/>
        </tpls>
      </m>
      <n v="1" in="0">
        <tpls c="3">
          <tpl fld="0" item="0"/>
          <tpl fld="1" item="160"/>
          <tpl fld="4" item="3"/>
        </tpls>
      </n>
      <m in="0">
        <tpls c="3">
          <tpl fld="0" item="0"/>
          <tpl fld="1" item="161"/>
          <tpl fld="4" item="0"/>
        </tpls>
      </m>
      <m in="0">
        <tpls c="3">
          <tpl fld="0" item="0"/>
          <tpl fld="1" item="162"/>
          <tpl fld="4" item="0"/>
        </tpls>
      </m>
      <m in="0">
        <tpls c="3">
          <tpl fld="0" item="0"/>
          <tpl fld="1" item="163"/>
          <tpl fld="4" item="0"/>
        </tpls>
      </m>
      <m in="0">
        <tpls c="3">
          <tpl fld="0" item="0"/>
          <tpl fld="1" item="164"/>
          <tpl fld="4" item="6"/>
        </tpls>
      </m>
      <m in="0">
        <tpls c="3">
          <tpl fld="0" item="0"/>
          <tpl fld="1" item="165"/>
          <tpl fld="4" item="0"/>
        </tpls>
      </m>
      <m in="0">
        <tpls c="3">
          <tpl fld="0" item="0"/>
          <tpl fld="1" item="166"/>
          <tpl fld="4" item="0"/>
        </tpls>
      </m>
      <m in="0">
        <tpls c="3">
          <tpl fld="0" item="0"/>
          <tpl fld="1" item="26"/>
          <tpl fld="4" item="0"/>
        </tpls>
      </m>
      <m in="0">
        <tpls c="3">
          <tpl fld="0" item="0"/>
          <tpl fld="1" item="53"/>
          <tpl fld="4" item="3"/>
        </tpls>
      </m>
      <m in="0">
        <tpls c="3">
          <tpl fld="0" item="0"/>
          <tpl fld="1" item="167"/>
          <tpl fld="4" item="4"/>
        </tpls>
      </m>
      <m in="0">
        <tpls c="3">
          <tpl fld="0" item="0"/>
          <tpl fld="1" item="74"/>
          <tpl fld="4" item="4"/>
        </tpls>
      </m>
      <m in="0">
        <tpls c="3">
          <tpl fld="0" item="0"/>
          <tpl fld="1" item="168"/>
          <tpl fld="4" item="6"/>
        </tpls>
      </m>
      <m in="0">
        <tpls c="3">
          <tpl fld="0" item="0"/>
          <tpl fld="1" item="169"/>
          <tpl fld="4" item="0"/>
        </tpls>
      </m>
      <m in="0">
        <tpls c="3">
          <tpl fld="0" item="0"/>
          <tpl fld="1" item="170"/>
          <tpl fld="4" item="4"/>
        </tpls>
      </m>
      <m in="0">
        <tpls c="3">
          <tpl fld="0" item="0"/>
          <tpl fld="1" item="171"/>
          <tpl fld="4" item="3"/>
        </tpls>
      </m>
      <m in="0">
        <tpls c="3">
          <tpl fld="0" item="0"/>
          <tpl fld="1" item="20"/>
          <tpl fld="4" item="6"/>
        </tpls>
      </m>
      <m in="0">
        <tpls c="3">
          <tpl fld="0" item="0"/>
          <tpl fld="1" item="172"/>
          <tpl fld="4" item="3"/>
        </tpls>
      </m>
      <m in="0">
        <tpls c="3">
          <tpl fld="0" item="0"/>
          <tpl fld="1" item="73"/>
          <tpl fld="4" item="1"/>
        </tpls>
      </m>
      <m in="0">
        <tpls c="3">
          <tpl fld="0" item="0"/>
          <tpl fld="1" item="173"/>
          <tpl fld="4" item="6"/>
        </tpls>
      </m>
      <m in="0">
        <tpls c="3">
          <tpl fld="0" item="0"/>
          <tpl fld="1" item="174"/>
          <tpl fld="4" item="3"/>
        </tpls>
      </m>
      <m in="0">
        <tpls c="3">
          <tpl fld="0" item="0"/>
          <tpl fld="1" item="175"/>
          <tpl fld="4" item="0"/>
        </tpls>
      </m>
      <m in="0">
        <tpls c="3">
          <tpl fld="0" item="0"/>
          <tpl fld="1" item="114"/>
          <tpl fld="4" item="4"/>
        </tpls>
      </m>
      <m in="0">
        <tpls c="3">
          <tpl fld="0" item="0"/>
          <tpl fld="1" item="176"/>
          <tpl fld="4" item="4"/>
        </tpls>
      </m>
      <m in="0">
        <tpls c="3">
          <tpl fld="0" item="0"/>
          <tpl fld="1" item="177"/>
          <tpl fld="4" item="4"/>
        </tpls>
      </m>
      <m in="0">
        <tpls c="3">
          <tpl fld="0" item="0"/>
          <tpl fld="1" item="178"/>
          <tpl fld="4" item="0"/>
        </tpls>
      </m>
      <m in="0">
        <tpls c="3">
          <tpl fld="0" item="0"/>
          <tpl fld="1" item="179"/>
          <tpl fld="4" item="0"/>
        </tpls>
      </m>
      <m in="0">
        <tpls c="3">
          <tpl fld="0" item="0"/>
          <tpl fld="1" item="180"/>
          <tpl fld="4" item="0"/>
        </tpls>
      </m>
      <m in="0">
        <tpls c="3">
          <tpl fld="0" item="0"/>
          <tpl fld="1" item="96"/>
          <tpl fld="4" item="0"/>
        </tpls>
      </m>
      <m in="0">
        <tpls c="3">
          <tpl fld="0" item="0"/>
          <tpl fld="1" item="181"/>
          <tpl fld="4" item="4"/>
        </tpls>
      </m>
      <m in="0">
        <tpls c="3">
          <tpl fld="0" item="0"/>
          <tpl fld="1" item="182"/>
          <tpl fld="4" item="6"/>
        </tpls>
      </m>
      <n v="2" in="0">
        <tpls c="3">
          <tpl fld="0" item="0"/>
          <tpl fld="1" item="183"/>
          <tpl fld="4" item="11"/>
        </tpls>
      </n>
      <m in="0">
        <tpls c="3">
          <tpl fld="0" item="0"/>
          <tpl fld="1" item="170"/>
          <tpl fld="4" item="1"/>
        </tpls>
      </m>
      <m in="0">
        <tpls c="3">
          <tpl fld="0" item="0"/>
          <tpl fld="1" item="184"/>
          <tpl fld="4" item="0"/>
        </tpls>
      </m>
      <m in="0">
        <tpls c="3">
          <tpl fld="0" item="0"/>
          <tpl fld="1" item="185"/>
          <tpl fld="4" item="6"/>
        </tpls>
      </m>
      <m in="0">
        <tpls c="3">
          <tpl fld="0" item="0"/>
          <tpl fld="1" item="186"/>
          <tpl fld="4" item="3"/>
        </tpls>
      </m>
      <m in="0">
        <tpls c="3">
          <tpl fld="0" item="0"/>
          <tpl fld="1" item="187"/>
          <tpl fld="4" item="0"/>
        </tpls>
      </m>
      <m in="0">
        <tpls c="3">
          <tpl fld="0" item="0"/>
          <tpl fld="1" item="188"/>
          <tpl fld="4" item="0"/>
        </tpls>
      </m>
      <m in="0">
        <tpls c="3">
          <tpl fld="0" item="0"/>
          <tpl fld="1" item="112"/>
          <tpl fld="4" item="4"/>
        </tpls>
      </m>
      <m in="0">
        <tpls c="3">
          <tpl fld="0" item="0"/>
          <tpl fld="1" item="189"/>
          <tpl fld="4" item="0"/>
        </tpls>
      </m>
      <m in="0">
        <tpls c="3">
          <tpl fld="0" item="0"/>
          <tpl fld="1" item="190"/>
          <tpl fld="4" item="5"/>
        </tpls>
      </m>
      <m in="0">
        <tpls c="3">
          <tpl fld="0" item="0"/>
          <tpl fld="1" item="191"/>
          <tpl fld="4" item="0"/>
        </tpls>
      </m>
      <m in="0">
        <tpls c="3">
          <tpl fld="0" item="0"/>
          <tpl fld="1" item="145"/>
          <tpl fld="4" item="1"/>
        </tpls>
      </m>
      <m in="0">
        <tpls c="3">
          <tpl fld="0" item="0"/>
          <tpl fld="1" item="149"/>
          <tpl fld="4" item="3"/>
        </tpls>
      </m>
      <m in="0">
        <tpls c="3">
          <tpl fld="0" item="0"/>
          <tpl fld="1" item="192"/>
          <tpl fld="4" item="3"/>
        </tpls>
      </m>
      <m in="0">
        <tpls c="3">
          <tpl fld="0" item="0"/>
          <tpl fld="1" item="193"/>
          <tpl fld="4" item="6"/>
        </tpls>
      </m>
      <m in="0">
        <tpls c="3">
          <tpl fld="0" item="0"/>
          <tpl fld="1" item="85"/>
          <tpl fld="4" item="0"/>
        </tpls>
      </m>
      <m in="0">
        <tpls c="3">
          <tpl fld="0" item="0"/>
          <tpl fld="1" item="194"/>
          <tpl fld="4" item="3"/>
        </tpls>
      </m>
      <m in="0">
        <tpls c="3">
          <tpl fld="0" item="0"/>
          <tpl fld="1" item="195"/>
          <tpl fld="4" item="0"/>
        </tpls>
      </m>
      <m in="0">
        <tpls c="3">
          <tpl fld="0" item="0"/>
          <tpl fld="1" item="58"/>
          <tpl fld="4" item="0"/>
        </tpls>
      </m>
      <m in="0">
        <tpls c="3">
          <tpl fld="0" item="0"/>
          <tpl fld="1" item="80"/>
          <tpl fld="4" item="2"/>
        </tpls>
      </m>
      <m in="0">
        <tpls c="3">
          <tpl fld="0" item="0"/>
          <tpl fld="1" item="196"/>
          <tpl fld="4" item="6"/>
        </tpls>
      </m>
      <m in="0">
        <tpls c="3">
          <tpl fld="0" item="0"/>
          <tpl fld="1" item="197"/>
          <tpl fld="4" item="0"/>
        </tpls>
      </m>
      <m in="0">
        <tpls c="3">
          <tpl fld="0" item="0"/>
          <tpl fld="1" item="198"/>
          <tpl fld="4" item="3"/>
        </tpls>
      </m>
      <n v="1" in="0">
        <tpls c="3">
          <tpl fld="0" item="0"/>
          <tpl fld="1" item="199"/>
          <tpl fld="4" item="0"/>
        </tpls>
      </n>
      <m in="0">
        <tpls c="3">
          <tpl fld="0" item="0"/>
          <tpl fld="1" item="200"/>
          <tpl fld="4" item="0"/>
        </tpls>
      </m>
      <m in="0">
        <tpls c="3">
          <tpl fld="0" item="0"/>
          <tpl fld="1" item="48"/>
          <tpl fld="4" item="6"/>
        </tpls>
      </m>
      <m in="0">
        <tpls c="3">
          <tpl fld="0" item="0"/>
          <tpl fld="1" item="89"/>
          <tpl fld="4" item="5"/>
        </tpls>
      </m>
      <m in="0">
        <tpls c="3">
          <tpl fld="0" item="0"/>
          <tpl fld="1" item="201"/>
          <tpl fld="4" item="1"/>
        </tpls>
      </m>
      <m in="0">
        <tpls c="3">
          <tpl fld="0" item="0"/>
          <tpl fld="1" item="202"/>
          <tpl fld="4" item="6"/>
        </tpls>
      </m>
      <m in="0">
        <tpls c="3">
          <tpl fld="0" item="0"/>
          <tpl fld="1" item="191"/>
          <tpl fld="4" item="4"/>
        </tpls>
      </m>
      <m in="0">
        <tpls c="3">
          <tpl fld="0" item="0"/>
          <tpl fld="1" item="137"/>
          <tpl fld="4" item="1"/>
        </tpls>
      </m>
      <m in="0">
        <tpls c="3">
          <tpl fld="0" item="0"/>
          <tpl fld="1" item="203"/>
          <tpl fld="4" item="0"/>
        </tpls>
      </m>
      <m in="0">
        <tpls c="3">
          <tpl fld="0" item="0"/>
          <tpl fld="1" item="204"/>
          <tpl fld="4" item="6"/>
        </tpls>
      </m>
      <m in="0">
        <tpls c="3">
          <tpl fld="0" item="0"/>
          <tpl fld="1" item="42"/>
          <tpl fld="4" item="6"/>
        </tpls>
      </m>
      <m in="0">
        <tpls c="3">
          <tpl fld="0" item="0"/>
          <tpl fld="1" item="205"/>
          <tpl fld="4" item="11"/>
        </tpls>
      </m>
      <m in="0">
        <tpls c="3">
          <tpl fld="0" item="0"/>
          <tpl fld="1" item="205"/>
          <tpl fld="4" item="1"/>
        </tpls>
      </m>
      <m in="0">
        <tpls c="3">
          <tpl fld="0" item="0"/>
          <tpl fld="1" item="143"/>
          <tpl fld="4" item="1"/>
        </tpls>
      </m>
      <m in="0">
        <tpls c="3">
          <tpl fld="0" item="0"/>
          <tpl fld="1" item="206"/>
          <tpl fld="4" item="0"/>
        </tpls>
      </m>
      <m in="0">
        <tpls c="3">
          <tpl fld="0" item="0"/>
          <tpl fld="1" item="4"/>
          <tpl fld="4" item="5"/>
        </tpls>
      </m>
      <m in="0">
        <tpls c="3">
          <tpl fld="0" item="0"/>
          <tpl fld="1" item="207"/>
          <tpl fld="4" item="6"/>
        </tpls>
      </m>
      <m in="0">
        <tpls c="3">
          <tpl fld="0" item="0"/>
          <tpl fld="1" item="95"/>
          <tpl fld="4" item="12"/>
        </tpls>
      </m>
      <m in="0">
        <tpls c="3">
          <tpl fld="0" item="0"/>
          <tpl fld="1" item="208"/>
          <tpl fld="4" item="1"/>
        </tpls>
      </m>
      <m in="0">
        <tpls c="3">
          <tpl fld="0" item="0"/>
          <tpl fld="1" item="60"/>
          <tpl fld="4" item="6"/>
        </tpls>
      </m>
      <m in="0">
        <tpls c="3">
          <tpl fld="0" item="0"/>
          <tpl fld="1" item="209"/>
          <tpl fld="4" item="11"/>
        </tpls>
      </m>
      <m in="0">
        <tpls c="3">
          <tpl fld="0" item="0"/>
          <tpl fld="1" item="210"/>
          <tpl fld="4" item="8"/>
        </tpls>
      </m>
      <m in="0">
        <tpls c="3">
          <tpl fld="0" item="0"/>
          <tpl fld="1" item="211"/>
          <tpl fld="4" item="6"/>
        </tpls>
      </m>
      <m in="0">
        <tpls c="3">
          <tpl fld="0" item="0"/>
          <tpl fld="1" item="171"/>
          <tpl fld="4" item="0"/>
        </tpls>
      </m>
      <m in="0">
        <tpls c="3">
          <tpl fld="0" item="0"/>
          <tpl fld="1" item="212"/>
          <tpl fld="4" item="6"/>
        </tpls>
      </m>
      <m in="0">
        <tpls c="3">
          <tpl fld="0" item="0"/>
          <tpl fld="1" item="213"/>
          <tpl fld="4" item="1"/>
        </tpls>
      </m>
      <m in="0">
        <tpls c="3">
          <tpl fld="0" item="0"/>
          <tpl fld="1" item="195"/>
          <tpl fld="4" item="1"/>
        </tpls>
      </m>
      <m in="0">
        <tpls c="3">
          <tpl fld="0" item="0"/>
          <tpl fld="1" item="153"/>
          <tpl fld="4" item="6"/>
        </tpls>
      </m>
      <m in="0">
        <tpls c="3">
          <tpl fld="0" item="0"/>
          <tpl fld="1" item="186"/>
          <tpl fld="4" item="6"/>
        </tpls>
      </m>
      <m in="0">
        <tpls c="3">
          <tpl fld="0" item="0"/>
          <tpl fld="1" item="214"/>
          <tpl fld="4" item="1"/>
        </tpls>
      </m>
      <m in="0">
        <tpls c="3">
          <tpl fld="0" item="0"/>
          <tpl fld="1" item="75"/>
          <tpl fld="4" item="5"/>
        </tpls>
      </m>
      <n v="394" in="1">
        <tpls c="3">
          <tpl fld="0" item="0"/>
          <tpl fld="1" item="215"/>
          <tpl fld="4" item="7"/>
        </tpls>
      </n>
      <m in="0">
        <tpls c="3">
          <tpl fld="0" item="0"/>
          <tpl fld="1" item="118"/>
          <tpl fld="4" item="6"/>
        </tpls>
      </m>
      <m in="0">
        <tpls c="3">
          <tpl fld="0" item="0"/>
          <tpl fld="1" item="56"/>
          <tpl fld="4" item="1"/>
        </tpls>
      </m>
      <m in="0">
        <tpls c="3">
          <tpl fld="0" item="0"/>
          <tpl fld="1" item="216"/>
          <tpl fld="4" item="1"/>
        </tpls>
      </m>
      <m in="0">
        <tpls c="3">
          <tpl fld="0" item="0"/>
          <tpl fld="1" item="182"/>
          <tpl fld="4" item="0"/>
        </tpls>
      </m>
      <m in="0">
        <tpls c="3">
          <tpl fld="0" item="0"/>
          <tpl fld="1" item="71"/>
          <tpl fld="4" item="3"/>
        </tpls>
      </m>
      <m in="0">
        <tpls c="3">
          <tpl fld="0" item="0"/>
          <tpl fld="1" item="217"/>
          <tpl fld="4" item="6"/>
        </tpls>
      </m>
      <m in="0">
        <tpls c="3">
          <tpl fld="0" item="0"/>
          <tpl fld="1" item="125"/>
          <tpl fld="4" item="6"/>
        </tpls>
      </m>
      <m in="0">
        <tpls c="3">
          <tpl fld="0" item="0"/>
          <tpl fld="1" item="218"/>
          <tpl fld="4" item="1"/>
        </tpls>
      </m>
      <m in="0">
        <tpls c="3">
          <tpl fld="0" item="0"/>
          <tpl fld="1" item="219"/>
          <tpl fld="4" item="6"/>
        </tpls>
      </m>
      <m in="0">
        <tpls c="3">
          <tpl fld="0" item="0"/>
          <tpl fld="1" item="220"/>
          <tpl fld="4" item="8"/>
        </tpls>
      </m>
      <m in="0">
        <tpls c="3">
          <tpl fld="0" item="0"/>
          <tpl fld="1" item="69"/>
          <tpl fld="4" item="3"/>
        </tpls>
      </m>
      <m in="0">
        <tpls c="3">
          <tpl fld="0" item="0"/>
          <tpl fld="1" item="221"/>
          <tpl fld="4" item="0"/>
        </tpls>
      </m>
      <m in="0">
        <tpls c="3">
          <tpl fld="0" item="0"/>
          <tpl fld="1" item="213"/>
          <tpl fld="4" item="6"/>
        </tpls>
      </m>
      <m in="0">
        <tpls c="3">
          <tpl fld="0" item="0"/>
          <tpl fld="1" item="212"/>
          <tpl fld="4" item="11"/>
        </tpls>
      </m>
      <m in="0">
        <tpls c="3">
          <tpl fld="0" item="0"/>
          <tpl fld="1" item="222"/>
          <tpl fld="4" item="1"/>
        </tpls>
      </m>
      <n v="69" in="1">
        <tpls c="3">
          <tpl fld="0" item="0"/>
          <tpl fld="1" item="4"/>
          <tpl fld="4" item="7"/>
        </tpls>
      </n>
      <m in="0">
        <tpls c="3">
          <tpl fld="0" item="0"/>
          <tpl fld="1" item="223"/>
          <tpl fld="4" item="6"/>
        </tpls>
      </m>
      <m in="0">
        <tpls c="3">
          <tpl fld="0" item="0"/>
          <tpl fld="1" item="162"/>
          <tpl fld="4" item="3"/>
        </tpls>
      </m>
      <m in="0">
        <tpls c="3">
          <tpl fld="0" item="0"/>
          <tpl fld="1" item="224"/>
          <tpl fld="4" item="1"/>
        </tpls>
      </m>
      <m in="0">
        <tpls c="3">
          <tpl fld="0" item="0"/>
          <tpl fld="1" item="225"/>
          <tpl fld="4" item="6"/>
        </tpls>
      </m>
      <n v="1" in="0">
        <tpls c="3">
          <tpl fld="0" item="0"/>
          <tpl fld="1" item="226"/>
          <tpl fld="4" item="11"/>
        </tpls>
      </n>
      <m in="0">
        <tpls c="3">
          <tpl fld="0" item="0"/>
          <tpl fld="1" item="218"/>
          <tpl fld="4" item="6"/>
        </tpls>
      </m>
      <m in="0">
        <tpls c="3">
          <tpl fld="0" item="0"/>
          <tpl fld="1" item="12"/>
          <tpl fld="4" item="4"/>
        </tpls>
      </m>
      <m in="0">
        <tpls c="3">
          <tpl fld="0" item="0"/>
          <tpl fld="1" item="119"/>
          <tpl fld="4" item="6"/>
        </tpls>
      </m>
      <m in="0">
        <tpls c="3">
          <tpl fld="0" item="0"/>
          <tpl fld="1" item="25"/>
          <tpl fld="4" item="1"/>
        </tpls>
      </m>
      <n v="52" in="1">
        <tpls c="3">
          <tpl fld="0" item="0"/>
          <tpl fld="1" item="227"/>
          <tpl fld="4" item="7"/>
        </tpls>
      </n>
      <m in="0">
        <tpls c="3">
          <tpl fld="0" item="0"/>
          <tpl fld="1" item="228"/>
          <tpl fld="4" item="5"/>
        </tpls>
      </m>
      <m in="0">
        <tpls c="3">
          <tpl fld="0" item="0"/>
          <tpl fld="1" item="8"/>
          <tpl fld="4" item="1"/>
        </tpls>
      </m>
      <n v="11" in="0">
        <tpls c="3">
          <tpl fld="0" item="0"/>
          <tpl fld="1" item="77"/>
          <tpl fld="4" item="3"/>
        </tpls>
      </n>
      <m in="0">
        <tpls c="3">
          <tpl fld="0" item="0"/>
          <tpl fld="1" item="229"/>
          <tpl fld="4" item="0"/>
        </tpls>
      </m>
      <m in="0">
        <tpls c="3">
          <tpl fld="0" item="0"/>
          <tpl fld="1" item="230"/>
          <tpl fld="4" item="6"/>
        </tpls>
      </m>
      <m in="0">
        <tpls c="3">
          <tpl fld="0" item="0"/>
          <tpl fld="1" item="231"/>
          <tpl fld="4" item="0"/>
        </tpls>
      </m>
      <n v="2" in="0">
        <tpls c="3">
          <tpl fld="0" item="0"/>
          <tpl fld="1" item="232"/>
          <tpl fld="4" item="3"/>
        </tpls>
      </n>
      <n v="3" in="0">
        <tpls c="3">
          <tpl fld="0" item="0"/>
          <tpl fld="1" item="45"/>
          <tpl fld="4" item="8"/>
        </tpls>
      </n>
      <m in="0">
        <tpls c="3">
          <tpl fld="0" item="0"/>
          <tpl fld="1" item="233"/>
          <tpl fld="4" item="3"/>
        </tpls>
      </m>
      <m in="0">
        <tpls c="3">
          <tpl fld="0" item="0"/>
          <tpl fld="1" item="121"/>
          <tpl fld="4" item="6"/>
        </tpls>
      </m>
      <m in="0">
        <tpls c="3">
          <tpl fld="0" item="0"/>
          <tpl fld="1" item="49"/>
          <tpl fld="4" item="5"/>
        </tpls>
      </m>
      <m in="0">
        <tpls c="3">
          <tpl fld="0" item="0"/>
          <tpl fld="1" item="133"/>
          <tpl fld="4" item="1"/>
        </tpls>
      </m>
      <m in="0">
        <tpls c="3">
          <tpl fld="0" item="0"/>
          <tpl fld="1" item="115"/>
          <tpl fld="4" item="8"/>
        </tpls>
      </m>
      <m in="0">
        <tpls c="3">
          <tpl fld="0" item="0"/>
          <tpl fld="1" item="234"/>
          <tpl fld="4" item="1"/>
        </tpls>
      </m>
      <m in="0">
        <tpls c="3">
          <tpl fld="0" item="0"/>
          <tpl fld="1" item="235"/>
          <tpl fld="4" item="6"/>
        </tpls>
      </m>
      <n v="5" in="0">
        <tpls c="3">
          <tpl fld="0" item="0"/>
          <tpl fld="1" item="64"/>
          <tpl fld="4" item="1"/>
        </tpls>
      </n>
      <m in="0">
        <tpls c="3">
          <tpl fld="0" item="0"/>
          <tpl fld="1" item="236"/>
          <tpl fld="4" item="5"/>
        </tpls>
      </m>
      <m in="0">
        <tpls c="3">
          <tpl fld="0" item="0"/>
          <tpl fld="1" item="237"/>
          <tpl fld="4" item="0"/>
        </tpls>
      </m>
      <m in="0">
        <tpls c="3">
          <tpl fld="0" item="0"/>
          <tpl fld="1" item="238"/>
          <tpl fld="4" item="4"/>
        </tpls>
      </m>
      <m in="0">
        <tpls c="3">
          <tpl fld="0" item="0"/>
          <tpl fld="1" item="36"/>
          <tpl fld="4" item="3"/>
        </tpls>
      </m>
      <m in="0">
        <tpls c="3">
          <tpl fld="0" item="0"/>
          <tpl fld="1" item="170"/>
          <tpl fld="4" item="0"/>
        </tpls>
      </m>
      <m in="0">
        <tpls c="3">
          <tpl fld="0" item="0"/>
          <tpl fld="1" item="193"/>
          <tpl fld="4" item="5"/>
        </tpls>
      </m>
      <m in="0">
        <tpls c="3">
          <tpl fld="0" item="0"/>
          <tpl fld="1" item="1"/>
          <tpl fld="4" item="5"/>
        </tpls>
      </m>
      <m in="0">
        <tpls c="3">
          <tpl fld="0" item="0"/>
          <tpl fld="1" item="168"/>
          <tpl fld="4" item="0"/>
        </tpls>
      </m>
      <m in="0">
        <tpls c="3">
          <tpl fld="0" item="0"/>
          <tpl fld="1" item="239"/>
          <tpl fld="4" item="6"/>
        </tpls>
      </m>
      <m in="0">
        <tpls c="3">
          <tpl fld="0" item="0"/>
          <tpl fld="1" item="15"/>
          <tpl fld="4" item="1"/>
        </tpls>
      </m>
      <m in="0">
        <tpls c="3">
          <tpl fld="0" item="0"/>
          <tpl fld="1" item="240"/>
          <tpl fld="4" item="11"/>
        </tpls>
      </m>
      <m in="0">
        <tpls c="3">
          <tpl fld="0" item="0"/>
          <tpl fld="1" item="241"/>
          <tpl fld="4" item="6"/>
        </tpls>
      </m>
      <m in="0">
        <tpls c="3">
          <tpl fld="0" item="0"/>
          <tpl fld="1" item="242"/>
          <tpl fld="4" item="6"/>
        </tpls>
      </m>
      <m in="0">
        <tpls c="3">
          <tpl fld="0" item="0"/>
          <tpl fld="1" item="171"/>
          <tpl fld="4" item="6"/>
        </tpls>
      </m>
      <m in="0">
        <tpls c="3">
          <tpl fld="0" item="0"/>
          <tpl fld="1" item="243"/>
          <tpl fld="4" item="10"/>
        </tpls>
      </m>
      <n v="128" in="0">
        <tpls c="3">
          <tpl fld="0" item="0"/>
          <tpl fld="1" item="219"/>
          <tpl fld="4" item="10"/>
        </tpls>
      </n>
      <m in="0">
        <tpls c="3">
          <tpl fld="0" item="0"/>
          <tpl fld="1" item="223"/>
          <tpl fld="4" item="11"/>
        </tpls>
      </m>
      <m in="0">
        <tpls c="3">
          <tpl fld="0" item="0"/>
          <tpl fld="1" item="62"/>
          <tpl fld="4" item="11"/>
        </tpls>
      </m>
      <m in="0">
        <tpls c="3">
          <tpl fld="0" item="0"/>
          <tpl fld="1" item="244"/>
          <tpl fld="4" item="3"/>
        </tpls>
      </m>
      <m in="0">
        <tpls c="3">
          <tpl fld="0" item="0"/>
          <tpl fld="1" item="245"/>
          <tpl fld="4" item="1"/>
        </tpls>
      </m>
      <n v="61" in="0">
        <tpls c="3">
          <tpl fld="0" item="0"/>
          <tpl fld="1" item="246"/>
          <tpl fld="4" item="10"/>
        </tpls>
      </n>
      <m in="0">
        <tpls c="3">
          <tpl fld="0" item="0"/>
          <tpl fld="1" item="247"/>
          <tpl fld="4" item="5"/>
        </tpls>
      </m>
      <m in="0">
        <tpls c="3">
          <tpl fld="0" item="0"/>
          <tpl fld="1" item="248"/>
          <tpl fld="4" item="6"/>
        </tpls>
      </m>
      <n v="2089" in="1">
        <tpls c="3">
          <tpl fld="0" item="0"/>
          <tpl fld="1" item="225"/>
          <tpl fld="4" item="7"/>
        </tpls>
      </n>
      <n v="194" in="1">
        <tpls c="3">
          <tpl fld="0" item="0"/>
          <tpl fld="1" item="249"/>
          <tpl fld="4" item="7"/>
        </tpls>
      </n>
      <m in="0">
        <tpls c="3">
          <tpl fld="0" item="0"/>
          <tpl fld="1" item="109"/>
          <tpl fld="4" item="0"/>
        </tpls>
      </m>
      <m in="0">
        <tpls c="3">
          <tpl fld="0" item="0"/>
          <tpl fld="1" item="250"/>
          <tpl fld="4" item="0"/>
        </tpls>
      </m>
      <n v="1" in="0">
        <tpls c="3">
          <tpl fld="0" item="0"/>
          <tpl fld="1" item="50"/>
          <tpl fld="4" item="1"/>
        </tpls>
      </n>
      <m in="0">
        <tpls c="3">
          <tpl fld="0" item="0"/>
          <tpl fld="1" item="127"/>
          <tpl fld="4" item="0"/>
        </tpls>
      </m>
      <m in="0">
        <tpls c="3">
          <tpl fld="0" item="0"/>
          <tpl fld="1" item="251"/>
          <tpl fld="4" item="0"/>
        </tpls>
      </m>
      <m in="0">
        <tpls c="3">
          <tpl fld="0" item="0"/>
          <tpl fld="1" item="240"/>
          <tpl fld="4" item="6"/>
        </tpls>
      </m>
      <m in="0">
        <tpls c="3">
          <tpl fld="0" item="0"/>
          <tpl fld="1" item="252"/>
          <tpl fld="4" item="5"/>
        </tpls>
      </m>
      <n v="2" in="0">
        <tpls c="3">
          <tpl fld="0" item="0"/>
          <tpl fld="1" item="104"/>
          <tpl fld="4" item="1"/>
        </tpls>
      </n>
      <m in="0">
        <tpls c="3">
          <tpl fld="0" item="0"/>
          <tpl fld="1" item="253"/>
          <tpl fld="4" item="11"/>
        </tpls>
      </m>
      <m in="0">
        <tpls c="3">
          <tpl fld="0" item="0"/>
          <tpl fld="1" item="245"/>
          <tpl fld="4" item="4"/>
        </tpls>
      </m>
      <m in="0">
        <tpls c="3">
          <tpl fld="0" item="0"/>
          <tpl fld="1" item="154"/>
          <tpl fld="4" item="10"/>
        </tpls>
      </m>
      <m in="1">
        <tpls c="3">
          <tpl fld="0" item="0"/>
          <tpl fld="1" item="69"/>
          <tpl fld="4" item="7"/>
        </tpls>
      </m>
      <n v="8" in="0">
        <tpls c="3">
          <tpl fld="0" item="0"/>
          <tpl fld="1" item="41"/>
          <tpl fld="4" item="1"/>
        </tpls>
      </n>
      <n v="17" in="1">
        <tpls c="3">
          <tpl fld="0" item="0"/>
          <tpl fld="1" item="171"/>
          <tpl fld="4" item="7"/>
        </tpls>
      </n>
      <m in="0">
        <tpls c="3">
          <tpl fld="0" item="0"/>
          <tpl fld="1" item="254"/>
          <tpl fld="4" item="11"/>
        </tpls>
      </m>
      <m in="0">
        <tpls c="3">
          <tpl fld="0" item="0"/>
          <tpl fld="1" item="83"/>
          <tpl fld="4" item="3"/>
        </tpls>
      </m>
      <m in="0">
        <tpls c="3">
          <tpl fld="0" item="0"/>
          <tpl fld="1" item="214"/>
          <tpl fld="4" item="5"/>
        </tpls>
      </m>
      <m in="0">
        <tpls c="3">
          <tpl fld="0" item="0"/>
          <tpl fld="1" item="79"/>
          <tpl fld="4" item="6"/>
        </tpls>
      </m>
      <m in="0">
        <tpls c="3">
          <tpl fld="0" item="0"/>
          <tpl fld="1" item="255"/>
          <tpl fld="4" item="5"/>
        </tpls>
      </m>
      <m in="0">
        <tpls c="3">
          <tpl fld="0" item="0"/>
          <tpl fld="1" item="256"/>
          <tpl fld="4" item="0"/>
        </tpls>
      </m>
      <m in="0">
        <tpls c="3">
          <tpl fld="0" item="0"/>
          <tpl fld="1" item="38"/>
          <tpl fld="4" item="8"/>
        </tpls>
      </m>
      <n v="1" in="0">
        <tpls c="3">
          <tpl fld="0" item="0"/>
          <tpl fld="1" item="203"/>
          <tpl fld="4" item="11"/>
        </tpls>
      </n>
      <m in="0">
        <tpls c="3">
          <tpl fld="0" item="0"/>
          <tpl fld="1" item="257"/>
          <tpl fld="4" item="1"/>
        </tpls>
      </m>
      <m in="0">
        <tpls c="3">
          <tpl fld="0" item="0"/>
          <tpl fld="1" item="258"/>
          <tpl fld="4" item="1"/>
        </tpls>
      </m>
      <m in="0">
        <tpls c="3">
          <tpl fld="0" item="0"/>
          <tpl fld="1" item="259"/>
          <tpl fld="4" item="1"/>
        </tpls>
      </m>
      <m in="0">
        <tpls c="3">
          <tpl fld="0" item="0"/>
          <tpl fld="1" item="260"/>
          <tpl fld="4" item="5"/>
        </tpls>
      </m>
      <m in="0">
        <tpls c="3">
          <tpl fld="0" item="0"/>
          <tpl fld="1" item="261"/>
          <tpl fld="4" item="10"/>
        </tpls>
      </m>
      <n v="277" in="0">
        <tpls c="3">
          <tpl fld="0" item="0"/>
          <tpl fld="1" item="231"/>
          <tpl fld="4" item="10"/>
        </tpls>
      </n>
      <m in="0">
        <tpls c="3">
          <tpl fld="0" item="0"/>
          <tpl fld="1" item="262"/>
          <tpl fld="4" item="6"/>
        </tpls>
      </m>
      <n v="39" in="1">
        <tpls c="3">
          <tpl fld="0" item="0"/>
          <tpl fld="1" item="263"/>
          <tpl fld="4" item="7"/>
        </tpls>
      </n>
      <n v="33" in="1">
        <tpls c="3">
          <tpl fld="0" item="0"/>
          <tpl fld="1" item="142"/>
          <tpl fld="4" item="7"/>
        </tpls>
      </n>
      <n v="1" in="0">
        <tpls c="3">
          <tpl fld="0" item="0"/>
          <tpl fld="1" item="255"/>
          <tpl fld="4" item="8"/>
        </tpls>
      </n>
      <m in="0">
        <tpls c="3">
          <tpl fld="0" item="0"/>
          <tpl fld="1" item="248"/>
          <tpl fld="4" item="1"/>
        </tpls>
      </m>
      <m in="0">
        <tpls c="3">
          <tpl fld="0" item="0"/>
          <tpl fld="1" item="54"/>
          <tpl fld="4" item="9"/>
        </tpls>
      </m>
      <n v="2" in="0">
        <tpls c="3">
          <tpl fld="0" item="0"/>
          <tpl fld="1" item="114"/>
          <tpl fld="4" item="8"/>
        </tpls>
      </n>
      <m in="0">
        <tpls c="3">
          <tpl fld="0" item="0"/>
          <tpl fld="1" item="198"/>
          <tpl fld="4" item="1"/>
        </tpls>
      </m>
      <n v="1" in="0">
        <tpls c="3">
          <tpl fld="0" item="0"/>
          <tpl fld="1" item="264"/>
          <tpl fld="4" item="1"/>
        </tpls>
      </n>
      <m in="0">
        <tpls c="3">
          <tpl fld="0" item="0"/>
          <tpl fld="1" item="196"/>
          <tpl fld="4" item="1"/>
        </tpls>
      </m>
      <m in="0">
        <tpls c="3">
          <tpl fld="0" item="0"/>
          <tpl fld="1" item="250"/>
          <tpl fld="4" item="6"/>
        </tpls>
      </m>
      <m in="0">
        <tpls c="3">
          <tpl fld="0" item="0"/>
          <tpl fld="1" item="265"/>
          <tpl fld="4" item="1"/>
        </tpls>
      </m>
      <n v="72" in="1">
        <tpls c="3">
          <tpl fld="0" item="0"/>
          <tpl fld="1" item="0"/>
          <tpl fld="4" item="7"/>
        </tpls>
      </n>
      <m in="0">
        <tpls c="3">
          <tpl fld="0" item="0"/>
          <tpl fld="1" item="41"/>
          <tpl fld="4" item="5"/>
        </tpls>
      </m>
      <m in="0">
        <tpls c="3">
          <tpl fld="0" item="0"/>
          <tpl fld="1" item="31"/>
          <tpl fld="4" item="1"/>
        </tpls>
      </m>
      <n v="95" in="1">
        <tpls c="3">
          <tpl fld="0" item="0"/>
          <tpl fld="1" item="194"/>
          <tpl fld="4" item="7"/>
        </tpls>
      </n>
      <m in="0">
        <tpls c="3">
          <tpl fld="0" item="0"/>
          <tpl fld="1" item="57"/>
          <tpl fld="4" item="1"/>
        </tpls>
      </m>
      <m in="0">
        <tpls c="3">
          <tpl fld="0" item="0"/>
          <tpl fld="1" item="100"/>
          <tpl fld="4" item="11"/>
        </tpls>
      </m>
      <n v="3764" in="0">
        <tpls c="3">
          <tpl fld="0" item="0"/>
          <tpl fld="1" item="266"/>
          <tpl fld="4" item="10"/>
        </tpls>
      </n>
      <m in="0">
        <tpls c="3">
          <tpl fld="0" item="0"/>
          <tpl fld="1" item="267"/>
          <tpl fld="4" item="1"/>
        </tpls>
      </m>
      <m in="0">
        <tpls c="3">
          <tpl fld="0" item="0"/>
          <tpl fld="1" item="268"/>
          <tpl fld="4" item="1"/>
        </tpls>
      </m>
      <m in="0">
        <tpls c="3">
          <tpl fld="0" item="0"/>
          <tpl fld="1" item="24"/>
          <tpl fld="4" item="6"/>
        </tpls>
      </m>
      <m in="0">
        <tpls c="3">
          <tpl fld="0" item="0"/>
          <tpl fld="1" item="269"/>
          <tpl fld="4" item="6"/>
        </tpls>
      </m>
      <m in="0">
        <tpls c="3">
          <tpl fld="0" item="0"/>
          <tpl fld="1" item="97"/>
          <tpl fld="4" item="1"/>
        </tpls>
      </m>
      <m in="0">
        <tpls c="3">
          <tpl fld="0" item="0"/>
          <tpl fld="1" item="216"/>
          <tpl fld="4" item="6"/>
        </tpls>
      </m>
      <m in="0">
        <tpls c="3">
          <tpl fld="0" item="0"/>
          <tpl fld="1" item="270"/>
          <tpl fld="4" item="0"/>
        </tpls>
      </m>
      <m in="0">
        <tpls c="3">
          <tpl fld="0" item="0"/>
          <tpl fld="1" item="107"/>
          <tpl fld="4" item="6"/>
        </tpls>
      </m>
      <m in="0">
        <tpls c="3">
          <tpl fld="0" item="0"/>
          <tpl fld="1" item="271"/>
          <tpl fld="4" item="6"/>
        </tpls>
      </m>
      <m in="0">
        <tpls c="3">
          <tpl fld="0" item="0"/>
          <tpl fld="1" item="272"/>
          <tpl fld="4" item="10"/>
        </tpls>
      </m>
      <n v="1" in="0">
        <tpls c="3">
          <tpl fld="0" item="0"/>
          <tpl fld="1" item="269"/>
          <tpl fld="4" item="0"/>
        </tpls>
      </n>
      <m in="0">
        <tpls c="3">
          <tpl fld="0" item="0"/>
          <tpl fld="1" item="227"/>
          <tpl fld="4" item="6"/>
        </tpls>
      </m>
      <n v="10" in="1">
        <tpls c="3">
          <tpl fld="0" item="0"/>
          <tpl fld="1" item="178"/>
          <tpl fld="4" item="7"/>
        </tpls>
      </n>
      <m in="0">
        <tpls c="3">
          <tpl fld="0" item="0"/>
          <tpl fld="1" item="109"/>
          <tpl fld="4" item="5"/>
        </tpls>
      </m>
      <m in="0">
        <tpls c="3">
          <tpl fld="0" item="0"/>
          <tpl fld="1" item="113"/>
          <tpl fld="4" item="6"/>
        </tpls>
      </m>
      <m in="0">
        <tpls c="3">
          <tpl fld="0" item="0"/>
          <tpl fld="1" item="140"/>
          <tpl fld="4" item="5"/>
        </tpls>
      </m>
      <n v="166" in="1">
        <tpls c="3">
          <tpl fld="0" item="0"/>
          <tpl fld="1" item="152"/>
          <tpl fld="4" item="7"/>
        </tpls>
      </n>
      <m in="0">
        <tpls c="3">
          <tpl fld="0" item="0"/>
          <tpl fld="1" item="226"/>
          <tpl fld="4" item="6"/>
        </tpls>
      </m>
      <m in="0">
        <tpls c="3">
          <tpl fld="0" item="0"/>
          <tpl fld="1" item="273"/>
          <tpl fld="4" item="3"/>
        </tpls>
      </m>
      <m in="0">
        <tpls c="3">
          <tpl fld="0" item="0"/>
          <tpl fld="1" item="207"/>
          <tpl fld="4" item="5"/>
        </tpls>
      </m>
      <m in="0">
        <tpls c="3">
          <tpl fld="0" item="0"/>
          <tpl fld="1" item="274"/>
          <tpl fld="4" item="12"/>
        </tpls>
      </m>
      <m in="0">
        <tpls c="3">
          <tpl fld="0" item="0"/>
          <tpl fld="1" item="120"/>
          <tpl fld="4" item="1"/>
        </tpls>
      </m>
      <m in="0">
        <tpls c="3">
          <tpl fld="0" item="0"/>
          <tpl fld="1" item="131"/>
          <tpl fld="4" item="5"/>
        </tpls>
      </m>
      <m in="0">
        <tpls c="3">
          <tpl fld="0" item="0"/>
          <tpl fld="1" item="150"/>
          <tpl fld="4" item="6"/>
        </tpls>
      </m>
      <m in="0">
        <tpls c="3">
          <tpl fld="0" item="0"/>
          <tpl fld="1" item="275"/>
          <tpl fld="4" item="6"/>
        </tpls>
      </m>
      <m in="0">
        <tpls c="3">
          <tpl fld="0" item="0"/>
          <tpl fld="1" item="271"/>
          <tpl fld="4" item="12"/>
        </tpls>
      </m>
      <m in="0">
        <tpls c="3">
          <tpl fld="0" item="0"/>
          <tpl fld="1" item="106"/>
          <tpl fld="4" item="1"/>
        </tpls>
      </m>
      <m in="0">
        <tpls c="3">
          <tpl fld="0" item="0"/>
          <tpl fld="1" item="197"/>
          <tpl fld="4" item="5"/>
        </tpls>
      </m>
      <m in="0">
        <tpls c="3">
          <tpl fld="0" item="0"/>
          <tpl fld="1" item="276"/>
          <tpl fld="4" item="6"/>
        </tpls>
      </m>
      <m in="0">
        <tpls c="3">
          <tpl fld="0" item="0"/>
          <tpl fld="1" item="203"/>
          <tpl fld="4" item="1"/>
        </tpls>
      </m>
      <m in="0">
        <tpls c="3">
          <tpl fld="0" item="0"/>
          <tpl fld="1" item="55"/>
          <tpl fld="4" item="1"/>
        </tpls>
      </m>
      <m in="0">
        <tpls c="3">
          <tpl fld="0" item="0"/>
          <tpl fld="1" item="81"/>
          <tpl fld="4" item="5"/>
        </tpls>
      </m>
      <m in="0">
        <tpls c="3">
          <tpl fld="0" item="0"/>
          <tpl fld="1" item="30"/>
          <tpl fld="4" item="10"/>
        </tpls>
      </m>
      <m in="0">
        <tpls c="3">
          <tpl fld="0" item="0"/>
          <tpl fld="1" item="181"/>
          <tpl fld="4" item="1"/>
        </tpls>
      </m>
      <m in="0">
        <tpls c="3">
          <tpl fld="0" item="0"/>
          <tpl fld="1" item="277"/>
          <tpl fld="4" item="1"/>
        </tpls>
      </m>
      <m in="0">
        <tpls c="3">
          <tpl fld="0" item="0"/>
          <tpl fld="1" item="278"/>
          <tpl fld="4" item="6"/>
        </tpls>
      </m>
      <m in="0">
        <tpls c="3">
          <tpl fld="0" item="0"/>
          <tpl fld="1" item="279"/>
          <tpl fld="4" item="6"/>
        </tpls>
      </m>
      <m in="0">
        <tpls c="3">
          <tpl fld="0" item="0"/>
          <tpl fld="1" item="242"/>
          <tpl fld="4" item="12"/>
        </tpls>
      </m>
      <n v="164" in="1">
        <tpls c="3">
          <tpl fld="0" item="0"/>
          <tpl fld="1" item="280"/>
          <tpl fld="4" item="7"/>
        </tpls>
      </n>
      <m in="0">
        <tpls c="3">
          <tpl fld="0" item="0"/>
          <tpl fld="1" item="281"/>
          <tpl fld="4" item="5"/>
        </tpls>
      </m>
      <n v="74" in="1">
        <tpls c="3">
          <tpl fld="0" item="0"/>
          <tpl fld="1" item="282"/>
          <tpl fld="4" item="7"/>
        </tpls>
      </n>
      <m in="0">
        <tpls c="3">
          <tpl fld="0" item="0"/>
          <tpl fld="1" item="283"/>
          <tpl fld="4" item="6"/>
        </tpls>
      </m>
      <m in="0">
        <tpls c="3">
          <tpl fld="0" item="0"/>
          <tpl fld="1" item="136"/>
          <tpl fld="4" item="6"/>
        </tpls>
      </m>
      <m in="0">
        <tpls c="3">
          <tpl fld="0" item="0"/>
          <tpl fld="1" item="231"/>
          <tpl fld="4" item="5"/>
        </tpls>
      </m>
      <n v="1" in="0">
        <tpls c="3">
          <tpl fld="0" item="0"/>
          <tpl fld="1" item="32"/>
          <tpl fld="4" item="11"/>
        </tpls>
      </n>
      <n v="4" in="0">
        <tpls c="3">
          <tpl fld="0" item="0"/>
          <tpl fld="1" item="284"/>
          <tpl fld="4" item="11"/>
        </tpls>
      </n>
      <m in="0">
        <tpls c="3">
          <tpl fld="0" item="0"/>
          <tpl fld="1" item="285"/>
          <tpl fld="4" item="5"/>
        </tpls>
      </m>
      <m in="0">
        <tpls c="3">
          <tpl fld="0" item="0"/>
          <tpl fld="1" item="286"/>
          <tpl fld="4" item="1"/>
        </tpls>
      </m>
      <n v="1" in="0">
        <tpls c="3">
          <tpl fld="0" item="0"/>
          <tpl fld="1" item="11"/>
          <tpl fld="4" item="12"/>
        </tpls>
      </n>
      <m in="0">
        <tpls c="3">
          <tpl fld="0" item="0"/>
          <tpl fld="1" item="287"/>
          <tpl fld="4" item="5"/>
        </tpls>
      </m>
      <m in="0">
        <tpls c="3">
          <tpl fld="0" item="0"/>
          <tpl fld="1" item="58"/>
          <tpl fld="4" item="5"/>
        </tpls>
      </m>
      <n v="1" in="0">
        <tpls c="3">
          <tpl fld="0" item="0"/>
          <tpl fld="1" item="288"/>
          <tpl fld="4" item="11"/>
        </tpls>
      </n>
      <m in="0">
        <tpls c="3">
          <tpl fld="0" item="0"/>
          <tpl fld="1" item="143"/>
          <tpl fld="4" item="11"/>
        </tpls>
      </m>
      <m in="0">
        <tpls c="3">
          <tpl fld="0" item="0"/>
          <tpl fld="1" item="289"/>
          <tpl fld="4" item="9"/>
        </tpls>
      </m>
      <m in="0">
        <tpls c="3">
          <tpl fld="0" item="0"/>
          <tpl fld="1" item="8"/>
          <tpl fld="4" item="5"/>
        </tpls>
      </m>
      <m in="0">
        <tpls c="3">
          <tpl fld="0" item="0"/>
          <tpl fld="1" item="179"/>
          <tpl fld="4" item="5"/>
        </tpls>
      </m>
      <m in="0">
        <tpls c="3">
          <tpl fld="0" item="0"/>
          <tpl fld="1" item="71"/>
          <tpl fld="4" item="1"/>
        </tpls>
      </m>
      <m in="0">
        <tpls c="3">
          <tpl fld="0" item="0"/>
          <tpl fld="1" item="6"/>
          <tpl fld="4" item="11"/>
        </tpls>
      </m>
      <n v="141" in="0">
        <tpls c="3">
          <tpl fld="0" item="0"/>
          <tpl fld="1" item="290"/>
          <tpl fld="4" item="10"/>
        </tpls>
      </n>
      <m in="0">
        <tpls c="3">
          <tpl fld="0" item="0"/>
          <tpl fld="1" item="23"/>
          <tpl fld="4" item="1"/>
        </tpls>
      </m>
      <n v="76" in="0">
        <tpls c="3">
          <tpl fld="0" item="0"/>
          <tpl fld="1" item="291"/>
          <tpl fld="4" item="10"/>
        </tpls>
      </n>
      <n v="168" in="1">
        <tpls c="3">
          <tpl fld="0" item="0"/>
          <tpl fld="1" item="277"/>
          <tpl fld="4" item="7"/>
        </tpls>
      </n>
      <m in="0">
        <tpls c="3">
          <tpl fld="0" item="0"/>
          <tpl fld="1" item="292"/>
          <tpl fld="4" item="12"/>
        </tpls>
      </m>
      <m in="0">
        <tpls c="3">
          <tpl fld="0" item="0"/>
          <tpl fld="1" item="293"/>
          <tpl fld="4" item="6"/>
        </tpls>
      </m>
      <m in="0">
        <tpls c="3">
          <tpl fld="0" item="0"/>
          <tpl fld="1" item="294"/>
          <tpl fld="4" item="0"/>
        </tpls>
      </m>
      <n v="1" in="0">
        <tpls c="3">
          <tpl fld="0" item="0"/>
          <tpl fld="1" item="173"/>
          <tpl fld="4" item="1"/>
        </tpls>
      </n>
      <n v="16" in="0">
        <tpls c="3">
          <tpl fld="0" item="0"/>
          <tpl fld="1" item="134"/>
          <tpl fld="4" item="10"/>
        </tpls>
      </n>
      <m in="0">
        <tpls c="3">
          <tpl fld="0" item="0"/>
          <tpl fld="1" item="79"/>
          <tpl fld="4" item="1"/>
        </tpls>
      </m>
      <n v="6" in="0">
        <tpls c="3">
          <tpl fld="0" item="0"/>
          <tpl fld="1" item="85"/>
          <tpl fld="4" item="11"/>
        </tpls>
      </n>
      <m in="0">
        <tpls c="3">
          <tpl fld="0" item="0"/>
          <tpl fld="1" item="278"/>
          <tpl fld="4" item="1"/>
        </tpls>
      </m>
      <m in="0">
        <tpls c="3">
          <tpl fld="0" item="0"/>
          <tpl fld="1" item="24"/>
          <tpl fld="4" item="1"/>
        </tpls>
      </m>
      <m in="0">
        <tpls c="3">
          <tpl fld="0" item="0"/>
          <tpl fld="1" item="146"/>
          <tpl fld="4" item="6"/>
        </tpls>
      </m>
      <n v="25" in="1">
        <tpls c="3">
          <tpl fld="0" item="0"/>
          <tpl fld="1" item="195"/>
          <tpl fld="4" item="7"/>
        </tpls>
      </n>
      <m in="0">
        <tpls c="3">
          <tpl fld="0" item="0"/>
          <tpl fld="1" item="295"/>
          <tpl fld="4" item="11"/>
        </tpls>
      </m>
      <n v="141" in="1">
        <tpls c="3">
          <tpl fld="0" item="0"/>
          <tpl fld="1" item="296"/>
          <tpl fld="4" item="7"/>
        </tpls>
      </n>
      <n v="90" in="1">
        <tpls c="3">
          <tpl fld="0" item="0"/>
          <tpl fld="1" item="89"/>
          <tpl fld="4" item="7"/>
        </tpls>
      </n>
      <m in="0">
        <tpls c="3">
          <tpl fld="0" item="0"/>
          <tpl fld="1" item="122"/>
          <tpl fld="4" item="12"/>
        </tpls>
      </m>
      <m in="0">
        <tpls c="3">
          <tpl fld="0" item="0"/>
          <tpl fld="1" item="297"/>
          <tpl fld="4" item="6"/>
        </tpls>
      </m>
      <m in="0">
        <tpls c="3">
          <tpl fld="0" item="0"/>
          <tpl fld="1" item="94"/>
          <tpl fld="4" item="1"/>
        </tpls>
      </m>
      <m in="0">
        <tpls c="3">
          <tpl fld="0" item="0"/>
          <tpl fld="1" item="237"/>
          <tpl fld="4" item="6"/>
        </tpls>
      </m>
      <m in="0">
        <tpls c="3">
          <tpl fld="0" item="0"/>
          <tpl fld="1" item="122"/>
          <tpl fld="4" item="6"/>
        </tpls>
      </m>
      <n v="382" in="0">
        <tpls c="3">
          <tpl fld="0" item="0"/>
          <tpl fld="1" item="279"/>
          <tpl fld="4" item="10"/>
        </tpls>
      </n>
      <m in="0">
        <tpls c="3">
          <tpl fld="0" item="0"/>
          <tpl fld="1" item="232"/>
          <tpl fld="4" item="6"/>
        </tpls>
      </m>
      <m in="0">
        <tpls c="3">
          <tpl fld="0" item="0"/>
          <tpl fld="1" item="298"/>
          <tpl fld="4" item="6"/>
        </tpls>
      </m>
      <m in="0">
        <tpls c="3">
          <tpl fld="0" item="0"/>
          <tpl fld="1" item="34"/>
          <tpl fld="4" item="5"/>
        </tpls>
      </m>
      <m in="0">
        <tpls c="3">
          <tpl fld="0" item="0"/>
          <tpl fld="1" item="53"/>
          <tpl fld="4" item="1"/>
        </tpls>
      </m>
      <n v="4" in="0">
        <tpls c="3">
          <tpl fld="0" item="0"/>
          <tpl fld="1" item="82"/>
          <tpl fld="4" item="11"/>
        </tpls>
      </n>
      <m in="0">
        <tpls c="3">
          <tpl fld="0" item="0"/>
          <tpl fld="1" item="299"/>
          <tpl fld="4" item="1"/>
        </tpls>
      </m>
      <m in="0">
        <tpls c="3">
          <tpl fld="0" item="0"/>
          <tpl fld="1" item="300"/>
          <tpl fld="4" item="6"/>
        </tpls>
      </m>
      <n v="3" in="0">
        <tpls c="3">
          <tpl fld="0" item="0"/>
          <tpl fld="1" item="65"/>
          <tpl fld="4" item="11"/>
        </tpls>
      </n>
      <m in="0">
        <tpls c="3">
          <tpl fld="0" item="0"/>
          <tpl fld="1" item="301"/>
          <tpl fld="4" item="0"/>
        </tpls>
      </m>
      <n v="572" in="0">
        <tpls c="3">
          <tpl fld="0" item="0"/>
          <tpl fld="1" item="80"/>
          <tpl fld="4" item="10"/>
        </tpls>
      </n>
      <m in="0">
        <tpls c="3">
          <tpl fld="0" item="0"/>
          <tpl fld="1" item="275"/>
          <tpl fld="4" item="1"/>
        </tpls>
      </m>
      <m in="0">
        <tpls c="3">
          <tpl fld="0" item="0"/>
          <tpl fld="1" item="302"/>
          <tpl fld="4" item="11"/>
        </tpls>
      </m>
      <m in="0">
        <tpls c="3">
          <tpl fld="0" item="0"/>
          <tpl fld="1" item="101"/>
          <tpl fld="4" item="1"/>
        </tpls>
      </m>
      <m in="0">
        <tpls c="3">
          <tpl fld="0" item="0"/>
          <tpl fld="1" item="297"/>
          <tpl fld="4" item="11"/>
        </tpls>
      </m>
      <m in="0">
        <tpls c="3">
          <tpl fld="0" item="0"/>
          <tpl fld="1" item="105"/>
          <tpl fld="4" item="5"/>
        </tpls>
      </m>
      <m in="1">
        <tpls c="3">
          <tpl fld="0" item="0"/>
          <tpl fld="1" item="131"/>
          <tpl fld="4" item="7"/>
        </tpls>
      </m>
      <m in="0">
        <tpls c="3">
          <tpl fld="0" item="0"/>
          <tpl fld="1" item="122"/>
          <tpl fld="4" item="1"/>
        </tpls>
      </m>
      <m in="0">
        <tpls c="3">
          <tpl fld="0" item="0"/>
          <tpl fld="1" item="303"/>
          <tpl fld="4" item="6"/>
        </tpls>
      </m>
      <m in="0">
        <tpls c="3">
          <tpl fld="0" item="0"/>
          <tpl fld="1" item="118"/>
          <tpl fld="4" item="1"/>
        </tpls>
      </m>
      <m in="0">
        <tpls c="3">
          <tpl fld="0" item="0"/>
          <tpl fld="1" item="78"/>
          <tpl fld="4" item="11"/>
        </tpls>
      </m>
      <m in="0">
        <tpls c="3">
          <tpl fld="0" item="0"/>
          <tpl fld="1" item="176"/>
          <tpl fld="4" item="8"/>
        </tpls>
      </m>
      <m in="0">
        <tpls c="3">
          <tpl fld="0" item="0"/>
          <tpl fld="1" item="228"/>
          <tpl fld="4" item="1"/>
        </tpls>
      </m>
      <m in="1">
        <tpls c="3">
          <tpl fld="0" item="0"/>
          <tpl fld="1" item="304"/>
          <tpl fld="4" item="7"/>
        </tpls>
      </m>
      <m in="1">
        <tpls c="3">
          <tpl fld="0" item="0"/>
          <tpl fld="1" item="293"/>
          <tpl fld="4" item="7"/>
        </tpls>
      </m>
      <m in="0">
        <tpls c="3">
          <tpl fld="0" item="0"/>
          <tpl fld="1" item="305"/>
          <tpl fld="4" item="1"/>
        </tpls>
      </m>
      <n v="1" in="0">
        <tpls c="3">
          <tpl fld="0" item="0"/>
          <tpl fld="1" item="45"/>
          <tpl fld="4" item="5"/>
        </tpls>
      </n>
      <m in="0">
        <tpls c="3">
          <tpl fld="0" item="0"/>
          <tpl fld="1" item="218"/>
          <tpl fld="4" item="10"/>
        </tpls>
      </m>
      <m in="0">
        <tpls c="3">
          <tpl fld="0" item="0"/>
          <tpl fld="1" item="98"/>
          <tpl fld="4" item="6"/>
        </tpls>
      </m>
      <n v="5" in="0">
        <tpls c="3">
          <tpl fld="0" item="0"/>
          <tpl fld="1" item="202"/>
          <tpl fld="4" item="11"/>
        </tpls>
      </n>
      <m in="0">
        <tpls c="3">
          <tpl fld="0" item="0"/>
          <tpl fld="1" item="197"/>
          <tpl fld="4" item="6"/>
        </tpls>
      </m>
      <m in="0">
        <tpls c="3">
          <tpl fld="0" item="0"/>
          <tpl fld="1" item="306"/>
          <tpl fld="4" item="6"/>
        </tpls>
      </m>
      <m in="0">
        <tpls c="3">
          <tpl fld="0" item="0"/>
          <tpl fld="1" item="307"/>
          <tpl fld="4" item="5"/>
        </tpls>
      </m>
      <m in="0">
        <tpls c="3">
          <tpl fld="0" item="0"/>
          <tpl fld="1" item="308"/>
          <tpl fld="4" item="5"/>
        </tpls>
      </m>
      <m in="0">
        <tpls c="3">
          <tpl fld="0" item="0"/>
          <tpl fld="1" item="309"/>
          <tpl fld="4" item="11"/>
        </tpls>
      </m>
      <n v="9" in="1">
        <tpls c="3">
          <tpl fld="0" item="0"/>
          <tpl fld="1" item="310"/>
          <tpl fld="4" item="7"/>
        </tpls>
      </n>
      <m in="0">
        <tpls c="3">
          <tpl fld="0" item="0"/>
          <tpl fld="1" item="105"/>
          <tpl fld="4" item="6"/>
        </tpls>
      </m>
      <n v="2" in="0">
        <tpls c="3">
          <tpl fld="0" item="0"/>
          <tpl fld="1" item="68"/>
          <tpl fld="4" item="5"/>
        </tpls>
      </n>
      <m in="0">
        <tpls c="3">
          <tpl fld="0" item="0"/>
          <tpl fld="3" item="0"/>
          <tpl fld="4" item="11"/>
        </tpls>
      </m>
      <m in="0">
        <tpls c="3">
          <tpl fld="0" item="0"/>
          <tpl fld="1" item="299"/>
          <tpl fld="4" item="6"/>
        </tpls>
      </m>
      <n v="332" in="0">
        <tpls c="3">
          <tpl fld="0" item="0"/>
          <tpl fld="1" item="175"/>
          <tpl fld="4" item="10"/>
        </tpls>
      </n>
      <n v="2" in="0">
        <tpls c="3">
          <tpl fld="0" item="0"/>
          <tpl fld="1" item="311"/>
          <tpl fld="4" item="1"/>
        </tpls>
      </n>
      <m in="1">
        <tpls c="3">
          <tpl fld="0" item="0"/>
          <tpl fld="1" item="98"/>
          <tpl fld="4" item="7"/>
        </tpls>
      </m>
      <m in="0">
        <tpls c="3">
          <tpl fld="0" item="0"/>
          <tpl fld="1" item="130"/>
          <tpl fld="4" item="5"/>
        </tpls>
      </m>
      <n v="18" in="0">
        <tpls c="3">
          <tpl fld="0" item="0"/>
          <tpl fld="1" item="312"/>
          <tpl fld="4" item="1"/>
        </tpls>
      </n>
      <m in="0">
        <tpls c="3">
          <tpl fld="0" item="0"/>
          <tpl fld="1" item="313"/>
          <tpl fld="4" item="6"/>
        </tpls>
      </m>
      <m in="0">
        <tpls c="3">
          <tpl fld="0" item="0"/>
          <tpl fld="1" item="94"/>
          <tpl fld="4" item="6"/>
        </tpls>
      </m>
      <n v="2" in="0">
        <tpls c="3">
          <tpl fld="0" item="0"/>
          <tpl fld="1" item="32"/>
          <tpl fld="4" item="1"/>
        </tpls>
      </n>
      <m in="0">
        <tpls c="3">
          <tpl fld="0" item="0"/>
          <tpl fld="1" item="314"/>
          <tpl fld="4" item="6"/>
        </tpls>
      </m>
      <n v="19" in="0">
        <tpls c="3">
          <tpl fld="0" item="0"/>
          <tpl fld="1" item="315"/>
          <tpl fld="4" item="10"/>
        </tpls>
      </n>
      <m in="0">
        <tpls c="3">
          <tpl fld="0" item="0"/>
          <tpl fld="1" item="94"/>
          <tpl fld="4" item="8"/>
        </tpls>
      </m>
      <m in="0">
        <tpls c="3">
          <tpl fld="0" item="0"/>
          <tpl fld="1" item="282"/>
          <tpl fld="4" item="6"/>
        </tpls>
      </m>
      <m in="0">
        <tpls c="3">
          <tpl fld="0" item="0"/>
          <tpl fld="1" item="50"/>
          <tpl fld="4" item="6"/>
        </tpls>
      </m>
      <n v="2" in="0">
        <tpls c="3">
          <tpl fld="0" item="0"/>
          <tpl fld="1" item="226"/>
          <tpl fld="4" item="1"/>
        </tpls>
      </n>
      <m in="0">
        <tpls c="3">
          <tpl fld="0" item="0"/>
          <tpl fld="1" item="316"/>
          <tpl fld="4" item="1"/>
        </tpls>
      </m>
      <n v="1" in="0">
        <tpls c="3">
          <tpl fld="0" item="0"/>
          <tpl fld="1" item="317"/>
          <tpl fld="4" item="5"/>
        </tpls>
      </n>
      <m in="0">
        <tpls c="3">
          <tpl fld="0" item="0"/>
          <tpl fld="1" item="318"/>
          <tpl fld="4" item="8"/>
        </tpls>
      </m>
      <m in="0">
        <tpls c="3">
          <tpl fld="0" item="0"/>
          <tpl fld="1" item="187"/>
          <tpl fld="4" item="12"/>
        </tpls>
      </m>
      <n v="386" in="0">
        <tpls c="3">
          <tpl fld="0" item="0"/>
          <tpl fld="1" item="319"/>
          <tpl fld="4" item="10"/>
        </tpls>
      </n>
      <m in="0">
        <tpls c="3">
          <tpl fld="0" item="0"/>
          <tpl fld="1" item="4"/>
          <tpl fld="4" item="6"/>
        </tpls>
      </m>
      <n v="8" in="0">
        <tpls c="3">
          <tpl fld="0" item="0"/>
          <tpl fld="1" item="320"/>
          <tpl fld="4" item="1"/>
        </tpls>
      </n>
      <m in="0">
        <tpls c="3">
          <tpl fld="0" item="0"/>
          <tpl fld="1" item="321"/>
          <tpl fld="4" item="1"/>
        </tpls>
      </m>
      <m in="0">
        <tpls c="3">
          <tpl fld="0" item="0"/>
          <tpl fld="1" item="322"/>
          <tpl fld="4" item="0"/>
        </tpls>
      </m>
      <m in="0">
        <tpls c="3">
          <tpl fld="0" item="0"/>
          <tpl fld="1" item="323"/>
          <tpl fld="4" item="5"/>
        </tpls>
      </m>
      <m in="0">
        <tpls c="3">
          <tpl fld="0" item="0"/>
          <tpl fld="1" item="251"/>
          <tpl fld="4" item="5"/>
        </tpls>
      </m>
      <n v="1" in="0">
        <tpls c="3">
          <tpl fld="0" item="0"/>
          <tpl fld="1" item="324"/>
          <tpl fld="4" item="6"/>
        </tpls>
      </n>
      <m in="0">
        <tpls c="3">
          <tpl fld="0" item="0"/>
          <tpl fld="1" item="325"/>
          <tpl fld="4" item="5"/>
        </tpls>
      </m>
      <m in="0">
        <tpls c="3">
          <tpl fld="0" item="0"/>
          <tpl fld="1" item="23"/>
          <tpl fld="4" item="6"/>
        </tpls>
      </m>
      <m in="0">
        <tpls c="3">
          <tpl fld="0" item="0"/>
          <tpl fld="1" item="12"/>
          <tpl fld="4" item="12"/>
        </tpls>
      </m>
      <m in="0">
        <tpls c="3">
          <tpl fld="0" item="0"/>
          <tpl fld="1" item="285"/>
          <tpl fld="4" item="9"/>
        </tpls>
      </m>
      <m in="0">
        <tpls c="3">
          <tpl fld="0" item="0"/>
          <tpl fld="1" item="326"/>
          <tpl fld="4" item="11"/>
        </tpls>
      </m>
      <m in="0">
        <tpls c="3">
          <tpl fld="0" item="0"/>
          <tpl fld="1" item="327"/>
          <tpl fld="4" item="11"/>
        </tpls>
      </m>
      <m in="0">
        <tpls c="3">
          <tpl fld="0" item="0"/>
          <tpl fld="1" item="328"/>
          <tpl fld="4" item="1"/>
        </tpls>
      </m>
      <m in="0">
        <tpls c="3">
          <tpl fld="0" item="0"/>
          <tpl fld="1" item="148"/>
          <tpl fld="4" item="5"/>
        </tpls>
      </m>
      <m in="0">
        <tpls c="3">
          <tpl fld="0" item="0"/>
          <tpl fld="1" item="228"/>
          <tpl fld="4" item="6"/>
        </tpls>
      </m>
      <m in="0">
        <tpls c="3">
          <tpl fld="0" item="0"/>
          <tpl fld="1" item="329"/>
          <tpl fld="4" item="6"/>
        </tpls>
      </m>
      <n v="2" in="0">
        <tpls c="3">
          <tpl fld="0" item="0"/>
          <tpl fld="1" item="49"/>
          <tpl fld="4" item="11"/>
        </tpls>
      </n>
      <m in="0">
        <tpls c="3">
          <tpl fld="0" item="0"/>
          <tpl fld="1" item="17"/>
          <tpl fld="4" item="5"/>
        </tpls>
      </m>
      <m in="0">
        <tpls c="3">
          <tpl fld="0" item="0"/>
          <tpl fld="1" item="159"/>
          <tpl fld="4" item="6"/>
        </tpls>
      </m>
      <m in="0">
        <tpls c="3">
          <tpl fld="0" item="0"/>
          <tpl fld="1" item="318"/>
          <tpl fld="4" item="12"/>
        </tpls>
      </m>
      <n v="245" in="0">
        <tpls c="3">
          <tpl fld="0" item="0"/>
          <tpl fld="1" item="330"/>
          <tpl fld="4" item="10"/>
        </tpls>
      </n>
      <m in="0">
        <tpls c="3">
          <tpl fld="0" item="0"/>
          <tpl fld="1" item="169"/>
          <tpl fld="4" item="6"/>
        </tpls>
      </m>
      <n v="16" in="0">
        <tpls c="3">
          <tpl fld="0" item="0"/>
          <tpl fld="1" item="331"/>
          <tpl fld="4" item="11"/>
        </tpls>
      </n>
      <m in="0">
        <tpls c="3">
          <tpl fld="0" item="0"/>
          <tpl fld="1" item="332"/>
          <tpl fld="4" item="6"/>
        </tpls>
      </m>
      <m in="0">
        <tpls c="3">
          <tpl fld="0" item="0"/>
          <tpl fld="1" item="101"/>
          <tpl fld="4" item="6"/>
        </tpls>
      </m>
      <m in="0">
        <tpls c="3">
          <tpl fld="0" item="0"/>
          <tpl fld="1" item="333"/>
          <tpl fld="4" item="8"/>
        </tpls>
      </m>
      <n v="17" in="1">
        <tpls c="3">
          <tpl fld="0" item="0"/>
          <tpl fld="1" item="283"/>
          <tpl fld="4" item="7"/>
        </tpls>
      </n>
      <n v="1" in="0">
        <tpls c="3">
          <tpl fld="0" item="0"/>
          <tpl fld="1" item="141"/>
          <tpl fld="4" item="11"/>
        </tpls>
      </n>
      <m in="0">
        <tpls c="3">
          <tpl fld="0" item="0"/>
          <tpl fld="1" item="334"/>
          <tpl fld="4" item="0"/>
        </tpls>
      </m>
      <n v="2" in="0">
        <tpls c="3">
          <tpl fld="0" item="0"/>
          <tpl fld="1" item="125"/>
          <tpl fld="4" item="1"/>
        </tpls>
      </n>
      <n v="101" in="0">
        <tpls c="3">
          <tpl fld="0" item="0"/>
          <tpl fld="1" item="335"/>
          <tpl fld="4" item="10"/>
        </tpls>
      </n>
      <m in="0">
        <tpls c="3">
          <tpl fld="0" item="0"/>
          <tpl fld="1" item="336"/>
          <tpl fld="4" item="10"/>
        </tpls>
      </m>
      <n v="2" in="0">
        <tpls c="3">
          <tpl fld="0" item="0"/>
          <tpl fld="1" item="326"/>
          <tpl fld="4" item="1"/>
        </tpls>
      </n>
      <m in="0">
        <tpls c="3">
          <tpl fld="0" item="0"/>
          <tpl fld="1" item="337"/>
          <tpl fld="4" item="5"/>
        </tpls>
      </m>
      <n v="70" in="0">
        <tpls c="3">
          <tpl fld="0" item="0"/>
          <tpl fld="1" item="4"/>
          <tpl fld="4" item="10"/>
        </tpls>
      </n>
      <m in="0">
        <tpls c="3">
          <tpl fld="0" item="0"/>
          <tpl fld="1" item="317"/>
          <tpl fld="4" item="6"/>
        </tpls>
      </m>
      <m in="0">
        <tpls c="3">
          <tpl fld="0" item="0"/>
          <tpl fld="1" item="63"/>
          <tpl fld="4" item="5"/>
        </tpls>
      </m>
      <m in="0">
        <tpls c="3">
          <tpl fld="0" item="0"/>
          <tpl fld="1" item="72"/>
          <tpl fld="4" item="6"/>
        </tpls>
      </m>
      <m in="0">
        <tpls c="3">
          <tpl fld="0" item="0"/>
          <tpl fld="1" item="338"/>
          <tpl fld="4" item="5"/>
        </tpls>
      </m>
      <m in="0">
        <tpls c="3">
          <tpl fld="0" item="0"/>
          <tpl fld="1" item="339"/>
          <tpl fld="4" item="1"/>
        </tpls>
      </m>
      <m in="0">
        <tpls c="3">
          <tpl fld="0" item="0"/>
          <tpl fld="1" item="135"/>
          <tpl fld="4" item="1"/>
        </tpls>
      </m>
      <m in="0">
        <tpls c="3">
          <tpl fld="0" item="0"/>
          <tpl fld="1" item="279"/>
          <tpl fld="4" item="1"/>
        </tpls>
      </m>
      <m in="0">
        <tpls c="3">
          <tpl fld="0" item="0"/>
          <tpl fld="1" item="340"/>
          <tpl fld="4" item="9"/>
        </tpls>
      </m>
      <m in="0">
        <tpls c="3">
          <tpl fld="0" item="0"/>
          <tpl fld="1" item="341"/>
          <tpl fld="4" item="5"/>
        </tpls>
      </m>
      <n v="3" in="0">
        <tpls c="3">
          <tpl fld="0" item="0"/>
          <tpl fld="1" item="160"/>
          <tpl fld="4" item="11"/>
        </tpls>
      </n>
      <n v="113" in="0">
        <tpls c="3">
          <tpl fld="0" item="0"/>
          <tpl fld="1" item="342"/>
          <tpl fld="4" item="10"/>
        </tpls>
      </n>
      <n v="310" in="0">
        <tpls c="3">
          <tpl fld="0" item="0"/>
          <tpl fld="1" item="343"/>
          <tpl fld="4" item="10"/>
        </tpls>
      </n>
      <n v="2" in="0">
        <tpls c="3">
          <tpl fld="0" item="0"/>
          <tpl fld="1" item="319"/>
          <tpl fld="4" item="12"/>
        </tpls>
      </n>
      <m in="0">
        <tpls c="3">
          <tpl fld="0" item="0"/>
          <tpl fld="1" item="61"/>
          <tpl fld="4" item="6"/>
        </tpls>
      </m>
      <m in="0">
        <tpls c="3">
          <tpl fld="0" item="0"/>
          <tpl fld="1" item="200"/>
          <tpl fld="4" item="6"/>
        </tpls>
      </m>
      <n v="7" in="0">
        <tpls c="3">
          <tpl fld="0" item="0"/>
          <tpl fld="1" item="344"/>
          <tpl fld="4" item="10"/>
        </tpls>
      </n>
      <m in="0">
        <tpls c="3">
          <tpl fld="0" item="0"/>
          <tpl fld="1" item="72"/>
          <tpl fld="4" item="8"/>
        </tpls>
      </m>
      <m in="0">
        <tpls c="3">
          <tpl fld="0" item="0"/>
          <tpl fld="1" item="332"/>
          <tpl fld="4" item="11"/>
        </tpls>
      </m>
      <m in="0">
        <tpls c="3">
          <tpl fld="0" item="0"/>
          <tpl fld="1" item="2"/>
          <tpl fld="4" item="12"/>
        </tpls>
      </m>
      <m in="0">
        <tpls c="3">
          <tpl fld="0" item="0"/>
          <tpl fld="1" item="345"/>
          <tpl fld="4" item="10"/>
        </tpls>
      </m>
      <m in="0">
        <tpls c="3">
          <tpl fld="0" item="0"/>
          <tpl fld="1" item="334"/>
          <tpl fld="4" item="11"/>
        </tpls>
      </m>
      <m in="0">
        <tpls c="3">
          <tpl fld="0" item="0"/>
          <tpl fld="1" item="346"/>
          <tpl fld="4" item="11"/>
        </tpls>
      </m>
      <m in="0">
        <tpls c="3">
          <tpl fld="0" item="0"/>
          <tpl fld="1" item="220"/>
          <tpl fld="4" item="0"/>
        </tpls>
      </m>
      <m in="0">
        <tpls c="3">
          <tpl fld="0" item="0"/>
          <tpl fld="1" item="253"/>
          <tpl fld="4" item="5"/>
        </tpls>
      </m>
      <n v="6" in="0">
        <tpls c="3">
          <tpl fld="0" item="0"/>
          <tpl fld="1" item="68"/>
          <tpl fld="4" item="11"/>
        </tpls>
      </n>
      <m in="0">
        <tpls c="3">
          <tpl fld="0" item="0"/>
          <tpl fld="1" item="206"/>
          <tpl fld="4" item="11"/>
        </tpls>
      </m>
      <n v="378" in="0">
        <tpls c="3">
          <tpl fld="0" item="0"/>
          <tpl fld="1" item="174"/>
          <tpl fld="4" item="10"/>
        </tpls>
      </n>
      <m in="0">
        <tpls c="3">
          <tpl fld="0" item="0"/>
          <tpl fld="1" item="100"/>
          <tpl fld="4" item="8"/>
        </tpls>
      </m>
      <m in="0">
        <tpls c="3">
          <tpl fld="0" item="0"/>
          <tpl fld="1" item="275"/>
          <tpl fld="4" item="5"/>
        </tpls>
      </m>
      <n v="21" in="0">
        <tpls c="3">
          <tpl fld="0" item="0"/>
          <tpl fld="1" item="347"/>
          <tpl fld="4" item="1"/>
        </tpls>
      </n>
      <n v="1" in="0">
        <tpls c="3">
          <tpl fld="0" item="0"/>
          <tpl fld="1" item="348"/>
          <tpl fld="4" item="8"/>
        </tpls>
      </n>
      <m in="0">
        <tpls c="3">
          <tpl fld="0" item="0"/>
          <tpl fld="1" item="12"/>
          <tpl fld="4" item="11"/>
        </tpls>
      </m>
      <m in="0">
        <tpls c="3">
          <tpl fld="0" item="0"/>
          <tpl fld="1" item="224"/>
          <tpl fld="4" item="8"/>
        </tpls>
      </m>
      <m in="0">
        <tpls c="3">
          <tpl fld="0" item="0"/>
          <tpl fld="1" item="7"/>
          <tpl fld="4" item="6"/>
        </tpls>
      </m>
      <m in="0">
        <tpls c="3">
          <tpl fld="0" item="0"/>
          <tpl fld="1" item="349"/>
          <tpl fld="4" item="5"/>
        </tpls>
      </m>
      <m in="0">
        <tpls c="3">
          <tpl fld="0" item="0"/>
          <tpl fld="1" item="78"/>
          <tpl fld="4" item="5"/>
        </tpls>
      </m>
      <m in="0">
        <tpls c="3">
          <tpl fld="0" item="0"/>
          <tpl fld="1" item="350"/>
          <tpl fld="4" item="1"/>
        </tpls>
      </m>
      <m in="0">
        <tpls c="3">
          <tpl fld="0" item="0"/>
          <tpl fld="1" item="328"/>
          <tpl fld="4" item="5"/>
        </tpls>
      </m>
      <m in="0">
        <tpls c="3">
          <tpl fld="0" item="0"/>
          <tpl fld="1" item="139"/>
          <tpl fld="4" item="0"/>
        </tpls>
      </m>
      <n v="1" in="0">
        <tpls c="3">
          <tpl fld="0" item="0"/>
          <tpl fld="1" item="337"/>
          <tpl fld="4" item="1"/>
        </tpls>
      </n>
      <m in="0">
        <tpls c="3">
          <tpl fld="0" item="0"/>
          <tpl fld="1" item="335"/>
          <tpl fld="4" item="5"/>
        </tpls>
      </m>
      <n v="178" in="0">
        <tpls c="3">
          <tpl fld="0" item="0"/>
          <tpl fld="1" item="275"/>
          <tpl fld="4" item="10"/>
        </tpls>
      </n>
      <m in="0">
        <tpls c="3">
          <tpl fld="0" item="0"/>
          <tpl fld="1" item="126"/>
          <tpl fld="4" item="6"/>
        </tpls>
      </m>
      <m in="0">
        <tpls c="3">
          <tpl fld="0" item="0"/>
          <tpl fld="1" item="131"/>
          <tpl fld="4" item="1"/>
        </tpls>
      </m>
      <n v="3" in="0">
        <tpls c="3">
          <tpl fld="0" item="0"/>
          <tpl fld="1" item="351"/>
          <tpl fld="4" item="6"/>
        </tpls>
      </n>
      <m in="0">
        <tpls c="3">
          <tpl fld="0" item="0"/>
          <tpl fld="1" item="91"/>
          <tpl fld="4" item="5"/>
        </tpls>
      </m>
      <m in="0">
        <tpls c="3">
          <tpl fld="0" item="0"/>
          <tpl fld="1" item="122"/>
          <tpl fld="4" item="10"/>
        </tpls>
      </m>
      <m in="0">
        <tpls c="3">
          <tpl fld="0" item="0"/>
          <tpl fld="1" item="188"/>
          <tpl fld="4" item="6"/>
        </tpls>
      </m>
      <m in="0">
        <tpls c="3">
          <tpl fld="0" item="0"/>
          <tpl fld="1" item="352"/>
          <tpl fld="4" item="6"/>
        </tpls>
      </m>
      <m in="0">
        <tpls c="3">
          <tpl fld="0" item="0"/>
          <tpl fld="1" item="353"/>
          <tpl fld="4" item="6"/>
        </tpls>
      </m>
      <m in="0">
        <tpls c="3">
          <tpl fld="0" item="0"/>
          <tpl fld="1" item="345"/>
          <tpl fld="4" item="9"/>
        </tpls>
      </m>
      <n v="1" in="0">
        <tpls c="3">
          <tpl fld="0" item="0"/>
          <tpl fld="1" item="354"/>
          <tpl fld="4" item="9"/>
        </tpls>
      </n>
      <m in="0">
        <tpls c="3">
          <tpl fld="0" item="0"/>
          <tpl fld="1" item="350"/>
          <tpl fld="4" item="5"/>
        </tpls>
      </m>
      <m in="0">
        <tpls c="3">
          <tpl fld="0" item="0"/>
          <tpl fld="1" item="135"/>
          <tpl fld="4" item="10"/>
        </tpls>
      </m>
      <m in="0">
        <tpls c="3">
          <tpl fld="0" item="0"/>
          <tpl fld="1" item="159"/>
          <tpl fld="4" item="11"/>
        </tpls>
      </m>
      <n v="414" in="1">
        <tpls c="3">
          <tpl fld="0" item="0"/>
          <tpl fld="1" item="39"/>
          <tpl fld="4" item="7"/>
        </tpls>
      </n>
      <m in="0">
        <tpls c="3">
          <tpl fld="0" item="0"/>
          <tpl fld="1" item="123"/>
          <tpl fld="4" item="5"/>
        </tpls>
      </m>
      <m in="0">
        <tpls c="3">
          <tpl fld="0" item="0"/>
          <tpl fld="1" item="109"/>
          <tpl fld="4" item="9"/>
        </tpls>
      </m>
      <m in="0">
        <tpls c="3">
          <tpl fld="0" item="0"/>
          <tpl fld="1" item="346"/>
          <tpl fld="4" item="8"/>
        </tpls>
      </m>
      <m in="0">
        <tpls c="3">
          <tpl fld="0" item="0"/>
          <tpl fld="1" item="173"/>
          <tpl fld="4" item="11"/>
        </tpls>
      </m>
      <m in="0">
        <tpls c="3">
          <tpl fld="0" item="0"/>
          <tpl fld="1" item="355"/>
          <tpl fld="4" item="5"/>
        </tpls>
      </m>
      <m in="0">
        <tpls c="3">
          <tpl fld="0" item="0"/>
          <tpl fld="1" item="16"/>
          <tpl fld="4" item="6"/>
        </tpls>
      </m>
      <m in="0">
        <tpls c="3">
          <tpl fld="0" item="0"/>
          <tpl fld="1" item="356"/>
          <tpl fld="4" item="6"/>
        </tpls>
      </m>
      <m in="0">
        <tpls c="3">
          <tpl fld="0" item="0"/>
          <tpl fld="1" item="110"/>
          <tpl fld="4" item="12"/>
        </tpls>
      </m>
      <m in="0">
        <tpls c="3">
          <tpl fld="0" item="0"/>
          <tpl fld="1" item="105"/>
          <tpl fld="4" item="9"/>
        </tpls>
      </m>
      <m in="0">
        <tpls c="3">
          <tpl fld="0" item="0"/>
          <tpl fld="1" item="357"/>
          <tpl fld="4" item="5"/>
        </tpls>
      </m>
      <m in="0">
        <tpls c="3">
          <tpl fld="0" item="0"/>
          <tpl fld="1" item="358"/>
          <tpl fld="4" item="10"/>
        </tpls>
      </m>
      <m in="1">
        <tpls c="3">
          <tpl fld="0" item="0"/>
          <tpl fld="1" item="265"/>
          <tpl fld="4" item="7"/>
        </tpls>
      </m>
      <m in="0">
        <tpls c="3">
          <tpl fld="0" item="0"/>
          <tpl fld="1" item="139"/>
          <tpl fld="4" item="6"/>
        </tpls>
      </m>
      <m in="0">
        <tpls c="3">
          <tpl fld="0" item="0"/>
          <tpl fld="1" item="354"/>
          <tpl fld="4" item="5"/>
        </tpls>
      </m>
      <m in="0">
        <tpls c="3">
          <tpl fld="0" item="0"/>
          <tpl fld="1" item="28"/>
          <tpl fld="4" item="8"/>
        </tpls>
      </m>
      <m in="0">
        <tpls c="3">
          <tpl fld="0" item="0"/>
          <tpl fld="1" item="52"/>
          <tpl fld="4" item="8"/>
        </tpls>
      </m>
      <m in="0">
        <tpls c="3">
          <tpl fld="0" item="0"/>
          <tpl fld="1" item="171"/>
          <tpl fld="4" item="1"/>
        </tpls>
      </m>
      <n v="1" in="0">
        <tpls c="3">
          <tpl fld="0" item="0"/>
          <tpl fld="1" item="354"/>
          <tpl fld="4" item="6"/>
        </tpls>
      </n>
      <m in="0">
        <tpls c="3">
          <tpl fld="0" item="0"/>
          <tpl fld="1" item="353"/>
          <tpl fld="4" item="12"/>
        </tpls>
      </m>
      <n v="1437" in="0">
        <tpls c="3">
          <tpl fld="0" item="0"/>
          <tpl fld="1" item="45"/>
          <tpl fld="4" item="10"/>
        </tpls>
      </n>
      <m in="0">
        <tpls c="3">
          <tpl fld="0" item="0"/>
          <tpl fld="1" item="83"/>
          <tpl fld="4" item="0"/>
        </tpls>
      </m>
      <n v="28" in="0">
        <tpls c="3">
          <tpl fld="0" item="0"/>
          <tpl fld="1" item="107"/>
          <tpl fld="4" item="1"/>
        </tpls>
      </n>
      <m in="0">
        <tpls c="3">
          <tpl fld="0" item="0"/>
          <tpl fld="1" item="314"/>
          <tpl fld="4" item="5"/>
        </tpls>
      </m>
      <n v="28" in="0">
        <tpls c="3">
          <tpl fld="0" item="0"/>
          <tpl fld="1" item="359"/>
          <tpl fld="4" item="10"/>
        </tpls>
      </n>
      <m in="0">
        <tpls c="3">
          <tpl fld="0" item="0"/>
          <tpl fld="1" item="139"/>
          <tpl fld="4" item="8"/>
        </tpls>
      </m>
      <m in="0">
        <tpls c="3">
          <tpl fld="0" item="0"/>
          <tpl fld="1" item="360"/>
          <tpl fld="4" item="5"/>
        </tpls>
      </m>
      <m in="0">
        <tpls c="3">
          <tpl fld="0" item="0"/>
          <tpl fld="1" item="43"/>
          <tpl fld="4" item="10"/>
        </tpls>
      </m>
      <m in="0">
        <tpls c="3">
          <tpl fld="0" item="0"/>
          <tpl fld="1" item="361"/>
          <tpl fld="4" item="1"/>
        </tpls>
      </m>
      <n v="1" in="0">
        <tpls c="3">
          <tpl fld="0" item="0"/>
          <tpl fld="1" item="266"/>
          <tpl fld="4" item="5"/>
        </tpls>
      </n>
      <m in="0">
        <tpls c="3">
          <tpl fld="0" item="0"/>
          <tpl fld="1" item="115"/>
          <tpl fld="4" item="1"/>
        </tpls>
      </m>
      <n v="1" in="0">
        <tpls c="3">
          <tpl fld="0" item="0"/>
          <tpl fld="1" item="149"/>
          <tpl fld="4" item="9"/>
        </tpls>
      </n>
      <m in="0">
        <tpls c="3">
          <tpl fld="0" item="0"/>
          <tpl fld="1" item="312"/>
          <tpl fld="4" item="6"/>
        </tpls>
      </m>
      <n v="80" in="1">
        <tpls c="3">
          <tpl fld="0" item="0"/>
          <tpl fld="1" item="172"/>
          <tpl fld="4" item="7"/>
        </tpls>
      </n>
      <m in="0">
        <tpls c="3">
          <tpl fld="0" item="0"/>
          <tpl fld="1" item="362"/>
          <tpl fld="4" item="10"/>
        </tpls>
      </m>
      <m in="1">
        <tpls c="3">
          <tpl fld="0" item="0"/>
          <tpl fld="1" item="197"/>
          <tpl fld="4" item="7"/>
        </tpls>
      </m>
      <m in="0">
        <tpls c="3">
          <tpl fld="0" item="0"/>
          <tpl fld="1" item="363"/>
          <tpl fld="4" item="6"/>
        </tpls>
      </m>
      <m in="0">
        <tpls c="3">
          <tpl fld="0" item="0"/>
          <tpl fld="1" item="248"/>
          <tpl fld="4" item="11"/>
        </tpls>
      </m>
      <m in="0">
        <tpls c="3">
          <tpl fld="0" item="0"/>
          <tpl fld="1" item="227"/>
          <tpl fld="4" item="9"/>
        </tpls>
      </m>
      <n v="3" in="0">
        <tpls c="3">
          <tpl fld="0" item="0"/>
          <tpl fld="1" item="182"/>
          <tpl fld="4" item="1"/>
        </tpls>
      </n>
      <m in="0">
        <tpls c="3">
          <tpl fld="0" item="0"/>
          <tpl fld="1" item="176"/>
          <tpl fld="4" item="1"/>
        </tpls>
      </m>
      <m in="0">
        <tpls c="3">
          <tpl fld="0" item="0"/>
          <tpl fld="1" item="364"/>
          <tpl fld="4" item="6"/>
        </tpls>
      </m>
      <m in="0">
        <tpls c="3">
          <tpl fld="0" item="0"/>
          <tpl fld="1" item="110"/>
          <tpl fld="4" item="8"/>
        </tpls>
      </m>
      <m in="0">
        <tpls c="3">
          <tpl fld="0" item="0"/>
          <tpl fld="1" item="365"/>
          <tpl fld="4" item="6"/>
        </tpls>
      </m>
      <n v="1" in="0">
        <tpls c="3">
          <tpl fld="0" item="0"/>
          <tpl fld="1" item="366"/>
          <tpl fld="4" item="9"/>
        </tpls>
      </n>
      <m in="0">
        <tpls c="3">
          <tpl fld="0" item="0"/>
          <tpl fld="1" item="335"/>
          <tpl fld="4" item="6"/>
        </tpls>
      </m>
      <m in="0">
        <tpls c="3">
          <tpl fld="0" item="0"/>
          <tpl fld="1" item="321"/>
          <tpl fld="4" item="11"/>
        </tpls>
      </m>
      <n v="50" in="0">
        <tpls c="3">
          <tpl fld="0" item="0"/>
          <tpl fld="1" item="79"/>
          <tpl fld="4" item="10"/>
        </tpls>
      </n>
      <m in="0">
        <tpls c="3">
          <tpl fld="0" item="0"/>
          <tpl fld="1" item="90"/>
          <tpl fld="4" item="11"/>
        </tpls>
      </m>
      <m in="0">
        <tpls c="3">
          <tpl fld="0" item="0"/>
          <tpl fld="1" item="367"/>
          <tpl fld="4" item="6"/>
        </tpls>
      </m>
      <n v="268" in="1">
        <tpls c="3">
          <tpl fld="0" item="0"/>
          <tpl fld="1" item="368"/>
          <tpl fld="4" item="7"/>
        </tpls>
      </n>
      <m in="0">
        <tpls c="3">
          <tpl fld="0" item="0"/>
          <tpl fld="1" item="369"/>
          <tpl fld="4" item="8"/>
        </tpls>
      </m>
      <m in="0">
        <tpls c="3">
          <tpl fld="0" item="0"/>
          <tpl fld="1" item="359"/>
          <tpl fld="4" item="9"/>
        </tpls>
      </m>
      <m in="1">
        <tpls c="3">
          <tpl fld="0" item="0"/>
          <tpl fld="1" item="363"/>
          <tpl fld="4" item="7"/>
        </tpls>
      </m>
      <m in="0">
        <tpls c="3">
          <tpl fld="0" item="0"/>
          <tpl fld="1" item="296"/>
          <tpl fld="4" item="11"/>
        </tpls>
      </m>
      <m in="0">
        <tpls c="3">
          <tpl fld="0" item="0"/>
          <tpl fld="1" item="190"/>
          <tpl fld="4" item="6"/>
        </tpls>
      </m>
      <m in="0">
        <tpls c="3">
          <tpl fld="0" item="0"/>
          <tpl fld="1" item="155"/>
          <tpl fld="4" item="9"/>
        </tpls>
      </m>
      <n v="88" in="0">
        <tpls c="3">
          <tpl fld="0" item="0"/>
          <tpl fld="1" item="370"/>
          <tpl fld="4" item="10"/>
        </tpls>
      </n>
      <n v="2" in="0">
        <tpls c="3">
          <tpl fld="0" item="0"/>
          <tpl fld="1" item="262"/>
          <tpl fld="4" item="1"/>
        </tpls>
      </n>
      <n v="7" in="1">
        <tpls c="3">
          <tpl fld="0" item="0"/>
          <tpl fld="1" item="344"/>
          <tpl fld="4" item="7"/>
        </tpls>
      </n>
      <m in="0">
        <tpls c="3">
          <tpl fld="0" item="0"/>
          <tpl fld="1" item="93"/>
          <tpl fld="4" item="9"/>
        </tpls>
      </m>
      <m in="0">
        <tpls c="3">
          <tpl fld="0" item="0"/>
          <tpl fld="1" item="367"/>
          <tpl fld="4" item="5"/>
        </tpls>
      </m>
      <m in="0">
        <tpls c="3">
          <tpl fld="0" item="0"/>
          <tpl fld="1" item="371"/>
          <tpl fld="4" item="12"/>
        </tpls>
      </m>
      <m in="0">
        <tpls c="3">
          <tpl fld="0" item="0"/>
          <tpl fld="1" item="372"/>
          <tpl fld="4" item="11"/>
        </tpls>
      </m>
      <m in="0">
        <tpls c="3">
          <tpl fld="0" item="0"/>
          <tpl fld="1" item="51"/>
          <tpl fld="4" item="10"/>
        </tpls>
      </m>
      <m in="0">
        <tpls c="3">
          <tpl fld="0" item="0"/>
          <tpl fld="1" item="228"/>
          <tpl fld="4" item="10"/>
        </tpls>
      </m>
      <m in="0">
        <tpls c="3">
          <tpl fld="0" item="0"/>
          <tpl fld="1" item="122"/>
          <tpl fld="4" item="11"/>
        </tpls>
      </m>
      <m in="0">
        <tpls c="3">
          <tpl fld="0" item="0"/>
          <tpl fld="1" item="32"/>
          <tpl fld="4" item="6"/>
        </tpls>
      </m>
      <m in="0">
        <tpls c="3">
          <tpl fld="0" item="0"/>
          <tpl fld="1" item="315"/>
          <tpl fld="4" item="5"/>
        </tpls>
      </m>
      <m in="0">
        <tpls c="3">
          <tpl fld="0" item="0"/>
          <tpl fld="1" item="373"/>
          <tpl fld="4" item="10"/>
        </tpls>
      </m>
      <m in="0">
        <tpls c="3">
          <tpl fld="0" item="0"/>
          <tpl fld="1" item="51"/>
          <tpl fld="4" item="11"/>
        </tpls>
      </m>
      <m in="0">
        <tpls c="3">
          <tpl fld="0" item="0"/>
          <tpl fld="1" item="374"/>
          <tpl fld="4" item="6"/>
        </tpls>
      </m>
      <m in="1">
        <tpls c="3">
          <tpl fld="0" item="0"/>
          <tpl fld="1" item="211"/>
          <tpl fld="4" item="7"/>
        </tpls>
      </m>
      <n v="13" in="0">
        <tpls c="3">
          <tpl fld="0" item="0"/>
          <tpl fld="1" item="110"/>
          <tpl fld="4" item="10"/>
        </tpls>
      </n>
      <m in="0">
        <tpls c="3">
          <tpl fld="0" item="0"/>
          <tpl fld="1" item="19"/>
          <tpl fld="4" item="6"/>
        </tpls>
      </m>
      <n v="18" in="0">
        <tpls c="3">
          <tpl fld="0" item="0"/>
          <tpl fld="1" item="167"/>
          <tpl fld="4" item="10"/>
        </tpls>
      </n>
      <m in="0">
        <tpls c="3">
          <tpl fld="0" item="0"/>
          <tpl fld="1" item="111"/>
          <tpl fld="4" item="1"/>
        </tpls>
      </m>
      <m in="0">
        <tpls c="3">
          <tpl fld="0" item="0"/>
          <tpl fld="1" item="355"/>
          <tpl fld="4" item="6"/>
        </tpls>
      </m>
      <n v="1" in="0">
        <tpls c="3">
          <tpl fld="0" item="0"/>
          <tpl fld="1" item="324"/>
          <tpl fld="4" item="1"/>
        </tpls>
      </n>
      <m in="0">
        <tpls c="3">
          <tpl fld="0" item="0"/>
          <tpl fld="1" item="90"/>
          <tpl fld="4" item="5"/>
        </tpls>
      </m>
      <n v="137" in="0">
        <tpls c="3">
          <tpl fld="0" item="0"/>
          <tpl fld="1" item="161"/>
          <tpl fld="4" item="10"/>
        </tpls>
      </n>
      <m in="0">
        <tpls c="3">
          <tpl fld="0" item="0"/>
          <tpl fld="1" item="240"/>
          <tpl fld="4" item="9"/>
        </tpls>
      </m>
      <m in="0">
        <tpls c="3">
          <tpl fld="0" item="0"/>
          <tpl fld="1" item="375"/>
          <tpl fld="4" item="5"/>
        </tpls>
      </m>
      <m in="0">
        <tpls c="3">
          <tpl fld="0" item="0"/>
          <tpl fld="1" item="376"/>
          <tpl fld="4" item="11"/>
        </tpls>
      </m>
      <n v="2" in="0">
        <tpls c="3">
          <tpl fld="0" item="0"/>
          <tpl fld="1" item="85"/>
          <tpl fld="4" item="1"/>
        </tpls>
      </n>
      <n v="10" in="0">
        <tpls c="3">
          <tpl fld="0" item="0"/>
          <tpl fld="1" item="377"/>
          <tpl fld="4" item="11"/>
        </tpls>
      </n>
      <m in="0">
        <tpls c="3">
          <tpl fld="0" item="0"/>
          <tpl fld="1" item="334"/>
          <tpl fld="4" item="6"/>
        </tpls>
      </m>
      <m in="0">
        <tpls c="3">
          <tpl fld="0" item="0"/>
          <tpl fld="1" item="222"/>
          <tpl fld="4" item="6"/>
        </tpls>
      </m>
      <m in="0">
        <tpls c="3">
          <tpl fld="0" item="0"/>
          <tpl fld="1" item="151"/>
          <tpl fld="4" item="6"/>
        </tpls>
      </m>
      <m in="0">
        <tpls c="3">
          <tpl fld="0" item="0"/>
          <tpl fld="1" item="318"/>
          <tpl fld="4" item="1"/>
        </tpls>
      </m>
      <m in="0">
        <tpls c="3">
          <tpl fld="0" item="0"/>
          <tpl fld="1" item="151"/>
          <tpl fld="4" item="1"/>
        </tpls>
      </m>
      <m in="0">
        <tpls c="3">
          <tpl fld="0" item="0"/>
          <tpl fld="1" item="13"/>
          <tpl fld="4" item="6"/>
        </tpls>
      </m>
      <m in="0">
        <tpls c="3">
          <tpl fld="0" item="0"/>
          <tpl fld="1" item="150"/>
          <tpl fld="4" item="5"/>
        </tpls>
      </m>
      <m in="0">
        <tpls c="3">
          <tpl fld="0" item="0"/>
          <tpl fld="1" item="111"/>
          <tpl fld="4" item="6"/>
        </tpls>
      </m>
      <n v="17" in="0">
        <tpls c="3">
          <tpl fld="0" item="0"/>
          <tpl fld="1" item="50"/>
          <tpl fld="4" item="10"/>
        </tpls>
      </n>
      <m in="0">
        <tpls c="3">
          <tpl fld="0" item="0"/>
          <tpl fld="1" item="221"/>
          <tpl fld="4" item="9"/>
        </tpls>
      </m>
      <m in="0">
        <tpls c="3">
          <tpl fld="0" item="0"/>
          <tpl fld="1" item="5"/>
          <tpl fld="4" item="11"/>
        </tpls>
      </m>
      <m in="0">
        <tpls c="3">
          <tpl fld="0" item="0"/>
          <tpl fld="1" item="22"/>
          <tpl fld="4" item="6"/>
        </tpls>
      </m>
      <m in="0">
        <tpls c="3">
          <tpl fld="0" item="0"/>
          <tpl fld="1" item="344"/>
          <tpl fld="4" item="1"/>
        </tpls>
      </m>
      <m in="0">
        <tpls c="3">
          <tpl fld="0" item="0"/>
          <tpl fld="1" item="378"/>
          <tpl fld="4" item="12"/>
        </tpls>
      </m>
      <n v="78" in="0">
        <tpls c="3">
          <tpl fld="0" item="0"/>
          <tpl fld="1" item="282"/>
          <tpl fld="4" item="10"/>
        </tpls>
      </n>
      <m in="0">
        <tpls c="3">
          <tpl fld="0" item="0"/>
          <tpl fld="1" item="362"/>
          <tpl fld="4" item="9"/>
        </tpls>
      </m>
      <n v="3" in="0">
        <tpls c="3">
          <tpl fld="0" item="0"/>
          <tpl fld="1" item="202"/>
          <tpl fld="4" item="8"/>
        </tpls>
      </n>
      <m in="0">
        <tpls c="3">
          <tpl fld="0" item="0"/>
          <tpl fld="1" item="215"/>
          <tpl fld="4" item="5"/>
        </tpls>
      </m>
      <m in="0">
        <tpls c="3">
          <tpl fld="0" item="0"/>
          <tpl fld="1" item="341"/>
          <tpl fld="4" item="6"/>
        </tpls>
      </m>
      <m in="0">
        <tpls c="3">
          <tpl fld="0" item="0"/>
          <tpl fld="1" item="227"/>
          <tpl fld="4" item="5"/>
        </tpls>
      </m>
      <m in="0">
        <tpls c="3">
          <tpl fld="0" item="0"/>
          <tpl fld="1" item="163"/>
          <tpl fld="4" item="8"/>
        </tpls>
      </m>
      <m in="0">
        <tpls c="3">
          <tpl fld="0" item="0"/>
          <tpl fld="1" item="56"/>
          <tpl fld="4" item="9"/>
        </tpls>
      </m>
      <m in="0">
        <tpls c="3">
          <tpl fld="0" item="0"/>
          <tpl fld="1" item="141"/>
          <tpl fld="4" item="12"/>
        </tpls>
      </m>
      <m in="0">
        <tpls c="3">
          <tpl fld="0" item="0"/>
          <tpl fld="1" item="252"/>
          <tpl fld="4" item="8"/>
        </tpls>
      </m>
      <m in="0">
        <tpls c="3">
          <tpl fld="0" item="0"/>
          <tpl fld="1" item="212"/>
          <tpl fld="4" item="12"/>
        </tpls>
      </m>
      <m in="0">
        <tpls c="3">
          <tpl fld="0" item="0"/>
          <tpl fld="1" item="314"/>
          <tpl fld="4" item="9"/>
        </tpls>
      </m>
      <m in="1">
        <tpls c="3">
          <tpl fld="0" item="0"/>
          <tpl fld="1" item="379"/>
          <tpl fld="4" item="7"/>
        </tpls>
      </m>
      <m in="0">
        <tpls c="3">
          <tpl fld="0" item="0"/>
          <tpl fld="1" item="292"/>
          <tpl fld="4" item="10"/>
        </tpls>
      </m>
      <n v="1" in="0">
        <tpls c="3">
          <tpl fld="0" item="0"/>
          <tpl fld="1" item="337"/>
          <tpl fld="4" item="8"/>
        </tpls>
      </n>
      <n v="1" in="0">
        <tpls c="3">
          <tpl fld="0" item="0"/>
          <tpl fld="1" item="380"/>
          <tpl fld="4" item="5"/>
        </tpls>
      </n>
      <m in="0">
        <tpls c="3">
          <tpl fld="0" item="0"/>
          <tpl fld="1" item="274"/>
          <tpl fld="4" item="11"/>
        </tpls>
      </m>
      <m in="0">
        <tpls c="3">
          <tpl fld="0" item="0"/>
          <tpl fld="1" item="175"/>
          <tpl fld="4" item="5"/>
        </tpls>
      </m>
      <n v="996" in="1">
        <tpls c="3">
          <tpl fld="0" item="0"/>
          <tpl fld="1" item="381"/>
          <tpl fld="4" item="7"/>
        </tpls>
      </n>
      <m in="0">
        <tpls c="3">
          <tpl fld="0" item="0"/>
          <tpl fld="1" item="280"/>
          <tpl fld="4" item="6"/>
        </tpls>
      </m>
      <m in="0">
        <tpls c="3">
          <tpl fld="0" item="0"/>
          <tpl fld="1" item="168"/>
          <tpl fld="4" item="5"/>
        </tpls>
      </m>
      <n v="76" in="1">
        <tpls c="3">
          <tpl fld="0" item="0"/>
          <tpl fld="1" item="121"/>
          <tpl fld="4" item="7"/>
        </tpls>
      </n>
      <m in="0">
        <tpls c="3">
          <tpl fld="0" item="0"/>
          <tpl fld="1" item="222"/>
          <tpl fld="4" item="11"/>
        </tpls>
      </m>
      <m in="0">
        <tpls c="3">
          <tpl fld="0" item="0"/>
          <tpl fld="1" item="76"/>
          <tpl fld="4" item="1"/>
        </tpls>
      </m>
      <m in="0">
        <tpls c="3">
          <tpl fld="0" item="0"/>
          <tpl fld="1" item="332"/>
          <tpl fld="4" item="12"/>
        </tpls>
      </m>
      <n v="13" in="0">
        <tpls c="3">
          <tpl fld="0" item="0"/>
          <tpl fld="1" item="331"/>
          <tpl fld="4" item="1"/>
        </tpls>
      </n>
      <m in="0">
        <tpls c="3">
          <tpl fld="0" item="0"/>
          <tpl fld="1" item="382"/>
          <tpl fld="4" item="12"/>
        </tpls>
      </m>
      <n v="999" in="0">
        <tpls c="3">
          <tpl fld="0" item="0"/>
          <tpl fld="1" item="111"/>
          <tpl fld="4" item="10"/>
        </tpls>
      </n>
      <m in="0">
        <tpls c="3">
          <tpl fld="0" item="0"/>
          <tpl fld="1" item="73"/>
          <tpl fld="4" item="5"/>
        </tpls>
      </m>
      <m in="0">
        <tpls c="3">
          <tpl fld="0" item="0"/>
          <tpl fld="1" item="241"/>
          <tpl fld="4" item="1"/>
        </tpls>
      </m>
      <n v="509" in="1">
        <tpls c="3">
          <tpl fld="0" item="0"/>
          <tpl fld="1" item="365"/>
          <tpl fld="4" item="7"/>
        </tpls>
      </n>
      <m in="0">
        <tpls c="3">
          <tpl fld="0" item="0"/>
          <tpl fld="1" item="352"/>
          <tpl fld="4" item="9"/>
        </tpls>
      </m>
      <m in="0">
        <tpls c="3">
          <tpl fld="0" item="0"/>
          <tpl fld="1" item="228"/>
          <tpl fld="4" item="11"/>
        </tpls>
      </m>
      <n v="18" in="0">
        <tpls c="3">
          <tpl fld="0" item="0"/>
          <tpl fld="1" item="252"/>
          <tpl fld="4" item="10"/>
        </tpls>
      </n>
      <n v="3371" in="0">
        <tpls c="3">
          <tpl fld="0" item="0"/>
          <tpl fld="1" item="313"/>
          <tpl fld="4" item="10"/>
        </tpls>
      </n>
      <m in="0">
        <tpls c="3">
          <tpl fld="0" item="0"/>
          <tpl fld="1" item="48"/>
          <tpl fld="4" item="11"/>
        </tpls>
      </m>
      <m in="0">
        <tpls c="3">
          <tpl fld="0" item="0"/>
          <tpl fld="1" item="106"/>
          <tpl fld="4" item="8"/>
        </tpls>
      </m>
      <m in="0">
        <tpls c="3">
          <tpl fld="0" item="0"/>
          <tpl fld="1" item="383"/>
          <tpl fld="4" item="11"/>
        </tpls>
      </m>
      <m in="0">
        <tpls c="3">
          <tpl fld="0" item="0"/>
          <tpl fld="1" item="75"/>
          <tpl fld="4" item="11"/>
        </tpls>
      </m>
      <m in="0">
        <tpls c="3">
          <tpl fld="0" item="0"/>
          <tpl fld="1" item="337"/>
          <tpl fld="4" item="11"/>
        </tpls>
      </m>
      <m in="0">
        <tpls c="3">
          <tpl fld="0" item="0"/>
          <tpl fld="1" item="90"/>
          <tpl fld="4" item="6"/>
        </tpls>
      </m>
      <m in="0">
        <tpls c="3">
          <tpl fld="0" item="0"/>
          <tpl fld="1" item="120"/>
          <tpl fld="4" item="5"/>
        </tpls>
      </m>
      <m in="0">
        <tpls c="3">
          <tpl fld="0" item="0"/>
          <tpl fld="1" item="384"/>
          <tpl fld="4" item="10"/>
        </tpls>
      </m>
      <m in="0">
        <tpls c="3">
          <tpl fld="0" item="0"/>
          <tpl fld="1" item="66"/>
          <tpl fld="4" item="5"/>
        </tpls>
      </m>
      <m in="0">
        <tpls c="3">
          <tpl fld="0" item="0"/>
          <tpl fld="1" item="128"/>
          <tpl fld="4" item="5"/>
        </tpls>
      </m>
      <m in="0">
        <tpls c="3">
          <tpl fld="0" item="0"/>
          <tpl fld="1" item="169"/>
          <tpl fld="4" item="5"/>
        </tpls>
      </m>
      <m in="0">
        <tpls c="3">
          <tpl fld="0" item="0"/>
          <tpl fld="1" item="18"/>
          <tpl fld="4" item="8"/>
        </tpls>
      </m>
      <m in="0">
        <tpls c="3">
          <tpl fld="0" item="0"/>
          <tpl fld="1" item="290"/>
          <tpl fld="4" item="5"/>
        </tpls>
      </m>
      <n v="394" in="0">
        <tpls c="3">
          <tpl fld="0" item="0"/>
          <tpl fld="1" item="42"/>
          <tpl fld="4" item="10"/>
        </tpls>
      </n>
      <n v="3" in="0">
        <tpls c="3">
          <tpl fld="0" item="0"/>
          <tpl fld="1" item="42"/>
          <tpl fld="4" item="11"/>
        </tpls>
      </n>
      <m in="0">
        <tpls c="3">
          <tpl fld="0" item="0"/>
          <tpl fld="1" item="86"/>
          <tpl fld="4" item="11"/>
        </tpls>
      </m>
      <n v="3699" in="1">
        <tpls c="3">
          <tpl fld="0" item="0"/>
          <tpl fld="1" item="107"/>
          <tpl fld="4" item="7"/>
        </tpls>
      </n>
      <m in="0">
        <tpls c="3">
          <tpl fld="0" item="0"/>
          <tpl fld="1" item="154"/>
          <tpl fld="4" item="5"/>
        </tpls>
      </m>
      <n v="1560" in="1">
        <tpls c="3">
          <tpl fld="0" item="0"/>
          <tpl fld="1" item="385"/>
          <tpl fld="4" item="7"/>
        </tpls>
      </n>
      <m in="0">
        <tpls c="3">
          <tpl fld="0" item="0"/>
          <tpl fld="1" item="386"/>
          <tpl fld="4" item="11"/>
        </tpls>
      </m>
      <m in="0">
        <tpls c="3">
          <tpl fld="0" item="0"/>
          <tpl fld="1" item="281"/>
          <tpl fld="4" item="6"/>
        </tpls>
      </m>
      <m in="1">
        <tpls c="3">
          <tpl fld="0" item="0"/>
          <tpl fld="1" item="92"/>
          <tpl fld="4" item="7"/>
        </tpls>
      </m>
      <m in="0">
        <tpls c="3">
          <tpl fld="0" item="0"/>
          <tpl fld="1" item="387"/>
          <tpl fld="4" item="11"/>
        </tpls>
      </m>
      <m in="0">
        <tpls c="3">
          <tpl fld="0" item="0"/>
          <tpl fld="1" item="30"/>
          <tpl fld="4" item="11"/>
        </tpls>
      </m>
      <m in="1">
        <tpls c="3">
          <tpl fld="0" item="0"/>
          <tpl fld="1" item="241"/>
          <tpl fld="4" item="7"/>
        </tpls>
      </m>
      <m in="0">
        <tpls c="3">
          <tpl fld="0" item="0"/>
          <tpl fld="1" item="221"/>
          <tpl fld="4" item="11"/>
        </tpls>
      </m>
      <m in="0">
        <tpls c="3">
          <tpl fld="0" item="0"/>
          <tpl fld="1" item="388"/>
          <tpl fld="4" item="6"/>
        </tpls>
      </m>
      <m in="0">
        <tpls c="3">
          <tpl fld="0" item="0"/>
          <tpl fld="1" item="180"/>
          <tpl fld="4" item="8"/>
        </tpls>
      </m>
      <n v="1589" in="0">
        <tpls c="3">
          <tpl fld="0" item="0"/>
          <tpl fld="1" item="177"/>
          <tpl fld="4" item="10"/>
        </tpls>
      </n>
      <n v="2046" in="0">
        <tpls c="3">
          <tpl fld="0" item="0"/>
          <tpl fld="1" item="288"/>
          <tpl fld="4" item="10"/>
        </tpls>
      </n>
      <m in="0">
        <tpls c="3">
          <tpl fld="0" item="0"/>
          <tpl fld="1" item="298"/>
          <tpl fld="4" item="11"/>
        </tpls>
      </m>
      <n v="260" in="1">
        <tpls c="3">
          <tpl fld="0" item="0"/>
          <tpl fld="1" item="339"/>
          <tpl fld="4" item="7"/>
        </tpls>
      </n>
      <m in="0">
        <tpls c="3">
          <tpl fld="0" item="0"/>
          <tpl fld="1" item="83"/>
          <tpl fld="4" item="5"/>
        </tpls>
      </m>
      <n v="59" in="0">
        <tpls c="3">
          <tpl fld="0" item="0"/>
          <tpl fld="1" item="214"/>
          <tpl fld="4" item="10"/>
        </tpls>
      </n>
      <m in="0">
        <tpls c="3">
          <tpl fld="0" item="0"/>
          <tpl fld="1" item="389"/>
          <tpl fld="4" item="10"/>
        </tpls>
      </m>
      <m in="0">
        <tpls c="3">
          <tpl fld="0" item="0"/>
          <tpl fld="1" item="19"/>
          <tpl fld="4" item="11"/>
        </tpls>
      </m>
      <m in="0">
        <tpls c="3">
          <tpl fld="0" item="0"/>
          <tpl fld="1" item="75"/>
          <tpl fld="4" item="9"/>
        </tpls>
      </m>
      <m in="0">
        <tpls c="3">
          <tpl fld="0" item="0"/>
          <tpl fld="1" item="342"/>
          <tpl fld="4" item="6"/>
        </tpls>
      </m>
      <m in="0">
        <tpls c="3">
          <tpl fld="0" item="0"/>
          <tpl fld="1" item="237"/>
          <tpl fld="4" item="10"/>
        </tpls>
      </m>
      <m in="0">
        <tpls c="3">
          <tpl fld="0" item="0"/>
          <tpl fld="1" item="390"/>
          <tpl fld="4" item="6"/>
        </tpls>
      </m>
      <m in="0">
        <tpls c="3">
          <tpl fld="0" item="0"/>
          <tpl fld="1" item="311"/>
          <tpl fld="4" item="6"/>
        </tpls>
      </m>
      <m in="0">
        <tpls c="3">
          <tpl fld="0" item="0"/>
          <tpl fld="1" item="285"/>
          <tpl fld="4" item="1"/>
        </tpls>
      </m>
      <m in="0">
        <tpls c="3">
          <tpl fld="0" item="0"/>
          <tpl fld="1" item="232"/>
          <tpl fld="4" item="11"/>
        </tpls>
      </m>
      <m in="0">
        <tpls c="3">
          <tpl fld="0" item="0"/>
          <tpl fld="1" item="245"/>
          <tpl fld="4" item="5"/>
        </tpls>
      </m>
      <m in="0">
        <tpls c="3">
          <tpl fld="0" item="0"/>
          <tpl fld="1" item="252"/>
          <tpl fld="4" item="11"/>
        </tpls>
      </m>
      <m in="0">
        <tpls c="3">
          <tpl fld="0" item="0"/>
          <tpl fld="1" item="391"/>
          <tpl fld="4" item="5"/>
        </tpls>
      </m>
      <m in="0">
        <tpls c="3">
          <tpl fld="0" item="0"/>
          <tpl fld="1" item="221"/>
          <tpl fld="4" item="12"/>
        </tpls>
      </m>
      <n v="295" in="0">
        <tpls c="3">
          <tpl fld="0" item="0"/>
          <tpl fld="1" item="179"/>
          <tpl fld="4" item="10"/>
        </tpls>
      </n>
      <m in="0">
        <tpls c="3">
          <tpl fld="0" item="0"/>
          <tpl fld="1" item="112"/>
          <tpl fld="4" item="9"/>
        </tpls>
      </m>
      <m in="0">
        <tpls c="3">
          <tpl fld="0" item="0"/>
          <tpl fld="1" item="46"/>
          <tpl fld="4" item="9"/>
        </tpls>
      </m>
      <m in="0">
        <tpls c="3">
          <tpl fld="0" item="0"/>
          <tpl fld="1" item="175"/>
          <tpl fld="4" item="11"/>
        </tpls>
      </m>
      <m in="0">
        <tpls c="3">
          <tpl fld="0" item="0"/>
          <tpl fld="1" item="15"/>
          <tpl fld="4" item="5"/>
        </tpls>
      </m>
      <n v="1547" in="1">
        <tpls c="3">
          <tpl fld="0" item="0"/>
          <tpl fld="1" item="177"/>
          <tpl fld="4" item="7"/>
        </tpls>
      </n>
      <m in="0">
        <tpls c="3">
          <tpl fld="0" item="0"/>
          <tpl fld="1" item="121"/>
          <tpl fld="4" item="5"/>
        </tpls>
      </m>
      <m in="0">
        <tpls c="3">
          <tpl fld="0" item="0"/>
          <tpl fld="1" item="165"/>
          <tpl fld="4" item="6"/>
        </tpls>
      </m>
      <n v="10" in="0">
        <tpls c="3">
          <tpl fld="0" item="0"/>
          <tpl fld="1" item="347"/>
          <tpl fld="4" item="11"/>
        </tpls>
      </n>
      <m in="0">
        <tpls c="3">
          <tpl fld="0" item="0"/>
          <tpl fld="1" item="392"/>
          <tpl fld="4" item="6"/>
        </tpls>
      </m>
      <n v="262" in="1">
        <tpls c="3">
          <tpl fld="0" item="0"/>
          <tpl fld="1" item="231"/>
          <tpl fld="4" item="7"/>
        </tpls>
      </n>
      <m in="0">
        <tpls c="3">
          <tpl fld="0" item="0"/>
          <tpl fld="1" item="286"/>
          <tpl fld="4" item="11"/>
        </tpls>
      </m>
      <m in="0">
        <tpls c="3">
          <tpl fld="0" item="0"/>
          <tpl fld="1" item="296"/>
          <tpl fld="4" item="5"/>
        </tpls>
      </m>
      <m in="0">
        <tpls c="3">
          <tpl fld="0" item="0"/>
          <tpl fld="1" item="48"/>
          <tpl fld="4" item="1"/>
        </tpls>
      </m>
      <n v="216" in="1">
        <tpls c="3">
          <tpl fld="0" item="0"/>
          <tpl fld="1" item="367"/>
          <tpl fld="4" item="7"/>
        </tpls>
      </n>
      <m in="0">
        <tpls c="3">
          <tpl fld="0" item="0"/>
          <tpl fld="1" item="318"/>
          <tpl fld="4" item="6"/>
        </tpls>
      </m>
      <m in="0">
        <tpls c="3">
          <tpl fld="0" item="0"/>
          <tpl fld="1" item="393"/>
          <tpl fld="4" item="11"/>
        </tpls>
      </m>
      <m in="0">
        <tpls c="3">
          <tpl fld="0" item="0"/>
          <tpl fld="1" item="46"/>
          <tpl fld="4" item="0"/>
        </tpls>
      </m>
      <m in="0">
        <tpls c="3">
          <tpl fld="0" item="0"/>
          <tpl fld="1" item="128"/>
          <tpl fld="4" item="11"/>
        </tpls>
      </m>
      <m in="0">
        <tpls c="3">
          <tpl fld="0" item="0"/>
          <tpl fld="2" item="0"/>
          <tpl fld="4" item="12"/>
        </tpls>
      </m>
      <m in="0">
        <tpls c="3">
          <tpl fld="0" item="0"/>
          <tpl fld="1" item="88"/>
          <tpl fld="4" item="9"/>
        </tpls>
      </m>
      <m in="0">
        <tpls c="3">
          <tpl fld="0" item="0"/>
          <tpl fld="1" item="26"/>
          <tpl fld="4" item="6"/>
        </tpls>
      </m>
      <m in="0">
        <tpls c="3">
          <tpl fld="0" item="0"/>
          <tpl fld="1" item="100"/>
          <tpl fld="4" item="6"/>
        </tpls>
      </m>
      <m in="0">
        <tpls c="3">
          <tpl fld="0" item="0"/>
          <tpl fld="1" item="222"/>
          <tpl fld="4" item="5"/>
        </tpls>
      </m>
      <m in="0">
        <tpls c="3">
          <tpl fld="0" item="0"/>
          <tpl fld="1" item="130"/>
          <tpl fld="4" item="11"/>
        </tpls>
      </m>
      <n v="3" in="0">
        <tpls c="3">
          <tpl fld="0" item="0"/>
          <tpl fld="1" item="33"/>
          <tpl fld="4" item="11"/>
        </tpls>
      </n>
      <m in="0">
        <tpls c="3">
          <tpl fld="0" item="0"/>
          <tpl fld="1" item="358"/>
          <tpl fld="4" item="11"/>
        </tpls>
      </m>
      <m in="0">
        <tpls c="3">
          <tpl fld="0" item="0"/>
          <tpl fld="1" item="247"/>
          <tpl fld="4" item="1"/>
        </tpls>
      </m>
      <m in="0">
        <tpls c="3">
          <tpl fld="0" item="0"/>
          <tpl fld="1" item="258"/>
          <tpl fld="4" item="5"/>
        </tpls>
      </m>
      <m in="0">
        <tpls c="3">
          <tpl fld="0" item="0"/>
          <tpl fld="1" item="194"/>
          <tpl fld="4" item="8"/>
        </tpls>
      </m>
      <m in="0">
        <tpls c="3">
          <tpl fld="0" item="0"/>
          <tpl fld="1" item="199"/>
          <tpl fld="4" item="5"/>
        </tpls>
      </m>
      <m in="0">
        <tpls c="3">
          <tpl fld="0" item="0"/>
          <tpl fld="1" item="394"/>
          <tpl fld="4" item="5"/>
        </tpls>
      </m>
      <n v="1" in="0">
        <tpls c="3">
          <tpl fld="0" item="0"/>
          <tpl fld="1" item="395"/>
          <tpl fld="4" item="8"/>
        </tpls>
      </n>
      <m in="0">
        <tpls c="3">
          <tpl fld="0" item="0"/>
          <tpl fld="1" item="350"/>
          <tpl fld="4" item="12"/>
        </tpls>
      </m>
      <m in="0">
        <tpls c="3">
          <tpl fld="0" item="0"/>
          <tpl fld="1" item="365"/>
          <tpl fld="4" item="12"/>
        </tpls>
      </m>
      <m in="0">
        <tpls c="3">
          <tpl fld="0" item="0"/>
          <tpl fld="1" item="176"/>
          <tpl fld="4" item="12"/>
        </tpls>
      </m>
      <m in="0">
        <tpls c="3">
          <tpl fld="0" item="0"/>
          <tpl fld="1" item="396"/>
          <tpl fld="4" item="6"/>
        </tpls>
      </m>
      <m in="0">
        <tpls c="3">
          <tpl fld="0" item="0"/>
          <tpl fld="1" item="373"/>
          <tpl fld="4" item="8"/>
        </tpls>
      </m>
      <m in="0">
        <tpls c="3">
          <tpl fld="0" item="0"/>
          <tpl fld="1" item="157"/>
          <tpl fld="4" item="1"/>
        </tpls>
      </m>
      <n v="1" in="0">
        <tpls c="3">
          <tpl fld="0" item="0"/>
          <tpl fld="1" item="124"/>
          <tpl fld="4" item="1"/>
        </tpls>
      </n>
      <n v="268" in="1">
        <tpls c="3">
          <tpl fld="0" item="0"/>
          <tpl fld="1" item="10"/>
          <tpl fld="4" item="7"/>
        </tpls>
      </n>
      <m in="0">
        <tpls c="3">
          <tpl fld="0" item="0"/>
          <tpl fld="1" item="397"/>
          <tpl fld="4" item="9"/>
        </tpls>
      </m>
      <m in="0">
        <tpls c="3">
          <tpl fld="0" item="0"/>
          <tpl fld="1" item="398"/>
          <tpl fld="4" item="1"/>
        </tpls>
      </m>
      <m in="0">
        <tpls c="3">
          <tpl fld="0" item="0"/>
          <tpl fld="1" item="151"/>
          <tpl fld="4" item="5"/>
        </tpls>
      </m>
      <n v="1" in="0">
        <tpls c="3">
          <tpl fld="0" item="0"/>
          <tpl fld="1" item="125"/>
          <tpl fld="4" item="5"/>
        </tpls>
      </n>
      <m in="0">
        <tpls c="3">
          <tpl fld="0" item="0"/>
          <tpl fld="1" item="372"/>
          <tpl fld="4" item="5"/>
        </tpls>
      </m>
      <m in="0">
        <tpls c="3">
          <tpl fld="0" item="0"/>
          <tpl fld="1" item="399"/>
          <tpl fld="4" item="1"/>
        </tpls>
      </m>
      <m in="0">
        <tpls c="3">
          <tpl fld="0" item="0"/>
          <tpl fld="1" item="348"/>
          <tpl fld="4" item="5"/>
        </tpls>
      </m>
      <n v="6" in="0">
        <tpls c="3">
          <tpl fld="0" item="0"/>
          <tpl fld="1" item="45"/>
          <tpl fld="4" item="9"/>
        </tpls>
      </n>
      <m in="0">
        <tpls c="3">
          <tpl fld="0" item="0"/>
          <tpl fld="1" item="301"/>
          <tpl fld="4" item="5"/>
        </tpls>
      </m>
      <m in="0">
        <tpls c="3">
          <tpl fld="0" item="0"/>
          <tpl fld="1" item="295"/>
          <tpl fld="4" item="5"/>
        </tpls>
      </m>
      <n v="1" in="0">
        <tpls c="3">
          <tpl fld="0" item="0"/>
          <tpl fld="1" item="380"/>
          <tpl fld="4" item="8"/>
        </tpls>
      </n>
      <m in="0">
        <tpls c="3">
          <tpl fld="0" item="0"/>
          <tpl fld="1" item="29"/>
          <tpl fld="4" item="6"/>
        </tpls>
      </m>
      <m in="0">
        <tpls c="3">
          <tpl fld="0" item="0"/>
          <tpl fld="1" item="283"/>
          <tpl fld="4" item="11"/>
        </tpls>
      </m>
      <m in="0">
        <tpls c="3">
          <tpl fld="0" item="0"/>
          <tpl fld="1" item="22"/>
          <tpl fld="4" item="1"/>
        </tpls>
      </m>
      <m in="0">
        <tpls c="3">
          <tpl fld="0" item="0"/>
          <tpl fld="1" item="349"/>
          <tpl fld="4" item="6"/>
        </tpls>
      </m>
      <m in="0">
        <tpls c="3">
          <tpl fld="0" item="0"/>
          <tpl fld="1" item="43"/>
          <tpl fld="4" item="5"/>
        </tpls>
      </m>
      <m in="0">
        <tpls c="3">
          <tpl fld="0" item="0"/>
          <tpl fld="1" item="400"/>
          <tpl fld="4" item="5"/>
        </tpls>
      </m>
      <m in="0">
        <tpls c="3">
          <tpl fld="0" item="0"/>
          <tpl fld="1" item="86"/>
          <tpl fld="4" item="5"/>
        </tpls>
      </m>
      <m in="0">
        <tpls c="3">
          <tpl fld="0" item="0"/>
          <tpl fld="1" item="200"/>
          <tpl fld="4" item="1"/>
        </tpls>
      </m>
      <n v="92" in="0">
        <tpls c="3">
          <tpl fld="0" item="0"/>
          <tpl fld="1" item="3"/>
          <tpl fld="4" item="10"/>
        </tpls>
      </n>
      <m in="0">
        <tpls c="3">
          <tpl fld="0" item="0"/>
          <tpl fld="1" item="31"/>
          <tpl fld="4" item="11"/>
        </tpls>
      </m>
      <m in="0">
        <tpls c="3">
          <tpl fld="0" item="0"/>
          <tpl fld="1" item="401"/>
          <tpl fld="4" item="1"/>
        </tpls>
      </m>
      <m in="0">
        <tpls c="3">
          <tpl fld="0" item="0"/>
          <tpl fld="1" item="1"/>
          <tpl fld="4" item="12"/>
        </tpls>
      </m>
      <m in="0">
        <tpls c="3">
          <tpl fld="0" item="0"/>
          <tpl fld="1" item="133"/>
          <tpl fld="4" item="5"/>
        </tpls>
      </m>
      <m in="0">
        <tpls c="3">
          <tpl fld="0" item="0"/>
          <tpl fld="1" item="76"/>
          <tpl fld="4" item="11"/>
        </tpls>
      </m>
      <m in="0">
        <tpls c="3">
          <tpl fld="0" item="0"/>
          <tpl fld="1" item="402"/>
          <tpl fld="4" item="11"/>
        </tpls>
      </m>
      <m in="0">
        <tpls c="3">
          <tpl fld="0" item="0"/>
          <tpl fld="1" item="254"/>
          <tpl fld="4" item="8"/>
        </tpls>
      </m>
      <m in="0">
        <tpls c="3">
          <tpl fld="0" item="0"/>
          <tpl fld="1" item="264"/>
          <tpl fld="4" item="6"/>
        </tpls>
      </m>
      <n v="84" in="1">
        <tpls c="3">
          <tpl fld="0" item="0"/>
          <tpl fld="1" item="403"/>
          <tpl fld="4" item="7"/>
        </tpls>
      </n>
      <m in="0">
        <tpls c="3">
          <tpl fld="0" item="0"/>
          <tpl fld="1" item="116"/>
          <tpl fld="4" item="6"/>
        </tpls>
      </m>
      <m in="0">
        <tpls c="3">
          <tpl fld="0" item="0"/>
          <tpl fld="1" item="366"/>
          <tpl fld="4" item="6"/>
        </tpls>
      </m>
      <n v="7" in="0">
        <tpls c="3">
          <tpl fld="0" item="0"/>
          <tpl fld="1" item="390"/>
          <tpl fld="4" item="11"/>
        </tpls>
      </n>
      <m in="0">
        <tpls c="3">
          <tpl fld="0" item="0"/>
          <tpl fld="1" item="207"/>
          <tpl fld="4" item="8"/>
        </tpls>
      </m>
      <m in="0">
        <tpls c="3">
          <tpl fld="0" item="0"/>
          <tpl fld="1" item="361"/>
          <tpl fld="4" item="9"/>
        </tpls>
      </m>
      <m in="0">
        <tpls c="3">
          <tpl fld="0" item="0"/>
          <tpl fld="1" item="298"/>
          <tpl fld="4" item="5"/>
        </tpls>
      </m>
      <m in="0">
        <tpls c="3">
          <tpl fld="0" item="0"/>
          <tpl fld="1" item="73"/>
          <tpl fld="4" item="9"/>
        </tpls>
      </m>
      <m in="0">
        <tpls c="3">
          <tpl fld="0" item="0"/>
          <tpl fld="1" item="189"/>
          <tpl fld="4" item="1"/>
        </tpls>
      </m>
      <m in="0">
        <tpls c="3">
          <tpl fld="0" item="0"/>
          <tpl fld="1" item="184"/>
          <tpl fld="4" item="9"/>
        </tpls>
      </m>
      <m in="0">
        <tpls c="3">
          <tpl fld="0" item="0"/>
          <tpl fld="1" item="404"/>
          <tpl fld="4" item="6"/>
        </tpls>
      </m>
      <m in="1">
        <tpls c="3">
          <tpl fld="0" item="0"/>
          <tpl fld="1" item="185"/>
          <tpl fld="4" item="7"/>
        </tpls>
      </m>
      <m in="0">
        <tpls c="3">
          <tpl fld="0" item="0"/>
          <tpl fld="1" item="314"/>
          <tpl fld="4" item="11"/>
        </tpls>
      </m>
      <m in="0">
        <tpls c="3">
          <tpl fld="0" item="0"/>
          <tpl fld="1" item="405"/>
          <tpl fld="4" item="11"/>
        </tpls>
      </m>
      <m in="0">
        <tpls c="3">
          <tpl fld="0" item="0"/>
          <tpl fld="1" item="256"/>
          <tpl fld="4" item="11"/>
        </tpls>
      </m>
      <m in="0">
        <tpls c="3">
          <tpl fld="0" item="0"/>
          <tpl fld="1" item="59"/>
          <tpl fld="4" item="9"/>
        </tpls>
      </m>
      <n v="49" in="0">
        <tpls c="3">
          <tpl fld="0" item="0"/>
          <tpl fld="1" item="325"/>
          <tpl fld="4" item="10"/>
        </tpls>
      </n>
      <m in="0">
        <tpls c="3">
          <tpl fld="0" item="0"/>
          <tpl fld="1" item="258"/>
          <tpl fld="4" item="11"/>
        </tpls>
      </m>
      <n v="1" in="0">
        <tpls c="3">
          <tpl fld="0" item="0"/>
          <tpl fld="1" item="226"/>
          <tpl fld="4" item="8"/>
        </tpls>
      </n>
      <m in="0">
        <tpls c="3">
          <tpl fld="0" item="0"/>
          <tpl fld="1" item="102"/>
          <tpl fld="4" item="9"/>
        </tpls>
      </m>
      <m in="0">
        <tpls c="3">
          <tpl fld="0" item="0"/>
          <tpl fld="1" item="229"/>
          <tpl fld="4" item="1"/>
        </tpls>
      </m>
      <m in="0">
        <tpls c="3">
          <tpl fld="0" item="0"/>
          <tpl fld="1" item="406"/>
          <tpl fld="4" item="5"/>
        </tpls>
      </m>
      <m in="0">
        <tpls c="3">
          <tpl fld="0" item="0"/>
          <tpl fld="1" item="299"/>
          <tpl fld="4" item="11"/>
        </tpls>
      </m>
      <m in="0">
        <tpls c="3">
          <tpl fld="0" item="0"/>
          <tpl fld="1" item="237"/>
          <tpl fld="4" item="8"/>
        </tpls>
      </m>
      <m in="0">
        <tpls c="3">
          <tpl fld="0" item="0"/>
          <tpl fld="1" item="220"/>
          <tpl fld="4" item="6"/>
        </tpls>
      </m>
      <n v="2" in="0">
        <tpls c="3">
          <tpl fld="0" item="0"/>
          <tpl fld="1" item="39"/>
          <tpl fld="4" item="1"/>
        </tpls>
      </n>
      <m in="0">
        <tpls c="3">
          <tpl fld="0" item="0"/>
          <tpl fld="1" item="407"/>
          <tpl fld="4" item="1"/>
        </tpls>
      </m>
      <m in="0">
        <tpls c="3">
          <tpl fld="0" item="0"/>
          <tpl fld="1" item="260"/>
          <tpl fld="4" item="10"/>
        </tpls>
      </m>
      <m in="0">
        <tpls c="3">
          <tpl fld="0" item="0"/>
          <tpl fld="1" item="408"/>
          <tpl fld="4" item="1"/>
        </tpls>
      </m>
      <n v="2" in="1">
        <tpls c="3">
          <tpl fld="0" item="0"/>
          <tpl fld="1" item="157"/>
          <tpl fld="4" item="7"/>
        </tpls>
      </n>
      <m in="0">
        <tpls c="3">
          <tpl fld="0" item="0"/>
          <tpl fld="1" item="71"/>
          <tpl fld="4" item="10"/>
        </tpls>
      </m>
      <m in="0">
        <tpls c="3">
          <tpl fld="0" item="0"/>
          <tpl fld="1" item="6"/>
          <tpl fld="4" item="5"/>
        </tpls>
      </m>
      <n v="1" in="0">
        <tpls c="3">
          <tpl fld="0" item="0"/>
          <tpl fld="1" item="409"/>
          <tpl fld="4" item="9"/>
        </tpls>
      </n>
      <m in="0">
        <tpls c="3">
          <tpl fld="0" item="0"/>
          <tpl fld="1" item="26"/>
          <tpl fld="4" item="11"/>
        </tpls>
      </m>
      <n v="279" in="0">
        <tpls c="3">
          <tpl fld="0" item="0"/>
          <tpl fld="1" item="410"/>
          <tpl fld="4" item="10"/>
        </tpls>
      </n>
      <m in="0">
        <tpls c="3">
          <tpl fld="0" item="0"/>
          <tpl fld="1" item="276"/>
          <tpl fld="4" item="11"/>
        </tpls>
      </m>
      <m in="0">
        <tpls c="3">
          <tpl fld="0" item="0"/>
          <tpl fld="1" item="257"/>
          <tpl fld="4" item="10"/>
        </tpls>
      </m>
      <n v="767" in="1">
        <tpls c="3">
          <tpl fld="0" item="0"/>
          <tpl fld="1" item="105"/>
          <tpl fld="4" item="7"/>
        </tpls>
      </n>
      <m in="0">
        <tpls c="3">
          <tpl fld="0" item="0"/>
          <tpl fld="1" item="337"/>
          <tpl fld="4" item="0"/>
        </tpls>
      </m>
      <n v="671" in="1">
        <tpls c="3">
          <tpl fld="0" item="0"/>
          <tpl fld="1" item="141"/>
          <tpl fld="4" item="7"/>
        </tpls>
      </n>
      <m in="0">
        <tpls c="3">
          <tpl fld="0" item="0"/>
          <tpl fld="1" item="411"/>
          <tpl fld="4" item="9"/>
        </tpls>
      </m>
      <m in="0">
        <tpls c="3">
          <tpl fld="0" item="0"/>
          <tpl fld="1" item="398"/>
          <tpl fld="4" item="9"/>
        </tpls>
      </m>
      <m in="0">
        <tpls c="3">
          <tpl fld="0" item="0"/>
          <tpl fld="1" item="15"/>
          <tpl fld="4" item="9"/>
        </tpls>
      </m>
      <m in="0">
        <tpls c="3">
          <tpl fld="0" item="0"/>
          <tpl fld="1" item="230"/>
          <tpl fld="4" item="5"/>
        </tpls>
      </m>
      <m in="0">
        <tpls c="3">
          <tpl fld="0" item="0"/>
          <tpl fld="1" item="8"/>
          <tpl fld="4" item="6"/>
        </tpls>
      </m>
      <m in="0">
        <tpls c="3">
          <tpl fld="0" item="0"/>
          <tpl fld="1" item="302"/>
          <tpl fld="4" item="6"/>
        </tpls>
      </m>
      <m in="0">
        <tpls c="3">
          <tpl fld="0" item="0"/>
          <tpl fld="1" item="327"/>
          <tpl fld="4" item="9"/>
        </tpls>
      </m>
      <m in="0">
        <tpls c="3">
          <tpl fld="0" item="0"/>
          <tpl fld="1" item="188"/>
          <tpl fld="4" item="9"/>
        </tpls>
      </m>
      <m in="0">
        <tpls c="3">
          <tpl fld="0" item="0"/>
          <tpl fld="1" item="310"/>
          <tpl fld="4" item="1"/>
        </tpls>
      </m>
      <n v="37" in="1">
        <tpls c="3">
          <tpl fld="0" item="0"/>
          <tpl fld="1" item="394"/>
          <tpl fld="4" item="7"/>
        </tpls>
      </n>
      <n v="12" in="0">
        <tpls c="3">
          <tpl fld="0" item="0"/>
          <tpl fld="1" item="137"/>
          <tpl fld="4" item="10"/>
        </tpls>
      </n>
      <m in="0">
        <tpls c="3">
          <tpl fld="0" item="0"/>
          <tpl fld="1" item="34"/>
          <tpl fld="4" item="8"/>
        </tpls>
      </m>
      <m in="0">
        <tpls c="3">
          <tpl fld="0" item="0"/>
          <tpl fld="1" item="334"/>
          <tpl fld="4" item="9"/>
        </tpls>
      </m>
      <m in="0">
        <tpls c="3">
          <tpl fld="0" item="0"/>
          <tpl fld="1" item="174"/>
          <tpl fld="4" item="0"/>
        </tpls>
      </m>
      <m in="0">
        <tpls c="3">
          <tpl fld="0" item="0"/>
          <tpl fld="1" item="96"/>
          <tpl fld="4" item="6"/>
        </tpls>
      </m>
      <m in="0">
        <tpls c="3">
          <tpl fld="0" item="0"/>
          <tpl fld="1" item="156"/>
          <tpl fld="4" item="8"/>
        </tpls>
      </m>
      <m in="0">
        <tpls c="3">
          <tpl fld="0" item="0"/>
          <tpl fld="1" item="124"/>
          <tpl fld="4" item="11"/>
        </tpls>
      </m>
      <n v="2" in="0">
        <tpls c="3">
          <tpl fld="0" item="0"/>
          <tpl fld="1" item="412"/>
          <tpl fld="4" item="1"/>
        </tpls>
      </n>
      <m in="0">
        <tpls c="3">
          <tpl fld="0" item="0"/>
          <tpl fld="1" item="37"/>
          <tpl fld="4" item="8"/>
        </tpls>
      </m>
      <m in="0">
        <tpls c="3">
          <tpl fld="0" item="0"/>
          <tpl fld="1" item="392"/>
          <tpl fld="4" item="10"/>
        </tpls>
      </m>
      <m in="0">
        <tpls c="3">
          <tpl fld="0" item="0"/>
          <tpl fld="1" item="413"/>
          <tpl fld="4" item="9"/>
        </tpls>
      </m>
      <m in="0">
        <tpls c="3">
          <tpl fld="0" item="0"/>
          <tpl fld="1" item="12"/>
          <tpl fld="4" item="5"/>
        </tpls>
      </m>
      <m in="0">
        <tpls c="3">
          <tpl fld="0" item="0"/>
          <tpl fld="1" item="118"/>
          <tpl fld="4" item="9"/>
        </tpls>
      </m>
      <n v="6" in="0">
        <tpls c="3">
          <tpl fld="0" item="0"/>
          <tpl fld="1" item="41"/>
          <tpl fld="4" item="11"/>
        </tpls>
      </n>
      <m in="0">
        <tpls c="3">
          <tpl fld="0" item="0"/>
          <tpl fld="1" item="193"/>
          <tpl fld="4" item="10"/>
        </tpls>
      </m>
      <m in="0">
        <tpls c="3">
          <tpl fld="0" item="0"/>
          <tpl fld="1" item="5"/>
          <tpl fld="4" item="5"/>
        </tpls>
      </m>
      <n v="565" in="0">
        <tpls c="3">
          <tpl fld="0" item="0"/>
          <tpl fld="1" item="320"/>
          <tpl fld="4" item="10"/>
        </tpls>
      </n>
      <m in="0">
        <tpls c="3">
          <tpl fld="0" item="0"/>
          <tpl fld="1" item="18"/>
          <tpl fld="4" item="1"/>
        </tpls>
      </m>
      <m in="0">
        <tpls c="3">
          <tpl fld="0" item="0"/>
          <tpl fld="1" item="296"/>
          <tpl fld="4" item="6"/>
        </tpls>
      </m>
      <m in="0">
        <tpls c="3">
          <tpl fld="0" item="0"/>
          <tpl fld="1" item="192"/>
          <tpl fld="4" item="1"/>
        </tpls>
      </m>
      <m in="0">
        <tpls c="3">
          <tpl fld="0" item="0"/>
          <tpl fld="1" item="33"/>
          <tpl fld="4" item="5"/>
        </tpls>
      </m>
      <m in="0">
        <tpls c="3">
          <tpl fld="0" item="0"/>
          <tpl fld="1" item="220"/>
          <tpl fld="4" item="12"/>
        </tpls>
      </m>
      <m in="0">
        <tpls c="3">
          <tpl fld="0" item="0"/>
          <tpl fld="1" item="1"/>
          <tpl fld="4" item="9"/>
        </tpls>
      </m>
      <m in="0">
        <tpls c="3">
          <tpl fld="0" item="0"/>
          <tpl fld="1" item="62"/>
          <tpl fld="4" item="1"/>
        </tpls>
      </m>
      <m in="0">
        <tpls c="3">
          <tpl fld="0" item="0"/>
          <tpl fld="1" item="251"/>
          <tpl fld="4" item="6"/>
        </tpls>
      </m>
      <n v="8" in="1">
        <tpls c="3">
          <tpl fld="0" item="0"/>
          <tpl fld="1" item="391"/>
          <tpl fld="4" item="7"/>
        </tpls>
      </n>
      <m in="0">
        <tpls c="3">
          <tpl fld="0" item="0"/>
          <tpl fld="1" item="220"/>
          <tpl fld="4" item="10"/>
        </tpls>
      </m>
      <m in="0">
        <tpls c="3">
          <tpl fld="0" item="0"/>
          <tpl fld="1" item="141"/>
          <tpl fld="4" item="1"/>
        </tpls>
      </m>
      <m in="0">
        <tpls c="3">
          <tpl fld="0" item="0"/>
          <tpl fld="1" item="369"/>
          <tpl fld="4" item="5"/>
        </tpls>
      </m>
      <m in="0">
        <tpls c="3">
          <tpl fld="0" item="0"/>
          <tpl fld="1" item="414"/>
          <tpl fld="4" item="10"/>
        </tpls>
      </m>
      <m in="0">
        <tpls c="3">
          <tpl fld="0" item="0"/>
          <tpl fld="1" item="415"/>
          <tpl fld="4" item="6"/>
        </tpls>
      </m>
      <n v="5" in="0">
        <tpls c="3">
          <tpl fld="0" item="0"/>
          <tpl fld="1" item="77"/>
          <tpl fld="4" item="1"/>
        </tpls>
      </n>
      <n v="648" in="1">
        <tpls c="3">
          <tpl fld="0" item="0"/>
          <tpl fld="1" item="114"/>
          <tpl fld="4" item="7"/>
        </tpls>
      </n>
      <m in="0">
        <tpls c="3">
          <tpl fld="0" item="0"/>
          <tpl fld="1" item="360"/>
          <tpl fld="4" item="11"/>
        </tpls>
      </m>
      <m in="0">
        <tpls c="3">
          <tpl fld="0" item="0"/>
          <tpl fld="1" item="327"/>
          <tpl fld="4" item="8"/>
        </tpls>
      </m>
      <m in="0">
        <tpls c="3">
          <tpl fld="0" item="0"/>
          <tpl fld="1" item="416"/>
          <tpl fld="4" item="10"/>
        </tpls>
      </m>
      <m in="0">
        <tpls c="3">
          <tpl fld="0" item="0"/>
          <tpl fld="1" item="36"/>
          <tpl fld="4" item="6"/>
        </tpls>
      </m>
      <n v="12" in="1">
        <tpls c="3">
          <tpl fld="0" item="0"/>
          <tpl fld="1" item="108"/>
          <tpl fld="4" item="7"/>
        </tpls>
      </n>
      <m in="1">
        <tpls c="3">
          <tpl fld="0" item="0"/>
          <tpl fld="1" item="341"/>
          <tpl fld="4" item="7"/>
        </tpls>
      </m>
      <m in="0">
        <tpls c="3">
          <tpl fld="0" item="0"/>
          <tpl fld="1" item="23"/>
          <tpl fld="4" item="9"/>
        </tpls>
      </m>
      <m in="0">
        <tpls c="3">
          <tpl fld="0" item="0"/>
          <tpl fld="1" item="14"/>
          <tpl fld="4" item="6"/>
        </tpls>
      </m>
      <n v="1" in="0">
        <tpls c="3">
          <tpl fld="0" item="0"/>
          <tpl fld="1" item="104"/>
          <tpl fld="4" item="12"/>
        </tpls>
      </n>
      <m in="0">
        <tpls c="3">
          <tpl fld="0" item="0"/>
          <tpl fld="1" item="69"/>
          <tpl fld="4" item="10"/>
        </tpls>
      </m>
      <m in="0">
        <tpls c="3">
          <tpl fld="0" item="0"/>
          <tpl fld="1" item="186"/>
          <tpl fld="4" item="5"/>
        </tpls>
      </m>
      <m in="0">
        <tpls c="3">
          <tpl fld="0" item="0"/>
          <tpl fld="1" item="120"/>
          <tpl fld="4" item="11"/>
        </tpls>
      </m>
      <m in="0">
        <tpls c="3">
          <tpl fld="0" item="0"/>
          <tpl fld="1" item="195"/>
          <tpl fld="4" item="11"/>
        </tpls>
      </m>
      <m in="0">
        <tpls c="3">
          <tpl fld="0" item="0"/>
          <tpl fld="1" item="131"/>
          <tpl fld="4" item="6"/>
        </tpls>
      </m>
      <m in="0">
        <tpls c="3">
          <tpl fld="0" item="0"/>
          <tpl fld="1" item="407"/>
          <tpl fld="4" item="5"/>
        </tpls>
      </m>
      <m in="0">
        <tpls c="3">
          <tpl fld="0" item="0"/>
          <tpl fld="1" item="371"/>
          <tpl fld="4" item="10"/>
        </tpls>
      </m>
      <m in="0">
        <tpls c="3">
          <tpl fld="0" item="0"/>
          <tpl fld="1" item="134"/>
          <tpl fld="4" item="5"/>
        </tpls>
      </m>
      <m in="0">
        <tpls c="3">
          <tpl fld="0" item="0"/>
          <tpl fld="1" item="27"/>
          <tpl fld="4" item="5"/>
        </tpls>
      </m>
      <m in="0">
        <tpls c="3">
          <tpl fld="0" item="0"/>
          <tpl fld="2" item="0"/>
          <tpl fld="4" item="5"/>
        </tpls>
      </m>
      <m in="0">
        <tpls c="3">
          <tpl fld="0" item="0"/>
          <tpl fld="1" item="69"/>
          <tpl fld="4" item="11"/>
        </tpls>
      </m>
      <n v="2" in="0">
        <tpls c="3">
          <tpl fld="0" item="0"/>
          <tpl fld="1" item="354"/>
          <tpl fld="4" item="1"/>
        </tpls>
      </n>
      <m in="0">
        <tpls c="3">
          <tpl fld="0" item="0"/>
          <tpl fld="1" item="277"/>
          <tpl fld="4" item="6"/>
        </tpls>
      </m>
      <m in="0">
        <tpls c="3">
          <tpl fld="0" item="0"/>
          <tpl fld="1" item="185"/>
          <tpl fld="4" item="1"/>
        </tpls>
      </m>
      <m in="0">
        <tpls c="3">
          <tpl fld="0" item="0"/>
          <tpl fld="1" item="108"/>
          <tpl fld="4" item="1"/>
        </tpls>
      </m>
      <n v="85" in="0">
        <tpls c="3">
          <tpl fld="0" item="0"/>
          <tpl fld="1" item="417"/>
          <tpl fld="4" item="10"/>
        </tpls>
      </n>
      <m in="0">
        <tpls c="3">
          <tpl fld="0" item="0"/>
          <tpl fld="1" item="95"/>
          <tpl fld="4" item="5"/>
        </tpls>
      </m>
      <m in="0">
        <tpls c="3">
          <tpl fld="0" item="0"/>
          <tpl fld="1" item="260"/>
          <tpl fld="4" item="11"/>
        </tpls>
      </m>
      <m in="0">
        <tpls c="3">
          <tpl fld="0" item="0"/>
          <tpl fld="1" item="418"/>
          <tpl fld="4" item="11"/>
        </tpls>
      </m>
      <m in="0">
        <tpls c="3">
          <tpl fld="0" item="0"/>
          <tpl fld="1" item="265"/>
          <tpl fld="4" item="5"/>
        </tpls>
      </m>
      <m in="0">
        <tpls c="3">
          <tpl fld="0" item="0"/>
          <tpl fld="1" item="91"/>
          <tpl fld="4" item="6"/>
        </tpls>
      </m>
      <m in="0">
        <tpls c="3">
          <tpl fld="0" item="0"/>
          <tpl fld="1" item="419"/>
          <tpl fld="4" item="1"/>
        </tpls>
      </m>
      <m in="0">
        <tpls c="3">
          <tpl fld="0" item="0"/>
          <tpl fld="1" item="420"/>
          <tpl fld="4" item="12"/>
        </tpls>
      </m>
      <m in="0">
        <tpls c="3">
          <tpl fld="0" item="0"/>
          <tpl fld="1" item="369"/>
          <tpl fld="4" item="6"/>
        </tpls>
      </m>
      <m in="1">
        <tpls c="3">
          <tpl fld="0" item="0"/>
          <tpl fld="1" item="270"/>
          <tpl fld="4" item="7"/>
        </tpls>
      </m>
      <n v="389" in="1">
        <tpls c="3">
          <tpl fld="0" item="0"/>
          <tpl fld="1" item="264"/>
          <tpl fld="4" item="7"/>
        </tpls>
      </n>
      <n v="75" in="1">
        <tpls c="3">
          <tpl fld="0" item="0"/>
          <tpl fld="1" item="126"/>
          <tpl fld="4" item="7"/>
        </tpls>
      </n>
      <n v="10" in="1">
        <tpls c="3">
          <tpl fld="0" item="0"/>
          <tpl fld="1" item="136"/>
          <tpl fld="4" item="7"/>
        </tpls>
      </n>
      <m in="0">
        <tpls c="3">
          <tpl fld="0" item="0"/>
          <tpl fld="1" item="421"/>
          <tpl fld="4" item="12"/>
        </tpls>
      </m>
      <n v="35" in="1">
        <tpls c="3">
          <tpl fld="0" item="0"/>
          <tpl fld="1" item="63"/>
          <tpl fld="4" item="7"/>
        </tpls>
      </n>
      <m in="0">
        <tpls c="3">
          <tpl fld="0" item="0"/>
          <tpl fld="1" item="322"/>
          <tpl fld="4" item="12"/>
        </tpls>
      </m>
      <n v="1" in="0">
        <tpls c="3">
          <tpl fld="0" item="0"/>
          <tpl fld="1" item="422"/>
          <tpl fld="4" item="11"/>
        </tpls>
      </n>
      <m in="1">
        <tpls c="3">
          <tpl fld="0" item="0"/>
          <tpl fld="1" item="423"/>
          <tpl fld="4" item="7"/>
        </tpls>
      </m>
      <m in="0">
        <tpls c="3">
          <tpl fld="0" item="0"/>
          <tpl fld="1" item="205"/>
          <tpl fld="4" item="5"/>
        </tpls>
      </m>
      <n v="1" in="0">
        <tpls c="3">
          <tpl fld="0" item="0"/>
          <tpl fld="1" item="177"/>
          <tpl fld="4" item="1"/>
        </tpls>
      </n>
      <m in="0">
        <tpls c="3">
          <tpl fld="0" item="0"/>
          <tpl fld="1" item="423"/>
          <tpl fld="4" item="8"/>
        </tpls>
      </m>
      <n v="524" in="0">
        <tpls c="3">
          <tpl fld="0" item="0"/>
          <tpl fld="1" item="424"/>
          <tpl fld="4" item="10"/>
        </tpls>
      </n>
      <m in="0">
        <tpls c="3">
          <tpl fld="0" item="0"/>
          <tpl fld="1" item="191"/>
          <tpl fld="4" item="6"/>
        </tpls>
      </m>
      <m in="0">
        <tpls c="3">
          <tpl fld="0" item="0"/>
          <tpl fld="1" item="340"/>
          <tpl fld="4" item="10"/>
        </tpls>
      </m>
      <m in="0">
        <tpls c="3">
          <tpl fld="0" item="0"/>
          <tpl fld="1" item="50"/>
          <tpl fld="4" item="12"/>
        </tpls>
      </m>
      <m in="0">
        <tpls c="3">
          <tpl fld="0" item="0"/>
          <tpl fld="1" item="404"/>
          <tpl fld="4" item="11"/>
        </tpls>
      </m>
      <m in="1">
        <tpls c="3">
          <tpl fld="0" item="0"/>
          <tpl fld="1" item="91"/>
          <tpl fld="4" item="7"/>
        </tpls>
      </m>
      <m in="0">
        <tpls c="3">
          <tpl fld="0" item="0"/>
          <tpl fld="1" item="363"/>
          <tpl fld="4" item="5"/>
        </tpls>
      </m>
      <m in="0">
        <tpls c="3">
          <tpl fld="0" item="0"/>
          <tpl fld="1" item="95"/>
          <tpl fld="4" item="11"/>
        </tpls>
      </m>
      <m in="0">
        <tpls c="3">
          <tpl fld="0" item="0"/>
          <tpl fld="1" item="425"/>
          <tpl fld="4" item="6"/>
        </tpls>
      </m>
      <m in="0">
        <tpls c="3">
          <tpl fld="0" item="0"/>
          <tpl fld="1" item="147"/>
          <tpl fld="4" item="1"/>
        </tpls>
      </m>
      <m in="0">
        <tpls c="3">
          <tpl fld="0" item="0"/>
          <tpl fld="1" item="384"/>
          <tpl fld="4" item="8"/>
        </tpls>
      </m>
      <m in="0">
        <tpls c="3">
          <tpl fld="0" item="0"/>
          <tpl fld="1" item="338"/>
          <tpl fld="4" item="6"/>
        </tpls>
      </m>
      <m in="0">
        <tpls c="3">
          <tpl fld="0" item="0"/>
          <tpl fld="1" item="393"/>
          <tpl fld="4" item="6"/>
        </tpls>
      </m>
      <m in="0">
        <tpls c="3">
          <tpl fld="0" item="0"/>
          <tpl fld="1" item="250"/>
          <tpl fld="4" item="11"/>
        </tpls>
      </m>
      <n v="499" in="1">
        <tpls c="3">
          <tpl fld="0" item="0"/>
          <tpl fld="1" item="140"/>
          <tpl fld="4" item="7"/>
        </tpls>
      </n>
      <m in="0">
        <tpls c="3">
          <tpl fld="0" item="0"/>
          <tpl fld="1" item="311"/>
          <tpl fld="4" item="12"/>
        </tpls>
      </m>
      <m in="0">
        <tpls c="3">
          <tpl fld="0" item="0"/>
          <tpl fld="1" item="147"/>
          <tpl fld="4" item="10"/>
        </tpls>
      </m>
      <n v="1" in="0">
        <tpls c="3">
          <tpl fld="0" item="0"/>
          <tpl fld="1" item="273"/>
          <tpl fld="4" item="11"/>
        </tpls>
      </n>
      <m in="1">
        <tpls c="3">
          <tpl fld="0" item="0"/>
          <tpl fld="1" item="193"/>
          <tpl fld="4" item="7"/>
        </tpls>
      </m>
      <m in="0">
        <tpls c="3">
          <tpl fld="0" item="0"/>
          <tpl fld="1" item="211"/>
          <tpl fld="4" item="11"/>
        </tpls>
      </m>
      <m in="0">
        <tpls c="3">
          <tpl fld="0" item="0"/>
          <tpl fld="1" item="426"/>
          <tpl fld="4" item="11"/>
        </tpls>
      </m>
      <n v="67" in="0">
        <tpls c="3">
          <tpl fld="0" item="0"/>
          <tpl fld="1" item="425"/>
          <tpl fld="4" item="10"/>
        </tpls>
      </n>
      <m in="0">
        <tpls c="3">
          <tpl fld="0" item="0"/>
          <tpl fld="1" item="95"/>
          <tpl fld="4" item="1"/>
        </tpls>
      </m>
      <m in="0">
        <tpls c="3">
          <tpl fld="0" item="0"/>
          <tpl fld="1" item="28"/>
          <tpl fld="4" item="11"/>
        </tpls>
      </m>
      <n v="8" in="0">
        <tpls c="3">
          <tpl fld="0" item="0"/>
          <tpl fld="1" item="104"/>
          <tpl fld="4" item="11"/>
        </tpls>
      </n>
      <m in="0">
        <tpls c="3">
          <tpl fld="0" item="0"/>
          <tpl fld="1" item="51"/>
          <tpl fld="4" item="1"/>
        </tpls>
      </m>
      <m in="0">
        <tpls c="3">
          <tpl fld="0" item="0"/>
          <tpl fld="1" item="408"/>
          <tpl fld="4" item="10"/>
        </tpls>
      </m>
      <m in="0">
        <tpls c="3">
          <tpl fld="0" item="0"/>
          <tpl fld="1" item="156"/>
          <tpl fld="4" item="5"/>
        </tpls>
      </m>
      <n v="20" in="0">
        <tpls c="3">
          <tpl fld="0" item="0"/>
          <tpl fld="1" item="168"/>
          <tpl fld="4" item="10"/>
        </tpls>
      </n>
      <m in="0">
        <tpls c="3">
          <tpl fld="0" item="0"/>
          <tpl fld="1" item="41"/>
          <tpl fld="4" item="6"/>
        </tpls>
      </m>
      <m in="0">
        <tpls c="3">
          <tpl fld="0" item="0"/>
          <tpl fld="1" item="114"/>
          <tpl fld="4" item="9"/>
        </tpls>
      </m>
      <n v="56" in="0">
        <tpls c="3">
          <tpl fld="0" item="0"/>
          <tpl fld="1" item="227"/>
          <tpl fld="4" item="10"/>
        </tpls>
      </n>
      <m in="0">
        <tpls c="3">
          <tpl fld="0" item="0"/>
          <tpl fld="1" item="411"/>
          <tpl fld="4" item="11"/>
        </tpls>
      </m>
      <m in="0">
        <tpls c="3">
          <tpl fld="0" item="0"/>
          <tpl fld="1" item="25"/>
          <tpl fld="4" item="9"/>
        </tpls>
      </m>
      <m in="0">
        <tpls c="3">
          <tpl fld="0" item="0"/>
          <tpl fld="1" item="181"/>
          <tpl fld="4" item="6"/>
        </tpls>
      </m>
      <n v="1" in="0">
        <tpls c="3">
          <tpl fld="0" item="0"/>
          <tpl fld="1" item="427"/>
          <tpl fld="4" item="5"/>
        </tpls>
      </n>
      <m in="0">
        <tpls c="3">
          <tpl fld="0" item="0"/>
          <tpl fld="1" item="137"/>
          <tpl fld="4" item="6"/>
        </tpls>
      </m>
      <m in="0">
        <tpls c="3">
          <tpl fld="0" item="0"/>
          <tpl fld="1" item="283"/>
          <tpl fld="4" item="5"/>
        </tpls>
      </m>
      <m in="0">
        <tpls c="3">
          <tpl fld="0" item="0"/>
          <tpl fld="1" item="213"/>
          <tpl fld="4" item="11"/>
        </tpls>
      </m>
      <m in="0">
        <tpls c="3">
          <tpl fld="0" item="0"/>
          <tpl fld="1" item="160"/>
          <tpl fld="4" item="5"/>
        </tpls>
      </m>
      <m in="0">
        <tpls c="3">
          <tpl fld="0" item="0"/>
          <tpl fld="1" item="428"/>
          <tpl fld="4" item="1"/>
        </tpls>
      </m>
      <m in="0">
        <tpls c="3">
          <tpl fld="0" item="0"/>
          <tpl fld="1" item="423"/>
          <tpl fld="4" item="6"/>
        </tpls>
      </m>
      <n v="1" in="0">
        <tpls c="3">
          <tpl fld="0" item="0"/>
          <tpl fld="1" item="313"/>
          <tpl fld="4" item="12"/>
        </tpls>
      </n>
      <m in="0">
        <tpls c="3">
          <tpl fld="0" item="0"/>
          <tpl fld="1" item="270"/>
          <tpl fld="4" item="6"/>
        </tpls>
      </m>
      <m in="0">
        <tpls c="3">
          <tpl fld="0" item="0"/>
          <tpl fld="1" item="143"/>
          <tpl fld="4" item="9"/>
        </tpls>
      </m>
      <m in="0">
        <tpls c="3">
          <tpl fld="0" item="0"/>
          <tpl fld="1" item="15"/>
          <tpl fld="4" item="10"/>
        </tpls>
      </m>
      <m in="0">
        <tpls c="3">
          <tpl fld="0" item="0"/>
          <tpl fld="1" item="158"/>
          <tpl fld="4" item="1"/>
        </tpls>
      </m>
      <m in="0">
        <tpls c="3">
          <tpl fld="0" item="0"/>
          <tpl fld="1" item="64"/>
          <tpl fld="4" item="5"/>
        </tpls>
      </m>
      <n v="1" in="0">
        <tpls c="3">
          <tpl fld="0" item="0"/>
          <tpl fld="1" item="339"/>
          <tpl fld="4" item="5"/>
        </tpls>
      </n>
      <m in="0">
        <tpls c="3">
          <tpl fld="0" item="0"/>
          <tpl fld="1" item="316"/>
          <tpl fld="4" item="11"/>
        </tpls>
      </m>
      <m in="0">
        <tpls c="3">
          <tpl fld="0" item="0"/>
          <tpl fld="1" item="429"/>
          <tpl fld="4" item="11"/>
        </tpls>
      </m>
      <m in="0">
        <tpls c="3">
          <tpl fld="0" item="0"/>
          <tpl fld="1" item="325"/>
          <tpl fld="4" item="9"/>
        </tpls>
      </m>
      <n v="2" in="0">
        <tpls c="3">
          <tpl fld="0" item="0"/>
          <tpl fld="1" item="107"/>
          <tpl fld="4" item="5"/>
        </tpls>
      </n>
      <n v="4" in="0">
        <tpls c="3">
          <tpl fld="0" item="0"/>
          <tpl fld="1" item="430"/>
          <tpl fld="4" item="11"/>
        </tpls>
      </n>
      <m in="0">
        <tpls c="3">
          <tpl fld="0" item="0"/>
          <tpl fld="1" item="270"/>
          <tpl fld="4" item="1"/>
        </tpls>
      </m>
      <m in="0">
        <tpls c="3">
          <tpl fld="0" item="0"/>
          <tpl fld="1" item="304"/>
          <tpl fld="4" item="6"/>
        </tpls>
      </m>
      <n v="288" in="1">
        <tpls c="3">
          <tpl fld="0" item="0"/>
          <tpl fld="1" item="139"/>
          <tpl fld="4" item="7"/>
        </tpls>
      </n>
      <m in="0">
        <tpls c="3">
          <tpl fld="0" item="0"/>
          <tpl fld="1" item="248"/>
          <tpl fld="4" item="10"/>
        </tpls>
      </m>
      <m in="0">
        <tpls c="3">
          <tpl fld="0" item="0"/>
          <tpl fld="1" item="112"/>
          <tpl fld="4" item="10"/>
        </tpls>
      </m>
      <m in="0">
        <tpls c="3">
          <tpl fld="0" item="0"/>
          <tpl fld="1" item="98"/>
          <tpl fld="4" item="11"/>
        </tpls>
      </m>
      <n v="34" in="1">
        <tpls c="3">
          <tpl fld="0" item="0"/>
          <tpl fld="1" item="301"/>
          <tpl fld="4" item="7"/>
        </tpls>
      </n>
      <m in="0">
        <tpls c="3">
          <tpl fld="0" item="0"/>
          <tpl fld="1" item="415"/>
          <tpl fld="4" item="9"/>
        </tpls>
      </m>
      <m in="0">
        <tpls c="3">
          <tpl fld="0" item="0"/>
          <tpl fld="1" item="311"/>
          <tpl fld="4" item="5"/>
        </tpls>
      </m>
      <m in="0">
        <tpls c="3">
          <tpl fld="0" item="0"/>
          <tpl fld="1" item="84"/>
          <tpl fld="4" item="8"/>
        </tpls>
      </m>
      <m in="0">
        <tpls c="3">
          <tpl fld="0" item="0"/>
          <tpl fld="1" item="288"/>
          <tpl fld="4" item="6"/>
        </tpls>
      </m>
      <m in="0">
        <tpls c="3">
          <tpl fld="0" item="0"/>
          <tpl fld="1" item="431"/>
          <tpl fld="4" item="1"/>
        </tpls>
      </m>
      <m in="0">
        <tpls c="3">
          <tpl fld="0" item="0"/>
          <tpl fld="1" item="138"/>
          <tpl fld="4" item="5"/>
        </tpls>
      </m>
      <m in="0">
        <tpls c="3">
          <tpl fld="0" item="0"/>
          <tpl fld="1" item="56"/>
          <tpl fld="4" item="8"/>
        </tpls>
      </m>
      <m in="0">
        <tpls c="3">
          <tpl fld="0" item="0"/>
          <tpl fld="1" item="79"/>
          <tpl fld="4" item="5"/>
        </tpls>
      </m>
      <m in="0">
        <tpls c="3">
          <tpl fld="0" item="0"/>
          <tpl fld="1" item="101"/>
          <tpl fld="4" item="9"/>
        </tpls>
      </m>
      <m in="1">
        <tpls c="3">
          <tpl fld="0" item="0"/>
          <tpl fld="1" item="239"/>
          <tpl fld="4" item="7"/>
        </tpls>
      </m>
      <m in="0">
        <tpls c="3">
          <tpl fld="0" item="0"/>
          <tpl fld="1" item="162"/>
          <tpl fld="4" item="11"/>
        </tpls>
      </m>
      <m in="0">
        <tpls c="3">
          <tpl fld="0" item="0"/>
          <tpl fld="1" item="211"/>
          <tpl fld="4" item="8"/>
        </tpls>
      </m>
      <m in="0">
        <tpls c="3">
          <tpl fld="0" item="0"/>
          <tpl fld="1" item="396"/>
          <tpl fld="4" item="5"/>
        </tpls>
      </m>
      <n v="1" in="0">
        <tpls c="3">
          <tpl fld="0" item="0"/>
          <tpl fld="1" item="432"/>
          <tpl fld="4" item="1"/>
        </tpls>
      </n>
      <m in="0">
        <tpls c="3">
          <tpl fld="0" item="0"/>
          <tpl fld="1" item="433"/>
          <tpl fld="4" item="12"/>
        </tpls>
      </m>
      <m in="0">
        <tpls c="3">
          <tpl fld="0" item="0"/>
          <tpl fld="1" item="362"/>
          <tpl fld="4" item="6"/>
        </tpls>
      </m>
      <m in="0">
        <tpls c="3">
          <tpl fld="0" item="0"/>
          <tpl fld="1" item="285"/>
          <tpl fld="4" item="6"/>
        </tpls>
      </m>
      <m in="0">
        <tpls c="3">
          <tpl fld="0" item="0"/>
          <tpl fld="1" item="0"/>
          <tpl fld="4" item="12"/>
        </tpls>
      </m>
      <m in="0">
        <tpls c="3">
          <tpl fld="0" item="0"/>
          <tpl fld="1" item="100"/>
          <tpl fld="4" item="1"/>
        </tpls>
      </m>
      <n v="6" in="0">
        <tpls c="3">
          <tpl fld="0" item="0"/>
          <tpl fld="1" item="174"/>
          <tpl fld="4" item="1"/>
        </tpls>
      </n>
      <m in="0">
        <tpls c="3">
          <tpl fld="0" item="0"/>
          <tpl fld="1" item="413"/>
          <tpl fld="4" item="11"/>
        </tpls>
      </m>
      <m in="0">
        <tpls c="3">
          <tpl fld="0" item="0"/>
          <tpl fld="1" item="434"/>
          <tpl fld="4" item="6"/>
        </tpls>
      </m>
      <n v="1" in="0">
        <tpls c="3">
          <tpl fld="0" item="0"/>
          <tpl fld="1" item="365"/>
          <tpl fld="4" item="11"/>
        </tpls>
      </n>
      <m in="0">
        <tpls c="3">
          <tpl fld="0" item="0"/>
          <tpl fld="1" item="91"/>
          <tpl fld="4" item="12"/>
        </tpls>
      </m>
      <m in="0">
        <tpls c="3">
          <tpl fld="0" item="0"/>
          <tpl fld="1" item="231"/>
          <tpl fld="4" item="9"/>
        </tpls>
      </m>
      <m in="0">
        <tpls c="3">
          <tpl fld="0" item="0"/>
          <tpl fld="1" item="221"/>
          <tpl fld="4" item="10"/>
        </tpls>
      </m>
      <m in="0">
        <tpls c="3">
          <tpl fld="0" item="0"/>
          <tpl fld="1" item="190"/>
          <tpl fld="4" item="11"/>
        </tpls>
      </m>
      <m in="0">
        <tpls c="3">
          <tpl fld="0" item="0"/>
          <tpl fld="1" item="223"/>
          <tpl fld="4" item="1"/>
        </tpls>
      </m>
      <n v="6" in="0">
        <tpls c="3">
          <tpl fld="0" item="0"/>
          <tpl fld="1" item="45"/>
          <tpl fld="4" item="1"/>
        </tpls>
      </n>
      <m in="0">
        <tpls c="3">
          <tpl fld="0" item="0"/>
          <tpl fld="1" item="245"/>
          <tpl fld="4" item="11"/>
        </tpls>
      </m>
      <m in="0">
        <tpls c="3">
          <tpl fld="0" item="0"/>
          <tpl fld="1" item="368"/>
          <tpl fld="4" item="6"/>
        </tpls>
      </m>
      <n v="59" in="0">
        <tpls c="3">
          <tpl fld="0" item="0"/>
          <tpl fld="1" item="308"/>
          <tpl fld="4" item="10"/>
        </tpls>
      </n>
      <m in="0">
        <tpls c="3">
          <tpl fld="0" item="0"/>
          <tpl fld="1" item="133"/>
          <tpl fld="4" item="6"/>
        </tpls>
      </m>
      <m in="0">
        <tpls c="3">
          <tpl fld="0" item="0"/>
          <tpl fld="1" item="80"/>
          <tpl fld="4" item="6"/>
        </tpls>
      </m>
      <m in="0">
        <tpls c="3">
          <tpl fld="0" item="0"/>
          <tpl fld="1" item="312"/>
          <tpl fld="4" item="5"/>
        </tpls>
      </m>
      <m in="0">
        <tpls c="3">
          <tpl fld="0" item="0"/>
          <tpl fld="1" item="142"/>
          <tpl fld="4" item="11"/>
        </tpls>
      </m>
      <m in="0">
        <tpls c="3">
          <tpl fld="0" item="0"/>
          <tpl fld="1" item="366"/>
          <tpl fld="4" item="11"/>
        </tpls>
      </m>
      <m in="0">
        <tpls c="3">
          <tpl fld="0" item="0"/>
          <tpl fld="1" item="435"/>
          <tpl fld="4" item="1"/>
        </tpls>
      </m>
      <n v="105" in="1">
        <tpls c="3">
          <tpl fld="0" item="0"/>
          <tpl fld="1" item="427"/>
          <tpl fld="4" item="7"/>
        </tpls>
      </n>
      <n v="1799" in="0">
        <tpls c="3">
          <tpl fld="0" item="0"/>
          <tpl fld="1" item="331"/>
          <tpl fld="4" item="10"/>
        </tpls>
      </n>
      <n v="202" in="1">
        <tpls c="3">
          <tpl fld="0" item="0"/>
          <tpl fld="1" item="354"/>
          <tpl fld="4" item="7"/>
        </tpls>
      </n>
      <m in="0">
        <tpls c="3">
          <tpl fld="0" item="0"/>
          <tpl fld="1" item="306"/>
          <tpl fld="4" item="11"/>
        </tpls>
      </m>
      <m in="0">
        <tpls c="3">
          <tpl fld="0" item="0"/>
          <tpl fld="1" item="253"/>
          <tpl fld="4" item="6"/>
        </tpls>
      </m>
      <m in="1">
        <tpls c="3">
          <tpl fld="0" item="0"/>
          <tpl fld="1" item="436"/>
          <tpl fld="4" item="7"/>
        </tpls>
      </m>
      <n v="125" in="0">
        <tpls c="3">
          <tpl fld="0" item="0"/>
          <tpl fld="1" item="360"/>
          <tpl fld="4" item="10"/>
        </tpls>
      </n>
      <n v="2" in="0">
        <tpls c="3">
          <tpl fld="0" item="0"/>
          <tpl fld="1" item="354"/>
          <tpl fld="4" item="11"/>
        </tpls>
      </n>
      <m in="0">
        <tpls c="3">
          <tpl fld="0" item="0"/>
          <tpl fld="1" item="327"/>
          <tpl fld="4" item="5"/>
        </tpls>
      </m>
      <m in="0">
        <tpls c="3">
          <tpl fld="0" item="0"/>
          <tpl fld="1" item="153"/>
          <tpl fld="4" item="8"/>
        </tpls>
      </m>
      <m in="0">
        <tpls c="3">
          <tpl fld="0" item="0"/>
          <tpl fld="1" item="437"/>
          <tpl fld="4" item="5"/>
        </tpls>
      </m>
      <n v="1" in="0">
        <tpls c="3">
          <tpl fld="0" item="0"/>
          <tpl fld="1" item="339"/>
          <tpl fld="4" item="8"/>
        </tpls>
      </n>
      <m in="0">
        <tpls c="3">
          <tpl fld="0" item="0"/>
          <tpl fld="1" item="242"/>
          <tpl fld="4" item="8"/>
        </tpls>
      </m>
      <m in="0">
        <tpls c="3">
          <tpl fld="0" item="0"/>
          <tpl fld="1" item="0"/>
          <tpl fld="4" item="6"/>
        </tpls>
      </m>
      <m in="0">
        <tpls c="3">
          <tpl fld="0" item="0"/>
          <tpl fld="1" item="71"/>
          <tpl fld="4" item="11"/>
        </tpls>
      </m>
      <m in="0">
        <tpls c="3">
          <tpl fld="0" item="0"/>
          <tpl fld="1" item="190"/>
          <tpl fld="4" item="10"/>
        </tpls>
      </m>
      <m in="0">
        <tpls c="3">
          <tpl fld="0" item="0"/>
          <tpl fld="1" item="30"/>
          <tpl fld="4" item="12"/>
        </tpls>
      </m>
      <m in="0">
        <tpls c="3">
          <tpl fld="0" item="0"/>
          <tpl fld="1" item="332"/>
          <tpl fld="4" item="9"/>
        </tpls>
      </m>
      <m in="0">
        <tpls c="3">
          <tpl fld="0" item="0"/>
          <tpl fld="1" item="333"/>
          <tpl fld="4" item="5"/>
        </tpls>
      </m>
      <m in="0">
        <tpls c="3">
          <tpl fld="0" item="0"/>
          <tpl fld="1" item="53"/>
          <tpl fld="4" item="8"/>
        </tpls>
      </m>
      <m in="0">
        <tpls c="3">
          <tpl fld="0" item="0"/>
          <tpl fld="1" item="300"/>
          <tpl fld="4" item="8"/>
        </tpls>
      </m>
      <m in="0">
        <tpls c="3">
          <tpl fld="0" item="0"/>
          <tpl fld="1" item="178"/>
          <tpl fld="4" item="1"/>
        </tpls>
      </m>
      <n v="14" in="0">
        <tpls c="3">
          <tpl fld="0" item="0"/>
          <tpl fld="1" item="73"/>
          <tpl fld="4" item="10"/>
        </tpls>
      </n>
      <n v="18" in="1">
        <tpls c="3">
          <tpl fld="0" item="0"/>
          <tpl fld="1" item="115"/>
          <tpl fld="4" item="7"/>
        </tpls>
      </n>
      <n v="10" in="0">
        <tpls c="3">
          <tpl fld="0" item="0"/>
          <tpl fld="1" item="438"/>
          <tpl fld="4" item="1"/>
        </tpls>
      </n>
      <n v="79" in="1">
        <tpls c="3">
          <tpl fld="0" item="0"/>
          <tpl fld="1" item="417"/>
          <tpl fld="4" item="7"/>
        </tpls>
      </n>
      <n v="2" in="0">
        <tpls c="3">
          <tpl fld="0" item="0"/>
          <tpl fld="1" item="144"/>
          <tpl fld="4" item="8"/>
        </tpls>
      </n>
      <n v="388" in="0">
        <tpls c="3">
          <tpl fld="0" item="0"/>
          <tpl fld="1" item="139"/>
          <tpl fld="4" item="10"/>
        </tpls>
      </n>
      <m in="0">
        <tpls c="3">
          <tpl fld="0" item="0"/>
          <tpl fld="1" item="161"/>
          <tpl fld="4" item="6"/>
        </tpls>
      </m>
      <n v="78" in="1">
        <tpls c="3">
          <tpl fld="0" item="0"/>
          <tpl fld="1" item="302"/>
          <tpl fld="4" item="7"/>
        </tpls>
      </n>
      <m in="0">
        <tpls c="3">
          <tpl fld="0" item="0"/>
          <tpl fld="1" item="36"/>
          <tpl fld="4" item="8"/>
        </tpls>
      </m>
      <m in="0">
        <tpls c="3">
          <tpl fld="0" item="0"/>
          <tpl fld="1" item="331"/>
          <tpl fld="4" item="5"/>
        </tpls>
      </m>
      <m in="0">
        <tpls c="3">
          <tpl fld="0" item="0"/>
          <tpl fld="1" item="129"/>
          <tpl fld="4" item="8"/>
        </tpls>
      </m>
      <m in="0">
        <tpls c="3">
          <tpl fld="0" item="0"/>
          <tpl fld="1" item="125"/>
          <tpl fld="4" item="9"/>
        </tpls>
      </m>
      <m in="0">
        <tpls c="3">
          <tpl fld="0" item="0"/>
          <tpl fld="1" item="135"/>
          <tpl fld="4" item="12"/>
        </tpls>
      </m>
      <n v="9" in="0">
        <tpls c="3">
          <tpl fld="0" item="0"/>
          <tpl fld="1" item="35"/>
          <tpl fld="4" item="10"/>
        </tpls>
      </n>
      <m in="0">
        <tpls c="3">
          <tpl fld="0" item="0"/>
          <tpl fld="1" item="209"/>
          <tpl fld="4" item="1"/>
        </tpls>
      </m>
      <m in="0">
        <tpls c="3">
          <tpl fld="0" item="0"/>
          <tpl fld="1" item="144"/>
          <tpl fld="4" item="12"/>
        </tpls>
      </m>
      <m in="0">
        <tpls c="3">
          <tpl fld="0" item="0"/>
          <tpl fld="1" item="54"/>
          <tpl fld="4" item="1"/>
        </tpls>
      </m>
      <m in="1">
        <tpls c="3">
          <tpl fld="0" item="0"/>
          <tpl fld="1" item="398"/>
          <tpl fld="4" item="7"/>
        </tpls>
      </m>
      <m in="0">
        <tpls c="3">
          <tpl fld="0" item="0"/>
          <tpl fld="1" item="155"/>
          <tpl fld="4" item="6"/>
        </tpls>
      </m>
      <n v="6" in="0">
        <tpls c="3">
          <tpl fld="0" item="0"/>
          <tpl fld="1" item="390"/>
          <tpl fld="4" item="8"/>
        </tpls>
      </n>
      <n v="15" in="1">
        <tpls c="3">
          <tpl fld="0" item="0"/>
          <tpl fld="1" item="13"/>
          <tpl fld="4" item="7"/>
        </tpls>
      </n>
      <m in="0">
        <tpls c="3">
          <tpl fld="0" item="0"/>
          <tpl fld="1" item="378"/>
          <tpl fld="4" item="5"/>
        </tpls>
      </m>
      <m in="0">
        <tpls c="3">
          <tpl fld="0" item="0"/>
          <tpl fld="1" item="263"/>
          <tpl fld="4" item="6"/>
        </tpls>
      </m>
      <m in="0">
        <tpls c="3">
          <tpl fld="0" item="0"/>
          <tpl fld="1" item="17"/>
          <tpl fld="4" item="1"/>
        </tpls>
      </m>
      <m in="0">
        <tpls c="3">
          <tpl fld="0" item="0"/>
          <tpl fld="1" item="439"/>
          <tpl fld="4" item="11"/>
        </tpls>
      </m>
      <n v="287" in="1">
        <tpls c="3">
          <tpl fld="0" item="0"/>
          <tpl fld="1" item="287"/>
          <tpl fld="4" item="7"/>
        </tpls>
      </n>
      <m in="0">
        <tpls c="3">
          <tpl fld="0" item="0"/>
          <tpl fld="1" item="195"/>
          <tpl fld="4" item="5"/>
        </tpls>
      </m>
      <m in="0">
        <tpls c="3">
          <tpl fld="0" item="0"/>
          <tpl fld="1" item="440"/>
          <tpl fld="4" item="12"/>
        </tpls>
      </m>
      <m in="0">
        <tpls c="3">
          <tpl fld="0" item="0"/>
          <tpl fld="1" item="408"/>
          <tpl fld="4" item="6"/>
        </tpls>
      </m>
      <m in="0">
        <tpls c="3">
          <tpl fld="0" item="0"/>
          <tpl fld="1" item="275"/>
          <tpl fld="4" item="8"/>
        </tpls>
      </m>
      <n v="330" in="1">
        <tpls c="3">
          <tpl fld="0" item="0"/>
          <tpl fld="1" item="175"/>
          <tpl fld="4" item="7"/>
        </tpls>
      </n>
      <n v="10" in="1">
        <tpls c="3">
          <tpl fld="0" item="0"/>
          <tpl fld="1" item="441"/>
          <tpl fld="4" item="7"/>
        </tpls>
      </n>
      <m in="0">
        <tpls c="3">
          <tpl fld="0" item="0"/>
          <tpl fld="1" item="29"/>
          <tpl fld="4" item="5"/>
        </tpls>
      </m>
      <m in="0">
        <tpls c="3">
          <tpl fld="0" item="0"/>
          <tpl fld="1" item="35"/>
          <tpl fld="4" item="1"/>
        </tpls>
      </m>
      <n v="240" in="1">
        <tpls c="3">
          <tpl fld="0" item="0"/>
          <tpl fld="1" item="101"/>
          <tpl fld="4" item="7"/>
        </tpls>
      </n>
      <m in="0">
        <tpls c="3">
          <tpl fld="0" item="0"/>
          <tpl fld="1" item="128"/>
          <tpl fld="4" item="1"/>
        </tpls>
      </m>
      <m in="0">
        <tpls c="3">
          <tpl fld="0" item="0"/>
          <tpl fld="1" item="272"/>
          <tpl fld="4" item="6"/>
        </tpls>
      </m>
      <m in="0">
        <tpls c="3">
          <tpl fld="0" item="0"/>
          <tpl fld="1" item="110"/>
          <tpl fld="4" item="6"/>
        </tpls>
      </m>
      <m in="0">
        <tpls c="3">
          <tpl fld="0" item="0"/>
          <tpl fld="1" item="322"/>
          <tpl fld="4" item="1"/>
        </tpls>
      </m>
      <m in="0">
        <tpls c="3">
          <tpl fld="0" item="0"/>
          <tpl fld="1" item="101"/>
          <tpl fld="4" item="5"/>
        </tpls>
      </m>
      <m in="0">
        <tpls c="3">
          <tpl fld="0" item="0"/>
          <tpl fld="1" item="343"/>
          <tpl fld="4" item="9"/>
        </tpls>
      </m>
      <m in="0">
        <tpls c="3">
          <tpl fld="0" item="0"/>
          <tpl fld="1" item="401"/>
          <tpl fld="4" item="6"/>
        </tpls>
      </m>
      <n v="21" in="0">
        <tpls c="3">
          <tpl fld="0" item="0"/>
          <tpl fld="1" item="133"/>
          <tpl fld="4" item="10"/>
        </tpls>
      </n>
      <n v="1" in="0">
        <tpls c="3">
          <tpl fld="0" item="0"/>
          <tpl fld="1" item="417"/>
          <tpl fld="4" item="5"/>
        </tpls>
      </n>
      <m in="0">
        <tpls c="3">
          <tpl fld="0" item="0"/>
          <tpl fld="1" item="157"/>
          <tpl fld="4" item="11"/>
        </tpls>
      </m>
      <n v="284" in="0">
        <tpls c="3">
          <tpl fld="0" item="0"/>
          <tpl fld="1" item="442"/>
          <tpl fld="4" item="10"/>
        </tpls>
      </n>
      <m in="0">
        <tpls c="3">
          <tpl fld="0" item="0"/>
          <tpl fld="1" item="26"/>
          <tpl fld="4" item="9"/>
        </tpls>
      </m>
      <m in="0">
        <tpls c="3">
          <tpl fld="0" item="0"/>
          <tpl fld="1" item="75"/>
          <tpl fld="4" item="1"/>
        </tpls>
      </m>
      <n v="36" in="0">
        <tpls c="3">
          <tpl fld="0" item="0"/>
          <tpl fld="1" item="432"/>
          <tpl fld="4" item="10"/>
        </tpls>
      </n>
      <m in="0">
        <tpls c="3">
          <tpl fld="0" item="0"/>
          <tpl fld="1" item="217"/>
          <tpl fld="4" item="8"/>
        </tpls>
      </m>
      <n v="2" in="0">
        <tpls c="3">
          <tpl fld="0" item="0"/>
          <tpl fld="1" item="377"/>
          <tpl fld="4" item="12"/>
        </tpls>
      </n>
      <m in="0">
        <tpls c="3">
          <tpl fld="0" item="0"/>
          <tpl fld="1" item="248"/>
          <tpl fld="4" item="12"/>
        </tpls>
      </m>
      <m in="0">
        <tpls c="3">
          <tpl fld="0" item="0"/>
          <tpl fld="1" item="404"/>
          <tpl fld="4" item="1"/>
        </tpls>
      </m>
      <m in="0">
        <tpls c="3">
          <tpl fld="0" item="0"/>
          <tpl fld="1" item="378"/>
          <tpl fld="4" item="1"/>
        </tpls>
      </m>
      <m in="0">
        <tpls c="3">
          <tpl fld="0" item="0"/>
          <tpl fld="1" item="388"/>
          <tpl fld="4" item="8"/>
        </tpls>
      </m>
      <n v="48" in="1">
        <tpls c="3">
          <tpl fld="0" item="0"/>
          <tpl fld="1" item="189"/>
          <tpl fld="4" item="7"/>
        </tpls>
      </n>
      <m in="0">
        <tpls c="3">
          <tpl fld="0" item="0"/>
          <tpl fld="1" item="337"/>
          <tpl fld="4" item="6"/>
        </tpls>
      </m>
      <m in="0">
        <tpls c="3">
          <tpl fld="0" item="0"/>
          <tpl fld="1" item="16"/>
          <tpl fld="4" item="1"/>
        </tpls>
      </m>
      <m in="1">
        <tpls c="3">
          <tpl fld="0" item="0"/>
          <tpl fld="1" item="191"/>
          <tpl fld="4" item="7"/>
        </tpls>
      </m>
      <n v="439" in="1">
        <tpls c="3">
          <tpl fld="0" item="0"/>
          <tpl fld="1" item="49"/>
          <tpl fld="4" item="7"/>
        </tpls>
      </n>
      <m in="0">
        <tpls c="3">
          <tpl fld="0" item="0"/>
          <tpl fld="1" item="345"/>
          <tpl fld="4" item="11"/>
        </tpls>
      </m>
      <n v="1" in="0">
        <tpls c="3">
          <tpl fld="0" item="0"/>
          <tpl fld="1" item="3"/>
          <tpl fld="4" item="1"/>
        </tpls>
      </n>
      <m in="0">
        <tpls c="3">
          <tpl fld="0" item="0"/>
          <tpl fld="1" item="362"/>
          <tpl fld="4" item="5"/>
        </tpls>
      </m>
      <m in="0">
        <tpls c="3">
          <tpl fld="0" item="0"/>
          <tpl fld="1" item="171"/>
          <tpl fld="4" item="5"/>
        </tpls>
      </m>
      <m in="0">
        <tpls c="3">
          <tpl fld="0" item="0"/>
          <tpl fld="1" item="429"/>
          <tpl fld="4" item="1"/>
        </tpls>
      </m>
      <m in="0">
        <tpls c="3">
          <tpl fld="0" item="0"/>
          <tpl fld="1" item="443"/>
          <tpl fld="4" item="9"/>
        </tpls>
      </m>
      <m in="0">
        <tpls c="3">
          <tpl fld="0" item="0"/>
          <tpl fld="1" item="113"/>
          <tpl fld="4" item="5"/>
        </tpls>
      </m>
      <m in="1">
        <tpls c="3">
          <tpl fld="0" item="0"/>
          <tpl fld="1" item="78"/>
          <tpl fld="4" item="7"/>
        </tpls>
      </m>
      <m in="0">
        <tpls c="3">
          <tpl fld="0" item="0"/>
          <tpl fld="1" item="169"/>
          <tpl fld="4" item="12"/>
        </tpls>
      </m>
      <m in="0">
        <tpls c="3">
          <tpl fld="0" item="0"/>
          <tpl fld="1" item="349"/>
          <tpl fld="4" item="1"/>
        </tpls>
      </m>
      <m in="1">
        <tpls c="3">
          <tpl fld="0" item="0"/>
          <tpl fld="1" item="86"/>
          <tpl fld="4" item="7"/>
        </tpls>
      </m>
      <m in="0">
        <tpls c="3">
          <tpl fld="0" item="0"/>
          <tpl fld="1" item="383"/>
          <tpl fld="4" item="1"/>
        </tpls>
      </m>
      <m in="0">
        <tpls c="3">
          <tpl fld="0" item="0"/>
          <tpl fld="1" item="327"/>
          <tpl fld="4" item="6"/>
        </tpls>
      </m>
      <m in="0">
        <tpls c="3">
          <tpl fld="0" item="0"/>
          <tpl fld="1" item="398"/>
          <tpl fld="4" item="6"/>
        </tpls>
      </m>
      <m in="0">
        <tpls c="3">
          <tpl fld="0" item="0"/>
          <tpl fld="1" item="223"/>
          <tpl fld="4" item="12"/>
        </tpls>
      </m>
      <m in="1">
        <tpls c="3">
          <tpl fld="0" item="0"/>
          <tpl fld="1" item="407"/>
          <tpl fld="4" item="7"/>
        </tpls>
      </m>
      <n v="4" in="0">
        <tpls c="3">
          <tpl fld="0" item="0"/>
          <tpl fld="1" item="140"/>
          <tpl fld="4" item="11"/>
        </tpls>
      </n>
      <n v="65" in="1">
        <tpls c="3">
          <tpl fld="0" item="0"/>
          <tpl fld="1" item="342"/>
          <tpl fld="4" item="7"/>
        </tpls>
      </n>
      <m in="0">
        <tpls c="3">
          <tpl fld="0" item="0"/>
          <tpl fld="1" item="18"/>
          <tpl fld="4" item="11"/>
        </tpls>
      </m>
      <m in="0">
        <tpls c="3">
          <tpl fld="0" item="0"/>
          <tpl fld="1" item="175"/>
          <tpl fld="4" item="8"/>
        </tpls>
      </m>
      <n v="3" in="0">
        <tpls c="3">
          <tpl fld="0" item="0"/>
          <tpl fld="1" item="177"/>
          <tpl fld="4" item="9"/>
        </tpls>
      </n>
      <m in="0">
        <tpls c="3">
          <tpl fld="0" item="0"/>
          <tpl fld="1" item="4"/>
          <tpl fld="4" item="11"/>
        </tpls>
      </m>
      <m in="0">
        <tpls c="3">
          <tpl fld="0" item="0"/>
          <tpl fld="1" item="2"/>
          <tpl fld="4" item="5"/>
        </tpls>
      </m>
      <m in="0">
        <tpls c="3">
          <tpl fld="0" item="0"/>
          <tpl fld="1" item="253"/>
          <tpl fld="4" item="9"/>
        </tpls>
      </m>
      <m in="0">
        <tpls c="3">
          <tpl fld="0" item="0"/>
          <tpl fld="1" item="126"/>
          <tpl fld="4" item="9"/>
        </tpls>
      </m>
      <n v="42" in="1">
        <tpls c="3">
          <tpl fld="0" item="0"/>
          <tpl fld="1" item="444"/>
          <tpl fld="4" item="7"/>
        </tpls>
      </n>
      <m in="0">
        <tpls c="3">
          <tpl fld="0" item="0"/>
          <tpl fld="1" item="21"/>
          <tpl fld="4" item="6"/>
        </tpls>
      </m>
      <m in="0">
        <tpls c="3">
          <tpl fld="0" item="0"/>
          <tpl fld="1" item="358"/>
          <tpl fld="4" item="1"/>
        </tpls>
      </m>
      <n v="3649" in="1">
        <tpls c="3">
          <tpl fld="0" item="0"/>
          <tpl fld="1" item="266"/>
          <tpl fld="4" item="7"/>
        </tpls>
      </n>
      <m in="0">
        <tpls c="3">
          <tpl fld="0" item="0"/>
          <tpl fld="1" item="393"/>
          <tpl fld="4" item="1"/>
        </tpls>
      </m>
      <m in="0">
        <tpls c="3">
          <tpl fld="0" item="0"/>
          <tpl fld="1" item="142"/>
          <tpl fld="4" item="6"/>
        </tpls>
      </m>
      <n v="206" in="1">
        <tpls c="3">
          <tpl fld="0" item="0"/>
          <tpl fld="1" item="77"/>
          <tpl fld="4" item="7"/>
        </tpls>
      </n>
      <n v="3" in="0">
        <tpls c="3">
          <tpl fld="0" item="0"/>
          <tpl fld="1" item="296"/>
          <tpl fld="4" item="1"/>
        </tpls>
      </n>
      <m in="0">
        <tpls c="3">
          <tpl fld="0" item="0"/>
          <tpl fld="1" item="120"/>
          <tpl fld="4" item="8"/>
        </tpls>
      </m>
      <m in="0">
        <tpls c="3">
          <tpl fld="0" item="0"/>
          <tpl fld="1" item="200"/>
          <tpl fld="4" item="9"/>
        </tpls>
      </m>
      <m in="0">
        <tpls c="3">
          <tpl fld="0" item="0"/>
          <tpl fld="1" item="321"/>
          <tpl fld="4" item="9"/>
        </tpls>
      </m>
      <m in="0">
        <tpls c="3">
          <tpl fld="0" item="0"/>
          <tpl fld="1" item="24"/>
          <tpl fld="4" item="11"/>
        </tpls>
      </m>
      <m in="0">
        <tpls c="3">
          <tpl fld="0" item="0"/>
          <tpl fld="1" item="416"/>
          <tpl fld="4" item="12"/>
        </tpls>
      </m>
      <m in="0">
        <tpls c="3">
          <tpl fld="0" item="0"/>
          <tpl fld="1" item="21"/>
          <tpl fld="4" item="1"/>
        </tpls>
      </m>
      <m in="0">
        <tpls c="3">
          <tpl fld="0" item="0"/>
          <tpl fld="1" item="164"/>
          <tpl fld="4" item="11"/>
        </tpls>
      </m>
      <n v="6" in="0">
        <tpls c="3">
          <tpl fld="0" item="0"/>
          <tpl fld="1" item="395"/>
          <tpl fld="4" item="1"/>
        </tpls>
      </n>
      <m in="0">
        <tpls c="3">
          <tpl fld="0" item="0"/>
          <tpl fld="1" item="129"/>
          <tpl fld="4" item="6"/>
        </tpls>
      </m>
      <m in="0">
        <tpls c="3">
          <tpl fld="0" item="0"/>
          <tpl fld="1" item="74"/>
          <tpl fld="4" item="1"/>
        </tpls>
      </m>
      <n v="797" in="1">
        <tpls c="3">
          <tpl fld="0" item="0"/>
          <tpl fld="1" item="144"/>
          <tpl fld="4" item="7"/>
        </tpls>
      </n>
      <n v="1" in="0">
        <tpls c="3">
          <tpl fld="0" item="0"/>
          <tpl fld="1" item="351"/>
          <tpl fld="4" item="12"/>
        </tpls>
      </n>
      <m in="0">
        <tpls c="3">
          <tpl fld="0" item="0"/>
          <tpl fld="1" item="31"/>
          <tpl fld="4" item="5"/>
        </tpls>
      </m>
      <m in="0">
        <tpls c="3">
          <tpl fld="0" item="0"/>
          <tpl fld="1" item="233"/>
          <tpl fld="4" item="5"/>
        </tpls>
      </m>
      <m in="0">
        <tpls c="3">
          <tpl fld="0" item="0"/>
          <tpl fld="1" item="62"/>
          <tpl fld="4" item="8"/>
        </tpls>
      </m>
      <n v="6" in="0">
        <tpls c="3">
          <tpl fld="0" item="0"/>
          <tpl fld="1" item="67"/>
          <tpl fld="4" item="1"/>
        </tpls>
      </n>
      <m in="0">
        <tpls c="3">
          <tpl fld="0" item="0"/>
          <tpl fld="1" item="404"/>
          <tpl fld="4" item="5"/>
        </tpls>
      </m>
      <m in="0">
        <tpls c="3">
          <tpl fld="0" item="0"/>
          <tpl fld="1" item="61"/>
          <tpl fld="4" item="12"/>
        </tpls>
      </m>
      <m in="0">
        <tpls c="3">
          <tpl fld="0" item="0"/>
          <tpl fld="1" item="434"/>
          <tpl fld="4" item="1"/>
        </tpls>
      </m>
      <m in="0">
        <tpls c="3">
          <tpl fld="0" item="0"/>
          <tpl fld="1" item="257"/>
          <tpl fld="4" item="6"/>
        </tpls>
      </m>
      <m in="0">
        <tpls c="3">
          <tpl fld="0" item="0"/>
          <tpl fld="1" item="170"/>
          <tpl fld="4" item="6"/>
        </tpls>
      </m>
      <m in="0">
        <tpls c="3">
          <tpl fld="0" item="0"/>
          <tpl fld="1" item="170"/>
          <tpl fld="4" item="5"/>
        </tpls>
      </m>
      <n v="138" in="0">
        <tpls c="3">
          <tpl fld="0" item="0"/>
          <tpl fld="1" item="382"/>
          <tpl fld="4" item="10"/>
        </tpls>
      </n>
      <n v="1" in="0">
        <tpls c="3">
          <tpl fld="0" item="0"/>
          <tpl fld="1" item="38"/>
          <tpl fld="4" item="1"/>
        </tpls>
      </n>
      <n v="5" in="0">
        <tpls c="3">
          <tpl fld="0" item="0"/>
          <tpl fld="1" item="377"/>
          <tpl fld="4" item="1"/>
        </tpls>
      </n>
      <m in="0">
        <tpls c="3">
          <tpl fld="0" item="0"/>
          <tpl fld="1" item="434"/>
          <tpl fld="4" item="5"/>
        </tpls>
      </m>
      <m in="0">
        <tpls c="3">
          <tpl fld="0" item="0"/>
          <tpl fld="1" item="29"/>
          <tpl fld="4" item="1"/>
        </tpls>
      </m>
      <n v="1" in="0">
        <tpls c="3">
          <tpl fld="0" item="0"/>
          <tpl fld="1" item="99"/>
          <tpl fld="4" item="5"/>
        </tpls>
      </n>
      <m in="0">
        <tpls c="3">
          <tpl fld="0" item="0"/>
          <tpl fld="1" item="92"/>
          <tpl fld="4" item="6"/>
        </tpls>
      </m>
      <n v="802" in="1">
        <tpls c="3">
          <tpl fld="0" item="0"/>
          <tpl fld="1" item="99"/>
          <tpl fld="4" item="7"/>
        </tpls>
      </n>
      <n v="1774" in="1">
        <tpls c="3">
          <tpl fld="0" item="0"/>
          <tpl fld="1" item="331"/>
          <tpl fld="4" item="7"/>
        </tpls>
      </n>
      <m in="1">
        <tpls c="3">
          <tpl fld="0" item="0"/>
          <tpl fld="1" item="22"/>
          <tpl fld="4" item="7"/>
        </tpls>
      </m>
      <n v="167" in="0">
        <tpls c="3">
          <tpl fld="0" item="0"/>
          <tpl fld="1" item="152"/>
          <tpl fld="4" item="10"/>
        </tpls>
      </n>
      <m in="0">
        <tpls c="3">
          <tpl fld="0" item="0"/>
          <tpl fld="1" item="239"/>
          <tpl fld="4" item="10"/>
        </tpls>
      </m>
      <m in="0">
        <tpls c="3">
          <tpl fld="0" item="0"/>
          <tpl fld="1" item="236"/>
          <tpl fld="4" item="8"/>
        </tpls>
      </m>
      <m in="0">
        <tpls c="3">
          <tpl fld="0" item="0"/>
          <tpl fld="1" item="89"/>
          <tpl fld="4" item="9"/>
        </tpls>
      </m>
      <n v="135" in="1">
        <tpls c="3">
          <tpl fld="0" item="0"/>
          <tpl fld="1" item="382"/>
          <tpl fld="4" item="7"/>
        </tpls>
      </n>
      <m in="0">
        <tpls c="3">
          <tpl fld="0" item="0"/>
          <tpl fld="1" item="43"/>
          <tpl fld="4" item="8"/>
        </tpls>
      </m>
      <m in="0">
        <tpls c="3">
          <tpl fld="0" item="0"/>
          <tpl fld="1" item="310"/>
          <tpl fld="4" item="8"/>
        </tpls>
      </m>
      <m in="0">
        <tpls c="3">
          <tpl fld="0" item="0"/>
          <tpl fld="1" item="284"/>
          <tpl fld="4" item="6"/>
        </tpls>
      </m>
      <m in="0">
        <tpls c="3">
          <tpl fld="0" item="0"/>
          <tpl fld="1" item="254"/>
          <tpl fld="4" item="1"/>
        </tpls>
      </m>
      <m in="0">
        <tpls c="3">
          <tpl fld="0" item="0"/>
          <tpl fld="1" item="310"/>
          <tpl fld="4" item="5"/>
        </tpls>
      </m>
      <n v="183" in="0">
        <tpls c="3">
          <tpl fld="0" item="0"/>
          <tpl fld="1" item="280"/>
          <tpl fld="4" item="10"/>
        </tpls>
      </n>
      <m in="0">
        <tpls c="3">
          <tpl fld="0" item="0"/>
          <tpl fld="1" item="355"/>
          <tpl fld="4" item="11"/>
        </tpls>
      </m>
      <m in="0">
        <tpls c="3">
          <tpl fld="0" item="0"/>
          <tpl fld="1" item="369"/>
          <tpl fld="4" item="11"/>
        </tpls>
      </m>
      <n v="3" in="0">
        <tpls c="3">
          <tpl fld="0" item="0"/>
          <tpl fld="1" item="117"/>
          <tpl fld="4" item="11"/>
        </tpls>
      </n>
      <m in="0">
        <tpls c="3">
          <tpl fld="0" item="0"/>
          <tpl fld="1" item="429"/>
          <tpl fld="4" item="6"/>
        </tpls>
      </m>
      <n v="670" in="0">
        <tpls c="3">
          <tpl fld="0" item="0"/>
          <tpl fld="1" item="438"/>
          <tpl fld="4" item="10"/>
        </tpls>
      </n>
      <m in="0">
        <tpls c="3">
          <tpl fld="0" item="0"/>
          <tpl fld="1" item="199"/>
          <tpl fld="4" item="11"/>
        </tpls>
      </m>
      <n v="33" in="0">
        <tpls c="3">
          <tpl fld="0" item="0"/>
          <tpl fld="1" item="402"/>
          <tpl fld="4" item="10"/>
        </tpls>
      </n>
      <m in="0">
        <tpls c="3">
          <tpl fld="0" item="0"/>
          <tpl fld="1" item="53"/>
          <tpl fld="4" item="12"/>
        </tpls>
      </m>
      <n v="409" in="1">
        <tpls c="3">
          <tpl fld="0" item="0"/>
          <tpl fld="1" item="32"/>
          <tpl fld="4" item="7"/>
        </tpls>
      </n>
      <m in="0">
        <tpls c="3">
          <tpl fld="0" item="0"/>
          <tpl fld="1" item="23"/>
          <tpl fld="4" item="12"/>
        </tpls>
      </m>
      <m in="0">
        <tpls c="3">
          <tpl fld="0" item="0"/>
          <tpl fld="1" item="246"/>
          <tpl fld="4" item="5"/>
        </tpls>
      </m>
      <m in="0">
        <tpls c="3">
          <tpl fld="0" item="0"/>
          <tpl fld="1" item="387"/>
          <tpl fld="4" item="6"/>
        </tpls>
      </m>
      <m in="0">
        <tpls c="3">
          <tpl fld="0" item="0"/>
          <tpl fld="1" item="352"/>
          <tpl fld="4" item="1"/>
        </tpls>
      </m>
      <m in="0">
        <tpls c="3">
          <tpl fld="0" item="0"/>
          <tpl fld="1" item="385"/>
          <tpl fld="4" item="12"/>
        </tpls>
      </m>
      <m in="0">
        <tpls c="3">
          <tpl fld="0" item="0"/>
          <tpl fld="1" item="170"/>
          <tpl fld="4" item="10"/>
        </tpls>
      </m>
      <m in="0">
        <tpls c="3">
          <tpl fld="0" item="0"/>
          <tpl fld="1" item="246"/>
          <tpl fld="4" item="9"/>
        </tpls>
      </m>
      <m in="0">
        <tpls c="3">
          <tpl fld="0" item="0"/>
          <tpl fld="1" item="52"/>
          <tpl fld="4" item="5"/>
        </tpls>
      </m>
      <m in="0">
        <tpls c="3">
          <tpl fld="0" item="0"/>
          <tpl fld="1" item="445"/>
          <tpl fld="4" item="10"/>
        </tpls>
      </m>
      <m in="0">
        <tpls c="3">
          <tpl fld="0" item="0"/>
          <tpl fld="1" item="340"/>
          <tpl fld="4" item="5"/>
        </tpls>
      </m>
      <n v="1" in="0">
        <tpls c="3">
          <tpl fld="0" item="0"/>
          <tpl fld="1" item="64"/>
          <tpl fld="4" item="9"/>
        </tpls>
      </n>
      <m in="0">
        <tpls c="3">
          <tpl fld="0" item="0"/>
          <tpl fld="1" item="29"/>
          <tpl fld="4" item="11"/>
        </tpls>
      </m>
      <m in="1">
        <tpls c="3">
          <tpl fld="0" item="0"/>
          <tpl fld="1" item="220"/>
          <tpl fld="4" item="7"/>
        </tpls>
      </m>
      <m in="0">
        <tpls c="3">
          <tpl fld="0" item="0"/>
          <tpl fld="1" item="25"/>
          <tpl fld="4" item="8"/>
        </tpls>
      </m>
      <m in="0">
        <tpls c="3">
          <tpl fld="0" item="0"/>
          <tpl fld="1" item="323"/>
          <tpl fld="4" item="1"/>
        </tpls>
      </m>
      <m in="0">
        <tpls c="3">
          <tpl fld="0" item="0"/>
          <tpl fld="1" item="411"/>
          <tpl fld="4" item="12"/>
        </tpls>
      </m>
      <m in="0">
        <tpls c="3">
          <tpl fld="0" item="0"/>
          <tpl fld="1" item="375"/>
          <tpl fld="4" item="10"/>
        </tpls>
      </m>
      <m in="0">
        <tpls c="3">
          <tpl fld="0" item="0"/>
          <tpl fld="1" item="167"/>
          <tpl fld="4" item="5"/>
        </tpls>
      </m>
      <m in="0">
        <tpls c="3">
          <tpl fld="0" item="0"/>
          <tpl fld="1" item="237"/>
          <tpl fld="4" item="9"/>
        </tpls>
      </m>
      <m in="0">
        <tpls c="3">
          <tpl fld="0" item="0"/>
          <tpl fld="1" item="50"/>
          <tpl fld="4" item="5"/>
        </tpls>
      </m>
      <m in="0">
        <tpls c="3">
          <tpl fld="0" item="0"/>
          <tpl fld="1" item="244"/>
          <tpl fld="4" item="6"/>
        </tpls>
      </m>
      <m in="0">
        <tpls c="3">
          <tpl fld="0" item="0"/>
          <tpl fld="1" item="152"/>
          <tpl fld="4" item="6"/>
        </tpls>
      </m>
      <m in="0">
        <tpls c="3">
          <tpl fld="0" item="0"/>
          <tpl fld="1" item="2"/>
          <tpl fld="4" item="1"/>
        </tpls>
      </m>
      <m in="0">
        <tpls c="3">
          <tpl fld="0" item="0"/>
          <tpl fld="1" item="329"/>
          <tpl fld="4" item="5"/>
        </tpls>
      </m>
      <m in="0">
        <tpls c="3">
          <tpl fld="0" item="0"/>
          <tpl fld="1" item="251"/>
          <tpl fld="4" item="8"/>
        </tpls>
      </m>
      <n v="1" in="0">
        <tpls c="3">
          <tpl fld="0" item="0"/>
          <tpl fld="1" item="179"/>
          <tpl fld="4" item="1"/>
        </tpls>
      </n>
      <n v="1" in="0">
        <tpls c="3">
          <tpl fld="0" item="0"/>
          <tpl fld="1" item="148"/>
          <tpl fld="4" item="11"/>
        </tpls>
      </n>
      <m in="0">
        <tpls c="3">
          <tpl fld="0" item="0"/>
          <tpl fld="1" item="99"/>
          <tpl fld="4" item="6"/>
        </tpls>
      </m>
      <m in="0">
        <tpls c="3">
          <tpl fld="0" item="0"/>
          <tpl fld="1" item="121"/>
          <tpl fld="4" item="12"/>
        </tpls>
      </m>
      <m in="0">
        <tpls c="3">
          <tpl fld="0" item="0"/>
          <tpl fld="1" item="373"/>
          <tpl fld="4" item="11"/>
        </tpls>
      </m>
      <m in="1">
        <tpls c="3">
          <tpl fld="0" item="0"/>
          <tpl fld="1" item="439"/>
          <tpl fld="4" item="7"/>
        </tpls>
      </m>
      <n v="17" in="1">
        <tpls c="3">
          <tpl fld="0" item="0"/>
          <tpl fld="1" item="203"/>
          <tpl fld="4" item="7"/>
        </tpls>
      </n>
      <m in="0">
        <tpls c="3">
          <tpl fld="0" item="0"/>
          <tpl fld="1" item="413"/>
          <tpl fld="4" item="10"/>
        </tpls>
      </m>
      <m in="0">
        <tpls c="3">
          <tpl fld="0" item="0"/>
          <tpl fld="1" item="302"/>
          <tpl fld="4" item="5"/>
        </tpls>
      </m>
      <m in="0">
        <tpls c="3">
          <tpl fld="0" item="0"/>
          <tpl fld="1" item="349"/>
          <tpl fld="4" item="11"/>
        </tpls>
      </m>
      <m in="0">
        <tpls c="3">
          <tpl fld="0" item="0"/>
          <tpl fld="1" item="265"/>
          <tpl fld="4" item="11"/>
        </tpls>
      </m>
      <n v="326" in="1">
        <tpls c="3">
          <tpl fld="0" item="0"/>
          <tpl fld="1" item="279"/>
          <tpl fld="4" item="7"/>
        </tpls>
      </n>
      <m in="0">
        <tpls c="3">
          <tpl fld="0" item="0"/>
          <tpl fld="1" item="311"/>
          <tpl fld="4" item="11"/>
        </tpls>
      </m>
      <m in="0">
        <tpls c="3">
          <tpl fld="0" item="0"/>
          <tpl fld="1" item="132"/>
          <tpl fld="4" item="5"/>
        </tpls>
      </m>
      <m in="1">
        <tpls c="3">
          <tpl fld="0" item="0"/>
          <tpl fld="1" item="235"/>
          <tpl fld="4" item="7"/>
        </tpls>
      </m>
      <m in="1">
        <tpls c="3">
          <tpl fld="0" item="0"/>
          <tpl fld="1" item="243"/>
          <tpl fld="4" item="7"/>
        </tpls>
      </m>
      <m in="0">
        <tpls c="3">
          <tpl fld="0" item="0"/>
          <tpl fld="1" item="187"/>
          <tpl fld="4" item="5"/>
        </tpls>
      </m>
      <n v="386" in="1">
        <tpls c="3">
          <tpl fld="0" item="0"/>
          <tpl fld="1" item="395"/>
          <tpl fld="4" item="7"/>
        </tpls>
      </n>
      <m in="0">
        <tpls c="3">
          <tpl fld="0" item="0"/>
          <tpl fld="1" item="251"/>
          <tpl fld="4" item="11"/>
        </tpls>
      </m>
      <m in="0">
        <tpls c="3">
          <tpl fld="0" item="0"/>
          <tpl fld="1" item="146"/>
          <tpl fld="4" item="10"/>
        </tpls>
      </m>
      <m in="0">
        <tpls c="3">
          <tpl fld="0" item="0"/>
          <tpl fld="1" item="229"/>
          <tpl fld="4" item="5"/>
        </tpls>
      </m>
      <m in="0">
        <tpls c="3">
          <tpl fld="0" item="0"/>
          <tpl fld="1" item="252"/>
          <tpl fld="4" item="12"/>
        </tpls>
      </m>
      <m in="0">
        <tpls c="3">
          <tpl fld="0" item="0"/>
          <tpl fld="1" item="280"/>
          <tpl fld="4" item="5"/>
        </tpls>
      </m>
      <m in="1">
        <tpls c="3">
          <tpl fld="0" item="0"/>
          <tpl fld="1" item="15"/>
          <tpl fld="4" item="7"/>
        </tpls>
      </m>
      <m in="0">
        <tpls c="3">
          <tpl fld="0" item="0"/>
          <tpl fld="1" item="220"/>
          <tpl fld="4" item="5"/>
        </tpls>
      </m>
      <m in="0">
        <tpls c="3">
          <tpl fld="0" item="0"/>
          <tpl fld="1" item="415"/>
          <tpl fld="4" item="5"/>
        </tpls>
      </m>
      <n v="36" in="1">
        <tpls c="3">
          <tpl fld="0" item="0"/>
          <tpl fld="1" item="271"/>
          <tpl fld="4" item="7"/>
        </tpls>
      </n>
      <m in="0">
        <tpls c="3">
          <tpl fld="0" item="0"/>
          <tpl fld="1" item="168"/>
          <tpl fld="4" item="12"/>
        </tpls>
      </m>
      <m in="0">
        <tpls c="3">
          <tpl fld="0" item="0"/>
          <tpl fld="1" item="294"/>
          <tpl fld="4" item="5"/>
        </tpls>
      </m>
      <m in="0">
        <tpls c="3">
          <tpl fld="0" item="0"/>
          <tpl fld="1" item="3"/>
          <tpl fld="4" item="11"/>
        </tpls>
      </m>
      <m in="0">
        <tpls c="3">
          <tpl fld="0" item="0"/>
          <tpl fld="1" item="35"/>
          <tpl fld="4" item="5"/>
        </tpls>
      </m>
      <m in="0">
        <tpls c="3">
          <tpl fld="0" item="0"/>
          <tpl fld="1" item="301"/>
          <tpl fld="4" item="6"/>
        </tpls>
      </m>
      <m in="0">
        <tpls c="3">
          <tpl fld="0" item="0"/>
          <tpl fld="1" item="342"/>
          <tpl fld="4" item="8"/>
        </tpls>
      </m>
      <m in="0">
        <tpls c="3">
          <tpl fld="0" item="0"/>
          <tpl fld="1" item="261"/>
          <tpl fld="4" item="6"/>
        </tpls>
      </m>
      <m in="0">
        <tpls c="3">
          <tpl fld="0" item="0"/>
          <tpl fld="1" item="84"/>
          <tpl fld="4" item="11"/>
        </tpls>
      </m>
      <m in="0">
        <tpls c="3">
          <tpl fld="0" item="0"/>
          <tpl fld="1" item="186"/>
          <tpl fld="4" item="9"/>
        </tpls>
      </m>
      <m in="0">
        <tpls c="3">
          <tpl fld="0" item="0"/>
          <tpl fld="1" item="174"/>
          <tpl fld="4" item="8"/>
        </tpls>
      </m>
      <m in="0">
        <tpls c="3">
          <tpl fld="0" item="0"/>
          <tpl fld="1" item="303"/>
          <tpl fld="4" item="10"/>
        </tpls>
      </m>
      <n v="1" in="0">
        <tpls c="3">
          <tpl fld="0" item="0"/>
          <tpl fld="1" item="424"/>
          <tpl fld="4" item="11"/>
        </tpls>
      </n>
      <m in="0">
        <tpls c="3">
          <tpl fld="0" item="0"/>
          <tpl fld="1" item="229"/>
          <tpl fld="4" item="10"/>
        </tpls>
      </m>
      <n v="102" in="0">
        <tpls c="3">
          <tpl fld="0" item="0"/>
          <tpl fld="1" item="120"/>
          <tpl fld="4" item="10"/>
        </tpls>
      </n>
      <m in="0">
        <tpls c="3">
          <tpl fld="0" item="0"/>
          <tpl fld="1" item="285"/>
          <tpl fld="4" item="11"/>
        </tpls>
      </m>
      <m in="0">
        <tpls c="3">
          <tpl fld="0" item="0"/>
          <tpl fld="1" item="37"/>
          <tpl fld="4" item="6"/>
        </tpls>
      </m>
      <m in="0">
        <tpls c="3">
          <tpl fld="0" item="0"/>
          <tpl fld="1" item="446"/>
          <tpl fld="4" item="5"/>
        </tpls>
      </m>
      <m in="0">
        <tpls c="3">
          <tpl fld="0" item="0"/>
          <tpl fld="1" item="116"/>
          <tpl fld="4" item="11"/>
        </tpls>
      </m>
      <m in="0">
        <tpls c="3">
          <tpl fld="0" item="0"/>
          <tpl fld="1" item="408"/>
          <tpl fld="4" item="11"/>
        </tpls>
      </m>
      <m in="0">
        <tpls c="3">
          <tpl fld="0" item="0"/>
          <tpl fld="1" item="356"/>
          <tpl fld="4" item="11"/>
        </tpls>
      </m>
      <n v="1" in="0">
        <tpls c="3">
          <tpl fld="0" item="0"/>
          <tpl fld="1" item="329"/>
          <tpl fld="4" item="1"/>
        </tpls>
      </n>
      <m in="0">
        <tpls c="3">
          <tpl fld="0" item="0"/>
          <tpl fld="1" item="70"/>
          <tpl fld="4" item="8"/>
        </tpls>
      </m>
      <m in="0">
        <tpls c="3">
          <tpl fld="0" item="0"/>
          <tpl fld="1" item="306"/>
          <tpl fld="4" item="1"/>
        </tpls>
      </m>
      <m in="0">
        <tpls c="3">
          <tpl fld="0" item="0"/>
          <tpl fld="1" item="238"/>
          <tpl fld="4" item="6"/>
        </tpls>
      </m>
      <m in="0">
        <tpls c="3">
          <tpl fld="0" item="0"/>
          <tpl fld="1" item="335"/>
          <tpl fld="4" item="8"/>
        </tpls>
      </m>
      <n v="1668" in="1">
        <tpls c="3">
          <tpl fld="0" item="0"/>
          <tpl fld="1" item="288"/>
          <tpl fld="4" item="7"/>
        </tpls>
      </n>
      <m in="0">
        <tpls c="3">
          <tpl fld="0" item="0"/>
          <tpl fld="1" item="300"/>
          <tpl fld="4" item="11"/>
        </tpls>
      </m>
      <m in="0">
        <tpls c="3">
          <tpl fld="0" item="0"/>
          <tpl fld="1" item="99"/>
          <tpl fld="4" item="1"/>
        </tpls>
      </m>
      <m in="0">
        <tpls c="3">
          <tpl fld="0" item="0"/>
          <tpl fld="1" item="279"/>
          <tpl fld="4" item="12"/>
        </tpls>
      </m>
      <m in="0">
        <tpls c="3">
          <tpl fld="0" item="0"/>
          <tpl fld="1" item="426"/>
          <tpl fld="4" item="12"/>
        </tpls>
      </m>
      <m in="0">
        <tpls c="3">
          <tpl fld="0" item="0"/>
          <tpl fld="1" item="267"/>
          <tpl fld="4" item="5"/>
        </tpls>
      </m>
      <m in="0">
        <tpls c="3">
          <tpl fld="0" item="0"/>
          <tpl fld="1" item="164"/>
          <tpl fld="4" item="10"/>
        </tpls>
      </m>
      <m in="0">
        <tpls c="3">
          <tpl fld="0" item="0"/>
          <tpl fld="1" item="305"/>
          <tpl fld="4" item="9"/>
        </tpls>
      </m>
      <n v="13" in="0">
        <tpls c="3">
          <tpl fld="0" item="0"/>
          <tpl fld="1" item="68"/>
          <tpl fld="4" item="8"/>
        </tpls>
      </n>
      <m in="0">
        <tpls c="3">
          <tpl fld="0" item="0"/>
          <tpl fld="1" item="69"/>
          <tpl fld="4" item="5"/>
        </tpls>
      </m>
      <m in="0">
        <tpls c="3">
          <tpl fld="0" item="0"/>
          <tpl fld="1" item="419"/>
          <tpl fld="4" item="5"/>
        </tpls>
      </m>
      <m in="0">
        <tpls c="3">
          <tpl fld="0" item="0"/>
          <tpl fld="1" item="255"/>
          <tpl fld="4" item="6"/>
        </tpls>
      </m>
      <m in="0">
        <tpls c="3">
          <tpl fld="0" item="0"/>
          <tpl fld="1" item="241"/>
          <tpl fld="4" item="12"/>
        </tpls>
      </m>
      <m in="0">
        <tpls c="3">
          <tpl fld="0" item="0"/>
          <tpl fld="1" item="428"/>
          <tpl fld="4" item="11"/>
        </tpls>
      </m>
      <m in="0">
        <tpls c="3">
          <tpl fld="0" item="0"/>
          <tpl fld="1" item="54"/>
          <tpl fld="4" item="5"/>
        </tpls>
      </m>
      <n v="18" in="0">
        <tpls c="3">
          <tpl fld="0" item="0"/>
          <tpl fld="1" item="171"/>
          <tpl fld="4" item="10"/>
        </tpls>
      </n>
      <m in="0">
        <tpls c="3">
          <tpl fld="0" item="0"/>
          <tpl fld="1" item="406"/>
          <tpl fld="4" item="11"/>
        </tpls>
      </m>
      <n v="1" in="0">
        <tpls c="3">
          <tpl fld="0" item="0"/>
          <tpl fld="1" item="183"/>
          <tpl fld="4" item="12"/>
        </tpls>
      </n>
      <m in="0">
        <tpls c="3">
          <tpl fld="0" item="0"/>
          <tpl fld="1" item="318"/>
          <tpl fld="4" item="11"/>
        </tpls>
      </m>
      <m in="0">
        <tpls c="3">
          <tpl fld="0" item="0"/>
          <tpl fld="1" item="123"/>
          <tpl fld="4" item="12"/>
        </tpls>
      </m>
      <n v="3" in="0">
        <tpls c="3">
          <tpl fld="0" item="0"/>
          <tpl fld="1" item="68"/>
          <tpl fld="4" item="9"/>
        </tpls>
      </n>
      <m in="0">
        <tpls c="3">
          <tpl fld="0" item="0"/>
          <tpl fld="1" item="9"/>
          <tpl fld="4" item="9"/>
        </tpls>
      </m>
      <n v="156" in="0">
        <tpls c="3">
          <tpl fld="0" item="0"/>
          <tpl fld="1" item="94"/>
          <tpl fld="4" item="10"/>
        </tpls>
      </n>
      <m in="0">
        <tpls c="3">
          <tpl fld="0" item="0"/>
          <tpl fld="1" item="342"/>
          <tpl fld="4" item="5"/>
        </tpls>
      </m>
      <m in="0">
        <tpls c="3">
          <tpl fld="0" item="0"/>
          <tpl fld="1" item="200"/>
          <tpl fld="4" item="5"/>
        </tpls>
      </m>
      <m in="0">
        <tpls c="3">
          <tpl fld="0" item="0"/>
          <tpl fld="1" item="343"/>
          <tpl fld="4" item="12"/>
        </tpls>
      </m>
      <m in="0">
        <tpls c="3">
          <tpl fld="0" item="0"/>
          <tpl fld="1" item="242"/>
          <tpl fld="4" item="5"/>
        </tpls>
      </m>
      <m in="0">
        <tpls c="3">
          <tpl fld="0" item="0"/>
          <tpl fld="1" item="67"/>
          <tpl fld="4" item="6"/>
        </tpls>
      </m>
      <m in="0">
        <tpls c="3">
          <tpl fld="0" item="0"/>
          <tpl fld="1" item="38"/>
          <tpl fld="4" item="6"/>
        </tpls>
      </m>
      <m in="0">
        <tpls c="3">
          <tpl fld="0" item="0"/>
          <tpl fld="1" item="57"/>
          <tpl fld="4" item="6"/>
        </tpls>
      </m>
      <n v="117" in="0">
        <tpls c="3">
          <tpl fld="0" item="0"/>
          <tpl fld="1" item="254"/>
          <tpl fld="4" item="10"/>
        </tpls>
      </n>
      <m in="0">
        <tpls c="3">
          <tpl fld="0" item="0"/>
          <tpl fld="1" item="256"/>
          <tpl fld="4" item="1"/>
        </tpls>
      </m>
      <m in="0">
        <tpls c="3">
          <tpl fld="0" item="0"/>
          <tpl fld="1" item="49"/>
          <tpl fld="4" item="6"/>
        </tpls>
      </m>
      <m in="0">
        <tpls c="3">
          <tpl fld="0" item="0"/>
          <tpl fld="1" item="185"/>
          <tpl fld="4" item="8"/>
        </tpls>
      </m>
      <n v="11" in="0">
        <tpls c="3">
          <tpl fld="0" item="0"/>
          <tpl fld="1" item="245"/>
          <tpl fld="4" item="10"/>
        </tpls>
      </n>
      <m in="0">
        <tpls c="3">
          <tpl fld="0" item="0"/>
          <tpl fld="1" item="387"/>
          <tpl fld="4" item="5"/>
        </tpls>
      </m>
      <m in="1">
        <tpls c="3">
          <tpl fld="0" item="0"/>
          <tpl fld="1" item="43"/>
          <tpl fld="4" item="7"/>
        </tpls>
      </m>
      <m in="0">
        <tpls c="3">
          <tpl fld="0" item="0"/>
          <tpl fld="1" item="297"/>
          <tpl fld="4" item="10"/>
        </tpls>
      </m>
      <m in="0">
        <tpls c="3">
          <tpl fld="0" item="0"/>
          <tpl fld="1" item="430"/>
          <tpl fld="4" item="12"/>
        </tpls>
      </m>
      <m in="0">
        <tpls c="3">
          <tpl fld="0" item="0"/>
          <tpl fld="1" item="425"/>
          <tpl fld="4" item="12"/>
        </tpls>
      </m>
      <n v="7" in="1">
        <tpls c="3">
          <tpl fld="0" item="0"/>
          <tpl fld="1" item="75"/>
          <tpl fld="4" item="7"/>
        </tpls>
      </n>
      <m in="0">
        <tpls c="3">
          <tpl fld="0" item="0"/>
          <tpl fld="1" item="166"/>
          <tpl fld="4" item="12"/>
        </tpls>
      </m>
      <n v="111" in="0">
        <tpls c="3">
          <tpl fld="0" item="0"/>
          <tpl fld="1" item="334"/>
          <tpl fld="4" item="10"/>
        </tpls>
      </n>
      <m in="0">
        <tpls c="3">
          <tpl fld="0" item="0"/>
          <tpl fld="1" item="390"/>
          <tpl fld="4" item="9"/>
        </tpls>
      </m>
      <n v="2" in="0">
        <tpls c="3">
          <tpl fld="0" item="0"/>
          <tpl fld="1" item="390"/>
          <tpl fld="4" item="12"/>
        </tpls>
      </n>
      <m in="0">
        <tpls c="3">
          <tpl fld="0" item="0"/>
          <tpl fld="1" item="328"/>
          <tpl fld="4" item="8"/>
        </tpls>
      </m>
      <m in="0">
        <tpls c="3">
          <tpl fld="0" item="0"/>
          <tpl fld="1" item="24"/>
          <tpl fld="4" item="8"/>
        </tpls>
      </m>
      <m in="0">
        <tpls c="3">
          <tpl fld="0" item="0"/>
          <tpl fld="1" item="297"/>
          <tpl fld="4" item="9"/>
        </tpls>
      </m>
      <m in="0">
        <tpls c="3">
          <tpl fld="0" item="0"/>
          <tpl fld="1" item="332"/>
          <tpl fld="4" item="1"/>
        </tpls>
      </m>
      <m in="0">
        <tpls c="3">
          <tpl fld="0" item="0"/>
          <tpl fld="1" item="373"/>
          <tpl fld="4" item="1"/>
        </tpls>
      </m>
      <m in="0">
        <tpls c="3">
          <tpl fld="0" item="0"/>
          <tpl fld="1" item="436"/>
          <tpl fld="4" item="1"/>
        </tpls>
      </m>
      <n v="17" in="0">
        <tpls c="3">
          <tpl fld="0" item="0"/>
          <tpl fld="1" item="155"/>
          <tpl fld="4" item="10"/>
        </tpls>
      </n>
      <n v="2" in="0">
        <tpls c="3">
          <tpl fld="0" item="0"/>
          <tpl fld="1" item="381"/>
          <tpl fld="4" item="11"/>
        </tpls>
      </n>
      <m in="0">
        <tpls c="3">
          <tpl fld="0" item="0"/>
          <tpl fld="1" item="276"/>
          <tpl fld="4" item="5"/>
        </tpls>
      </m>
      <m in="0">
        <tpls c="3">
          <tpl fld="0" item="0"/>
          <tpl fld="1" item="47"/>
          <tpl fld="4" item="5"/>
        </tpls>
      </m>
      <m in="0">
        <tpls c="3">
          <tpl fld="0" item="0"/>
          <tpl fld="1" item="161"/>
          <tpl fld="4" item="5"/>
        </tpls>
      </m>
      <m in="0">
        <tpls c="3">
          <tpl fld="0" item="0"/>
          <tpl fld="1" item="331"/>
          <tpl fld="4" item="6"/>
        </tpls>
      </m>
      <m in="0">
        <tpls c="3">
          <tpl fld="0" item="0"/>
          <tpl fld="1" item="383"/>
          <tpl fld="4" item="5"/>
        </tpls>
      </m>
      <m in="0">
        <tpls c="3">
          <tpl fld="0" item="0"/>
          <tpl fld="1" item="84"/>
          <tpl fld="4" item="6"/>
        </tpls>
      </m>
      <m in="0">
        <tpls c="3">
          <tpl fld="0" item="0"/>
          <tpl fld="1" item="178"/>
          <tpl fld="4" item="11"/>
        </tpls>
      </m>
      <m in="0">
        <tpls c="3">
          <tpl fld="0" item="0"/>
          <tpl fld="1" item="118"/>
          <tpl fld="4" item="5"/>
        </tpls>
      </m>
      <m in="1">
        <tpls c="3">
          <tpl fld="0" item="0"/>
          <tpl fld="1" item="128"/>
          <tpl fld="4" item="7"/>
        </tpls>
      </m>
      <m in="0">
        <tpls c="3">
          <tpl fld="0" item="0"/>
          <tpl fld="1" item="309"/>
          <tpl fld="4" item="9"/>
        </tpls>
      </m>
      <m in="0">
        <tpls c="3">
          <tpl fld="0" item="0"/>
          <tpl fld="1" item="389"/>
          <tpl fld="4" item="1"/>
        </tpls>
      </m>
      <m in="0">
        <tpls c="3">
          <tpl fld="0" item="0"/>
          <tpl fld="1" item="315"/>
          <tpl fld="4" item="12"/>
        </tpls>
      </m>
      <m in="0">
        <tpls c="3">
          <tpl fld="0" item="0"/>
          <tpl fld="1" item="385"/>
          <tpl fld="4" item="6"/>
        </tpls>
      </m>
      <m in="0">
        <tpls c="3">
          <tpl fld="0" item="0"/>
          <tpl fld="1" item="163"/>
          <tpl fld="4" item="1"/>
        </tpls>
      </m>
      <n v="64" in="1">
        <tpls c="3">
          <tpl fld="0" item="0"/>
          <tpl fld="1" item="332"/>
          <tpl fld="4" item="7"/>
        </tpls>
      </n>
      <m in="0">
        <tpls c="3">
          <tpl fld="0" item="0"/>
          <tpl fld="1" item="254"/>
          <tpl fld="4" item="12"/>
        </tpls>
      </m>
      <m in="0">
        <tpls c="3">
          <tpl fld="0" item="0"/>
          <tpl fld="1" item="83"/>
          <tpl fld="4" item="10"/>
        </tpls>
      </m>
      <m in="0">
        <tpls c="3">
          <tpl fld="0" item="0"/>
          <tpl fld="1" item="56"/>
          <tpl fld="4" item="5"/>
        </tpls>
      </m>
      <m in="0">
        <tpls c="3">
          <tpl fld="0" item="0"/>
          <tpl fld="1" item="211"/>
          <tpl fld="4" item="1"/>
        </tpls>
      </m>
      <m in="0">
        <tpls c="3">
          <tpl fld="0" item="0"/>
          <tpl fld="1" item="112"/>
          <tpl fld="4" item="11"/>
        </tpls>
      </m>
      <n v="30" in="1">
        <tpls c="3">
          <tpl fld="0" item="0"/>
          <tpl fld="1" item="429"/>
          <tpl fld="4" item="7"/>
        </tpls>
      </n>
      <m in="0">
        <tpls c="3">
          <tpl fld="0" item="0"/>
          <tpl fld="1" item="194"/>
          <tpl fld="4" item="9"/>
        </tpls>
      </m>
      <m in="0">
        <tpls c="3">
          <tpl fld="0" item="0"/>
          <tpl fld="1" item="153"/>
          <tpl fld="4" item="1"/>
        </tpls>
      </m>
      <m in="0">
        <tpls c="3">
          <tpl fld="0" item="0"/>
          <tpl fld="1" item="12"/>
          <tpl fld="4" item="6"/>
        </tpls>
      </m>
      <m in="0">
        <tpls c="3">
          <tpl fld="0" item="0"/>
          <tpl fld="1" item="157"/>
          <tpl fld="4" item="9"/>
        </tpls>
      </m>
      <m in="1">
        <tpls c="3">
          <tpl fld="0" item="0"/>
          <tpl fld="1" item="374"/>
          <tpl fld="4" item="7"/>
        </tpls>
      </m>
      <m in="0">
        <tpls c="3">
          <tpl fld="0" item="0"/>
          <tpl fld="1" item="406"/>
          <tpl fld="4" item="1"/>
        </tpls>
      </m>
      <m in="0">
        <tpls c="3">
          <tpl fld="0" item="0"/>
          <tpl fld="1" item="208"/>
          <tpl fld="4" item="12"/>
        </tpls>
      </m>
      <m in="0">
        <tpls c="3">
          <tpl fld="0" item="0"/>
          <tpl fld="1" item="432"/>
          <tpl fld="4" item="11"/>
        </tpls>
      </m>
      <m in="0">
        <tpls c="3">
          <tpl fld="0" item="0"/>
          <tpl fld="1" item="124"/>
          <tpl fld="4" item="8"/>
        </tpls>
      </m>
      <m in="1">
        <tpls c="3">
          <tpl fld="0" item="0"/>
          <tpl fld="1" item="345"/>
          <tpl fld="4" item="7"/>
        </tpls>
      </m>
      <n v="2" in="0">
        <tpls c="3">
          <tpl fld="0" item="0"/>
          <tpl fld="1" item="160"/>
          <tpl fld="4" item="9"/>
        </tpls>
      </n>
      <m in="0">
        <tpls c="3">
          <tpl fld="0" item="0"/>
          <tpl fld="1" item="122"/>
          <tpl fld="4" item="8"/>
        </tpls>
      </m>
      <n v="257" in="1">
        <tpls c="3">
          <tpl fld="0" item="0"/>
          <tpl fld="1" item="182"/>
          <tpl fld="4" item="7"/>
        </tpls>
      </n>
      <m in="0">
        <tpls c="3">
          <tpl fld="0" item="0"/>
          <tpl fld="1" item="74"/>
          <tpl fld="4" item="6"/>
        </tpls>
      </m>
      <m in="0">
        <tpls c="3">
          <tpl fld="0" item="0"/>
          <tpl fld="1" item="388"/>
          <tpl fld="4" item="11"/>
        </tpls>
      </m>
      <m in="0">
        <tpls c="3">
          <tpl fld="0" item="0"/>
          <tpl fld="1" item="441"/>
          <tpl fld="4" item="11"/>
        </tpls>
      </m>
      <m in="0">
        <tpls c="3">
          <tpl fld="0" item="0"/>
          <tpl fld="1" item="440"/>
          <tpl fld="4" item="10"/>
        </tpls>
      </m>
      <m in="0">
        <tpls c="3">
          <tpl fld="0" item="0"/>
          <tpl fld="1" item="108"/>
          <tpl fld="4" item="6"/>
        </tpls>
      </m>
      <m in="0">
        <tpls c="3">
          <tpl fld="0" item="0"/>
          <tpl fld="1" item="18"/>
          <tpl fld="4" item="9"/>
        </tpls>
      </m>
      <m in="0">
        <tpls c="3">
          <tpl fld="0" item="0"/>
          <tpl fld="1" item="0"/>
          <tpl fld="4" item="5"/>
        </tpls>
      </m>
      <m in="0">
        <tpls c="3">
          <tpl fld="0" item="0"/>
          <tpl fld="1" item="187"/>
          <tpl fld="4" item="11"/>
        </tpls>
      </m>
      <n v="4" in="0">
        <tpls c="3">
          <tpl fld="0" item="0"/>
          <tpl fld="1" item="281"/>
          <tpl fld="4" item="1"/>
        </tpls>
      </n>
      <m in="0">
        <tpls c="3">
          <tpl fld="0" item="0"/>
          <tpl fld="1" item="147"/>
          <tpl fld="4" item="5"/>
        </tpls>
      </m>
      <m in="0">
        <tpls c="3">
          <tpl fld="0" item="0"/>
          <tpl fld="1" item="210"/>
          <tpl fld="4" item="5"/>
        </tpls>
      </m>
      <m in="0">
        <tpls c="3">
          <tpl fld="0" item="0"/>
          <tpl fld="1" item="346"/>
          <tpl fld="4" item="12"/>
        </tpls>
      </m>
      <m in="0">
        <tpls c="3">
          <tpl fld="0" item="0"/>
          <tpl fld="1" item="114"/>
          <tpl fld="4" item="12"/>
        </tpls>
      </m>
      <m in="0">
        <tpls c="3">
          <tpl fld="0" item="0"/>
          <tpl fld="1" item="69"/>
          <tpl fld="4" item="6"/>
        </tpls>
      </m>
      <m in="0">
        <tpls c="3">
          <tpl fld="0" item="0"/>
          <tpl fld="1" item="439"/>
          <tpl fld="4" item="5"/>
        </tpls>
      </m>
      <m in="0">
        <tpls c="3">
          <tpl fld="0" item="0"/>
          <tpl fld="1" item="357"/>
          <tpl fld="4" item="1"/>
        </tpls>
      </m>
      <m in="0">
        <tpls c="3">
          <tpl fld="0" item="0"/>
          <tpl fld="1" item="184"/>
          <tpl fld="4" item="5"/>
        </tpls>
      </m>
      <m in="0">
        <tpls c="3">
          <tpl fld="0" item="0"/>
          <tpl fld="1" item="221"/>
          <tpl fld="4" item="5"/>
        </tpls>
      </m>
      <m in="0">
        <tpls c="3">
          <tpl fld="0" item="0"/>
          <tpl fld="1" item="13"/>
          <tpl fld="4" item="12"/>
        </tpls>
      </m>
      <m in="0">
        <tpls c="3">
          <tpl fld="0" item="0"/>
          <tpl fld="1" item="240"/>
          <tpl fld="4" item="5"/>
        </tpls>
      </m>
      <m in="0">
        <tpls c="3">
          <tpl fld="0" item="0"/>
          <tpl fld="1" item="144"/>
          <tpl fld="4" item="11"/>
        </tpls>
      </m>
      <m in="0">
        <tpls c="3">
          <tpl fld="0" item="0"/>
          <tpl fld="1" item="235"/>
          <tpl fld="4" item="8"/>
        </tpls>
      </m>
      <m in="0">
        <tpls c="3">
          <tpl fld="0" item="0"/>
          <tpl fld="1" item="69"/>
          <tpl fld="4" item="9"/>
        </tpls>
      </m>
      <m in="0">
        <tpls c="3">
          <tpl fld="0" item="0"/>
          <tpl fld="1" item="73"/>
          <tpl fld="4" item="8"/>
        </tpls>
      </m>
      <m in="0">
        <tpls c="3">
          <tpl fld="0" item="0"/>
          <tpl fld="1" item="358"/>
          <tpl fld="4" item="6"/>
        </tpls>
      </m>
      <m in="0">
        <tpls c="3">
          <tpl fld="0" item="0"/>
          <tpl fld="1" item="370"/>
          <tpl fld="4" item="5"/>
        </tpls>
      </m>
      <m in="0">
        <tpls c="3">
          <tpl fld="0" item="0"/>
          <tpl fld="1" item="427"/>
          <tpl fld="4" item="8"/>
        </tpls>
      </m>
      <n v="1" in="0">
        <tpls c="3">
          <tpl fld="0" item="0"/>
          <tpl fld="1" item="266"/>
          <tpl fld="4" item="12"/>
        </tpls>
      </n>
      <m in="0">
        <tpls c="3">
          <tpl fld="0" item="0"/>
          <tpl fld="1" item="61"/>
          <tpl fld="4" item="5"/>
        </tpls>
      </m>
      <m in="0">
        <tpls c="3">
          <tpl fld="0" item="0"/>
          <tpl fld="1" item="168"/>
          <tpl fld="4" item="11"/>
        </tpls>
      </m>
      <m in="0">
        <tpls c="3">
          <tpl fld="0" item="0"/>
          <tpl fld="1" item="96"/>
          <tpl fld="4" item="9"/>
        </tpls>
      </m>
      <n v="1338" in="0">
        <tpls c="3">
          <tpl fld="0" item="0"/>
          <tpl fld="1" item="447"/>
          <tpl fld="4" item="10"/>
        </tpls>
      </n>
      <m in="0">
        <tpls c="3">
          <tpl fld="0" item="0"/>
          <tpl fld="1" item="423"/>
          <tpl fld="4" item="10"/>
        </tpls>
      </m>
      <m in="0">
        <tpls c="3">
          <tpl fld="0" item="0"/>
          <tpl fld="1" item="414"/>
          <tpl fld="4" item="9"/>
        </tpls>
      </m>
      <n v="22" in="1">
        <tpls c="3">
          <tpl fld="0" item="0"/>
          <tpl fld="1" item="66"/>
          <tpl fld="4" item="7"/>
        </tpls>
      </n>
      <n v="83" in="1">
        <tpls c="3">
          <tpl fld="0" item="0"/>
          <tpl fld="1" item="419"/>
          <tpl fld="4" item="7"/>
        </tpls>
      </n>
      <m in="0">
        <tpls c="3">
          <tpl fld="0" item="0"/>
          <tpl fld="1" item="14"/>
          <tpl fld="4" item="8"/>
        </tpls>
      </m>
      <m in="0">
        <tpls c="3">
          <tpl fld="0" item="0"/>
          <tpl fld="1" item="96"/>
          <tpl fld="4" item="12"/>
        </tpls>
      </m>
      <n v="99" in="1">
        <tpls c="3">
          <tpl fld="0" item="0"/>
          <tpl fld="1" item="431"/>
          <tpl fld="4" item="7"/>
        </tpls>
      </n>
      <m in="0">
        <tpls c="3">
          <tpl fld="0" item="0"/>
          <tpl fld="1" item="40"/>
          <tpl fld="4" item="6"/>
        </tpls>
      </m>
      <m in="0">
        <tpls c="3">
          <tpl fld="0" item="0"/>
          <tpl fld="1" item="34"/>
          <tpl fld="4" item="11"/>
        </tpls>
      </m>
      <m in="0">
        <tpls c="3">
          <tpl fld="0" item="0"/>
          <tpl fld="3" item="0"/>
          <tpl fld="4" item="5"/>
        </tpls>
      </m>
      <m in="0">
        <tpls c="3">
          <tpl fld="0" item="0"/>
          <tpl fld="1" item="277"/>
          <tpl fld="4" item="9"/>
        </tpls>
      </m>
      <n v="1" in="0">
        <tpls c="3">
          <tpl fld="0" item="0"/>
          <tpl fld="1" item="365"/>
          <tpl fld="4" item="9"/>
        </tpls>
      </n>
      <m in="0">
        <tpls c="3">
          <tpl fld="0" item="0"/>
          <tpl fld="1" item="230"/>
          <tpl fld="4" item="12"/>
        </tpls>
      </m>
      <n v="2091" in="1">
        <tpls c="3">
          <tpl fld="0" item="0"/>
          <tpl fld="1" item="390"/>
          <tpl fld="4" item="7"/>
        </tpls>
      </n>
      <m in="1">
        <tpls c="3">
          <tpl fld="0" item="0"/>
          <tpl fld="1" item="375"/>
          <tpl fld="4" item="7"/>
        </tpls>
      </m>
      <m in="0">
        <tpls c="3">
          <tpl fld="0" item="0"/>
          <tpl fld="1" item="332"/>
          <tpl fld="4" item="5"/>
        </tpls>
      </m>
      <m in="0">
        <tpls c="3">
          <tpl fld="0" item="0"/>
          <tpl fld="1" item="257"/>
          <tpl fld="4" item="5"/>
        </tpls>
      </m>
      <m in="0">
        <tpls c="3">
          <tpl fld="0" item="0"/>
          <tpl fld="1" item="448"/>
          <tpl fld="4" item="6"/>
        </tpls>
      </m>
      <m in="0">
        <tpls c="3">
          <tpl fld="0" item="0"/>
          <tpl fld="1" item="142"/>
          <tpl fld="4" item="12"/>
        </tpls>
      </m>
      <m in="0">
        <tpls c="3">
          <tpl fld="0" item="0"/>
          <tpl fld="1" item="21"/>
          <tpl fld="4" item="12"/>
        </tpls>
      </m>
      <m in="0">
        <tpls c="3">
          <tpl fld="0" item="0"/>
          <tpl fld="1" item="364"/>
          <tpl fld="4" item="5"/>
        </tpls>
      </m>
      <n v="3" in="0">
        <tpls c="3">
          <tpl fld="0" item="0"/>
          <tpl fld="1" item="199"/>
          <tpl fld="4" item="1"/>
        </tpls>
      </n>
      <m in="0">
        <tpls c="3">
          <tpl fld="0" item="0"/>
          <tpl fld="1" item="196"/>
          <tpl fld="4" item="11"/>
        </tpls>
      </m>
      <m in="0">
        <tpls c="3">
          <tpl fld="0" item="0"/>
          <tpl fld="1" item="206"/>
          <tpl fld="4" item="9"/>
        </tpls>
      </m>
      <n v="5" in="0">
        <tpls c="3">
          <tpl fld="0" item="0"/>
          <tpl fld="1" item="10"/>
          <tpl fld="4" item="1"/>
        </tpls>
      </n>
      <m in="0">
        <tpls c="3">
          <tpl fld="0" item="0"/>
          <tpl fld="1" item="271"/>
          <tpl fld="4" item="5"/>
        </tpls>
      </m>
      <m in="0">
        <tpls c="3">
          <tpl fld="0" item="0"/>
          <tpl fld="1" item="35"/>
          <tpl fld="4" item="11"/>
        </tpls>
      </m>
      <m in="0">
        <tpls c="3">
          <tpl fld="0" item="0"/>
          <tpl fld="1" item="53"/>
          <tpl fld="4" item="11"/>
        </tpls>
      </m>
      <n v="25" in="0">
        <tpls c="3">
          <tpl fld="0" item="0"/>
          <tpl fld="1" item="393"/>
          <tpl fld="4" item="10"/>
        </tpls>
      </n>
      <n v="1" in="0">
        <tpls c="3">
          <tpl fld="0" item="0"/>
          <tpl fld="1" item="82"/>
          <tpl fld="4" item="9"/>
        </tpls>
      </n>
      <m in="0">
        <tpls c="3">
          <tpl fld="0" item="0"/>
          <tpl fld="1" item="24"/>
          <tpl fld="4" item="5"/>
        </tpls>
      </m>
      <n v="2" in="0">
        <tpls c="3">
          <tpl fld="0" item="0"/>
          <tpl fld="1" item="138"/>
          <tpl fld="4" item="11"/>
        </tpls>
      </n>
      <m in="1">
        <tpls c="3">
          <tpl fld="0" item="0"/>
          <tpl fld="1" item="222"/>
          <tpl fld="4" item="7"/>
        </tpls>
      </m>
      <m in="0">
        <tpls c="3">
          <tpl fld="0" item="0"/>
          <tpl fld="1" item="392"/>
          <tpl fld="4" item="8"/>
        </tpls>
      </m>
      <m in="1">
        <tpls c="3">
          <tpl fld="0" item="0"/>
          <tpl fld="1" item="234"/>
          <tpl fld="4" item="7"/>
        </tpls>
      </m>
      <m in="0">
        <tpls c="3">
          <tpl fld="0" item="0"/>
          <tpl fld="1" item="449"/>
          <tpl fld="4" item="6"/>
        </tpls>
      </m>
      <n v="4" in="0">
        <tpls c="3">
          <tpl fld="0" item="0"/>
          <tpl fld="1" item="42"/>
          <tpl fld="4" item="9"/>
        </tpls>
      </n>
      <m in="0">
        <tpls c="3">
          <tpl fld="0" item="0"/>
          <tpl fld="1" item="336"/>
          <tpl fld="4" item="5"/>
        </tpls>
      </m>
      <m in="0">
        <tpls c="3">
          <tpl fld="0" item="0"/>
          <tpl fld="1" item="344"/>
          <tpl fld="4" item="9"/>
        </tpls>
      </m>
      <m in="0">
        <tpls c="3">
          <tpl fld="0" item="0"/>
          <tpl fld="1" item="64"/>
          <tpl fld="4" item="12"/>
        </tpls>
      </m>
      <m in="1">
        <tpls c="3">
          <tpl fld="0" item="0"/>
          <tpl fld="1" item="443"/>
          <tpl fld="4" item="7"/>
        </tpls>
      </m>
      <m in="0">
        <tpls c="3">
          <tpl fld="0" item="0"/>
          <tpl fld="1" item="131"/>
          <tpl fld="4" item="8"/>
        </tpls>
      </m>
      <m in="0">
        <tpls c="3">
          <tpl fld="0" item="0"/>
          <tpl fld="1" item="189"/>
          <tpl fld="4" item="9"/>
        </tpls>
      </m>
      <m in="0">
        <tpls c="3">
          <tpl fld="0" item="0"/>
          <tpl fld="1" item="423"/>
          <tpl fld="4" item="5"/>
        </tpls>
      </m>
      <m in="0">
        <tpls c="3">
          <tpl fld="0" item="0"/>
          <tpl fld="1" item="53"/>
          <tpl fld="4" item="6"/>
        </tpls>
      </m>
      <n v="125" in="0">
        <tpls c="3">
          <tpl fld="0" item="0"/>
          <tpl fld="1" item="285"/>
          <tpl fld="4" item="10"/>
        </tpls>
      </n>
      <m in="0">
        <tpls c="3">
          <tpl fld="0" item="0"/>
          <tpl fld="1" item="100"/>
          <tpl fld="4" item="10"/>
        </tpls>
      </m>
      <m in="0">
        <tpls c="3">
          <tpl fld="0" item="0"/>
          <tpl fld="1" item="360"/>
          <tpl fld="4" item="9"/>
        </tpls>
      </m>
      <m in="0">
        <tpls c="3">
          <tpl fld="0" item="0"/>
          <tpl fld="1" item="234"/>
          <tpl fld="4" item="9"/>
        </tpls>
      </m>
      <m in="0">
        <tpls c="3">
          <tpl fld="0" item="0"/>
          <tpl fld="1" item="119"/>
          <tpl fld="4" item="10"/>
        </tpls>
      </m>
      <m in="0">
        <tpls c="3">
          <tpl fld="0" item="0"/>
          <tpl fld="1" item="280"/>
          <tpl fld="4" item="12"/>
        </tpls>
      </m>
      <m in="0">
        <tpls c="3">
          <tpl fld="0" item="0"/>
          <tpl fld="1" item="441"/>
          <tpl fld="4" item="5"/>
        </tpls>
      </m>
      <m in="0">
        <tpls c="3">
          <tpl fld="0" item="0"/>
          <tpl fld="1" item="126"/>
          <tpl fld="4" item="1"/>
        </tpls>
      </m>
      <m in="0">
        <tpls c="3">
          <tpl fld="0" item="0"/>
          <tpl fld="1" item="113"/>
          <tpl fld="4" item="8"/>
        </tpls>
      </m>
      <m in="0">
        <tpls c="3">
          <tpl fld="0" item="0"/>
          <tpl fld="1" item="232"/>
          <tpl fld="4" item="8"/>
        </tpls>
      </m>
      <m in="0">
        <tpls c="3">
          <tpl fld="0" item="0"/>
          <tpl fld="1" item="271"/>
          <tpl fld="4" item="9"/>
        </tpls>
      </m>
      <m in="1">
        <tpls c="3">
          <tpl fld="0" item="0"/>
          <tpl fld="1" item="83"/>
          <tpl fld="4" item="7"/>
        </tpls>
      </m>
      <m in="0">
        <tpls c="3">
          <tpl fld="0" item="0"/>
          <tpl fld="1" item="370"/>
          <tpl fld="4" item="11"/>
        </tpls>
      </m>
      <n v="12" in="1">
        <tpls c="3">
          <tpl fld="0" item="0"/>
          <tpl fld="1" item="127"/>
          <tpl fld="4" item="7"/>
        </tpls>
      </n>
      <m in="0">
        <tpls c="3">
          <tpl fld="0" item="0"/>
          <tpl fld="1" item="245"/>
          <tpl fld="4" item="9"/>
        </tpls>
      </m>
      <n v="2" in="0">
        <tpls c="3">
          <tpl fld="0" item="0"/>
          <tpl fld="1" item="400"/>
          <tpl fld="4" item="11"/>
        </tpls>
      </n>
      <m in="0">
        <tpls c="3">
          <tpl fld="0" item="0"/>
          <tpl fld="1" item="81"/>
          <tpl fld="4" item="1"/>
        </tpls>
      </m>
      <m in="0">
        <tpls c="3">
          <tpl fld="0" item="0"/>
          <tpl fld="1" item="55"/>
          <tpl fld="4" item="11"/>
        </tpls>
      </m>
      <n v="689" in="1">
        <tpls c="3">
          <tpl fld="0" item="0"/>
          <tpl fld="1" item="409"/>
          <tpl fld="4" item="7"/>
        </tpls>
      </n>
      <m in="0">
        <tpls c="3">
          <tpl fld="0" item="0"/>
          <tpl fld="1" item="325"/>
          <tpl fld="4" item="12"/>
        </tpls>
      </m>
      <m in="0">
        <tpls c="3">
          <tpl fld="0" item="0"/>
          <tpl fld="1" item="184"/>
          <tpl fld="4" item="6"/>
        </tpls>
      </m>
      <n v="9" in="0">
        <tpls c="3">
          <tpl fld="0" item="0"/>
          <tpl fld="1" item="441"/>
          <tpl fld="4" item="10"/>
        </tpls>
      </n>
      <m in="0">
        <tpls c="3">
          <tpl fld="0" item="0"/>
          <tpl fld="1" item="89"/>
          <tpl fld="4" item="11"/>
        </tpls>
      </m>
      <m in="0">
        <tpls c="3">
          <tpl fld="0" item="0"/>
          <tpl fld="1" item="450"/>
          <tpl fld="4" item="12"/>
        </tpls>
      </m>
      <m in="0">
        <tpls c="3">
          <tpl fld="0" item="0"/>
          <tpl fld="1" item="189"/>
          <tpl fld="4" item="5"/>
        </tpls>
      </m>
      <n v="6" in="0">
        <tpls c="3">
          <tpl fld="0" item="0"/>
          <tpl fld="1" item="352"/>
          <tpl fld="4" item="10"/>
        </tpls>
      </n>
      <m in="0">
        <tpls c="3">
          <tpl fld="0" item="0"/>
          <tpl fld="1" item="399"/>
          <tpl fld="4" item="10"/>
        </tpls>
      </m>
      <n v="2" in="0">
        <tpls c="3">
          <tpl fld="0" item="0"/>
          <tpl fld="1" item="385"/>
          <tpl fld="4" item="9"/>
        </tpls>
      </n>
      <m in="0">
        <tpls c="3">
          <tpl fld="0" item="0"/>
          <tpl fld="1" item="127"/>
          <tpl fld="4" item="1"/>
        </tpls>
      </m>
      <m in="0">
        <tpls c="3">
          <tpl fld="0" item="0"/>
          <tpl fld="1" item="407"/>
          <tpl fld="4" item="8"/>
        </tpls>
      </m>
      <m in="0">
        <tpls c="3">
          <tpl fld="0" item="0"/>
          <tpl fld="1" item="451"/>
          <tpl fld="4" item="5"/>
        </tpls>
      </m>
      <m in="0">
        <tpls c="3">
          <tpl fld="0" item="0"/>
          <tpl fld="1" item="44"/>
          <tpl fld="4" item="1"/>
        </tpls>
      </m>
      <m in="0">
        <tpls c="3">
          <tpl fld="0" item="0"/>
          <tpl fld="1" item="36"/>
          <tpl fld="4" item="5"/>
        </tpls>
      </m>
      <n v="138" in="1">
        <tpls c="3">
          <tpl fld="0" item="0"/>
          <tpl fld="1" item="94"/>
          <tpl fld="4" item="7"/>
        </tpls>
      </n>
      <m in="0">
        <tpls c="3">
          <tpl fld="0" item="0"/>
          <tpl fld="1" item="40"/>
          <tpl fld="4" item="1"/>
        </tpls>
      </m>
      <m in="0">
        <tpls c="3">
          <tpl fld="0" item="0"/>
          <tpl fld="1" item="290"/>
          <tpl fld="4" item="6"/>
        </tpls>
      </m>
      <m in="0">
        <tpls c="3">
          <tpl fld="0" item="0"/>
          <tpl fld="1" item="145"/>
          <tpl fld="4" item="5"/>
        </tpls>
      </m>
      <n v="8" in="0">
        <tpls c="3">
          <tpl fld="0" item="0"/>
          <tpl fld="1" item="160"/>
          <tpl fld="4" item="1"/>
        </tpls>
      </n>
      <m in="0">
        <tpls c="3">
          <tpl fld="0" item="0"/>
          <tpl fld="1" item="233"/>
          <tpl fld="4" item="1"/>
        </tpls>
      </m>
      <m in="0">
        <tpls c="3">
          <tpl fld="0" item="0"/>
          <tpl fld="1" item="231"/>
          <tpl fld="4" item="6"/>
        </tpls>
      </m>
      <m in="0">
        <tpls c="3">
          <tpl fld="0" item="0"/>
          <tpl fld="1" item="189"/>
          <tpl fld="4" item="11"/>
        </tpls>
      </m>
      <m in="0">
        <tpls c="3">
          <tpl fld="0" item="0"/>
          <tpl fld="1" item="289"/>
          <tpl fld="4" item="11"/>
        </tpls>
      </m>
      <n v="7" in="0">
        <tpls c="3">
          <tpl fld="0" item="0"/>
          <tpl fld="1" item="288"/>
          <tpl fld="4" item="1"/>
        </tpls>
      </n>
      <n v="8" in="0">
        <tpls c="3">
          <tpl fld="0" item="0"/>
          <tpl fld="1" item="313"/>
          <tpl fld="4" item="1"/>
        </tpls>
      </n>
      <m in="0">
        <tpls c="3">
          <tpl fld="0" item="0"/>
          <tpl fld="1" item="420"/>
          <tpl fld="4" item="5"/>
        </tpls>
      </m>
      <m in="0">
        <tpls c="3">
          <tpl fld="0" item="0"/>
          <tpl fld="1" item="269"/>
          <tpl fld="4" item="5"/>
        </tpls>
      </m>
      <n v="180" in="0">
        <tpls c="3">
          <tpl fld="0" item="0"/>
          <tpl fld="1" item="106"/>
          <tpl fld="4" item="10"/>
        </tpls>
      </n>
      <m in="1">
        <tpls c="3">
          <tpl fld="0" item="0"/>
          <tpl fld="1" item="240"/>
          <tpl fld="4" item="7"/>
        </tpls>
      </m>
      <n v="181" in="0">
        <tpls c="3">
          <tpl fld="0" item="0"/>
          <tpl fld="1" item="163"/>
          <tpl fld="4" item="10"/>
        </tpls>
      </n>
      <n v="1" in="0">
        <tpls c="3">
          <tpl fld="0" item="0"/>
          <tpl fld="1" item="117"/>
          <tpl fld="4" item="8"/>
        </tpls>
      </n>
      <n v="12" in="0">
        <tpls c="3">
          <tpl fld="0" item="0"/>
          <tpl fld="1" item="204"/>
          <tpl fld="4" item="10"/>
        </tpls>
      </n>
      <m in="0">
        <tpls c="3">
          <tpl fld="0" item="0"/>
          <tpl fld="1" item="213"/>
          <tpl fld="4" item="5"/>
        </tpls>
      </m>
      <m in="0">
        <tpls c="3">
          <tpl fld="0" item="0"/>
          <tpl fld="1" item="71"/>
          <tpl fld="4" item="6"/>
        </tpls>
      </m>
      <n v="913" in="0">
        <tpls c="3">
          <tpl fld="0" item="0"/>
          <tpl fld="1" item="11"/>
          <tpl fld="4" item="10"/>
        </tpls>
      </n>
      <m in="0">
        <tpls c="3">
          <tpl fld="0" item="0"/>
          <tpl fld="1" item="315"/>
          <tpl fld="4" item="1"/>
        </tpls>
      </m>
      <m in="0">
        <tpls c="3">
          <tpl fld="0" item="0"/>
          <tpl fld="1" item="268"/>
          <tpl fld="4" item="5"/>
        </tpls>
      </m>
      <n v="3" in="0">
        <tpls c="3">
          <tpl fld="0" item="0"/>
          <tpl fld="1" item="225"/>
          <tpl fld="4" item="9"/>
        </tpls>
      </n>
      <m in="0">
        <tpls c="3">
          <tpl fld="0" item="0"/>
          <tpl fld="1" item="181"/>
          <tpl fld="4" item="11"/>
        </tpls>
      </m>
      <m in="1">
        <tpls c="3">
          <tpl fld="0" item="0"/>
          <tpl fld="1" item="251"/>
          <tpl fld="4" item="7"/>
        </tpls>
      </m>
      <n v="61" in="1">
        <tpls c="3">
          <tpl fld="0" item="0"/>
          <tpl fld="1" item="308"/>
          <tpl fld="4" item="7"/>
        </tpls>
      </n>
      <m in="0">
        <tpls c="3">
          <tpl fld="0" item="0"/>
          <tpl fld="1" item="284"/>
          <tpl fld="4" item="1"/>
        </tpls>
      </m>
      <m in="0">
        <tpls c="3">
          <tpl fld="0" item="0"/>
          <tpl fld="1" item="197"/>
          <tpl fld="4" item="1"/>
        </tpls>
      </m>
      <m in="0">
        <tpls c="3">
          <tpl fld="0" item="0"/>
          <tpl fld="1" item="282"/>
          <tpl fld="4" item="9"/>
        </tpls>
      </m>
      <m in="0">
        <tpls c="3">
          <tpl fld="0" item="0"/>
          <tpl fld="1" item="177"/>
          <tpl fld="4" item="5"/>
        </tpls>
      </m>
      <m in="0">
        <tpls c="3">
          <tpl fld="0" item="0"/>
          <tpl fld="1" item="303"/>
          <tpl fld="4" item="12"/>
        </tpls>
      </m>
      <m in="0">
        <tpls c="3">
          <tpl fld="0" item="0"/>
          <tpl fld="1" item="164"/>
          <tpl fld="4" item="5"/>
        </tpls>
      </m>
      <n v="2" in="0">
        <tpls c="3">
          <tpl fld="0" item="0"/>
          <tpl fld="1" item="365"/>
          <tpl fld="4" item="8"/>
        </tpls>
      </n>
      <m in="0">
        <tpls c="3">
          <tpl fld="0" item="0"/>
          <tpl fld="1" item="301"/>
          <tpl fld="4" item="12"/>
        </tpls>
      </m>
      <m in="0">
        <tpls c="3">
          <tpl fld="0" item="0"/>
          <tpl fld="1" item="328"/>
          <tpl fld="4" item="10"/>
        </tpls>
      </m>
      <n v="12" in="1">
        <tpls c="3">
          <tpl fld="0" item="0"/>
          <tpl fld="1" item="81"/>
          <tpl fld="4" item="7"/>
        </tpls>
      </n>
      <n v="8" in="0">
        <tpls c="3">
          <tpl fld="0" item="0"/>
          <tpl fld="1" item="343"/>
          <tpl fld="4" item="11"/>
        </tpls>
      </n>
      <m in="0">
        <tpls c="3">
          <tpl fld="0" item="0"/>
          <tpl fld="1" item="74"/>
          <tpl fld="4" item="12"/>
        </tpls>
      </m>
      <m in="0">
        <tpls c="3">
          <tpl fld="0" item="0"/>
          <tpl fld="1" item="319"/>
          <tpl fld="4" item="8"/>
        </tpls>
      </m>
      <n v="736" in="0">
        <tpls c="3">
          <tpl fld="0" item="0"/>
          <tpl fld="1" item="409"/>
          <tpl fld="4" item="10"/>
        </tpls>
      </n>
      <n v="5" in="0">
        <tpls c="3">
          <tpl fld="0" item="0"/>
          <tpl fld="1" item="132"/>
          <tpl fld="4" item="1"/>
        </tpls>
      </n>
      <n v="96" in="1">
        <tpls c="3">
          <tpl fld="0" item="0"/>
          <tpl fld="1" item="224"/>
          <tpl fld="4" item="7"/>
        </tpls>
      </n>
      <n v="51" in="1">
        <tpls c="3">
          <tpl fld="0" item="0"/>
          <tpl fld="1" item="236"/>
          <tpl fld="4" item="7"/>
        </tpls>
      </n>
      <n v="2" in="0">
        <tpls c="3">
          <tpl fld="0" item="0"/>
          <tpl fld="1" item="301"/>
          <tpl fld="4" item="1"/>
        </tpls>
      </n>
      <n v="48" in="0">
        <tpls c="3">
          <tpl fld="0" item="0"/>
          <tpl fld="1" item="437"/>
          <tpl fld="4" item="10"/>
        </tpls>
      </n>
      <n v="928" in="1">
        <tpls c="3">
          <tpl fld="0" item="0"/>
          <tpl fld="1" item="269"/>
          <tpl fld="4" item="7"/>
        </tpls>
      </n>
      <n v="1" in="0">
        <tpls c="3">
          <tpl fld="0" item="0"/>
          <tpl fld="1" item="47"/>
          <tpl fld="4" item="9"/>
        </tpls>
      </n>
      <m in="0">
        <tpls c="3">
          <tpl fld="0" item="0"/>
          <tpl fld="1" item="117"/>
          <tpl fld="4" item="6"/>
        </tpls>
      </m>
      <m in="0">
        <tpls c="3">
          <tpl fld="0" item="0"/>
          <tpl fld="1" item="376"/>
          <tpl fld="4" item="12"/>
        </tpls>
      </m>
      <m in="0">
        <tpls c="3">
          <tpl fld="0" item="0"/>
          <tpl fld="1" item="216"/>
          <tpl fld="4" item="9"/>
        </tpls>
      </m>
      <m in="0">
        <tpls c="3">
          <tpl fld="0" item="0"/>
          <tpl fld="1" item="162"/>
          <tpl fld="4" item="6"/>
        </tpls>
      </m>
      <n v="55" in="1">
        <tpls c="3">
          <tpl fld="0" item="0"/>
          <tpl fld="1" item="214"/>
          <tpl fld="4" item="7"/>
        </tpls>
      </n>
      <m in="0">
        <tpls c="3">
          <tpl fld="0" item="0"/>
          <tpl fld="1" item="334"/>
          <tpl fld="4" item="8"/>
        </tpls>
      </m>
      <m in="0">
        <tpls c="3">
          <tpl fld="0" item="0"/>
          <tpl fld="1" item="155"/>
          <tpl fld="4" item="5"/>
        </tpls>
      </m>
      <m in="0">
        <tpls c="3">
          <tpl fld="0" item="0"/>
          <tpl fld="1" item="131"/>
          <tpl fld="4" item="9"/>
        </tpls>
      </m>
      <m in="0">
        <tpls c="3">
          <tpl fld="0" item="0"/>
          <tpl fld="1" item="40"/>
          <tpl fld="4" item="9"/>
        </tpls>
      </m>
      <m in="0">
        <tpls c="3">
          <tpl fld="0" item="0"/>
          <tpl fld="1" item="103"/>
          <tpl fld="4" item="9"/>
        </tpls>
      </m>
      <m in="0">
        <tpls c="3">
          <tpl fld="0" item="0"/>
          <tpl fld="1" item="390"/>
          <tpl fld="4" item="5"/>
        </tpls>
      </m>
      <m in="0">
        <tpls c="3">
          <tpl fld="0" item="0"/>
          <tpl fld="1" item="233"/>
          <tpl fld="4" item="8"/>
        </tpls>
      </m>
      <n v="29" in="0">
        <tpls c="3">
          <tpl fld="0" item="0"/>
          <tpl fld="1" item="107"/>
          <tpl fld="4" item="11"/>
        </tpls>
      </n>
      <m in="0">
        <tpls c="3">
          <tpl fld="0" item="0"/>
          <tpl fld="1" item="360"/>
          <tpl fld="4" item="8"/>
        </tpls>
      </m>
      <m in="0">
        <tpls c="3">
          <tpl fld="0" item="0"/>
          <tpl fld="1" item="399"/>
          <tpl fld="4" item="5"/>
        </tpls>
      </m>
      <m in="0">
        <tpls c="3">
          <tpl fld="0" item="0"/>
          <tpl fld="1" item="452"/>
          <tpl fld="4" item="1"/>
        </tpls>
      </m>
      <m in="0">
        <tpls c="3">
          <tpl fld="0" item="0"/>
          <tpl fld="1" item="135"/>
          <tpl fld="4" item="6"/>
        </tpls>
      </m>
      <m in="0">
        <tpls c="3">
          <tpl fld="0" item="0"/>
          <tpl fld="1" item="23"/>
          <tpl fld="4" item="5"/>
        </tpls>
      </m>
      <m in="0">
        <tpls c="3">
          <tpl fld="0" item="0"/>
          <tpl fld="1" item="118"/>
          <tpl fld="4" item="8"/>
        </tpls>
      </m>
      <n v="32" in="1">
        <tpls c="3">
          <tpl fld="0" item="0"/>
          <tpl fld="1" item="323"/>
          <tpl fld="4" item="7"/>
        </tpls>
      </n>
      <m in="0">
        <tpls c="3">
          <tpl fld="0" item="0"/>
          <tpl fld="1" item="20"/>
          <tpl fld="4" item="11"/>
        </tpls>
      </m>
      <m in="0">
        <tpls c="3">
          <tpl fld="0" item="0"/>
          <tpl fld="1" item="261"/>
          <tpl fld="4" item="11"/>
        </tpls>
      </m>
      <m in="1">
        <tpls c="3">
          <tpl fld="0" item="0"/>
          <tpl fld="1" item="23"/>
          <tpl fld="4" item="7"/>
        </tpls>
      </m>
      <m in="0">
        <tpls c="3">
          <tpl fld="0" item="0"/>
          <tpl fld="1" item="379"/>
          <tpl fld="4" item="12"/>
        </tpls>
      </m>
      <n v="2" in="0">
        <tpls c="3">
          <tpl fld="0" item="0"/>
          <tpl fld="1" item="11"/>
          <tpl fld="4" item="11"/>
        </tpls>
      </n>
      <n v="26" in="0">
        <tpls c="3">
          <tpl fld="0" item="0"/>
          <tpl fld="1" item="195"/>
          <tpl fld="4" item="10"/>
        </tpls>
      </n>
      <m in="0">
        <tpls c="3">
          <tpl fld="0" item="0"/>
          <tpl fld="1" item="415"/>
          <tpl fld="4" item="12"/>
        </tpls>
      </m>
      <n v="303" in="1">
        <tpls c="3">
          <tpl fld="0" item="0"/>
          <tpl fld="1" item="206"/>
          <tpl fld="4" item="7"/>
        </tpls>
      </n>
      <n v="1" in="0">
        <tpls c="3">
          <tpl fld="0" item="0"/>
          <tpl fld="1" item="10"/>
          <tpl fld="4" item="11"/>
        </tpls>
      </n>
      <m in="0">
        <tpls c="3">
          <tpl fld="0" item="0"/>
          <tpl fld="1" item="453"/>
          <tpl fld="4" item="11"/>
        </tpls>
      </m>
      <m in="1">
        <tpls c="3">
          <tpl fld="0" item="0"/>
          <tpl fld="1" item="338"/>
          <tpl fld="4" item="7"/>
        </tpls>
      </m>
      <m in="0">
        <tpls c="3">
          <tpl fld="0" item="0"/>
          <tpl fld="1" item="294"/>
          <tpl fld="4" item="11"/>
        </tpls>
      </m>
      <n v="152" in="1">
        <tpls c="3">
          <tpl fld="0" item="0"/>
          <tpl fld="1" item="329"/>
          <tpl fld="4" item="7"/>
        </tpls>
      </n>
      <m in="0">
        <tpls c="3">
          <tpl fld="0" item="0"/>
          <tpl fld="1" item="156"/>
          <tpl fld="4" item="11"/>
        </tpls>
      </m>
      <m in="0">
        <tpls c="3">
          <tpl fld="0" item="0"/>
          <tpl fld="1" item="233"/>
          <tpl fld="4" item="6"/>
        </tpls>
      </m>
      <n v="84" in="1">
        <tpls c="3">
          <tpl fld="0" item="0"/>
          <tpl fld="1" item="184"/>
          <tpl fld="4" item="7"/>
        </tpls>
      </n>
      <m in="0">
        <tpls c="3">
          <tpl fld="0" item="0"/>
          <tpl fld="1" item="18"/>
          <tpl fld="4" item="6"/>
        </tpls>
      </m>
      <m in="0">
        <tpls c="3">
          <tpl fld="0" item="0"/>
          <tpl fld="1" item="177"/>
          <tpl fld="4" item="6"/>
        </tpls>
      </m>
      <m in="0">
        <tpls c="3">
          <tpl fld="0" item="0"/>
          <tpl fld="1" item="214"/>
          <tpl fld="4" item="11"/>
        </tpls>
      </m>
      <n v="1" in="0">
        <tpls c="3">
          <tpl fld="0" item="0"/>
          <tpl fld="1" item="85"/>
          <tpl fld="4" item="5"/>
        </tpls>
      </n>
      <n v="88" in="0">
        <tpls c="3">
          <tpl fld="0" item="0"/>
          <tpl fld="1" item="14"/>
          <tpl fld="4" item="10"/>
        </tpls>
      </n>
      <n v="16" in="1">
        <tpls c="3">
          <tpl fld="0" item="0"/>
          <tpl fld="1" item="155"/>
          <tpl fld="4" item="7"/>
        </tpls>
      </n>
      <m in="0">
        <tpls c="3">
          <tpl fld="0" item="0"/>
          <tpl fld="1" item="421"/>
          <tpl fld="4" item="1"/>
        </tpls>
      </m>
      <m in="0">
        <tpls c="3">
          <tpl fld="0" item="0"/>
          <tpl fld="1" item="19"/>
          <tpl fld="4" item="8"/>
        </tpls>
      </m>
      <m in="0">
        <tpls c="3">
          <tpl fld="0" item="0"/>
          <tpl fld="1" item="373"/>
          <tpl fld="4" item="12"/>
        </tpls>
      </m>
      <m in="0">
        <tpls c="3">
          <tpl fld="0" item="0"/>
          <tpl fld="1" item="427"/>
          <tpl fld="4" item="12"/>
        </tpls>
      </m>
      <m in="0">
        <tpls c="3">
          <tpl fld="0" item="0"/>
          <tpl fld="1" item="394"/>
          <tpl fld="4" item="8"/>
        </tpls>
      </m>
      <m in="1">
        <tpls c="3">
          <tpl fld="0" item="0"/>
          <tpl fld="1" item="261"/>
          <tpl fld="4" item="7"/>
        </tpls>
      </m>
      <m in="0">
        <tpls c="3">
          <tpl fld="0" item="0"/>
          <tpl fld="1" item="225"/>
          <tpl fld="4" item="5"/>
        </tpls>
      </m>
      <m in="0">
        <tpls c="3">
          <tpl fld="0" item="0"/>
          <tpl fld="1" item="31"/>
          <tpl fld="4" item="10"/>
        </tpls>
      </m>
      <m in="0">
        <tpls c="3">
          <tpl fld="0" item="0"/>
          <tpl fld="1" item="368"/>
          <tpl fld="4" item="1"/>
        </tpls>
      </m>
      <m in="0">
        <tpls c="3">
          <tpl fld="0" item="0"/>
          <tpl fld="1" item="67"/>
          <tpl fld="4" item="8"/>
        </tpls>
      </m>
      <m in="0">
        <tpls c="3">
          <tpl fld="0" item="0"/>
          <tpl fld="1" item="25"/>
          <tpl fld="4" item="6"/>
        </tpls>
      </m>
      <m in="0">
        <tpls c="3">
          <tpl fld="0" item="0"/>
          <tpl fld="1" item="52"/>
          <tpl fld="4" item="12"/>
        </tpls>
      </m>
      <n v="153" in="1">
        <tpls c="3">
          <tpl fld="0" item="0"/>
          <tpl fld="1" item="454"/>
          <tpl fld="4" item="7"/>
        </tpls>
      </n>
      <m in="0">
        <tpls c="3">
          <tpl fld="0" item="0"/>
          <tpl fld="1" item="61"/>
          <tpl fld="4" item="1"/>
        </tpls>
      </m>
      <m in="0">
        <tpls c="3">
          <tpl fld="0" item="0"/>
          <tpl fld="1" item="367"/>
          <tpl fld="4" item="11"/>
        </tpls>
      </m>
      <n v="1" in="0">
        <tpls c="3">
          <tpl fld="0" item="0"/>
          <tpl fld="1" item="258"/>
          <tpl fld="4" item="9"/>
        </tpls>
      </n>
      <m in="1">
        <tpls c="3">
          <tpl fld="0" item="0"/>
          <tpl fld="1" item="408"/>
          <tpl fld="4" item="7"/>
        </tpls>
      </m>
      <m in="0">
        <tpls c="3">
          <tpl fld="0" item="0"/>
          <tpl fld="1" item="100"/>
          <tpl fld="4" item="9"/>
        </tpls>
      </m>
      <n v="34" in="0">
        <tpls c="3">
          <tpl fld="0" item="0"/>
          <tpl fld="1" item="323"/>
          <tpl fld="4" item="10"/>
        </tpls>
      </n>
      <m in="0">
        <tpls c="3">
          <tpl fld="0" item="0"/>
          <tpl fld="1" item="183"/>
          <tpl fld="4" item="9"/>
        </tpls>
      </m>
      <m in="0">
        <tpls c="3">
          <tpl fld="0" item="0"/>
          <tpl fld="1" item="375"/>
          <tpl fld="4" item="11"/>
        </tpls>
      </m>
      <m in="0">
        <tpls c="3">
          <tpl fld="0" item="0"/>
          <tpl fld="1" item="433"/>
          <tpl fld="4" item="6"/>
        </tpls>
      </m>
      <m in="0">
        <tpls c="3">
          <tpl fld="0" item="0"/>
          <tpl fld="1" item="61"/>
          <tpl fld="4" item="11"/>
        </tpls>
      </m>
      <m in="0">
        <tpls c="3">
          <tpl fld="0" item="0"/>
          <tpl fld="1" item="330"/>
          <tpl fld="4" item="6"/>
        </tpls>
      </m>
      <m in="0">
        <tpls c="3">
          <tpl fld="0" item="0"/>
          <tpl fld="1" item="12"/>
          <tpl fld="4" item="8"/>
        </tpls>
      </m>
      <m in="0">
        <tpls c="3">
          <tpl fld="0" item="0"/>
          <tpl fld="1" item="342"/>
          <tpl fld="4" item="12"/>
        </tpls>
      </m>
      <m in="0">
        <tpls c="3">
          <tpl fld="0" item="0"/>
          <tpl fld="1" item="201"/>
          <tpl fld="4" item="6"/>
        </tpls>
      </m>
      <n v="81" in="0">
        <tpls c="3">
          <tpl fld="0" item="0"/>
          <tpl fld="1" item="18"/>
          <tpl fld="4" item="10"/>
        </tpls>
      </n>
      <m in="0">
        <tpls c="3">
          <tpl fld="0" item="0"/>
          <tpl fld="1" item="60"/>
          <tpl fld="4" item="10"/>
        </tpls>
      </m>
      <m in="0">
        <tpls c="3">
          <tpl fld="0" item="0"/>
          <tpl fld="1" item="128"/>
          <tpl fld="4" item="8"/>
        </tpls>
      </m>
      <m in="0">
        <tpls c="3">
          <tpl fld="0" item="0"/>
          <tpl fld="1" item="138"/>
          <tpl fld="4" item="8"/>
        </tpls>
      </m>
      <m in="0">
        <tpls c="3">
          <tpl fld="0" item="0"/>
          <tpl fld="1" item="353"/>
          <tpl fld="4" item="5"/>
        </tpls>
      </m>
      <m in="0">
        <tpls c="3">
          <tpl fld="0" item="0"/>
          <tpl fld="1" item="379"/>
          <tpl fld="4" item="1"/>
        </tpls>
      </m>
      <m in="0">
        <tpls c="3">
          <tpl fld="0" item="0"/>
          <tpl fld="1" item="174"/>
          <tpl fld="4" item="9"/>
        </tpls>
      </m>
      <m in="0">
        <tpls c="3">
          <tpl fld="0" item="0"/>
          <tpl fld="1" item="83"/>
          <tpl fld="4" item="8"/>
        </tpls>
      </m>
      <m in="0">
        <tpls c="3">
          <tpl fld="0" item="0"/>
          <tpl fld="1" item="388"/>
          <tpl fld="4" item="12"/>
        </tpls>
      </m>
      <m in="0">
        <tpls c="3">
          <tpl fld="0" item="0"/>
          <tpl fld="1" item="52"/>
          <tpl fld="4" item="1"/>
        </tpls>
      </m>
      <n v="11" in="0">
        <tpls c="3">
          <tpl fld="0" item="0"/>
          <tpl fld="1" item="33"/>
          <tpl fld="4" item="1"/>
        </tpls>
      </n>
      <m in="0">
        <tpls c="3">
          <tpl fld="0" item="0"/>
          <tpl fld="1" item="359"/>
          <tpl fld="4" item="8"/>
        </tpls>
      </m>
      <m in="0">
        <tpls c="3">
          <tpl fld="0" item="0"/>
          <tpl fld="1" item="341"/>
          <tpl fld="4" item="9"/>
        </tpls>
      </m>
      <m in="0">
        <tpls c="3">
          <tpl fld="0" item="0"/>
          <tpl fld="1" item="443"/>
          <tpl fld="4" item="5"/>
        </tpls>
      </m>
      <m in="0">
        <tpls c="3">
          <tpl fld="0" item="0"/>
          <tpl fld="1" item="377"/>
          <tpl fld="4" item="6"/>
        </tpls>
      </m>
      <m in="0">
        <tpls c="3">
          <tpl fld="0" item="0"/>
          <tpl fld="1" item="194"/>
          <tpl fld="4" item="11"/>
        </tpls>
      </m>
      <m in="0">
        <tpls c="3">
          <tpl fld="0" item="0"/>
          <tpl fld="1" item="378"/>
          <tpl fld="4" item="10"/>
        </tpls>
      </m>
      <m in="0">
        <tpls c="3">
          <tpl fld="0" item="0"/>
          <tpl fld="1" item="353"/>
          <tpl fld="4" item="11"/>
        </tpls>
      </m>
      <m in="0">
        <tpls c="3">
          <tpl fld="0" item="0"/>
          <tpl fld="1" item="291"/>
          <tpl fld="4" item="11"/>
        </tpls>
      </m>
      <m in="0">
        <tpls c="3">
          <tpl fld="0" item="0"/>
          <tpl fld="1" item="323"/>
          <tpl fld="4" item="11"/>
        </tpls>
      </m>
      <m in="0">
        <tpls c="3">
          <tpl fld="0" item="0"/>
          <tpl fld="1" item="215"/>
          <tpl fld="4" item="1"/>
        </tpls>
      </m>
      <m in="0">
        <tpls c="3">
          <tpl fld="0" item="0"/>
          <tpl fld="1" item="198"/>
          <tpl fld="4" item="12"/>
        </tpls>
      </m>
      <n v="10" in="0">
        <tpls c="3">
          <tpl fld="0" item="0"/>
          <tpl fld="1" item="67"/>
          <tpl fld="4" item="11"/>
        </tpls>
      </n>
      <m in="0">
        <tpls c="3">
          <tpl fld="0" item="0"/>
          <tpl fld="1" item="164"/>
          <tpl fld="4" item="12"/>
        </tpls>
      </m>
      <m in="0">
        <tpls c="3">
          <tpl fld="0" item="0"/>
          <tpl fld="1" item="152"/>
          <tpl fld="4" item="9"/>
        </tpls>
      </m>
      <m in="0">
        <tpls c="3">
          <tpl fld="0" item="0"/>
          <tpl fld="1" item="212"/>
          <tpl fld="4" item="5"/>
        </tpls>
      </m>
      <m in="0">
        <tpls c="3">
          <tpl fld="0" item="0"/>
          <tpl fld="1" item="118"/>
          <tpl fld="4" item="11"/>
        </tpls>
      </m>
      <n v="41" in="0">
        <tpls c="3">
          <tpl fld="0" item="0"/>
          <tpl fld="1" item="449"/>
          <tpl fld="4" item="10"/>
        </tpls>
      </n>
      <m in="0">
        <tpls c="3">
          <tpl fld="0" item="0"/>
          <tpl fld="1" item="146"/>
          <tpl fld="4" item="11"/>
        </tpls>
      </m>
      <m in="0">
        <tpls c="3">
          <tpl fld="0" item="0"/>
          <tpl fld="1" item="110"/>
          <tpl fld="4" item="11"/>
        </tpls>
      </m>
      <m in="0">
        <tpls c="3">
          <tpl fld="0" item="0"/>
          <tpl fld="1" item="259"/>
          <tpl fld="4" item="11"/>
        </tpls>
      </m>
      <m in="1">
        <tpls c="3">
          <tpl fld="0" item="0"/>
          <tpl fld="1" item="373"/>
          <tpl fld="4" item="7"/>
        </tpls>
      </m>
      <m in="0">
        <tpls c="3">
          <tpl fld="0" item="0"/>
          <tpl fld="1" item="269"/>
          <tpl fld="4" item="9"/>
        </tpls>
      </m>
      <m in="0">
        <tpls c="3">
          <tpl fld="0" item="0"/>
          <tpl fld="1" item="284"/>
          <tpl fld="4" item="8"/>
        </tpls>
      </m>
      <n v="3330" in="1">
        <tpls c="3">
          <tpl fld="0" item="0"/>
          <tpl fld="1" item="313"/>
          <tpl fld="4" item="7"/>
        </tpls>
      </n>
      <m in="0">
        <tpls c="3">
          <tpl fld="0" item="0"/>
          <tpl fld="1" item="302"/>
          <tpl fld="4" item="8"/>
        </tpls>
      </m>
      <m in="0">
        <tpls c="3">
          <tpl fld="0" item="0"/>
          <tpl fld="1" item="407"/>
          <tpl fld="4" item="10"/>
        </tpls>
      </m>
      <n v="49" in="1">
        <tpls c="3">
          <tpl fld="0" item="0"/>
          <tpl fld="1" item="79"/>
          <tpl fld="4" item="7"/>
        </tpls>
      </n>
      <m in="0">
        <tpls c="3">
          <tpl fld="0" item="0"/>
          <tpl fld="1" item="149"/>
          <tpl fld="4" item="12"/>
        </tpls>
      </m>
      <m in="0">
        <tpls c="3">
          <tpl fld="0" item="0"/>
          <tpl fld="1" item="197"/>
          <tpl fld="4" item="11"/>
        </tpls>
      </m>
      <n v="18" in="0">
        <tpls c="3">
          <tpl fld="0" item="0"/>
          <tpl fld="1" item="2"/>
          <tpl fld="4" item="10"/>
        </tpls>
      </n>
      <m in="0">
        <tpls c="3">
          <tpl fld="0" item="0"/>
          <tpl fld="1" item="347"/>
          <tpl fld="4" item="12"/>
        </tpls>
      </m>
      <m in="1">
        <tpls c="3">
          <tpl fld="0" item="0"/>
          <tpl fld="1" item="406"/>
          <tpl fld="4" item="7"/>
        </tpls>
      </m>
      <m in="0">
        <tpls c="3">
          <tpl fld="0" item="0"/>
          <tpl fld="1" item="386"/>
          <tpl fld="4" item="5"/>
        </tpls>
      </m>
      <n v="33" in="0">
        <tpls c="3">
          <tpl fld="0" item="0"/>
          <tpl fld="1" item="62"/>
          <tpl fld="4" item="10"/>
        </tpls>
      </n>
      <n v="15" in="1">
        <tpls c="3">
          <tpl fld="0" item="0"/>
          <tpl fld="1" item="294"/>
          <tpl fld="4" item="7"/>
        </tpls>
      </n>
      <m in="0">
        <tpls c="3">
          <tpl fld="0" item="0"/>
          <tpl fld="1" item="234"/>
          <tpl fld="4" item="6"/>
        </tpls>
      </m>
      <m in="0">
        <tpls c="3">
          <tpl fld="0" item="0"/>
          <tpl fld="1" item="16"/>
          <tpl fld="4" item="5"/>
        </tpls>
      </m>
      <n v="1619" in="0">
        <tpls c="3">
          <tpl fld="0" item="0"/>
          <tpl fld="1" item="385"/>
          <tpl fld="4" item="10"/>
        </tpls>
      </n>
      <m in="0">
        <tpls c="3">
          <tpl fld="0" item="0"/>
          <tpl fld="1" item="158"/>
          <tpl fld="4" item="6"/>
        </tpls>
      </m>
      <m in="0">
        <tpls c="3">
          <tpl fld="0" item="0"/>
          <tpl fld="1" item="239"/>
          <tpl fld="4" item="1"/>
        </tpls>
      </m>
      <n v="620" in="1">
        <tpls c="3">
          <tpl fld="0" item="0"/>
          <tpl fld="1" item="67"/>
          <tpl fld="4" item="7"/>
        </tpls>
      </n>
      <m in="0">
        <tpls c="3">
          <tpl fld="0" item="0"/>
          <tpl fld="1" item="438"/>
          <tpl fld="4" item="6"/>
        </tpls>
      </m>
      <m in="0">
        <tpls c="3">
          <tpl fld="0" item="0"/>
          <tpl fld="1" item="244"/>
          <tpl fld="4" item="11"/>
        </tpls>
      </m>
      <n v="69" in="0">
        <tpls c="3">
          <tpl fld="0" item="0"/>
          <tpl fld="1" item="405"/>
          <tpl fld="4" item="10"/>
        </tpls>
      </n>
      <m in="0">
        <tpls c="3">
          <tpl fld="0" item="0"/>
          <tpl fld="1" item="83"/>
          <tpl fld="4" item="6"/>
        </tpls>
      </m>
      <m in="0">
        <tpls c="3">
          <tpl fld="0" item="0"/>
          <tpl fld="1" item="410"/>
          <tpl fld="4" item="6"/>
        </tpls>
      </m>
      <m in="0">
        <tpls c="3">
          <tpl fld="0" item="0"/>
          <tpl fld="1" item="291"/>
          <tpl fld="4" item="8"/>
        </tpls>
      </m>
      <m in="0">
        <tpls c="3">
          <tpl fld="0" item="0"/>
          <tpl fld="1" item="295"/>
          <tpl fld="4" item="9"/>
        </tpls>
      </m>
      <n v="95" in="1">
        <tpls c="3">
          <tpl fld="0" item="0"/>
          <tpl fld="1" item="8"/>
          <tpl fld="4" item="7"/>
        </tpls>
      </n>
      <n v="158" in="0">
        <tpls c="3">
          <tpl fld="0" item="0"/>
          <tpl fld="1" item="329"/>
          <tpl fld="4" item="10"/>
        </tpls>
      </n>
      <n v="1" in="0">
        <tpls c="3">
          <tpl fld="0" item="0"/>
          <tpl fld="1" item="347"/>
          <tpl fld="4" item="8"/>
        </tpls>
      </n>
      <m in="0">
        <tpls c="3">
          <tpl fld="0" item="0"/>
          <tpl fld="1" item="123"/>
          <tpl fld="4" item="10"/>
        </tpls>
      </m>
      <m in="0">
        <tpls c="3">
          <tpl fld="0" item="0"/>
          <tpl fld="1" item="10"/>
          <tpl fld="4" item="5"/>
        </tpls>
      </m>
      <m in="0">
        <tpls c="3">
          <tpl fld="0" item="0"/>
          <tpl fld="1" item="210"/>
          <tpl fld="4" item="6"/>
        </tpls>
      </m>
      <m in="0">
        <tpls c="3">
          <tpl fld="0" item="0"/>
          <tpl fld="1" item="353"/>
          <tpl fld="4" item="1"/>
        </tpls>
      </m>
      <m in="1">
        <tpls c="3">
          <tpl fld="0" item="0"/>
          <tpl fld="1" item="346"/>
          <tpl fld="4" item="7"/>
        </tpls>
      </m>
      <m in="0">
        <tpls c="3">
          <tpl fld="0" item="0"/>
          <tpl fld="1" item="95"/>
          <tpl fld="4" item="6"/>
        </tpls>
      </m>
      <m in="0">
        <tpls c="3">
          <tpl fld="0" item="0"/>
          <tpl fld="1" item="309"/>
          <tpl fld="4" item="6"/>
        </tpls>
      </m>
      <m in="0">
        <tpls c="3">
          <tpl fld="0" item="0"/>
          <tpl fld="1" item="52"/>
          <tpl fld="4" item="11"/>
        </tpls>
      </m>
      <m in="0">
        <tpls c="3">
          <tpl fld="0" item="0"/>
          <tpl fld="1" item="384"/>
          <tpl fld="4" item="6"/>
        </tpls>
      </m>
      <m in="0">
        <tpls c="3">
          <tpl fld="0" item="0"/>
          <tpl fld="1" item="422"/>
          <tpl fld="4" item="1"/>
        </tpls>
      </m>
      <m in="0">
        <tpls c="3">
          <tpl fld="0" item="0"/>
          <tpl fld="1" item="396"/>
          <tpl fld="4" item="1"/>
        </tpls>
      </m>
      <n v="191" in="0">
        <tpls c="3">
          <tpl fld="0" item="0"/>
          <tpl fld="1" item="422"/>
          <tpl fld="4" item="10"/>
        </tpls>
      </n>
      <n v="40" in="1">
        <tpls c="3">
          <tpl fld="0" item="0"/>
          <tpl fld="1" item="357"/>
          <tpl fld="4" item="7"/>
        </tpls>
      </n>
      <m in="0">
        <tpls c="3">
          <tpl fld="0" item="0"/>
          <tpl fld="1" item="363"/>
          <tpl fld="4" item="11"/>
        </tpls>
      </m>
      <n v="1" in="0">
        <tpls c="3">
          <tpl fld="0" item="0"/>
          <tpl fld="1" item="452"/>
          <tpl fld="4" item="5"/>
        </tpls>
      </n>
      <n v="58" in="1">
        <tpls c="3">
          <tpl fld="0" item="0"/>
          <tpl fld="1" item="173"/>
          <tpl fld="4" item="7"/>
        </tpls>
      </n>
      <m in="0">
        <tpls c="3">
          <tpl fld="0" item="0"/>
          <tpl fld="1" item="292"/>
          <tpl fld="4" item="8"/>
        </tpls>
      </m>
      <m in="0">
        <tpls c="3">
          <tpl fld="0" item="0"/>
          <tpl fld="1" item="448"/>
          <tpl fld="4" item="5"/>
        </tpls>
      </m>
      <m in="0">
        <tpls c="3">
          <tpl fld="0" item="0"/>
          <tpl fld="1" item="90"/>
          <tpl fld="4" item="8"/>
        </tpls>
      </m>
      <m in="0">
        <tpls c="3">
          <tpl fld="0" item="0"/>
          <tpl fld="1" item="301"/>
          <tpl fld="4" item="8"/>
        </tpls>
      </m>
      <n v="7" in="1">
        <tpls c="3">
          <tpl fld="0" item="0"/>
          <tpl fld="1" item="213"/>
          <tpl fld="4" item="7"/>
        </tpls>
      </n>
      <n v="7" in="0">
        <tpls c="3">
          <tpl fld="0" item="0"/>
          <tpl fld="1" item="255"/>
          <tpl fld="4" item="11"/>
        </tpls>
      </n>
      <m in="0">
        <tpls c="3">
          <tpl fld="0" item="0"/>
          <tpl fld="1" item="417"/>
          <tpl fld="4" item="6"/>
        </tpls>
      </m>
      <n v="10" in="0">
        <tpls c="3">
          <tpl fld="0" item="0"/>
          <tpl fld="1" item="313"/>
          <tpl fld="4" item="11"/>
        </tpls>
      </n>
      <n v="3" in="0">
        <tpls c="3">
          <tpl fld="0" item="0"/>
          <tpl fld="1" item="185"/>
          <tpl fld="4" item="10"/>
        </tpls>
      </n>
      <m in="0">
        <tpls c="3">
          <tpl fld="0" item="0"/>
          <tpl fld="1" item="428"/>
          <tpl fld="4" item="10"/>
        </tpls>
      </m>
      <m in="0">
        <tpls c="3">
          <tpl fld="0" item="0"/>
          <tpl fld="1" item="356"/>
          <tpl fld="4" item="1"/>
        </tpls>
      </m>
      <m in="0">
        <tpls c="3">
          <tpl fld="0" item="0"/>
          <tpl fld="1" item="235"/>
          <tpl fld="4" item="9"/>
        </tpls>
      </m>
      <m in="0">
        <tpls c="3">
          <tpl fld="0" item="0"/>
          <tpl fld="1" item="155"/>
          <tpl fld="4" item="8"/>
        </tpls>
      </m>
      <n v="533" in="0">
        <tpls c="3">
          <tpl fld="0" item="0"/>
          <tpl fld="1" item="256"/>
          <tpl fld="4" item="10"/>
        </tpls>
      </n>
      <m in="0">
        <tpls c="3">
          <tpl fld="0" item="0"/>
          <tpl fld="1" item="165"/>
          <tpl fld="4" item="11"/>
        </tpls>
      </m>
      <m in="0">
        <tpls c="3">
          <tpl fld="0" item="0"/>
          <tpl fld="1" item="194"/>
          <tpl fld="4" item="1"/>
        </tpls>
      </m>
      <n v="4" in="1">
        <tpls c="3">
          <tpl fld="0" item="0"/>
          <tpl fld="1" item="61"/>
          <tpl fld="4" item="7"/>
        </tpls>
      </n>
      <m in="0">
        <tpls c="3">
          <tpl fld="0" item="0"/>
          <tpl fld="1" item="250"/>
          <tpl fld="4" item="8"/>
        </tpls>
      </m>
      <m in="0">
        <tpls c="3">
          <tpl fld="0" item="0"/>
          <tpl fld="1" item="437"/>
          <tpl fld="4" item="6"/>
        </tpls>
      </m>
      <n v="1" in="0">
        <tpls c="3">
          <tpl fld="0" item="0"/>
          <tpl fld="1" item="41"/>
          <tpl fld="4" item="8"/>
        </tpls>
      </n>
      <m in="0">
        <tpls c="3">
          <tpl fld="0" item="0"/>
          <tpl fld="1" item="115"/>
          <tpl fld="4" item="5"/>
        </tpls>
      </m>
      <m in="0">
        <tpls c="3">
          <tpl fld="0" item="0"/>
          <tpl fld="1" item="210"/>
          <tpl fld="4" item="11"/>
        </tpls>
      </m>
      <m in="0">
        <tpls c="3">
          <tpl fld="0" item="0"/>
          <tpl fld="1" item="450"/>
          <tpl fld="4" item="9"/>
        </tpls>
      </m>
      <m in="0">
        <tpls c="3">
          <tpl fld="0" item="0"/>
          <tpl fld="1" item="166"/>
          <tpl fld="4" item="10"/>
        </tpls>
      </m>
      <n v="5" in="1">
        <tpls c="3">
          <tpl fld="0" item="0"/>
          <tpl fld="1" item="298"/>
          <tpl fld="4" item="7"/>
        </tpls>
      </n>
      <m in="0">
        <tpls c="3">
          <tpl fld="0" item="0"/>
          <tpl fld="1" item="290"/>
          <tpl fld="4" item="1"/>
        </tpls>
      </m>
      <m in="0">
        <tpls c="3">
          <tpl fld="0" item="0"/>
          <tpl fld="1" item="300"/>
          <tpl fld="4" item="10"/>
        </tpls>
      </m>
      <m in="0">
        <tpls c="3">
          <tpl fld="0" item="0"/>
          <tpl fld="1" item="253"/>
          <tpl fld="4" item="10"/>
        </tpls>
      </m>
      <m in="0">
        <tpls c="3">
          <tpl fld="0" item="0"/>
          <tpl fld="1" item="295"/>
          <tpl fld="4" item="12"/>
        </tpls>
      </m>
      <m in="0">
        <tpls c="3">
          <tpl fld="0" item="0"/>
          <tpl fld="1" item="97"/>
          <tpl fld="4" item="9"/>
        </tpls>
      </m>
      <m in="0">
        <tpls c="3">
          <tpl fld="0" item="0"/>
          <tpl fld="1" item="435"/>
          <tpl fld="4" item="9"/>
        </tpls>
      </m>
      <m in="0">
        <tpls c="3">
          <tpl fld="0" item="0"/>
          <tpl fld="1" item="213"/>
          <tpl fld="4" item="9"/>
        </tpls>
      </m>
      <m in="0">
        <tpls c="3">
          <tpl fld="0" item="0"/>
          <tpl fld="1" item="386"/>
          <tpl fld="4" item="6"/>
        </tpls>
      </m>
      <m in="0">
        <tpls c="3">
          <tpl fld="0" item="0"/>
          <tpl fld="1" item="17"/>
          <tpl fld="4" item="8"/>
        </tpls>
      </m>
      <m in="0">
        <tpls c="3">
          <tpl fld="0" item="0"/>
          <tpl fld="1" item="136"/>
          <tpl fld="4" item="8"/>
        </tpls>
      </m>
      <m in="0">
        <tpls c="3">
          <tpl fld="0" item="0"/>
          <tpl fld="1" item="454"/>
          <tpl fld="4" item="11"/>
        </tpls>
      </m>
      <m in="0">
        <tpls c="3">
          <tpl fld="0" item="0"/>
          <tpl fld="1" item="187"/>
          <tpl fld="4" item="6"/>
        </tpls>
      </m>
      <n v="535" in="1">
        <tpls c="3">
          <tpl fld="0" item="0"/>
          <tpl fld="1" item="320"/>
          <tpl fld="4" item="7"/>
        </tpls>
      </n>
      <m in="0">
        <tpls c="3">
          <tpl fld="0" item="0"/>
          <tpl fld="1" item="407"/>
          <tpl fld="4" item="6"/>
        </tpls>
      </m>
      <n v="78" in="0">
        <tpls c="3">
          <tpl fld="0" item="0"/>
          <tpl fld="1" item="84"/>
          <tpl fld="4" item="10"/>
        </tpls>
      </n>
      <m in="0">
        <tpls c="3">
          <tpl fld="0" item="0"/>
          <tpl fld="1" item="355"/>
          <tpl fld="4" item="9"/>
        </tpls>
      </m>
      <m in="0">
        <tpls c="3">
          <tpl fld="0" item="0"/>
          <tpl fld="1" item="171"/>
          <tpl fld="4" item="8"/>
        </tpls>
      </m>
      <m in="0">
        <tpls c="3">
          <tpl fld="0" item="0"/>
          <tpl fld="1" item="238"/>
          <tpl fld="4" item="10"/>
        </tpls>
      </m>
      <m in="1">
        <tpls c="3">
          <tpl fld="0" item="0"/>
          <tpl fld="1" item="307"/>
          <tpl fld="4" item="7"/>
        </tpls>
      </m>
      <m in="0">
        <tpls c="3">
          <tpl fld="0" item="0"/>
          <tpl fld="1" item="328"/>
          <tpl fld="4" item="6"/>
        </tpls>
      </m>
      <n v="6" in="0">
        <tpls c="3">
          <tpl fld="0" item="0"/>
          <tpl fld="1" item="196"/>
          <tpl fld="4" item="10"/>
        </tpls>
      </n>
      <m in="0">
        <tpls c="3">
          <tpl fld="0" item="0"/>
          <tpl fld="1" item="295"/>
          <tpl fld="4" item="6"/>
        </tpls>
      </m>
      <n v="64" in="0">
        <tpls c="3">
          <tpl fld="0" item="0"/>
          <tpl fld="1" item="267"/>
          <tpl fld="4" item="10"/>
        </tpls>
      </n>
      <m in="0">
        <tpls c="3">
          <tpl fld="0" item="0"/>
          <tpl fld="1" item="80"/>
          <tpl fld="4" item="12"/>
        </tpls>
      </m>
      <m in="0">
        <tpls c="3">
          <tpl fld="0" item="0"/>
          <tpl fld="1" item="162"/>
          <tpl fld="4" item="8"/>
        </tpls>
      </m>
      <n v="466" in="1">
        <tpls c="3">
          <tpl fld="0" item="0"/>
          <tpl fld="1" item="125"/>
          <tpl fld="4" item="7"/>
        </tpls>
      </n>
      <m in="0">
        <tpls c="3">
          <tpl fld="0" item="0"/>
          <tpl fld="1" item="348"/>
          <tpl fld="4" item="9"/>
        </tpls>
      </m>
      <m in="0">
        <tpls c="3">
          <tpl fld="0" item="0"/>
          <tpl fld="1" item="289"/>
          <tpl fld="4" item="5"/>
        </tpls>
      </m>
      <m in="0">
        <tpls c="3">
          <tpl fld="0" item="0"/>
          <tpl fld="1" item="203"/>
          <tpl fld="4" item="8"/>
        </tpls>
      </m>
      <m in="0">
        <tpls c="3">
          <tpl fld="0" item="0"/>
          <tpl fld="1" item="86"/>
          <tpl fld="4" item="12"/>
        </tpls>
      </m>
      <m in="0">
        <tpls c="3">
          <tpl fld="0" item="0"/>
          <tpl fld="1" item="446"/>
          <tpl fld="4" item="6"/>
        </tpls>
      </m>
      <m in="0">
        <tpls c="3">
          <tpl fld="0" item="0"/>
          <tpl fld="1" item="305"/>
          <tpl fld="4" item="5"/>
        </tpls>
      </m>
      <m in="0">
        <tpls c="3">
          <tpl fld="0" item="0"/>
          <tpl fld="1" item="453"/>
          <tpl fld="4" item="9"/>
        </tpls>
      </m>
      <n v="1" in="0">
        <tpls c="3">
          <tpl fld="0" item="0"/>
          <tpl fld="1" item="339"/>
          <tpl fld="4" item="11"/>
        </tpls>
      </n>
      <m in="1">
        <tpls c="3">
          <tpl fld="0" item="0"/>
          <tpl fld="1" item="416"/>
          <tpl fld="4" item="7"/>
        </tpls>
      </m>
      <m in="0">
        <tpls c="3">
          <tpl fld="0" item="0"/>
          <tpl fld="1" item="239"/>
          <tpl fld="4" item="5"/>
        </tpls>
      </m>
      <m in="0">
        <tpls c="3">
          <tpl fld="0" item="0"/>
          <tpl fld="1" item="435"/>
          <tpl fld="4" item="11"/>
        </tpls>
      </m>
      <n v="1" in="0">
        <tpls c="3">
          <tpl fld="0" item="0"/>
          <tpl fld="1" item="438"/>
          <tpl fld="4" item="9"/>
        </tpls>
      </n>
      <n v="405" in="0">
        <tpls c="3">
          <tpl fld="0" item="0"/>
          <tpl fld="1" item="215"/>
          <tpl fld="4" item="10"/>
        </tpls>
      </n>
      <m in="0">
        <tpls c="3">
          <tpl fld="0" item="0"/>
          <tpl fld="1" item="429"/>
          <tpl fld="4" item="9"/>
        </tpls>
      </m>
      <n v="85" in="0">
        <tpls c="3">
          <tpl fld="0" item="0"/>
          <tpl fld="1" item="184"/>
          <tpl fld="4" item="10"/>
        </tpls>
      </n>
      <m in="0">
        <tpls c="3">
          <tpl fld="0" item="0"/>
          <tpl fld="1" item="455"/>
          <tpl fld="4" item="5"/>
        </tpls>
      </m>
      <m in="0">
        <tpls c="3">
          <tpl fld="0" item="0"/>
          <tpl fld="1" item="51"/>
          <tpl fld="4" item="6"/>
        </tpls>
      </m>
      <m in="0">
        <tpls c="3">
          <tpl fld="0" item="0"/>
          <tpl fld="1" item="93"/>
          <tpl fld="4" item="11"/>
        </tpls>
      </m>
      <m in="0">
        <tpls c="3">
          <tpl fld="0" item="0"/>
          <tpl fld="1" item="34"/>
          <tpl fld="4" item="10"/>
        </tpls>
      </m>
      <m in="0">
        <tpls c="3">
          <tpl fld="0" item="0"/>
          <tpl fld="1" item="73"/>
          <tpl fld="4" item="11"/>
        </tpls>
      </m>
      <n v="20" in="1">
        <tpls c="3">
          <tpl fld="0" item="0"/>
          <tpl fld="1" item="17"/>
          <tpl fld="4" item="7"/>
        </tpls>
      </n>
      <m in="0">
        <tpls c="3">
          <tpl fld="0" item="0"/>
          <tpl fld="1" item="19"/>
          <tpl fld="4" item="5"/>
        </tpls>
      </m>
      <m in="0">
        <tpls c="3">
          <tpl fld="0" item="0"/>
          <tpl fld="1" item="338"/>
          <tpl fld="4" item="1"/>
        </tpls>
      </m>
      <m in="0">
        <tpls c="3">
          <tpl fld="0" item="0"/>
          <tpl fld="1" item="120"/>
          <tpl fld="4" item="9"/>
        </tpls>
      </m>
      <m in="0">
        <tpls c="3">
          <tpl fld="0" item="0"/>
          <tpl fld="1" item="39"/>
          <tpl fld="4" item="11"/>
        </tpls>
      </m>
      <n v="4" in="0">
        <tpls c="3">
          <tpl fld="0" item="0"/>
          <tpl fld="1" item="174"/>
          <tpl fld="4" item="11"/>
        </tpls>
      </n>
      <n v="1" in="0">
        <tpls c="3">
          <tpl fld="0" item="0"/>
          <tpl fld="1" item="125"/>
          <tpl fld="4" item="8"/>
        </tpls>
      </n>
      <m in="0">
        <tpls c="3">
          <tpl fld="0" item="0"/>
          <tpl fld="1" item="453"/>
          <tpl fld="4" item="12"/>
        </tpls>
      </m>
      <m in="0">
        <tpls c="3">
          <tpl fld="0" item="0"/>
          <tpl fld="1" item="201"/>
          <tpl fld="4" item="5"/>
        </tpls>
      </m>
      <m in="0">
        <tpls c="3">
          <tpl fld="0" item="0"/>
          <tpl fld="1" item="166"/>
          <tpl fld="4" item="6"/>
        </tpls>
      </m>
      <m in="0">
        <tpls c="3">
          <tpl fld="0" item="0"/>
          <tpl fld="1" item="256"/>
          <tpl fld="4" item="6"/>
        </tpls>
      </m>
      <n v="5" in="0">
        <tpls c="3">
          <tpl fld="0" item="0"/>
          <tpl fld="1" item="281"/>
          <tpl fld="4" item="11"/>
        </tpls>
      </n>
      <m in="0">
        <tpls c="3">
          <tpl fld="0" item="0"/>
          <tpl fld="1" item="218"/>
          <tpl fld="4" item="12"/>
        </tpls>
      </m>
      <m in="0">
        <tpls c="3">
          <tpl fld="0" item="0"/>
          <tpl fld="1" item="112"/>
          <tpl fld="4" item="1"/>
        </tpls>
      </m>
      <n v="10" in="1">
        <tpls c="3">
          <tpl fld="0" item="0"/>
          <tpl fld="1" item="181"/>
          <tpl fld="4" item="7"/>
        </tpls>
      </n>
      <m in="0">
        <tpls c="3">
          <tpl fld="0" item="0"/>
          <tpl fld="1" item="54"/>
          <tpl fld="4" item="8"/>
        </tpls>
      </m>
      <m in="0">
        <tpls c="3">
          <tpl fld="0" item="0"/>
          <tpl fld="1" item="330"/>
          <tpl fld="4" item="5"/>
        </tpls>
      </m>
      <m in="0">
        <tpls c="3">
          <tpl fld="0" item="0"/>
          <tpl fld="1" item="91"/>
          <tpl fld="4" item="1"/>
        </tpls>
      </m>
      <m in="0">
        <tpls c="3">
          <tpl fld="0" item="0"/>
          <tpl fld="2" item="0"/>
          <tpl fld="4" item="11"/>
        </tpls>
      </m>
      <n v="100" in="1">
        <tpls c="3">
          <tpl fld="0" item="0"/>
          <tpl fld="1" item="456"/>
          <tpl fld="4" item="7"/>
        </tpls>
      </n>
      <m in="0">
        <tpls c="3">
          <tpl fld="0" item="0"/>
          <tpl fld="1" item="243"/>
          <tpl fld="4" item="5"/>
        </tpls>
      </m>
      <m in="0">
        <tpls c="3">
          <tpl fld="0" item="0"/>
          <tpl fld="1" item="250"/>
          <tpl fld="4" item="9"/>
        </tpls>
      </m>
      <n v="2" in="0">
        <tpls c="3">
          <tpl fld="0" item="0"/>
          <tpl fld="1" item="179"/>
          <tpl fld="4" item="8"/>
        </tpls>
      </n>
      <m in="0">
        <tpls c="3">
          <tpl fld="0" item="0"/>
          <tpl fld="1" item="150"/>
          <tpl fld="4" item="8"/>
        </tpls>
      </m>
      <m in="0">
        <tpls c="3">
          <tpl fld="0" item="0"/>
          <tpl fld="1" item="399"/>
          <tpl fld="4" item="11"/>
        </tpls>
      </m>
      <m in="0">
        <tpls c="3">
          <tpl fld="0" item="0"/>
          <tpl fld="1" item="94"/>
          <tpl fld="4" item="12"/>
        </tpls>
      </m>
      <m in="0">
        <tpls c="3">
          <tpl fld="0" item="0"/>
          <tpl fld="1" item="378"/>
          <tpl fld="4" item="11"/>
        </tpls>
      </m>
      <m in="0">
        <tpls c="3">
          <tpl fld="0" item="0"/>
          <tpl fld="1" item="396"/>
          <tpl fld="4" item="8"/>
        </tpls>
      </m>
      <m in="0">
        <tpls c="3">
          <tpl fld="0" item="0"/>
          <tpl fld="1" item="146"/>
          <tpl fld="4" item="1"/>
        </tpls>
      </m>
      <m in="0">
        <tpls c="3">
          <tpl fld="0" item="0"/>
          <tpl fld="1" item="11"/>
          <tpl fld="4" item="6"/>
        </tpls>
      </m>
      <m in="0">
        <tpls c="3">
          <tpl fld="0" item="0"/>
          <tpl fld="1" item="219"/>
          <tpl fld="4" item="1"/>
        </tpls>
      </m>
      <m in="0">
        <tpls c="3">
          <tpl fld="0" item="0"/>
          <tpl fld="1" item="158"/>
          <tpl fld="4" item="10"/>
        </tpls>
      </m>
      <m in="0">
        <tpls c="3">
          <tpl fld="0" item="0"/>
          <tpl fld="1" item="456"/>
          <tpl fld="4" item="11"/>
        </tpls>
      </m>
      <m in="0">
        <tpls c="3">
          <tpl fld="0" item="0"/>
          <tpl fld="1" item="227"/>
          <tpl fld="4" item="1"/>
        </tpls>
      </m>
      <m in="0">
        <tpls c="3">
          <tpl fld="0" item="0"/>
          <tpl fld="1" item="165"/>
          <tpl fld="4" item="5"/>
        </tpls>
      </m>
      <m in="0">
        <tpls c="3">
          <tpl fld="0" item="0"/>
          <tpl fld="1" item="306"/>
          <tpl fld="4" item="5"/>
        </tpls>
      </m>
      <n v="662" in="0">
        <tpls c="3">
          <tpl fld="0" item="0"/>
          <tpl fld="1" item="114"/>
          <tpl fld="4" item="10"/>
        </tpls>
      </n>
      <m in="0">
        <tpls c="3">
          <tpl fld="0" item="0"/>
          <tpl fld="1" item="292"/>
          <tpl fld="4" item="1"/>
        </tpls>
      </m>
      <m in="0">
        <tpls c="3">
          <tpl fld="0" item="0"/>
          <tpl fld="1" item="407"/>
          <tpl fld="4" item="11"/>
        </tpls>
      </m>
      <m in="0">
        <tpls c="3">
          <tpl fld="0" item="0"/>
          <tpl fld="1" item="20"/>
          <tpl fld="4" item="8"/>
        </tpls>
      </m>
      <m in="0">
        <tpls c="3">
          <tpl fld="0" item="0"/>
          <tpl fld="1" item="395"/>
          <tpl fld="4" item="6"/>
        </tpls>
      </m>
      <m in="0">
        <tpls c="3">
          <tpl fld="0" item="0"/>
          <tpl fld="1" item="81"/>
          <tpl fld="4" item="8"/>
        </tpls>
      </m>
      <m in="1">
        <tpls c="3">
          <tpl fld="0" item="0"/>
          <tpl fld="1" item="300"/>
          <tpl fld="4" item="7"/>
        </tpls>
      </m>
      <n v="2" in="0">
        <tpls c="3">
          <tpl fld="0" item="0"/>
          <tpl fld="1" item="111"/>
          <tpl fld="4" item="11"/>
        </tpls>
      </n>
      <m in="0">
        <tpls c="3">
          <tpl fld="0" item="0"/>
          <tpl fld="1" item="224"/>
          <tpl fld="4" item="5"/>
        </tpls>
      </m>
      <m in="0">
        <tpls c="3">
          <tpl fld="0" item="0"/>
          <tpl fld="1" item="192"/>
          <tpl fld="4" item="11"/>
        </tpls>
      </m>
      <m in="0">
        <tpls c="3">
          <tpl fld="0" item="0"/>
          <tpl fld="1" item="22"/>
          <tpl fld="4" item="9"/>
        </tpls>
      </m>
      <m in="0">
        <tpls c="3">
          <tpl fld="0" item="0"/>
          <tpl fld="1" item="361"/>
          <tpl fld="4" item="11"/>
        </tpls>
      </m>
      <m in="0">
        <tpls c="3">
          <tpl fld="0" item="0"/>
          <tpl fld="1" item="295"/>
          <tpl fld="4" item="8"/>
        </tpls>
      </m>
      <n v="123" in="1">
        <tpls c="3">
          <tpl fld="0" item="0"/>
          <tpl fld="1" item="305"/>
          <tpl fld="4" item="7"/>
        </tpls>
      </n>
      <m in="0">
        <tpls c="3">
          <tpl fld="0" item="0"/>
          <tpl fld="1" item="445"/>
          <tpl fld="4" item="1"/>
        </tpls>
      </m>
      <m in="0">
        <tpls c="3">
          <tpl fld="0" item="0"/>
          <tpl fld="1" item="264"/>
          <tpl fld="4" item="11"/>
        </tpls>
      </m>
      <m in="0">
        <tpls c="3">
          <tpl fld="0" item="0"/>
          <tpl fld="1" item="268"/>
          <tpl fld="4" item="8"/>
        </tpls>
      </m>
      <m in="0">
        <tpls c="3">
          <tpl fld="0" item="0"/>
          <tpl fld="1" item="453"/>
          <tpl fld="4" item="1"/>
        </tpls>
      </m>
      <n v="11" in="0">
        <tpls c="3">
          <tpl fld="0" item="0"/>
          <tpl fld="1" item="299"/>
          <tpl fld="4" item="10"/>
        </tpls>
      </n>
      <m in="1">
        <tpls c="3">
          <tpl fld="0" item="0"/>
          <tpl fld="1" item="376"/>
          <tpl fld="4" item="7"/>
        </tpls>
      </m>
      <m in="0">
        <tpls c="3">
          <tpl fld="0" item="0"/>
          <tpl fld="1" item="39"/>
          <tpl fld="4" item="6"/>
        </tpls>
      </m>
      <m in="0">
        <tpls c="3">
          <tpl fld="0" item="0"/>
          <tpl fld="1" item="55"/>
          <tpl fld="4" item="6"/>
        </tpls>
      </m>
      <m in="0">
        <tpls c="3">
          <tpl fld="0" item="0"/>
          <tpl fld="1" item="58"/>
          <tpl fld="4" item="12"/>
        </tpls>
      </m>
      <n v="78" in="0">
        <tpls c="3">
          <tpl fld="0" item="0"/>
          <tpl fld="1" item="350"/>
          <tpl fld="4" item="10"/>
        </tpls>
      </n>
      <n v="3549" in="0">
        <tpls c="3">
          <tpl fld="0" item="0"/>
          <tpl fld="1" item="380"/>
          <tpl fld="4" item="10"/>
        </tpls>
      </n>
      <m in="1">
        <tpls c="3">
          <tpl fld="0" item="0"/>
          <tpl fld="1" item="170"/>
          <tpl fld="4" item="7"/>
        </tpls>
      </m>
      <n v="3" in="0">
        <tpls c="3">
          <tpl fld="0" item="0"/>
          <tpl fld="1" item="452"/>
          <tpl fld="4" item="8"/>
        </tpls>
      </n>
      <m in="0">
        <tpls c="3">
          <tpl fld="0" item="0"/>
          <tpl fld="1" item="259"/>
          <tpl fld="4" item="8"/>
        </tpls>
      </m>
      <m in="0">
        <tpls c="3">
          <tpl fld="0" item="0"/>
          <tpl fld="1" item="343"/>
          <tpl fld="4" item="8"/>
        </tpls>
      </m>
      <m in="0">
        <tpls c="3">
          <tpl fld="0" item="0"/>
          <tpl fld="1" item="234"/>
          <tpl fld="4" item="10"/>
        </tpls>
      </m>
      <m in="0">
        <tpls c="3">
          <tpl fld="0" item="0"/>
          <tpl fld="1" item="222"/>
          <tpl fld="4" item="12"/>
        </tpls>
      </m>
      <m in="0">
        <tpls c="3">
          <tpl fld="0" item="0"/>
          <tpl fld="1" item="331"/>
          <tpl fld="4" item="9"/>
        </tpls>
      </m>
      <m in="0">
        <tpls c="3">
          <tpl fld="0" item="0"/>
          <tpl fld="1" item="28"/>
          <tpl fld="4" item="5"/>
        </tpls>
      </m>
      <m in="0">
        <tpls c="3">
          <tpl fld="0" item="0"/>
          <tpl fld="1" item="57"/>
          <tpl fld="4" item="11"/>
        </tpls>
      </m>
      <m in="0">
        <tpls c="3">
          <tpl fld="0" item="0"/>
          <tpl fld="1" item="320"/>
          <tpl fld="4" item="5"/>
        </tpls>
      </m>
      <m in="0">
        <tpls c="3">
          <tpl fld="0" item="0"/>
          <tpl fld="1" item="240"/>
          <tpl fld="4" item="12"/>
        </tpls>
      </m>
      <m in="0">
        <tpls c="3">
          <tpl fld="0" item="0"/>
          <tpl fld="1" item="209"/>
          <tpl fld="4" item="5"/>
        </tpls>
      </m>
      <m in="0">
        <tpls c="3">
          <tpl fld="0" item="0"/>
          <tpl fld="1" item="428"/>
          <tpl fld="4" item="8"/>
        </tpls>
      </m>
      <m in="0">
        <tpls c="3">
          <tpl fld="0" item="0"/>
          <tpl fld="1" item="214"/>
          <tpl fld="4" item="9"/>
        </tpls>
      </m>
      <m in="0">
        <tpls c="3">
          <tpl fld="0" item="0"/>
          <tpl fld="1" item="340"/>
          <tpl fld="4" item="1"/>
        </tpls>
      </m>
      <m in="0">
        <tpls c="3">
          <tpl fld="0" item="0"/>
          <tpl fld="1" item="148"/>
          <tpl fld="4" item="9"/>
        </tpls>
      </m>
      <m in="0">
        <tpls c="3">
          <tpl fld="0" item="0"/>
          <tpl fld="1" item="187"/>
          <tpl fld="4" item="8"/>
        </tpls>
      </m>
      <n v="1" in="0">
        <tpls c="3">
          <tpl fld="0" item="0"/>
          <tpl fld="1" item="206"/>
          <tpl fld="4" item="1"/>
        </tpls>
      </n>
      <n v="244" in="1">
        <tpls c="3">
          <tpl fld="0" item="0"/>
          <tpl fld="1" item="64"/>
          <tpl fld="4" item="7"/>
        </tpls>
      </n>
      <n v="3" in="0">
        <tpls c="3">
          <tpl fld="0" item="0"/>
          <tpl fld="1" item="64"/>
          <tpl fld="4" item="11"/>
        </tpls>
      </n>
      <n v="317" in="0">
        <tpls c="3">
          <tpl fld="0" item="0"/>
          <tpl fld="1" item="201"/>
          <tpl fld="4" item="10"/>
        </tpls>
      </n>
      <n v="720" in="0">
        <tpls c="3">
          <tpl fld="0" item="0"/>
          <tpl fld="1" item="141"/>
          <tpl fld="4" item="10"/>
        </tpls>
      </n>
      <m in="0">
        <tpls c="3">
          <tpl fld="0" item="0"/>
          <tpl fld="1" item="270"/>
          <tpl fld="4" item="9"/>
        </tpls>
      </m>
      <n v="112" in="1">
        <tpls c="3">
          <tpl fld="0" item="0"/>
          <tpl fld="1" item="219"/>
          <tpl fld="4" item="7"/>
        </tpls>
      </n>
      <m in="0">
        <tpls c="3">
          <tpl fld="0" item="0"/>
          <tpl fld="1" item="149"/>
          <tpl fld="4" item="6"/>
        </tpls>
      </m>
      <n v="355" in="0">
        <tpls c="3">
          <tpl fld="0" item="0"/>
          <tpl fld="1" item="415"/>
          <tpl fld="4" item="10"/>
        </tpls>
      </n>
      <m in="0">
        <tpls c="3">
          <tpl fld="0" item="0"/>
          <tpl fld="1" item="66"/>
          <tpl fld="4" item="8"/>
        </tpls>
      </m>
      <n v="494" in="0">
        <tpls c="3">
          <tpl fld="0" item="0"/>
          <tpl fld="1" item="39"/>
          <tpl fld="4" item="10"/>
        </tpls>
      </n>
      <m in="0">
        <tpls c="3">
          <tpl fld="0" item="0"/>
          <tpl fld="1" item="85"/>
          <tpl fld="4" item="6"/>
        </tpls>
      </m>
      <m in="0">
        <tpls c="3">
          <tpl fld="0" item="0"/>
          <tpl fld="1" item="436"/>
          <tpl fld="4" item="5"/>
        </tpls>
      </m>
      <n v="416" in="1">
        <tpls c="3">
          <tpl fld="0" item="0"/>
          <tpl fld="1" item="117"/>
          <tpl fld="4" item="7"/>
        </tpls>
      </n>
      <m in="0">
        <tpls c="3">
          <tpl fld="0" item="0"/>
          <tpl fld="1" item="40"/>
          <tpl fld="4" item="8"/>
        </tpls>
      </m>
      <n v="24" in="1">
        <tpls c="3">
          <tpl fld="0" item="0"/>
          <tpl fld="1" item="359"/>
          <tpl fld="4" item="7"/>
        </tpls>
      </n>
      <m in="0">
        <tpls c="3">
          <tpl fld="0" item="0"/>
          <tpl fld="1" item="420"/>
          <tpl fld="4" item="8"/>
        </tpls>
      </m>
      <n v="532" in="0">
        <tpls c="3">
          <tpl fld="0" item="0"/>
          <tpl fld="1" item="140"/>
          <tpl fld="4" item="10"/>
        </tpls>
      </n>
      <m in="0">
        <tpls c="3">
          <tpl fld="0" item="0"/>
          <tpl fld="1" item="408"/>
          <tpl fld="4" item="12"/>
        </tpls>
      </m>
      <n v="45" in="1">
        <tpls c="3">
          <tpl fld="0" item="0"/>
          <tpl fld="1" item="208"/>
          <tpl fld="4" item="7"/>
        </tpls>
      </n>
      <m in="0">
        <tpls c="3">
          <tpl fld="0" item="0"/>
          <tpl fld="1" item="66"/>
          <tpl fld="4" item="11"/>
        </tpls>
      </m>
      <m in="0">
        <tpls c="3">
          <tpl fld="0" item="0"/>
          <tpl fld="1" item="23"/>
          <tpl fld="4" item="11"/>
        </tpls>
      </m>
      <m in="0">
        <tpls c="3">
          <tpl fld="0" item="0"/>
          <tpl fld="1" item="203"/>
          <tpl fld="4" item="5"/>
        </tpls>
      </m>
      <m in="0">
        <tpls c="3">
          <tpl fld="0" item="0"/>
          <tpl fld="1" item="22"/>
          <tpl fld="4" item="12"/>
        </tpls>
      </m>
      <m in="0">
        <tpls c="3">
          <tpl fld="0" item="0"/>
          <tpl fld="1" item="305"/>
          <tpl fld="4" item="12"/>
        </tpls>
      </m>
      <m in="0">
        <tpls c="3">
          <tpl fld="0" item="0"/>
          <tpl fld="1" item="322"/>
          <tpl fld="4" item="5"/>
        </tpls>
      </m>
      <n v="90" in="0">
        <tpls c="3">
          <tpl fld="0" item="0"/>
          <tpl fld="1" item="89"/>
          <tpl fld="4" item="10"/>
        </tpls>
      </n>
      <m in="0">
        <tpls c="3">
          <tpl fld="0" item="0"/>
          <tpl fld="1" item="143"/>
          <tpl fld="4" item="8"/>
        </tpls>
      </m>
      <m in="0">
        <tpls c="3">
          <tpl fld="0" item="0"/>
          <tpl fld="1" item="357"/>
          <tpl fld="4" item="8"/>
        </tpls>
      </m>
      <m in="0">
        <tpls c="3">
          <tpl fld="0" item="0"/>
          <tpl fld="1" item="6"/>
          <tpl fld="4" item="10"/>
        </tpls>
      </m>
      <n v="7" in="0">
        <tpls c="3">
          <tpl fld="0" item="0"/>
          <tpl fld="1" item="45"/>
          <tpl fld="4" item="11"/>
        </tpls>
      </n>
      <m in="0">
        <tpls c="3">
          <tpl fld="0" item="0"/>
          <tpl fld="1" item="318"/>
          <tpl fld="4" item="10"/>
        </tpls>
      </m>
      <m in="0">
        <tpls c="3">
          <tpl fld="0" item="0"/>
          <tpl fld="1" item="184"/>
          <tpl fld="4" item="1"/>
        </tpls>
      </m>
      <m in="0">
        <tpls c="3">
          <tpl fld="0" item="0"/>
          <tpl fld="1" item="446"/>
          <tpl fld="4" item="9"/>
        </tpls>
      </m>
      <m in="0">
        <tpls c="3">
          <tpl fld="0" item="0"/>
          <tpl fld="1" item="244"/>
          <tpl fld="4" item="5"/>
        </tpls>
      </m>
      <n v="66" in="0">
        <tpls c="3">
          <tpl fld="0" item="0"/>
          <tpl fld="1" item="63"/>
          <tpl fld="4" item="10"/>
        </tpls>
      </n>
      <m in="0">
        <tpls c="3">
          <tpl fld="0" item="0"/>
          <tpl fld="3" item="0"/>
          <tpl fld="4" item="1"/>
        </tpls>
      </m>
      <m in="1">
        <tpls c="3">
          <tpl fld="0" item="0"/>
          <tpl fld="1" item="387"/>
          <tpl fld="4" item="7"/>
        </tpls>
      </m>
      <m in="0">
        <tpls c="3">
          <tpl fld="0" item="0"/>
          <tpl fld="1" item="374"/>
          <tpl fld="4" item="11"/>
        </tpls>
      </m>
      <n v="1" in="0">
        <tpls c="3">
          <tpl fld="0" item="0"/>
          <tpl fld="1" item="151"/>
          <tpl fld="4" item="9"/>
        </tpls>
      </n>
      <m in="0">
        <tpls c="3">
          <tpl fld="0" item="0"/>
          <tpl fld="1" item="123"/>
          <tpl fld="4" item="1"/>
        </tpls>
      </m>
      <m in="0">
        <tpls c="3">
          <tpl fld="0" item="0"/>
          <tpl fld="1" item="435"/>
          <tpl fld="4" item="10"/>
        </tpls>
      </m>
      <m in="0">
        <tpls c="3">
          <tpl fld="0" item="0"/>
          <tpl fld="1" item="366"/>
          <tpl fld="4" item="1"/>
        </tpls>
      </m>
      <m in="0">
        <tpls c="3">
          <tpl fld="0" item="0"/>
          <tpl fld="1" item="431"/>
          <tpl fld="4" item="11"/>
        </tpls>
      </m>
      <n v="392" in="1">
        <tpls c="3">
          <tpl fld="0" item="0"/>
          <tpl fld="1" item="65"/>
          <tpl fld="4" item="7"/>
        </tpls>
      </n>
      <m in="0">
        <tpls c="3">
          <tpl fld="0" item="0"/>
          <tpl fld="1" item="426"/>
          <tpl fld="4" item="8"/>
        </tpls>
      </m>
      <m in="0">
        <tpls c="3">
          <tpl fld="0" item="0"/>
          <tpl fld="1" item="425"/>
          <tpl fld="4" item="9"/>
        </tpls>
      </m>
      <m in="0">
        <tpls c="3">
          <tpl fld="0" item="0"/>
          <tpl fld="1" item="290"/>
          <tpl fld="4" item="12"/>
        </tpls>
      </m>
      <m in="0">
        <tpls c="3">
          <tpl fld="0" item="0"/>
          <tpl fld="1" item="398"/>
          <tpl fld="4" item="5"/>
        </tpls>
      </m>
      <m in="0">
        <tpls c="3">
          <tpl fld="0" item="0"/>
          <tpl fld="1" item="111"/>
          <tpl fld="4" item="5"/>
        </tpls>
      </m>
      <m in="0">
        <tpls c="3">
          <tpl fld="0" item="0"/>
          <tpl fld="1" item="135"/>
          <tpl fld="4" item="11"/>
        </tpls>
      </m>
      <m in="0">
        <tpls c="3">
          <tpl fld="0" item="0"/>
          <tpl fld="1" item="336"/>
          <tpl fld="4" item="9"/>
        </tpls>
      </m>
      <m in="0">
        <tpls c="3">
          <tpl fld="0" item="0"/>
          <tpl fld="1" item="231"/>
          <tpl fld="4" item="11"/>
        </tpls>
      </m>
      <m in="0">
        <tpls c="3">
          <tpl fld="0" item="0"/>
          <tpl fld="1" item="423"/>
          <tpl fld="4" item="1"/>
        </tpls>
      </m>
      <m in="0">
        <tpls c="3">
          <tpl fld="0" item="0"/>
          <tpl fld="1" item="79"/>
          <tpl fld="4" item="11"/>
        </tpls>
      </m>
      <m in="0">
        <tpls c="3">
          <tpl fld="0" item="0"/>
          <tpl fld="1" item="456"/>
          <tpl fld="4" item="6"/>
        </tpls>
      </m>
      <m in="0">
        <tpls c="3">
          <tpl fld="0" item="0"/>
          <tpl fld="1" item="152"/>
          <tpl fld="4" item="5"/>
        </tpls>
      </m>
      <n v="2" in="0">
        <tpls c="3">
          <tpl fld="0" item="0"/>
          <tpl fld="1" item="33"/>
          <tpl fld="4" item="8"/>
        </tpls>
      </n>
      <m in="0">
        <tpls c="3">
          <tpl fld="0" item="0"/>
          <tpl fld="1" item="435"/>
          <tpl fld="4" item="5"/>
        </tpls>
      </m>
      <m in="0">
        <tpls c="3">
          <tpl fld="0" item="0"/>
          <tpl fld="1" item="443"/>
          <tpl fld="4" item="11"/>
        </tpls>
      </m>
      <m in="0">
        <tpls c="3">
          <tpl fld="0" item="0"/>
          <tpl fld="1" item="65"/>
          <tpl fld="4" item="6"/>
        </tpls>
      </m>
      <m in="0">
        <tpls c="3">
          <tpl fld="0" item="0"/>
          <tpl fld="1" item="229"/>
          <tpl fld="4" item="12"/>
        </tpls>
      </m>
      <m in="0">
        <tpls c="3">
          <tpl fld="0" item="0"/>
          <tpl fld="1" item="145"/>
          <tpl fld="4" item="11"/>
        </tpls>
      </m>
      <m in="0">
        <tpls c="3">
          <tpl fld="0" item="0"/>
          <tpl fld="1" item="183"/>
          <tpl fld="4" item="5"/>
        </tpls>
      </m>
      <m in="0">
        <tpls c="3">
          <tpl fld="0" item="0"/>
          <tpl fld="1" item="394"/>
          <tpl fld="4" item="1"/>
        </tpls>
      </m>
      <m in="0">
        <tpls c="3">
          <tpl fld="0" item="0"/>
          <tpl fld="1" item="66"/>
          <tpl fld="4" item="12"/>
        </tpls>
      </m>
      <m in="0">
        <tpls c="3">
          <tpl fld="0" item="0"/>
          <tpl fld="1" item="235"/>
          <tpl fld="4" item="5"/>
        </tpls>
      </m>
      <m in="1">
        <tpls c="3">
          <tpl fld="0" item="0"/>
          <tpl fld="1" item="295"/>
          <tpl fld="4" item="7"/>
        </tpls>
      </m>
      <n v="2" in="0">
        <tpls c="3">
          <tpl fld="0" item="0"/>
          <tpl fld="1" item="343"/>
          <tpl fld="4" item="1"/>
        </tpls>
      </n>
      <m in="1">
        <tpls c="3">
          <tpl fld="0" item="0"/>
          <tpl fld="1" item="353"/>
          <tpl fld="4" item="7"/>
        </tpls>
      </m>
      <m in="0">
        <tpls c="3">
          <tpl fld="0" item="0"/>
          <tpl fld="1" item="371"/>
          <tpl fld="4" item="9"/>
        </tpls>
      </m>
      <m in="0">
        <tpls c="3">
          <tpl fld="0" item="0"/>
          <tpl fld="1" item="67"/>
          <tpl fld="4" item="12"/>
        </tpls>
      </m>
      <m in="0">
        <tpls c="3">
          <tpl fld="0" item="0"/>
          <tpl fld="1" item="350"/>
          <tpl fld="4" item="6"/>
        </tpls>
      </m>
      <m in="0">
        <tpls c="3">
          <tpl fld="0" item="0"/>
          <tpl fld="1" item="126"/>
          <tpl fld="4" item="11"/>
        </tpls>
      </m>
      <m in="0">
        <tpls c="3">
          <tpl fld="0" item="0"/>
          <tpl fld="1" item="250"/>
          <tpl fld="4" item="5"/>
        </tpls>
      </m>
      <m in="0">
        <tpls c="3">
          <tpl fld="0" item="0"/>
          <tpl fld="1" item="63"/>
          <tpl fld="4" item="1"/>
        </tpls>
      </m>
      <m in="0">
        <tpls c="3">
          <tpl fld="0" item="0"/>
          <tpl fld="1" item="277"/>
          <tpl fld="4" item="5"/>
        </tpls>
      </m>
      <m in="0">
        <tpls c="3">
          <tpl fld="0" item="0"/>
          <tpl fld="1" item="381"/>
          <tpl fld="4" item="5"/>
        </tpls>
      </m>
      <m in="0">
        <tpls c="3">
          <tpl fld="0" item="0"/>
          <tpl fld="1" item="178"/>
          <tpl fld="4" item="5"/>
        </tpls>
      </m>
      <n v="176" in="1">
        <tpls c="3">
          <tpl fld="0" item="0"/>
          <tpl fld="1" item="138"/>
          <tpl fld="4" item="7"/>
        </tpls>
      </n>
      <m in="0">
        <tpls c="3">
          <tpl fld="0" item="0"/>
          <tpl fld="1" item="103"/>
          <tpl fld="4" item="5"/>
        </tpls>
      </m>
      <n v="66" in="0">
        <tpls c="3">
          <tpl fld="0" item="0"/>
          <tpl fld="1" item="455"/>
          <tpl fld="4" item="10"/>
        </tpls>
      </n>
      <m in="0">
        <tpls c="3">
          <tpl fld="0" item="0"/>
          <tpl fld="1" item="57"/>
          <tpl fld="4" item="12"/>
        </tpls>
      </m>
      <m in="0">
        <tpls c="3">
          <tpl fld="0" item="0"/>
          <tpl fld="1" item="172"/>
          <tpl fld="4" item="11"/>
        </tpls>
      </m>
      <n v="1" in="0">
        <tpls c="3">
          <tpl fld="0" item="0"/>
          <tpl fld="1" item="20"/>
          <tpl fld="4" item="1"/>
        </tpls>
      </n>
      <m in="0">
        <tpls c="3">
          <tpl fld="0" item="0"/>
          <tpl fld="1" item="186"/>
          <tpl fld="4" item="11"/>
        </tpls>
      </m>
      <m in="0">
        <tpls c="3">
          <tpl fld="0" item="0"/>
          <tpl fld="1" item="403"/>
          <tpl fld="4" item="6"/>
        </tpls>
      </m>
      <n v="62" in="0">
        <tpls c="3">
          <tpl fld="0" item="0"/>
          <tpl fld="1" item="369"/>
          <tpl fld="4" item="10"/>
        </tpls>
      </n>
      <m in="0">
        <tpls c="3">
          <tpl fld="0" item="0"/>
          <tpl fld="1" item="383"/>
          <tpl fld="4" item="9"/>
        </tpls>
      </m>
      <m in="0">
        <tpls c="3">
          <tpl fld="0" item="0"/>
          <tpl fld="1" item="223"/>
          <tpl fld="4" item="10"/>
        </tpls>
      </m>
      <m in="0">
        <tpls c="3">
          <tpl fld="0" item="0"/>
          <tpl fld="1" item="198"/>
          <tpl fld="4" item="10"/>
        </tpls>
      </m>
      <m in="0">
        <tpls c="3">
          <tpl fld="0" item="0"/>
          <tpl fld="1" item="314"/>
          <tpl fld="4" item="12"/>
        </tpls>
      </m>
      <m in="0">
        <tpls c="3">
          <tpl fld="0" item="0"/>
          <tpl fld="1" item="148"/>
          <tpl fld="4" item="12"/>
        </tpls>
      </m>
      <m in="0">
        <tpls c="3">
          <tpl fld="0" item="0"/>
          <tpl fld="1" item="33"/>
          <tpl fld="4" item="6"/>
        </tpls>
      </m>
      <m in="0">
        <tpls c="3">
          <tpl fld="0" item="0"/>
          <tpl fld="1" item="317"/>
          <tpl fld="4" item="9"/>
        </tpls>
      </m>
      <m in="0">
        <tpls c="3">
          <tpl fld="0" item="0"/>
          <tpl fld="1" item="180"/>
          <tpl fld="4" item="12"/>
        </tpls>
      </m>
      <m in="0">
        <tpls c="3">
          <tpl fld="0" item="0"/>
          <tpl fld="1" item="166"/>
          <tpl fld="4" item="11"/>
        </tpls>
      </m>
      <m in="0">
        <tpls c="3">
          <tpl fld="0" item="0"/>
          <tpl fld="1" item="416"/>
          <tpl fld="4" item="8"/>
        </tpls>
      </m>
      <m in="0">
        <tpls c="3">
          <tpl fld="0" item="0"/>
          <tpl fld="1" item="428"/>
          <tpl fld="4" item="5"/>
        </tpls>
      </m>
      <m in="0">
        <tpls c="3">
          <tpl fld="0" item="0"/>
          <tpl fld="1" item="229"/>
          <tpl fld="4" item="9"/>
        </tpls>
      </m>
      <m in="0">
        <tpls c="3">
          <tpl fld="0" item="0"/>
          <tpl fld="1" item="421"/>
          <tpl fld="4" item="5"/>
        </tpls>
      </m>
      <m in="0">
        <tpls c="3">
          <tpl fld="0" item="0"/>
          <tpl fld="1" item="210"/>
          <tpl fld="4" item="9"/>
        </tpls>
      </m>
      <m in="0">
        <tpls c="3">
          <tpl fld="0" item="0"/>
          <tpl fld="1" item="87"/>
          <tpl fld="4" item="8"/>
        </tpls>
      </m>
      <m in="0">
        <tpls c="3">
          <tpl fld="0" item="0"/>
          <tpl fld="1" item="299"/>
          <tpl fld="4" item="5"/>
        </tpls>
      </m>
      <m in="0">
        <tpls c="3">
          <tpl fld="0" item="0"/>
          <tpl fld="1" item="382"/>
          <tpl fld="4" item="11"/>
        </tpls>
      </m>
      <m in="0">
        <tpls c="3">
          <tpl fld="0" item="0"/>
          <tpl fld="1" item="103"/>
          <tpl fld="4" item="12"/>
        </tpls>
      </m>
      <m in="0">
        <tpls c="3">
          <tpl fld="0" item="0"/>
          <tpl fld="1" item="450"/>
          <tpl fld="4" item="10"/>
        </tpls>
      </m>
      <m in="0">
        <tpls c="3">
          <tpl fld="0" item="0"/>
          <tpl fld="1" item="412"/>
          <tpl fld="4" item="5"/>
        </tpls>
      </m>
      <n v="267" in="0">
        <tpls c="3">
          <tpl fld="0" item="0"/>
          <tpl fld="1" item="226"/>
          <tpl fld="4" item="10"/>
        </tpls>
      </n>
      <m in="0">
        <tpls c="3">
          <tpl fld="0" item="0"/>
          <tpl fld="3" item="0"/>
          <tpl fld="4" item="12"/>
        </tpls>
      </m>
      <m in="0">
        <tpls c="3">
          <tpl fld="0" item="0"/>
          <tpl fld="1" item="278"/>
          <tpl fld="4" item="11"/>
        </tpls>
      </m>
      <m in="0">
        <tpls c="3">
          <tpl fld="0" item="0"/>
          <tpl fld="1" item="108"/>
          <tpl fld="4" item="12"/>
        </tpls>
      </m>
      <n v="447" in="0">
        <tpls c="3">
          <tpl fld="0" item="0"/>
          <tpl fld="1" item="32"/>
          <tpl fld="4" item="10"/>
        </tpls>
      </n>
      <m in="0">
        <tpls c="3">
          <tpl fld="0" item="0"/>
          <tpl fld="1" item="208"/>
          <tpl fld="4" item="11"/>
        </tpls>
      </m>
      <m in="0">
        <tpls c="3">
          <tpl fld="0" item="0"/>
          <tpl fld="1" item="286"/>
          <tpl fld="4" item="6"/>
        </tpls>
      </m>
      <n v="193" in="1">
        <tpls c="3">
          <tpl fld="0" item="0"/>
          <tpl fld="1" item="242"/>
          <tpl fld="4" item="7"/>
        </tpls>
      </n>
      <m in="0">
        <tpls c="3">
          <tpl fld="0" item="0"/>
          <tpl fld="1" item="134"/>
          <tpl fld="4" item="12"/>
        </tpls>
      </m>
      <m in="0">
        <tpls c="3">
          <tpl fld="0" item="0"/>
          <tpl fld="1" item="272"/>
          <tpl fld="4" item="5"/>
        </tpls>
      </m>
      <n v="27" in="1">
        <tpls c="3">
          <tpl fld="0" item="0"/>
          <tpl fld="1" item="412"/>
          <tpl fld="4" item="7"/>
        </tpls>
      </n>
      <m in="0">
        <tpls c="3">
          <tpl fld="0" item="0"/>
          <tpl fld="1" item="322"/>
          <tpl fld="4" item="6"/>
        </tpls>
      </m>
      <m in="0">
        <tpls c="3">
          <tpl fld="0" item="0"/>
          <tpl fld="1" item="345"/>
          <tpl fld="4" item="1"/>
        </tpls>
      </m>
      <m in="0">
        <tpls c="3">
          <tpl fld="0" item="0"/>
          <tpl fld="1" item="325"/>
          <tpl fld="4" item="11"/>
        </tpls>
      </m>
      <m in="0">
        <tpls c="3">
          <tpl fld="0" item="0"/>
          <tpl fld="1" item="92"/>
          <tpl fld="4" item="8"/>
        </tpls>
      </m>
      <m in="0">
        <tpls c="3">
          <tpl fld="0" item="0"/>
          <tpl fld="1" item="409"/>
          <tpl fld="4" item="5"/>
        </tpls>
      </m>
      <m in="1">
        <tpls c="3">
          <tpl fld="0" item="0"/>
          <tpl fld="1" item="112"/>
          <tpl fld="4" item="7"/>
        </tpls>
      </m>
      <n v="1560" in="0">
        <tpls c="3">
          <tpl fld="0" item="0"/>
          <tpl fld="1" item="377"/>
          <tpl fld="4" item="10"/>
        </tpls>
      </n>
      <m in="0">
        <tpls c="3">
          <tpl fld="0" item="0"/>
          <tpl fld="1" item="151"/>
          <tpl fld="4" item="11"/>
        </tpls>
      </m>
      <m in="0">
        <tpls c="3">
          <tpl fld="0" item="0"/>
          <tpl fld="1" item="303"/>
          <tpl fld="4" item="9"/>
        </tpls>
      </m>
      <m in="0">
        <tpls c="3">
          <tpl fld="0" item="0"/>
          <tpl fld="1" item="97"/>
          <tpl fld="4" item="11"/>
        </tpls>
      </m>
      <n v="31" in="1">
        <tpls c="3">
          <tpl fld="0" item="0"/>
          <tpl fld="1" item="62"/>
          <tpl fld="4" item="7"/>
        </tpls>
      </n>
      <m in="0">
        <tpls c="3">
          <tpl fld="0" item="0"/>
          <tpl fld="1" item="440"/>
          <tpl fld="4" item="9"/>
        </tpls>
      </m>
      <m in="0">
        <tpls c="3">
          <tpl fld="0" item="0"/>
          <tpl fld="1" item="448"/>
          <tpl fld="4" item="12"/>
        </tpls>
      </m>
      <m in="0">
        <tpls c="3">
          <tpl fld="0" item="0"/>
          <tpl fld="1" item="17"/>
          <tpl fld="4" item="12"/>
        </tpls>
      </m>
      <n v="6" in="0">
        <tpls c="3">
          <tpl fld="0" item="0"/>
          <tpl fld="1" item="385"/>
          <tpl fld="4" item="11"/>
        </tpls>
      </n>
      <m in="0">
        <tpls c="3">
          <tpl fld="0" item="0"/>
          <tpl fld="1" item="9"/>
          <tpl fld="4" item="12"/>
        </tpls>
      </m>
      <m in="0">
        <tpls c="3">
          <tpl fld="0" item="0"/>
          <tpl fld="1" item="291"/>
          <tpl fld="4" item="5"/>
        </tpls>
      </m>
      <n v="7" in="0">
        <tpls c="3">
          <tpl fld="0" item="0"/>
          <tpl fld="1" item="255"/>
          <tpl fld="4" item="1"/>
        </tpls>
      </n>
      <m in="0">
        <tpls c="3">
          <tpl fld="0" item="0"/>
          <tpl fld="1" item="296"/>
          <tpl fld="4" item="12"/>
        </tpls>
      </m>
      <m in="0">
        <tpls c="3">
          <tpl fld="0" item="0"/>
          <tpl fld="1" item="96"/>
          <tpl fld="4" item="10"/>
        </tpls>
      </m>
      <m in="1">
        <tpls c="3">
          <tpl fld="0" item="0"/>
          <tpl fld="1" item="24"/>
          <tpl fld="4" item="7"/>
        </tpls>
      </m>
      <m in="0">
        <tpls c="3">
          <tpl fld="0" item="0"/>
          <tpl fld="1" item="119"/>
          <tpl fld="4" item="11"/>
        </tpls>
      </m>
      <m in="0">
        <tpls c="3">
          <tpl fld="0" item="0"/>
          <tpl fld="1" item="238"/>
          <tpl fld="4" item="8"/>
        </tpls>
      </m>
      <n v="376" in="1">
        <tpls c="3">
          <tpl fld="0" item="0"/>
          <tpl fld="1" item="187"/>
          <tpl fld="4" item="7"/>
        </tpls>
      </n>
      <m in="0">
        <tpls c="3">
          <tpl fld="0" item="0"/>
          <tpl fld="1" item="406"/>
          <tpl fld="4" item="12"/>
        </tpls>
      </m>
      <m in="0">
        <tpls c="3">
          <tpl fld="0" item="0"/>
          <tpl fld="1" item="182"/>
          <tpl fld="4" item="5"/>
        </tpls>
      </m>
      <m in="1">
        <tpls c="3">
          <tpl fld="0" item="0"/>
          <tpl fld="1" item="321"/>
          <tpl fld="4" item="7"/>
        </tpls>
      </m>
      <m in="0">
        <tpls c="3">
          <tpl fld="0" item="0"/>
          <tpl fld="1" item="419"/>
          <tpl fld="4" item="6"/>
        </tpls>
      </m>
      <m in="0">
        <tpls c="3">
          <tpl fld="0" item="0"/>
          <tpl fld="1" item="288"/>
          <tpl fld="4" item="5"/>
        </tpls>
      </m>
      <m in="0">
        <tpls c="3">
          <tpl fld="0" item="0"/>
          <tpl fld="1" item="106"/>
          <tpl fld="4" item="11"/>
        </tpls>
      </m>
      <m in="0">
        <tpls c="3">
          <tpl fld="0" item="0"/>
          <tpl fld="1" item="17"/>
          <tpl fld="4" item="9"/>
        </tpls>
      </m>
      <m in="0">
        <tpls c="3">
          <tpl fld="0" item="0"/>
          <tpl fld="1" item="294"/>
          <tpl fld="4" item="8"/>
        </tpls>
      </m>
      <m in="0">
        <tpls c="3">
          <tpl fld="0" item="0"/>
          <tpl fld="1" item="253"/>
          <tpl fld="4" item="12"/>
        </tpls>
      </m>
      <m in="0">
        <tpls c="3">
          <tpl fld="0" item="0"/>
          <tpl fld="1" item="376"/>
          <tpl fld="4" item="6"/>
        </tpls>
      </m>
      <m in="0">
        <tpls c="3">
          <tpl fld="0" item="0"/>
          <tpl fld="1" item="247"/>
          <tpl fld="4" item="11"/>
        </tpls>
      </m>
      <m in="0">
        <tpls c="3">
          <tpl fld="0" item="0"/>
          <tpl fld="1" item="209"/>
          <tpl fld="4" item="9"/>
        </tpls>
      </m>
      <m in="0">
        <tpls c="3">
          <tpl fld="0" item="0"/>
          <tpl fld="1" item="425"/>
          <tpl fld="4" item="5"/>
        </tpls>
      </m>
      <m in="0">
        <tpls c="3">
          <tpl fld="0" item="0"/>
          <tpl fld="1" item="70"/>
          <tpl fld="4" item="6"/>
        </tpls>
      </m>
      <m in="0">
        <tpls c="3">
          <tpl fld="0" item="0"/>
          <tpl fld="1" item="196"/>
          <tpl fld="4" item="8"/>
        </tpls>
      </m>
      <m in="0">
        <tpls c="3">
          <tpl fld="0" item="0"/>
          <tpl fld="1" item="182"/>
          <tpl fld="4" item="8"/>
        </tpls>
      </m>
      <m in="0">
        <tpls c="3">
          <tpl fld="0" item="0"/>
          <tpl fld="1" item="142"/>
          <tpl fld="4" item="8"/>
        </tpls>
      </m>
      <m in="0">
        <tpls c="3">
          <tpl fld="0" item="0"/>
          <tpl fld="1" item="255"/>
          <tpl fld="4" item="12"/>
        </tpls>
      </m>
      <n v="5" in="1">
        <tpls c="3">
          <tpl fld="0" item="0"/>
          <tpl fld="1" item="401"/>
          <tpl fld="4" item="7"/>
        </tpls>
      </n>
      <m in="0">
        <tpls c="3">
          <tpl fld="0" item="0"/>
          <tpl fld="1" item="439"/>
          <tpl fld="4" item="6"/>
        </tpls>
      </m>
      <m in="0">
        <tpls c="3">
          <tpl fld="0" item="0"/>
          <tpl fld="1" item="83"/>
          <tpl fld="4" item="11"/>
        </tpls>
      </m>
      <m in="0">
        <tpls c="3">
          <tpl fld="0" item="0"/>
          <tpl fld="1" item="249"/>
          <tpl fld="4" item="5"/>
        </tpls>
      </m>
      <m in="0">
        <tpls c="3">
          <tpl fld="0" item="0"/>
          <tpl fld="1" item="277"/>
          <tpl fld="4" item="8"/>
        </tpls>
      </m>
      <m in="0">
        <tpls c="3">
          <tpl fld="0" item="0"/>
          <tpl fld="1" item="338"/>
          <tpl fld="4" item="11"/>
        </tpls>
      </m>
      <m in="0">
        <tpls c="3">
          <tpl fld="0" item="0"/>
          <tpl fld="1" item="18"/>
          <tpl fld="4" item="5"/>
        </tpls>
      </m>
      <m in="0">
        <tpls c="3">
          <tpl fld="0" item="0"/>
          <tpl fld="1" item="198"/>
          <tpl fld="4" item="9"/>
        </tpls>
      </m>
      <n v="1248" in="0">
        <tpls c="3">
          <tpl fld="0" item="0"/>
          <tpl fld="1" item="132"/>
          <tpl fld="4" item="10"/>
        </tpls>
      </n>
      <m in="0">
        <tpls c="3">
          <tpl fld="0" item="0"/>
          <tpl fld="1" item="216"/>
          <tpl fld="4" item="11"/>
        </tpls>
      </m>
      <m in="0">
        <tpls c="3">
          <tpl fld="0" item="0"/>
          <tpl fld="1" item="375"/>
          <tpl fld="4" item="6"/>
        </tpls>
      </m>
      <n v="26" in="1">
        <tpls c="3">
          <tpl fld="0" item="0"/>
          <tpl fld="1" item="276"/>
          <tpl fld="4" item="7"/>
        </tpls>
      </n>
      <m in="0">
        <tpls c="3">
          <tpl fld="0" item="0"/>
          <tpl fld="1" item="89"/>
          <tpl fld="4" item="12"/>
        </tpls>
      </m>
      <m in="0">
        <tpls c="3">
          <tpl fld="0" item="0"/>
          <tpl fld="1" item="308"/>
          <tpl fld="4" item="11"/>
        </tpls>
      </m>
      <n v="113" in="0">
        <tpls c="3">
          <tpl fld="0" item="0"/>
          <tpl fld="1" item="427"/>
          <tpl fld="4" item="10"/>
        </tpls>
      </n>
      <m in="0">
        <tpls c="3">
          <tpl fld="0" item="0"/>
          <tpl fld="1" item="117"/>
          <tpl fld="4" item="5"/>
        </tpls>
      </m>
      <m in="0">
        <tpls c="3">
          <tpl fld="0" item="0"/>
          <tpl fld="1" item="332"/>
          <tpl fld="4" item="8"/>
        </tpls>
      </m>
      <m in="0">
        <tpls c="3">
          <tpl fld="0" item="0"/>
          <tpl fld="1" item="403"/>
          <tpl fld="4" item="11"/>
        </tpls>
      </m>
      <m in="0">
        <tpls c="3">
          <tpl fld="0" item="0"/>
          <tpl fld="1" item="221"/>
          <tpl fld="4" item="1"/>
        </tpls>
      </m>
      <m in="0">
        <tpls c="3">
          <tpl fld="0" item="0"/>
          <tpl fld="1" item="363"/>
          <tpl fld="4" item="8"/>
        </tpls>
      </m>
      <n v="818" in="0">
        <tpls c="3">
          <tpl fld="0" item="0"/>
          <tpl fld="1" item="281"/>
          <tpl fld="4" item="10"/>
        </tpls>
      </n>
      <m in="0">
        <tpls c="3">
          <tpl fld="0" item="0"/>
          <tpl fld="1" item="214"/>
          <tpl fld="4" item="6"/>
        </tpls>
      </m>
      <n v="1" in="0">
        <tpls c="3">
          <tpl fld="0" item="0"/>
          <tpl fld="1" item="37"/>
          <tpl fld="4" item="11"/>
        </tpls>
      </n>
      <n v="3" in="0">
        <tpls c="3">
          <tpl fld="0" item="0"/>
          <tpl fld="1" item="49"/>
          <tpl fld="4" item="1"/>
        </tpls>
      </n>
      <m in="0">
        <tpls c="3">
          <tpl fld="0" item="0"/>
          <tpl fld="1" item="434"/>
          <tpl fld="4" item="11"/>
        </tpls>
      </m>
      <n v="1" in="0">
        <tpls c="3">
          <tpl fld="0" item="0"/>
          <tpl fld="1" item="177"/>
          <tpl fld="4" item="11"/>
        </tpls>
      </n>
      <m in="0">
        <tpls c="3">
          <tpl fld="0" item="0"/>
          <tpl fld="1" item="25"/>
          <tpl fld="4" item="11"/>
        </tpls>
      </m>
      <n v="264" in="1">
        <tpls c="3">
          <tpl fld="0" item="0"/>
          <tpl fld="1" item="410"/>
          <tpl fld="4" item="7"/>
        </tpls>
      </n>
      <m in="0">
        <tpls c="3">
          <tpl fld="0" item="0"/>
          <tpl fld="1" item="410"/>
          <tpl fld="4" item="12"/>
        </tpls>
      </m>
      <m in="0">
        <tpls c="3">
          <tpl fld="0" item="0"/>
          <tpl fld="1" item="153"/>
          <tpl fld="4" item="12"/>
        </tpls>
      </m>
      <m in="0">
        <tpls c="3">
          <tpl fld="0" item="0"/>
          <tpl fld="1" item="265"/>
          <tpl fld="4" item="9"/>
        </tpls>
      </m>
      <m in="0">
        <tpls c="3">
          <tpl fld="0" item="0"/>
          <tpl fld="1" item="348"/>
          <tpl fld="4" item="11"/>
        </tpls>
      </m>
      <m in="0">
        <tpls c="3">
          <tpl fld="0" item="0"/>
          <tpl fld="1" item="384"/>
          <tpl fld="4" item="5"/>
        </tpls>
      </m>
      <n v="4" in="0">
        <tpls c="3">
          <tpl fld="0" item="0"/>
          <tpl fld="1" item="380"/>
          <tpl fld="4" item="9"/>
        </tpls>
      </n>
      <m in="0">
        <tpls c="3">
          <tpl fld="0" item="0"/>
          <tpl fld="1" item="164"/>
          <tpl fld="4" item="8"/>
        </tpls>
      </m>
      <m in="0">
        <tpls c="3">
          <tpl fld="0" item="0"/>
          <tpl fld="1" item="66"/>
          <tpl fld="4" item="1"/>
        </tpls>
      </m>
      <m in="0">
        <tpls c="3">
          <tpl fld="0" item="0"/>
          <tpl fld="1" item="336"/>
          <tpl fld="4" item="1"/>
        </tpls>
      </m>
      <n v="1525" in="0">
        <tpls c="3">
          <tpl fld="0" item="0"/>
          <tpl fld="1" item="47"/>
          <tpl fld="4" item="10"/>
        </tpls>
      </n>
      <m in="1">
        <tpls c="3">
          <tpl fld="0" item="0"/>
          <tpl fld="1" item="100"/>
          <tpl fld="4" item="7"/>
        </tpls>
      </m>
      <n v="980" in="1">
        <tpls c="3">
          <tpl fld="0" item="0"/>
          <tpl fld="1" item="183"/>
          <tpl fld="4" item="7"/>
        </tpls>
      </n>
      <m in="0">
        <tpls c="3">
          <tpl fld="0" item="0"/>
          <tpl fld="1" item="109"/>
          <tpl fld="4" item="11"/>
        </tpls>
      </m>
      <m in="0">
        <tpls c="3">
          <tpl fld="0" item="0"/>
          <tpl fld="1" item="382"/>
          <tpl fld="4" item="1"/>
        </tpls>
      </m>
      <n v="1" in="0">
        <tpls c="3">
          <tpl fld="0" item="0"/>
          <tpl fld="1" item="65"/>
          <tpl fld="4" item="1"/>
        </tpls>
      </n>
      <m in="0">
        <tpls c="3">
          <tpl fld="0" item="0"/>
          <tpl fld="1" item="392"/>
          <tpl fld="4" item="12"/>
        </tpls>
      </m>
      <m in="0">
        <tpls c="3">
          <tpl fld="0" item="0"/>
          <tpl fld="1" item="158"/>
          <tpl fld="4" item="9"/>
        </tpls>
      </m>
      <m in="0">
        <tpls c="3">
          <tpl fld="0" item="0"/>
          <tpl fld="1" item="272"/>
          <tpl fld="4" item="11"/>
        </tpls>
      </m>
      <n v="11" in="0">
        <tpls c="3">
          <tpl fld="0" item="0"/>
          <tpl fld="1" item="47"/>
          <tpl fld="4" item="1"/>
        </tpls>
      </n>
      <m in="0">
        <tpls c="3">
          <tpl fld="0" item="0"/>
          <tpl fld="1" item="108"/>
          <tpl fld="4" item="9"/>
        </tpls>
      </m>
      <m in="0">
        <tpls c="3">
          <tpl fld="0" item="0"/>
          <tpl fld="1" item="160"/>
          <tpl fld="4" item="6"/>
        </tpls>
      </m>
      <m in="0">
        <tpls c="3">
          <tpl fld="0" item="0"/>
          <tpl fld="1" item="388"/>
          <tpl fld="4" item="1"/>
        </tpls>
      </m>
      <n v="314" in="1">
        <tpls c="3">
          <tpl fld="0" item="0"/>
          <tpl fld="1" item="348"/>
          <tpl fld="4" item="7"/>
        </tpls>
      </n>
      <n v="5" in="0">
        <tpls c="3">
          <tpl fld="0" item="0"/>
          <tpl fld="1" item="61"/>
          <tpl fld="4" item="10"/>
        </tpls>
      </n>
      <m in="0">
        <tpls c="3">
          <tpl fld="0" item="0"/>
          <tpl fld="1" item="440"/>
          <tpl fld="4" item="11"/>
        </tpls>
      </m>
      <m in="0">
        <tpls c="3">
          <tpl fld="0" item="0"/>
          <tpl fld="1" item="56"/>
          <tpl fld="4" item="6"/>
        </tpls>
      </m>
      <m in="0">
        <tpls c="3">
          <tpl fld="0" item="0"/>
          <tpl fld="1" item="417"/>
          <tpl fld="4" item="8"/>
        </tpls>
      </m>
      <n v="1241" in="0">
        <tpls c="3">
          <tpl fld="0" item="0"/>
          <tpl fld="1" item="351"/>
          <tpl fld="4" item="10"/>
        </tpls>
      </n>
      <n v="42" in="0">
        <tpls c="3">
          <tpl fld="0" item="0"/>
          <tpl fld="1" item="434"/>
          <tpl fld="4" item="10"/>
        </tpls>
      </n>
      <m in="0">
        <tpls c="3">
          <tpl fld="0" item="0"/>
          <tpl fld="1" item="415"/>
          <tpl fld="4" item="8"/>
        </tpls>
      </m>
      <m in="0">
        <tpls c="3">
          <tpl fld="0" item="0"/>
          <tpl fld="1" item="245"/>
          <tpl fld="4" item="12"/>
        </tpls>
      </m>
      <m in="0">
        <tpls c="3">
          <tpl fld="0" item="0"/>
          <tpl fld="1" item="127"/>
          <tpl fld="4" item="8"/>
        </tpls>
      </m>
      <m in="0">
        <tpls c="3">
          <tpl fld="0" item="0"/>
          <tpl fld="1" item="414"/>
          <tpl fld="4" item="6"/>
        </tpls>
      </m>
      <n v="303" in="1">
        <tpls c="3">
          <tpl fld="0" item="0"/>
          <tpl fld="1" item="343"/>
          <tpl fld="4" item="7"/>
        </tpls>
      </n>
      <m in="0">
        <tpls c="3">
          <tpl fld="0" item="0"/>
          <tpl fld="1" item="428"/>
          <tpl fld="4" item="12"/>
        </tpls>
      </m>
      <m in="0">
        <tpls c="3">
          <tpl fld="0" item="0"/>
          <tpl fld="1" item="432"/>
          <tpl fld="4" item="6"/>
        </tpls>
      </m>
      <m in="0">
        <tpls c="3">
          <tpl fld="0" item="0"/>
          <tpl fld="1" item="176"/>
          <tpl fld="4" item="9"/>
        </tpls>
      </m>
      <n v="67" in="0">
        <tpls c="3">
          <tpl fld="0" item="0"/>
          <tpl fld="1" item="16"/>
          <tpl fld="4" item="10"/>
        </tpls>
      </n>
      <m in="0">
        <tpls c="3">
          <tpl fld="0" item="0"/>
          <tpl fld="1" item="246"/>
          <tpl fld="4" item="11"/>
        </tpls>
      </m>
      <n v="318" in="0">
        <tpls c="3">
          <tpl fld="0" item="0"/>
          <tpl fld="1" item="255"/>
          <tpl fld="4" item="10"/>
        </tpls>
      </n>
      <m in="0">
        <tpls c="3">
          <tpl fld="0" item="0"/>
          <tpl fld="1" item="248"/>
          <tpl fld="4" item="5"/>
        </tpls>
      </m>
      <m in="0">
        <tpls c="3">
          <tpl fld="0" item="0"/>
          <tpl fld="1" item="328"/>
          <tpl fld="4" item="9"/>
        </tpls>
      </m>
      <m in="0">
        <tpls c="3">
          <tpl fld="0" item="0"/>
          <tpl fld="1" item="399"/>
          <tpl fld="4" item="12"/>
        </tpls>
      </m>
      <m in="0">
        <tpls c="3">
          <tpl fld="0" item="0"/>
          <tpl fld="1" item="24"/>
          <tpl fld="4" item="10"/>
        </tpls>
      </m>
      <m in="0">
        <tpls c="3">
          <tpl fld="0" item="0"/>
          <tpl fld="1" item="286"/>
          <tpl fld="4" item="9"/>
        </tpls>
      </m>
      <n v="6" in="0">
        <tpls c="3">
          <tpl fld="0" item="0"/>
          <tpl fld="1" item="319"/>
          <tpl fld="4" item="1"/>
        </tpls>
      </n>
      <m in="0">
        <tpls c="3">
          <tpl fld="0" item="0"/>
          <tpl fld="1" item="6"/>
          <tpl fld="4" item="8"/>
        </tpls>
      </m>
      <n v="1003" in="0">
        <tpls c="3">
          <tpl fld="0" item="0"/>
          <tpl fld="1" item="381"/>
          <tpl fld="4" item="10"/>
        </tpls>
      </n>
      <m in="0">
        <tpls c="3">
          <tpl fld="0" item="0"/>
          <tpl fld="1" item="93"/>
          <tpl fld="4" item="10"/>
        </tpls>
      </m>
      <m in="0">
        <tpls c="3">
          <tpl fld="0" item="0"/>
          <tpl fld="1" item="256"/>
          <tpl fld="4" item="9"/>
        </tpls>
      </m>
      <m in="1">
        <tpls c="3">
          <tpl fld="0" item="0"/>
          <tpl fld="1" item="355"/>
          <tpl fld="4" item="7"/>
        </tpls>
      </m>
      <n v="1213" in="1">
        <tpls c="3">
          <tpl fld="0" item="0"/>
          <tpl fld="1" item="132"/>
          <tpl fld="4" item="7"/>
        </tpls>
      </n>
      <n v="59" in="0">
        <tpls c="3">
          <tpl fld="0" item="0"/>
          <tpl fld="1" item="356"/>
          <tpl fld="4" item="10"/>
        </tpls>
      </n>
      <m in="0">
        <tpls c="3">
          <tpl fld="0" item="0"/>
          <tpl fld="1" item="273"/>
          <tpl fld="4" item="9"/>
        </tpls>
      </m>
      <m in="0">
        <tpls c="3">
          <tpl fld="0" item="0"/>
          <tpl fld="1" item="80"/>
          <tpl fld="4" item="1"/>
        </tpls>
      </m>
      <m in="0">
        <tpls c="3">
          <tpl fld="0" item="0"/>
          <tpl fld="1" item="286"/>
          <tpl fld="4" item="5"/>
        </tpls>
      </m>
      <n v="430" in="0">
        <tpls c="3">
          <tpl fld="0" item="0"/>
          <tpl fld="1" item="395"/>
          <tpl fld="4" item="10"/>
        </tpls>
      </n>
      <m in="0">
        <tpls c="3">
          <tpl fld="0" item="0"/>
          <tpl fld="1" item="65"/>
          <tpl fld="4" item="5"/>
        </tpls>
      </m>
      <m in="0">
        <tpls c="3">
          <tpl fld="0" item="0"/>
          <tpl fld="1" item="139"/>
          <tpl fld="4" item="5"/>
        </tpls>
      </m>
      <m in="0">
        <tpls c="3">
          <tpl fld="0" item="0"/>
          <tpl fld="1" item="316"/>
          <tpl fld="4" item="12"/>
        </tpls>
      </m>
      <m in="0">
        <tpls c="3">
          <tpl fld="0" item="0"/>
          <tpl fld="1" item="283"/>
          <tpl fld="4" item="8"/>
        </tpls>
      </m>
      <m in="0">
        <tpls c="3">
          <tpl fld="0" item="0"/>
          <tpl fld="1" item="27"/>
          <tpl fld="4" item="9"/>
        </tpls>
      </m>
      <n v="199" in="1">
        <tpls c="3">
          <tpl fld="0" item="0"/>
          <tpl fld="1" item="233"/>
          <tpl fld="4" item="7"/>
        </tpls>
      </n>
      <n v="19" in="1">
        <tpls c="3">
          <tpl fld="0" item="0"/>
          <tpl fld="1" item="48"/>
          <tpl fld="4" item="7"/>
        </tpls>
      </n>
      <n v="243" in="0">
        <tpls c="3">
          <tpl fld="0" item="0"/>
          <tpl fld="1" item="64"/>
          <tpl fld="4" item="10"/>
        </tpls>
      </n>
      <n v="12" in="0">
        <tpls c="3">
          <tpl fld="0" item="0"/>
          <tpl fld="1" item="72"/>
          <tpl fld="4" item="10"/>
        </tpls>
      </n>
      <m in="1">
        <tpls c="3">
          <tpl fld="0" item="0"/>
          <tpl fld="1" item="176"/>
          <tpl fld="4" item="7"/>
        </tpls>
      </m>
      <n v="150" in="1">
        <tpls c="3">
          <tpl fld="0" item="0"/>
          <tpl fld="1" item="38"/>
          <tpl fld="4" item="7"/>
        </tpls>
      </n>
      <m in="0">
        <tpls c="3">
          <tpl fld="0" item="0"/>
          <tpl fld="1" item="50"/>
          <tpl fld="4" item="11"/>
        </tpls>
      </m>
      <m in="0">
        <tpls c="3">
          <tpl fld="0" item="0"/>
          <tpl fld="1" item="63"/>
          <tpl fld="4" item="8"/>
        </tpls>
      </m>
      <m in="0">
        <tpls c="3">
          <tpl fld="0" item="0"/>
          <tpl fld="1" item="451"/>
          <tpl fld="4" item="10"/>
        </tpls>
      </m>
      <m in="0">
        <tpls c="3">
          <tpl fld="0" item="0"/>
          <tpl fld="1" item="407"/>
          <tpl fld="4" item="12"/>
        </tpls>
      </m>
      <m in="0">
        <tpls c="3">
          <tpl fld="0" item="0"/>
          <tpl fld="1" item="270"/>
          <tpl fld="4" item="8"/>
        </tpls>
      </m>
      <n v="437" in="0">
        <tpls c="3">
          <tpl fld="0" item="0"/>
          <tpl fld="1" item="49"/>
          <tpl fld="4" item="10"/>
        </tpls>
      </n>
      <m in="0">
        <tpls c="3">
          <tpl fld="0" item="0"/>
          <tpl fld="1" item="103"/>
          <tpl fld="4" item="8"/>
        </tpls>
      </m>
      <n v="43" in="0">
        <tpls c="3">
          <tpl fld="0" item="0"/>
          <tpl fld="1" item="304"/>
          <tpl fld="4" item="10"/>
        </tpls>
      </n>
      <n v="1" in="0">
        <tpls c="3">
          <tpl fld="0" item="0"/>
          <tpl fld="1" item="106"/>
          <tpl fld="4" item="12"/>
        </tpls>
      </n>
      <m in="0">
        <tpls c="3">
          <tpl fld="0" item="0"/>
          <tpl fld="1" item="60"/>
          <tpl fld="4" item="11"/>
        </tpls>
      </m>
      <n v="1540" in="1">
        <tpls c="3">
          <tpl fld="0" item="0"/>
          <tpl fld="1" item="68"/>
          <tpl fld="4" item="7"/>
        </tpls>
      </n>
      <m in="0">
        <tpls c="3">
          <tpl fld="0" item="0"/>
          <tpl fld="1" item="79"/>
          <tpl fld="4" item="8"/>
        </tpls>
      </m>
      <n v="51" in="0">
        <tpls c="3">
          <tpl fld="0" item="0"/>
          <tpl fld="1" item="129"/>
          <tpl fld="4" item="10"/>
        </tpls>
      </n>
      <m in="0">
        <tpls c="3">
          <tpl fld="0" item="0"/>
          <tpl fld="1" item="272"/>
          <tpl fld="4" item="8"/>
        </tpls>
      </m>
      <m in="0">
        <tpls c="3">
          <tpl fld="0" item="0"/>
          <tpl fld="1" item="40"/>
          <tpl fld="4" item="5"/>
        </tpls>
      </m>
      <n v="3808" in="0">
        <tpls c="3">
          <tpl fld="0" item="0"/>
          <tpl fld="1" item="107"/>
          <tpl fld="4" item="10"/>
        </tpls>
      </n>
      <n v="5" in="0">
        <tpls c="3">
          <tpl fld="0" item="0"/>
          <tpl fld="1" item="230"/>
          <tpl fld="4" item="11"/>
        </tpls>
      </n>
      <m in="0">
        <tpls c="3">
          <tpl fld="0" item="0"/>
          <tpl fld="1" item="162"/>
          <tpl fld="4" item="12"/>
        </tpls>
      </m>
      <m in="0">
        <tpls c="3">
          <tpl fld="0" item="0"/>
          <tpl fld="1" item="451"/>
          <tpl fld="4" item="12"/>
        </tpls>
      </m>
      <m in="0">
        <tpls c="3">
          <tpl fld="0" item="0"/>
          <tpl fld="1" item="366"/>
          <tpl fld="4" item="12"/>
        </tpls>
      </m>
      <m in="0">
        <tpls c="3">
          <tpl fld="0" item="0"/>
          <tpl fld="1" item="376"/>
          <tpl fld="4" item="9"/>
        </tpls>
      </m>
      <m in="0">
        <tpls c="3">
          <tpl fld="0" item="0"/>
          <tpl fld="1" item="157"/>
          <tpl fld="4" item="8"/>
        </tpls>
      </m>
      <m in="0">
        <tpls c="3">
          <tpl fld="0" item="0"/>
          <tpl fld="1" item="45"/>
          <tpl fld="4" item="6"/>
        </tpls>
      </m>
      <m in="0">
        <tpls c="3">
          <tpl fld="0" item="0"/>
          <tpl fld="1" item="388"/>
          <tpl fld="4" item="10"/>
        </tpls>
      </m>
      <m in="0">
        <tpls c="3">
          <tpl fld="0" item="0"/>
          <tpl fld="1" item="330"/>
          <tpl fld="4" item="11"/>
        </tpls>
      </m>
      <m in="0">
        <tpls c="3">
          <tpl fld="0" item="0"/>
          <tpl fld="1" item="357"/>
          <tpl fld="4" item="11"/>
        </tpls>
      </m>
      <m in="0">
        <tpls c="3">
          <tpl fld="0" item="0"/>
          <tpl fld="1" item="96"/>
          <tpl fld="4" item="11"/>
        </tpls>
      </m>
      <m in="0">
        <tpls c="3">
          <tpl fld="0" item="0"/>
          <tpl fld="1" item="451"/>
          <tpl fld="4" item="8"/>
        </tpls>
      </m>
      <m in="0">
        <tpls c="3">
          <tpl fld="0" item="0"/>
          <tpl fld="1" item="416"/>
          <tpl fld="4" item="6"/>
        </tpls>
      </m>
      <n v="73" in="1">
        <tpls c="3">
          <tpl fld="0" item="0"/>
          <tpl fld="1" item="291"/>
          <tpl fld="4" item="7"/>
        </tpls>
      </n>
      <m in="0">
        <tpls c="3">
          <tpl fld="0" item="0"/>
          <tpl fld="1" item="423"/>
          <tpl fld="4" item="9"/>
        </tpls>
      </m>
      <n v="34" in="1">
        <tpls c="3">
          <tpl fld="0" item="0"/>
          <tpl fld="1" item="16"/>
          <tpl fld="4" item="7"/>
        </tpls>
      </n>
      <n v="4" in="0">
        <tpls c="3">
          <tpl fld="0" item="0"/>
          <tpl fld="1" item="152"/>
          <tpl fld="4" item="1"/>
        </tpls>
      </n>
      <m in="0">
        <tpls c="3">
          <tpl fld="0" item="0"/>
          <tpl fld="1" item="14"/>
          <tpl fld="4" item="11"/>
        </tpls>
      </m>
      <m in="0">
        <tpls c="3">
          <tpl fld="0" item="0"/>
          <tpl fld="1" item="355"/>
          <tpl fld="4" item="8"/>
        </tpls>
      </m>
      <m in="0">
        <tpls c="3">
          <tpl fld="0" item="0"/>
          <tpl fld="1" item="397"/>
          <tpl fld="4" item="1"/>
        </tpls>
      </m>
      <m in="0">
        <tpls c="3">
          <tpl fld="0" item="0"/>
          <tpl fld="1" item="391"/>
          <tpl fld="4" item="9"/>
        </tpls>
      </m>
      <n v="1" in="0">
        <tpls c="3">
          <tpl fld="0" item="0"/>
          <tpl fld="1" item="144"/>
          <tpl fld="4" item="9"/>
        </tpls>
      </n>
      <m in="0">
        <tpls c="3">
          <tpl fld="0" item="0"/>
          <tpl fld="1" item="133"/>
          <tpl fld="4" item="8"/>
        </tpls>
      </m>
      <m in="1">
        <tpls c="3">
          <tpl fld="0" item="0"/>
          <tpl fld="1" item="46"/>
          <tpl fld="4" item="7"/>
        </tpls>
      </m>
      <n v="1" in="0">
        <tpls c="3">
          <tpl fld="0" item="0"/>
          <tpl fld="1" item="329"/>
          <tpl fld="4" item="11"/>
        </tpls>
      </n>
      <m in="0">
        <tpls c="3">
          <tpl fld="0" item="0"/>
          <tpl fld="1" item="229"/>
          <tpl fld="4" item="6"/>
        </tpls>
      </m>
      <m in="0">
        <tpls c="3">
          <tpl fld="0" item="0"/>
          <tpl fld="1" item="287"/>
          <tpl fld="4" item="11"/>
        </tpls>
      </m>
      <m in="0">
        <tpls c="3">
          <tpl fld="0" item="0"/>
          <tpl fld="1" item="53"/>
          <tpl fld="4" item="5"/>
        </tpls>
      </m>
      <m in="0">
        <tpls c="3">
          <tpl fld="0" item="0"/>
          <tpl fld="1" item="14"/>
          <tpl fld="4" item="9"/>
        </tpls>
      </m>
      <m in="0">
        <tpls c="3">
          <tpl fld="0" item="0"/>
          <tpl fld="1" item="336"/>
          <tpl fld="4" item="12"/>
        </tpls>
      </m>
      <n v="2" in="0">
        <tpls c="3">
          <tpl fld="0" item="0"/>
          <tpl fld="1" item="380"/>
          <tpl fld="4" item="12"/>
        </tpls>
      </n>
      <m in="0">
        <tpls c="3">
          <tpl fld="0" item="0"/>
          <tpl fld="1" item="121"/>
          <tpl fld="4" item="1"/>
        </tpls>
      </m>
      <m in="0">
        <tpls c="3">
          <tpl fld="0" item="0"/>
          <tpl fld="1" item="277"/>
          <tpl fld="4" item="12"/>
        </tpls>
      </m>
      <n v="137" in="0">
        <tpls c="3">
          <tpl fld="0" item="0"/>
          <tpl fld="1" item="209"/>
          <tpl fld="4" item="10"/>
        </tpls>
      </n>
      <m in="0">
        <tpls c="3">
          <tpl fld="0" item="0"/>
          <tpl fld="1" item="280"/>
          <tpl fld="4" item="1"/>
        </tpls>
      </m>
      <m in="0">
        <tpls c="3">
          <tpl fld="0" item="0"/>
          <tpl fld="1" item="243"/>
          <tpl fld="4" item="9"/>
        </tpls>
      </m>
      <n v="13" in="0">
        <tpls c="3">
          <tpl fld="0" item="0"/>
          <tpl fld="1" item="361"/>
          <tpl fld="4" item="10"/>
        </tpls>
      </n>
      <m in="0">
        <tpls c="3">
          <tpl fld="0" item="0"/>
          <tpl fld="1" item="210"/>
          <tpl fld="4" item="12"/>
        </tpls>
      </m>
      <m in="0">
        <tpls c="3">
          <tpl fld="0" item="0"/>
          <tpl fld="1" item="27"/>
          <tpl fld="4" item="12"/>
        </tpls>
      </m>
      <m in="0">
        <tpls c="3">
          <tpl fld="0" item="0"/>
          <tpl fld="1" item="210"/>
          <tpl fld="4" item="1"/>
        </tpls>
      </m>
      <m in="0">
        <tpls c="3">
          <tpl fld="0" item="0"/>
          <tpl fld="1" item="372"/>
          <tpl fld="4" item="6"/>
        </tpls>
      </m>
      <m in="0">
        <tpls c="3">
          <tpl fld="0" item="0"/>
          <tpl fld="1" item="21"/>
          <tpl fld="4" item="10"/>
        </tpls>
      </m>
      <m in="1">
        <tpls c="3">
          <tpl fld="0" item="0"/>
          <tpl fld="1" item="166"/>
          <tpl fld="4" item="7"/>
        </tpls>
      </m>
      <m in="1">
        <tpls c="3">
          <tpl fld="0" item="0"/>
          <tpl fld="1" item="74"/>
          <tpl fld="4" item="7"/>
        </tpls>
      </m>
      <m in="0">
        <tpls c="3">
          <tpl fld="0" item="0"/>
          <tpl fld="1" item="180"/>
          <tpl fld="4" item="11"/>
        </tpls>
      </m>
      <m in="0">
        <tpls c="3">
          <tpl fld="0" item="0"/>
          <tpl fld="1" item="279"/>
          <tpl fld="4" item="8"/>
        </tpls>
      </m>
      <m in="0">
        <tpls c="3">
          <tpl fld="0" item="0"/>
          <tpl fld="1" item="403"/>
          <tpl fld="4" item="8"/>
        </tpls>
      </m>
      <m in="0">
        <tpls c="3">
          <tpl fld="0" item="0"/>
          <tpl fld="1" item="450"/>
          <tpl fld="4" item="5"/>
        </tpls>
      </m>
      <n v="4" in="0">
        <tpls c="3">
          <tpl fld="0" item="0"/>
          <tpl fld="1" item="430"/>
          <tpl fld="4" item="1"/>
        </tpls>
      </n>
      <m in="0">
        <tpls c="3">
          <tpl fld="0" item="0"/>
          <tpl fld="1" item="384"/>
          <tpl fld="4" item="1"/>
        </tpls>
      </m>
      <m in="0">
        <tpls c="3">
          <tpl fld="0" item="0"/>
          <tpl fld="1" item="165"/>
          <tpl fld="4" item="1"/>
        </tpls>
      </m>
      <m in="0">
        <tpls c="3">
          <tpl fld="0" item="0"/>
          <tpl fld="1" item="31"/>
          <tpl fld="4" item="8"/>
        </tpls>
      </m>
      <m in="0">
        <tpls c="3">
          <tpl fld="0" item="0"/>
          <tpl fld="1" item="201"/>
          <tpl fld="4" item="9"/>
        </tpls>
      </m>
      <m in="0">
        <tpls c="3">
          <tpl fld="0" item="0"/>
          <tpl fld="1" item="193"/>
          <tpl fld="4" item="9"/>
        </tpls>
      </m>
      <m in="0">
        <tpls c="3">
          <tpl fld="0" item="0"/>
          <tpl fld="1" item="224"/>
          <tpl fld="4" item="9"/>
        </tpls>
      </m>
      <m in="0">
        <tpls c="3">
          <tpl fld="0" item="0"/>
          <tpl fld="1" item="98"/>
          <tpl fld="4" item="5"/>
        </tpls>
      </m>
      <n v="9" in="0">
        <tpls c="3">
          <tpl fld="0" item="0"/>
          <tpl fld="1" item="213"/>
          <tpl fld="4" item="10"/>
        </tpls>
      </n>
      <m in="0">
        <tpls c="3">
          <tpl fld="0" item="0"/>
          <tpl fld="1" item="457"/>
          <tpl fld="4" item="10"/>
        </tpls>
      </m>
      <m in="0">
        <tpls c="3">
          <tpl fld="0" item="0"/>
          <tpl fld="1" item="160"/>
          <tpl fld="4" item="12"/>
        </tpls>
      </m>
      <m in="0">
        <tpls c="3">
          <tpl fld="0" item="0"/>
          <tpl fld="1" item="199"/>
          <tpl fld="4" item="6"/>
        </tpls>
      </m>
      <m in="0">
        <tpls c="3">
          <tpl fld="0" item="0"/>
          <tpl fld="1" item="396"/>
          <tpl fld="4" item="10"/>
        </tpls>
      </m>
      <m in="0">
        <tpls c="3">
          <tpl fld="0" item="0"/>
          <tpl fld="1" item="338"/>
          <tpl fld="4" item="9"/>
        </tpls>
      </m>
      <n v="54" in="1">
        <tpls c="3">
          <tpl fld="0" item="0"/>
          <tpl fld="1" item="151"/>
          <tpl fld="4" item="7"/>
        </tpls>
      </n>
      <m in="0">
        <tpls c="3">
          <tpl fld="0" item="0"/>
          <tpl fld="1" item="228"/>
          <tpl fld="4" item="9"/>
        </tpls>
      </m>
      <m in="0">
        <tpls c="3">
          <tpl fld="0" item="0"/>
          <tpl fld="1" item="63"/>
          <tpl fld="4" item="11"/>
        </tpls>
      </m>
      <m in="0">
        <tpls c="3">
          <tpl fld="0" item="0"/>
          <tpl fld="1" item="219"/>
          <tpl fld="4" item="5"/>
        </tpls>
      </m>
      <m in="0">
        <tpls c="3">
          <tpl fld="0" item="0"/>
          <tpl fld="1" item="21"/>
          <tpl fld="4" item="5"/>
        </tpls>
      </m>
      <m in="0">
        <tpls c="3">
          <tpl fld="0" item="0"/>
          <tpl fld="1" item="435"/>
          <tpl fld="4" item="8"/>
        </tpls>
      </m>
      <m in="0">
        <tpls c="3">
          <tpl fld="0" item="0"/>
          <tpl fld="1" item="318"/>
          <tpl fld="4" item="9"/>
        </tpls>
      </m>
      <n v="72" in="0">
        <tpls c="3">
          <tpl fld="0" item="0"/>
          <tpl fld="1" item="0"/>
          <tpl fld="4" item="10"/>
        </tpls>
      </n>
      <m in="0">
        <tpls c="3">
          <tpl fld="0" item="0"/>
          <tpl fld="1" item="370"/>
          <tpl fld="4" item="6"/>
        </tpls>
      </m>
      <m in="0">
        <tpls c="3">
          <tpl fld="0" item="0"/>
          <tpl fld="1" item="158"/>
          <tpl fld="4" item="11"/>
        </tpls>
      </m>
      <m in="0">
        <tpls c="3">
          <tpl fld="0" item="0"/>
          <tpl fld="1" item="418"/>
          <tpl fld="4" item="6"/>
        </tpls>
      </m>
      <m in="0">
        <tpls c="3">
          <tpl fld="0" item="0"/>
          <tpl fld="1" item="129"/>
          <tpl fld="4" item="11"/>
        </tpls>
      </m>
      <m in="0">
        <tpls c="3">
          <tpl fld="0" item="0"/>
          <tpl fld="1" item="143"/>
          <tpl fld="4" item="10"/>
        </tpls>
      </m>
      <m in="0">
        <tpls c="3">
          <tpl fld="0" item="0"/>
          <tpl fld="1" item="166"/>
          <tpl fld="4" item="5"/>
        </tpls>
      </m>
      <m in="0">
        <tpls c="3">
          <tpl fld="0" item="0"/>
          <tpl fld="1" item="371"/>
          <tpl fld="4" item="11"/>
        </tpls>
      </m>
      <m in="0">
        <tpls c="3">
          <tpl fld="0" item="0"/>
          <tpl fld="1" item="150"/>
          <tpl fld="4" item="11"/>
        </tpls>
      </m>
      <m in="0">
        <tpls c="3">
          <tpl fld="0" item="0"/>
          <tpl fld="1" item="15"/>
          <tpl fld="4" item="12"/>
        </tpls>
      </m>
      <m in="0">
        <tpls c="3">
          <tpl fld="0" item="0"/>
          <tpl fld="1" item="70"/>
          <tpl fld="4" item="1"/>
        </tpls>
      </m>
      <n v="191" in="0">
        <tpls c="3">
          <tpl fld="0" item="0"/>
          <tpl fld="1" item="454"/>
          <tpl fld="4" item="10"/>
        </tpls>
      </n>
      <m in="0">
        <tpls c="3">
          <tpl fld="0" item="0"/>
          <tpl fld="1" item="387"/>
          <tpl fld="4" item="8"/>
        </tpls>
      </m>
      <m in="1">
        <tpls c="3">
          <tpl fld="0" item="0"/>
          <tpl fld="1" item="451"/>
          <tpl fld="4" item="7"/>
        </tpls>
      </m>
      <m in="0">
        <tpls c="3">
          <tpl fld="0" item="0"/>
          <tpl fld="1" item="431"/>
          <tpl fld="4" item="8"/>
        </tpls>
      </m>
      <m in="0">
        <tpls c="3">
          <tpl fld="0" item="0"/>
          <tpl fld="1" item="326"/>
          <tpl fld="4" item="9"/>
        </tpls>
      </m>
      <m in="0">
        <tpls c="3">
          <tpl fld="0" item="0"/>
          <tpl fld="1" item="70"/>
          <tpl fld="4" item="5"/>
        </tpls>
      </m>
      <m in="0">
        <tpls c="3">
          <tpl fld="0" item="0"/>
          <tpl fld="1" item="191"/>
          <tpl fld="4" item="5"/>
        </tpls>
      </m>
      <m in="0">
        <tpls c="3">
          <tpl fld="0" item="0"/>
          <tpl fld="1" item="382"/>
          <tpl fld="4" item="8"/>
        </tpls>
      </m>
      <n v="1" in="0">
        <tpls c="3">
          <tpl fld="0" item="0"/>
          <tpl fld="1" item="225"/>
          <tpl fld="4" item="8"/>
        </tpls>
      </n>
      <m in="0">
        <tpls c="3">
          <tpl fld="0" item="0"/>
          <tpl fld="1" item="368"/>
          <tpl fld="4" item="8"/>
        </tpls>
      </m>
      <m in="0">
        <tpls c="3">
          <tpl fld="0" item="0"/>
          <tpl fld="1" item="241"/>
          <tpl fld="4" item="8"/>
        </tpls>
      </m>
      <n v="158" in="1">
        <tpls c="3">
          <tpl fld="0" item="0"/>
          <tpl fld="1" item="106"/>
          <tpl fld="4" item="7"/>
        </tpls>
      </n>
      <m in="0">
        <tpls c="3">
          <tpl fld="0" item="0"/>
          <tpl fld="1" item="276"/>
          <tpl fld="4" item="12"/>
        </tpls>
      </m>
      <m in="0">
        <tpls c="3">
          <tpl fld="0" item="0"/>
          <tpl fld="1" item="193"/>
          <tpl fld="4" item="8"/>
        </tpls>
      </m>
      <n v="15" in="0">
        <tpls c="3">
          <tpl fld="0" item="0"/>
          <tpl fld="1" item="181"/>
          <tpl fld="4" item="10"/>
        </tpls>
      </n>
      <m in="0">
        <tpls c="3">
          <tpl fld="0" item="0"/>
          <tpl fld="1" item="120"/>
          <tpl fld="4" item="6"/>
        </tpls>
      </m>
      <n v="36" in="0">
        <tpls c="3">
          <tpl fld="0" item="0"/>
          <tpl fld="1" item="412"/>
          <tpl fld="4" item="10"/>
        </tpls>
      </n>
      <m in="0">
        <tpls c="3">
          <tpl fld="0" item="0"/>
          <tpl fld="1" item="142"/>
          <tpl fld="4" item="5"/>
        </tpls>
      </m>
      <m in="0">
        <tpls c="3">
          <tpl fld="0" item="0"/>
          <tpl fld="1" item="164"/>
          <tpl fld="4" item="1"/>
        </tpls>
      </m>
      <m in="0">
        <tpls c="3">
          <tpl fld="0" item="0"/>
          <tpl fld="1" item="87"/>
          <tpl fld="4" item="5"/>
        </tpls>
      </m>
      <m in="0">
        <tpls c="3">
          <tpl fld="0" item="0"/>
          <tpl fld="1" item="118"/>
          <tpl fld="4" item="10"/>
        </tpls>
      </m>
      <m in="0">
        <tpls c="3">
          <tpl fld="0" item="0"/>
          <tpl fld="1" item="12"/>
          <tpl fld="4" item="9"/>
        </tpls>
      </m>
      <n v="8" in="0">
        <tpls c="3">
          <tpl fld="0" item="0"/>
          <tpl fld="1" item="313"/>
          <tpl fld="4" item="8"/>
        </tpls>
      </n>
      <m in="0">
        <tpls c="3">
          <tpl fld="0" item="0"/>
          <tpl fld="1" item="394"/>
          <tpl fld="4" item="12"/>
        </tpls>
      </m>
      <m in="0">
        <tpls c="3">
          <tpl fld="0" item="0"/>
          <tpl fld="1" item="385"/>
          <tpl fld="4" item="8"/>
        </tpls>
      </m>
      <m in="0">
        <tpls c="3">
          <tpl fld="0" item="0"/>
          <tpl fld="1" item="175"/>
          <tpl fld="4" item="9"/>
        </tpls>
      </m>
      <m in="0">
        <tpls c="3">
          <tpl fld="0" item="0"/>
          <tpl fld="1" item="127"/>
          <tpl fld="4" item="11"/>
        </tpls>
      </m>
      <m in="0">
        <tpls c="3">
          <tpl fld="0" item="0"/>
          <tpl fld="1" item="80"/>
          <tpl fld="4" item="5"/>
        </tpls>
      </m>
      <m in="0">
        <tpls c="3">
          <tpl fld="0" item="0"/>
          <tpl fld="1" item="128"/>
          <tpl fld="4" item="6"/>
        </tpls>
      </m>
      <m in="0">
        <tpls c="3">
          <tpl fld="0" item="0"/>
          <tpl fld="1" item="241"/>
          <tpl fld="4" item="10"/>
        </tpls>
      </m>
      <m in="0">
        <tpls c="3">
          <tpl fld="0" item="0"/>
          <tpl fld="1" item="115"/>
          <tpl fld="4" item="6"/>
        </tpls>
      </m>
      <m in="0">
        <tpls c="3">
          <tpl fld="0" item="0"/>
          <tpl fld="1" item="51"/>
          <tpl fld="4" item="5"/>
        </tpls>
      </m>
      <m in="0">
        <tpls c="3">
          <tpl fld="0" item="0"/>
          <tpl fld="1" item="424"/>
          <tpl fld="4" item="6"/>
        </tpls>
      </m>
      <m in="0">
        <tpls c="3">
          <tpl fld="0" item="0"/>
          <tpl fld="1" item="208"/>
          <tpl fld="4" item="8"/>
        </tpls>
      </m>
      <m in="0">
        <tpls c="3">
          <tpl fld="0" item="0"/>
          <tpl fld="1" item="441"/>
          <tpl fld="4" item="12"/>
        </tpls>
      </m>
      <m in="0">
        <tpls c="3">
          <tpl fld="0" item="0"/>
          <tpl fld="1" item="0"/>
          <tpl fld="4" item="9"/>
        </tpls>
      </m>
      <m in="0">
        <tpls c="3">
          <tpl fld="0" item="0"/>
          <tpl fld="1" item="149"/>
          <tpl fld="4" item="11"/>
        </tpls>
      </m>
      <n v="19" in="1">
        <tpls c="3">
          <tpl fld="0" item="0"/>
          <tpl fld="1" item="314"/>
          <tpl fld="4" item="7"/>
        </tpls>
      </n>
      <m in="1">
        <tpls c="3">
          <tpl fld="0" item="0"/>
          <tpl fld="1" item="158"/>
          <tpl fld="4" item="7"/>
        </tpls>
      </m>
      <m in="0">
        <tpls c="3">
          <tpl fld="0" item="0"/>
          <tpl fld="1" item="414"/>
          <tpl fld="4" item="8"/>
        </tpls>
      </m>
      <m in="0">
        <tpls c="3">
          <tpl fld="0" item="0"/>
          <tpl fld="1" item="395"/>
          <tpl fld="4" item="12"/>
        </tpls>
      </m>
      <m in="0">
        <tpls c="3">
          <tpl fld="0" item="0"/>
          <tpl fld="1" item="247"/>
          <tpl fld="4" item="8"/>
        </tpls>
      </m>
      <m in="0">
        <tpls c="3">
          <tpl fld="0" item="0"/>
          <tpl fld="1" item="261"/>
          <tpl fld="4" item="8"/>
        </tpls>
      </m>
      <m in="0">
        <tpls c="3">
          <tpl fld="0" item="0"/>
          <tpl fld="1" item="370"/>
          <tpl fld="4" item="12"/>
        </tpls>
      </m>
      <m in="0">
        <tpls c="3">
          <tpl fld="0" item="0"/>
          <tpl fld="1" item="264"/>
          <tpl fld="4" item="8"/>
        </tpls>
      </m>
      <m in="0">
        <tpls c="3">
          <tpl fld="0" item="0"/>
          <tpl fld="1" item="237"/>
          <tpl fld="4" item="12"/>
        </tpls>
      </m>
      <m in="0">
        <tpls c="3">
          <tpl fld="0" item="0"/>
          <tpl fld="1" item="145"/>
          <tpl fld="4" item="9"/>
        </tpls>
      </m>
      <m in="0">
        <tpls c="3">
          <tpl fld="0" item="0"/>
          <tpl fld="1" item="456"/>
          <tpl fld="4" item="5"/>
        </tpls>
      </m>
      <m in="0">
        <tpls c="3">
          <tpl fld="0" item="0"/>
          <tpl fld="1" item="35"/>
          <tpl fld="4" item="8"/>
        </tpls>
      </m>
      <m in="0">
        <tpls c="3">
          <tpl fld="0" item="0"/>
          <tpl fld="1" item="440"/>
          <tpl fld="4" item="8"/>
        </tpls>
      </m>
      <n v="35" in="0">
        <tpls c="3">
          <tpl fld="0" item="0"/>
          <tpl fld="1" item="301"/>
          <tpl fld="4" item="10"/>
        </tpls>
      </n>
      <n v="600" in="1">
        <tpls c="3">
          <tpl fld="0" item="0"/>
          <tpl fld="1" item="333"/>
          <tpl fld="4" item="7"/>
        </tpls>
      </n>
      <m in="0">
        <tpls c="3">
          <tpl fld="0" item="0"/>
          <tpl fld="1" item="427"/>
          <tpl fld="4" item="9"/>
        </tpls>
      </m>
      <m in="0">
        <tpls c="3">
          <tpl fld="0" item="0"/>
          <tpl fld="1" item="158"/>
          <tpl fld="4" item="12"/>
        </tpls>
      </m>
      <m in="0">
        <tpls c="3">
          <tpl fld="0" item="0"/>
          <tpl fld="1" item="422"/>
          <tpl fld="4" item="9"/>
        </tpls>
      </m>
      <m in="0">
        <tpls c="3">
          <tpl fld="0" item="0"/>
          <tpl fld="1" item="389"/>
          <tpl fld="4" item="8"/>
        </tpls>
      </m>
      <m in="0">
        <tpls c="3">
          <tpl fld="0" item="0"/>
          <tpl fld="1" item="397"/>
          <tpl fld="4" item="12"/>
        </tpls>
      </m>
      <n v="1" in="0">
        <tpls c="3">
          <tpl fld="0" item="0"/>
          <tpl fld="1" item="37"/>
          <tpl fld="4" item="9"/>
        </tpls>
      </n>
      <m in="0">
        <tpls c="3">
          <tpl fld="0" item="0"/>
          <tpl fld="1" item="317"/>
          <tpl fld="4" item="11"/>
        </tpls>
      </m>
      <m in="0">
        <tpls c="3">
          <tpl fld="0" item="0"/>
          <tpl fld="1" item="65"/>
          <tpl fld="4" item="8"/>
        </tpls>
      </m>
      <n v="180" in="0">
        <tpls c="3">
          <tpl fld="0" item="0"/>
          <tpl fld="1" item="397"/>
          <tpl fld="4" item="10"/>
        </tpls>
      </n>
      <m in="0">
        <tpls c="3">
          <tpl fld="0" item="0"/>
          <tpl fld="1" item="456"/>
          <tpl fld="4" item="9"/>
        </tpls>
      </m>
      <m in="0">
        <tpls c="3">
          <tpl fld="0" item="0"/>
          <tpl fld="1" item="405"/>
          <tpl fld="4" item="12"/>
        </tpls>
      </m>
      <m in="0">
        <tpls c="3">
          <tpl fld="0" item="0"/>
          <tpl fld="1" item="345"/>
          <tpl fld="4" item="5"/>
        </tpls>
      </m>
      <m in="0">
        <tpls c="3">
          <tpl fld="0" item="0"/>
          <tpl fld="1" item="39"/>
          <tpl fld="4" item="12"/>
        </tpls>
      </m>
      <m in="0">
        <tpls c="3">
          <tpl fld="0" item="0"/>
          <tpl fld="1" item="446"/>
          <tpl fld="4" item="11"/>
        </tpls>
      </m>
      <m in="0">
        <tpls c="3">
          <tpl fld="0" item="0"/>
          <tpl fld="1" item="361"/>
          <tpl fld="4" item="8"/>
        </tpls>
      </m>
      <m in="0">
        <tpls c="3">
          <tpl fld="0" item="0"/>
          <tpl fld="1" item="417"/>
          <tpl fld="4" item="11"/>
        </tpls>
      </m>
      <m in="0">
        <tpls c="3">
          <tpl fld="0" item="0"/>
          <tpl fld="1" item="270"/>
          <tpl fld="4" item="11"/>
        </tpls>
      </m>
      <m in="0">
        <tpls c="3">
          <tpl fld="0" item="0"/>
          <tpl fld="1" item="348"/>
          <tpl fld="4" item="12"/>
        </tpls>
      </m>
      <m in="0">
        <tpls c="3">
          <tpl fld="0" item="0"/>
          <tpl fld="1" item="299"/>
          <tpl fld="4" item="9"/>
        </tpls>
      </m>
      <m in="0">
        <tpls c="3">
          <tpl fld="0" item="0"/>
          <tpl fld="1" item="294"/>
          <tpl fld="4" item="1"/>
        </tpls>
      </m>
      <m in="1">
        <tpls c="3">
          <tpl fld="0" item="0"/>
          <tpl fld="1" item="119"/>
          <tpl fld="4" item="7"/>
        </tpls>
      </m>
      <m in="0">
        <tpls c="3">
          <tpl fld="0" item="0"/>
          <tpl fld="1" item="286"/>
          <tpl fld="4" item="8"/>
        </tpls>
      </m>
      <m in="0">
        <tpls c="3">
          <tpl fld="0" item="0"/>
          <tpl fld="1" item="0"/>
          <tpl fld="4" item="1"/>
        </tpls>
      </m>
      <m in="0">
        <tpls c="3">
          <tpl fld="0" item="0"/>
          <tpl fld="1" item="236"/>
          <tpl fld="4" item="12"/>
        </tpls>
      </m>
      <n v="1" in="0">
        <tpls c="3">
          <tpl fld="0" item="0"/>
          <tpl fld="1" item="249"/>
          <tpl fld="4" item="11"/>
        </tpls>
      </n>
      <n v="191" in="0">
        <tpls c="3">
          <tpl fld="0" item="0"/>
          <tpl fld="1" item="242"/>
          <tpl fld="4" item="10"/>
        </tpls>
      </n>
      <n v="838" in="1">
        <tpls c="3">
          <tpl fld="0" item="0"/>
          <tpl fld="1" item="364"/>
          <tpl fld="4" item="7"/>
        </tpls>
      </n>
      <m in="0">
        <tpls c="3">
          <tpl fld="0" item="0"/>
          <tpl fld="1" item="188"/>
          <tpl fld="4" item="8"/>
        </tpls>
      </m>
      <m in="0">
        <tpls c="3">
          <tpl fld="0" item="0"/>
          <tpl fld="1" item="378"/>
          <tpl fld="4" item="6"/>
        </tpls>
      </m>
      <m in="0">
        <tpls c="3">
          <tpl fld="0" item="0"/>
          <tpl fld="1" item="291"/>
          <tpl fld="4" item="12"/>
        </tpls>
      </m>
      <m in="0">
        <tpls c="3">
          <tpl fld="0" item="0"/>
          <tpl fld="1" item="418"/>
          <tpl fld="4" item="12"/>
        </tpls>
      </m>
      <m in="0">
        <tpls c="3">
          <tpl fld="0" item="0"/>
          <tpl fld="1" item="97"/>
          <tpl fld="4" item="12"/>
        </tpls>
      </m>
      <m in="0">
        <tpls c="3">
          <tpl fld="0" item="0"/>
          <tpl fld="1" item="197"/>
          <tpl fld="4" item="8"/>
        </tpls>
      </m>
      <m in="0">
        <tpls c="3">
          <tpl fld="0" item="0"/>
          <tpl fld="1" item="180"/>
          <tpl fld="4" item="6"/>
        </tpls>
      </m>
      <m in="0">
        <tpls c="3">
          <tpl fld="0" item="0"/>
          <tpl fld="1" item="288"/>
          <tpl fld="4" item="12"/>
        </tpls>
      </m>
      <m in="0">
        <tpls c="3">
          <tpl fld="0" item="0"/>
          <tpl fld="1" item="114"/>
          <tpl fld="4" item="5"/>
        </tpls>
      </m>
      <m in="0">
        <tpls c="3">
          <tpl fld="0" item="0"/>
          <tpl fld="1" item="168"/>
          <tpl fld="4" item="9"/>
        </tpls>
      </m>
      <m in="0">
        <tpls c="3">
          <tpl fld="0" item="0"/>
          <tpl fld="1" item="306"/>
          <tpl fld="4" item="10"/>
        </tpls>
      </m>
      <m in="0">
        <tpls c="3">
          <tpl fld="0" item="0"/>
          <tpl fld="1" item="307"/>
          <tpl fld="4" item="10"/>
        </tpls>
      </m>
      <m in="0">
        <tpls c="3">
          <tpl fld="0" item="0"/>
          <tpl fld="1" item="284"/>
          <tpl fld="4" item="12"/>
        </tpls>
      </m>
      <m in="0">
        <tpls c="3">
          <tpl fld="0" item="0"/>
          <tpl fld="1" item="215"/>
          <tpl fld="4" item="8"/>
        </tpls>
      </m>
      <m in="0">
        <tpls c="3">
          <tpl fld="0" item="0"/>
          <tpl fld="1" item="269"/>
          <tpl fld="4" item="12"/>
        </tpls>
      </m>
      <m in="0">
        <tpls c="3">
          <tpl fld="0" item="0"/>
          <tpl fld="1" item="154"/>
          <tpl fld="4" item="11"/>
        </tpls>
      </m>
      <m in="0">
        <tpls c="3">
          <tpl fld="0" item="0"/>
          <tpl fld="1" item="377"/>
          <tpl fld="4" item="8"/>
        </tpls>
      </m>
      <m in="0">
        <tpls c="3">
          <tpl fld="0" item="0"/>
          <tpl fld="1" item="43"/>
          <tpl fld="4" item="1"/>
        </tpls>
      </m>
      <m in="0">
        <tpls c="3">
          <tpl fld="0" item="0"/>
          <tpl fld="1" item="26"/>
          <tpl fld="4" item="5"/>
        </tpls>
      </m>
      <n v="37" in="1">
        <tpls c="3">
          <tpl fld="0" item="0"/>
          <tpl fld="1" item="97"/>
          <tpl fld="4" item="7"/>
        </tpls>
      </n>
      <n v="1" in="0">
        <tpls c="3">
          <tpl fld="0" item="0"/>
          <tpl fld="1" item="85"/>
          <tpl fld="4" item="12"/>
        </tpls>
      </n>
      <m in="0">
        <tpls c="3">
          <tpl fld="0" item="0"/>
          <tpl fld="1" item="308"/>
          <tpl fld="4" item="8"/>
        </tpls>
      </m>
      <m in="0">
        <tpls c="3">
          <tpl fld="0" item="0"/>
          <tpl fld="1" item="457"/>
          <tpl fld="4" item="11"/>
        </tpls>
      </m>
      <m in="0">
        <tpls c="3">
          <tpl fld="0" item="0"/>
          <tpl fld="1" item="444"/>
          <tpl fld="4" item="5"/>
        </tpls>
      </m>
      <m in="0">
        <tpls c="3">
          <tpl fld="0" item="0"/>
          <tpl fld="1" item="61"/>
          <tpl fld="4" item="9"/>
        </tpls>
      </m>
      <m in="0">
        <tpls c="3">
          <tpl fld="0" item="0"/>
          <tpl fld="1" item="226"/>
          <tpl fld="4" item="5"/>
        </tpls>
      </m>
      <m in="0">
        <tpls c="3">
          <tpl fld="0" item="0"/>
          <tpl fld="1" item="203"/>
          <tpl fld="4" item="12"/>
        </tpls>
      </m>
      <m in="0">
        <tpls c="3">
          <tpl fld="0" item="0"/>
          <tpl fld="1" item="27"/>
          <tpl fld="4" item="6"/>
        </tpls>
      </m>
      <m in="0">
        <tpls c="3">
          <tpl fld="0" item="0"/>
          <tpl fld="1" item="123"/>
          <tpl fld="4" item="11"/>
        </tpls>
      </m>
      <m in="1">
        <tpls c="3">
          <tpl fld="0" item="0"/>
          <tpl fld="1" item="96"/>
          <tpl fld="4" item="7"/>
        </tpls>
      </m>
      <m in="0">
        <tpls c="3">
          <tpl fld="0" item="0"/>
          <tpl fld="1" item="210"/>
          <tpl fld="4" item="10"/>
        </tpls>
      </m>
      <m in="0">
        <tpls c="3">
          <tpl fld="0" item="0"/>
          <tpl fld="1" item="327"/>
          <tpl fld="4" item="12"/>
        </tpls>
      </m>
      <m in="0">
        <tpls c="3">
          <tpl fld="0" item="0"/>
          <tpl fld="1" item="131"/>
          <tpl fld="4" item="11"/>
        </tpls>
      </m>
      <m in="0">
        <tpls c="3">
          <tpl fld="0" item="0"/>
          <tpl fld="1" item="261"/>
          <tpl fld="4" item="5"/>
        </tpls>
      </m>
      <m in="0">
        <tpls c="3">
          <tpl fld="0" item="0"/>
          <tpl fld="1" item="330"/>
          <tpl fld="4" item="1"/>
        </tpls>
      </m>
      <m in="0">
        <tpls c="3">
          <tpl fld="0" item="0"/>
          <tpl fld="1" item="145"/>
          <tpl fld="4" item="12"/>
        </tpls>
      </m>
      <n v="8" in="0">
        <tpls c="3">
          <tpl fld="0" item="0"/>
          <tpl fld="1" item="68"/>
          <tpl fld="4" item="1"/>
        </tpls>
      </n>
      <n v="49" in="1">
        <tpls c="3">
          <tpl fld="0" item="0"/>
          <tpl fld="1" item="335"/>
          <tpl fld="4" item="7"/>
        </tpls>
      </n>
      <m in="0">
        <tpls c="3">
          <tpl fld="0" item="0"/>
          <tpl fld="1" item="212"/>
          <tpl fld="4" item="1"/>
        </tpls>
      </m>
      <n v="1" in="0">
        <tpls c="3">
          <tpl fld="0" item="0"/>
          <tpl fld="1" item="405"/>
          <tpl fld="4" item="1"/>
        </tpls>
      </n>
      <m in="1">
        <tpls c="3">
          <tpl fld="0" item="0"/>
          <tpl fld="1" item="253"/>
          <tpl fld="4" item="7"/>
        </tpls>
      </m>
      <m in="0">
        <tpls c="3">
          <tpl fld="0" item="0"/>
          <tpl fld="1" item="213"/>
          <tpl fld="4" item="8"/>
        </tpls>
      </m>
      <n v="2" in="0">
        <tpls c="3">
          <tpl fld="0" item="0"/>
          <tpl fld="1" item="132"/>
          <tpl fld="4" item="8"/>
        </tpls>
      </n>
      <m in="0">
        <tpls c="3">
          <tpl fld="0" item="0"/>
          <tpl fld="1" item="38"/>
          <tpl fld="4" item="12"/>
        </tpls>
      </m>
      <m in="0">
        <tpls c="3">
          <tpl fld="0" item="0"/>
          <tpl fld="1" item="389"/>
          <tpl fld="4" item="6"/>
        </tpls>
      </m>
      <m in="0">
        <tpls c="3">
          <tpl fld="0" item="0"/>
          <tpl fld="1" item="292"/>
          <tpl fld="4" item="9"/>
        </tpls>
      </m>
      <n v="1" in="0">
        <tpls c="3">
          <tpl fld="0" item="0"/>
          <tpl fld="1" item="10"/>
          <tpl fld="4" item="12"/>
        </tpls>
      </n>
      <m in="0">
        <tpls c="3">
          <tpl fld="0" item="0"/>
          <tpl fld="1" item="113"/>
          <tpl fld="4" item="9"/>
        </tpls>
      </m>
      <n v="23" in="0">
        <tpls c="3">
          <tpl fld="0" item="0"/>
          <tpl fld="1" item="109"/>
          <tpl fld="4" item="10"/>
        </tpls>
      </n>
      <m in="0">
        <tpls c="3">
          <tpl fld="0" item="0"/>
          <tpl fld="1" item="282"/>
          <tpl fld="4" item="5"/>
        </tpls>
      </m>
      <m in="0">
        <tpls c="3">
          <tpl fld="0" item="0"/>
          <tpl fld="1" item="98"/>
          <tpl fld="4" item="9"/>
        </tpls>
      </m>
      <m in="0">
        <tpls c="3">
          <tpl fld="0" item="0"/>
          <tpl fld="1" item="167"/>
          <tpl fld="4" item="9"/>
        </tpls>
      </m>
      <n v="57" in="0">
        <tpls c="3">
          <tpl fld="0" item="0"/>
          <tpl fld="1" item="27"/>
          <tpl fld="4" item="10"/>
        </tpls>
      </n>
      <m in="0">
        <tpls c="3">
          <tpl fld="0" item="0"/>
          <tpl fld="1" item="355"/>
          <tpl fld="4" item="12"/>
        </tpls>
      </m>
      <m in="0">
        <tpls c="3">
          <tpl fld="0" item="0"/>
          <tpl fld="1" item="264"/>
          <tpl fld="4" item="9"/>
        </tpls>
      </m>
      <m in="0">
        <tpls c="3">
          <tpl fld="0" item="0"/>
          <tpl fld="1" item="40"/>
          <tpl fld="4" item="12"/>
        </tpls>
      </m>
      <n v="8" in="0">
        <tpls c="3">
          <tpl fld="0" item="0"/>
          <tpl fld="1" item="391"/>
          <tpl fld="4" item="10"/>
        </tpls>
      </n>
      <m in="0">
        <tpls c="3">
          <tpl fld="0" item="0"/>
          <tpl fld="1" item="350"/>
          <tpl fld="4" item="8"/>
        </tpls>
      </m>
      <m in="0">
        <tpls c="3">
          <tpl fld="0" item="0"/>
          <tpl fld="1" item="93"/>
          <tpl fld="4" item="12"/>
        </tpls>
      </m>
      <m in="0">
        <tpls c="3">
          <tpl fld="0" item="0"/>
          <tpl fld="1" item="259"/>
          <tpl fld="4" item="10"/>
        </tpls>
      </m>
      <m in="0">
        <tpls c="3">
          <tpl fld="0" item="0"/>
          <tpl fld="1" item="412"/>
          <tpl fld="4" item="9"/>
        </tpls>
      </m>
      <m in="0">
        <tpls c="3">
          <tpl fld="0" item="0"/>
          <tpl fld="1" item="189"/>
          <tpl fld="4" item="12"/>
        </tpls>
      </m>
      <m in="0">
        <tpls c="3">
          <tpl fld="0" item="0"/>
          <tpl fld="1" item="161"/>
          <tpl fld="4" item="1"/>
        </tpls>
      </m>
      <m in="0">
        <tpls c="3">
          <tpl fld="0" item="0"/>
          <tpl fld="1" item="178"/>
          <tpl fld="4" item="12"/>
        </tpls>
      </m>
      <m in="0">
        <tpls c="3">
          <tpl fld="0" item="0"/>
          <tpl fld="1" item="293"/>
          <tpl fld="4" item="9"/>
        </tpls>
      </m>
      <m in="0">
        <tpls c="3">
          <tpl fld="0" item="0"/>
          <tpl fld="1" item="194"/>
          <tpl fld="4" item="5"/>
        </tpls>
      </m>
      <m in="0">
        <tpls c="3">
          <tpl fld="0" item="0"/>
          <tpl fld="1" item="59"/>
          <tpl fld="4" item="8"/>
        </tpls>
      </m>
      <n v="28" in="1">
        <tpls c="3">
          <tpl fld="0" item="0"/>
          <tpl fld="1" item="116"/>
          <tpl fld="4" item="7"/>
        </tpls>
      </n>
      <n v="74" in="1">
        <tpls c="3">
          <tpl fld="0" item="0"/>
          <tpl fld="1" item="18"/>
          <tpl fld="4" item="7"/>
        </tpls>
      </n>
      <m in="0">
        <tpls c="3">
          <tpl fld="0" item="0"/>
          <tpl fld="1" item="238"/>
          <tpl fld="4" item="9"/>
        </tpls>
      </m>
      <m in="0">
        <tpls c="3">
          <tpl fld="0" item="0"/>
          <tpl fld="1" item="267"/>
          <tpl fld="4" item="8"/>
        </tpls>
      </m>
      <m in="0">
        <tpls c="3">
          <tpl fld="0" item="0"/>
          <tpl fld="1" item="62"/>
          <tpl fld="4" item="5"/>
        </tpls>
      </m>
      <m in="0">
        <tpls c="3">
          <tpl fld="0" item="0"/>
          <tpl fld="1" item="268"/>
          <tpl fld="4" item="10"/>
        </tpls>
      </m>
      <m in="0">
        <tpls c="3">
          <tpl fld="0" item="0"/>
          <tpl fld="1" item="439"/>
          <tpl fld="4" item="9"/>
        </tpls>
      </m>
      <m in="0">
        <tpls c="3">
          <tpl fld="0" item="0"/>
          <tpl fld="1" item="413"/>
          <tpl fld="4" item="8"/>
        </tpls>
      </m>
      <m in="0">
        <tpls c="3">
          <tpl fld="0" item="0"/>
          <tpl fld="1" item="442"/>
          <tpl fld="4" item="5"/>
        </tpls>
      </m>
      <m in="0">
        <tpls c="3">
          <tpl fld="0" item="0"/>
          <tpl fld="1" item="281"/>
          <tpl fld="4" item="12"/>
        </tpls>
      </m>
      <m in="0">
        <tpls c="3">
          <tpl fld="0" item="0"/>
          <tpl fld="1" item="308"/>
          <tpl fld="4" item="9"/>
        </tpls>
      </m>
      <m in="0">
        <tpls c="3">
          <tpl fld="0" item="0"/>
          <tpl fld="1" item="159"/>
          <tpl fld="4" item="9"/>
        </tpls>
      </m>
      <m in="0">
        <tpls c="3">
          <tpl fld="0" item="0"/>
          <tpl fld="1" item="384"/>
          <tpl fld="4" item="12"/>
        </tpls>
      </m>
      <n v="2630" in="0">
        <tpls c="3">
          <tpl fld="0" item="0"/>
          <tpl fld="1" item="324"/>
          <tpl fld="4" item="10"/>
        </tpls>
      </n>
      <m in="0">
        <tpls c="3">
          <tpl fld="0" item="0"/>
          <tpl fld="1" item="344"/>
          <tpl fld="4" item="12"/>
        </tpls>
      </m>
      <m in="0">
        <tpls c="3">
          <tpl fld="0" item="0"/>
          <tpl fld="1" item="373"/>
          <tpl fld="4" item="5"/>
        </tpls>
      </m>
      <m in="0">
        <tpls c="3">
          <tpl fld="0" item="0"/>
          <tpl fld="1" item="184"/>
          <tpl fld="4" item="11"/>
        </tpls>
      </m>
      <m in="0">
        <tpls c="3">
          <tpl fld="0" item="0"/>
          <tpl fld="1" item="426"/>
          <tpl fld="4" item="9"/>
        </tpls>
      </m>
      <m in="0">
        <tpls c="3">
          <tpl fld="0" item="0"/>
          <tpl fld="1" item="214"/>
          <tpl fld="4" item="8"/>
        </tpls>
      </m>
      <m in="0">
        <tpls c="3">
          <tpl fld="0" item="0"/>
          <tpl fld="1" item="357"/>
          <tpl fld="4" item="9"/>
        </tpls>
      </m>
      <m in="0">
        <tpls c="3">
          <tpl fld="0" item="0"/>
          <tpl fld="1" item="113"/>
          <tpl fld="4" item="11"/>
        </tpls>
      </m>
      <n v="1" in="1">
        <tpls c="3">
          <tpl fld="0" item="0"/>
          <tpl fld="1" item="95"/>
          <tpl fld="4" item="7"/>
        </tpls>
      </n>
      <m in="0">
        <tpls c="3">
          <tpl fld="0" item="0"/>
          <tpl fld="1" item="74"/>
          <tpl fld="4" item="10"/>
        </tpls>
      </m>
      <m in="0">
        <tpls c="3">
          <tpl fld="0" item="0"/>
          <tpl fld="1" item="236"/>
          <tpl fld="4" item="9"/>
        </tpls>
      </m>
      <m in="0">
        <tpls c="3">
          <tpl fld="0" item="0"/>
          <tpl fld="1" item="283"/>
          <tpl fld="4" item="12"/>
        </tpls>
      </m>
      <m in="0">
        <tpls c="3">
          <tpl fld="0" item="0"/>
          <tpl fld="1" item="252"/>
          <tpl fld="4" item="6"/>
        </tpls>
      </m>
      <m in="0">
        <tpls c="3">
          <tpl fld="0" item="0"/>
          <tpl fld="1" item="282"/>
          <tpl fld="4" item="11"/>
        </tpls>
      </m>
      <m in="0">
        <tpls c="3">
          <tpl fld="0" item="0"/>
          <tpl fld="1" item="395"/>
          <tpl fld="4" item="5"/>
        </tpls>
      </m>
      <n v="1" in="0">
        <tpls c="3">
          <tpl fld="0" item="0"/>
          <tpl fld="1" item="32"/>
          <tpl fld="4" item="8"/>
        </tpls>
      </n>
      <m in="0">
        <tpls c="3">
          <tpl fld="0" item="0"/>
          <tpl fld="1" item="229"/>
          <tpl fld="4" item="11"/>
        </tpls>
      </m>
      <m in="0">
        <tpls c="3">
          <tpl fld="0" item="0"/>
          <tpl fld="1" item="238"/>
          <tpl fld="4" item="5"/>
        </tpls>
      </m>
      <n v="134" in="1">
        <tpls c="3">
          <tpl fld="0" item="0"/>
          <tpl fld="1" item="258"/>
          <tpl fld="4" item="7"/>
        </tpls>
      </n>
      <m in="0">
        <tpls c="3">
          <tpl fld="0" item="0"/>
          <tpl fld="1" item="405"/>
          <tpl fld="4" item="6"/>
        </tpls>
      </m>
      <m in="0">
        <tpls c="3">
          <tpl fld="0" item="0"/>
          <tpl fld="1" item="71"/>
          <tpl fld="4" item="5"/>
        </tpls>
      </m>
      <m in="0">
        <tpls c="3">
          <tpl fld="0" item="0"/>
          <tpl fld="1" item="248"/>
          <tpl fld="4" item="8"/>
        </tpls>
      </m>
      <m in="0">
        <tpls c="3">
          <tpl fld="0" item="0"/>
          <tpl fld="1" item="180"/>
          <tpl fld="4" item="9"/>
        </tpls>
      </m>
      <n v="228" in="0">
        <tpls c="3">
          <tpl fld="0" item="0"/>
          <tpl fld="1" item="418"/>
          <tpl fld="4" item="10"/>
        </tpls>
      </n>
      <m in="0">
        <tpls c="3">
          <tpl fld="0" item="0"/>
          <tpl fld="1" item="71"/>
          <tpl fld="4" item="9"/>
        </tpls>
      </m>
      <n v="61" in="1">
        <tpls c="3">
          <tpl fld="0" item="0"/>
          <tpl fld="1" item="246"/>
          <tpl fld="4" item="7"/>
        </tpls>
      </n>
      <n v="50" in="0">
        <tpls c="3">
          <tpl fld="0" item="0"/>
          <tpl fld="1" item="124"/>
          <tpl fld="4" item="10"/>
        </tpls>
      </n>
      <m in="0">
        <tpls c="3">
          <tpl fld="0" item="0"/>
          <tpl fld="1" item="287"/>
          <tpl fld="4" item="9"/>
        </tpls>
      </m>
      <m in="0">
        <tpls c="3">
          <tpl fld="0" item="0"/>
          <tpl fld="1" item="91"/>
          <tpl fld="4" item="9"/>
        </tpls>
      </m>
      <m in="0">
        <tpls c="3">
          <tpl fld="0" item="0"/>
          <tpl fld="1" item="268"/>
          <tpl fld="4" item="9"/>
        </tpls>
      </m>
      <m in="0">
        <tpls c="3">
          <tpl fld="0" item="0"/>
          <tpl fld="1" item="345"/>
          <tpl fld="4" item="12"/>
        </tpls>
      </m>
      <n v="12" in="1">
        <tpls c="3">
          <tpl fld="0" item="0"/>
          <tpl fld="1" item="72"/>
          <tpl fld="4" item="7"/>
        </tpls>
      </n>
      <n v="12" in="0">
        <tpls c="3">
          <tpl fld="0" item="0"/>
          <tpl fld="1" item="385"/>
          <tpl fld="4" item="1"/>
        </tpls>
      </n>
      <m in="0">
        <tpls c="3">
          <tpl fld="0" item="0"/>
          <tpl fld="1" item="321"/>
          <tpl fld="4" item="10"/>
        </tpls>
      </m>
      <m in="0">
        <tpls c="3">
          <tpl fld="0" item="0"/>
          <tpl fld="1" item="119"/>
          <tpl fld="4" item="8"/>
        </tpls>
      </m>
      <m in="0">
        <tpls c="3">
          <tpl fld="0" item="0"/>
          <tpl fld="1" item="427"/>
          <tpl fld="4" item="6"/>
        </tpls>
      </m>
      <m in="0">
        <tpls c="3">
          <tpl fld="0" item="0"/>
          <tpl fld="1" item="130"/>
          <tpl fld="4" item="10"/>
        </tpls>
      </m>
      <n v="34" in="0">
        <tpls c="3">
          <tpl fld="0" item="0"/>
          <tpl fld="1" item="294"/>
          <tpl fld="4" item="10"/>
        </tpls>
      </n>
      <m in="0">
        <tpls c="3">
          <tpl fld="0" item="0"/>
          <tpl fld="1" item="391"/>
          <tpl fld="4" item="11"/>
        </tpls>
      </m>
      <m in="0">
        <tpls c="3">
          <tpl fld="0" item="0"/>
          <tpl fld="1" item="83"/>
          <tpl fld="4" item="12"/>
        </tpls>
      </m>
      <n v="1523" in="1">
        <tpls c="3">
          <tpl fld="0" item="0"/>
          <tpl fld="1" item="377"/>
          <tpl fld="4" item="7"/>
        </tpls>
      </n>
      <m in="0">
        <tpls c="3">
          <tpl fld="0" item="0"/>
          <tpl fld="1" item="198"/>
          <tpl fld="4" item="8"/>
        </tpls>
      </m>
      <n v="250" in="0">
        <tpls c="3">
          <tpl fld="0" item="0"/>
          <tpl fld="1" item="103"/>
          <tpl fld="4" item="10"/>
        </tpls>
      </n>
      <n v="17" in="1">
        <tpls c="3">
          <tpl fld="0" item="0"/>
          <tpl fld="1" item="315"/>
          <tpl fld="4" item="7"/>
        </tpls>
      </n>
      <m in="0">
        <tpls c="3">
          <tpl fld="0" item="0"/>
          <tpl fld="1" item="433"/>
          <tpl fld="4" item="9"/>
        </tpls>
      </m>
      <m in="0">
        <tpls c="3">
          <tpl fld="0" item="0"/>
          <tpl fld="1" item="429"/>
          <tpl fld="4" item="5"/>
        </tpls>
      </m>
      <m in="0">
        <tpls c="3">
          <tpl fld="0" item="0"/>
          <tpl fld="1" item="90"/>
          <tpl fld="4" item="1"/>
        </tpls>
      </m>
      <m in="0">
        <tpls c="3">
          <tpl fld="0" item="0"/>
          <tpl fld="1" item="415"/>
          <tpl fld="4" item="11"/>
        </tpls>
      </m>
      <m in="0">
        <tpls c="3">
          <tpl fld="0" item="0"/>
          <tpl fld="1" item="457"/>
          <tpl fld="4" item="5"/>
        </tpls>
      </m>
      <m in="0">
        <tpls c="3">
          <tpl fld="0" item="0"/>
          <tpl fld="1" item="90"/>
          <tpl fld="4" item="10"/>
        </tpls>
      </m>
      <n v="27" in="0">
        <tpls c="3">
          <tpl fld="0" item="0"/>
          <tpl fld="1" item="383"/>
          <tpl fld="4" item="10"/>
        </tpls>
      </n>
      <m in="0">
        <tpls c="3">
          <tpl fld="0" item="0"/>
          <tpl fld="1" item="386"/>
          <tpl fld="4" item="12"/>
        </tpls>
      </m>
      <n v="6" in="0">
        <tpls c="3">
          <tpl fld="0" item="0"/>
          <tpl fld="1" item="47"/>
          <tpl fld="4" item="11"/>
        </tpls>
      </n>
      <n v="5" in="0">
        <tpls c="3">
          <tpl fld="0" item="0"/>
          <tpl fld="1" item="266"/>
          <tpl fld="4" item="8"/>
        </tpls>
      </n>
      <m in="0">
        <tpls c="3">
          <tpl fld="0" item="0"/>
          <tpl fld="1" item="50"/>
          <tpl fld="4" item="9"/>
        </tpls>
      </m>
      <m in="0">
        <tpls c="3">
          <tpl fld="0" item="0"/>
          <tpl fld="1" item="46"/>
          <tpl fld="4" item="1"/>
        </tpls>
      </m>
      <m in="0">
        <tpls c="3">
          <tpl fld="0" item="0"/>
          <tpl fld="1" item="178"/>
          <tpl fld="4" item="8"/>
        </tpls>
      </m>
      <m in="0">
        <tpls c="3">
          <tpl fld="0" item="0"/>
          <tpl fld="1" item="456"/>
          <tpl fld="4" item="8"/>
        </tpls>
      </m>
      <m in="0">
        <tpls c="3">
          <tpl fld="0" item="0"/>
          <tpl fld="1" item="203"/>
          <tpl fld="4" item="9"/>
        </tpls>
      </m>
      <m in="0">
        <tpls c="3">
          <tpl fld="0" item="0"/>
          <tpl fld="1" item="379"/>
          <tpl fld="4" item="11"/>
        </tpls>
      </m>
      <m in="0">
        <tpls c="3">
          <tpl fld="0" item="0"/>
          <tpl fld="1" item="194"/>
          <tpl fld="4" item="12"/>
        </tpls>
      </m>
      <m in="0">
        <tpls c="3">
          <tpl fld="0" item="0"/>
          <tpl fld="1" item="345"/>
          <tpl fld="4" item="8"/>
        </tpls>
      </m>
      <m in="0">
        <tpls c="3">
          <tpl fld="0" item="0"/>
          <tpl fld="1" item="353"/>
          <tpl fld="4" item="8"/>
        </tpls>
      </m>
      <m in="0">
        <tpls c="3">
          <tpl fld="0" item="0"/>
          <tpl fld="1" item="90"/>
          <tpl fld="4" item="12"/>
        </tpls>
      </m>
      <m in="0">
        <tpls c="3">
          <tpl fld="0" item="0"/>
          <tpl fld="1" item="431"/>
          <tpl fld="4" item="5"/>
        </tpls>
      </m>
      <m in="0">
        <tpls c="3">
          <tpl fld="0" item="0"/>
          <tpl fld="1" item="398"/>
          <tpl fld="4" item="11"/>
        </tpls>
      </m>
      <m in="0">
        <tpls c="3">
          <tpl fld="0" item="0"/>
          <tpl fld="1" item="362"/>
          <tpl fld="4" item="11"/>
        </tpls>
      </m>
      <m in="0">
        <tpls c="3">
          <tpl fld="0" item="0"/>
          <tpl fld="1" item="290"/>
          <tpl fld="4" item="8"/>
        </tpls>
      </m>
      <n v="22" in="0">
        <tpls c="3">
          <tpl fld="0" item="0"/>
          <tpl fld="1" item="314"/>
          <tpl fld="4" item="10"/>
        </tpls>
      </n>
      <m in="0">
        <tpls c="3">
          <tpl fld="0" item="0"/>
          <tpl fld="1" item="449"/>
          <tpl fld="4" item="9"/>
        </tpls>
      </m>
      <n v="6" in="0">
        <tpls c="3">
          <tpl fld="0" item="0"/>
          <tpl fld="1" item="438"/>
          <tpl fld="4" item="8"/>
        </tpls>
      </n>
      <n v="1" in="0">
        <tpls c="3">
          <tpl fld="0" item="0"/>
          <tpl fld="1" item="33"/>
          <tpl fld="4" item="9"/>
        </tpls>
      </n>
      <n v="5" in="0">
        <tpls c="3">
          <tpl fld="0" item="0"/>
          <tpl fld="1" item="364"/>
          <tpl fld="4" item="11"/>
        </tpls>
      </n>
      <n v="4" in="1">
        <tpls c="3">
          <tpl fld="0" item="0"/>
          <tpl fld="1" item="153"/>
          <tpl fld="4" item="7"/>
        </tpls>
      </n>
      <n v="40" in="0">
        <tpls c="3">
          <tpl fld="0" item="0"/>
          <tpl fld="1" item="97"/>
          <tpl fld="4" item="10"/>
        </tpls>
      </n>
      <n v="1" in="0">
        <tpls c="3">
          <tpl fld="0" item="0"/>
          <tpl fld="1" item="351"/>
          <tpl fld="4" item="9"/>
        </tpls>
      </n>
      <n v="1" in="0">
        <tpls c="3">
          <tpl fld="0" item="0"/>
          <tpl fld="1" item="64"/>
          <tpl fld="4" item="8"/>
        </tpls>
      </n>
      <m in="0">
        <tpls c="3">
          <tpl fld="0" item="0"/>
          <tpl fld="1" item="311"/>
          <tpl fld="4" item="9"/>
        </tpls>
      </m>
      <m in="0">
        <tpls c="3">
          <tpl fld="0" item="0"/>
          <tpl fld="1" item="237"/>
          <tpl fld="4" item="5"/>
        </tpls>
      </m>
      <m in="0">
        <tpls c="3">
          <tpl fld="0" item="0"/>
          <tpl fld="1" item="378"/>
          <tpl fld="4" item="8"/>
        </tpls>
      </m>
      <m in="0">
        <tpls c="3">
          <tpl fld="0" item="0"/>
          <tpl fld="1" item="92"/>
          <tpl fld="4" item="12"/>
        </tpls>
      </m>
      <m in="0">
        <tpls c="3">
          <tpl fld="0" item="0"/>
          <tpl fld="1" item="205"/>
          <tpl fld="4" item="12"/>
        </tpls>
      </m>
      <n v="96" in="0">
        <tpls c="3">
          <tpl fld="0" item="0"/>
          <tpl fld="1" item="52"/>
          <tpl fld="4" item="10"/>
        </tpls>
      </n>
      <m in="0">
        <tpls c="3">
          <tpl fld="0" item="0"/>
          <tpl fld="1" item="239"/>
          <tpl fld="4" item="8"/>
        </tpls>
      </m>
      <m in="0">
        <tpls c="3">
          <tpl fld="0" item="0"/>
          <tpl fld="1" item="452"/>
          <tpl fld="4" item="9"/>
        </tpls>
      </m>
      <n v="1535" in="0">
        <tpls c="3">
          <tpl fld="0" item="0"/>
          <tpl fld="1" item="452"/>
          <tpl fld="4" item="10"/>
        </tpls>
      </n>
      <m in="0">
        <tpls c="3">
          <tpl fld="0" item="0"/>
          <tpl fld="1" item="267"/>
          <tpl fld="4" item="9"/>
        </tpls>
      </m>
      <m in="0">
        <tpls c="3">
          <tpl fld="0" item="0"/>
          <tpl fld="1" item="82"/>
          <tpl fld="4" item="5"/>
        </tpls>
      </m>
      <m in="0">
        <tpls c="3">
          <tpl fld="0" item="0"/>
          <tpl fld="1" item="326"/>
          <tpl fld="4" item="5"/>
        </tpls>
      </m>
      <m in="0">
        <tpls c="3">
          <tpl fld="0" item="0"/>
          <tpl fld="1" item="224"/>
          <tpl fld="4" item="11"/>
        </tpls>
      </m>
      <n v="50" in="1">
        <tpls c="3">
          <tpl fld="0" item="0"/>
          <tpl fld="1" item="56"/>
          <tpl fld="4" item="7"/>
        </tpls>
      </n>
      <m in="0">
        <tpls c="3">
          <tpl fld="0" item="0"/>
          <tpl fld="1" item="322"/>
          <tpl fld="4" item="11"/>
        </tpls>
      </m>
      <m in="0">
        <tpls c="3">
          <tpl fld="0" item="0"/>
          <tpl fld="1" item="457"/>
          <tpl fld="4" item="6"/>
        </tpls>
      </m>
      <m in="0">
        <tpls c="3">
          <tpl fld="0" item="0"/>
          <tpl fld="1" item="429"/>
          <tpl fld="4" item="12"/>
        </tpls>
      </m>
      <m in="0">
        <tpls c="3">
          <tpl fld="0" item="0"/>
          <tpl fld="1" item="258"/>
          <tpl fld="4" item="12"/>
        </tpls>
      </m>
      <m in="0">
        <tpls c="3">
          <tpl fld="0" item="0"/>
          <tpl fld="1" item="60"/>
          <tpl fld="4" item="9"/>
        </tpls>
      </m>
      <m in="0">
        <tpls c="3">
          <tpl fld="0" item="0"/>
          <tpl fld="1" item="186"/>
          <tpl fld="4" item="1"/>
        </tpls>
      </m>
      <m in="0">
        <tpls c="3">
          <tpl fld="0" item="0"/>
          <tpl fld="1" item="136"/>
          <tpl fld="4" item="1"/>
        </tpls>
      </m>
      <m in="0">
        <tpls c="3">
          <tpl fld="0" item="0"/>
          <tpl fld="1" item="117"/>
          <tpl fld="4" item="12"/>
        </tpls>
      </m>
      <m in="0">
        <tpls c="3">
          <tpl fld="0" item="0"/>
          <tpl fld="1" item="22"/>
          <tpl fld="4" item="11"/>
        </tpls>
      </m>
      <n v="2" in="0">
        <tpls c="3">
          <tpl fld="0" item="0"/>
          <tpl fld="1" item="409"/>
          <tpl fld="4" item="11"/>
        </tpls>
      </n>
      <m in="0">
        <tpls c="3">
          <tpl fld="0" item="0"/>
          <tpl fld="1" item="412"/>
          <tpl fld="4" item="12"/>
        </tpls>
      </m>
      <m in="0">
        <tpls c="3">
          <tpl fld="0" item="0"/>
          <tpl fld="1" item="205"/>
          <tpl fld="4" item="8"/>
        </tpls>
      </m>
      <m in="0">
        <tpls c="3">
          <tpl fld="0" item="0"/>
          <tpl fld="1" item="247"/>
          <tpl fld="4" item="9"/>
        </tpls>
      </m>
      <n v="1" in="0">
        <tpls c="3">
          <tpl fld="0" item="0"/>
          <tpl fld="1" item="33"/>
          <tpl fld="4" item="12"/>
        </tpls>
      </n>
      <m in="0">
        <tpls c="3">
          <tpl fld="0" item="0"/>
          <tpl fld="1" item="263"/>
          <tpl fld="4" item="12"/>
        </tpls>
      </m>
      <m in="0">
        <tpls c="3">
          <tpl fld="0" item="0"/>
          <tpl fld="1" item="425"/>
          <tpl fld="4" item="1"/>
        </tpls>
      </m>
      <m in="0">
        <tpls c="3">
          <tpl fld="0" item="0"/>
          <tpl fld="1" item="115"/>
          <tpl fld="4" item="9"/>
        </tpls>
      </m>
      <n v="37" in="0">
        <tpls c="3">
          <tpl fld="0" item="0"/>
          <tpl fld="1" item="271"/>
          <tpl fld="4" item="10"/>
        </tpls>
      </n>
      <m in="0">
        <tpls c="3">
          <tpl fld="0" item="0"/>
          <tpl fld="1" item="296"/>
          <tpl fld="4" item="9"/>
        </tpls>
      </m>
      <n v="1" in="0">
        <tpls c="3">
          <tpl fld="0" item="0"/>
          <tpl fld="1" item="160"/>
          <tpl fld="4" item="8"/>
        </tpls>
      </n>
      <m in="0">
        <tpls c="3">
          <tpl fld="0" item="0"/>
          <tpl fld="1" item="217"/>
          <tpl fld="4" item="11"/>
        </tpls>
      </m>
      <n v="234" in="0">
        <tpls c="3">
          <tpl fld="0" item="0"/>
          <tpl fld="1" item="232"/>
          <tpl fld="4" item="10"/>
        </tpls>
      </n>
      <m in="1">
        <tpls c="3">
          <tpl fld="0" item="0"/>
          <tpl fld="1" item="446"/>
          <tpl fld="4" item="7"/>
        </tpls>
      </m>
      <m in="0">
        <tpls c="3">
          <tpl fld="0" item="0"/>
          <tpl fld="1" item="48"/>
          <tpl fld="4" item="9"/>
        </tpls>
      </m>
      <m in="0">
        <tpls c="3">
          <tpl fld="0" item="0"/>
          <tpl fld="1" item="297"/>
          <tpl fld="4" item="8"/>
        </tpls>
      </m>
      <m in="0">
        <tpls c="3">
          <tpl fld="0" item="0"/>
          <tpl fld="1" item="322"/>
          <tpl fld="4" item="8"/>
        </tpls>
      </m>
      <n v="5" in="0">
        <tpls c="3">
          <tpl fld="0" item="0"/>
          <tpl fld="1" item="11"/>
          <tpl fld="4" item="1"/>
        </tpls>
      </n>
      <m in="0">
        <tpls c="3">
          <tpl fld="0" item="0"/>
          <tpl fld="1" item="147"/>
          <tpl fld="4" item="6"/>
        </tpls>
      </m>
      <m in="0">
        <tpls c="3">
          <tpl fld="0" item="0"/>
          <tpl fld="1" item="9"/>
          <tpl fld="4" item="1"/>
        </tpls>
      </m>
      <n v="120" in="1">
        <tpls c="3">
          <tpl fld="0" item="0"/>
          <tpl fld="1" item="360"/>
          <tpl fld="4" item="7"/>
        </tpls>
      </n>
      <m in="0">
        <tpls c="3">
          <tpl fld="0" item="0"/>
          <tpl fld="1" item="145"/>
          <tpl fld="4" item="8"/>
        </tpls>
      </m>
      <m in="0">
        <tpls c="3">
          <tpl fld="0" item="0"/>
          <tpl fld="1" item="46"/>
          <tpl fld="4" item="12"/>
        </tpls>
      </m>
      <m in="0">
        <tpls c="3">
          <tpl fld="0" item="0"/>
          <tpl fld="1" item="382"/>
          <tpl fld="4" item="9"/>
        </tpls>
      </m>
      <m in="0">
        <tpls c="3">
          <tpl fld="0" item="0"/>
          <tpl fld="1" item="450"/>
          <tpl fld="4" item="8"/>
        </tpls>
      </m>
      <n v="306" in="0">
        <tpls c="3">
          <tpl fld="0" item="0"/>
          <tpl fld="1" item="368"/>
          <tpl fld="4" item="10"/>
        </tpls>
      </n>
      <m in="0">
        <tpls c="3">
          <tpl fld="0" item="0"/>
          <tpl fld="1" item="147"/>
          <tpl fld="4" item="12"/>
        </tpls>
      </m>
      <m in="0">
        <tpls c="3">
          <tpl fld="0" item="0"/>
          <tpl fld="1" item="205"/>
          <tpl fld="4" item="6"/>
        </tpls>
      </m>
      <n v="48" in="1">
        <tpls c="3">
          <tpl fld="0" item="0"/>
          <tpl fld="1" item="372"/>
          <tpl fld="4" item="7"/>
        </tpls>
      </n>
      <n v="18" in="0">
        <tpls c="3">
          <tpl fld="0" item="0"/>
          <tpl fld="1" item="203"/>
          <tpl fld="4" item="10"/>
        </tpls>
      </n>
      <m in="0">
        <tpls c="3">
          <tpl fld="0" item="0"/>
          <tpl fld="1" item="430"/>
          <tpl fld="4" item="5"/>
        </tpls>
      </m>
      <m in="0">
        <tpls c="3">
          <tpl fld="0" item="0"/>
          <tpl fld="1" item="240"/>
          <tpl fld="4" item="1"/>
        </tpls>
      </m>
      <n v="13" in="1">
        <tpls c="3">
          <tpl fld="0" item="0"/>
          <tpl fld="1" item="29"/>
          <tpl fld="4" item="7"/>
        </tpls>
      </n>
      <m in="0">
        <tpls c="3">
          <tpl fld="0" item="0"/>
          <tpl fld="1" item="401"/>
          <tpl fld="4" item="12"/>
        </tpls>
      </m>
      <m in="0">
        <tpls c="3">
          <tpl fld="0" item="0"/>
          <tpl fld="1" item="153"/>
          <tpl fld="4" item="5"/>
        </tpls>
      </m>
      <m in="0">
        <tpls c="3">
          <tpl fld="0" item="0"/>
          <tpl fld="1" item="242"/>
          <tpl fld="4" item="9"/>
        </tpls>
      </m>
      <m in="0">
        <tpls c="3">
          <tpl fld="0" item="0"/>
          <tpl fld="1" item="355"/>
          <tpl fld="4" item="10"/>
        </tpls>
      </m>
      <m in="0">
        <tpls c="3">
          <tpl fld="0" item="0"/>
          <tpl fld="1" item="297"/>
          <tpl fld="4" item="1"/>
        </tpls>
      </m>
      <n v="40" in="0">
        <tpls c="3">
          <tpl fld="0" item="0"/>
          <tpl fld="1" item="357"/>
          <tpl fld="4" item="10"/>
        </tpls>
      </n>
      <m in="0">
        <tpls c="3">
          <tpl fld="0" item="0"/>
          <tpl fld="1" item="449"/>
          <tpl fld="4" item="5"/>
        </tpls>
      </m>
      <m in="0">
        <tpls c="3">
          <tpl fld="0" item="0"/>
          <tpl fld="1" item="418"/>
          <tpl fld="4" item="8"/>
        </tpls>
      </m>
      <m in="0">
        <tpls c="3">
          <tpl fld="0" item="0"/>
          <tpl fld="1" item="372"/>
          <tpl fld="4" item="12"/>
        </tpls>
      </m>
      <m in="0">
        <tpls c="3">
          <tpl fld="0" item="0"/>
          <tpl fld="1" item="225"/>
          <tpl fld="4" item="12"/>
        </tpls>
      </m>
      <m in="0">
        <tpls c="3">
          <tpl fld="0" item="0"/>
          <tpl fld="1" item="224"/>
          <tpl fld="4" item="12"/>
        </tpls>
      </m>
      <m in="0">
        <tpls c="3">
          <tpl fld="0" item="0"/>
          <tpl fld="1" item="444"/>
          <tpl fld="4" item="12"/>
        </tpls>
      </m>
      <n v="7" in="0">
        <tpls c="3">
          <tpl fld="0" item="0"/>
          <tpl fld="1" item="140"/>
          <tpl fld="4" item="1"/>
        </tpls>
      </n>
      <m in="0">
        <tpls c="3">
          <tpl fld="0" item="0"/>
          <tpl fld="1" item="347"/>
          <tpl fld="4" item="6"/>
        </tpls>
      </m>
      <n v="1" in="0">
        <tpls c="3">
          <tpl fld="0" item="0"/>
          <tpl fld="1" item="319"/>
          <tpl fld="4" item="9"/>
        </tpls>
      </n>
      <n v="345" in="1">
        <tpls c="3">
          <tpl fld="0" item="0"/>
          <tpl fld="1" item="415"/>
          <tpl fld="4" item="7"/>
        </tpls>
      </n>
      <n v="905" in="1">
        <tpls c="3">
          <tpl fld="0" item="0"/>
          <tpl fld="1" item="87"/>
          <tpl fld="4" item="7"/>
        </tpls>
      </n>
      <m in="0">
        <tpls c="3">
          <tpl fld="0" item="0"/>
          <tpl fld="1" item="96"/>
          <tpl fld="4" item="1"/>
        </tpls>
      </m>
      <m in="0">
        <tpls c="3">
          <tpl fld="0" item="0"/>
          <tpl fld="1" item="132"/>
          <tpl fld="4" item="12"/>
        </tpls>
      </m>
      <m in="0">
        <tpls c="3">
          <tpl fld="0" item="0"/>
          <tpl fld="1" item="376"/>
          <tpl fld="4" item="8"/>
        </tpls>
      </m>
      <m in="0">
        <tpls c="3">
          <tpl fld="0" item="0"/>
          <tpl fld="1" item="379"/>
          <tpl fld="4" item="9"/>
        </tpls>
      </m>
      <m in="0">
        <tpls c="3">
          <tpl fld="0" item="0"/>
          <tpl fld="1" item="172"/>
          <tpl fld="4" item="5"/>
        </tpls>
      </m>
      <m in="0">
        <tpls c="3">
          <tpl fld="0" item="0"/>
          <tpl fld="1" item="246"/>
          <tpl fld="4" item="8"/>
        </tpls>
      </m>
      <m in="0">
        <tpls c="3">
          <tpl fld="0" item="0"/>
          <tpl fld="1" item="161"/>
          <tpl fld="4" item="9"/>
        </tpls>
      </m>
      <m in="0">
        <tpls c="3">
          <tpl fld="0" item="0"/>
          <tpl fld="1" item="54"/>
          <tpl fld="4" item="12"/>
        </tpls>
      </m>
      <m in="0">
        <tpls c="3">
          <tpl fld="0" item="0"/>
          <tpl fld="1" item="394"/>
          <tpl fld="4" item="9"/>
        </tpls>
      </m>
      <m in="0">
        <tpls c="3">
          <tpl fld="0" item="0"/>
          <tpl fld="1" item="239"/>
          <tpl fld="4" item="9"/>
        </tpls>
      </m>
      <m in="0">
        <tpls c="3">
          <tpl fld="0" item="0"/>
          <tpl fld="1" item="222"/>
          <tpl fld="4" item="8"/>
        </tpls>
      </m>
      <m in="1">
        <tpls c="3">
          <tpl fld="0" item="0"/>
          <tpl fld="1" item="229"/>
          <tpl fld="4" item="7"/>
        </tpls>
      </m>
      <n v="1" in="0">
        <tpls c="3">
          <tpl fld="0" item="0"/>
          <tpl fld="1" item="447"/>
          <tpl fld="4" item="8"/>
        </tpls>
      </n>
      <n v="346" in="1">
        <tpls c="3">
          <tpl fld="0" item="0"/>
          <tpl fld="1" item="420"/>
          <tpl fld="4" item="7"/>
        </tpls>
      </n>
      <m in="0">
        <tpls c="3">
          <tpl fld="0" item="0"/>
          <tpl fld="1" item="438"/>
          <tpl fld="4" item="12"/>
        </tpls>
      </m>
      <n v="49" in="0">
        <tpls c="3">
          <tpl fld="0" item="0"/>
          <tpl fld="1" item="189"/>
          <tpl fld="4" item="10"/>
        </tpls>
      </n>
      <m in="0">
        <tpls c="3">
          <tpl fld="0" item="0"/>
          <tpl fld="1" item="425"/>
          <tpl fld="4" item="8"/>
        </tpls>
      </m>
      <m in="1">
        <tpls c="3">
          <tpl fld="0" item="0"/>
          <tpl fld="1" item="248"/>
          <tpl fld="4" item="7"/>
        </tpls>
      </m>
      <m in="0">
        <tpls c="3">
          <tpl fld="0" item="0"/>
          <tpl fld="1" item="409"/>
          <tpl fld="4" item="12"/>
        </tpls>
      </m>
      <m in="0">
        <tpls c="3">
          <tpl fld="0" item="0"/>
          <tpl fld="1" item="187"/>
          <tpl fld="4" item="1"/>
        </tpls>
      </m>
      <m in="0">
        <tpls c="3">
          <tpl fld="0" item="0"/>
          <tpl fld="1" item="102"/>
          <tpl fld="4" item="11"/>
        </tpls>
      </m>
      <m in="0">
        <tpls c="3">
          <tpl fld="0" item="0"/>
          <tpl fld="1" item="220"/>
          <tpl fld="4" item="11"/>
        </tpls>
      </m>
      <m in="0">
        <tpls c="3">
          <tpl fld="0" item="0"/>
          <tpl fld="1" item="307"/>
          <tpl fld="4" item="8"/>
        </tpls>
      </m>
      <m in="0">
        <tpls c="3">
          <tpl fld="0" item="0"/>
          <tpl fld="1" item="191"/>
          <tpl fld="4" item="10"/>
        </tpls>
      </m>
      <m in="0">
        <tpls c="3">
          <tpl fld="0" item="0"/>
          <tpl fld="1" item="176"/>
          <tpl fld="4" item="10"/>
        </tpls>
      </m>
      <n v="1283" in="1">
        <tpls c="3">
          <tpl fld="0" item="0"/>
          <tpl fld="1" item="447"/>
          <tpl fld="4" item="7"/>
        </tpls>
      </n>
      <m in="0">
        <tpls c="3">
          <tpl fld="0" item="0"/>
          <tpl fld="1" item="265"/>
          <tpl fld="4" item="10"/>
        </tpls>
      </m>
      <n v="1736" in="1">
        <tpls c="3">
          <tpl fld="0" item="0"/>
          <tpl fld="1" item="33"/>
          <tpl fld="4" item="7"/>
        </tpls>
      </n>
      <m in="0">
        <tpls c="3">
          <tpl fld="0" item="0"/>
          <tpl fld="1" item="105"/>
          <tpl fld="4" item="12"/>
        </tpls>
      </m>
      <n v="233" in="0">
        <tpls c="3">
          <tpl fld="0" item="0"/>
          <tpl fld="1" item="430"/>
          <tpl fld="4" item="10"/>
        </tpls>
      </n>
      <m in="1">
        <tpls c="3">
          <tpl fld="0" item="0"/>
          <tpl fld="1" item="118"/>
          <tpl fld="4" item="7"/>
        </tpls>
      </m>
      <m in="0">
        <tpls c="3">
          <tpl fld="0" item="0"/>
          <tpl fld="1" item="387"/>
          <tpl fld="4" item="10"/>
        </tpls>
      </m>
      <m in="0">
        <tpls c="3">
          <tpl fld="0" item="0"/>
          <tpl fld="1" item="259"/>
          <tpl fld="4" item="9"/>
        </tpls>
      </m>
      <m in="1">
        <tpls c="3">
          <tpl fld="0" item="0"/>
          <tpl fld="1" item="12"/>
          <tpl fld="4" item="7"/>
        </tpls>
      </m>
      <n v="85" in="0">
        <tpls c="3">
          <tpl fld="0" item="0"/>
          <tpl fld="1" item="126"/>
          <tpl fld="4" item="10"/>
        </tpls>
      </n>
      <m in="0">
        <tpls c="3">
          <tpl fld="0" item="0"/>
          <tpl fld="1" item="96"/>
          <tpl fld="4" item="5"/>
        </tpls>
      </m>
      <m in="0">
        <tpls c="3">
          <tpl fld="0" item="0"/>
          <tpl fld="1" item="404"/>
          <tpl fld="4" item="8"/>
        </tpls>
      </m>
      <n v="49" in="1">
        <tpls c="3">
          <tpl fld="0" item="0"/>
          <tpl fld="1" item="124"/>
          <tpl fld="4" item="7"/>
        </tpls>
      </n>
      <m in="0">
        <tpls c="3">
          <tpl fld="0" item="0"/>
          <tpl fld="1" item="38"/>
          <tpl fld="4" item="11"/>
        </tpls>
      </m>
      <m in="0">
        <tpls c="3">
          <tpl fld="0" item="0"/>
          <tpl fld="1" item="421"/>
          <tpl fld="4" item="9"/>
        </tpls>
      </m>
      <m in="0">
        <tpls c="3">
          <tpl fld="0" item="0"/>
          <tpl fld="1" item="154"/>
          <tpl fld="4" item="9"/>
        </tpls>
      </m>
      <n v="1" in="0">
        <tpls c="3">
          <tpl fld="0" item="0"/>
          <tpl fld="1" item="419"/>
          <tpl fld="4" item="9"/>
        </tpls>
      </n>
      <m in="1">
        <tpls c="3">
          <tpl fld="0" item="0"/>
          <tpl fld="1" item="93"/>
          <tpl fld="4" item="7"/>
        </tpls>
      </m>
      <n v="2" in="0">
        <tpls c="3">
          <tpl fld="0" item="0"/>
          <tpl fld="1" item="138"/>
          <tpl fld="4" item="9"/>
        </tpls>
      </n>
      <m in="1">
        <tpls c="3">
          <tpl fld="0" item="0"/>
          <tpl fld="1" item="1"/>
          <tpl fld="4" item="7"/>
        </tpls>
      </m>
      <m in="0">
        <tpls c="3">
          <tpl fld="0" item="0"/>
          <tpl fld="1" item="274"/>
          <tpl fld="4" item="9"/>
        </tpls>
      </m>
      <n v="82" in="1">
        <tpls c="3">
          <tpl fld="0" item="0"/>
          <tpl fld="1" item="366"/>
          <tpl fld="4" item="7"/>
        </tpls>
      </n>
      <m in="0">
        <tpls c="3">
          <tpl fld="0" item="0"/>
          <tpl fld="1" item="457"/>
          <tpl fld="4" item="12"/>
        </tpls>
      </m>
      <m in="0">
        <tpls c="3">
          <tpl fld="0" item="0"/>
          <tpl fld="1" item="191"/>
          <tpl fld="4" item="8"/>
        </tpls>
      </m>
      <m in="0">
        <tpls c="3">
          <tpl fld="0" item="0"/>
          <tpl fld="1" item="161"/>
          <tpl fld="4" item="11"/>
        </tpls>
      </m>
      <m in="0">
        <tpls c="3">
          <tpl fld="0" item="0"/>
          <tpl fld="1" item="60"/>
          <tpl fld="4" item="12"/>
        </tpls>
      </m>
      <n v="64" in="1">
        <tpls c="3">
          <tpl fld="0" item="0"/>
          <tpl fld="1" item="267"/>
          <tpl fld="4" item="7"/>
        </tpls>
      </n>
      <m in="0">
        <tpls c="3">
          <tpl fld="0" item="0"/>
          <tpl fld="1" item="46"/>
          <tpl fld="4" item="5"/>
        </tpls>
      </m>
      <n v="59" in="0">
        <tpls c="3">
          <tpl fld="0" item="0"/>
          <tpl fld="1" item="274"/>
          <tpl fld="4" item="10"/>
        </tpls>
      </n>
      <m in="0">
        <tpls c="3">
          <tpl fld="0" item="0"/>
          <tpl fld="1" item="174"/>
          <tpl fld="4" item="12"/>
        </tpls>
      </m>
      <m in="0">
        <tpls c="3">
          <tpl fld="0" item="0"/>
          <tpl fld="1" item="274"/>
          <tpl fld="4" item="5"/>
        </tpls>
      </m>
      <m in="1">
        <tpls c="3">
          <tpl fld="0" item="0"/>
          <tpl fld="1" item="413"/>
          <tpl fld="4" item="7"/>
        </tpls>
      </m>
      <n v="498" in="1">
        <tpls c="3">
          <tpl fld="0" item="0"/>
          <tpl fld="1" item="424"/>
          <tpl fld="4" item="7"/>
        </tpls>
      </n>
      <m in="0">
        <tpls c="3">
          <tpl fld="0" item="0"/>
          <tpl fld="1" item="316"/>
          <tpl fld="4" item="10"/>
        </tpls>
      </m>
      <m in="0">
        <tpls c="3">
          <tpl fld="0" item="0"/>
          <tpl fld="1" item="369"/>
          <tpl fld="4" item="9"/>
        </tpls>
      </m>
      <m in="0">
        <tpls c="3">
          <tpl fld="0" item="0"/>
          <tpl fld="1" item="25"/>
          <tpl fld="4" item="12"/>
        </tpls>
      </m>
      <m in="0">
        <tpls c="3">
          <tpl fld="0" item="0"/>
          <tpl fld="1" item="273"/>
          <tpl fld="4" item="5"/>
        </tpls>
      </m>
      <m in="0">
        <tpls c="3">
          <tpl fld="0" item="0"/>
          <tpl fld="1" item="400"/>
          <tpl fld="4" item="6"/>
        </tpls>
      </m>
      <m in="0">
        <tpls c="3">
          <tpl fld="0" item="0"/>
          <tpl fld="1" item="29"/>
          <tpl fld="4" item="8"/>
        </tpls>
      </m>
      <m in="0">
        <tpls c="3">
          <tpl fld="0" item="0"/>
          <tpl fld="1" item="165"/>
          <tpl fld="4" item="8"/>
        </tpls>
      </m>
      <n v="575" in="0">
        <tpls c="3">
          <tpl fld="0" item="0"/>
          <tpl fld="1" item="309"/>
          <tpl fld="4" item="10"/>
        </tpls>
      </n>
      <m in="0">
        <tpls c="3">
          <tpl fld="0" item="0"/>
          <tpl fld="1" item="304"/>
          <tpl fld="4" item="12"/>
        </tpls>
      </m>
      <m in="0">
        <tpls c="3">
          <tpl fld="0" item="0"/>
          <tpl fld="1" item="443"/>
          <tpl fld="4" item="10"/>
        </tpls>
      </m>
      <m in="0">
        <tpls c="3">
          <tpl fld="0" item="0"/>
          <tpl fld="1" item="231"/>
          <tpl fld="4" item="12"/>
        </tpls>
      </m>
      <m in="0">
        <tpls c="3">
          <tpl fld="0" item="0"/>
          <tpl fld="1" item="436"/>
          <tpl fld="4" item="6"/>
        </tpls>
      </m>
      <m in="1">
        <tpls c="3">
          <tpl fld="0" item="0"/>
          <tpl fld="1" item="327"/>
          <tpl fld="4" item="7"/>
        </tpls>
      </m>
      <m in="0">
        <tpls c="3">
          <tpl fld="0" item="0"/>
          <tpl fld="1" item="63"/>
          <tpl fld="4" item="12"/>
        </tpls>
      </m>
      <m in="0">
        <tpls c="3">
          <tpl fld="0" item="0"/>
          <tpl fld="1" item="126"/>
          <tpl fld="4" item="8"/>
        </tpls>
      </m>
      <m in="0">
        <tpls c="3">
          <tpl fld="0" item="0"/>
          <tpl fld="1" item="167"/>
          <tpl fld="4" item="12"/>
        </tpls>
      </m>
      <m in="0">
        <tpls c="3">
          <tpl fld="0" item="0"/>
          <tpl fld="1" item="186"/>
          <tpl fld="4" item="12"/>
        </tpls>
      </m>
      <m in="0">
        <tpls c="3">
          <tpl fld="0" item="0"/>
          <tpl fld="1" item="362"/>
          <tpl fld="4" item="1"/>
        </tpls>
      </m>
      <n v="1" in="0">
        <tpls c="3">
          <tpl fld="0" item="0"/>
          <tpl fld="1" item="7"/>
          <tpl fld="4" item="8"/>
        </tpls>
      </n>
      <m in="0">
        <tpls c="3">
          <tpl fld="0" item="0"/>
          <tpl fld="1" item="199"/>
          <tpl fld="4" item="12"/>
        </tpls>
      </m>
      <m in="0">
        <tpls c="3">
          <tpl fld="0" item="0"/>
          <tpl fld="1" item="35"/>
          <tpl fld="4" item="9"/>
        </tpls>
      </m>
      <n v="2" in="0">
        <tpls c="3">
          <tpl fld="0" item="0"/>
          <tpl fld="1" item="230"/>
          <tpl fld="4" item="9"/>
        </tpls>
      </n>
      <m in="0">
        <tpls c="3">
          <tpl fld="0" item="0"/>
          <tpl fld="1" item="323"/>
          <tpl fld="4" item="9"/>
        </tpls>
      </m>
      <m in="0">
        <tpls c="3">
          <tpl fld="0" item="0"/>
          <tpl fld="1" item="101"/>
          <tpl fld="4" item="12"/>
        </tpls>
      </m>
      <m in="1">
        <tpls c="3">
          <tpl fld="0" item="0"/>
          <tpl fld="1" item="426"/>
          <tpl fld="4" item="7"/>
        </tpls>
      </m>
      <m in="0">
        <tpls c="3">
          <tpl fld="0" item="0"/>
          <tpl fld="1" item="99"/>
          <tpl fld="4" item="9"/>
        </tpls>
      </m>
      <m in="0">
        <tpls c="3">
          <tpl fld="0" item="0"/>
          <tpl fld="1" item="25"/>
          <tpl fld="4" item="5"/>
        </tpls>
      </m>
      <n v="8" in="0">
        <tpls c="3">
          <tpl fld="0" item="0"/>
          <tpl fld="1" item="157"/>
          <tpl fld="4" item="10"/>
        </tpls>
      </n>
      <m in="0">
        <tpls c="3">
          <tpl fld="0" item="0"/>
          <tpl fld="1" item="175"/>
          <tpl fld="4" item="12"/>
        </tpls>
      </m>
      <m in="1">
        <tpls c="3">
          <tpl fld="0" item="0"/>
          <tpl fld="1" item="102"/>
          <tpl fld="4" item="7"/>
        </tpls>
      </m>
      <m in="0">
        <tpls c="3">
          <tpl fld="0" item="0"/>
          <tpl fld="1" item="88"/>
          <tpl fld="4" item="12"/>
        </tpls>
      </m>
      <m in="0">
        <tpls c="3">
          <tpl fld="0" item="0"/>
          <tpl fld="1" item="150"/>
          <tpl fld="4" item="12"/>
        </tpls>
      </m>
      <m in="0">
        <tpls c="3">
          <tpl fld="0" item="0"/>
          <tpl fld="1" item="14"/>
          <tpl fld="4" item="1"/>
        </tpls>
      </m>
      <m in="0">
        <tpls c="3">
          <tpl fld="0" item="0"/>
          <tpl fld="1" item="192"/>
          <tpl fld="4" item="8"/>
        </tpls>
      </m>
      <m in="0">
        <tpls c="3">
          <tpl fld="0" item="0"/>
          <tpl fld="1" item="36"/>
          <tpl fld="4" item="11"/>
        </tpls>
      </m>
      <m in="0">
        <tpls c="3">
          <tpl fld="0" item="0"/>
          <tpl fld="1" item="375"/>
          <tpl fld="4" item="12"/>
        </tpls>
      </m>
      <m in="0">
        <tpls c="3">
          <tpl fld="0" item="0"/>
          <tpl fld="1" item="243"/>
          <tpl fld="4" item="12"/>
        </tpls>
      </m>
      <n v="29" in="0">
        <tpls c="3">
          <tpl fld="0" item="0"/>
          <tpl fld="1" item="284"/>
          <tpl fld="4" item="10"/>
        </tpls>
      </n>
      <m in="1">
        <tpls c="3">
          <tpl fld="0" item="0"/>
          <tpl fld="1" item="440"/>
          <tpl fld="4" item="7"/>
        </tpls>
      </m>
      <m in="1">
        <tpls c="3">
          <tpl fld="0" item="0"/>
          <tpl fld="1" item="292"/>
          <tpl fld="4" item="7"/>
        </tpls>
      </m>
      <m in="0">
        <tpls c="3">
          <tpl fld="0" item="0"/>
          <tpl fld="1" item="280"/>
          <tpl fld="4" item="9"/>
        </tpls>
      </m>
      <m in="0">
        <tpls c="3">
          <tpl fld="0" item="0"/>
          <tpl fld="1" item="157"/>
          <tpl fld="4" item="5"/>
        </tpls>
      </m>
      <n v="175" in="1">
        <tpls c="3">
          <tpl fld="0" item="0"/>
          <tpl fld="1" item="163"/>
          <tpl fld="4" item="7"/>
        </tpls>
      </n>
      <m in="0">
        <tpls c="3">
          <tpl fld="0" item="0"/>
          <tpl fld="1" item="400"/>
          <tpl fld="4" item="9"/>
        </tpls>
      </m>
      <n v="861" in="0">
        <tpls c="3">
          <tpl fld="0" item="0"/>
          <tpl fld="1" item="149"/>
          <tpl fld="4" item="10"/>
        </tpls>
      </n>
      <m in="0">
        <tpls c="3">
          <tpl fld="0" item="0"/>
          <tpl fld="1" item="87"/>
          <tpl fld="4" item="6"/>
        </tpls>
      </m>
      <m in="1">
        <tpls c="3">
          <tpl fld="0" item="0"/>
          <tpl fld="1" item="384"/>
          <tpl fld="4" item="7"/>
        </tpls>
      </m>
      <n v="47" in="0">
        <tpls c="3">
          <tpl fld="0" item="0"/>
          <tpl fld="1" item="208"/>
          <tpl fld="4" item="10"/>
        </tpls>
      </n>
      <n v="1" in="0">
        <tpls c="3">
          <tpl fld="0" item="0"/>
          <tpl fld="1" item="204"/>
          <tpl fld="4" item="1"/>
        </tpls>
      </n>
      <m in="0">
        <tpls c="3">
          <tpl fld="0" item="0"/>
          <tpl fld="1" item="190"/>
          <tpl fld="4" item="12"/>
        </tpls>
      </m>
      <n v="7" in="0">
        <tpls c="3">
          <tpl fld="0" item="0"/>
          <tpl fld="1" item="75"/>
          <tpl fld="4" item="10"/>
        </tpls>
      </n>
      <m in="1">
        <tpls c="3">
          <tpl fld="0" item="0"/>
          <tpl fld="1" item="297"/>
          <tpl fld="4" item="7"/>
        </tpls>
      </m>
      <m in="1">
        <tpls c="3">
          <tpl fld="0" item="0"/>
          <tpl fld="1" item="306"/>
          <tpl fld="4" item="7"/>
        </tpls>
      </m>
      <m in="0">
        <tpls c="3">
          <tpl fld="0" item="0"/>
          <tpl fld="1" item="68"/>
          <tpl fld="4" item="6"/>
        </tpls>
      </m>
      <m in="0">
        <tpls c="3">
          <tpl fld="0" item="0"/>
          <tpl fld="1" item="430"/>
          <tpl fld="4" item="8"/>
        </tpls>
      </m>
      <m in="0">
        <tpls c="3">
          <tpl fld="0" item="0"/>
          <tpl fld="1" item="385"/>
          <tpl fld="4" item="5"/>
        </tpls>
      </m>
      <m in="0">
        <tpls c="3">
          <tpl fld="0" item="0"/>
          <tpl fld="1" item="131"/>
          <tpl fld="4" item="10"/>
        </tpls>
      </m>
      <m in="0">
        <tpls c="3">
          <tpl fld="0" item="0"/>
          <tpl fld="1" item="347"/>
          <tpl fld="4" item="5"/>
        </tpls>
      </m>
      <m in="0">
        <tpls c="3">
          <tpl fld="0" item="0"/>
          <tpl fld="1" item="88"/>
          <tpl fld="4" item="10"/>
        </tpls>
      </m>
      <n v="43" in="0">
        <tpls c="3">
          <tpl fld="0" item="0"/>
          <tpl fld="1" item="186"/>
          <tpl fld="4" item="10"/>
        </tpls>
      </n>
      <n v="1" in="0">
        <tpls c="3">
          <tpl fld="0" item="0"/>
          <tpl fld="1" item="287"/>
          <tpl fld="4" item="1"/>
        </tpls>
      </n>
      <m in="1">
        <tpls c="3">
          <tpl fld="0" item="0"/>
          <tpl fld="1" item="210"/>
          <tpl fld="4" item="7"/>
        </tpls>
      </m>
      <m in="0">
        <tpls c="3">
          <tpl fld="0" item="0"/>
          <tpl fld="1" item="106"/>
          <tpl fld="4" item="5"/>
        </tpls>
      </m>
      <m in="0">
        <tpls c="3">
          <tpl fld="0" item="0"/>
          <tpl fld="1" item="286"/>
          <tpl fld="4" item="12"/>
        </tpls>
      </m>
      <m in="0">
        <tpls c="3">
          <tpl fld="0" item="0"/>
          <tpl fld="1" item="354"/>
          <tpl fld="4" item="12"/>
        </tpls>
      </m>
      <m in="0">
        <tpls c="3">
          <tpl fld="0" item="0"/>
          <tpl fld="1" item="283"/>
          <tpl fld="4" item="9"/>
        </tpls>
      </m>
      <n v="8" in="1">
        <tpls c="3">
          <tpl fld="0" item="0"/>
          <tpl fld="1" item="110"/>
          <tpl fld="4" item="7"/>
        </tpls>
      </n>
      <m in="0">
        <tpls c="3">
          <tpl fld="0" item="0"/>
          <tpl fld="1" item="182"/>
          <tpl fld="4" item="11"/>
        </tpls>
      </m>
      <m in="0">
        <tpls c="3">
          <tpl fld="0" item="0"/>
          <tpl fld="1" item="84"/>
          <tpl fld="4" item="9"/>
        </tpls>
      </m>
      <m in="0">
        <tpls c="3">
          <tpl fld="0" item="0"/>
          <tpl fld="1" item="2"/>
          <tpl fld="4" item="8"/>
        </tpls>
      </m>
      <n v="2" in="0">
        <tpls c="3">
          <tpl fld="0" item="0"/>
          <tpl fld="1" item="394"/>
          <tpl fld="4" item="11"/>
        </tpls>
      </n>
      <m in="0">
        <tpls c="3">
          <tpl fld="0" item="0"/>
          <tpl fld="1" item="201"/>
          <tpl fld="4" item="12"/>
        </tpls>
      </m>
      <n v="56" in="0">
        <tpls c="3">
          <tpl fld="0" item="0"/>
          <tpl fld="1" item="81"/>
          <tpl fld="4" item="10"/>
        </tpls>
      </n>
      <m in="0">
        <tpls c="3">
          <tpl fld="0" item="0"/>
          <tpl fld="1" item="401"/>
          <tpl fld="4" item="9"/>
        </tpls>
      </m>
      <m in="1">
        <tpls c="3">
          <tpl fld="0" item="0"/>
          <tpl fld="1" item="445"/>
          <tpl fld="4" item="7"/>
        </tpls>
      </m>
      <m in="0">
        <tpls c="3">
          <tpl fld="0" item="0"/>
          <tpl fld="1" item="165"/>
          <tpl fld="4" item="9"/>
        </tpls>
      </m>
      <m in="0">
        <tpls c="3">
          <tpl fld="0" item="0"/>
          <tpl fld="1" item="334"/>
          <tpl fld="4" item="1"/>
        </tpls>
      </m>
      <m in="0">
        <tpls c="3">
          <tpl fld="0" item="0"/>
          <tpl fld="1" item="377"/>
          <tpl fld="4" item="5"/>
        </tpls>
      </m>
      <m in="0">
        <tpls c="3">
          <tpl fld="0" item="0"/>
          <tpl fld="1" item="333"/>
          <tpl fld="4" item="9"/>
        </tpls>
      </m>
      <m in="0">
        <tpls c="3">
          <tpl fld="0" item="0"/>
          <tpl fld="1" item="408"/>
          <tpl fld="4" item="9"/>
        </tpls>
      </m>
      <m in="0">
        <tpls c="3">
          <tpl fld="0" item="0"/>
          <tpl fld="1" item="309"/>
          <tpl fld="4" item="5"/>
        </tpls>
      </m>
      <m in="0">
        <tpls c="3">
          <tpl fld="0" item="0"/>
          <tpl fld="1" item="351"/>
          <tpl fld="4" item="8"/>
        </tpls>
      </m>
      <m in="0">
        <tpls c="3">
          <tpl fld="0" item="0"/>
          <tpl fld="1" item="235"/>
          <tpl fld="4" item="1"/>
        </tpls>
      </m>
      <m in="0">
        <tpls c="3">
          <tpl fld="0" item="0"/>
          <tpl fld="1" item="36"/>
          <tpl fld="4" item="9"/>
        </tpls>
      </m>
      <m in="0">
        <tpls c="3">
          <tpl fld="0" item="0"/>
          <tpl fld="1" item="417"/>
          <tpl fld="4" item="9"/>
        </tpls>
      </m>
      <n v="1" in="0">
        <tpls c="3">
          <tpl fld="0" item="0"/>
          <tpl fld="1" item="424"/>
          <tpl fld="4" item="12"/>
        </tpls>
      </n>
      <n v="55" in="1">
        <tpls c="3">
          <tpl fld="0" item="0"/>
          <tpl fld="1" item="369"/>
          <tpl fld="4" item="7"/>
        </tpls>
      </n>
      <m in="0">
        <tpls c="3">
          <tpl fld="0" item="0"/>
          <tpl fld="1" item="255"/>
          <tpl fld="4" item="9"/>
        </tpls>
      </m>
      <n v="1" in="0">
        <tpls c="3">
          <tpl fld="0" item="0"/>
          <tpl fld="1" item="441"/>
          <tpl fld="4" item="8"/>
        </tpls>
      </n>
      <m in="1">
        <tpls c="3">
          <tpl fld="0" item="0"/>
          <tpl fld="1" item="349"/>
          <tpl fld="4" item="7"/>
        </tpls>
      </m>
      <m in="0">
        <tpls c="3">
          <tpl fld="0" item="0"/>
          <tpl fld="1" item="48"/>
          <tpl fld="4" item="8"/>
        </tpls>
      </m>
      <m in="0">
        <tpls c="3">
          <tpl fld="0" item="0"/>
          <tpl fld="1" item="455"/>
          <tpl fld="4" item="11"/>
        </tpls>
      </m>
      <n v="41" in="1">
        <tpls c="3">
          <tpl fld="0" item="0"/>
          <tpl fld="1" item="437"/>
          <tpl fld="4" item="7"/>
        </tpls>
      </n>
      <m in="0">
        <tpls c="3">
          <tpl fld="0" item="0"/>
          <tpl fld="1" item="424"/>
          <tpl fld="4" item="5"/>
        </tpls>
      </m>
      <m in="0">
        <tpls c="3">
          <tpl fld="0" item="0"/>
          <tpl fld="1" item="16"/>
          <tpl fld="4" item="8"/>
        </tpls>
      </m>
      <m in="0">
        <tpls c="3">
          <tpl fld="0" item="0"/>
          <tpl fld="1" item="155"/>
          <tpl fld="4" item="12"/>
        </tpls>
      </m>
      <n v="287" in="0">
        <tpls c="3">
          <tpl fld="0" item="0"/>
          <tpl fld="1" item="10"/>
          <tpl fld="4" item="10"/>
        </tpls>
      </n>
      <m in="0">
        <tpls c="3">
          <tpl fld="0" item="0"/>
          <tpl fld="1" item="92"/>
          <tpl fld="4" item="11"/>
        </tpls>
      </m>
      <m in="0">
        <tpls c="3">
          <tpl fld="0" item="0"/>
          <tpl fld="1" item="262"/>
          <tpl fld="4" item="12"/>
        </tpls>
      </m>
      <m in="0">
        <tpls c="3">
          <tpl fld="0" item="0"/>
          <tpl fld="1" item="442"/>
          <tpl fld="4" item="9"/>
        </tpls>
      </m>
      <n v="1" in="0">
        <tpls c="3">
          <tpl fld="0" item="0"/>
          <tpl fld="1" item="174"/>
          <tpl fld="4" item="5"/>
        </tpls>
      </n>
      <m in="1">
        <tpls c="3">
          <tpl fld="0" item="0"/>
          <tpl fld="1" item="31"/>
          <tpl fld="4" item="7"/>
        </tpls>
      </m>
      <m in="0">
        <tpls c="3">
          <tpl fld="0" item="0"/>
          <tpl fld="1" item="293"/>
          <tpl fld="4" item="5"/>
        </tpls>
      </m>
      <m in="0">
        <tpls c="3">
          <tpl fld="0" item="0"/>
          <tpl fld="1" item="334"/>
          <tpl fld="4" item="12"/>
        </tpls>
      </m>
      <m in="0">
        <tpls c="3">
          <tpl fld="0" item="0"/>
          <tpl fld="1" item="40"/>
          <tpl fld="4" item="10"/>
        </tpls>
      </m>
      <m in="0">
        <tpls c="3">
          <tpl fld="0" item="0"/>
          <tpl fld="1" item="257"/>
          <tpl fld="4" item="11"/>
        </tpls>
      </m>
      <n v="1161" in="0">
        <tpls c="3">
          <tpl fld="0" item="0"/>
          <tpl fld="1" item="202"/>
          <tpl fld="4" item="10"/>
        </tpls>
      </n>
      <m in="0">
        <tpls c="3">
          <tpl fld="0" item="0"/>
          <tpl fld="1" item="314"/>
          <tpl fld="4" item="8"/>
        </tpls>
      </m>
      <m in="0">
        <tpls c="3">
          <tpl fld="0" item="0"/>
          <tpl fld="1" item="37"/>
          <tpl fld="4" item="12"/>
        </tpls>
      </m>
      <m in="0">
        <tpls c="3">
          <tpl fld="0" item="0"/>
          <tpl fld="1" item="45"/>
          <tpl fld="4" item="12"/>
        </tpls>
      </m>
      <m in="0">
        <tpls c="3">
          <tpl fld="0" item="0"/>
          <tpl fld="1" item="105"/>
          <tpl fld="4" item="8"/>
        </tpls>
      </m>
      <m in="0">
        <tpls c="3">
          <tpl fld="0" item="0"/>
          <tpl fld="2" item="0"/>
          <tpl fld="4" item="1"/>
        </tpls>
      </m>
      <m in="0">
        <tpls c="3">
          <tpl fld="0" item="0"/>
          <tpl fld="1" item="136"/>
          <tpl fld="4" item="9"/>
        </tpls>
      </m>
      <m in="0">
        <tpls c="3">
          <tpl fld="0" item="0"/>
          <tpl fld="1" item="369"/>
          <tpl fld="4" item="12"/>
        </tpls>
      </m>
      <m in="0">
        <tpls c="3">
          <tpl fld="0" item="0"/>
          <tpl fld="1" item="240"/>
          <tpl fld="4" item="10"/>
        </tpls>
      </m>
      <m in="0">
        <tpls c="3">
          <tpl fld="0" item="0"/>
          <tpl fld="1" item="139"/>
          <tpl fld="4" item="11"/>
        </tpls>
      </m>
      <n v="8" in="0">
        <tpls c="3">
          <tpl fld="0" item="0"/>
          <tpl fld="1" item="39"/>
          <tpl fld="4" item="8"/>
        </tpls>
      </n>
      <n v="2" in="0">
        <tpls c="3">
          <tpl fld="0" item="0"/>
          <tpl fld="1" item="11"/>
          <tpl fld="4" item="8"/>
        </tpls>
      </n>
      <n v="3" in="0">
        <tpls c="3">
          <tpl fld="0" item="0"/>
          <tpl fld="1" item="442"/>
          <tpl fld="4" item="1"/>
        </tpls>
      </n>
      <m in="0">
        <tpls c="3">
          <tpl fld="0" item="0"/>
          <tpl fld="1" item="398"/>
          <tpl fld="4" item="12"/>
        </tpls>
      </m>
      <m in="0">
        <tpls c="3">
          <tpl fld="0" item="0"/>
          <tpl fld="1" item="211"/>
          <tpl fld="4" item="5"/>
        </tpls>
      </m>
      <m in="0">
        <tpls c="3">
          <tpl fld="0" item="0"/>
          <tpl fld="1" item="238"/>
          <tpl fld="4" item="12"/>
        </tpls>
      </m>
      <m in="0">
        <tpls c="3">
          <tpl fld="0" item="0"/>
          <tpl fld="1" item="357"/>
          <tpl fld="4" item="6"/>
        </tpls>
      </m>
      <m in="0">
        <tpls c="3">
          <tpl fld="0" item="0"/>
          <tpl fld="1" item="211"/>
          <tpl fld="4" item="9"/>
        </tpls>
      </m>
      <m in="0">
        <tpls c="3">
          <tpl fld="0" item="0"/>
          <tpl fld="1" item="260"/>
          <tpl fld="4" item="9"/>
        </tpls>
      </m>
      <n v="4" in="0">
        <tpls c="3">
          <tpl fld="0" item="0"/>
          <tpl fld="1" item="225"/>
          <tpl fld="4" item="11"/>
        </tpls>
      </n>
      <m in="0">
        <tpls c="3">
          <tpl fld="0" item="0"/>
          <tpl fld="1" item="321"/>
          <tpl fld="4" item="12"/>
        </tpls>
      </m>
      <n v="851" in="0">
        <tpls c="3">
          <tpl fld="0" item="0"/>
          <tpl fld="1" item="99"/>
          <tpl fld="4" item="10"/>
        </tpls>
      </n>
      <m in="1">
        <tpls c="3">
          <tpl fld="0" item="0"/>
          <tpl fld="1" item="135"/>
          <tpl fld="4" item="7"/>
        </tpls>
      </m>
      <n v="216" in="1">
        <tpls c="3">
          <tpl fld="0" item="0"/>
          <tpl fld="1" item="330"/>
          <tpl fld="4" item="7"/>
        </tpls>
      </n>
      <m in="0">
        <tpls c="3">
          <tpl fld="0" item="0"/>
          <tpl fld="1" item="65"/>
          <tpl fld="4" item="12"/>
        </tpls>
      </m>
      <n v="2" in="0">
        <tpls c="3">
          <tpl fld="0" item="0"/>
          <tpl fld="1" item="273"/>
          <tpl fld="4" item="1"/>
        </tpls>
      </n>
      <m in="0">
        <tpls c="3">
          <tpl fld="0" item="0"/>
          <tpl fld="1" item="247"/>
          <tpl fld="4" item="10"/>
        </tpls>
      </m>
      <m in="1">
        <tpls c="3">
          <tpl fld="0" item="0"/>
          <tpl fld="1" item="450"/>
          <tpl fld="4" item="7"/>
        </tpls>
      </m>
      <m in="0">
        <tpls c="3">
          <tpl fld="0" item="0"/>
          <tpl fld="1" item="39"/>
          <tpl fld="4" item="9"/>
        </tpls>
      </m>
      <m in="0">
        <tpls c="3">
          <tpl fld="0" item="0"/>
          <tpl fld="1" item="324"/>
          <tpl fld="4" item="9"/>
        </tpls>
      </m>
      <m in="0">
        <tpls c="3">
          <tpl fld="0" item="0"/>
          <tpl fld="1" item="22"/>
          <tpl fld="4" item="10"/>
        </tpls>
      </m>
      <n v="149" in="1">
        <tpls c="3">
          <tpl fld="0" item="0"/>
          <tpl fld="1" item="28"/>
          <tpl fld="4" item="7"/>
        </tpls>
      </n>
      <m in="0">
        <tpls c="3">
          <tpl fld="0" item="0"/>
          <tpl fld="1" item="306"/>
          <tpl fld="4" item="9"/>
        </tpls>
      </m>
      <m in="1">
        <tpls c="3">
          <tpl fld="0" item="0"/>
          <tpl fld="1" item="316"/>
          <tpl fld="4" item="7"/>
        </tpls>
      </m>
      <m in="0">
        <tpls c="3">
          <tpl fld="0" item="0"/>
          <tpl fld="1" item="13"/>
          <tpl fld="4" item="9"/>
        </tpls>
      </m>
      <m in="0">
        <tpls c="3">
          <tpl fld="0" item="0"/>
          <tpl fld="1" item="127"/>
          <tpl fld="4" item="12"/>
        </tpls>
      </m>
      <m in="0">
        <tpls c="3">
          <tpl fld="0" item="0"/>
          <tpl fld="1" item="8"/>
          <tpl fld="4" item="9"/>
        </tpls>
      </m>
      <m in="0">
        <tpls c="3">
          <tpl fld="0" item="0"/>
          <tpl fld="1" item="6"/>
          <tpl fld="4" item="12"/>
        </tpls>
      </m>
      <m in="0">
        <tpls c="3">
          <tpl fld="0" item="0"/>
          <tpl fld="1" item="116"/>
          <tpl fld="4" item="8"/>
        </tpls>
      </m>
      <n v="1" in="0">
        <tpls c="3">
          <tpl fld="0" item="0"/>
          <tpl fld="1" item="437"/>
          <tpl fld="4" item="11"/>
        </tpls>
      </n>
      <m in="0">
        <tpls c="3">
          <tpl fld="0" item="0"/>
          <tpl fld="1" item="413"/>
          <tpl fld="4" item="12"/>
        </tpls>
      </m>
      <n v="1" in="0">
        <tpls c="3">
          <tpl fld="0" item="0"/>
          <tpl fld="1" item="427"/>
          <tpl fld="4" item="1"/>
        </tpls>
      </n>
      <m in="0">
        <tpls c="3">
          <tpl fld="0" item="0"/>
          <tpl fld="1" item="392"/>
          <tpl fld="4" item="9"/>
        </tpls>
      </m>
      <m in="0">
        <tpls c="3">
          <tpl fld="0" item="0"/>
          <tpl fld="1" item="52"/>
          <tpl fld="4" item="9"/>
        </tpls>
      </m>
      <m in="1">
        <tpls c="3">
          <tpl fld="0" item="0"/>
          <tpl fld="1" item="88"/>
          <tpl fld="4" item="7"/>
        </tpls>
      </m>
      <m in="0">
        <tpls c="3">
          <tpl fld="0" item="0"/>
          <tpl fld="1" item="335"/>
          <tpl fld="4" item="1"/>
        </tpls>
      </m>
      <n v="1167" in="1">
        <tpls c="3">
          <tpl fld="0" item="0"/>
          <tpl fld="1" item="202"/>
          <tpl fld="4" item="7"/>
        </tpls>
      </n>
      <n v="270" in="1">
        <tpls c="3">
          <tpl fld="0" item="0"/>
          <tpl fld="1" item="179"/>
          <tpl fld="4" item="7"/>
        </tpls>
      </n>
      <m in="0">
        <tpls c="3">
          <tpl fld="0" item="0"/>
          <tpl fld="1" item="273"/>
          <tpl fld="4" item="12"/>
        </tpls>
      </m>
      <m in="1">
        <tpls c="3">
          <tpl fld="0" item="0"/>
          <tpl fld="1" item="399"/>
          <tpl fld="4" item="7"/>
        </tpls>
      </m>
      <m in="0">
        <tpls c="3">
          <tpl fld="0" item="0"/>
          <tpl fld="1" item="304"/>
          <tpl fld="4" item="8"/>
        </tpls>
      </m>
      <n v="18" in="0">
        <tpls c="3">
          <tpl fld="0" item="0"/>
          <tpl fld="1" item="53"/>
          <tpl fld="4" item="10"/>
        </tpls>
      </n>
      <n v="387" in="1">
        <tpls c="3">
          <tpl fld="0" item="0"/>
          <tpl fld="1" item="319"/>
          <tpl fld="4" item="7"/>
        </tpls>
      </n>
      <m in="0">
        <tpls c="3">
          <tpl fld="0" item="0"/>
          <tpl fld="1" item="181"/>
          <tpl fld="4" item="5"/>
        </tpls>
      </m>
      <m in="0">
        <tpls c="3">
          <tpl fld="0" item="0"/>
          <tpl fld="1" item="307"/>
          <tpl fld="4" item="6"/>
        </tpls>
      </m>
      <m in="0">
        <tpls c="3">
          <tpl fld="0" item="0"/>
          <tpl fld="1" item="51"/>
          <tpl fld="4" item="12"/>
        </tpls>
      </m>
      <m in="0">
        <tpls c="3">
          <tpl fld="0" item="0"/>
          <tpl fld="1" item="23"/>
          <tpl fld="4" item="8"/>
        </tpls>
      </m>
      <n v="1" in="0">
        <tpls c="3">
          <tpl fld="0" item="0"/>
          <tpl fld="1" item="288"/>
          <tpl fld="4" item="8"/>
        </tpls>
      </n>
      <m in="0">
        <tpls c="3">
          <tpl fld="0" item="0"/>
          <tpl fld="1" item="421"/>
          <tpl fld="4" item="10"/>
        </tpls>
      </m>
      <n v="110" in="0">
        <tpls c="3">
          <tpl fld="0" item="0"/>
          <tpl fld="1" item="302"/>
          <tpl fld="4" item="10"/>
        </tpls>
      </n>
      <m in="0">
        <tpls c="3">
          <tpl fld="0" item="0"/>
          <tpl fld="1" item="232"/>
          <tpl fld="4" item="5"/>
        </tpls>
      </m>
      <n v="56" in="1">
        <tpls c="3">
          <tpl fld="0" item="0"/>
          <tpl fld="1" item="27"/>
          <tpl fld="4" item="7"/>
        </tpls>
      </n>
      <m in="0">
        <tpls c="3">
          <tpl fld="0" item="0"/>
          <tpl fld="1" item="435"/>
          <tpl fld="4" item="12"/>
        </tpls>
      </m>
      <m in="0">
        <tpls c="3">
          <tpl fld="0" item="0"/>
          <tpl fld="1" item="182"/>
          <tpl fld="4" item="12"/>
        </tpls>
      </m>
      <n v="16" in="1">
        <tpls c="3">
          <tpl fld="0" item="0"/>
          <tpl fld="1" item="134"/>
          <tpl fld="4" item="7"/>
        </tpls>
      </n>
      <m in="0">
        <tpls c="3">
          <tpl fld="0" item="0"/>
          <tpl fld="1" item="326"/>
          <tpl fld="4" item="8"/>
        </tpls>
      </m>
      <m in="0">
        <tpls c="3">
          <tpl fld="0" item="0"/>
          <tpl fld="1" item="78"/>
          <tpl fld="4" item="1"/>
        </tpls>
      </m>
      <m in="0">
        <tpls c="3">
          <tpl fld="0" item="0"/>
          <tpl fld="1" item="74"/>
          <tpl fld="4" item="11"/>
        </tpls>
      </m>
      <m in="0">
        <tpls c="3">
          <tpl fld="0" item="0"/>
          <tpl fld="1" item="31"/>
          <tpl fld="4" item="9"/>
        </tpls>
      </m>
      <n v="500" in="0">
        <tpls c="3">
          <tpl fld="0" item="0"/>
          <tpl fld="1" item="273"/>
          <tpl fld="4" item="10"/>
        </tpls>
      </n>
      <m in="0">
        <tpls c="3">
          <tpl fld="0" item="0"/>
          <tpl fld="1" item="43"/>
          <tpl fld="4" item="9"/>
        </tpls>
      </m>
      <m in="0">
        <tpls c="3">
          <tpl fld="0" item="0"/>
          <tpl fld="1" item="267"/>
          <tpl fld="4" item="12"/>
        </tpls>
      </m>
      <m in="0">
        <tpls c="3">
          <tpl fld="0" item="0"/>
          <tpl fld="1" item="5"/>
          <tpl fld="4" item="9"/>
        </tpls>
      </m>
      <m in="1">
        <tpls c="3">
          <tpl fld="0" item="0"/>
          <tpl fld="1" item="218"/>
          <tpl fld="4" item="7"/>
        </tpls>
      </m>
      <n v="100" in="0">
        <tpls c="3">
          <tpl fld="0" item="0"/>
          <tpl fld="1" item="212"/>
          <tpl fld="4" item="10"/>
        </tpls>
      </n>
      <m in="0">
        <tpls c="3">
          <tpl fld="0" item="0"/>
          <tpl fld="1" item="276"/>
          <tpl fld="4" item="1"/>
        </tpls>
      </m>
      <n v="112" in="0">
        <tpls c="3">
          <tpl fld="0" item="0"/>
          <tpl fld="1" item="431"/>
          <tpl fld="4" item="10"/>
        </tpls>
      </n>
      <m in="0">
        <tpls c="3">
          <tpl fld="0" item="0"/>
          <tpl fld="1" item="450"/>
          <tpl fld="4" item="6"/>
        </tpls>
      </m>
      <n v="32" in="1">
        <tpls c="3">
          <tpl fld="0" item="0"/>
          <tpl fld="1" item="449"/>
          <tpl fld="4" item="7"/>
        </tpls>
      </n>
      <n v="18" in="1">
        <tpls c="3">
          <tpl fld="0" item="0"/>
          <tpl fld="1" item="133"/>
          <tpl fld="4" item="7"/>
        </tpls>
      </n>
      <m in="0">
        <tpls c="3">
          <tpl fld="0" item="0"/>
          <tpl fld="1" item="323"/>
          <tpl fld="4" item="8"/>
        </tpls>
      </m>
      <m in="0">
        <tpls c="3">
          <tpl fld="0" item="0"/>
          <tpl fld="1" item="253"/>
          <tpl fld="4" item="8"/>
        </tpls>
      </m>
      <m in="0">
        <tpls c="3">
          <tpl fld="0" item="0"/>
          <tpl fld="1" item="381"/>
          <tpl fld="4" item="12"/>
        </tpls>
      </m>
      <n v="2" in="0">
        <tpls c="3">
          <tpl fld="0" item="0"/>
          <tpl fld="1" item="242"/>
          <tpl fld="4" item="1"/>
        </tpls>
      </n>
      <m in="0">
        <tpls c="3">
          <tpl fld="0" item="0"/>
          <tpl fld="1" item="263"/>
          <tpl fld="4" item="9"/>
        </tpls>
      </m>
      <m in="0">
        <tpls c="3">
          <tpl fld="0" item="0"/>
          <tpl fld="1" item="72"/>
          <tpl fld="4" item="12"/>
        </tpls>
      </m>
      <m in="0">
        <tpls c="3">
          <tpl fld="0" item="0"/>
          <tpl fld="1" item="366"/>
          <tpl fld="4" item="5"/>
        </tpls>
      </m>
      <m in="0">
        <tpls c="3">
          <tpl fld="0" item="0"/>
          <tpl fld="1" item="128"/>
          <tpl fld="4" item="10"/>
        </tpls>
      </m>
      <n v="1477" in="1">
        <tpls c="3">
          <tpl fld="0" item="0"/>
          <tpl fld="1" item="47"/>
          <tpl fld="4" item="7"/>
        </tpls>
      </n>
      <n v="15" in="1">
        <tpls c="3">
          <tpl fld="0" item="0"/>
          <tpl fld="1" item="113"/>
          <tpl fld="4" item="7"/>
        </tpls>
      </n>
      <m in="1">
        <tpls c="3">
          <tpl fld="0" item="0"/>
          <tpl fld="1" item="371"/>
          <tpl fld="4" item="7"/>
        </tpls>
      </m>
      <n v="1" in="0">
        <tpls c="3">
          <tpl fld="0" item="0"/>
          <tpl fld="1" item="99"/>
          <tpl fld="4" item="8"/>
        </tpls>
      </n>
      <n v="143" in="0">
        <tpls c="3">
          <tpl fld="0" item="0"/>
          <tpl fld="1" item="296"/>
          <tpl fld="4" item="10"/>
        </tpls>
      </n>
      <m in="0">
        <tpls c="3">
          <tpl fld="0" item="0"/>
          <tpl fld="1" item="239"/>
          <tpl fld="4" item="12"/>
        </tpls>
      </m>
      <n v="3" in="0">
        <tpls c="3">
          <tpl fld="0" item="0"/>
          <tpl fld="1" item="269"/>
          <tpl fld="4" item="11"/>
        </tpls>
      </n>
      <m in="1">
        <tpls c="3">
          <tpl fld="0" item="0"/>
          <tpl fld="1" item="71"/>
          <tpl fld="4" item="7"/>
        </tpls>
      </m>
      <n v="23" in="1">
        <tpls c="3">
          <tpl fld="0" item="0"/>
          <tpl fld="1" item="207"/>
          <tpl fld="4" item="7"/>
        </tpls>
      </n>
      <n v="5" in="0">
        <tpls c="3">
          <tpl fld="0" item="0"/>
          <tpl fld="1" item="5"/>
          <tpl fld="4" item="10"/>
        </tpls>
      </n>
      <m in="0">
        <tpls c="3">
          <tpl fld="0" item="0"/>
          <tpl fld="1" item="219"/>
          <tpl fld="4" item="8"/>
        </tpls>
      </m>
      <m in="0">
        <tpls c="3">
          <tpl fld="0" item="0"/>
          <tpl fld="1" item="105"/>
          <tpl fld="4" item="1"/>
        </tpls>
      </m>
      <m in="0">
        <tpls c="3">
          <tpl fld="0" item="0"/>
          <tpl fld="1" item="172"/>
          <tpl fld="4" item="12"/>
        </tpls>
      </m>
      <m in="0">
        <tpls c="3">
          <tpl fld="0" item="0"/>
          <tpl fld="1" item="10"/>
          <tpl fld="4" item="9"/>
        </tpls>
      </m>
      <m in="0">
        <tpls c="3">
          <tpl fld="0" item="0"/>
          <tpl fld="1" item="389"/>
          <tpl fld="4" item="5"/>
        </tpls>
      </m>
      <m in="0">
        <tpls c="3">
          <tpl fld="0" item="0"/>
          <tpl fld="1" item="79"/>
          <tpl fld="4" item="12"/>
        </tpls>
      </m>
      <m in="0">
        <tpls c="3">
          <tpl fld="0" item="0"/>
          <tpl fld="1" item="274"/>
          <tpl fld="4" item="8"/>
        </tpls>
      </m>
      <m in="1">
        <tpls c="3">
          <tpl fld="0" item="0"/>
          <tpl fld="1" item="122"/>
          <tpl fld="4" item="7"/>
        </tpls>
      </m>
      <m in="0">
        <tpls c="3">
          <tpl fld="0" item="0"/>
          <tpl fld="1" item="86"/>
          <tpl fld="4" item="9"/>
        </tpls>
      </m>
      <m in="0">
        <tpls c="3">
          <tpl fld="0" item="0"/>
          <tpl fld="2" item="0"/>
          <tpl fld="4" item="9"/>
        </tpls>
      </m>
      <m in="0">
        <tpls c="3">
          <tpl fld="0" item="0"/>
          <tpl fld="1" item="392"/>
          <tpl fld="4" item="5"/>
        </tpls>
      </m>
      <n v="24" in="0">
        <tpls c="3">
          <tpl fld="0" item="0"/>
          <tpl fld="1" item="207"/>
          <tpl fld="4" item="10"/>
        </tpls>
      </n>
      <n v="342" in="1">
        <tpls c="3">
          <tpl fld="0" item="0"/>
          <tpl fld="1" item="174"/>
          <tpl fld="4" item="7"/>
        </tpls>
      </n>
      <m in="0">
        <tpls c="3">
          <tpl fld="0" item="0"/>
          <tpl fld="1" item="209"/>
          <tpl fld="4" item="12"/>
        </tpls>
      </m>
      <m in="0">
        <tpls c="3">
          <tpl fld="0" item="0"/>
          <tpl fld="1" item="256"/>
          <tpl fld="4" item="12"/>
        </tpls>
      </m>
      <m in="0">
        <tpls c="3">
          <tpl fld="0" item="0"/>
          <tpl fld="1" item="347"/>
          <tpl fld="4" item="9"/>
        </tpls>
      </m>
      <n v="27" in="1">
        <tpls c="3">
          <tpl fld="0" item="0"/>
          <tpl fld="1" item="383"/>
          <tpl fld="4" item="7"/>
        </tpls>
      </n>
      <m in="0">
        <tpls c="3">
          <tpl fld="0" item="0"/>
          <tpl fld="1" item="448"/>
          <tpl fld="4" item="10"/>
        </tpls>
      </m>
      <m in="1">
        <tpls c="3">
          <tpl fld="0" item="0"/>
          <tpl fld="1" item="303"/>
          <tpl fld="4" item="7"/>
        </tpls>
      </m>
      <n v="54" in="1">
        <tpls c="3">
          <tpl fld="0" item="0"/>
          <tpl fld="1" item="37"/>
          <tpl fld="4" item="7"/>
        </tpls>
      </n>
      <m in="0">
        <tpls c="3">
          <tpl fld="0" item="0"/>
          <tpl fld="1" item="28"/>
          <tpl fld="4" item="9"/>
        </tpls>
      </m>
      <m in="0">
        <tpls c="3">
          <tpl fld="0" item="0"/>
          <tpl fld="1" item="434"/>
          <tpl fld="4" item="12"/>
        </tpls>
      </m>
      <m in="0">
        <tpls c="3">
          <tpl fld="0" item="0"/>
          <tpl fld="1" item="445"/>
          <tpl fld="4" item="5"/>
        </tpls>
      </m>
      <m in="0">
        <tpls c="3">
          <tpl fld="0" item="0"/>
          <tpl fld="1" item="89"/>
          <tpl fld="4" item="6"/>
        </tpls>
      </m>
      <m in="0">
        <tpls c="3">
          <tpl fld="0" item="0"/>
          <tpl fld="1" item="65"/>
          <tpl fld="4" item="9"/>
        </tpls>
      </m>
      <n v="529" in="1">
        <tpls c="3">
          <tpl fld="0" item="0"/>
          <tpl fld="1" item="80"/>
          <tpl fld="4" item="7"/>
        </tpls>
      </n>
      <m in="0">
        <tpls c="3">
          <tpl fld="0" item="0"/>
          <tpl fld="1" item="237"/>
          <tpl fld="4" item="11"/>
        </tpls>
      </m>
      <n v="6" in="1">
        <tpls c="3">
          <tpl fld="0" item="0"/>
          <tpl fld="1" item="196"/>
          <tpl fld="4" item="7"/>
        </tpls>
      </n>
      <m in="0">
        <tpls c="3">
          <tpl fld="0" item="0"/>
          <tpl fld="1" item="44"/>
          <tpl fld="4" item="6"/>
        </tpls>
      </m>
      <m in="0">
        <tpls c="3">
          <tpl fld="0" item="0"/>
          <tpl fld="1" item="189"/>
          <tpl fld="4" item="6"/>
        </tpls>
      </m>
      <m in="0">
        <tpls c="3">
          <tpl fld="0" item="0"/>
          <tpl fld="1" item="234"/>
          <tpl fld="4" item="5"/>
        </tpls>
      </m>
      <m in="0">
        <tpls c="3">
          <tpl fld="0" item="0"/>
          <tpl fld="1" item="380"/>
          <tpl fld="4" item="6"/>
        </tpls>
      </m>
      <n v="2" in="0">
        <tpls c="3">
          <tpl fld="0" item="0"/>
          <tpl fld="1" item="381"/>
          <tpl fld="4" item="8"/>
        </tpls>
      </n>
      <m in="0">
        <tpls c="3">
          <tpl fld="0" item="0"/>
          <tpl fld="1" item="359"/>
          <tpl fld="4" item="5"/>
        </tpls>
      </m>
      <m in="0">
        <tpls c="3">
          <tpl fld="0" item="0"/>
          <tpl fld="1" item="405"/>
          <tpl fld="4" item="9"/>
        </tpls>
      </m>
      <n v="3" in="0">
        <tpls c="3">
          <tpl fld="0" item="0"/>
          <tpl fld="1" item="132"/>
          <tpl fld="4" item="11"/>
        </tpls>
      </n>
      <m in="1">
        <tpls c="3">
          <tpl fld="0" item="0"/>
          <tpl fld="1" item="328"/>
          <tpl fld="4" item="7"/>
        </tpls>
      </m>
      <m in="0">
        <tpls c="3">
          <tpl fld="0" item="0"/>
          <tpl fld="1" item="154"/>
          <tpl fld="4" item="1"/>
        </tpls>
      </m>
      <n v="128" in="0">
        <tpls c="3">
          <tpl fld="0" item="0"/>
          <tpl fld="1" item="8"/>
          <tpl fld="4" item="10"/>
        </tpls>
      </n>
      <m in="0">
        <tpls c="3">
          <tpl fld="0" item="0"/>
          <tpl fld="1" item="252"/>
          <tpl fld="4" item="9"/>
        </tpls>
      </m>
      <m in="0">
        <tpls c="3">
          <tpl fld="0" item="0"/>
          <tpl fld="1" item="16"/>
          <tpl fld="4" item="9"/>
        </tpls>
      </m>
      <n v="1" in="0">
        <tpls c="3">
          <tpl fld="0" item="0"/>
          <tpl fld="1" item="242"/>
          <tpl fld="4" item="11"/>
        </tpls>
      </n>
      <m in="0">
        <tpls c="3">
          <tpl fld="0" item="0"/>
          <tpl fld="1" item="382"/>
          <tpl fld="4" item="5"/>
        </tpls>
      </m>
      <m in="0">
        <tpls c="3">
          <tpl fld="0" item="0"/>
          <tpl fld="1" item="298"/>
          <tpl fld="4" item="9"/>
        </tpls>
      </m>
      <m in="0">
        <tpls c="3">
          <tpl fld="0" item="0"/>
          <tpl fld="1" item="126"/>
          <tpl fld="4" item="5"/>
        </tpls>
      </m>
      <m in="1">
        <tpls c="3">
          <tpl fld="0" item="0"/>
          <tpl fld="1" item="221"/>
          <tpl fld="4" item="7"/>
        </tpls>
      </m>
      <m in="0">
        <tpls c="3">
          <tpl fld="0" item="0"/>
          <tpl fld="1" item="260"/>
          <tpl fld="4" item="1"/>
        </tpls>
      </m>
      <m in="0">
        <tpls c="3">
          <tpl fld="0" item="0"/>
          <tpl fld="1" item="26"/>
          <tpl fld="4" item="10"/>
        </tpls>
      </m>
      <m in="0">
        <tpls c="3">
          <tpl fld="0" item="0"/>
          <tpl fld="1" item="300"/>
          <tpl fld="4" item="1"/>
        </tpls>
      </m>
      <m in="0">
        <tpls c="3">
          <tpl fld="0" item="0"/>
          <tpl fld="1" item="446"/>
          <tpl fld="4" item="10"/>
        </tpls>
      </m>
      <n v="66" in="0">
        <tpls c="3">
          <tpl fld="0" item="0"/>
          <tpl fld="1" item="433"/>
          <tpl fld="4" item="10"/>
        </tpls>
      </n>
      <m in="0">
        <tpls c="3">
          <tpl fld="0" item="0"/>
          <tpl fld="1" item="239"/>
          <tpl fld="4" item="11"/>
        </tpls>
      </m>
      <m in="1">
        <tpls c="3">
          <tpl fld="0" item="0"/>
          <tpl fld="1" item="238"/>
          <tpl fld="4" item="7"/>
        </tpls>
      </m>
      <m in="0">
        <tpls c="3">
          <tpl fld="0" item="0"/>
          <tpl fld="1" item="130"/>
          <tpl fld="4" item="12"/>
        </tpls>
      </m>
      <m in="0">
        <tpls c="3">
          <tpl fld="0" item="0"/>
          <tpl fld="1" item="172"/>
          <tpl fld="4" item="8"/>
        </tpls>
      </m>
      <m in="0">
        <tpls c="3">
          <tpl fld="0" item="0"/>
          <tpl fld="1" item="226"/>
          <tpl fld="4" item="9"/>
        </tpls>
      </m>
      <n v="60" in="0">
        <tpls c="3">
          <tpl fld="0" item="0"/>
          <tpl fld="1" item="56"/>
          <tpl fld="4" item="10"/>
        </tpls>
      </n>
      <m in="0">
        <tpls c="3">
          <tpl fld="0" item="0"/>
          <tpl fld="1" item="134"/>
          <tpl fld="4" item="1"/>
        </tpls>
      </m>
      <m in="0">
        <tpls c="3">
          <tpl fld="0" item="0"/>
          <tpl fld="1" item="310"/>
          <tpl fld="4" item="11"/>
        </tpls>
      </m>
      <m in="0">
        <tpls c="3">
          <tpl fld="0" item="0"/>
          <tpl fld="1" item="169"/>
          <tpl fld="4" item="11"/>
        </tpls>
      </m>
      <m in="0">
        <tpls c="3">
          <tpl fld="0" item="0"/>
          <tpl fld="1" item="196"/>
          <tpl fld="4" item="9"/>
        </tpls>
      </m>
      <m in="0">
        <tpls c="3">
          <tpl fld="0" item="0"/>
          <tpl fld="1" item="201"/>
          <tpl fld="4" item="11"/>
        </tpls>
      </m>
      <m in="0">
        <tpls c="3">
          <tpl fld="0" item="0"/>
          <tpl fld="1" item="98"/>
          <tpl fld="4" item="10"/>
        </tpls>
      </m>
      <m in="0">
        <tpls c="3">
          <tpl fld="0" item="0"/>
          <tpl fld="1" item="77"/>
          <tpl fld="4" item="5"/>
        </tpls>
      </m>
      <m in="0">
        <tpls c="3">
          <tpl fld="0" item="0"/>
          <tpl fld="1" item="414"/>
          <tpl fld="4" item="5"/>
        </tpls>
      </m>
      <m in="0">
        <tpls c="3">
          <tpl fld="0" item="0"/>
          <tpl fld="1" item="54"/>
          <tpl fld="4" item="11"/>
        </tpls>
      </m>
      <m in="0">
        <tpls c="3">
          <tpl fld="0" item="0"/>
          <tpl fld="1" item="433"/>
          <tpl fld="4" item="1"/>
        </tpls>
      </m>
      <m in="0">
        <tpls c="3">
          <tpl fld="0" item="0"/>
          <tpl fld="1" item="454"/>
          <tpl fld="4" item="5"/>
        </tpls>
      </m>
      <m in="0">
        <tpls c="3">
          <tpl fld="0" item="0"/>
          <tpl fld="1" item="43"/>
          <tpl fld="4" item="12"/>
        </tpls>
      </m>
      <m in="0">
        <tpls c="3">
          <tpl fld="0" item="0"/>
          <tpl fld="1" item="106"/>
          <tpl fld="4" item="6"/>
        </tpls>
      </m>
      <m in="0">
        <tpls c="3">
          <tpl fld="0" item="0"/>
          <tpl fld="1" item="102"/>
          <tpl fld="4" item="5"/>
        </tpls>
      </m>
      <m in="0">
        <tpls c="3">
          <tpl fld="0" item="0"/>
          <tpl fld="1" item="9"/>
          <tpl fld="4" item="5"/>
        </tpls>
      </m>
      <m in="0">
        <tpls c="3">
          <tpl fld="0" item="0"/>
          <tpl fld="1" item="38"/>
          <tpl fld="4" item="5"/>
        </tpls>
      </m>
      <n v="8" in="0">
        <tpls c="3">
          <tpl fld="0" item="0"/>
          <tpl fld="1" item="266"/>
          <tpl fld="4" item="9"/>
        </tpls>
      </n>
      <m in="0">
        <tpls c="3">
          <tpl fld="0" item="0"/>
          <tpl fld="1" item="282"/>
          <tpl fld="4" item="8"/>
        </tpls>
      </m>
      <m in="0">
        <tpls c="3">
          <tpl fld="0" item="0"/>
          <tpl fld="1" item="207"/>
          <tpl fld="4" item="9"/>
        </tpls>
      </m>
      <m in="0">
        <tpls c="3">
          <tpl fld="0" item="0"/>
          <tpl fld="1" item="403"/>
          <tpl fld="4" item="12"/>
        </tpls>
      </m>
      <m in="1">
        <tpls c="3">
          <tpl fld="0" item="0"/>
          <tpl fld="1" item="6"/>
          <tpl fld="4" item="7"/>
        </tpls>
      </m>
      <m in="0">
        <tpls c="3">
          <tpl fld="0" item="0"/>
          <tpl fld="1" item="194"/>
          <tpl fld="4" item="6"/>
        </tpls>
      </m>
      <m in="0">
        <tpls c="3">
          <tpl fld="0" item="0"/>
          <tpl fld="1" item="30"/>
          <tpl fld="4" item="8"/>
        </tpls>
      </m>
      <m in="0">
        <tpls c="3">
          <tpl fld="0" item="0"/>
          <tpl fld="1" item="76"/>
          <tpl fld="4" item="10"/>
        </tpls>
      </m>
      <n v="8" in="0">
        <tpls c="3">
          <tpl fld="0" item="0"/>
          <tpl fld="1" item="138"/>
          <tpl fld="4" item="1"/>
        </tpls>
      </n>
      <n v="21" in="1">
        <tpls c="3">
          <tpl fld="0" item="0"/>
          <tpl fld="1" item="156"/>
          <tpl fld="4" item="7"/>
        </tpls>
      </n>
      <m in="0">
        <tpls c="3">
          <tpl fld="0" item="0"/>
          <tpl fld="1" item="402"/>
          <tpl fld="4" item="12"/>
        </tpls>
      </m>
      <m in="0">
        <tpls c="3">
          <tpl fld="0" item="0"/>
          <tpl fld="1" item="349"/>
          <tpl fld="4" item="10"/>
        </tpls>
      </m>
      <m in="0">
        <tpls c="3">
          <tpl fld="0" item="0"/>
          <tpl fld="1" item="302"/>
          <tpl fld="4" item="1"/>
        </tpls>
      </m>
      <m in="0">
        <tpls c="3">
          <tpl fld="0" item="0"/>
          <tpl fld="1" item="103"/>
          <tpl fld="4" item="1"/>
        </tpls>
      </m>
      <m in="0">
        <tpls c="3">
          <tpl fld="0" item="0"/>
          <tpl fld="1" item="376"/>
          <tpl fld="4" item="5"/>
        </tpls>
      </m>
      <m in="0">
        <tpls c="3">
          <tpl fld="0" item="0"/>
          <tpl fld="1" item="241"/>
          <tpl fld="4" item="9"/>
        </tpls>
      </m>
      <m in="0">
        <tpls c="3">
          <tpl fld="0" item="0"/>
          <tpl fld="1" item="301"/>
          <tpl fld="4" item="11"/>
        </tpls>
      </m>
      <n v="200" in="0">
        <tpls c="3">
          <tpl fld="0" item="0"/>
          <tpl fld="1" item="354"/>
          <tpl fld="4" item="10"/>
        </tpls>
      </n>
      <n v="12" in="0">
        <tpls c="3">
          <tpl fld="0" item="0"/>
          <tpl fld="1" item="136"/>
          <tpl fld="4" item="10"/>
        </tpls>
      </n>
      <n v="330" in="1">
        <tpls c="3">
          <tpl fld="0" item="0"/>
          <tpl fld="1" item="337"/>
          <tpl fld="4" item="7"/>
        </tpls>
      </n>
      <n v="9" in="0">
        <tpls c="3">
          <tpl fld="0" item="0"/>
          <tpl fld="1" item="217"/>
          <tpl fld="4" item="10"/>
        </tpls>
      </n>
      <m in="0">
        <tpls c="3">
          <tpl fld="0" item="0"/>
          <tpl fld="1" item="27"/>
          <tpl fld="4" item="8"/>
        </tpls>
      </m>
      <m in="0">
        <tpls c="3">
          <tpl fld="0" item="0"/>
          <tpl fld="1" item="163"/>
          <tpl fld="4" item="6"/>
        </tpls>
      </m>
      <n v="390" in="0">
        <tpls c="3">
          <tpl fld="0" item="0"/>
          <tpl fld="1" item="262"/>
          <tpl fld="4" item="10"/>
        </tpls>
      </n>
      <m in="0">
        <tpls c="3">
          <tpl fld="0" item="0"/>
          <tpl fld="1" item="391"/>
          <tpl fld="4" item="8"/>
        </tpls>
      </m>
      <m in="0">
        <tpls c="3">
          <tpl fld="0" item="0"/>
          <tpl fld="1" item="317"/>
          <tpl fld="4" item="8"/>
        </tpls>
      </m>
      <m in="0">
        <tpls c="3">
          <tpl fld="0" item="0"/>
          <tpl fld="1" item="346"/>
          <tpl fld="4" item="5"/>
        </tpls>
      </m>
      <m in="0">
        <tpls c="3">
          <tpl fld="0" item="0"/>
          <tpl fld="1" item="172"/>
          <tpl fld="4" item="1"/>
        </tpls>
      </m>
      <n v="626" in="0">
        <tpls c="3">
          <tpl fld="0" item="0"/>
          <tpl fld="1" item="67"/>
          <tpl fld="4" item="10"/>
        </tpls>
      </n>
      <m in="0">
        <tpls c="3">
          <tpl fld="0" item="0"/>
          <tpl fld="1" item="77"/>
          <tpl fld="4" item="9"/>
        </tpls>
      </m>
      <m in="0">
        <tpls c="3">
          <tpl fld="0" item="0"/>
          <tpl fld="1" item="450"/>
          <tpl fld="4" item="11"/>
        </tpls>
      </m>
      <m in="0">
        <tpls c="3">
          <tpl fld="0" item="0"/>
          <tpl fld="1" item="360"/>
          <tpl fld="4" item="12"/>
        </tpls>
      </m>
      <m in="0">
        <tpls c="3">
          <tpl fld="0" item="0"/>
          <tpl fld="1" item="322"/>
          <tpl fld="4" item="9"/>
        </tpls>
      </m>
      <m in="0">
        <tpls c="3">
          <tpl fld="0" item="0"/>
          <tpl fld="1" item="130"/>
          <tpl fld="4" item="9"/>
        </tpls>
      </m>
      <m in="0">
        <tpls c="3">
          <tpl fld="0" item="0"/>
          <tpl fld="1" item="13"/>
          <tpl fld="4" item="8"/>
        </tpls>
      </m>
      <n v="4" in="0">
        <tpls c="3">
          <tpl fld="0" item="0"/>
          <tpl fld="1" item="400"/>
          <tpl fld="4" item="8"/>
        </tpls>
      </n>
      <n v="3" in="0">
        <tpls c="3">
          <tpl fld="0" item="0"/>
          <tpl fld="1" item="149"/>
          <tpl fld="4" item="1"/>
        </tpls>
      </n>
      <m in="0">
        <tpls c="3">
          <tpl fld="0" item="0"/>
          <tpl fld="1" item="93"/>
          <tpl fld="4" item="6"/>
        </tpls>
      </m>
      <n v="13" in="0">
        <tpls c="3">
          <tpl fld="0" item="0"/>
          <tpl fld="1" item="29"/>
          <tpl fld="4" item="10"/>
        </tpls>
      </n>
      <m in="0">
        <tpls c="3">
          <tpl fld="0" item="0"/>
          <tpl fld="1" item="84"/>
          <tpl fld="4" item="1"/>
        </tpls>
      </m>
      <m in="0">
        <tpls c="3">
          <tpl fld="0" item="0"/>
          <tpl fld="1" item="420"/>
          <tpl fld="4" item="6"/>
        </tpls>
      </m>
      <m in="0">
        <tpls c="3">
          <tpl fld="0" item="0"/>
          <tpl fld="1" item="200"/>
          <tpl fld="4" item="11"/>
        </tpls>
      </m>
      <m in="0">
        <tpls c="3">
          <tpl fld="0" item="0"/>
          <tpl fld="1" item="302"/>
          <tpl fld="4" item="9"/>
        </tpls>
      </m>
      <m in="0">
        <tpls c="3">
          <tpl fld="0" item="0"/>
          <tpl fld="1" item="353"/>
          <tpl fld="4" item="9"/>
        </tpls>
      </m>
      <m in="0">
        <tpls c="3">
          <tpl fld="0" item="0"/>
          <tpl fld="1" item="46"/>
          <tpl fld="4" item="10"/>
        </tpls>
      </m>
      <m in="0">
        <tpls c="3">
          <tpl fld="0" item="0"/>
          <tpl fld="1" item="177"/>
          <tpl fld="4" item="12"/>
        </tpls>
      </m>
      <n v="49" in="0">
        <tpls c="3">
          <tpl fld="0" item="0"/>
          <tpl fld="1" item="372"/>
          <tpl fld="4" item="10"/>
        </tpls>
      </n>
      <m in="0">
        <tpls c="3">
          <tpl fld="0" item="0"/>
          <tpl fld="1" item="282"/>
          <tpl fld="4" item="1"/>
        </tpls>
      </m>
      <m in="0">
        <tpls c="3">
          <tpl fld="0" item="0"/>
          <tpl fld="1" item="335"/>
          <tpl fld="4" item="11"/>
        </tpls>
      </m>
      <m in="0">
        <tpls c="3">
          <tpl fld="0" item="0"/>
          <tpl fld="1" item="12"/>
          <tpl fld="4" item="1"/>
        </tpls>
      </m>
      <m in="0">
        <tpls c="3">
          <tpl fld="0" item="0"/>
          <tpl fld="1" item="70"/>
          <tpl fld="4" item="10"/>
        </tpls>
      </m>
      <m in="0">
        <tpls c="3">
          <tpl fld="0" item="0"/>
          <tpl fld="1" item="15"/>
          <tpl fld="4" item="11"/>
        </tpls>
      </m>
      <m in="0">
        <tpls c="3">
          <tpl fld="0" item="0"/>
          <tpl fld="1" item="413"/>
          <tpl fld="4" item="1"/>
        </tpls>
      </m>
      <m in="0">
        <tpls c="3">
          <tpl fld="0" item="0"/>
          <tpl fld="1" item="71"/>
          <tpl fld="4" item="8"/>
        </tpls>
      </m>
      <m in="0">
        <tpls c="3">
          <tpl fld="0" item="0"/>
          <tpl fld="1" item="393"/>
          <tpl fld="4" item="12"/>
        </tpls>
      </m>
      <m in="0">
        <tpls c="3">
          <tpl fld="0" item="0"/>
          <tpl fld="1" item="258"/>
          <tpl fld="4" item="8"/>
        </tpls>
      </m>
      <m in="0">
        <tpls c="3">
          <tpl fld="0" item="0"/>
          <tpl fld="1" item="49"/>
          <tpl fld="4" item="9"/>
        </tpls>
      </m>
      <m in="0">
        <tpls c="3">
          <tpl fld="0" item="0"/>
          <tpl fld="1" item="319"/>
          <tpl fld="4" item="5"/>
        </tpls>
      </m>
      <n v="2" in="0">
        <tpls c="3">
          <tpl fld="0" item="0"/>
          <tpl fld="1" item="267"/>
          <tpl fld="4" item="11"/>
        </tpls>
      </n>
      <m in="0">
        <tpls c="3">
          <tpl fld="0" item="0"/>
          <tpl fld="1" item="280"/>
          <tpl fld="4" item="11"/>
        </tpls>
      </m>
      <m in="0">
        <tpls c="3">
          <tpl fld="0" item="0"/>
          <tpl fld="1" item="13"/>
          <tpl fld="4" item="11"/>
        </tpls>
      </m>
      <m in="0">
        <tpls c="3">
          <tpl fld="0" item="0"/>
          <tpl fld="1" item="66"/>
          <tpl fld="4" item="9"/>
        </tpls>
      </m>
      <n v="11" in="1">
        <tpls c="3">
          <tpl fld="0" item="0"/>
          <tpl fld="1" item="245"/>
          <tpl fld="4" item="7"/>
        </tpls>
      </n>
      <m in="0">
        <tpls c="3">
          <tpl fld="0" item="0"/>
          <tpl fld="1" item="9"/>
          <tpl fld="4" item="6"/>
        </tpls>
      </m>
      <m in="0">
        <tpls c="3">
          <tpl fld="0" item="0"/>
          <tpl fld="1" item="41"/>
          <tpl fld="4" item="9"/>
        </tpls>
      </m>
      <m in="0">
        <tpls c="3">
          <tpl fld="0" item="0"/>
          <tpl fld="1" item="336"/>
          <tpl fld="4" item="6"/>
        </tpls>
      </m>
      <m in="0">
        <tpls c="3">
          <tpl fld="0" item="0"/>
          <tpl fld="1" item="344"/>
          <tpl fld="4" item="11"/>
        </tpls>
      </m>
      <m in="0">
        <tpls c="3">
          <tpl fld="0" item="0"/>
          <tpl fld="1" item="249"/>
          <tpl fld="4" item="1"/>
        </tpls>
      </m>
      <m in="0">
        <tpls c="3">
          <tpl fld="0" item="0"/>
          <tpl fld="1" item="280"/>
          <tpl fld="4" item="8"/>
        </tpls>
      </m>
      <m in="0">
        <tpls c="3">
          <tpl fld="0" item="0"/>
          <tpl fld="1" item="401"/>
          <tpl fld="4" item="11"/>
        </tpls>
      </m>
      <n v="6" in="0">
        <tpls c="3">
          <tpl fld="0" item="0"/>
          <tpl fld="1" item="87"/>
          <tpl fld="4" item="1"/>
        </tpls>
      </n>
      <n v="8" in="0">
        <tpls c="3">
          <tpl fld="0" item="0"/>
          <tpl fld="1" item="312"/>
          <tpl fld="4" item="11"/>
        </tpls>
      </n>
      <n v="476" in="0">
        <tpls c="3">
          <tpl fld="0" item="0"/>
          <tpl fld="1" item="187"/>
          <tpl fld="4" item="10"/>
        </tpls>
      </n>
      <m in="0">
        <tpls c="3">
          <tpl fld="0" item="0"/>
          <tpl fld="1" item="350"/>
          <tpl fld="4" item="11"/>
        </tpls>
      </m>
      <m in="0">
        <tpls c="3">
          <tpl fld="0" item="0"/>
          <tpl fld="1" item="412"/>
          <tpl fld="4" item="6"/>
        </tpls>
      </m>
      <m in="0">
        <tpls c="3">
          <tpl fld="0" item="0"/>
          <tpl fld="1" item="414"/>
          <tpl fld="4" item="11"/>
        </tpls>
      </m>
      <n v="2" in="0">
        <tpls c="3">
          <tpl fld="0" item="0"/>
          <tpl fld="1" item="308"/>
          <tpl fld="4" item="1"/>
        </tpls>
      </n>
      <m in="0">
        <tpls c="3">
          <tpl fld="0" item="0"/>
          <tpl fld="1" item="419"/>
          <tpl fld="4" item="12"/>
        </tpls>
      </m>
      <m in="0">
        <tpls c="3">
          <tpl fld="0" item="0"/>
          <tpl fld="1" item="35"/>
          <tpl fld="4" item="12"/>
        </tpls>
      </m>
      <m in="0">
        <tpls c="3">
          <tpl fld="0" item="0"/>
          <tpl fld="1" item="260"/>
          <tpl fld="4" item="8"/>
        </tpls>
      </m>
      <m in="0">
        <tpls c="3">
          <tpl fld="0" item="0"/>
          <tpl fld="1" item="372"/>
          <tpl fld="4" item="9"/>
        </tpls>
      </m>
      <m in="0">
        <tpls c="3">
          <tpl fld="0" item="0"/>
          <tpl fld="1" item="195"/>
          <tpl fld="4" item="6"/>
        </tpls>
      </m>
      <m in="0">
        <tpls c="3">
          <tpl fld="0" item="0"/>
          <tpl fld="1" item="154"/>
          <tpl fld="4" item="12"/>
        </tpls>
      </m>
      <n v="4" in="0">
        <tpls c="3">
          <tpl fld="0" item="0"/>
          <tpl fld="1" item="420"/>
          <tpl fld="4" item="1"/>
        </tpls>
      </n>
      <m in="0">
        <tpls c="3">
          <tpl fld="0" item="0"/>
          <tpl fld="1" item="414"/>
          <tpl fld="4" item="1"/>
        </tpls>
      </m>
      <n v="4" in="0">
        <tpls c="3">
          <tpl fld="0" item="0"/>
          <tpl fld="1" item="149"/>
          <tpl fld="4" item="8"/>
        </tpls>
      </n>
      <n v="1" in="0">
        <tpls c="3">
          <tpl fld="0" item="0"/>
          <tpl fld="1" item="269"/>
          <tpl fld="4" item="1"/>
        </tpls>
      </n>
      <m in="0">
        <tpls c="3">
          <tpl fld="0" item="0"/>
          <tpl fld="1" item="278"/>
          <tpl fld="4" item="9"/>
        </tpls>
      </m>
      <m in="0">
        <tpls c="3">
          <tpl fld="0" item="0"/>
          <tpl fld="1" item="167"/>
          <tpl fld="4" item="1"/>
        </tpls>
      </m>
      <m in="0">
        <tpls c="3">
          <tpl fld="0" item="0"/>
          <tpl fld="1" item="457"/>
          <tpl fld="4" item="8"/>
        </tpls>
      </m>
      <m in="0">
        <tpls c="3">
          <tpl fld="0" item="0"/>
          <tpl fld="1" item="103"/>
          <tpl fld="4" item="6"/>
        </tpls>
      </m>
      <m in="0">
        <tpls c="3">
          <tpl fld="0" item="0"/>
          <tpl fld="1" item="340"/>
          <tpl fld="4" item="8"/>
        </tpls>
      </m>
      <m in="0">
        <tpls c="3">
          <tpl fld="0" item="0"/>
          <tpl fld="1" item="110"/>
          <tpl fld="4" item="1"/>
        </tpls>
      </m>
      <m in="0">
        <tpls c="3">
          <tpl fld="0" item="0"/>
          <tpl fld="1" item="91"/>
          <tpl fld="4" item="8"/>
        </tpls>
      </m>
      <m in="0">
        <tpls c="3">
          <tpl fld="0" item="0"/>
          <tpl fld="1" item="220"/>
          <tpl fld="4" item="9"/>
        </tpls>
      </m>
      <m in="0">
        <tpls c="3">
          <tpl fld="0" item="0"/>
          <tpl fld="1" item="304"/>
          <tpl fld="4" item="1"/>
        </tpls>
      </m>
      <m in="1">
        <tpls c="3">
          <tpl fld="0" item="0"/>
          <tpl fld="1" item="40"/>
          <tpl fld="4" item="7"/>
        </tpls>
      </m>
      <n v="435" in="0">
        <tpls c="3">
          <tpl fld="0" item="0"/>
          <tpl fld="1" item="117"/>
          <tpl fld="4" item="10"/>
        </tpls>
      </n>
      <m in="0">
        <tpls c="3">
          <tpl fld="0" item="0"/>
          <tpl fld="1" item="359"/>
          <tpl fld="4" item="12"/>
        </tpls>
      </m>
      <n v="200" in="0">
        <tpls c="3">
          <tpl fld="0" item="0"/>
          <tpl fld="1" item="233"/>
          <tpl fld="4" item="10"/>
        </tpls>
      </n>
      <n v="78" in="1">
        <tpls c="3">
          <tpl fld="0" item="0"/>
          <tpl fld="1" item="84"/>
          <tpl fld="4" item="7"/>
        </tpls>
      </n>
      <m in="0">
        <tpls c="3">
          <tpl fld="0" item="0"/>
          <tpl fld="1" item="300"/>
          <tpl fld="4" item="5"/>
        </tpls>
      </m>
      <m in="0">
        <tpls c="3">
          <tpl fld="0" item="0"/>
          <tpl fld="1" item="104"/>
          <tpl fld="4" item="5"/>
        </tpls>
      </m>
      <m in="0">
        <tpls c="3">
          <tpl fld="0" item="0"/>
          <tpl fld="1" item="60"/>
          <tpl fld="4" item="8"/>
        </tpls>
      </m>
      <m in="0">
        <tpls c="3">
          <tpl fld="0" item="0"/>
          <tpl fld="1" item="320"/>
          <tpl fld="4" item="8"/>
        </tpls>
      </m>
      <m in="0">
        <tpls c="3">
          <tpl fld="0" item="0"/>
          <tpl fld="1" item="216"/>
          <tpl fld="4" item="8"/>
        </tpls>
      </m>
      <n v="3" in="0">
        <tpls c="3">
          <tpl fld="0" item="0"/>
          <tpl fld="1" item="281"/>
          <tpl fld="4" item="9"/>
        </tpls>
      </n>
      <m in="0">
        <tpls c="3">
          <tpl fld="0" item="0"/>
          <tpl fld="1" item="244"/>
          <tpl fld="4" item="1"/>
        </tpls>
      </m>
      <m in="0">
        <tpls c="3">
          <tpl fld="0" item="0"/>
          <tpl fld="1" item="311"/>
          <tpl fld="4" item="8"/>
        </tpls>
      </m>
      <n v="496" in="1">
        <tpls c="3">
          <tpl fld="0" item="0"/>
          <tpl fld="1" item="41"/>
          <tpl fld="4" item="7"/>
        </tpls>
      </n>
      <m in="0">
        <tpls c="3">
          <tpl fld="0" item="0"/>
          <tpl fld="1" item="426"/>
          <tpl fld="4" item="5"/>
        </tpls>
      </m>
      <m in="0">
        <tpls c="3">
          <tpl fld="0" item="0"/>
          <tpl fld="1" item="321"/>
          <tpl fld="4" item="5"/>
        </tpls>
      </m>
      <m in="0">
        <tpls c="3">
          <tpl fld="0" item="0"/>
          <tpl fld="1" item="341"/>
          <tpl fld="4" item="11"/>
        </tpls>
      </m>
      <m in="0">
        <tpls c="3">
          <tpl fld="0" item="0"/>
          <tpl fld="1" item="296"/>
          <tpl fld="4" item="8"/>
        </tpls>
      </m>
      <m in="0">
        <tpls c="3">
          <tpl fld="0" item="0"/>
          <tpl fld="1" item="254"/>
          <tpl fld="4" item="5"/>
        </tpls>
      </m>
      <m in="0">
        <tpls c="3">
          <tpl fld="0" item="0"/>
          <tpl fld="1" item="444"/>
          <tpl fld="4" item="11"/>
        </tpls>
      </m>
      <m in="0">
        <tpls c="3">
          <tpl fld="0" item="0"/>
          <tpl fld="1" item="370"/>
          <tpl fld="4" item="1"/>
        </tpls>
      </m>
      <n v="181" in="1">
        <tpls c="3">
          <tpl fld="0" item="0"/>
          <tpl fld="1" item="322"/>
          <tpl fld="4" item="7"/>
        </tpls>
      </n>
      <m in="0">
        <tpls c="3">
          <tpl fld="0" item="0"/>
          <tpl fld="1" item="342"/>
          <tpl fld="4" item="9"/>
        </tpls>
      </m>
      <m in="0">
        <tpls c="3">
          <tpl fld="0" item="0"/>
          <tpl fld="1" item="375"/>
          <tpl fld="4" item="9"/>
        </tpls>
      </m>
      <m in="0">
        <tpls c="3">
          <tpl fld="0" item="0"/>
          <tpl fld="1" item="414"/>
          <tpl fld="4" item="12"/>
        </tpls>
      </m>
      <n v="1013" in="0">
        <tpls c="3">
          <tpl fld="0" item="0"/>
          <tpl fld="1" item="183"/>
          <tpl fld="4" item="10"/>
        </tpls>
      </n>
      <m in="0">
        <tpls c="3">
          <tpl fld="0" item="0"/>
          <tpl fld="1" item="386"/>
          <tpl fld="4" item="1"/>
        </tpls>
      </m>
      <m in="0">
        <tpls c="3">
          <tpl fld="0" item="0"/>
          <tpl fld="1" item="157"/>
          <tpl fld="4" item="12"/>
        </tpls>
      </m>
      <m in="0">
        <tpls c="3">
          <tpl fld="0" item="0"/>
          <tpl fld="1" item="416"/>
          <tpl fld="4" item="9"/>
        </tpls>
      </m>
      <m in="0">
        <tpls c="3">
          <tpl fld="0" item="0"/>
          <tpl fld="1" item="404"/>
          <tpl fld="4" item="12"/>
        </tpls>
      </m>
      <m in="0">
        <tpls c="3">
          <tpl fld="0" item="0"/>
          <tpl fld="1" item="274"/>
          <tpl fld="4" item="6"/>
        </tpls>
      </m>
      <n v="1" in="0">
        <tpls c="3">
          <tpl fld="0" item="0"/>
          <tpl fld="1" item="152"/>
          <tpl fld="4" item="8"/>
        </tpls>
      </n>
      <m in="0">
        <tpls c="3">
          <tpl fld="0" item="0"/>
          <tpl fld="1" item="453"/>
          <tpl fld="4" item="6"/>
        </tpls>
      </m>
      <m in="0">
        <tpls c="3">
          <tpl fld="0" item="0"/>
          <tpl fld="1" item="138"/>
          <tpl fld="4" item="12"/>
        </tpls>
      </m>
      <m in="0">
        <tpls c="3">
          <tpl fld="0" item="0"/>
          <tpl fld="1" item="235"/>
          <tpl fld="4" item="12"/>
        </tpls>
      </m>
      <n v="45" in="0">
        <tpls c="3">
          <tpl fld="0" item="0"/>
          <tpl fld="1" item="55"/>
          <tpl fld="4" item="10"/>
        </tpls>
      </n>
      <m in="0">
        <tpls c="3">
          <tpl fld="0" item="0"/>
          <tpl fld="1" item="374"/>
          <tpl fld="4" item="8"/>
        </tpls>
      </m>
      <n v="1" in="0">
        <tpls c="3">
          <tpl fld="0" item="0"/>
          <tpl fld="1" item="129"/>
          <tpl fld="4" item="1"/>
        </tpls>
      </n>
      <m in="0">
        <tpls c="3">
          <tpl fld="0" item="0"/>
          <tpl fld="1" item="297"/>
          <tpl fld="4" item="5"/>
        </tpls>
      </m>
      <m in="0">
        <tpls c="3">
          <tpl fld="0" item="0"/>
          <tpl fld="1" item="103"/>
          <tpl fld="4" item="11"/>
        </tpls>
      </m>
      <m in="0">
        <tpls c="3">
          <tpl fld="0" item="0"/>
          <tpl fld="1" item="44"/>
          <tpl fld="4" item="8"/>
        </tpls>
      </m>
      <m in="0">
        <tpls c="3">
          <tpl fld="0" item="0"/>
          <tpl fld="1" item="372"/>
          <tpl fld="4" item="8"/>
        </tpls>
      </m>
      <m in="0">
        <tpls c="3">
          <tpl fld="0" item="0"/>
          <tpl fld="1" item="289"/>
          <tpl fld="4" item="1"/>
        </tpls>
      </m>
      <m in="0">
        <tpls c="3">
          <tpl fld="0" item="0"/>
          <tpl fld="1" item="304"/>
          <tpl fld="4" item="5"/>
        </tpls>
      </m>
      <m in="1">
        <tpls c="3">
          <tpl fld="0" item="0"/>
          <tpl fld="1" item="259"/>
          <tpl fld="4" item="7"/>
        </tpls>
      </m>
      <m in="0">
        <tpls c="3">
          <tpl fld="0" item="0"/>
          <tpl fld="1" item="454"/>
          <tpl fld="4" item="9"/>
        </tpls>
      </m>
      <n v="12" in="1">
        <tpls c="3">
          <tpl fld="0" item="0"/>
          <tpl fld="1" item="393"/>
          <tpl fld="4" item="7"/>
        </tpls>
      </n>
      <m in="0">
        <tpls c="3">
          <tpl fld="0" item="0"/>
          <tpl fld="1" item="307"/>
          <tpl fld="4" item="11"/>
        </tpls>
      </m>
      <m in="0">
        <tpls c="3">
          <tpl fld="0" item="0"/>
          <tpl fld="1" item="51"/>
          <tpl fld="4" item="8"/>
        </tpls>
      </m>
      <m in="0">
        <tpls c="3">
          <tpl fld="0" item="0"/>
          <tpl fld="1" item="211"/>
          <tpl fld="4" item="12"/>
        </tpls>
      </m>
      <n v="391" in="0">
        <tpls c="3">
          <tpl fld="0" item="0"/>
          <tpl fld="1" item="65"/>
          <tpl fld="4" item="10"/>
        </tpls>
      </n>
      <m in="0">
        <tpls c="3">
          <tpl fld="0" item="0"/>
          <tpl fld="1" item="410"/>
          <tpl fld="4" item="8"/>
        </tpls>
      </m>
      <n v="1" in="0">
        <tpls c="3">
          <tpl fld="0" item="0"/>
          <tpl fld="1" item="117"/>
          <tpl fld="4" item="9"/>
        </tpls>
      </n>
      <n v="52" in="0">
        <tpls c="3">
          <tpl fld="0" item="0"/>
          <tpl fld="1" item="236"/>
          <tpl fld="4" item="10"/>
        </tpls>
      </n>
      <m in="0">
        <tpls c="3">
          <tpl fld="0" item="0"/>
          <tpl fld="1" item="257"/>
          <tpl fld="4" item="12"/>
        </tpls>
      </m>
      <n v="105" in="1">
        <tpls c="3">
          <tpl fld="0" item="0"/>
          <tpl fld="1" item="205"/>
          <tpl fld="4" item="7"/>
        </tpls>
      </n>
      <n v="128" in="0">
        <tpls c="3">
          <tpl fld="0" item="0"/>
          <tpl fld="1" item="199"/>
          <tpl fld="4" item="10"/>
        </tpls>
      </n>
      <m in="0">
        <tpls c="3">
          <tpl fld="0" item="0"/>
          <tpl fld="1" item="275"/>
          <tpl fld="4" item="9"/>
        </tpls>
      </m>
      <m in="0">
        <tpls c="3">
          <tpl fld="0" item="0"/>
          <tpl fld="1" item="334"/>
          <tpl fld="4" item="5"/>
        </tpls>
      </m>
      <m in="0">
        <tpls c="3">
          <tpl fld="0" item="0"/>
          <tpl fld="1" item="119"/>
          <tpl fld="4" item="12"/>
        </tpls>
      </m>
      <m in="0">
        <tpls c="3">
          <tpl fld="0" item="0"/>
          <tpl fld="1" item="353"/>
          <tpl fld="4" item="10"/>
        </tpls>
      </m>
      <n v="716" in="0">
        <tpls c="3">
          <tpl fld="0" item="0"/>
          <tpl fld="1" item="20"/>
          <tpl fld="4" item="10"/>
        </tpls>
      </n>
      <n v="3" in="0">
        <tpls c="3">
          <tpl fld="0" item="0"/>
          <tpl fld="1" item="324"/>
          <tpl fld="4" item="11"/>
        </tpls>
      </n>
      <n v="5" in="1">
        <tpls c="3">
          <tpl fld="0" item="0"/>
          <tpl fld="1" item="35"/>
          <tpl fld="4" item="7"/>
        </tpls>
      </n>
      <m in="0">
        <tpls c="3">
          <tpl fld="0" item="0"/>
          <tpl fld="1" item="127"/>
          <tpl fld="4" item="5"/>
        </tpls>
      </m>
      <m in="0">
        <tpls c="3">
          <tpl fld="0" item="0"/>
          <tpl fld="1" item="101"/>
          <tpl fld="4" item="8"/>
        </tpls>
      </m>
      <n v="1" in="0">
        <tpls c="3">
          <tpl fld="0" item="0"/>
          <tpl fld="1" item="42"/>
          <tpl fld="4" item="8"/>
        </tpls>
      </n>
      <m in="0">
        <tpls c="3">
          <tpl fld="0" item="0"/>
          <tpl fld="1" item="170"/>
          <tpl fld="4" item="12"/>
        </tpls>
      </m>
      <n v="65" in="0">
        <tpls c="3">
          <tpl fld="0" item="0"/>
          <tpl fld="1" item="200"/>
          <tpl fld="4" item="10"/>
        </tpls>
      </n>
      <m in="0">
        <tpls c="3">
          <tpl fld="0" item="0"/>
          <tpl fld="1" item="81"/>
          <tpl fld="4" item="11"/>
        </tpls>
      </m>
      <m in="0">
        <tpls c="3">
          <tpl fld="0" item="0"/>
          <tpl fld="1" item="370"/>
          <tpl fld="4" item="9"/>
        </tpls>
      </m>
      <n v="207" in="0">
        <tpls c="3">
          <tpl fld="0" item="0"/>
          <tpl fld="1" item="249"/>
          <tpl fld="4" item="10"/>
        </tpls>
      </n>
      <m in="0">
        <tpls c="3">
          <tpl fld="0" item="0"/>
          <tpl fld="1" item="455"/>
          <tpl fld="4" item="12"/>
        </tpls>
      </m>
      <m in="0">
        <tpls c="3">
          <tpl fld="0" item="0"/>
          <tpl fld="1" item="268"/>
          <tpl fld="4" item="12"/>
        </tpls>
      </m>
      <m in="0">
        <tpls c="3">
          <tpl fld="0" item="0"/>
          <tpl fld="1" item="46"/>
          <tpl fld="4" item="11"/>
        </tpls>
      </m>
      <m in="0">
        <tpls c="3">
          <tpl fld="0" item="0"/>
          <tpl fld="1" item="178"/>
          <tpl fld="4" item="6"/>
        </tpls>
      </m>
      <n v="1" in="0">
        <tpls c="3">
          <tpl fld="0" item="0"/>
          <tpl fld="1" item="368"/>
          <tpl fld="4" item="9"/>
        </tpls>
      </n>
      <m in="0">
        <tpls c="3">
          <tpl fld="0" item="0"/>
          <tpl fld="1" item="259"/>
          <tpl fld="4" item="12"/>
        </tpls>
      </m>
      <m in="0">
        <tpls c="3">
          <tpl fld="0" item="0"/>
          <tpl fld="1" item="113"/>
          <tpl fld="4" item="12"/>
        </tpls>
      </m>
      <n v="1" in="0">
        <tpls c="3">
          <tpl fld="0" item="0"/>
          <tpl fld="1" item="124"/>
          <tpl fld="4" item="9"/>
        </tpls>
      </n>
      <m in="0">
        <tpls c="3">
          <tpl fld="0" item="0"/>
          <tpl fld="1" item="4"/>
          <tpl fld="4" item="8"/>
        </tpls>
      </m>
      <n v="1" in="0">
        <tpls c="3">
          <tpl fld="0" item="0"/>
          <tpl fld="1" item="312"/>
          <tpl fld="4" item="8"/>
        </tpls>
      </n>
      <m in="0">
        <tpls c="3">
          <tpl fld="0" item="0"/>
          <tpl fld="1" item="330"/>
          <tpl fld="4" item="12"/>
        </tpls>
      </m>
      <m in="0">
        <tpls c="3">
          <tpl fld="0" item="0"/>
          <tpl fld="1" item="256"/>
          <tpl fld="4" item="8"/>
        </tpls>
      </m>
      <m in="0">
        <tpls c="3">
          <tpl fld="0" item="0"/>
          <tpl fld="1" item="151"/>
          <tpl fld="4" item="8"/>
        </tpls>
      </m>
      <m in="1">
        <tpls c="3">
          <tpl fld="0" item="0"/>
          <tpl fld="1" item="130"/>
          <tpl fld="4" item="7"/>
        </tpls>
      </m>
      <m in="0">
        <tpls c="3">
          <tpl fld="0" item="0"/>
          <tpl fld="1" item="395"/>
          <tpl fld="4" item="9"/>
        </tpls>
      </m>
      <m in="0">
        <tpls c="3">
          <tpl fld="0" item="0"/>
          <tpl fld="1" item="124"/>
          <tpl fld="4" item="5"/>
        </tpls>
      </m>
      <m in="0">
        <tpls c="3">
          <tpl fld="0" item="0"/>
          <tpl fld="1" item="272"/>
          <tpl fld="4" item="9"/>
        </tpls>
      </m>
      <m in="0">
        <tpls c="3">
          <tpl fld="0" item="0"/>
          <tpl fld="1" item="154"/>
          <tpl fld="4" item="8"/>
        </tpls>
      </m>
      <n v="76" in="1">
        <tpls c="3">
          <tpl fld="0" item="0"/>
          <tpl fld="1" item="350"/>
          <tpl fld="4" item="7"/>
        </tpls>
      </n>
      <m in="0">
        <tpls c="3">
          <tpl fld="0" item="0"/>
          <tpl fld="1" item="188"/>
          <tpl fld="4" item="5"/>
        </tpls>
      </m>
      <m in="0">
        <tpls c="3">
          <tpl fld="0" item="0"/>
          <tpl fld="1" item="344"/>
          <tpl fld="4" item="5"/>
        </tpls>
      </m>
      <m in="1">
        <tpls c="3">
          <tpl fld="0" item="0"/>
          <tpl fld="1" item="237"/>
          <tpl fld="4" item="7"/>
        </tpls>
      </m>
      <m in="0">
        <tpls c="3">
          <tpl fld="0" item="0"/>
          <tpl fld="1" item="331"/>
          <tpl fld="4" item="12"/>
        </tpls>
      </m>
      <m in="0">
        <tpls c="3">
          <tpl fld="0" item="0"/>
          <tpl fld="1" item="97"/>
          <tpl fld="4" item="5"/>
        </tpls>
      </m>
      <m in="0">
        <tpls c="3">
          <tpl fld="0" item="0"/>
          <tpl fld="1" item="439"/>
          <tpl fld="4" item="1"/>
        </tpls>
      </m>
      <m in="0">
        <tpls c="3">
          <tpl fld="0" item="0"/>
          <tpl fld="1" item="397"/>
          <tpl fld="4" item="11"/>
        </tpls>
      </m>
      <n v="1" in="0">
        <tpls c="3">
          <tpl fld="0" item="0"/>
          <tpl fld="1" item="101"/>
          <tpl fld="4" item="11"/>
        </tpls>
      </n>
      <m in="0">
        <tpls c="3">
          <tpl fld="0" item="0"/>
          <tpl fld="1" item="257"/>
          <tpl fld="4" item="8"/>
        </tpls>
      </m>
      <m in="0">
        <tpls c="3">
          <tpl fld="0" item="0"/>
          <tpl fld="1" item="420"/>
          <tpl fld="4" item="11"/>
        </tpls>
      </m>
      <m in="0">
        <tpls c="3">
          <tpl fld="0" item="0"/>
          <tpl fld="1" item="422"/>
          <tpl fld="4" item="12"/>
        </tpls>
      </m>
      <m in="0">
        <tpls c="3">
          <tpl fld="0" item="0"/>
          <tpl fld="1" item="89"/>
          <tpl fld="4" item="1"/>
        </tpls>
      </m>
      <m in="0">
        <tpls c="3">
          <tpl fld="0" item="0"/>
          <tpl fld="1" item="57"/>
          <tpl fld="4" item="9"/>
        </tpls>
      </m>
      <n v="1" in="0">
        <tpls c="3">
          <tpl fld="0" item="0"/>
          <tpl fld="1" item="364"/>
          <tpl fld="4" item="9"/>
        </tpls>
      </n>
      <m in="0">
        <tpls c="3">
          <tpl fld="0" item="0"/>
          <tpl fld="1" item="13"/>
          <tpl fld="4" item="1"/>
        </tpls>
      </m>
      <n v="121" in="1">
        <tpls c="3">
          <tpl fld="0" item="0"/>
          <tpl fld="1" item="148"/>
          <tpl fld="4" item="7"/>
        </tpls>
      </n>
      <m in="0">
        <tpls c="3">
          <tpl fld="0" item="0"/>
          <tpl fld="1" item="243"/>
          <tpl fld="4" item="6"/>
        </tpls>
      </m>
      <m in="0">
        <tpls c="3">
          <tpl fld="0" item="0"/>
          <tpl fld="1" item="439"/>
          <tpl fld="4" item="12"/>
        </tpls>
      </m>
      <m in="0">
        <tpls c="3">
          <tpl fld="0" item="0"/>
          <tpl fld="1" item="447"/>
          <tpl fld="4" item="6"/>
        </tpls>
      </m>
      <m in="0">
        <tpls c="3">
          <tpl fld="0" item="0"/>
          <tpl fld="1" item="112"/>
          <tpl fld="4" item="8"/>
        </tpls>
      </m>
      <m in="0">
        <tpls c="3">
          <tpl fld="0" item="0"/>
          <tpl fld="1" item="163"/>
          <tpl fld="4" item="9"/>
        </tpls>
      </m>
      <m in="1">
        <tpls c="3">
          <tpl fld="0" item="0"/>
          <tpl fld="1" item="26"/>
          <tpl fld="4" item="7"/>
        </tpls>
      </m>
      <m in="0">
        <tpls c="3">
          <tpl fld="0" item="0"/>
          <tpl fld="1" item="168"/>
          <tpl fld="4" item="1"/>
        </tpls>
      </m>
      <n v="343" in="0">
        <tpls c="3">
          <tpl fld="0" item="0"/>
          <tpl fld="1" item="206"/>
          <tpl fld="4" item="10"/>
        </tpls>
      </n>
      <m in="0">
        <tpls c="3">
          <tpl fld="0" item="0"/>
          <tpl fld="1" item="374"/>
          <tpl fld="4" item="14"/>
        </tpls>
      </m>
      <n v="31" in="0">
        <tpls c="3">
          <tpl fld="0" item="0"/>
          <tpl fld="1" item="401"/>
          <tpl fld="4" item="10"/>
        </tpls>
      </n>
      <m in="1">
        <tpls c="3">
          <tpl fld="0" item="0"/>
          <tpl fld="1" item="143"/>
          <tpl fld="4" item="7"/>
        </tpls>
      </m>
      <n v="1" in="0">
        <tpls c="3">
          <tpl fld="0" item="0"/>
          <tpl fld="1" item="7"/>
          <tpl fld="4" item="1"/>
        </tpls>
      </n>
      <n v="71" in="0">
        <tpls c="3">
          <tpl fld="0" item="0"/>
          <tpl fld="1" item="277"/>
          <tpl fld="4" item="14"/>
        </tpls>
      </n>
      <m in="0">
        <tpls c="3">
          <tpl fld="0" item="0"/>
          <tpl fld="1" item="454"/>
          <tpl fld="4" item="8"/>
        </tpls>
      </m>
      <m in="0">
        <tpls c="3">
          <tpl fld="0" item="0"/>
          <tpl fld="1" item="348"/>
          <tpl fld="4" item="6"/>
        </tpls>
      </m>
      <m in="0">
        <tpls c="3">
          <tpl fld="0" item="0"/>
          <tpl fld="1" item="445"/>
          <tpl fld="4" item="11"/>
        </tpls>
      </m>
      <m in="0">
        <tpls c="3">
          <tpl fld="0" item="0"/>
          <tpl fld="1" item="106"/>
          <tpl fld="4" item="9"/>
        </tpls>
      </m>
      <n v="202" in="0">
        <tpls c="3">
          <tpl fld="0" item="0"/>
          <tpl fld="1" item="77"/>
          <tpl fld="4" item="10"/>
        </tpls>
      </n>
      <m in="0">
        <tpls c="3">
          <tpl fld="0" item="0"/>
          <tpl fld="1" item="374"/>
          <tpl fld="4" item="12"/>
        </tpls>
      </m>
      <m in="0">
        <tpls c="3">
          <tpl fld="0" item="0"/>
          <tpl fld="1" item="100"/>
          <tpl fld="4" item="14"/>
        </tpls>
      </m>
      <n v="393" in="0">
        <tpls c="3">
          <tpl fld="0" item="0"/>
          <tpl fld="1" item="351"/>
          <tpl fld="4" item="14"/>
        </tpls>
      </n>
      <m in="0">
        <tpls c="3">
          <tpl fld="0" item="0"/>
          <tpl fld="1" item="284"/>
          <tpl fld="4" item="5"/>
        </tpls>
      </m>
      <m in="0">
        <tpls c="3">
          <tpl fld="0" item="0"/>
          <tpl fld="1" item="73"/>
          <tpl fld="4" item="14"/>
        </tpls>
      </m>
      <n v="8" in="0">
        <tpls c="3">
          <tpl fld="0" item="0"/>
          <tpl fld="1" item="317"/>
          <tpl fld="4" item="13"/>
        </tpls>
      </n>
      <m in="0">
        <tpls c="3">
          <tpl fld="0" item="0"/>
          <tpl fld="1" item="249"/>
          <tpl fld="4" item="9"/>
        </tpls>
      </m>
      <m in="0">
        <tpls c="3">
          <tpl fld="0" item="0"/>
          <tpl fld="1" item="313"/>
          <tpl fld="4" item="5"/>
        </tpls>
      </m>
      <m in="0">
        <tpls c="3">
          <tpl fld="0" item="0"/>
          <tpl fld="1" item="398"/>
          <tpl fld="4" item="14"/>
        </tpls>
      </m>
      <m in="0">
        <tpls c="3">
          <tpl fld="0" item="0"/>
          <tpl fld="1" item="204"/>
          <tpl fld="4" item="12"/>
        </tpls>
      </m>
      <m in="0">
        <tpls c="3">
          <tpl fld="0" item="0"/>
          <tpl fld="1" item="204"/>
          <tpl fld="4" item="5"/>
        </tpls>
      </m>
      <n v="5" in="0">
        <tpls c="3">
          <tpl fld="0" item="0"/>
          <tpl fld="1" item="395"/>
          <tpl fld="4" item="11"/>
        </tpls>
      </n>
      <n v="429" in="0">
        <tpls c="3">
          <tpl fld="0" item="0"/>
          <tpl fld="1" item="264"/>
          <tpl fld="4" item="10"/>
        </tpls>
      </n>
      <m in="0">
        <tpls c="3">
          <tpl fld="0" item="0"/>
          <tpl fld="1" item="375"/>
          <tpl fld="4" item="8"/>
        </tpls>
      </m>
      <m in="0">
        <tpls c="3">
          <tpl fld="0" item="0"/>
          <tpl fld="1" item="305"/>
          <tpl fld="4" item="11"/>
        </tpls>
      </m>
      <m in="0">
        <tpls c="3">
          <tpl fld="0" item="0"/>
          <tpl fld="1" item="59"/>
          <tpl fld="4" item="12"/>
        </tpls>
      </m>
      <n v="164" in="1">
        <tpls c="3">
          <tpl fld="0" item="0"/>
          <tpl fld="1" item="422"/>
          <tpl fld="4" item="7"/>
        </tpls>
      </n>
      <n v="26" in="0">
        <tpls c="3">
          <tpl fld="0" item="0"/>
          <tpl fld="1" item="372"/>
          <tpl fld="4" item="14"/>
        </tpls>
      </n>
      <n v="1" in="0">
        <tpls c="3">
          <tpl fld="0" item="0"/>
          <tpl fld="1" item="433"/>
          <tpl fld="4" item="8"/>
        </tpls>
      </n>
      <m in="0">
        <tpls c="3">
          <tpl fld="0" item="0"/>
          <tpl fld="1" item="58"/>
          <tpl fld="4" item="8"/>
        </tpls>
      </m>
      <m in="0">
        <tpls c="3">
          <tpl fld="0" item="0"/>
          <tpl fld="1" item="56"/>
          <tpl fld="4" item="11"/>
        </tpls>
      </m>
      <m in="0">
        <tpls c="3">
          <tpl fld="0" item="0"/>
          <tpl fld="1" item="69"/>
          <tpl fld="4" item="12"/>
        </tpls>
      </m>
      <n v="1" in="0">
        <tpls c="3">
          <tpl fld="0" item="0"/>
          <tpl fld="1" item="172"/>
          <tpl fld="4" item="9"/>
        </tpls>
      </n>
      <m in="0">
        <tpls c="3">
          <tpl fld="0" item="0"/>
          <tpl fld="1" item="449"/>
          <tpl fld="4" item="1"/>
        </tpls>
      </m>
      <m in="0">
        <tpls c="3">
          <tpl fld="0" item="0"/>
          <tpl fld="1" item="7"/>
          <tpl fld="4" item="12"/>
        </tpls>
      </m>
      <m in="0">
        <tpls c="3">
          <tpl fld="0" item="0"/>
          <tpl fld="1" item="277"/>
          <tpl fld="4" item="11"/>
        </tpls>
      </m>
      <m in="0">
        <tpls c="3">
          <tpl fld="0" item="0"/>
          <tpl fld="1" item="149"/>
          <tpl fld="4" item="5"/>
        </tpls>
      </m>
      <n v="50" in="1">
        <tpls c="3">
          <tpl fld="0" item="0"/>
          <tpl fld="1" item="150"/>
          <tpl fld="4" item="7"/>
        </tpls>
      </n>
      <n v="100" in="0">
        <tpls c="3">
          <tpl fld="0" item="0"/>
          <tpl fld="1" item="194"/>
          <tpl fld="4" item="10"/>
        </tpls>
      </n>
      <m in="0">
        <tpls c="3">
          <tpl fld="0" item="0"/>
          <tpl fld="1" item="274"/>
          <tpl fld="4" item="1"/>
        </tpls>
      </m>
      <m in="0">
        <tpls c="3">
          <tpl fld="0" item="0"/>
          <tpl fld="1" item="12"/>
          <tpl fld="4" item="10"/>
        </tpls>
      </m>
      <m in="0">
        <tpls c="3">
          <tpl fld="0" item="0"/>
          <tpl fld="1" item="152"/>
          <tpl fld="4" item="12"/>
        </tpls>
      </m>
      <n v="125" in="1">
        <tpls c="3">
          <tpl fld="0" item="0"/>
          <tpl fld="1" item="285"/>
          <tpl fld="4" item="7"/>
        </tpls>
      </n>
      <m in="0">
        <tpls c="3">
          <tpl fld="0" item="0"/>
          <tpl fld="1" item="451"/>
          <tpl fld="4" item="1"/>
        </tpls>
      </m>
      <m in="0">
        <tpls c="3">
          <tpl fld="0" item="0"/>
          <tpl fld="1" item="78"/>
          <tpl fld="4" item="12"/>
        </tpls>
      </m>
      <m in="0">
        <tpls c="3">
          <tpl fld="0" item="0"/>
          <tpl fld="1" item="156"/>
          <tpl fld="4" item="12"/>
        </tpls>
      </m>
      <m in="0">
        <tpls c="3">
          <tpl fld="0" item="0"/>
          <tpl fld="1" item="367"/>
          <tpl fld="4" item="9"/>
        </tpls>
      </m>
      <m in="0">
        <tpls c="3">
          <tpl fld="0" item="0"/>
          <tpl fld="1" item="355"/>
          <tpl fld="4" item="1"/>
        </tpls>
      </m>
      <m in="0">
        <tpls c="3">
          <tpl fld="0" item="0"/>
          <tpl fld="1" item="191"/>
          <tpl fld="4" item="9"/>
        </tpls>
      </m>
      <m in="0">
        <tpls c="3">
          <tpl fld="0" item="0"/>
          <tpl fld="1" item="396"/>
          <tpl fld="4" item="11"/>
        </tpls>
      </m>
      <m in="0">
        <tpls c="3">
          <tpl fld="0" item="0"/>
          <tpl fld="1" item="173"/>
          <tpl fld="4" item="12"/>
        </tpls>
      </m>
      <n v="1" in="0">
        <tpls c="3">
          <tpl fld="0" item="0"/>
          <tpl fld="1" item="165"/>
          <tpl fld="4" item="12"/>
        </tpls>
      </n>
      <n v="56" in="1">
        <tpls c="3">
          <tpl fld="0" item="0"/>
          <tpl fld="1" item="274"/>
          <tpl fld="4" item="7"/>
        </tpls>
      </n>
      <n v="85" in="0">
        <tpls c="3">
          <tpl fld="0" item="0"/>
          <tpl fld="1" item="419"/>
          <tpl fld="4" item="10"/>
        </tpls>
      </n>
      <n v="521" in="1">
        <tpls c="3">
          <tpl fld="0" item="0"/>
          <tpl fld="1" item="256"/>
          <tpl fld="4" item="7"/>
        </tpls>
      </n>
      <n v="2" in="0">
        <tpls c="3">
          <tpl fld="0" item="0"/>
          <tpl fld="1" item="68"/>
          <tpl fld="4" item="12"/>
        </tpls>
      </n>
      <m in="0">
        <tpls c="3">
          <tpl fld="0" item="0"/>
          <tpl fld="1" item="346"/>
          <tpl fld="4" item="6"/>
        </tpls>
      </m>
      <m in="0">
        <tpls c="3">
          <tpl fld="0" item="0"/>
          <tpl fld="1" item="306"/>
          <tpl fld="4" item="14"/>
        </tpls>
      </m>
      <m in="0">
        <tpls c="3">
          <tpl fld="0" item="0"/>
          <tpl fld="1" item="399"/>
          <tpl fld="4" item="9"/>
        </tpls>
      </m>
      <n v="2548" in="1">
        <tpls c="3">
          <tpl fld="0" item="0"/>
          <tpl fld="1" item="324"/>
          <tpl fld="4" item="7"/>
        </tpls>
      </n>
      <n v="1" in="0">
        <tpls c="3">
          <tpl fld="0" item="0"/>
          <tpl fld="1" item="424"/>
          <tpl fld="4" item="1"/>
        </tpls>
      </n>
      <n v="3" in="0">
        <tpls c="3">
          <tpl fld="0" item="0"/>
          <tpl fld="1" item="114"/>
          <tpl fld="4" item="11"/>
        </tpls>
      </n>
      <m in="0">
        <tpls c="3">
          <tpl fld="0" item="0"/>
          <tpl fld="1" item="405"/>
          <tpl fld="4" item="5"/>
        </tpls>
      </m>
      <n v="92" in="0">
        <tpls c="3">
          <tpl fld="0" item="0"/>
          <tpl fld="1" item="366"/>
          <tpl fld="4" item="10"/>
        </tpls>
      </n>
      <m in="0">
        <tpls c="3">
          <tpl fld="0" item="0"/>
          <tpl fld="1" item="86"/>
          <tpl fld="4" item="8"/>
        </tpls>
      </m>
      <m in="0">
        <tpls c="3">
          <tpl fld="0" item="0"/>
          <tpl fld="1" item="109"/>
          <tpl fld="4" item="8"/>
        </tpls>
      </m>
      <m in="0">
        <tpls c="3">
          <tpl fld="0" item="0"/>
          <tpl fld="1" item="181"/>
          <tpl fld="4" item="9"/>
        </tpls>
      </m>
      <m in="0">
        <tpls c="3">
          <tpl fld="0" item="0"/>
          <tpl fld="1" item="343"/>
          <tpl fld="4" item="5"/>
        </tpls>
      </m>
      <m in="0">
        <tpls c="3">
          <tpl fld="0" item="0"/>
          <tpl fld="1" item="328"/>
          <tpl fld="4" item="14"/>
        </tpls>
      </m>
      <m in="0">
        <tpls c="3">
          <tpl fld="0" item="0"/>
          <tpl fld="1" item="195"/>
          <tpl fld="4" item="9"/>
        </tpls>
      </m>
      <n v="191" in="0">
        <tpls c="3">
          <tpl fld="0" item="0"/>
          <tpl fld="1" item="140"/>
          <tpl fld="4" item="14"/>
        </tpls>
      </n>
      <n v="7" in="0">
        <tpls c="3">
          <tpl fld="0" item="0"/>
          <tpl fld="1" item="326"/>
          <tpl fld="4" item="13"/>
        </tpls>
      </n>
      <m in="0">
        <tpls c="3">
          <tpl fld="0" item="0"/>
          <tpl fld="1" item="384"/>
          <tpl fld="4" item="11"/>
        </tpls>
      </m>
      <m in="0">
        <tpls c="3">
          <tpl fld="0" item="0"/>
          <tpl fld="1" item="249"/>
          <tpl fld="4" item="12"/>
        </tpls>
      </m>
      <n v="11" in="0">
        <tpls c="3">
          <tpl fld="0" item="0"/>
          <tpl fld="1" item="7"/>
          <tpl fld="4" item="13"/>
        </tpls>
      </n>
      <m in="0">
        <tpls c="3">
          <tpl fld="0" item="0"/>
          <tpl fld="1" item="111"/>
          <tpl fld="4" item="12"/>
        </tpls>
      </m>
      <n v="2136" in="0">
        <tpls c="3">
          <tpl fld="0" item="0"/>
          <tpl fld="1" item="225"/>
          <tpl fld="4" item="10"/>
        </tpls>
      </n>
      <n v="189" in="0">
        <tpls c="3">
          <tpl fld="0" item="0"/>
          <tpl fld="1" item="9"/>
          <tpl fld="4" item="10"/>
        </tpls>
      </n>
      <m in="0">
        <tpls c="3">
          <tpl fld="0" item="0"/>
          <tpl fld="1" item="374"/>
          <tpl fld="4" item="5"/>
        </tpls>
      </m>
      <m in="0">
        <tpls c="3">
          <tpl fld="0" item="0"/>
          <tpl fld="1" item="399"/>
          <tpl fld="4" item="14"/>
        </tpls>
      </m>
      <n v="958" in="1">
        <tpls c="3">
          <tpl fld="0" item="0"/>
          <tpl fld="1" item="111"/>
          <tpl fld="4" item="7"/>
        </tpls>
      </n>
      <m in="0">
        <tpls c="3">
          <tpl fld="0" item="0"/>
          <tpl fld="1" item="236"/>
          <tpl fld="4" item="11"/>
        </tpls>
      </m>
      <m in="0">
        <tpls c="3">
          <tpl fld="0" item="0"/>
          <tpl fld="1" item="26"/>
          <tpl fld="4" item="8"/>
        </tpls>
      </m>
      <m in="0">
        <tpls c="3">
          <tpl fld="0" item="0"/>
          <tpl fld="1" item="100"/>
          <tpl fld="4" item="12"/>
        </tpls>
      </m>
      <m in="0">
        <tpls c="3">
          <tpl fld="0" item="0"/>
          <tpl fld="1" item="251"/>
          <tpl fld="4" item="12"/>
        </tpls>
      </m>
      <m in="0">
        <tpls c="3">
          <tpl fld="0" item="0"/>
          <tpl fld="1" item="433"/>
          <tpl fld="4" item="5"/>
        </tpls>
      </m>
      <n v="1" in="0">
        <tpls c="3">
          <tpl fld="0" item="0"/>
          <tpl fld="1" item="87"/>
          <tpl fld="4" item="12"/>
        </tpls>
      </n>
      <m in="0">
        <tpls c="3">
          <tpl fld="0" item="0"/>
          <tpl fld="1" item="260"/>
          <tpl fld="4" item="12"/>
        </tpls>
      </m>
      <m in="0">
        <tpls c="3">
          <tpl fld="0" item="0"/>
          <tpl fld="1" item="144"/>
          <tpl fld="4" item="6"/>
        </tpls>
      </m>
      <m in="0">
        <tpls c="3">
          <tpl fld="0" item="0"/>
          <tpl fld="1" item="97"/>
          <tpl fld="4" item="8"/>
        </tpls>
      </m>
      <m in="0">
        <tpls c="3">
          <tpl fld="0" item="0"/>
          <tpl fld="1" item="406"/>
          <tpl fld="4" item="8"/>
        </tpls>
      </m>
      <m in="0">
        <tpls c="3">
          <tpl fld="0" item="0"/>
          <tpl fld="1" item="66"/>
          <tpl fld="4" item="6"/>
        </tpls>
      </m>
      <m in="1">
        <tpls c="3">
          <tpl fld="0" item="0"/>
          <tpl fld="1" item="378"/>
          <tpl fld="4" item="7"/>
        </tpls>
      </m>
      <m in="0">
        <tpls c="3">
          <tpl fld="0" item="0"/>
          <tpl fld="1" item="147"/>
          <tpl fld="4" item="11"/>
        </tpls>
      </m>
      <m in="0">
        <tpls c="3">
          <tpl fld="0" item="0"/>
          <tpl fld="1" item="391"/>
          <tpl fld="4" item="6"/>
        </tpls>
      </m>
      <m in="0">
        <tpls c="3">
          <tpl fld="0" item="0"/>
          <tpl fld="1" item="134"/>
          <tpl fld="4" item="8"/>
        </tpls>
      </m>
      <m in="0">
        <tpls c="3">
          <tpl fld="0" item="0"/>
          <tpl fld="1" item="98"/>
          <tpl fld="4" item="8"/>
        </tpls>
      </m>
      <m in="0">
        <tpls c="3">
          <tpl fld="0" item="0"/>
          <tpl fld="1" item="67"/>
          <tpl fld="4" item="5"/>
        </tpls>
      </m>
      <m in="0">
        <tpls c="3">
          <tpl fld="0" item="0"/>
          <tpl fld="1" item="48"/>
          <tpl fld="4" item="12"/>
        </tpls>
      </m>
      <n v="66" in="1">
        <tpls c="3">
          <tpl fld="0" item="0"/>
          <tpl fld="1" item="455"/>
          <tpl fld="4" item="7"/>
        </tpls>
      </n>
      <n v="17" in="1">
        <tpls c="3">
          <tpl fld="0" item="0"/>
          <tpl fld="1" item="167"/>
          <tpl fld="4" item="7"/>
        </tpls>
      </n>
      <m in="0">
        <tpls c="3">
          <tpl fld="0" item="0"/>
          <tpl fld="1" item="132"/>
          <tpl fld="4" item="6"/>
        </tpls>
      </m>
      <n v="17" in="0">
        <tpls c="3">
          <tpl fld="0" item="0"/>
          <tpl fld="1" item="227"/>
          <tpl fld="4" item="14"/>
        </tpls>
      </n>
      <m in="0">
        <tpls c="3">
          <tpl fld="0" item="0"/>
          <tpl fld="1" item="12"/>
          <tpl fld="4" item="14"/>
        </tpls>
      </m>
      <m in="0">
        <tpls c="3">
          <tpl fld="0" item="0"/>
          <tpl fld="1" item="161"/>
          <tpl fld="4" item="12"/>
        </tpls>
      </m>
      <n v="15" in="0">
        <tpls c="3">
          <tpl fld="0" item="0"/>
          <tpl fld="1" item="167"/>
          <tpl fld="4" item="14"/>
        </tpls>
      </n>
      <m in="0">
        <tpls c="3">
          <tpl fld="0" item="0"/>
          <tpl fld="1" item="301"/>
          <tpl fld="4" item="9"/>
        </tpls>
      </m>
      <n v="18" in="0">
        <tpls c="3">
          <tpl fld="0" item="0"/>
          <tpl fld="1" item="162"/>
          <tpl fld="4" item="10"/>
        </tpls>
      </n>
      <m in="0">
        <tpls c="3">
          <tpl fld="0" item="0"/>
          <tpl fld="1" item="373"/>
          <tpl fld="4" item="9"/>
        </tpls>
      </m>
      <m in="0">
        <tpls c="3">
          <tpl fld="0" item="0"/>
          <tpl fld="1" item="263"/>
          <tpl fld="4" item="11"/>
        </tpls>
      </m>
      <m in="0">
        <tpls c="3">
          <tpl fld="0" item="0"/>
          <tpl fld="1" item="14"/>
          <tpl fld="4" item="5"/>
        </tpls>
      </m>
      <m in="0">
        <tpls c="3">
          <tpl fld="0" item="0"/>
          <tpl fld="1" item="275"/>
          <tpl fld="4" item="12"/>
        </tpls>
      </m>
      <m in="0">
        <tpls c="3">
          <tpl fld="0" item="0"/>
          <tpl fld="1" item="410"/>
          <tpl fld="4" item="9"/>
        </tpls>
      </m>
      <n v="1432" in="1">
        <tpls c="3">
          <tpl fld="0" item="0"/>
          <tpl fld="1" item="452"/>
          <tpl fld="4" item="7"/>
        </tpls>
      </n>
      <m in="0">
        <tpls c="3">
          <tpl fld="0" item="0"/>
          <tpl fld="1" item="42"/>
          <tpl fld="4" item="12"/>
        </tpls>
      </m>
      <m in="0">
        <tpls c="3">
          <tpl fld="0" item="0"/>
          <tpl fld="1" item="263"/>
          <tpl fld="4" item="8"/>
        </tpls>
      </m>
      <m in="1">
        <tpls c="3">
          <tpl fld="0" item="0"/>
          <tpl fld="1" item="147"/>
          <tpl fld="4" item="7"/>
        </tpls>
      </m>
      <m in="0">
        <tpls c="3">
          <tpl fld="0" item="0"/>
          <tpl fld="1" item="166"/>
          <tpl fld="4" item="9"/>
        </tpls>
      </m>
      <n v="19" in="0">
        <tpls c="3">
          <tpl fld="0" item="0"/>
          <tpl fld="1" item="115"/>
          <tpl fld="4" item="10"/>
        </tpls>
      </n>
      <m in="0">
        <tpls c="3">
          <tpl fld="0" item="0"/>
          <tpl fld="1" item="346"/>
          <tpl fld="4" item="10"/>
        </tpls>
      </m>
      <m in="1">
        <tpls c="3">
          <tpl fld="0" item="0"/>
          <tpl fld="1" item="73"/>
          <tpl fld="4" item="7"/>
        </tpls>
      </m>
      <n v="49" in="1">
        <tpls c="3">
          <tpl fld="0" item="0"/>
          <tpl fld="1" item="44"/>
          <tpl fld="4" item="7"/>
        </tpls>
      </n>
      <m in="0">
        <tpls c="3">
          <tpl fld="0" item="0"/>
          <tpl fld="1" item="137"/>
          <tpl fld="4" item="8"/>
        </tpls>
      </m>
      <m in="0">
        <tpls c="3">
          <tpl fld="0" item="0"/>
          <tpl fld="1" item="8"/>
          <tpl fld="4" item="12"/>
        </tpls>
      </m>
      <n v="2" in="0">
        <tpls c="3">
          <tpl fld="0" item="0"/>
          <tpl fld="1" item="377"/>
          <tpl fld="4" item="9"/>
        </tpls>
      </n>
      <n v="4" in="0">
        <tpls c="3">
          <tpl fld="0" item="0"/>
          <tpl fld="1" item="153"/>
          <tpl fld="4" item="14"/>
        </tpls>
      </n>
      <m in="0">
        <tpls c="3">
          <tpl fld="0" item="0"/>
          <tpl fld="1" item="92"/>
          <tpl fld="4" item="13"/>
        </tpls>
      </m>
      <m in="0">
        <tpls c="3">
          <tpl fld="0" item="0"/>
          <tpl fld="1" item="145"/>
          <tpl fld="4" item="10"/>
        </tpls>
      </m>
      <n v="18" in="0">
        <tpls c="3">
          <tpl fld="0" item="0"/>
          <tpl fld="1" item="168"/>
          <tpl fld="4" item="14"/>
        </tpls>
      </n>
      <n v="5" in="0">
        <tpls c="3">
          <tpl fld="0" item="0"/>
          <tpl fld="1" item="2"/>
          <tpl fld="4" item="14"/>
        </tpls>
      </n>
      <m in="0">
        <tpls c="3">
          <tpl fld="0" item="0"/>
          <tpl fld="1" item="5"/>
          <tpl fld="4" item="8"/>
        </tpls>
      </m>
      <n v="14" in="0">
        <tpls c="3">
          <tpl fld="0" item="0"/>
          <tpl fld="1" item="107"/>
          <tpl fld="4" item="9"/>
        </tpls>
      </n>
      <m in="0">
        <tpls c="3">
          <tpl fld="0" item="0"/>
          <tpl fld="1" item="436"/>
          <tpl fld="4" item="8"/>
        </tpls>
      </m>
      <n v="17" in="0">
        <tpls c="3">
          <tpl fld="0" item="0"/>
          <tpl fld="1" item="315"/>
          <tpl fld="4" item="14"/>
        </tpls>
      </n>
      <m in="0">
        <tpls c="3">
          <tpl fld="0" item="0"/>
          <tpl fld="1" item="91"/>
          <tpl fld="4" item="11"/>
        </tpls>
      </m>
      <m in="0">
        <tpls c="3">
          <tpl fld="0" item="0"/>
          <tpl fld="1" item="428"/>
          <tpl fld="4" item="14"/>
        </tpls>
      </m>
      <n v="114" in="0">
        <tpls c="3">
          <tpl fld="0" item="0"/>
          <tpl fld="1" item="456"/>
          <tpl fld="4" item="10"/>
        </tpls>
      </n>
      <m in="0">
        <tpls c="3">
          <tpl fld="0" item="0"/>
          <tpl fld="1" item="128"/>
          <tpl fld="4" item="9"/>
        </tpls>
      </m>
      <m in="0">
        <tpls c="3">
          <tpl fld="0" item="0"/>
          <tpl fld="1" item="170"/>
          <tpl fld="4" item="9"/>
        </tpls>
      </m>
      <n v="325" in="1">
        <tpls c="3">
          <tpl fld="0" item="0"/>
          <tpl fld="1" item="255"/>
          <tpl fld="4" item="7"/>
        </tpls>
      </n>
      <n v="151" in="0">
        <tpls c="3">
          <tpl fld="0" item="0"/>
          <tpl fld="1" item="28"/>
          <tpl fld="4" item="10"/>
        </tpls>
      </n>
      <m in="0">
        <tpls c="3">
          <tpl fld="0" item="0"/>
          <tpl fld="1" item="63"/>
          <tpl fld="4" item="13"/>
        </tpls>
      </m>
      <m in="1">
        <tpls c="3">
          <tpl fld="0" item="0"/>
          <tpl fld="1" item="260"/>
          <tpl fld="4" item="7"/>
        </tpls>
      </m>
      <m in="0">
        <tpls c="3">
          <tpl fld="0" item="0"/>
          <tpl fld="1" item="156"/>
          <tpl fld="4" item="9"/>
        </tpls>
      </m>
      <n v="6" in="0">
        <tpls c="3">
          <tpl fld="0" item="0"/>
          <tpl fld="1" item="380"/>
          <tpl fld="4" item="11"/>
        </tpls>
      </n>
      <m in="0">
        <tpls c="3">
          <tpl fld="0" item="0"/>
          <tpl fld="1" item="368"/>
          <tpl fld="4" item="12"/>
        </tpls>
      </m>
      <m in="0">
        <tpls c="3">
          <tpl fld="0" item="0"/>
          <tpl fld="1" item="197"/>
          <tpl fld="4" item="12"/>
        </tpls>
      </m>
      <m in="0">
        <tpls c="3">
          <tpl fld="0" item="0"/>
          <tpl fld="1" item="219"/>
          <tpl fld="4" item="9"/>
        </tpls>
      </m>
      <n v="6" in="0">
        <tpls c="3">
          <tpl fld="0" item="0"/>
          <tpl fld="1" item="153"/>
          <tpl fld="4" item="10"/>
        </tpls>
      </n>
      <m in="0">
        <tpls c="3">
          <tpl fld="0" item="0"/>
          <tpl fld="1" item="383"/>
          <tpl fld="4" item="12"/>
        </tpls>
      </m>
      <m in="0">
        <tpls c="3">
          <tpl fld="0" item="0"/>
          <tpl fld="1" item="50"/>
          <tpl fld="4" item="8"/>
        </tpls>
      </m>
      <m in="0">
        <tpls c="3">
          <tpl fld="0" item="0"/>
          <tpl fld="1" item="59"/>
          <tpl fld="4" item="11"/>
        </tpls>
      </m>
      <m in="0">
        <tpls c="3">
          <tpl fld="0" item="0"/>
          <tpl fld="1" item="403"/>
          <tpl fld="4" item="9"/>
        </tpls>
      </m>
      <n v="1" in="0">
        <tpls c="3">
          <tpl fld="0" item="0"/>
          <tpl fld="1" item="206"/>
          <tpl fld="4" item="8"/>
        </tpls>
      </n>
      <m in="0">
        <tpls c="3">
          <tpl fld="0" item="0"/>
          <tpl fld="1" item="454"/>
          <tpl fld="4" item="1"/>
        </tpls>
      </m>
      <n v="133" in="1">
        <tpls c="3">
          <tpl fld="0" item="0"/>
          <tpl fld="1" item="54"/>
          <tpl fld="4" item="7"/>
        </tpls>
      </n>
      <m in="0">
        <tpls c="3">
          <tpl fld="0" item="0"/>
          <tpl fld="1" item="371"/>
          <tpl fld="4" item="5"/>
        </tpls>
      </m>
      <m in="0">
        <tpls c="3">
          <tpl fld="0" item="0"/>
          <tpl fld="1" item="434"/>
          <tpl fld="4" item="8"/>
        </tpls>
      </m>
      <n v="32" in="0">
        <tpls c="3">
          <tpl fld="0" item="0"/>
          <tpl fld="1" item="425"/>
          <tpl fld="4" item="14"/>
        </tpls>
      </n>
      <m in="0">
        <tpls c="3">
          <tpl fld="0" item="0"/>
          <tpl fld="1" item="276"/>
          <tpl fld="4" item="8"/>
        </tpls>
      </m>
      <m in="0">
        <tpls c="3">
          <tpl fld="0" item="0"/>
          <tpl fld="1" item="250"/>
          <tpl fld="4" item="12"/>
        </tpls>
      </m>
      <m in="0">
        <tpls c="3">
          <tpl fld="0" item="0"/>
          <tpl fld="1" item="171"/>
          <tpl fld="4" item="11"/>
        </tpls>
      </m>
      <n v="501" in="0">
        <tpls c="3">
          <tpl fld="0" item="0"/>
          <tpl fld="1" item="41"/>
          <tpl fld="4" item="10"/>
        </tpls>
      </n>
      <n v="1" in="0">
        <tpls c="3">
          <tpl fld="0" item="0"/>
          <tpl fld="1" item="141"/>
          <tpl fld="4" item="8"/>
        </tpls>
      </n>
      <m in="0">
        <tpls c="3">
          <tpl fld="0" item="0"/>
          <tpl fld="1" item="122"/>
          <tpl fld="4" item="9"/>
        </tpls>
      </m>
      <m in="1">
        <tpls c="3">
          <tpl fld="0" item="0"/>
          <tpl fld="1" item="228"/>
          <tpl fld="4" item="7"/>
        </tpls>
      </m>
      <m in="0">
        <tpls c="3">
          <tpl fld="0" item="0"/>
          <tpl fld="1" item="113"/>
          <tpl fld="4" item="1"/>
        </tpls>
      </m>
      <n v="208" in="0">
        <tpls c="3">
          <tpl fld="0" item="0"/>
          <tpl fld="1" item="33"/>
          <tpl fld="4" item="14"/>
        </tpls>
      </n>
      <n v="441" in="0">
        <tpls c="3">
          <tpl fld="0" item="0"/>
          <tpl fld="1" item="104"/>
          <tpl fld="4" item="10"/>
        </tpls>
      </n>
      <m in="0">
        <tpls c="3">
          <tpl fld="0" item="0"/>
          <tpl fld="1" item="69"/>
          <tpl fld="4" item="14"/>
        </tpls>
      </m>
      <n v="175" in="0">
        <tpls c="3">
          <tpl fld="0" item="0"/>
          <tpl fld="1" item="121"/>
          <tpl fld="4" item="10"/>
        </tpls>
      </n>
      <m in="1">
        <tpls c="3">
          <tpl fld="0" item="0"/>
          <tpl fld="1" item="190"/>
          <tpl fld="4" item="7"/>
        </tpls>
      </m>
      <m in="0">
        <tpls c="3">
          <tpl fld="0" item="0"/>
          <tpl fld="1" item="78"/>
          <tpl fld="4" item="8"/>
        </tpls>
      </m>
      <n v="1" in="0">
        <tpls c="3">
          <tpl fld="0" item="0"/>
          <tpl fld="1" item="11"/>
          <tpl fld="4" item="9"/>
        </tpls>
      </n>
      <n v="65" in="0">
        <tpls c="3">
          <tpl fld="0" item="0"/>
          <tpl fld="1" item="332"/>
          <tpl fld="4" item="10"/>
        </tpls>
      </n>
      <m in="0">
        <tpls c="3">
          <tpl fld="0" item="0"/>
          <tpl fld="1" item="43"/>
          <tpl fld="4" item="14"/>
        </tpls>
      </m>
      <m in="0">
        <tpls c="3">
          <tpl fld="0" item="0"/>
          <tpl fld="1" item="55"/>
          <tpl fld="4" item="8"/>
        </tpls>
      </m>
      <n v="7" in="0">
        <tpls c="3">
          <tpl fld="0" item="0"/>
          <tpl fld="1" item="4"/>
          <tpl fld="4" item="14"/>
        </tpls>
      </n>
      <m in="0">
        <tpls c="3">
          <tpl fld="0" item="0"/>
          <tpl fld="1" item="341"/>
          <tpl fld="4" item="12"/>
        </tpls>
      </m>
      <m in="0">
        <tpls c="3">
          <tpl fld="0" item="0"/>
          <tpl fld="1" item="244"/>
          <tpl fld="4" item="9"/>
        </tpls>
      </m>
      <m in="0">
        <tpls c="3">
          <tpl fld="0" item="0"/>
          <tpl fld="1" item="196"/>
          <tpl fld="4" item="12"/>
        </tpls>
      </m>
      <m in="0">
        <tpls c="3">
          <tpl fld="0" item="0"/>
          <tpl fld="1" item="222"/>
          <tpl fld="4" item="9"/>
        </tpls>
      </m>
      <m in="0">
        <tpls c="3">
          <tpl fld="0" item="0"/>
          <tpl fld="1" item="155"/>
          <tpl fld="4" item="11"/>
        </tpls>
      </m>
      <m in="0">
        <tpls c="3">
          <tpl fld="0" item="0"/>
          <tpl fld="1" item="59"/>
          <tpl fld="4" item="5"/>
        </tpls>
      </m>
      <m in="0">
        <tpls c="3">
          <tpl fld="0" item="0"/>
          <tpl fld="1" item="391"/>
          <tpl fld="4" item="12"/>
        </tpls>
      </m>
      <m in="0">
        <tpls c="3">
          <tpl fld="0" item="0"/>
          <tpl fld="1" item="402"/>
          <tpl fld="4" item="8"/>
        </tpls>
      </m>
      <n v="3" in="0">
        <tpls c="3">
          <tpl fld="0" item="0"/>
          <tpl fld="1" item="144"/>
          <tpl fld="4" item="1"/>
        </tpls>
      </n>
      <n v="1" in="0">
        <tpls c="3">
          <tpl fld="0" item="0"/>
          <tpl fld="1" item="215"/>
          <tpl fld="4" item="11"/>
        </tpls>
      </n>
      <m in="0">
        <tpls c="3">
          <tpl fld="0" item="0"/>
          <tpl fld="1" item="264"/>
          <tpl fld="4" item="12"/>
        </tpls>
      </m>
      <m in="0">
        <tpls c="3">
          <tpl fld="0" item="0"/>
          <tpl fld="1" item="99"/>
          <tpl fld="4" item="12"/>
        </tpls>
      </m>
      <m in="0">
        <tpls c="3">
          <tpl fld="0" item="0"/>
          <tpl fld="1" item="3"/>
          <tpl fld="4" item="5"/>
        </tpls>
      </m>
      <n v="1" in="0">
        <tpls c="3">
          <tpl fld="0" item="0"/>
          <tpl fld="1" item="320"/>
          <tpl fld="4" item="12"/>
        </tpls>
      </n>
      <m in="0">
        <tpls c="3">
          <tpl fld="0" item="0"/>
          <tpl fld="1" item="137"/>
          <tpl fld="4" item="12"/>
        </tpls>
      </m>
      <m in="0">
        <tpls c="3">
          <tpl fld="0" item="0"/>
          <tpl fld="1" item="248"/>
          <tpl fld="4" item="9"/>
        </tpls>
      </m>
      <m in="0">
        <tpls c="3">
          <tpl fld="0" item="0"/>
          <tpl fld="1" item="129"/>
          <tpl fld="4" item="5"/>
        </tpls>
      </m>
      <m in="0">
        <tpls c="3">
          <tpl fld="0" item="0"/>
          <tpl fld="1" item="141"/>
          <tpl fld="4" item="5"/>
        </tpls>
      </m>
      <m in="0">
        <tpls c="3">
          <tpl fld="0" item="0"/>
          <tpl fld="1" item="78"/>
          <tpl fld="4" item="9"/>
        </tpls>
      </m>
      <m in="0">
        <tpls c="3">
          <tpl fld="0" item="0"/>
          <tpl fld="1" item="32"/>
          <tpl fld="4" item="9"/>
        </tpls>
      </m>
      <n v="15" in="0">
        <tpls c="3">
          <tpl fld="0" item="0"/>
          <tpl fld="1" item="59"/>
          <tpl fld="4" item="10"/>
        </tpls>
      </n>
      <m in="1">
        <tpls c="3">
          <tpl fld="0" item="0"/>
          <tpl fld="1" item="123"/>
          <tpl fld="4" item="7"/>
        </tpls>
      </m>
      <m in="0">
        <tpls c="3">
          <tpl fld="0" item="0"/>
          <tpl fld="1" item="200"/>
          <tpl fld="4" item="12"/>
        </tpls>
      </m>
      <m in="0">
        <tpls c="3">
          <tpl fld="0" item="0"/>
          <tpl fld="1" item="376"/>
          <tpl fld="4" item="14"/>
        </tpls>
      </m>
      <m in="0">
        <tpls c="3">
          <tpl fld="0" item="0"/>
          <tpl fld="1" item="92"/>
          <tpl fld="4" item="5"/>
        </tpls>
      </m>
      <m in="0">
        <tpls c="3">
          <tpl fld="0" item="0"/>
          <tpl fld="1" item="185"/>
          <tpl fld="4" item="11"/>
        </tpls>
      </m>
      <m in="1">
        <tpls c="3">
          <tpl fld="0" item="0"/>
          <tpl fld="1" item="19"/>
          <tpl fld="4" item="7"/>
        </tpls>
      </m>
      <m in="0">
        <tpls c="3">
          <tpl fld="0" item="0"/>
          <tpl fld="1" item="215"/>
          <tpl fld="4" item="9"/>
        </tpls>
      </m>
      <n v="14" in="0">
        <tpls c="3">
          <tpl fld="0" item="0"/>
          <tpl fld="1" item="354"/>
          <tpl fld="4" item="14"/>
        </tpls>
      </n>
      <m in="0">
        <tpls c="3">
          <tpl fld="0" item="0"/>
          <tpl fld="1" item="49"/>
          <tpl fld="4" item="12"/>
        </tpls>
      </m>
      <m in="0">
        <tpls c="3">
          <tpl fld="0" item="0"/>
          <tpl fld="1" item="21"/>
          <tpl fld="4" item="9"/>
        </tpls>
      </m>
      <m in="0">
        <tpls c="3">
          <tpl fld="0" item="0"/>
          <tpl fld="1" item="102"/>
          <tpl fld="4" item="8"/>
        </tpls>
      </m>
      <m in="0">
        <tpls c="3">
          <tpl fld="0" item="0"/>
          <tpl fld="1" item="21"/>
          <tpl fld="4" item="11"/>
        </tpls>
      </m>
      <m in="0">
        <tpls c="3">
          <tpl fld="0" item="0"/>
          <tpl fld="1" item="100"/>
          <tpl fld="4" item="5"/>
        </tpls>
      </m>
      <m in="0">
        <tpls c="3">
          <tpl fld="0" item="0"/>
          <tpl fld="1" item="143"/>
          <tpl fld="4" item="14"/>
        </tpls>
      </m>
      <m in="0">
        <tpls c="3">
          <tpl fld="0" item="0"/>
          <tpl fld="1" item="299"/>
          <tpl fld="4" item="12"/>
        </tpls>
      </m>
      <m in="0">
        <tpls c="3">
          <tpl fld="0" item="0"/>
          <tpl fld="1" item="371"/>
          <tpl fld="4" item="8"/>
        </tpls>
      </m>
      <m in="0">
        <tpls c="3">
          <tpl fld="0" item="0"/>
          <tpl fld="1" item="116"/>
          <tpl fld="4" item="9"/>
        </tpls>
      </m>
      <n v="607" in="0">
        <tpls c="3">
          <tpl fld="0" item="0"/>
          <tpl fld="1" item="333"/>
          <tpl fld="4" item="10"/>
        </tpls>
      </n>
      <n v="4" in="0">
        <tpls c="3">
          <tpl fld="0" item="0"/>
          <tpl fld="1" item="81"/>
          <tpl fld="4" item="14"/>
        </tpls>
      </n>
      <m in="0">
        <tpls c="3">
          <tpl fld="0" item="0"/>
          <tpl fld="1" item="227"/>
          <tpl fld="4" item="11"/>
        </tpls>
      </m>
      <m in="0">
        <tpls c="3">
          <tpl fld="0" item="0"/>
          <tpl fld="1" item="15"/>
          <tpl fld="4" item="6"/>
        </tpls>
      </m>
      <m in="0">
        <tpls c="3">
          <tpl fld="0" item="0"/>
          <tpl fld="1" item="34"/>
          <tpl fld="4" item="14"/>
        </tpls>
      </m>
      <n v="12" in="1">
        <tpls c="3">
          <tpl fld="0" item="0"/>
          <tpl fld="1" item="204"/>
          <tpl fld="4" item="7"/>
        </tpls>
      </n>
      <n v="638" in="0">
        <tpls c="3">
          <tpl fld="0" item="0"/>
          <tpl fld="1" item="230"/>
          <tpl fld="4" item="10"/>
        </tpls>
      </n>
      <m in="0">
        <tpls c="3">
          <tpl fld="0" item="0"/>
          <tpl fld="1" item="416"/>
          <tpl fld="4" item="5"/>
        </tpls>
      </m>
      <n v="4" in="0">
        <tpls c="3">
          <tpl fld="0" item="0"/>
          <tpl fld="1" item="183"/>
          <tpl fld="4" item="8"/>
        </tpls>
      </n>
      <m in="0">
        <tpls c="3">
          <tpl fld="0" item="0"/>
          <tpl fld="1" item="229"/>
          <tpl fld="4" item="8"/>
        </tpls>
      </m>
      <m in="0">
        <tpls c="3">
          <tpl fld="0" item="0"/>
          <tpl fld="1" item="268"/>
          <tpl fld="4" item="14"/>
        </tpls>
      </m>
      <m in="0">
        <tpls c="3">
          <tpl fld="0" item="0"/>
          <tpl fld="1" item="324"/>
          <tpl fld="4" item="5"/>
        </tpls>
      </m>
      <m in="0">
        <tpls c="3">
          <tpl fld="0" item="0"/>
          <tpl fld="1" item="287"/>
          <tpl fld="4" item="8"/>
        </tpls>
      </m>
      <m in="1">
        <tpls c="3">
          <tpl fld="0" item="0"/>
          <tpl fld="1" item="404"/>
          <tpl fld="4" item="7"/>
        </tpls>
      </m>
      <m in="0">
        <tpls c="3">
          <tpl fld="0" item="0"/>
          <tpl fld="1" item="437"/>
          <tpl fld="4" item="12"/>
        </tpls>
      </m>
      <n v="1" in="0">
        <tpls c="3">
          <tpl fld="0" item="0"/>
          <tpl fld="1" item="111"/>
          <tpl fld="4" item="8"/>
        </tpls>
      </n>
      <m in="0">
        <tpls c="3">
          <tpl fld="0" item="0"/>
          <tpl fld="1" item="383"/>
          <tpl fld="4" item="8"/>
        </tpls>
      </m>
      <n v="3" in="0">
        <tpls c="3">
          <tpl fld="0" item="0"/>
          <tpl fld="1" item="87"/>
          <tpl fld="4" item="9"/>
        </tpls>
      </n>
      <m in="0">
        <tpls c="3">
          <tpl fld="0" item="0"/>
          <tpl fld="1" item="176"/>
          <tpl fld="4" item="11"/>
        </tpls>
      </m>
      <m in="0">
        <tpls c="3">
          <tpl fld="0" item="0"/>
          <tpl fld="1" item="185"/>
          <tpl fld="4" item="5"/>
        </tpls>
      </m>
      <m in="0">
        <tpls c="3">
          <tpl fld="0" item="0"/>
          <tpl fld="1" item="348"/>
          <tpl fld="4" item="1"/>
        </tpls>
      </m>
      <m in="0">
        <tpls c="3">
          <tpl fld="0" item="0"/>
          <tpl fld="1" item="439"/>
          <tpl fld="4" item="14"/>
        </tpls>
      </m>
      <m in="0">
        <tpls c="3">
          <tpl fld="0" item="0"/>
          <tpl fld="1" item="118"/>
          <tpl fld="4" item="13"/>
        </tpls>
      </m>
      <n v="16" in="0">
        <tpls c="3">
          <tpl fld="0" item="0"/>
          <tpl fld="1" item="133"/>
          <tpl fld="4" item="14"/>
        </tpls>
      </n>
      <m in="0">
        <tpls c="3">
          <tpl fld="0" item="0"/>
          <tpl fld="1" item="282"/>
          <tpl fld="4" item="12"/>
        </tpls>
      </m>
      <m in="0">
        <tpls c="3">
          <tpl fld="0" item="0"/>
          <tpl fld="1" item="456"/>
          <tpl fld="4" item="1"/>
        </tpls>
      </m>
      <m in="0">
        <tpls c="3">
          <tpl fld="0" item="0"/>
          <tpl fld="1" item="199"/>
          <tpl fld="4" item="9"/>
        </tpls>
      </m>
      <m in="0">
        <tpls c="3">
          <tpl fld="0" item="0"/>
          <tpl fld="1" item="329"/>
          <tpl fld="4" item="12"/>
        </tpls>
      </m>
      <m in="0">
        <tpls c="3">
          <tpl fld="0" item="0"/>
          <tpl fld="1" item="254"/>
          <tpl fld="4" item="9"/>
        </tpls>
      </m>
      <n v="2" in="0">
        <tpls c="3">
          <tpl fld="0" item="0"/>
          <tpl fld="1" item="447"/>
          <tpl fld="4" item="12"/>
        </tpls>
      </n>
      <m in="0">
        <tpls c="3">
          <tpl fld="0" item="0"/>
          <tpl fld="1" item="324"/>
          <tpl fld="4" item="8"/>
        </tpls>
      </m>
      <m in="0">
        <tpls c="3">
          <tpl fld="0" item="0"/>
          <tpl fld="1" item="421"/>
          <tpl fld="4" item="11"/>
        </tpls>
      </m>
      <m in="1">
        <tpls c="3">
          <tpl fld="0" item="0"/>
          <tpl fld="3" item="0"/>
          <tpl fld="4" item="7"/>
        </tpls>
      </m>
      <m in="0">
        <tpls c="3">
          <tpl fld="0" item="0"/>
          <tpl fld="1" item="55"/>
          <tpl fld="4" item="9"/>
        </tpls>
      </m>
      <m in="0">
        <tpls c="3">
          <tpl fld="0" item="0"/>
          <tpl fld="1" item="250"/>
          <tpl fld="4" item="10"/>
        </tpls>
      </m>
      <m in="0">
        <tpls c="3">
          <tpl fld="0" item="0"/>
          <tpl fld="1" item="228"/>
          <tpl fld="4" item="8"/>
        </tpls>
      </m>
      <m in="0">
        <tpls c="3">
          <tpl fld="0" item="0"/>
          <tpl fld="1" item="275"/>
          <tpl fld="4" item="11"/>
        </tpls>
      </m>
      <m in="0">
        <tpls c="3">
          <tpl fld="0" item="0"/>
          <tpl fld="1" item="123"/>
          <tpl fld="4" item="8"/>
        </tpls>
      </m>
      <m in="0">
        <tpls c="3">
          <tpl fld="0" item="0"/>
          <tpl fld="1" item="251"/>
          <tpl fld="4" item="9"/>
        </tpls>
      </m>
      <n v="17" in="1">
        <tpls c="3">
          <tpl fld="0" item="0"/>
          <tpl fld="2" item="0"/>
          <tpl fld="4" item="7"/>
        </tpls>
      </n>
      <n v="23" in="0">
        <tpls c="3">
          <tpl fld="0" item="0"/>
          <tpl fld="1" item="360"/>
          <tpl fld="4" item="14"/>
        </tpls>
      </n>
      <m in="0">
        <tpls c="3">
          <tpl fld="0" item="0"/>
          <tpl fld="1" item="156"/>
          <tpl fld="4" item="14"/>
        </tpls>
      </m>
      <m in="0">
        <tpls c="3">
          <tpl fld="0" item="0"/>
          <tpl fld="1" item="188"/>
          <tpl fld="4" item="12"/>
        </tpls>
      </m>
      <n v="54" in="0">
        <tpls c="3">
          <tpl fld="0" item="0"/>
          <tpl fld="1" item="94"/>
          <tpl fld="4" item="14"/>
        </tpls>
      </n>
      <m in="0">
        <tpls c="3">
          <tpl fld="0" item="0"/>
          <tpl fld="1" item="418"/>
          <tpl fld="4" item="9"/>
        </tpls>
      </m>
      <m in="0">
        <tpls c="3">
          <tpl fld="0" item="0"/>
          <tpl fld="1" item="176"/>
          <tpl fld="4" item="5"/>
        </tpls>
      </m>
      <n v="259" in="0">
        <tpls c="3">
          <tpl fld="0" item="0"/>
          <tpl fld="1" item="101"/>
          <tpl fld="4" item="10"/>
        </tpls>
      </n>
      <m in="0">
        <tpls c="3">
          <tpl fld="0" item="0"/>
          <tpl fld="1" item="342"/>
          <tpl fld="4" item="1"/>
        </tpls>
      </m>
      <m in="0">
        <tpls c="3">
          <tpl fld="0" item="0"/>
          <tpl fld="1" item="22"/>
          <tpl fld="4" item="8"/>
        </tpls>
      </m>
      <m in="0">
        <tpls c="3">
          <tpl fld="0" item="0"/>
          <tpl fld="1" item="419"/>
          <tpl fld="4" item="11"/>
        </tpls>
      </m>
      <m in="0">
        <tpls c="3">
          <tpl fld="0" item="0"/>
          <tpl fld="1" item="24"/>
          <tpl fld="4" item="12"/>
        </tpls>
      </m>
      <m in="0">
        <tpls c="3">
          <tpl fld="0" item="0"/>
          <tpl fld="3" item="0"/>
          <tpl fld="4" item="8"/>
        </tpls>
      </m>
      <n v="4" in="0">
        <tpls c="3">
          <tpl fld="0" item="0"/>
          <tpl fld="1" item="47"/>
          <tpl fld="4" item="8"/>
        </tpls>
      </n>
      <n v="20" in="1">
        <tpls c="3">
          <tpl fld="0" item="0"/>
          <tpl fld="1" item="168"/>
          <tpl fld="4" item="7"/>
        </tpls>
      </n>
      <m in="0">
        <tpls c="3">
          <tpl fld="0" item="0"/>
          <tpl fld="1" item="44"/>
          <tpl fld="4" item="9"/>
        </tpls>
      </m>
      <m in="0">
        <tpls c="3">
          <tpl fld="0" item="0"/>
          <tpl fld="1" item="48"/>
          <tpl fld="4" item="5"/>
        </tpls>
      </m>
      <m in="0">
        <tpls c="3">
          <tpl fld="0" item="0"/>
          <tpl fld="1" item="85"/>
          <tpl fld="4" item="9"/>
        </tpls>
      </m>
      <m in="0">
        <tpls c="3">
          <tpl fld="0" item="0"/>
          <tpl fld="1" item="350"/>
          <tpl fld="4" item="9"/>
        </tpls>
      </m>
      <m in="0">
        <tpls c="3">
          <tpl fld="0" item="0"/>
          <tpl fld="1" item="3"/>
          <tpl fld="4" item="9"/>
        </tpls>
      </m>
      <m in="0">
        <tpls c="3">
          <tpl fld="0" item="0"/>
          <tpl fld="1" item="121"/>
          <tpl fld="4" item="8"/>
        </tpls>
      </m>
      <m in="0">
        <tpls c="3">
          <tpl fld="0" item="0"/>
          <tpl fld="3" item="0"/>
          <tpl fld="4" item="10"/>
        </tpls>
      </m>
      <m in="0">
        <tpls c="3">
          <tpl fld="0" item="0"/>
          <tpl fld="1" item="0"/>
          <tpl fld="4" item="11"/>
        </tpls>
      </m>
      <m in="0">
        <tpls c="3">
          <tpl fld="0" item="0"/>
          <tpl fld="1" item="199"/>
          <tpl fld="4" item="8"/>
        </tpls>
      </m>
      <m in="0">
        <tpls c="3">
          <tpl fld="0" item="0"/>
          <tpl fld="1" item="421"/>
          <tpl fld="4" item="6"/>
        </tpls>
      </m>
      <n v="1" in="0">
        <tpls c="3">
          <tpl fld="0" item="0"/>
          <tpl fld="1" item="333"/>
          <tpl fld="4" item="11"/>
        </tpls>
      </n>
      <m in="0">
        <tpls c="3">
          <tpl fld="0" item="0"/>
          <tpl fld="1" item="4"/>
          <tpl fld="4" item="9"/>
        </tpls>
      </m>
      <m in="0">
        <tpls c="3">
          <tpl fld="0" item="0"/>
          <tpl fld="1" item="401"/>
          <tpl fld="4" item="5"/>
        </tpls>
      </m>
      <n v="1" in="0">
        <tpls c="3">
          <tpl fld="0" item="0"/>
          <tpl fld="1" item="49"/>
          <tpl fld="4" item="8"/>
        </tpls>
      </n>
      <m in="0">
        <tpls c="3">
          <tpl fld="0" item="0"/>
          <tpl fld="1" item="136"/>
          <tpl fld="4" item="5"/>
        </tpls>
      </m>
      <m in="0">
        <tpls c="3">
          <tpl fld="0" item="0"/>
          <tpl fld="1" item="445"/>
          <tpl fld="4" item="6"/>
        </tpls>
      </m>
      <m in="0">
        <tpls c="3">
          <tpl fld="0" item="0"/>
          <tpl fld="1" item="148"/>
          <tpl fld="4" item="1"/>
        </tpls>
      </m>
      <m in="0">
        <tpls c="3">
          <tpl fld="0" item="0"/>
          <tpl fld="1" item="218"/>
          <tpl fld="4" item="8"/>
        </tpls>
      </m>
      <m in="0">
        <tpls c="3">
          <tpl fld="0" item="0"/>
          <tpl fld="1" item="424"/>
          <tpl fld="4" item="9"/>
        </tpls>
      </m>
      <m in="1">
        <tpls c="3">
          <tpl fld="0" item="0"/>
          <tpl fld="1" item="457"/>
          <tpl fld="4" item="7"/>
        </tpls>
      </m>
      <n v="941" in="1">
        <tpls c="3">
          <tpl fld="0" item="0"/>
          <tpl fld="1" item="400"/>
          <tpl fld="4" item="7"/>
        </tpls>
      </n>
      <n v="196" in="0">
        <tpls c="3">
          <tpl fld="0" item="0"/>
          <tpl fld="1" item="233"/>
          <tpl fld="4" item="14"/>
        </tpls>
      </n>
      <m in="0">
        <tpls c="3">
          <tpl fld="0" item="0"/>
          <tpl fld="1" item="437"/>
          <tpl fld="4" item="9"/>
        </tpls>
      </m>
      <m in="0">
        <tpls c="3">
          <tpl fld="0" item="0"/>
          <tpl fld="1" item="457"/>
          <tpl fld="4" item="1"/>
        </tpls>
      </m>
      <m in="0">
        <tpls c="3">
          <tpl fld="0" item="0"/>
          <tpl fld="1" item="344"/>
          <tpl fld="4" item="8"/>
        </tpls>
      </m>
      <m in="0">
        <tpls c="3">
          <tpl fld="0" item="0"/>
          <tpl fld="1" item="328"/>
          <tpl fld="4" item="12"/>
        </tpls>
      </m>
      <m in="0">
        <tpls c="3">
          <tpl fld="0" item="0"/>
          <tpl fld="1" item="417"/>
          <tpl fld="4" item="12"/>
        </tpls>
      </m>
      <m in="0">
        <tpls c="3">
          <tpl fld="0" item="0"/>
          <tpl fld="1" item="223"/>
          <tpl fld="4" item="5"/>
        </tpls>
      </m>
      <m in="0">
        <tpls c="3">
          <tpl fld="0" item="0"/>
          <tpl fld="1" item="43"/>
          <tpl fld="4" item="11"/>
        </tpls>
      </m>
      <n v="4" in="0">
        <tpls c="3">
          <tpl fld="0" item="0"/>
          <tpl fld="1" item="252"/>
          <tpl fld="4" item="14"/>
        </tpls>
      </n>
      <n v="7" in="0">
        <tpls c="3">
          <tpl fld="0" item="0"/>
          <tpl fld="1" item="402"/>
          <tpl fld="4" item="14"/>
        </tpls>
      </n>
      <m in="1">
        <tpls c="3">
          <tpl fld="0" item="0"/>
          <tpl fld="1" item="188"/>
          <tpl fld="4" item="7"/>
        </tpls>
      </m>
      <m in="0">
        <tpls c="3">
          <tpl fld="0" item="0"/>
          <tpl fld="1" item="436"/>
          <tpl fld="4" item="11"/>
        </tpls>
      </m>
      <n v="17" in="0">
        <tpls c="3">
          <tpl fld="0" item="0"/>
          <tpl fld="1" item="203"/>
          <tpl fld="4" item="14"/>
        </tpls>
      </n>
      <m in="0">
        <tpls c="3">
          <tpl fld="0" item="0"/>
          <tpl fld="1" item="104"/>
          <tpl fld="4" item="9"/>
        </tpls>
      </m>
      <m in="0">
        <tpls c="3">
          <tpl fld="0" item="0"/>
          <tpl fld="1" item="75"/>
          <tpl fld="4" item="8"/>
        </tpls>
      </m>
      <m in="0">
        <tpls c="3">
          <tpl fld="0" item="0"/>
          <tpl fld="1" item="9"/>
          <tpl fld="4" item="11"/>
        </tpls>
      </m>
      <m in="0">
        <tpls c="3">
          <tpl fld="0" item="0"/>
          <tpl fld="1" item="36"/>
          <tpl fld="4" item="1"/>
        </tpls>
      </m>
      <m in="0">
        <tpls c="3">
          <tpl fld="0" item="0"/>
          <tpl fld="1" item="263"/>
          <tpl fld="4" item="1"/>
        </tpls>
      </m>
      <m in="0">
        <tpls c="3">
          <tpl fld="0" item="0"/>
          <tpl fld="1" item="1"/>
          <tpl fld="4" item="11"/>
        </tpls>
      </m>
      <n v="1" in="0">
        <tpls c="3">
          <tpl fld="0" item="0"/>
          <tpl fld="1" item="182"/>
          <tpl fld="4" item="9"/>
        </tpls>
      </n>
      <n v="190" in="1">
        <tpls c="3">
          <tpl fld="0" item="0"/>
          <tpl fld="1" item="57"/>
          <tpl fld="4" item="7"/>
        </tpls>
      </n>
      <m in="0">
        <tpls c="3">
          <tpl fld="0" item="0"/>
          <tpl fld="1" item="94"/>
          <tpl fld="4" item="5"/>
        </tpls>
      </m>
      <n v="158" in="1">
        <tpls c="3">
          <tpl fld="0" item="0"/>
          <tpl fld="1" item="326"/>
          <tpl fld="4" item="7"/>
        </tpls>
      </n>
      <n v="99" in="0">
        <tpls c="3">
          <tpl fld="0" item="0"/>
          <tpl fld="1" item="224"/>
          <tpl fld="4" item="10"/>
        </tpls>
      </n>
      <n v="42" in="1">
        <tpls c="3">
          <tpl fld="0" item="0"/>
          <tpl fld="1" item="55"/>
          <tpl fld="4" item="7"/>
        </tpls>
      </n>
      <n v="1" in="0">
        <tpls c="3">
          <tpl fld="0" item="0"/>
          <tpl fld="1" item="339"/>
          <tpl fld="4" item="9"/>
        </tpls>
      </n>
      <m in="0">
        <tpls c="3">
          <tpl fld="0" item="0"/>
          <tpl fld="1" item="443"/>
          <tpl fld="4" item="12"/>
        </tpls>
      </m>
      <n v="190" in="0">
        <tpls c="3">
          <tpl fld="0" item="0"/>
          <tpl fld="1" item="411"/>
          <tpl fld="4" item="10"/>
        </tpls>
      </n>
      <n v="764" in="1">
        <tpls c="3">
          <tpl fld="0" item="0"/>
          <tpl fld="1" item="347"/>
          <tpl fld="4" item="7"/>
        </tpls>
      </n>
      <m in="0">
        <tpls c="3">
          <tpl fld="0" item="0"/>
          <tpl fld="1" item="373"/>
          <tpl fld="4" item="14"/>
        </tpls>
      </m>
      <n v="8" in="0">
        <tpls c="3">
          <tpl fld="0" item="0"/>
          <tpl fld="1" item="329"/>
          <tpl fld="4" item="14"/>
        </tpls>
      </n>
      <m in="0">
        <tpls c="3">
          <tpl fld="0" item="0"/>
          <tpl fld="1" item="63"/>
          <tpl fld="4" item="9"/>
        </tpls>
      </m>
      <m in="0">
        <tpls c="3">
          <tpl fld="0" item="0"/>
          <tpl fld="1" item="181"/>
          <tpl fld="4" item="8"/>
        </tpls>
      </m>
      <m in="0">
        <tpls c="3">
          <tpl fld="0" item="0"/>
          <tpl fld="1" item="206"/>
          <tpl fld="4" item="12"/>
        </tpls>
      </m>
      <m in="0">
        <tpls c="3">
          <tpl fld="0" item="0"/>
          <tpl fld="1" item="386"/>
          <tpl fld="4" item="9"/>
        </tpls>
      </m>
      <m in="0">
        <tpls c="3">
          <tpl fld="0" item="0"/>
          <tpl fld="1" item="72"/>
          <tpl fld="4" item="11"/>
        </tpls>
      </m>
      <m in="0">
        <tpls c="3">
          <tpl fld="0" item="0"/>
          <tpl fld="1" item="202"/>
          <tpl fld="4" item="9"/>
        </tpls>
      </m>
      <m in="0">
        <tpls c="3">
          <tpl fld="0" item="0"/>
          <tpl fld="1" item="163"/>
          <tpl fld="4" item="11"/>
        </tpls>
      </m>
      <m in="0">
        <tpls c="3">
          <tpl fld="0" item="0"/>
          <tpl fld="1" item="134"/>
          <tpl fld="4" item="11"/>
        </tpls>
      </m>
      <m in="0">
        <tpls c="3">
          <tpl fld="0" item="0"/>
          <tpl fld="1" item="444"/>
          <tpl fld="4" item="8"/>
        </tpls>
      </m>
      <n v="2152" in="0">
        <tpls c="3">
          <tpl fld="0" item="0"/>
          <tpl fld="1" item="390"/>
          <tpl fld="4" item="10"/>
        </tpls>
      </n>
      <m in="0">
        <tpls c="3">
          <tpl fld="0" item="0"/>
          <tpl fld="1" item="451"/>
          <tpl fld="4" item="11"/>
        </tpls>
      </m>
      <m in="0">
        <tpls c="3">
          <tpl fld="0" item="0"/>
          <tpl fld="1" item="1"/>
          <tpl fld="4" item="8"/>
        </tpls>
      </m>
      <m in="1">
        <tpls c="3">
          <tpl fld="0" item="0"/>
          <tpl fld="1" item="396"/>
          <tpl fld="4" item="7"/>
        </tpls>
      </m>
      <n v="175" in="0">
        <tpls c="3">
          <tpl fld="0" item="0"/>
          <tpl fld="1" item="138"/>
          <tpl fld="4" item="10"/>
        </tpls>
      </n>
      <m in="0">
        <tpls c="3">
          <tpl fld="0" item="0"/>
          <tpl fld="1" item="356"/>
          <tpl fld="4" item="8"/>
        </tpls>
      </m>
      <m in="0">
        <tpls c="3">
          <tpl fld="0" item="0"/>
          <tpl fld="1" item="392"/>
          <tpl fld="4" item="1"/>
        </tpls>
      </m>
      <m in="0">
        <tpls c="3">
          <tpl fld="0" item="0"/>
          <tpl fld="1" item="250"/>
          <tpl fld="4" item="1"/>
        </tpls>
      </m>
      <m in="0">
        <tpls c="3">
          <tpl fld="0" item="0"/>
          <tpl fld="1" item="428"/>
          <tpl fld="4" item="6"/>
        </tpls>
      </m>
      <m in="0">
        <tpls c="3">
          <tpl fld="0" item="0"/>
          <tpl fld="1" item="346"/>
          <tpl fld="4" item="14"/>
        </tpls>
      </m>
      <m in="0">
        <tpls c="3">
          <tpl fld="0" item="0"/>
          <tpl fld="1" item="449"/>
          <tpl fld="4" item="8"/>
        </tpls>
      </m>
      <m in="0">
        <tpls c="3">
          <tpl fld="0" item="0"/>
          <tpl fld="1" item="147"/>
          <tpl fld="4" item="8"/>
        </tpls>
      </m>
      <m in="0">
        <tpls c="3">
          <tpl fld="0" item="0"/>
          <tpl fld="1" item="362"/>
          <tpl fld="4" item="12"/>
        </tpls>
      </m>
      <m in="0">
        <tpls c="3">
          <tpl fld="0" item="0"/>
          <tpl fld="1" item="453"/>
          <tpl fld="4" item="5"/>
        </tpls>
      </m>
      <m in="0">
        <tpls c="3">
          <tpl fld="0" item="0"/>
          <tpl fld="1" item="352"/>
          <tpl fld="4" item="5"/>
        </tpls>
      </m>
      <m in="0">
        <tpls c="3">
          <tpl fld="0" item="0"/>
          <tpl fld="1" item="268"/>
          <tpl fld="4" item="6"/>
        </tpls>
      </m>
      <n v="70" in="0">
        <tpls c="3">
          <tpl fld="0" item="0"/>
          <tpl fld="1" item="262"/>
          <tpl fld="4" item="14"/>
        </tpls>
      </n>
      <m in="0">
        <tpls c="3">
          <tpl fld="0" item="0"/>
          <tpl fld="1" item="20"/>
          <tpl fld="4" item="9"/>
        </tpls>
      </m>
      <n v="17" in="1">
        <tpls c="3">
          <tpl fld="0" item="0"/>
          <tpl fld="1" item="162"/>
          <tpl fld="4" item="7"/>
        </tpls>
      </n>
      <m in="0">
        <tpls c="3">
          <tpl fld="0" item="0"/>
          <tpl fld="1" item="262"/>
          <tpl fld="4" item="5"/>
        </tpls>
      </m>
      <m in="0">
        <tpls c="3">
          <tpl fld="0" item="0"/>
          <tpl fld="1" item="133"/>
          <tpl fld="4" item="9"/>
        </tpls>
      </m>
      <m in="0">
        <tpls c="3">
          <tpl fld="0" item="0"/>
          <tpl fld="1" item="3"/>
          <tpl fld="4" item="12"/>
        </tpls>
      </m>
      <n v="24" in="1">
        <tpls c="3">
          <tpl fld="0" item="0"/>
          <tpl fld="1" item="180"/>
          <tpl fld="4" item="7"/>
        </tpls>
      </n>
      <m in="0">
        <tpls c="3">
          <tpl fld="0" item="0"/>
          <tpl fld="1" item="356"/>
          <tpl fld="4" item="12"/>
        </tpls>
      </m>
      <m in="0">
        <tpls c="3">
          <tpl fld="0" item="0"/>
          <tpl fld="1" item="382"/>
          <tpl fld="4" item="6"/>
        </tpls>
      </m>
      <m in="0">
        <tpls c="3">
          <tpl fld="0" item="0"/>
          <tpl fld="1" item="388"/>
          <tpl fld="4" item="9"/>
        </tpls>
      </m>
      <m in="0">
        <tpls c="3">
          <tpl fld="0" item="0"/>
          <tpl fld="1" item="74"/>
          <tpl fld="4" item="8"/>
        </tpls>
      </m>
      <n v="4" in="1">
        <tpls c="3">
          <tpl fld="0" item="0"/>
          <tpl fld="1" item="352"/>
          <tpl fld="4" item="7"/>
        </tpls>
      </n>
      <m in="0">
        <tpls c="3">
          <tpl fld="0" item="0"/>
          <tpl fld="1" item="229"/>
          <tpl fld="4" item="14"/>
        </tpls>
      </m>
      <n v="18" in="1">
        <tpls c="3">
          <tpl fld="0" item="0"/>
          <tpl fld="1" item="2"/>
          <tpl fld="4" item="7"/>
        </tpls>
      </n>
      <m in="0">
        <tpls c="3">
          <tpl fld="0" item="0"/>
          <tpl fld="1" item="188"/>
          <tpl fld="4" item="11"/>
        </tpls>
      </m>
      <m in="0">
        <tpls c="3">
          <tpl fld="0" item="0"/>
          <tpl fld="1" item="13"/>
          <tpl fld="4" item="5"/>
        </tpls>
      </m>
      <m in="0">
        <tpls c="3">
          <tpl fld="0" item="0"/>
          <tpl fld="1" item="62"/>
          <tpl fld="4" item="12"/>
        </tpls>
      </m>
      <m in="0">
        <tpls c="3">
          <tpl fld="0" item="0"/>
          <tpl fld="1" item="238"/>
          <tpl fld="4" item="11"/>
        </tpls>
      </m>
      <m in="0">
        <tpls c="3">
          <tpl fld="0" item="0"/>
          <tpl fld="1" item="193"/>
          <tpl fld="4" item="12"/>
        </tpls>
      </m>
      <m in="1">
        <tpls c="3">
          <tpl fld="0" item="0"/>
          <tpl fld="1" item="146"/>
          <tpl fld="4" item="7"/>
        </tpls>
      </m>
      <n v="12" in="0">
        <tpls c="3">
          <tpl fld="0" item="0"/>
          <tpl fld="1" item="447"/>
          <tpl fld="4" item="1"/>
        </tpls>
      </n>
      <n v="58" in="0">
        <tpls c="3">
          <tpl fld="0" item="0"/>
          <tpl fld="1" item="444"/>
          <tpl fld="4" item="10"/>
        </tpls>
      </n>
      <m in="0">
        <tpls c="3">
          <tpl fld="0" item="0"/>
          <tpl fld="1" item="272"/>
          <tpl fld="4" item="12"/>
        </tpls>
      </m>
      <m in="0">
        <tpls c="3">
          <tpl fld="0" item="0"/>
          <tpl fld="1" item="190"/>
          <tpl fld="4" item="8"/>
        </tpls>
      </m>
      <m in="0">
        <tpls c="3">
          <tpl fld="0" item="0"/>
          <tpl fld="3" item="0"/>
          <tpl fld="4" item="14"/>
        </tpls>
      </m>
      <m in="0">
        <tpls c="3">
          <tpl fld="0" item="0"/>
          <tpl fld="1" item="153"/>
          <tpl fld="4" item="9"/>
        </tpls>
      </m>
      <m in="0">
        <tpls c="3">
          <tpl fld="0" item="0"/>
          <tpl fld="1" item="44"/>
          <tpl fld="4" item="11"/>
        </tpls>
      </m>
      <m in="0">
        <tpls c="3">
          <tpl fld="0" item="0"/>
          <tpl fld="1" item="81"/>
          <tpl fld="4" item="9"/>
        </tpls>
      </m>
      <m in="0">
        <tpls c="3">
          <tpl fld="0" item="0"/>
          <tpl fld="1" item="359"/>
          <tpl fld="4" item="11"/>
        </tpls>
      </m>
      <m in="0">
        <tpls c="3">
          <tpl fld="0" item="0"/>
          <tpl fld="1" item="77"/>
          <tpl fld="4" item="12"/>
        </tpls>
      </m>
      <m in="0">
        <tpls c="3">
          <tpl fld="0" item="0"/>
          <tpl fld="1" item="82"/>
          <tpl fld="4" item="6"/>
        </tpls>
      </m>
      <n v="2" in="0">
        <tpls c="3">
          <tpl fld="0" item="0"/>
          <tpl fld="1" item="82"/>
          <tpl fld="4" item="8"/>
        </tpls>
      </n>
      <n v="622" in="1">
        <tpls c="3">
          <tpl fld="0" item="0"/>
          <tpl fld="1" item="230"/>
          <tpl fld="4" item="7"/>
        </tpls>
      </n>
      <m in="0">
        <tpls c="3">
          <tpl fld="0" item="0"/>
          <tpl fld="1" item="186"/>
          <tpl fld="4" item="8"/>
        </tpls>
      </m>
      <m in="0">
        <tpls c="3">
          <tpl fld="0" item="0"/>
          <tpl fld="1" item="346"/>
          <tpl fld="4" item="9"/>
        </tpls>
      </m>
      <m in="0">
        <tpls c="3">
          <tpl fld="0" item="0"/>
          <tpl fld="1" item="60"/>
          <tpl fld="4" item="5"/>
        </tpls>
      </m>
      <n v="85" in="0">
        <tpls c="3">
          <tpl fld="0" item="0"/>
          <tpl fld="1" item="403"/>
          <tpl fld="4" item="10"/>
        </tpls>
      </n>
      <m in="0">
        <tpls c="3">
          <tpl fld="0" item="0"/>
          <tpl fld="1" item="7"/>
          <tpl fld="4" item="5"/>
        </tpls>
      </m>
      <m in="1">
        <tpls c="3">
          <tpl fld="0" item="0"/>
          <tpl fld="1" item="268"/>
          <tpl fld="4" item="7"/>
        </tpls>
      </m>
      <n v="84" in="1">
        <tpls c="3">
          <tpl fld="0" item="0"/>
          <tpl fld="1" item="161"/>
          <tpl fld="4" item="7"/>
        </tpls>
      </n>
      <m in="0">
        <tpls c="3">
          <tpl fld="0" item="0"/>
          <tpl fld="1" item="133"/>
          <tpl fld="4" item="12"/>
        </tpls>
      </m>
      <n v="82" in="0">
        <tpls c="3">
          <tpl fld="0" item="0"/>
          <tpl fld="1" item="172"/>
          <tpl fld="4" item="10"/>
        </tpls>
      </n>
      <m in="0">
        <tpls c="3">
          <tpl fld="0" item="0"/>
          <tpl fld="1" item="298"/>
          <tpl fld="4" item="1"/>
        </tpls>
      </m>
      <m in="0">
        <tpls c="3">
          <tpl fld="0" item="0"/>
          <tpl fld="1" item="345"/>
          <tpl fld="4" item="14"/>
        </tpls>
      </m>
      <n v="19" in="0">
        <tpls c="3">
          <tpl fld="0" item="0"/>
          <tpl fld="1" item="200"/>
          <tpl fld="4" item="14"/>
        </tpls>
      </n>
      <n v="50" in="0">
        <tpls c="3">
          <tpl fld="0" item="0"/>
          <tpl fld="1" item="44"/>
          <tpl fld="4" item="10"/>
        </tpls>
      </n>
      <m in="0">
        <tpls c="3">
          <tpl fld="0" item="0"/>
          <tpl fld="1" item="135"/>
          <tpl fld="4" item="14"/>
        </tpls>
      </m>
      <m in="0">
        <tpls c="3">
          <tpl fld="0" item="0"/>
          <tpl fld="1" item="279"/>
          <tpl fld="4" item="9"/>
        </tpls>
      </m>
      <n v="10" in="0">
        <tpls c="3">
          <tpl fld="0" item="0"/>
          <tpl fld="1" item="225"/>
          <tpl fld="4" item="1"/>
        </tpls>
      </n>
      <n v="1" in="0">
        <tpls c="3">
          <tpl fld="0" item="0"/>
          <tpl fld="1" item="57"/>
          <tpl fld="4" item="8"/>
        </tpls>
      </n>
      <m in="0">
        <tpls c="3">
          <tpl fld="0" item="0"/>
          <tpl fld="1" item="289"/>
          <tpl fld="4" item="8"/>
        </tpls>
      </m>
      <m in="0">
        <tpls c="3">
          <tpl fld="0" item="0"/>
          <tpl fld="1" item="26"/>
          <tpl fld="4" item="12"/>
        </tpls>
      </m>
      <m in="0">
        <tpls c="3">
          <tpl fld="0" item="0"/>
          <tpl fld="1" item="240"/>
          <tpl fld="4" item="8"/>
        </tpls>
      </m>
      <m in="0">
        <tpls c="3">
          <tpl fld="0" item="0"/>
          <tpl fld="1" item="290"/>
          <tpl fld="4" item="11"/>
        </tpls>
      </m>
      <m in="0">
        <tpls c="3">
          <tpl fld="0" item="0"/>
          <tpl fld="1" item="130"/>
          <tpl fld="4" item="6"/>
        </tpls>
      </m>
      <m in="0">
        <tpls c="3">
          <tpl fld="0" item="0"/>
          <tpl fld="1" item="61"/>
          <tpl fld="4" item="8"/>
        </tpls>
      </m>
      <m in="0">
        <tpls c="3">
          <tpl fld="0" item="0"/>
          <tpl fld="1" item="397"/>
          <tpl fld="4" item="8"/>
        </tpls>
      </m>
      <m in="0">
        <tpls c="3">
          <tpl fld="0" item="0"/>
          <tpl fld="1" item="171"/>
          <tpl fld="4" item="12"/>
        </tpls>
      </m>
      <m in="0">
        <tpls c="3">
          <tpl fld="0" item="0"/>
          <tpl fld="1" item="400"/>
          <tpl fld="4" item="12"/>
        </tpls>
      </m>
      <m in="0">
        <tpls c="3">
          <tpl fld="0" item="0"/>
          <tpl fld="1" item="408"/>
          <tpl fld="4" item="8"/>
        </tpls>
      </m>
      <m in="0">
        <tpls c="3">
          <tpl fld="0" item="0"/>
          <tpl fld="1" item="287"/>
          <tpl fld="4" item="12"/>
        </tpls>
      </m>
      <m in="0">
        <tpls c="3">
          <tpl fld="0" item="0"/>
          <tpl fld="1" item="368"/>
          <tpl fld="4" item="5"/>
        </tpls>
      </m>
      <m in="0">
        <tpls c="3">
          <tpl fld="0" item="0"/>
          <tpl fld="1" item="447"/>
          <tpl fld="4" item="5"/>
        </tpls>
      </m>
      <m in="0">
        <tpls c="3">
          <tpl fld="0" item="0"/>
          <tpl fld="1" item="4"/>
          <tpl fld="4" item="1"/>
        </tpls>
      </m>
      <m in="0">
        <tpls c="3">
          <tpl fld="0" item="0"/>
          <tpl fld="1" item="243"/>
          <tpl fld="4" item="11"/>
        </tpls>
      </m>
      <m in="0">
        <tpls c="3">
          <tpl fld="0" item="0"/>
          <tpl fld="1" item="404"/>
          <tpl fld="4" item="9"/>
        </tpls>
      </m>
      <n v="11" in="0">
        <tpls c="3">
          <tpl fld="0" item="0"/>
          <tpl fld="1" item="107"/>
          <tpl fld="4" item="8"/>
        </tpls>
      </n>
      <m in="0">
        <tpls c="3">
          <tpl fld="0" item="0"/>
          <tpl fld="1" item="16"/>
          <tpl fld="4" item="12"/>
        </tpls>
      </m>
      <m in="0">
        <tpls c="3">
          <tpl fld="0" item="0"/>
          <tpl fld="1" item="212"/>
          <tpl fld="4" item="9"/>
        </tpls>
      </m>
      <m in="0">
        <tpls c="3">
          <tpl fld="0" item="0"/>
          <tpl fld="1" item="379"/>
          <tpl fld="4" item="8"/>
        </tpls>
      </m>
      <m in="0">
        <tpls c="3">
          <tpl fld="0" item="0"/>
          <tpl fld="1" item="195"/>
          <tpl fld="4" item="8"/>
        </tpls>
      </m>
      <m in="0">
        <tpls c="3">
          <tpl fld="0" item="0"/>
          <tpl fld="1" item="243"/>
          <tpl fld="4" item="1"/>
        </tpls>
      </m>
      <n v="12" in="0">
        <tpls c="3">
          <tpl fld="0" item="0"/>
          <tpl fld="1" item="356"/>
          <tpl fld="4" item="14"/>
        </tpls>
      </n>
      <m in="0">
        <tpls c="3">
          <tpl fld="0" item="0"/>
          <tpl fld="1" item="156"/>
          <tpl fld="4" item="13"/>
        </tpls>
      </m>
      <m in="0">
        <tpls c="3">
          <tpl fld="0" item="0"/>
          <tpl fld="1" item="399"/>
          <tpl fld="4" item="8"/>
        </tpls>
      </m>
      <n v="268" in="0">
        <tpls c="3">
          <tpl fld="0" item="0"/>
          <tpl fld="1" item="343"/>
          <tpl fld="4" item="14"/>
        </tpls>
      </n>
      <n v="2" in="0">
        <tpls c="3">
          <tpl fld="0" item="0"/>
          <tpl fld="1" item="412"/>
          <tpl fld="4" item="11"/>
        </tpls>
      </n>
      <n v="1" in="0">
        <tpls c="3">
          <tpl fld="0" item="0"/>
          <tpl fld="1" item="424"/>
          <tpl fld="4" item="8"/>
        </tpls>
      </n>
      <m in="0">
        <tpls c="3">
          <tpl fld="0" item="0"/>
          <tpl fld="1" item="320"/>
          <tpl fld="4" item="9"/>
        </tpls>
      </m>
      <m in="0">
        <tpls c="3">
          <tpl fld="0" item="0"/>
          <tpl fld="1" item="317"/>
          <tpl fld="4" item="12"/>
        </tpls>
      </m>
      <m in="0">
        <tpls c="3">
          <tpl fld="0" item="0"/>
          <tpl fld="1" item="278"/>
          <tpl fld="4" item="12"/>
        </tpls>
      </m>
      <n v="22" in="0">
        <tpls c="3">
          <tpl fld="0" item="0"/>
          <tpl fld="1" item="283"/>
          <tpl fld="4" item="10"/>
        </tpls>
      </n>
      <m in="0">
        <tpls c="3">
          <tpl fld="0" item="0"/>
          <tpl fld="1" item="124"/>
          <tpl fld="4" item="12"/>
        </tpls>
      </m>
      <n v="74" in="0">
        <tpls c="3">
          <tpl fld="0" item="0"/>
          <tpl fld="1" item="302"/>
          <tpl fld="4" item="14"/>
        </tpls>
      </n>
      <m in="0">
        <tpls c="3">
          <tpl fld="0" item="0"/>
          <tpl fld="1" item="129"/>
          <tpl fld="4" item="12"/>
        </tpls>
      </m>
      <n v="12" in="1">
        <tpls c="3">
          <tpl fld="0" item="0"/>
          <tpl fld="1" item="137"/>
          <tpl fld="4" item="7"/>
        </tpls>
      </n>
      <n v="1" in="0">
        <tpls c="3">
          <tpl fld="0" item="0"/>
          <tpl fld="1" item="288"/>
          <tpl fld="4" item="9"/>
        </tpls>
      </n>
      <m in="0">
        <tpls c="3">
          <tpl fld="0" item="0"/>
          <tpl fld="1" item="402"/>
          <tpl fld="4" item="5"/>
        </tpls>
      </m>
      <m in="0">
        <tpls c="3">
          <tpl fld="0" item="0"/>
          <tpl fld="1" item="423"/>
          <tpl fld="4" item="14"/>
        </tpls>
      </m>
      <n v="14" in="0">
        <tpls c="3">
          <tpl fld="0" item="0"/>
          <tpl fld="1" item="195"/>
          <tpl fld="4" item="14"/>
        </tpls>
      </n>
      <n v="135" in="0">
        <tpls c="3">
          <tpl fld="0" item="0"/>
          <tpl fld="1" item="317"/>
          <tpl fld="4" item="10"/>
        </tpls>
      </n>
      <n v="21" in="0">
        <tpls c="3">
          <tpl fld="0" item="0"/>
          <tpl fld="1" item="178"/>
          <tpl fld="4" item="10"/>
        </tpls>
      </n>
      <m in="1">
        <tpls c="3">
          <tpl fld="0" item="0"/>
          <tpl fld="1" item="244"/>
          <tpl fld="4" item="7"/>
        </tpls>
      </m>
      <m in="0">
        <tpls c="3">
          <tpl fld="0" item="0"/>
          <tpl fld="1" item="455"/>
          <tpl fld="4" item="6"/>
        </tpls>
      </m>
      <m in="1">
        <tpls c="3">
          <tpl fld="0" item="0"/>
          <tpl fld="1" item="21"/>
          <tpl fld="4" item="7"/>
        </tpls>
      </m>
      <m in="0">
        <tpls c="3">
          <tpl fld="0" item="0"/>
          <tpl fld="1" item="270"/>
          <tpl fld="4" item="5"/>
        </tpls>
      </m>
      <n v="391" in="1">
        <tpls c="3">
          <tpl fld="0" item="0"/>
          <tpl fld="1" item="262"/>
          <tpl fld="4" item="7"/>
        </tpls>
      </n>
      <m in="0">
        <tpls c="3">
          <tpl fld="0" item="0"/>
          <tpl fld="1" item="265"/>
          <tpl fld="4" item="8"/>
        </tpls>
      </m>
      <m in="0">
        <tpls c="3">
          <tpl fld="0" item="0"/>
          <tpl fld="1" item="455"/>
          <tpl fld="4" item="8"/>
        </tpls>
      </m>
      <m in="0">
        <tpls c="3">
          <tpl fld="0" item="0"/>
          <tpl fld="1" item="337"/>
          <tpl fld="4" item="9"/>
        </tpls>
      </m>
      <m in="0">
        <tpls c="3">
          <tpl fld="0" item="0"/>
          <tpl fld="1" item="440"/>
          <tpl fld="4" item="5"/>
        </tpls>
      </m>
      <m in="0">
        <tpls c="3">
          <tpl fld="0" item="0"/>
          <tpl fld="1" item="418"/>
          <tpl fld="4" item="5"/>
        </tpls>
      </m>
      <n v="2" in="0">
        <tpls c="3">
          <tpl fld="0" item="0"/>
          <tpl fld="1" item="11"/>
          <tpl fld="4" item="5"/>
        </tpls>
      </n>
      <m in="0">
        <tpls c="3">
          <tpl fld="0" item="0"/>
          <tpl fld="1" item="324"/>
          <tpl fld="4" item="12"/>
        </tpls>
      </m>
      <m in="1">
        <tpls c="3">
          <tpl fld="0" item="0"/>
          <tpl fld="1" item="216"/>
          <tpl fld="4" item="7"/>
        </tpls>
      </m>
      <m in="0">
        <tpls c="3">
          <tpl fld="0" item="0"/>
          <tpl fld="1" item="363"/>
          <tpl fld="4" item="12"/>
        </tpls>
      </m>
      <m in="0">
        <tpls c="3">
          <tpl fld="0" item="0"/>
          <tpl fld="1" item="287"/>
          <tpl fld="4" item="6"/>
        </tpls>
      </m>
      <m in="0">
        <tpls c="3">
          <tpl fld="0" item="0"/>
          <tpl fld="1" item="22"/>
          <tpl fld="4" item="5"/>
        </tpls>
      </m>
      <n v="49" in="1">
        <tpls c="3">
          <tpl fld="0" item="0"/>
          <tpl fld="1" item="356"/>
          <tpl fld="4" item="7"/>
        </tpls>
      </n>
      <m in="0">
        <tpls c="3">
          <tpl fld="0" item="0"/>
          <tpl fld="1" item="2"/>
          <tpl fld="4" item="11"/>
        </tpls>
      </m>
      <m in="0">
        <tpls c="3">
          <tpl fld="0" item="0"/>
          <tpl fld="1" item="393"/>
          <tpl fld="4" item="9"/>
        </tpls>
      </m>
      <m in="0">
        <tpls c="3">
          <tpl fld="0" item="0"/>
          <tpl fld="1" item="193"/>
          <tpl fld="4" item="11"/>
        </tpls>
      </m>
      <m in="0">
        <tpls c="3">
          <tpl fld="0" item="0"/>
          <tpl fld="1" item="157"/>
          <tpl fld="4" item="6"/>
        </tpls>
      </m>
      <m in="0">
        <tpls c="3">
          <tpl fld="0" item="0"/>
          <tpl fld="1" item="2"/>
          <tpl fld="4" item="9"/>
        </tpls>
      </m>
      <m in="0">
        <tpls c="3">
          <tpl fld="0" item="0"/>
          <tpl fld="1" item="446"/>
          <tpl fld="4" item="8"/>
        </tpls>
      </m>
      <n v="1540" in="0">
        <tpls c="3">
          <tpl fld="0" item="0"/>
          <tpl fld="1" item="160"/>
          <tpl fld="4" item="10"/>
        </tpls>
      </n>
      <n v="66" in="0">
        <tpls c="3">
          <tpl fld="0" item="0"/>
          <tpl fld="1" item="99"/>
          <tpl fld="4" item="14"/>
        </tpls>
      </n>
      <m in="0">
        <tpls c="3">
          <tpl fld="0" item="0"/>
          <tpl fld="1" item="3"/>
          <tpl fld="4" item="6"/>
        </tpls>
      </m>
      <n v="5" in="0">
        <tpls c="3">
          <tpl fld="0" item="0"/>
          <tpl fld="1" item="181"/>
          <tpl fld="4" item="14"/>
        </tpls>
      </n>
      <m in="0">
        <tpls c="3">
          <tpl fld="0" item="0"/>
          <tpl fld="1" item="102"/>
          <tpl fld="4" item="12"/>
        </tpls>
      </m>
      <n v="92" in="1">
        <tpls c="3">
          <tpl fld="0" item="0"/>
          <tpl fld="1" item="3"/>
          <tpl fld="4" item="7"/>
        </tpls>
      </n>
      <m in="0">
        <tpls c="3">
          <tpl fld="0" item="0"/>
          <tpl fld="1" item="335"/>
          <tpl fld="4" item="12"/>
        </tpls>
      </m>
      <n v="910" in="0">
        <tpls c="3">
          <tpl fld="0" item="0"/>
          <tpl fld="1" item="87"/>
          <tpl fld="4" item="10"/>
        </tpls>
      </n>
      <m in="0">
        <tpls c="3">
          <tpl fld="0" item="0"/>
          <tpl fld="1" item="217"/>
          <tpl fld="4" item="9"/>
        </tpls>
      </m>
      <m in="0">
        <tpls c="3">
          <tpl fld="0" item="0"/>
          <tpl fld="1" item="291"/>
          <tpl fld="4" item="6"/>
        </tpls>
      </m>
      <m in="0">
        <tpls c="3">
          <tpl fld="0" item="0"/>
          <tpl fld="1" item="120"/>
          <tpl fld="4" item="12"/>
        </tpls>
      </m>
      <m in="0">
        <tpls c="3">
          <tpl fld="0" item="0"/>
          <tpl fld="1" item="198"/>
          <tpl fld="4" item="6"/>
        </tpls>
      </m>
      <n v="51" in="0">
        <tpls c="3">
          <tpl fld="0" item="0"/>
          <tpl fld="1" item="322"/>
          <tpl fld="4" item="14"/>
        </tpls>
      </n>
      <m in="0">
        <tpls c="3">
          <tpl fld="0" item="0"/>
          <tpl fld="1" item="218"/>
          <tpl fld="4" item="11"/>
        </tpls>
      </m>
      <n v="23" in="0">
        <tpls c="3">
          <tpl fld="0" item="0"/>
          <tpl fld="1" item="55"/>
          <tpl fld="4" item="14"/>
        </tpls>
      </n>
      <m in="0">
        <tpls c="3">
          <tpl fld="0" item="0"/>
          <tpl fld="1" item="423"/>
          <tpl fld="4" item="11"/>
        </tpls>
      </m>
      <m in="0">
        <tpls c="3">
          <tpl fld="0" item="0"/>
          <tpl fld="1" item="314"/>
          <tpl fld="4" item="1"/>
        </tpls>
      </m>
      <m in="0">
        <tpls c="3">
          <tpl fld="0" item="0"/>
          <tpl fld="1" item="23"/>
          <tpl fld="4" item="10"/>
        </tpls>
      </m>
      <m in="0">
        <tpls c="3">
          <tpl fld="0" item="0"/>
          <tpl fld="1" item="1"/>
          <tpl fld="4" item="1"/>
        </tpls>
      </m>
      <n v="173" in="0">
        <tpls c="3">
          <tpl fld="0" item="0"/>
          <tpl fld="1" item="326"/>
          <tpl fld="4" item="10"/>
        </tpls>
      </n>
      <m in="0">
        <tpls c="3">
          <tpl fld="0" item="0"/>
          <tpl fld="1" item="198"/>
          <tpl fld="4" item="11"/>
        </tpls>
      </m>
      <m in="0">
        <tpls c="3">
          <tpl fld="0" item="0"/>
          <tpl fld="1" item="445"/>
          <tpl fld="4" item="8"/>
        </tpls>
      </m>
      <m in="0">
        <tpls c="3">
          <tpl fld="0" item="0"/>
          <tpl fld="1" item="226"/>
          <tpl fld="4" item="12"/>
        </tpls>
      </m>
      <m in="0">
        <tpls c="3">
          <tpl fld="0" item="0"/>
          <tpl fld="1" item="234"/>
          <tpl fld="4" item="12"/>
        </tpls>
      </m>
      <m in="0">
        <tpls c="3">
          <tpl fld="0" item="0"/>
          <tpl fld="1" item="28"/>
          <tpl fld="4" item="12"/>
        </tpls>
      </m>
      <m in="0">
        <tpls c="3">
          <tpl fld="0" item="0"/>
          <tpl fld="1" item="74"/>
          <tpl fld="4" item="9"/>
        </tpls>
      </m>
      <m in="1">
        <tpls c="3">
          <tpl fld="0" item="0"/>
          <tpl fld="1" item="389"/>
          <tpl fld="4" item="7"/>
        </tpls>
      </m>
      <m in="0">
        <tpls c="3">
          <tpl fld="0" item="0"/>
          <tpl fld="1" item="30"/>
          <tpl fld="4" item="5"/>
        </tpls>
      </m>
      <m in="0">
        <tpls c="3">
          <tpl fld="0" item="0"/>
          <tpl fld="1" item="358"/>
          <tpl fld="4" item="12"/>
        </tpls>
      </m>
      <m in="0">
        <tpls c="3">
          <tpl fld="0" item="0"/>
          <tpl fld="1" item="401"/>
          <tpl fld="4" item="8"/>
        </tpls>
      </m>
      <n v="227" in="0">
        <tpls c="3">
          <tpl fld="0" item="0"/>
          <tpl fld="1" item="367"/>
          <tpl fld="4" item="10"/>
        </tpls>
      </n>
      <m in="0">
        <tpls c="3">
          <tpl fld="0" item="0"/>
          <tpl fld="1" item="326"/>
          <tpl fld="4" item="12"/>
        </tpls>
      </m>
      <m in="0">
        <tpls c="3">
          <tpl fld="0" item="0"/>
          <tpl fld="1" item="412"/>
          <tpl fld="4" item="8"/>
        </tpls>
      </m>
      <m in="0">
        <tpls c="3">
          <tpl fld="0" item="0"/>
          <tpl fld="1" item="204"/>
          <tpl fld="4" item="8"/>
        </tpls>
      </m>
      <m in="0">
        <tpls c="3">
          <tpl fld="0" item="0"/>
          <tpl fld="1" item="17"/>
          <tpl fld="4" item="11"/>
        </tpls>
      </m>
      <m in="0">
        <tpls c="3">
          <tpl fld="0" item="0"/>
          <tpl fld="1" item="76"/>
          <tpl fld="4" item="8"/>
        </tpls>
      </m>
      <m in="0">
        <tpls c="3">
          <tpl fld="0" item="0"/>
          <tpl fld="1" item="431"/>
          <tpl fld="4" item="9"/>
        </tpls>
      </m>
      <m in="0">
        <tpls c="3">
          <tpl fld="0" item="0"/>
          <tpl fld="1" item="270"/>
          <tpl fld="4" item="12"/>
        </tpls>
      </m>
      <n v="224" in="1">
        <tpls c="3">
          <tpl fld="0" item="0"/>
          <tpl fld="1" item="103"/>
          <tpl fld="4" item="7"/>
        </tpls>
      </n>
      <m in="0">
        <tpls c="3">
          <tpl fld="0" item="0"/>
          <tpl fld="1" item="446"/>
          <tpl fld="4" item="1"/>
        </tpls>
      </m>
      <n v="23" in="0">
        <tpls c="3">
          <tpl fld="0" item="0"/>
          <tpl fld="1" item="66"/>
          <tpl fld="4" item="10"/>
        </tpls>
      </n>
      <m in="0">
        <tpls c="3">
          <tpl fld="0" item="0"/>
          <tpl fld="1" item="98"/>
          <tpl fld="4" item="1"/>
        </tpls>
      </m>
      <n v="15" in="0">
        <tpls c="3">
          <tpl fld="0" item="0"/>
          <tpl fld="1" item="142"/>
          <tpl fld="4" item="14"/>
        </tpls>
      </n>
      <n v="13" in="0">
        <tpls c="3">
          <tpl fld="0" item="0"/>
          <tpl fld="1" item="449"/>
          <tpl fld="4" item="14"/>
        </tpls>
      </n>
      <m in="0">
        <tpls c="3">
          <tpl fld="0" item="0"/>
          <tpl fld="1" item="192"/>
          <tpl fld="4" item="9"/>
        </tpls>
      </m>
      <m in="0">
        <tpls c="3">
          <tpl fld="0" item="0"/>
          <tpl fld="1" item="335"/>
          <tpl fld="4" item="9"/>
        </tpls>
      </m>
      <m in="1">
        <tpls c="3">
          <tpl fld="0" item="0"/>
          <tpl fld="1" item="198"/>
          <tpl fld="4" item="7"/>
        </tpls>
      </m>
      <m in="0">
        <tpls c="3">
          <tpl fld="0" item="0"/>
          <tpl fld="1" item="1"/>
          <tpl fld="4" item="10"/>
        </tpls>
      </m>
      <n v="24" in="0">
        <tpls c="3">
          <tpl fld="0" item="0"/>
          <tpl fld="1" item="180"/>
          <tpl fld="4" item="10"/>
        </tpls>
      </n>
      <m in="0">
        <tpls c="3">
          <tpl fld="0" item="0"/>
          <tpl fld="1" item="309"/>
          <tpl fld="4" item="12"/>
        </tpls>
      </m>
      <m in="0">
        <tpls c="3">
          <tpl fld="0" item="0"/>
          <tpl fld="1" item="110"/>
          <tpl fld="4" item="5"/>
        </tpls>
      </m>
      <m in="0">
        <tpls c="3">
          <tpl fld="0" item="0"/>
          <tpl fld="1" item="309"/>
          <tpl fld="4" item="8"/>
        </tpls>
      </m>
      <m in="0">
        <tpls c="3">
          <tpl fld="0" item="0"/>
          <tpl fld="1" item="298"/>
          <tpl fld="4" item="8"/>
        </tpls>
      </m>
      <m in="0">
        <tpls c="3">
          <tpl fld="0" item="0"/>
          <tpl fld="1" item="338"/>
          <tpl fld="4" item="12"/>
        </tpls>
      </m>
      <n v="1" in="0">
        <tpls c="3">
          <tpl fld="0" item="0"/>
          <tpl fld="1" item="77"/>
          <tpl fld="4" item="8"/>
        </tpls>
      </n>
      <n v="65" in="1">
        <tpls c="3">
          <tpl fld="0" item="0"/>
          <tpl fld="1" item="290"/>
          <tpl fld="4" item="7"/>
        </tpls>
      </n>
      <m in="1">
        <tpls c="3">
          <tpl fld="0" item="0"/>
          <tpl fld="1" item="414"/>
          <tpl fld="4" item="7"/>
        </tpls>
      </m>
      <m in="0">
        <tpls c="3">
          <tpl fld="0" item="0"/>
          <tpl fld="1" item="379"/>
          <tpl fld="4" item="5"/>
        </tpls>
      </m>
      <m in="0">
        <tpls c="3">
          <tpl fld="0" item="0"/>
          <tpl fld="1" item="72"/>
          <tpl fld="4" item="5"/>
        </tpls>
      </m>
      <m in="0">
        <tpls c="3">
          <tpl fld="0" item="0"/>
          <tpl fld="1" item="429"/>
          <tpl fld="4" item="8"/>
        </tpls>
      </m>
      <n v="38" in="0">
        <tpls c="3">
          <tpl fld="0" item="0"/>
          <tpl fld="1" item="455"/>
          <tpl fld="4" item="14"/>
        </tpls>
      </n>
      <m in="0">
        <tpls c="3">
          <tpl fld="0" item="0"/>
          <tpl fld="1" item="363"/>
          <tpl fld="4" item="10"/>
        </tpls>
      </m>
      <m in="0">
        <tpls c="3">
          <tpl fld="0" item="0"/>
          <tpl fld="1" item="325"/>
          <tpl fld="4" item="1"/>
        </tpls>
      </m>
      <m in="0">
        <tpls c="3">
          <tpl fld="0" item="0"/>
          <tpl fld="1" item="62"/>
          <tpl fld="4" item="6"/>
        </tpls>
      </m>
      <n v="97" in="0">
        <tpls c="3">
          <tpl fld="0" item="0"/>
          <tpl fld="1" item="264"/>
          <tpl fld="4" item="14"/>
        </tpls>
      </n>
      <m in="0">
        <tpls c="3">
          <tpl fld="0" item="0"/>
          <tpl fld="1" item="303"/>
          <tpl fld="4" item="1"/>
        </tpls>
      </m>
      <m in="0">
        <tpls c="3">
          <tpl fld="0" item="0"/>
          <tpl fld="1" item="90"/>
          <tpl fld="4" item="9"/>
        </tpls>
      </m>
      <m in="0">
        <tpls c="3">
          <tpl fld="0" item="0"/>
          <tpl fld="1" item="448"/>
          <tpl fld="4" item="9"/>
        </tpls>
      </m>
      <m in="0">
        <tpls c="3">
          <tpl fld="0" item="0"/>
          <tpl fld="1" item="140"/>
          <tpl fld="4" item="8"/>
        </tpls>
      </m>
      <m in="0">
        <tpls c="3">
          <tpl fld="0" item="0"/>
          <tpl fld="1" item="204"/>
          <tpl fld="4" item="11"/>
        </tpls>
      </m>
      <m in="0">
        <tpls c="3">
          <tpl fld="0" item="0"/>
          <tpl fld="1" item="88"/>
          <tpl fld="4" item="5"/>
        </tpls>
      </m>
      <m in="0">
        <tpls c="3">
          <tpl fld="0" item="0"/>
          <tpl fld="1" item="285"/>
          <tpl fld="4" item="12"/>
        </tpls>
      </m>
      <m in="0">
        <tpls c="3">
          <tpl fld="0" item="0"/>
          <tpl fld="1" item="125"/>
          <tpl fld="4" item="12"/>
        </tpls>
      </m>
      <n v="66" in="0">
        <tpls c="3">
          <tpl fld="0" item="0"/>
          <tpl fld="1" item="139"/>
          <tpl fld="4" item="14"/>
        </tpls>
      </n>
      <n v="67" in="0">
        <tpls c="3">
          <tpl fld="0" item="0"/>
          <tpl fld="1" item="201"/>
          <tpl fld="4" item="14"/>
        </tpls>
      </n>
      <m in="0">
        <tpls c="3">
          <tpl fld="0" item="0"/>
          <tpl fld="1" item="457"/>
          <tpl fld="4" item="9"/>
        </tpls>
      </m>
      <n v="446" in="0">
        <tpls c="3">
          <tpl fld="0" item="0"/>
          <tpl fld="1" item="447"/>
          <tpl fld="4" item="14"/>
        </tpls>
      </n>
      <m in="0">
        <tpls c="3">
          <tpl fld="0" item="0"/>
          <tpl fld="1" item="150"/>
          <tpl fld="4" item="1"/>
        </tpls>
      </m>
      <n v="33" in="1">
        <tpls c="3">
          <tpl fld="0" item="0"/>
          <tpl fld="1" item="402"/>
          <tpl fld="4" item="7"/>
        </tpls>
      </n>
      <m in="0">
        <tpls c="3">
          <tpl fld="0" item="0"/>
          <tpl fld="1" item="135"/>
          <tpl fld="4" item="5"/>
        </tpls>
      </m>
      <m in="0">
        <tpls c="3">
          <tpl fld="0" item="0"/>
          <tpl fld="1" item="19"/>
          <tpl fld="4" item="12"/>
        </tpls>
      </m>
      <m in="0">
        <tpls c="3">
          <tpl fld="0" item="0"/>
          <tpl fld="1" item="387"/>
          <tpl fld="4" item="12"/>
        </tpls>
      </m>
      <m in="0">
        <tpls c="3">
          <tpl fld="0" item="0"/>
          <tpl fld="1" item="108"/>
          <tpl fld="4" item="5"/>
        </tpls>
      </m>
      <n v="7" in="0">
        <tpls c="3">
          <tpl fld="0" item="0"/>
          <tpl fld="1" item="180"/>
          <tpl fld="4" item="14"/>
        </tpls>
      </n>
      <m in="0">
        <tpls c="3">
          <tpl fld="0" item="0"/>
          <tpl fld="1" item="419"/>
          <tpl fld="4" item="8"/>
        </tpls>
      </m>
      <n v="854" in="0">
        <tpls c="3">
          <tpl fld="0" item="0"/>
          <tpl fld="1" item="105"/>
          <tpl fld="4" item="10"/>
        </tpls>
      </n>
      <n v="183" in="1">
        <tpls c="3">
          <tpl fld="0" item="0"/>
          <tpl fld="1" item="411"/>
          <tpl fld="4" item="7"/>
        </tpls>
      </n>
      <m in="0">
        <tpls c="3">
          <tpl fld="0" item="0"/>
          <tpl fld="1" item="444"/>
          <tpl fld="4" item="1"/>
        </tpls>
      </m>
      <m in="0">
        <tpls c="3">
          <tpl fld="0" item="0"/>
          <tpl fld="1" item="42"/>
          <tpl fld="4" item="5"/>
        </tpls>
      </m>
      <m in="0">
        <tpls c="3">
          <tpl fld="0" item="0"/>
          <tpl fld="1" item="16"/>
          <tpl fld="4" item="11"/>
        </tpls>
      </m>
      <m in="0">
        <tpls c="3">
          <tpl fld="0" item="0"/>
          <tpl fld="1" item="268"/>
          <tpl fld="4" item="11"/>
        </tpls>
      </m>
      <m in="0">
        <tpls c="3">
          <tpl fld="0" item="0"/>
          <tpl fld="1" item="51"/>
          <tpl fld="4" item="9"/>
        </tpls>
      </m>
      <n v="292" in="0">
        <tpls c="3">
          <tpl fld="0" item="0"/>
          <tpl fld="1" item="160"/>
          <tpl fld="4" item="14"/>
        </tpls>
      </n>
      <m in="0">
        <tpls c="3">
          <tpl fld="0" item="0"/>
          <tpl fld="1" item="135"/>
          <tpl fld="4" item="8"/>
        </tpls>
      </m>
      <m in="0">
        <tpls c="3">
          <tpl fld="0" item="0"/>
          <tpl fld="1" item="436"/>
          <tpl fld="4" item="9"/>
        </tpls>
      </m>
      <n v="135" in="0">
        <tpls c="3">
          <tpl fld="0" item="0"/>
          <tpl fld="1" item="258"/>
          <tpl fld="4" item="10"/>
        </tpls>
      </n>
      <n v="28" in="0">
        <tpls c="3">
          <tpl fld="0" item="0"/>
          <tpl fld="1" item="205"/>
          <tpl fld="4" item="14"/>
        </tpls>
      </n>
      <n v="1" in="0">
        <tpls c="3">
          <tpl fld="0" item="0"/>
          <tpl fld="1" item="184"/>
          <tpl fld="4" item="13"/>
        </tpls>
      </n>
      <m in="0">
        <tpls c="3">
          <tpl fld="0" item="0"/>
          <tpl fld="1" item="161"/>
          <tpl fld="4" item="8"/>
        </tpls>
      </m>
      <n v="24" in="0">
        <tpls c="3">
          <tpl fld="0" item="0"/>
          <tpl fld="1" item="165"/>
          <tpl fld="4" item="10"/>
        </tpls>
      </n>
      <n v="380" in="0">
        <tpls c="3">
          <tpl fld="0" item="0"/>
          <tpl fld="1" item="420"/>
          <tpl fld="4" item="10"/>
        </tpls>
      </n>
      <m in="0">
        <tpls c="3">
          <tpl fld="0" item="0"/>
          <tpl fld="1" item="371"/>
          <tpl fld="4" item="1"/>
        </tpls>
      </m>
      <m in="0">
        <tpls c="3">
          <tpl fld="0" item="0"/>
          <tpl fld="1" item="307"/>
          <tpl fld="4" item="1"/>
        </tpls>
      </m>
      <m in="0">
        <tpls c="3">
          <tpl fld="0" item="0"/>
          <tpl fld="1" item="147"/>
          <tpl fld="4" item="9"/>
        </tpls>
      </m>
      <m in="0">
        <tpls c="3">
          <tpl fld="0" item="0"/>
          <tpl fld="1" item="135"/>
          <tpl fld="4" item="9"/>
        </tpls>
      </m>
      <n v="262" in="1">
        <tpls c="3">
          <tpl fld="0" item="0"/>
          <tpl fld="1" item="442"/>
          <tpl fld="4" item="7"/>
        </tpls>
      </n>
      <m in="0">
        <tpls c="3">
          <tpl fld="0" item="0"/>
          <tpl fld="1" item="112"/>
          <tpl fld="4" item="5"/>
        </tpls>
      </m>
      <m in="0">
        <tpls c="3">
          <tpl fld="0" item="0"/>
          <tpl fld="1" item="441"/>
          <tpl fld="4" item="9"/>
        </tpls>
      </m>
      <n v="199" in="0">
        <tpls c="3">
          <tpl fld="0" item="0"/>
          <tpl fld="1" item="322"/>
          <tpl fld="4" item="10"/>
        </tpls>
      </n>
      <m in="1">
        <tpls c="3">
          <tpl fld="0" item="0"/>
          <tpl fld="1" item="428"/>
          <tpl fld="4" item="7"/>
        </tpls>
      </m>
      <m in="0">
        <tpls c="3">
          <tpl fld="0" item="0"/>
          <tpl fld="1" item="72"/>
          <tpl fld="4" item="1"/>
        </tpls>
      </m>
      <n v="59" in="0">
        <tpls c="3">
          <tpl fld="0" item="0"/>
          <tpl fld="1" item="409"/>
          <tpl fld="4" item="14"/>
        </tpls>
      </n>
      <m in="0">
        <tpls c="3">
          <tpl fld="0" item="0"/>
          <tpl fld="1" item="121"/>
          <tpl fld="4" item="9"/>
        </tpls>
      </m>
      <m in="1">
        <tpls c="3">
          <tpl fld="0" item="0"/>
          <tpl fld="1" item="247"/>
          <tpl fld="4" item="7"/>
        </tpls>
      </m>
      <m in="0">
        <tpls c="3">
          <tpl fld="0" item="0"/>
          <tpl fld="1" item="250"/>
          <tpl fld="4" item="14"/>
        </tpls>
      </m>
      <m in="0">
        <tpls c="3">
          <tpl fld="0" item="0"/>
          <tpl fld="1" item="108"/>
          <tpl fld="4" item="13"/>
        </tpls>
      </m>
      <m in="0">
        <tpls c="3">
          <tpl fld="0" item="0"/>
          <tpl fld="1" item="146"/>
          <tpl fld="4" item="12"/>
        </tpls>
      </m>
      <m in="0">
        <tpls c="3">
          <tpl fld="0" item="0"/>
          <tpl fld="1" item="108"/>
          <tpl fld="4" item="11"/>
        </tpls>
      </m>
      <m in="0">
        <tpls c="3">
          <tpl fld="0" item="0"/>
          <tpl fld="1" item="119"/>
          <tpl fld="4" item="5"/>
        </tpls>
      </m>
      <n v="10" in="0">
        <tpls c="3">
          <tpl fld="0" item="0"/>
          <tpl fld="1" item="323"/>
          <tpl fld="4" item="14"/>
        </tpls>
      </n>
      <m in="0">
        <tpls c="3">
          <tpl fld="0" item="0"/>
          <tpl fld="1" item="196"/>
          <tpl fld="4" item="5"/>
        </tpls>
      </m>
      <n v="51" in="0">
        <tpls c="3">
          <tpl fld="0" item="0"/>
          <tpl fld="1" item="219"/>
          <tpl fld="4" item="14"/>
        </tpls>
      </n>
      <m in="0">
        <tpls c="3">
          <tpl fld="0" item="0"/>
          <tpl fld="1" item="140"/>
          <tpl fld="4" item="12"/>
        </tpls>
      </m>
      <m in="0">
        <tpls c="3">
          <tpl fld="0" item="0"/>
          <tpl fld="1" item="371"/>
          <tpl fld="4" item="6"/>
        </tpls>
      </m>
      <m in="0">
        <tpls c="3">
          <tpl fld="0" item="0"/>
          <tpl fld="1" item="237"/>
          <tpl fld="4" item="1"/>
        </tpls>
      </m>
      <n v="26" in="0">
        <tpls c="3">
          <tpl fld="0" item="0"/>
          <tpl fld="1" item="18"/>
          <tpl fld="4" item="14"/>
        </tpls>
      </n>
      <m in="0">
        <tpls c="3">
          <tpl fld="0" item="0"/>
          <tpl fld="1" item="34"/>
          <tpl fld="4" item="6"/>
        </tpls>
      </m>
      <m in="0">
        <tpls c="3">
          <tpl fld="0" item="0"/>
          <tpl fld="1" item="386"/>
          <tpl fld="4" item="8"/>
        </tpls>
      </m>
      <m in="0">
        <tpls c="3">
          <tpl fld="0" item="0"/>
          <tpl fld="1" item="29"/>
          <tpl fld="4" item="12"/>
        </tpls>
      </m>
      <m in="0">
        <tpls c="3">
          <tpl fld="0" item="0"/>
          <tpl fld="1" item="422"/>
          <tpl fld="4" item="5"/>
        </tpls>
      </m>
      <n v="2" in="0">
        <tpls c="3">
          <tpl fld="0" item="0"/>
          <tpl fld="1" item="354"/>
          <tpl fld="4" item="8"/>
        </tpls>
      </n>
      <m in="0">
        <tpls c="3">
          <tpl fld="0" item="0"/>
          <tpl fld="1" item="232"/>
          <tpl fld="4" item="9"/>
        </tpls>
      </m>
      <m in="0">
        <tpls c="3">
          <tpl fld="0" item="0"/>
          <tpl fld="1" item="352"/>
          <tpl fld="4" item="8"/>
        </tpls>
      </m>
      <m in="0">
        <tpls c="3">
          <tpl fld="0" item="0"/>
          <tpl fld="1" item="408"/>
          <tpl fld="4" item="5"/>
        </tpls>
      </m>
      <m in="0">
        <tpls c="3">
          <tpl fld="0" item="0"/>
          <tpl fld="1" item="307"/>
          <tpl fld="4" item="9"/>
        </tpls>
      </m>
      <n v="222" in="0">
        <tpls c="3">
          <tpl fld="0" item="0"/>
          <tpl fld="1" item="385"/>
          <tpl fld="4" item="14"/>
        </tpls>
      </n>
      <m in="0">
        <tpls c="3">
          <tpl fld="0" item="0"/>
          <tpl fld="1" item="286"/>
          <tpl fld="4" item="10"/>
        </tpls>
      </m>
      <m in="0">
        <tpls c="3">
          <tpl fld="0" item="0"/>
          <tpl fld="1" item="198"/>
          <tpl fld="4" item="14"/>
        </tpls>
      </m>
      <n v="2" in="0">
        <tpls c="3">
          <tpl fld="0" item="0"/>
          <tpl fld="1" item="289"/>
          <tpl fld="4" item="14"/>
        </tpls>
      </n>
      <m in="0">
        <tpls c="3">
          <tpl fld="0" item="0"/>
          <tpl fld="1" item="321"/>
          <tpl fld="4" item="8"/>
        </tpls>
      </m>
      <m in="0">
        <tpls c="3">
          <tpl fld="0" item="0"/>
          <tpl fld="1" item="134"/>
          <tpl fld="4" item="9"/>
        </tpls>
      </m>
      <m in="0">
        <tpls c="3">
          <tpl fld="0" item="0"/>
          <tpl fld="1" item="192"/>
          <tpl fld="4" item="5"/>
        </tpls>
      </m>
      <n v="45" in="0">
        <tpls c="3">
          <tpl fld="0" item="0"/>
          <tpl fld="1" item="422"/>
          <tpl fld="4" item="14"/>
        </tpls>
      </n>
      <n v="15" in="0">
        <tpls c="3">
          <tpl fld="0" item="0"/>
          <tpl fld="1" item="134"/>
          <tpl fld="4" item="14"/>
        </tpls>
      </n>
      <m in="0">
        <tpls c="3">
          <tpl fld="0" item="0"/>
          <tpl fld="1" item="358"/>
          <tpl fld="4" item="14"/>
        </tpls>
      </m>
      <m in="0">
        <tpls c="3">
          <tpl fld="0" item="0"/>
          <tpl fld="1" item="333"/>
          <tpl fld="4" item="1"/>
        </tpls>
      </m>
      <m in="0">
        <tpls c="3">
          <tpl fld="0" item="0"/>
          <tpl fld="1" item="292"/>
          <tpl fld="4" item="5"/>
        </tpls>
      </m>
      <m in="0">
        <tpls c="3">
          <tpl fld="0" item="0"/>
          <tpl fld="1" item="349"/>
          <tpl fld="4" item="8"/>
        </tpls>
      </m>
      <n v="15" in="0">
        <tpls c="3">
          <tpl fld="0" item="0"/>
          <tpl fld="1" item="381"/>
          <tpl fld="4" item="13"/>
        </tpls>
      </n>
      <n v="2" in="0">
        <tpls c="3">
          <tpl fld="0" item="0"/>
          <tpl fld="1" item="151"/>
          <tpl fld="4" item="19"/>
        </tpls>
      </n>
      <n v="4" in="0">
        <tpls c="3">
          <tpl fld="0" item="0"/>
          <tpl fld="1" item="242"/>
          <tpl fld="4" item="13"/>
        </tpls>
      </n>
      <m in="0">
        <tpls c="3">
          <tpl fld="0" item="0"/>
          <tpl fld="1" item="232"/>
          <tpl fld="4" item="18"/>
        </tpls>
      </m>
      <m in="0">
        <tpls c="3">
          <tpl fld="0" item="0"/>
          <tpl fld="1" item="101"/>
          <tpl fld="4" item="18"/>
        </tpls>
      </m>
      <m in="0">
        <tpls c="3">
          <tpl fld="0" item="0"/>
          <tpl fld="1" item="191"/>
          <tpl fld="4" item="20"/>
        </tpls>
      </m>
      <n v="8" in="0">
        <tpls c="3">
          <tpl fld="0" item="0"/>
          <tpl fld="1" item="391"/>
          <tpl fld="4" item="14"/>
        </tpls>
      </n>
      <n v="3" in="0">
        <tpls c="3">
          <tpl fld="0" item="0"/>
          <tpl fld="1" item="232"/>
          <tpl fld="4" item="16"/>
        </tpls>
      </n>
      <m in="0">
        <tpls c="3">
          <tpl fld="0" item="0"/>
          <tpl fld="1" item="448"/>
          <tpl fld="4" item="11"/>
        </tpls>
      </m>
      <m in="0">
        <tpls c="3">
          <tpl fld="0" item="0"/>
          <tpl fld="1" item="442"/>
          <tpl fld="4" item="6"/>
        </tpls>
      </m>
      <m in="0">
        <tpls c="3">
          <tpl fld="0" item="0"/>
          <tpl fld="1" item="325"/>
          <tpl fld="4" item="6"/>
        </tpls>
      </m>
      <n v="117" in="0">
        <tpls c="3">
          <tpl fld="0" item="0"/>
          <tpl fld="1" item="420"/>
          <tpl fld="4" item="14"/>
        </tpls>
      </n>
      <m in="0">
        <tpls c="3">
          <tpl fld="0" item="0"/>
          <tpl fld="1" item="92"/>
          <tpl fld="4" item="9"/>
        </tpls>
      </m>
      <m in="0">
        <tpls c="3">
          <tpl fld="0" item="0"/>
          <tpl fld="1" item="173"/>
          <tpl fld="4" item="8"/>
        </tpls>
      </m>
      <m in="0">
        <tpls c="3">
          <tpl fld="0" item="0"/>
          <tpl fld="1" item="51"/>
          <tpl fld="4" item="14"/>
        </tpls>
      </m>
      <n v="10" in="1">
        <tpls c="3">
          <tpl fld="0" item="0"/>
          <tpl fld="1" item="289"/>
          <tpl fld="4" item="7"/>
        </tpls>
      </n>
      <m in="0">
        <tpls c="3">
          <tpl fld="0" item="0"/>
          <tpl fld="1" item="83"/>
          <tpl fld="4" item="9"/>
        </tpls>
      </m>
      <m in="0">
        <tpls c="3">
          <tpl fld="0" item="0"/>
          <tpl fld="1" item="435"/>
          <tpl fld="4" item="6"/>
        </tpls>
      </m>
      <m in="0">
        <tpls c="3">
          <tpl fld="0" item="0"/>
          <tpl fld="1" item="60"/>
          <tpl fld="4" item="14"/>
        </tpls>
      </m>
      <m in="0">
        <tpls c="3">
          <tpl fld="0" item="0"/>
          <tpl fld="1" item="450"/>
          <tpl fld="4" item="1"/>
        </tpls>
      </m>
      <n v="485" in="1">
        <tpls c="3">
          <tpl fld="0" item="0"/>
          <tpl fld="1" item="273"/>
          <tpl fld="4" item="7"/>
        </tpls>
      </n>
      <m in="0">
        <tpls c="3">
          <tpl fld="0" item="0"/>
          <tpl fld="1" item="24"/>
          <tpl fld="4" item="9"/>
        </tpls>
      </m>
      <n v="15" in="0">
        <tpls c="3">
          <tpl fld="0" item="0"/>
          <tpl fld="1" item="208"/>
          <tpl fld="4" item="14"/>
        </tpls>
      </n>
      <m in="0">
        <tpls c="3">
          <tpl fld="0" item="0"/>
          <tpl fld="1" item="140"/>
          <tpl fld="4" item="9"/>
        </tpls>
      </m>
      <m in="1">
        <tpls c="3">
          <tpl fld="0" item="0"/>
          <tpl fld="1" item="435"/>
          <tpl fld="4" item="7"/>
        </tpls>
      </m>
      <m in="0">
        <tpls c="3">
          <tpl fld="0" item="0"/>
          <tpl fld="1" item="156"/>
          <tpl fld="4" item="1"/>
        </tpls>
      </m>
      <m in="0">
        <tpls c="3">
          <tpl fld="0" item="0"/>
          <tpl fld="1" item="73"/>
          <tpl fld="4" item="12"/>
        </tpls>
      </m>
      <m in="0">
        <tpls c="3">
          <tpl fld="0" item="0"/>
          <tpl fld="1" item="421"/>
          <tpl fld="4" item="8"/>
        </tpls>
      </m>
      <m in="0">
        <tpls c="3">
          <tpl fld="0" item="0"/>
          <tpl fld="1" item="191"/>
          <tpl fld="4" item="14"/>
        </tpls>
      </m>
      <m in="0">
        <tpls c="3">
          <tpl fld="0" item="0"/>
          <tpl fld="1" item="170"/>
          <tpl fld="4" item="11"/>
        </tpls>
      </m>
      <m in="0">
        <tpls c="3">
          <tpl fld="0" item="0"/>
          <tpl fld="1" item="207"/>
          <tpl fld="4" item="11"/>
        </tpls>
      </m>
      <n v="11" in="0">
        <tpls c="3">
          <tpl fld="0" item="0"/>
          <tpl fld="1" item="214"/>
          <tpl fld="4" item="14"/>
        </tpls>
      </n>
      <m in="0">
        <tpls c="3">
          <tpl fld="0" item="0"/>
          <tpl fld="1" item="78"/>
          <tpl fld="4" item="10"/>
        </tpls>
      </m>
      <m in="0">
        <tpls c="3">
          <tpl fld="0" item="0"/>
          <tpl fld="1" item="89"/>
          <tpl fld="4" item="8"/>
        </tpls>
      </m>
      <m in="0">
        <tpls c="3">
          <tpl fld="0" item="0"/>
          <tpl fld="1" item="159"/>
          <tpl fld="4" item="5"/>
        </tpls>
      </m>
      <m in="0">
        <tpls c="3">
          <tpl fld="0" item="0"/>
          <tpl fld="1" item="191"/>
          <tpl fld="4" item="12"/>
        </tpls>
      </m>
      <n v="6" in="0">
        <tpls c="3">
          <tpl fld="0" item="0"/>
          <tpl fld="1" item="447"/>
          <tpl fld="4" item="11"/>
        </tpls>
      </n>
      <n v="9" in="1">
        <tpls c="3">
          <tpl fld="0" item="0"/>
          <tpl fld="1" item="217"/>
          <tpl fld="4" item="7"/>
        </tpls>
      </n>
      <n v="3" in="0">
        <tpls c="3">
          <tpl fld="0" item="0"/>
          <tpl fld="1" item="319"/>
          <tpl fld="4" item="11"/>
        </tpls>
      </n>
      <n v="46" in="0">
        <tpls c="3">
          <tpl fld="0" item="0"/>
          <tpl fld="1" item="236"/>
          <tpl fld="4" item="14"/>
        </tpls>
      </n>
      <m in="0">
        <tpls c="3">
          <tpl fld="0" item="0"/>
          <tpl fld="1" item="121"/>
          <tpl fld="4" item="11"/>
        </tpls>
      </m>
      <n v="13" in="0">
        <tpls c="3">
          <tpl fld="0" item="0"/>
          <tpl fld="1" item="127"/>
          <tpl fld="4" item="10"/>
        </tpls>
      </n>
      <m in="0">
        <tpls c="3">
          <tpl fld="0" item="0"/>
          <tpl fld="1" item="329"/>
          <tpl fld="4" item="9"/>
        </tpls>
      </m>
      <m in="0">
        <tpls c="3">
          <tpl fld="0" item="0"/>
          <tpl fld="1" item="436"/>
          <tpl fld="4" item="10"/>
        </tpls>
      </m>
      <n v="340" in="0">
        <tpls c="3">
          <tpl fld="0" item="0"/>
          <tpl fld="1" item="337"/>
          <tpl fld="4" item="10"/>
        </tpls>
      </n>
      <n v="2" in="0">
        <tpls c="3">
          <tpl fld="0" item="0"/>
          <tpl fld="1" item="415"/>
          <tpl fld="4" item="1"/>
        </tpls>
      </n>
      <m in="0">
        <tpls c="3">
          <tpl fld="0" item="0"/>
          <tpl fld="1" item="94"/>
          <tpl fld="4" item="11"/>
        </tpls>
      </m>
      <n v="299" in="1">
        <tpls c="3">
          <tpl fld="0" item="0"/>
          <tpl fld="1" item="201"/>
          <tpl fld="4" item="7"/>
        </tpls>
      </n>
      <m in="0">
        <tpls c="3">
          <tpl fld="0" item="0"/>
          <tpl fld="1" item="27"/>
          <tpl fld="4" item="11"/>
        </tpls>
      </m>
      <m in="0">
        <tpls c="3">
          <tpl fld="0" item="0"/>
          <tpl fld="1" item="233"/>
          <tpl fld="4" item="11"/>
        </tpls>
      </m>
      <m in="0">
        <tpls c="3">
          <tpl fld="0" item="0"/>
          <tpl fld="1" item="363"/>
          <tpl fld="4" item="1"/>
        </tpls>
      </m>
      <m in="0">
        <tpls c="3">
          <tpl fld="0" item="0"/>
          <tpl fld="1" item="325"/>
          <tpl fld="4" item="8"/>
        </tpls>
      </m>
      <m in="0">
        <tpls c="3">
          <tpl fld="0" item="0"/>
          <tpl fld="1" item="398"/>
          <tpl fld="4" item="10"/>
        </tpls>
      </m>
      <n v="10" in="0">
        <tpls c="3">
          <tpl fld="0" item="0"/>
          <tpl fld="1" item="299"/>
          <tpl fld="4" item="14"/>
        </tpls>
      </n>
      <n v="28" in="0">
        <tpls c="3">
          <tpl fld="0" item="0"/>
          <tpl fld="1" item="149"/>
          <tpl fld="4" item="13"/>
        </tpls>
      </n>
      <n v="4" in="1">
        <tpls c="3">
          <tpl fld="0" item="0"/>
          <tpl fld="1" item="159"/>
          <tpl fld="4" item="7"/>
        </tpls>
      </n>
      <m in="0">
        <tpls c="3">
          <tpl fld="0" item="0"/>
          <tpl fld="1" item="220"/>
          <tpl fld="4" item="14"/>
        </tpls>
      </m>
      <m in="0">
        <tpls c="3">
          <tpl fld="0" item="0"/>
          <tpl fld="1" item="362"/>
          <tpl fld="4" item="8"/>
        </tpls>
      </m>
      <m in="0">
        <tpls c="3">
          <tpl fld="0" item="0"/>
          <tpl fld="1" item="343"/>
          <tpl fld="4" item="6"/>
        </tpls>
      </m>
      <n v="79" in="0">
        <tpls c="3">
          <tpl fld="0" item="0"/>
          <tpl fld="1" item="456"/>
          <tpl fld="4" item="14"/>
        </tpls>
      </n>
      <m in="0">
        <tpls c="3">
          <tpl fld="0" item="0"/>
          <tpl fld="1" item="365"/>
          <tpl fld="4" item="5"/>
        </tpls>
      </m>
      <m in="0">
        <tpls c="3">
          <tpl fld="0" item="0"/>
          <tpl fld="1" item="454"/>
          <tpl fld="4" item="12"/>
        </tpls>
      </m>
      <m in="0">
        <tpls c="3">
          <tpl fld="0" item="0"/>
          <tpl fld="1" item="236"/>
          <tpl fld="4" item="1"/>
        </tpls>
      </m>
      <m in="0">
        <tpls c="3">
          <tpl fld="0" item="0"/>
          <tpl fld="1" item="361"/>
          <tpl fld="4" item="6"/>
        </tpls>
      </m>
      <m in="0">
        <tpls c="3">
          <tpl fld="0" item="0"/>
          <tpl fld="1" item="31"/>
          <tpl fld="4" item="14"/>
        </tpls>
      </m>
      <n v="37" in="1">
        <tpls c="3">
          <tpl fld="0" item="0"/>
          <tpl fld="1" item="432"/>
          <tpl fld="4" item="7"/>
        </tpls>
      </n>
      <n v="34" in="0">
        <tpls c="3">
          <tpl fld="0" item="0"/>
          <tpl fld="1" item="434"/>
          <tpl fld="4" item="14"/>
        </tpls>
      </n>
      <n v="20" in="1">
        <tpls c="3">
          <tpl fld="0" item="0"/>
          <tpl fld="1" item="165"/>
          <tpl fld="4" item="7"/>
        </tpls>
      </n>
      <m in="0">
        <tpls c="3">
          <tpl fld="0" item="0"/>
          <tpl fld="1" item="378"/>
          <tpl fld="4" item="9"/>
        </tpls>
      </m>
      <m in="0">
        <tpls c="3">
          <tpl fld="0" item="0"/>
          <tpl fld="1" item="241"/>
          <tpl fld="4" item="14"/>
        </tpls>
      </m>
      <m in="0">
        <tpls c="3">
          <tpl fld="0" item="0"/>
          <tpl fld="1" item="456"/>
          <tpl fld="4" item="12"/>
        </tpls>
      </m>
      <m in="0">
        <tpls c="3">
          <tpl fld="0" item="0"/>
          <tpl fld="1" item="388"/>
          <tpl fld="4" item="14"/>
        </tpls>
      </m>
      <m in="0">
        <tpls c="3">
          <tpl fld="0" item="0"/>
          <tpl fld="1" item="393"/>
          <tpl fld="4" item="8"/>
        </tpls>
      </m>
      <m in="0">
        <tpls c="3">
          <tpl fld="0" item="0"/>
          <tpl fld="1" item="304"/>
          <tpl fld="4" item="11"/>
        </tpls>
      </m>
      <m in="1">
        <tpls c="3">
          <tpl fld="0" item="0"/>
          <tpl fld="1" item="340"/>
          <tpl fld="4" item="7"/>
        </tpls>
      </m>
      <m in="0">
        <tpls c="3">
          <tpl fld="0" item="0"/>
          <tpl fld="1" item="338"/>
          <tpl fld="4" item="14"/>
        </tpls>
      </m>
      <m in="0">
        <tpls c="3">
          <tpl fld="0" item="0"/>
          <tpl fld="1" item="46"/>
          <tpl fld="4" item="14"/>
        </tpls>
      </m>
      <n v="141" in="0">
        <tpls c="3">
          <tpl fld="0" item="0"/>
          <tpl fld="1" item="230"/>
          <tpl fld="4" item="14"/>
        </tpls>
      </n>
      <m in="0">
        <tpls c="3">
          <tpl fld="0" item="0"/>
          <tpl fld="1" item="223"/>
          <tpl fld="4" item="9"/>
        </tpls>
      </m>
      <m in="0">
        <tpls c="3">
          <tpl fld="0" item="0"/>
          <tpl fld="1" item="40"/>
          <tpl fld="4" item="11"/>
        </tpls>
      </m>
      <m in="0">
        <tpls c="3">
          <tpl fld="0" item="0"/>
          <tpl fld="1" item="96"/>
          <tpl fld="4" item="8"/>
        </tpls>
      </m>
      <n v="50" in="0">
        <tpls c="3">
          <tpl fld="0" item="0"/>
          <tpl fld="1" item="410"/>
          <tpl fld="4" item="14"/>
        </tpls>
      </n>
      <m in="0">
        <tpls c="3">
          <tpl fld="0" item="0"/>
          <tpl fld="1" item="316"/>
          <tpl fld="4" item="14"/>
        </tpls>
      </m>
      <n v="5" in="0">
        <tpls c="3">
          <tpl fld="0" item="0"/>
          <tpl fld="1" item="364"/>
          <tpl fld="4" item="1"/>
        </tpls>
      </n>
      <m in="0">
        <tpls c="3">
          <tpl fld="0" item="0"/>
          <tpl fld="1" item="116"/>
          <tpl fld="4" item="13"/>
        </tpls>
      </m>
      <m in="0">
        <tpls c="3">
          <tpl fld="0" item="0"/>
          <tpl fld="1" item="336"/>
          <tpl fld="4" item="8"/>
        </tpls>
      </m>
      <m in="0">
        <tpls c="3">
          <tpl fld="0" item="0"/>
          <tpl fld="1" item="63"/>
          <tpl fld="4" item="14"/>
        </tpls>
      </m>
      <n v="24" in="0">
        <tpls c="3">
          <tpl fld="0" item="0"/>
          <tpl fld="1" item="273"/>
          <tpl fld="4" item="13"/>
        </tpls>
      </n>
      <m in="0">
        <tpls c="3">
          <tpl fld="0" item="0"/>
          <tpl fld="1" item="437"/>
          <tpl fld="4" item="19"/>
        </tpls>
      </m>
      <n v="2" in="0">
        <tpls c="3">
          <tpl fld="0" item="0"/>
          <tpl fld="1" item="329"/>
          <tpl fld="4" item="16"/>
        </tpls>
      </n>
      <m in="0">
        <tpls c="3">
          <tpl fld="0" item="0"/>
          <tpl fld="1" item="120"/>
          <tpl fld="4" item="19"/>
        </tpls>
      </m>
      <n v="6" in="0">
        <tpls c="3">
          <tpl fld="0" item="0"/>
          <tpl fld="1" item="2"/>
          <tpl fld="4" item="15"/>
        </tpls>
      </n>
      <m in="0">
        <tpls c="3">
          <tpl fld="0" item="0"/>
          <tpl fld="1" item="371"/>
          <tpl fld="4" item="15"/>
        </tpls>
      </m>
      <n v="81" in="0">
        <tpls c="3">
          <tpl fld="0" item="0"/>
          <tpl fld="1" item="255"/>
          <tpl fld="4" item="14"/>
        </tpls>
      </n>
      <n v="1" in="0">
        <tpls c="3">
          <tpl fld="0" item="0"/>
          <tpl fld="1" item="312"/>
          <tpl fld="4" item="12"/>
        </tpls>
      </n>
      <m in="0">
        <tpls c="3">
          <tpl fld="0" item="0"/>
          <tpl fld="1" item="436"/>
          <tpl fld="4" item="12"/>
        </tpls>
      </m>
      <m in="0">
        <tpls c="3">
          <tpl fld="0" item="0"/>
          <tpl fld="1" item="59"/>
          <tpl fld="4" item="1"/>
        </tpls>
      </m>
      <m in="0">
        <tpls c="3">
          <tpl fld="0" item="0"/>
          <tpl fld="1" item="375"/>
          <tpl fld="4" item="14"/>
        </tpls>
      </m>
      <m in="0">
        <tpls c="3">
          <tpl fld="0" item="0"/>
          <tpl fld="1" item="179"/>
          <tpl fld="4" item="12"/>
        </tpls>
      </m>
      <m in="0">
        <tpls c="3">
          <tpl fld="0" item="0"/>
          <tpl fld="1" item="70"/>
          <tpl fld="4" item="12"/>
        </tpls>
      </m>
      <n v="22" in="0">
        <tpls c="3">
          <tpl fld="0" item="0"/>
          <tpl fld="1" item="266"/>
          <tpl fld="4" item="1"/>
        </tpls>
      </n>
      <m in="0">
        <tpls c="3">
          <tpl fld="0" item="0"/>
          <tpl fld="1" item="58"/>
          <tpl fld="4" item="9"/>
        </tpls>
      </m>
      <n v="65" in="0">
        <tpls c="3">
          <tpl fld="0" item="0"/>
          <tpl fld="1" item="209"/>
          <tpl fld="4" item="14"/>
        </tpls>
      </n>
      <n v="124" in="0">
        <tpls c="3">
          <tpl fld="0" item="0"/>
          <tpl fld="1" item="273"/>
          <tpl fld="4" item="14"/>
        </tpls>
      </n>
      <m in="0">
        <tpls c="3">
          <tpl fld="0" item="0"/>
          <tpl fld="1" item="236"/>
          <tpl fld="4" item="6"/>
        </tpls>
      </m>
      <m in="0">
        <tpls c="3">
          <tpl fld="0" item="0"/>
          <tpl fld="1" item="46"/>
          <tpl fld="4" item="13"/>
        </tpls>
      </m>
      <m in="0">
        <tpls c="3">
          <tpl fld="0" item="0"/>
          <tpl fld="1" item="30"/>
          <tpl fld="4" item="1"/>
        </tpls>
      </m>
      <m in="0">
        <tpls c="3">
          <tpl fld="0" item="0"/>
          <tpl fld="1" item="361"/>
          <tpl fld="4" item="12"/>
        </tpls>
      </m>
      <m in="0">
        <tpls c="3">
          <tpl fld="0" item="0"/>
          <tpl fld="1" item="381"/>
          <tpl fld="4" item="9"/>
        </tpls>
      </m>
      <m in="0">
        <tpls c="3">
          <tpl fld="0" item="0"/>
          <tpl fld="1" item="192"/>
          <tpl fld="4" item="6"/>
        </tpls>
      </m>
      <m in="0">
        <tpls c="3">
          <tpl fld="0" item="0"/>
          <tpl fld="1" item="413"/>
          <tpl fld="4" item="14"/>
        </tpls>
      </m>
      <n v="63" in="0">
        <tpls c="3">
          <tpl fld="0" item="0"/>
          <tpl fld="1" item="287"/>
          <tpl fld="4" item="14"/>
        </tpls>
      </n>
      <m in="0">
        <tpls c="3">
          <tpl fld="0" item="0"/>
          <tpl fld="1" item="30"/>
          <tpl fld="4" item="9"/>
        </tpls>
      </m>
      <n v="117" in="0">
        <tpls c="3">
          <tpl fld="0" item="0"/>
          <tpl fld="1" item="125"/>
          <tpl fld="4" item="14"/>
        </tpls>
      </n>
      <m in="0">
        <tpls c="3">
          <tpl fld="0" item="0"/>
          <tpl fld="1" item="316"/>
          <tpl fld="4" item="13"/>
        </tpls>
      </m>
      <m in="0">
        <tpls c="3">
          <tpl fld="0" item="0"/>
          <tpl fld="1" item="328"/>
          <tpl fld="4" item="11"/>
        </tpls>
      </m>
      <n v="991" in="0">
        <tpls c="3">
          <tpl fld="0" item="0"/>
          <tpl fld="1" item="400"/>
          <tpl fld="4" item="10"/>
        </tpls>
      </n>
      <m in="0">
        <tpls c="3">
          <tpl fld="0" item="0"/>
          <tpl fld="1" item="431"/>
          <tpl fld="4" item="6"/>
        </tpls>
      </m>
      <m in="0">
        <tpls c="3">
          <tpl fld="0" item="0"/>
          <tpl fld="1" item="261"/>
          <tpl fld="4" item="14"/>
        </tpls>
      </m>
      <m in="0">
        <tpls c="3">
          <tpl fld="0" item="0"/>
          <tpl fld="1" item="388"/>
          <tpl fld="4" item="5"/>
        </tpls>
      </m>
      <m in="0">
        <tpls c="3">
          <tpl fld="0" item="0"/>
          <tpl fld="1" item="21"/>
          <tpl fld="4" item="8"/>
        </tpls>
      </m>
      <m in="0">
        <tpls c="3">
          <tpl fld="0" item="0"/>
          <tpl fld="1" item="15"/>
          <tpl fld="4" item="8"/>
        </tpls>
      </m>
      <n v="15" in="0">
        <tpls c="3">
          <tpl fld="0" item="0"/>
          <tpl fld="1" item="108"/>
          <tpl fld="4" item="10"/>
        </tpls>
      </n>
      <m in="0">
        <tpls c="3">
          <tpl fld="0" item="0"/>
          <tpl fld="1" item="342"/>
          <tpl fld="4" item="11"/>
        </tpls>
      </m>
      <m in="0">
        <tpls c="3">
          <tpl fld="0" item="0"/>
          <tpl fld="1" item="173"/>
          <tpl fld="4" item="9"/>
        </tpls>
      </m>
      <m in="0">
        <tpls c="3">
          <tpl fld="0" item="0"/>
          <tpl fld="1" item="231"/>
          <tpl fld="4" item="1"/>
        </tpls>
      </m>
      <n v="797" in="0">
        <tpls c="3">
          <tpl fld="0" item="0"/>
          <tpl fld="1" item="144"/>
          <tpl fld="4" item="10"/>
        </tpls>
      </n>
      <m in="0">
        <tpls c="3">
          <tpl fld="0" item="0"/>
          <tpl fld="1" item="294"/>
          <tpl fld="4" item="9"/>
        </tpls>
      </m>
      <n v="46" in="0">
        <tpls c="3">
          <tpl fld="0" item="0"/>
          <tpl fld="1" item="226"/>
          <tpl fld="4" item="14"/>
        </tpls>
      </n>
      <n v="188" in="1">
        <tpls c="3">
          <tpl fld="0" item="0"/>
          <tpl fld="1" item="232"/>
          <tpl fld="4" item="7"/>
        </tpls>
      </n>
      <m in="0">
        <tpls c="3">
          <tpl fld="0" item="0"/>
          <tpl fld="1" item="329"/>
          <tpl fld="4" item="8"/>
        </tpls>
      </m>
      <m in="0">
        <tpls c="3">
          <tpl fld="0" item="0"/>
          <tpl fld="1" item="293"/>
          <tpl fld="4" item="10"/>
        </tpls>
      </m>
      <m in="0">
        <tpls c="3">
          <tpl fld="0" item="0"/>
          <tpl fld="1" item="136"/>
          <tpl fld="4" item="11"/>
        </tpls>
      </m>
      <m in="0">
        <tpls c="3">
          <tpl fld="0" item="0"/>
          <tpl fld="1" item="310"/>
          <tpl fld="4" item="12"/>
        </tpls>
      </m>
      <m in="0">
        <tpls c="3">
          <tpl fld="0" item="0"/>
          <tpl fld="1" item="439"/>
          <tpl fld="4" item="10"/>
        </tpls>
      </m>
      <n v="13" in="0">
        <tpls c="3">
          <tpl fld="0" item="0"/>
          <tpl fld="1" item="369"/>
          <tpl fld="4" item="14"/>
        </tpls>
      </n>
      <m in="0">
        <tpls c="3">
          <tpl fld="0" item="0"/>
          <tpl fld="1" item="42"/>
          <tpl fld="4" item="1"/>
        </tpls>
      </m>
      <m in="0">
        <tpls c="3">
          <tpl fld="0" item="0"/>
          <tpl fld="1" item="73"/>
          <tpl fld="4" item="6"/>
        </tpls>
      </m>
      <n v="13" in="0">
        <tpls c="3">
          <tpl fld="0" item="0"/>
          <tpl fld="1" item="25"/>
          <tpl fld="4" item="10"/>
        </tpls>
      </n>
      <n v="57" in="0">
        <tpls c="3">
          <tpl fld="0" item="0"/>
          <tpl fld="1" item="151"/>
          <tpl fld="4" item="10"/>
        </tpls>
      </n>
      <m in="0">
        <tpls c="3">
          <tpl fld="0" item="0"/>
          <tpl fld="1" item="84"/>
          <tpl fld="4" item="5"/>
        </tpls>
      </m>
      <m in="0">
        <tpls c="3">
          <tpl fld="0" item="0"/>
          <tpl fld="1" item="83"/>
          <tpl fld="4" item="1"/>
        </tpls>
      </m>
      <n v="1" in="0">
        <tpls c="3">
          <tpl fld="0" item="0"/>
          <tpl fld="1" item="427"/>
          <tpl fld="4" item="11"/>
        </tpls>
      </n>
      <n v="8" in="0">
        <tpls c="3">
          <tpl fld="0" item="0"/>
          <tpl fld="1" item="361"/>
          <tpl fld="4" item="14"/>
        </tpls>
      </n>
      <m in="1">
        <tpls c="3">
          <tpl fld="0" item="0"/>
          <tpl fld="1" item="223"/>
          <tpl fld="4" item="7"/>
        </tpls>
      </m>
      <m in="0">
        <tpls c="3">
          <tpl fld="0" item="0"/>
          <tpl fld="1" item="257"/>
          <tpl fld="4" item="9"/>
        </tpls>
      </m>
      <n v="2" in="0">
        <tpls c="3">
          <tpl fld="0" item="0"/>
          <tpl fld="1" item="77"/>
          <tpl fld="4" item="11"/>
        </tpls>
      </n>
      <n v="111" in="1">
        <tpls c="3">
          <tpl fld="0" item="0"/>
          <tpl fld="1" item="334"/>
          <tpl fld="4" item="7"/>
        </tpls>
      </n>
      <m in="0">
        <tpls c="3">
          <tpl fld="0" item="0"/>
          <tpl fld="1" item="306"/>
          <tpl fld="4" item="12"/>
        </tpls>
      </m>
      <m in="0">
        <tpls c="3">
          <tpl fld="0" item="0"/>
          <tpl fld="1" item="341"/>
          <tpl fld="4" item="8"/>
        </tpls>
      </m>
      <m in="0">
        <tpls c="3">
          <tpl fld="0" item="0"/>
          <tpl fld="1" item="327"/>
          <tpl fld="4" item="10"/>
        </tpls>
      </m>
      <m in="0">
        <tpls c="3">
          <tpl fld="0" item="0"/>
          <tpl fld="1" item="457"/>
          <tpl fld="4" item="14"/>
        </tpls>
      </m>
      <m in="0">
        <tpls c="3">
          <tpl fld="0" item="0"/>
          <tpl fld="1" item="421"/>
          <tpl fld="4" item="13"/>
        </tpls>
      </m>
      <m in="1">
        <tpls c="3">
          <tpl fld="0" item="0"/>
          <tpl fld="1" item="109"/>
          <tpl fld="4" item="7"/>
        </tpls>
      </m>
      <m in="1">
        <tpls c="3">
          <tpl fld="0" item="0"/>
          <tpl fld="1" item="250"/>
          <tpl fld="4" item="7"/>
        </tpls>
      </m>
      <m in="0">
        <tpls c="3">
          <tpl fld="0" item="0"/>
          <tpl fld="1" item="146"/>
          <tpl fld="4" item="8"/>
        </tpls>
      </m>
      <n v="4" in="0">
        <tpls c="3">
          <tpl fld="0" item="0"/>
          <tpl fld="1" item="313"/>
          <tpl fld="4" item="9"/>
        </tpls>
      </n>
      <m in="0">
        <tpls c="3">
          <tpl fld="0" item="0"/>
          <tpl fld="1" item="361"/>
          <tpl fld="4" item="5"/>
        </tpls>
      </m>
      <m in="0">
        <tpls c="3">
          <tpl fld="0" item="0"/>
          <tpl fld="1" item="115"/>
          <tpl fld="4" item="12"/>
        </tpls>
      </m>
      <n v="197" in="0">
        <tpls c="3">
          <tpl fld="0" item="0"/>
          <tpl fld="1" item="57"/>
          <tpl fld="4" item="10"/>
        </tpls>
      </n>
      <m in="0">
        <tpls c="3">
          <tpl fld="0" item="0"/>
          <tpl fld="1" item="148"/>
          <tpl fld="4" item="8"/>
        </tpls>
      </m>
      <m in="0">
        <tpls c="3">
          <tpl fld="0" item="0"/>
          <tpl fld="1" item="443"/>
          <tpl fld="4" item="6"/>
        </tpls>
      </m>
      <n v="35" in="0">
        <tpls c="3">
          <tpl fld="0" item="0"/>
          <tpl fld="1" item="120"/>
          <tpl fld="4" item="14"/>
        </tpls>
      </n>
      <m in="0">
        <tpls c="3">
          <tpl fld="0" item="0"/>
          <tpl fld="1" item="396"/>
          <tpl fld="4" item="14"/>
        </tpls>
      </m>
      <n v="41" in="0">
        <tpls c="3">
          <tpl fld="0" item="0"/>
          <tpl fld="1" item="56"/>
          <tpl fld="4" item="14"/>
        </tpls>
      </n>
      <m in="0">
        <tpls c="3">
          <tpl fld="0" item="0"/>
          <tpl fld="1" item="327"/>
          <tpl fld="4" item="1"/>
        </tpls>
      </m>
      <m in="0">
        <tpls c="3">
          <tpl fld="0" item="0"/>
          <tpl fld="1" item="295"/>
          <tpl fld="4" item="1"/>
        </tpls>
      </m>
      <n v="133" in="1">
        <tpls c="3">
          <tpl fld="0" item="0"/>
          <tpl fld="1" item="199"/>
          <tpl fld="4" item="7"/>
        </tpls>
      </n>
      <m in="0">
        <tpls c="3">
          <tpl fld="0" item="0"/>
          <tpl fld="1" item="39"/>
          <tpl fld="4" item="5"/>
        </tpls>
      </m>
      <m in="0">
        <tpls c="3">
          <tpl fld="0" item="0"/>
          <tpl fld="1" item="143"/>
          <tpl fld="4" item="12"/>
        </tpls>
      </m>
      <n v="5" in="0">
        <tpls c="3">
          <tpl fld="0" item="0"/>
          <tpl fld="1" item="351"/>
          <tpl fld="4" item="1"/>
        </tpls>
      </n>
      <m in="0">
        <tpls c="3">
          <tpl fld="0" item="0"/>
          <tpl fld="1" item="254"/>
          <tpl fld="4" item="6"/>
        </tpls>
      </m>
      <m in="0">
        <tpls c="3">
          <tpl fld="0" item="0"/>
          <tpl fld="1" item="430"/>
          <tpl fld="4" item="6"/>
        </tpls>
      </m>
      <m in="0">
        <tpls c="3">
          <tpl fld="0" item="0"/>
          <tpl fld="1" item="316"/>
          <tpl fld="4" item="9"/>
        </tpls>
      </m>
      <m in="0">
        <tpls c="3">
          <tpl fld="0" item="0"/>
          <tpl fld="1" item="338"/>
          <tpl fld="4" item="8"/>
        </tpls>
      </m>
      <n v="2" in="0">
        <tpls c="3">
          <tpl fld="0" item="0"/>
          <tpl fld="1" item="367"/>
          <tpl fld="4" item="12"/>
        </tpls>
      </n>
      <n v="40" in="0">
        <tpls c="3">
          <tpl fld="0" item="0"/>
          <tpl fld="1" item="263"/>
          <tpl fld="4" item="10"/>
        </tpls>
      </n>
      <n v="886" in="0">
        <tpls c="3">
          <tpl fld="0" item="0"/>
          <tpl fld="1" item="7"/>
          <tpl fld="4" item="10"/>
        </tpls>
      </n>
      <n v="1" in="0">
        <tpls c="3">
          <tpl fld="0" item="0"/>
          <tpl fld="1" item="410"/>
          <tpl fld="4" item="1"/>
        </tpls>
      </n>
      <n v="2" in="0">
        <tpls c="3">
          <tpl fld="0" item="0"/>
          <tpl fld="1" item="82"/>
          <tpl fld="4" item="12"/>
        </tpls>
      </n>
      <m in="0">
        <tpls c="3">
          <tpl fld="0" item="0"/>
          <tpl fld="1" item="443"/>
          <tpl fld="4" item="1"/>
        </tpls>
      </m>
      <m in="0">
        <tpls c="3">
          <tpl fld="0" item="0"/>
          <tpl fld="1" item="292"/>
          <tpl fld="4" item="14"/>
        </tpls>
      </m>
      <m in="0">
        <tpls c="3">
          <tpl fld="0" item="0"/>
          <tpl fld="1" item="233"/>
          <tpl fld="4" item="12"/>
        </tpls>
      </m>
      <n v="10" in="0">
        <tpls c="3">
          <tpl fld="0" item="0"/>
          <tpl fld="1" item="273"/>
          <tpl fld="4" item="16"/>
        </tpls>
      </n>
      <n v="2" in="0">
        <tpls c="3">
          <tpl fld="0" item="0"/>
          <tpl fld="1" item="262"/>
          <tpl fld="4" item="18"/>
        </tpls>
      </n>
      <n v="3" in="0">
        <tpls c="3">
          <tpl fld="0" item="0"/>
          <tpl fld="1" item="382"/>
          <tpl fld="4" item="16"/>
        </tpls>
      </n>
      <n v="32" in="0">
        <tpls c="3">
          <tpl fld="0" item="0"/>
          <tpl fld="1" item="80"/>
          <tpl fld="4" item="17"/>
        </tpls>
      </n>
      <n v="2" in="0">
        <tpls c="3">
          <tpl fld="0" item="0"/>
          <tpl fld="1" item="274"/>
          <tpl fld="4" item="17"/>
        </tpls>
      </n>
      <m in="0">
        <tpls c="3">
          <tpl fld="0" item="0"/>
          <tpl fld="1" item="127"/>
          <tpl fld="4" item="6"/>
        </tpls>
      </m>
      <n v="35" in="0">
        <tpls c="3">
          <tpl fld="0" item="0"/>
          <tpl fld="1" item="332"/>
          <tpl fld="4" item="14"/>
        </tpls>
      </n>
      <m in="0">
        <tpls c="3">
          <tpl fld="0" item="0"/>
          <tpl fld="1" item="432"/>
          <tpl fld="4" item="5"/>
        </tpls>
      </m>
      <m in="0">
        <tpls c="3">
          <tpl fld="0" item="0"/>
          <tpl fld="1" item="207"/>
          <tpl fld="4" item="1"/>
        </tpls>
      </m>
      <m in="0">
        <tpls c="3">
          <tpl fld="0" item="0"/>
          <tpl fld="1" item="321"/>
          <tpl fld="4" item="6"/>
        </tpls>
      </m>
      <n v="17" in="0">
        <tpls c="3">
          <tpl fld="0" item="0"/>
          <tpl fld="1" item="246"/>
          <tpl fld="4" item="14"/>
        </tpls>
      </n>
      <n v="3430" in="1">
        <tpls c="3">
          <tpl fld="0" item="0"/>
          <tpl fld="1" item="380"/>
          <tpl fld="4" item="7"/>
        </tpls>
      </n>
      <m in="0">
        <tpls c="3">
          <tpl fld="0" item="0"/>
          <tpl fld="1" item="352"/>
          <tpl fld="4" item="11"/>
        </tpls>
      </m>
      <n v="23" in="1">
        <tpls c="3">
          <tpl fld="0" item="0"/>
          <tpl fld="1" item="284"/>
          <tpl fld="4" item="7"/>
        </tpls>
      </n>
      <m in="0">
        <tpls c="3">
          <tpl fld="0" item="0"/>
          <tpl fld="3" item="0"/>
          <tpl fld="4" item="6"/>
        </tpls>
      </m>
      <n v="127" in="0">
        <tpls c="3">
          <tpl fld="0" item="0"/>
          <tpl fld="1" item="148"/>
          <tpl fld="4" item="10"/>
        </tpls>
      </n>
      <n v="22" in="0">
        <tpls c="3">
          <tpl fld="0" item="0"/>
          <tpl fld="1" item="161"/>
          <tpl fld="4" item="14"/>
        </tpls>
      </n>
      <m in="1">
        <tpls c="3">
          <tpl fld="0" item="0"/>
          <tpl fld="1" item="30"/>
          <tpl fld="4" item="7"/>
        </tpls>
      </m>
      <n v="2" in="0">
        <tpls c="3">
          <tpl fld="0" item="0"/>
          <tpl fld="1" item="442"/>
          <tpl fld="4" item="11"/>
        </tpls>
      </n>
      <m in="0">
        <tpls c="3">
          <tpl fld="0" item="0"/>
          <tpl fld="1" item="69"/>
          <tpl fld="4" item="8"/>
        </tpls>
      </m>
      <n v="58" in="0">
        <tpls c="3">
          <tpl fld="0" item="0"/>
          <tpl fld="1" item="175"/>
          <tpl fld="4" item="14"/>
        </tpls>
      </n>
      <m in="0">
        <tpls c="3">
          <tpl fld="0" item="0"/>
          <tpl fld="1" item="245"/>
          <tpl fld="4" item="13"/>
        </tpls>
      </m>
      <m in="0">
        <tpls c="3">
          <tpl fld="0" item="0"/>
          <tpl fld="1" item="298"/>
          <tpl fld="4" item="12"/>
        </tpls>
      </m>
      <m in="0">
        <tpls c="3">
          <tpl fld="0" item="0"/>
          <tpl fld="1" item="263"/>
          <tpl fld="4" item="5"/>
        </tpls>
      </m>
      <n v="1" in="0">
        <tpls c="3">
          <tpl fld="0" item="0"/>
          <tpl fld="1" item="205"/>
          <tpl fld="4" item="9"/>
        </tpls>
      </n>
      <m in="0">
        <tpls c="3">
          <tpl fld="0" item="0"/>
          <tpl fld="1" item="131"/>
          <tpl fld="4" item="14"/>
        </tpls>
      </m>
      <n v="1" in="0">
        <tpls c="3">
          <tpl fld="0" item="0"/>
          <tpl fld="1" item="212"/>
          <tpl fld="4" item="14"/>
        </tpls>
      </n>
      <m in="0">
        <tpls c="3">
          <tpl fld="0" item="0"/>
          <tpl fld="2" item="0"/>
          <tpl fld="4" item="8"/>
        </tpls>
      </m>
      <n v="38" in="1">
        <tpls c="3">
          <tpl fld="0" item="0"/>
          <tpl fld="1" item="212"/>
          <tpl fld="4" item="7"/>
        </tpls>
      </n>
      <n v="14" in="1">
        <tpls c="3">
          <tpl fld="0" item="0"/>
          <tpl fld="1" item="59"/>
          <tpl fld="4" item="7"/>
        </tpls>
      </n>
      <n v="2" in="0">
        <tpls c="3">
          <tpl fld="0" item="0"/>
          <tpl fld="1" item="10"/>
          <tpl fld="4" item="8"/>
        </tpls>
      </n>
      <n v="24" in="0">
        <tpls c="3">
          <tpl fld="0" item="0"/>
          <tpl fld="2" item="0"/>
          <tpl fld="4" item="10"/>
        </tpls>
      </n>
      <n v="9" in="0">
        <tpls c="3">
          <tpl fld="0" item="0"/>
          <tpl fld="1" item="310"/>
          <tpl fld="4" item="10"/>
        </tpls>
      </n>
      <n v="26" in="0">
        <tpls c="3">
          <tpl fld="0" item="0"/>
          <tpl fld="1" item="3"/>
          <tpl fld="4" item="14"/>
        </tpls>
      </n>
      <n v="1" in="0">
        <tpls c="3">
          <tpl fld="0" item="0"/>
          <tpl fld="1" item="56"/>
          <tpl fld="4" item="12"/>
        </tpls>
      </n>
      <n v="94" in="0">
        <tpls c="3">
          <tpl fld="0" item="0"/>
          <tpl fld="1" item="32"/>
          <tpl fld="4" item="14"/>
        </tpls>
      </n>
      <n v="521" in="0">
        <tpls c="3">
          <tpl fld="0" item="0"/>
          <tpl fld="1" item="365"/>
          <tpl fld="4" item="10"/>
        </tpls>
      </n>
      <m in="0">
        <tpls c="3">
          <tpl fld="0" item="0"/>
          <tpl fld="1" item="58"/>
          <tpl fld="4" item="11"/>
        </tpls>
      </m>
      <n v="5" in="0">
        <tpls c="3">
          <tpl fld="0" item="0"/>
          <tpl fld="1" item="411"/>
          <tpl fld="4" item="1"/>
        </tpls>
      </n>
      <m in="0">
        <tpls c="3">
          <tpl fld="0" item="0"/>
          <tpl fld="1" item="136"/>
          <tpl fld="4" item="12"/>
        </tpls>
      </m>
      <m in="0">
        <tpls c="3">
          <tpl fld="0" item="0"/>
          <tpl fld="1" item="403"/>
          <tpl fld="4" item="5"/>
        </tpls>
      </m>
      <m in="0">
        <tpls c="3">
          <tpl fld="0" item="0"/>
          <tpl fld="1" item="309"/>
          <tpl fld="4" item="1"/>
        </tpls>
      </m>
      <m in="0">
        <tpls c="3">
          <tpl fld="0" item="0"/>
          <tpl fld="1" item="209"/>
          <tpl fld="4" item="6"/>
        </tpls>
      </m>
      <n v="28" in="0">
        <tpls c="3">
          <tpl fld="0" item="0"/>
          <tpl fld="1" item="291"/>
          <tpl fld="4" item="14"/>
        </tpls>
      </n>
      <m in="1">
        <tpls c="3">
          <tpl fld="0" item="0"/>
          <tpl fld="1" item="36"/>
          <tpl fld="4" item="7"/>
        </tpls>
      </m>
      <m in="1">
        <tpls c="3">
          <tpl fld="0" item="0"/>
          <tpl fld="1" item="278"/>
          <tpl fld="4" item="7"/>
        </tpls>
      </m>
      <m in="0">
        <tpls c="3">
          <tpl fld="0" item="0"/>
          <tpl fld="1" item="139"/>
          <tpl fld="4" item="9"/>
        </tpls>
      </m>
      <m in="0">
        <tpls c="3">
          <tpl fld="0" item="0"/>
          <tpl fld="1" item="64"/>
          <tpl fld="4" item="6"/>
        </tpls>
      </m>
      <n v="53" in="1">
        <tpls c="3">
          <tpl fld="0" item="0"/>
          <tpl fld="1" item="425"/>
          <tpl fld="4" item="7"/>
        </tpls>
      </n>
      <m in="0">
        <tpls c="3">
          <tpl fld="0" item="0"/>
          <tpl fld="1" item="413"/>
          <tpl fld="4" item="5"/>
        </tpls>
      </m>
      <n v="31" in="1">
        <tpls c="3">
          <tpl fld="0" item="0"/>
          <tpl fld="1" item="169"/>
          <tpl fld="4" item="7"/>
        </tpls>
      </n>
      <m in="0">
        <tpls c="3">
          <tpl fld="0" item="0"/>
          <tpl fld="1" item="451"/>
          <tpl fld="4" item="9"/>
        </tpls>
      </m>
      <n v="17" in="0">
        <tpls c="3">
          <tpl fld="0" item="0"/>
          <tpl fld="1" item="269"/>
          <tpl fld="4" item="8"/>
        </tpls>
      </n>
      <n v="7" in="0">
        <tpls c="3">
          <tpl fld="0" item="0"/>
          <tpl fld="1" item="390"/>
          <tpl fld="4" item="1"/>
        </tpls>
      </n>
      <m in="1">
        <tpls c="3">
          <tpl fld="0" item="0"/>
          <tpl fld="1" item="34"/>
          <tpl fld="4" item="7"/>
        </tpls>
      </m>
      <m in="0">
        <tpls c="3">
          <tpl fld="0" item="0"/>
          <tpl fld="1" item="102"/>
          <tpl fld="4" item="10"/>
        </tpls>
      </m>
      <m in="0">
        <tpls c="3">
          <tpl fld="0" item="0"/>
          <tpl fld="1" item="411"/>
          <tpl fld="4" item="5"/>
        </tpls>
      </m>
      <m in="0">
        <tpls c="3">
          <tpl fld="0" item="0"/>
          <tpl fld="1" item="202"/>
          <tpl fld="4" item="5"/>
        </tpls>
      </m>
      <m in="0">
        <tpls c="3">
          <tpl fld="0" item="0"/>
          <tpl fld="1" item="279"/>
          <tpl fld="4" item="11"/>
        </tpls>
      </m>
      <n v="5" in="0">
        <tpls c="3">
          <tpl fld="0" item="0"/>
          <tpl fld="1" item="204"/>
          <tpl fld="4" item="14"/>
        </tpls>
      </n>
      <m in="0">
        <tpls c="3">
          <tpl fld="0" item="0"/>
          <tpl fld="1" item="2"/>
          <tpl fld="4" item="6"/>
        </tpls>
      </m>
      <m in="0">
        <tpls c="3">
          <tpl fld="0" item="0"/>
          <tpl fld="1" item="29"/>
          <tpl fld="4" item="9"/>
        </tpls>
      </m>
      <m in="0">
        <tpls c="3">
          <tpl fld="0" item="0"/>
          <tpl fld="1" item="128"/>
          <tpl fld="4" item="14"/>
        </tpls>
      </m>
      <n v="2" in="0">
        <tpls c="3">
          <tpl fld="0" item="0"/>
          <tpl fld="1" item="364"/>
          <tpl fld="4" item="12"/>
        </tpls>
      </n>
      <m in="0">
        <tpls c="3">
          <tpl fld="0" item="0"/>
          <tpl fld="1" item="445"/>
          <tpl fld="4" item="9"/>
        </tpls>
      </m>
      <m in="0">
        <tpls c="3">
          <tpl fld="0" item="0"/>
          <tpl fld="1" item="217"/>
          <tpl fld="4" item="1"/>
        </tpls>
      </m>
      <n v="1" in="0">
        <tpls c="3">
          <tpl fld="0" item="0"/>
          <tpl fld="1" item="442"/>
          <tpl fld="4" item="12"/>
        </tpls>
      </n>
      <m in="0">
        <tpls c="3">
          <tpl fld="0" item="0"/>
          <tpl fld="1" item="105"/>
          <tpl fld="4" item="11"/>
        </tpls>
      </m>
      <m in="0">
        <tpls c="3">
          <tpl fld="0" item="0"/>
          <tpl fld="1" item="246"/>
          <tpl fld="4" item="1"/>
        </tpls>
      </m>
      <m in="0">
        <tpls c="3">
          <tpl fld="0" item="0"/>
          <tpl fld="1" item="340"/>
          <tpl fld="4" item="11"/>
        </tpls>
      </m>
      <m in="0">
        <tpls c="3">
          <tpl fld="0" item="0"/>
          <tpl fld="1" item="363"/>
          <tpl fld="4" item="9"/>
        </tpls>
      </m>
      <m in="0">
        <tpls c="3">
          <tpl fld="0" item="0"/>
          <tpl fld="1" item="44"/>
          <tpl fld="4" item="5"/>
        </tpls>
      </m>
      <m in="0">
        <tpls c="3">
          <tpl fld="0" item="0"/>
          <tpl fld="1" item="191"/>
          <tpl fld="4" item="11"/>
        </tpls>
      </m>
      <n v="36" in="0">
        <tpls c="3">
          <tpl fld="0" item="0"/>
          <tpl fld="1" item="106"/>
          <tpl fld="4" item="14"/>
        </tpls>
      </n>
      <m in="0">
        <tpls c="3">
          <tpl fld="0" item="0"/>
          <tpl fld="1" item="358"/>
          <tpl fld="4" item="9"/>
        </tpls>
      </m>
      <n v="154" in="1">
        <tpls c="3">
          <tpl fld="0" item="0"/>
          <tpl fld="1" item="397"/>
          <tpl fld="4" item="7"/>
        </tpls>
      </n>
      <n v="57" in="0">
        <tpls c="3">
          <tpl fld="0" item="0"/>
          <tpl fld="1" item="38"/>
          <tpl fld="4" item="14"/>
        </tpls>
      </n>
      <m in="0">
        <tpls c="3">
          <tpl fld="0" item="0"/>
          <tpl fld="1" item="102"/>
          <tpl fld="4" item="1"/>
        </tpls>
      </m>
      <m in="0">
        <tpls c="3">
          <tpl fld="0" item="0"/>
          <tpl fld="1" item="118"/>
          <tpl fld="4" item="12"/>
        </tpls>
      </m>
      <m in="0">
        <tpls c="3">
          <tpl fld="0" item="0"/>
          <tpl fld="1" item="233"/>
          <tpl fld="4" item="9"/>
        </tpls>
      </m>
      <m in="0">
        <tpls c="3">
          <tpl fld="0" item="0"/>
          <tpl fld="1" item="445"/>
          <tpl fld="4" item="12"/>
        </tpls>
      </m>
      <m in="0">
        <tpls c="3">
          <tpl fld="0" item="0"/>
          <tpl fld="1" item="3"/>
          <tpl fld="4" item="8"/>
        </tpls>
      </m>
      <m in="0">
        <tpls c="3">
          <tpl fld="0" item="0"/>
          <tpl fld="1" item="260"/>
          <tpl fld="4" item="13"/>
        </tpls>
      </m>
      <m in="0">
        <tpls c="3">
          <tpl fld="0" item="0"/>
          <tpl fld="1" item="83"/>
          <tpl fld="4" item="21"/>
        </tpls>
      </m>
      <m in="0">
        <tpls c="3">
          <tpl fld="0" item="0"/>
          <tpl fld="1" item="220"/>
          <tpl fld="4" item="21"/>
        </tpls>
      </m>
      <m in="0">
        <tpls c="3">
          <tpl fld="0" item="0"/>
          <tpl fld="1" item="159"/>
          <tpl fld="4" item="1"/>
        </tpls>
      </m>
      <m in="0">
        <tpls c="3">
          <tpl fld="0" item="0"/>
          <tpl fld="1" item="214"/>
          <tpl fld="4" item="12"/>
        </tpls>
      </m>
      <n v="3" in="0">
        <tpls c="3">
          <tpl fld="0" item="0"/>
          <tpl fld="1" item="16"/>
          <tpl fld="4" item="14"/>
        </tpls>
      </n>
      <m in="0">
        <tpls c="3">
          <tpl fld="0" item="0"/>
          <tpl fld="1" item="5"/>
          <tpl fld="4" item="12"/>
        </tpls>
      </m>
      <m in="0">
        <tpls c="3">
          <tpl fld="0" item="0"/>
          <tpl fld="1" item="261"/>
          <tpl fld="4" item="9"/>
        </tpls>
      </m>
      <n v="257" in="1">
        <tpls c="3">
          <tpl fld="0" item="0"/>
          <tpl fld="1" item="226"/>
          <tpl fld="4" item="7"/>
        </tpls>
      </n>
      <m in="0">
        <tpls c="3">
          <tpl fld="0" item="0"/>
          <tpl fld="1" item="383"/>
          <tpl fld="4" item="6"/>
        </tpls>
      </m>
      <m in="0">
        <tpls c="3">
          <tpl fld="0" item="0"/>
          <tpl fld="1" item="215"/>
          <tpl fld="4" item="12"/>
        </tpls>
      </m>
      <m in="0">
        <tpls c="3">
          <tpl fld="0" item="0"/>
          <tpl fld="1" item="330"/>
          <tpl fld="4" item="9"/>
        </tpls>
      </m>
      <n v="143" in="0">
        <tpls c="3">
          <tpl fld="0" item="0"/>
          <tpl fld="1" item="205"/>
          <tpl fld="4" item="10"/>
        </tpls>
      </n>
      <m in="0">
        <tpls c="3">
          <tpl fld="0" item="0"/>
          <tpl fld="1" item="111"/>
          <tpl fld="4" item="9"/>
        </tpls>
      </m>
      <n v="41" in="0">
        <tpls c="3">
          <tpl fld="0" item="0"/>
          <tpl fld="1" item="394"/>
          <tpl fld="4" item="10"/>
        </tpls>
      </n>
      <n v="1" in="0">
        <tpls c="3">
          <tpl fld="0" item="0"/>
          <tpl fld="1" item="263"/>
          <tpl fld="4" item="13"/>
        </tpls>
      </n>
      <m in="0">
        <tpls c="3">
          <tpl fld="0" item="0"/>
          <tpl fld="1" item="6"/>
          <tpl fld="4" item="6"/>
        </tpls>
      </m>
      <m in="0">
        <tpls c="3">
          <tpl fld="0" item="0"/>
          <tpl fld="1" item="31"/>
          <tpl fld="4" item="12"/>
        </tpls>
      </m>
      <m in="0">
        <tpls c="3">
          <tpl fld="0" item="0"/>
          <tpl fld="1" item="303"/>
          <tpl fld="4" item="8"/>
        </tpls>
      </m>
      <m in="0">
        <tpls c="3">
          <tpl fld="0" item="0"/>
          <tpl fld="1" item="244"/>
          <tpl fld="4" item="10"/>
        </tpls>
      </m>
      <m in="1">
        <tpls c="3">
          <tpl fld="0" item="0"/>
          <tpl fld="1" item="362"/>
          <tpl fld="4" item="7"/>
        </tpls>
      </m>
      <n v="830" in="1">
        <tpls c="3">
          <tpl fld="0" item="0"/>
          <tpl fld="1" item="149"/>
          <tpl fld="4" item="7"/>
        </tpls>
      </n>
      <m in="0">
        <tpls c="3">
          <tpl fld="0" item="0"/>
          <tpl fld="1" item="197"/>
          <tpl fld="4" item="10"/>
        </tpls>
      </m>
      <m in="0">
        <tpls c="3">
          <tpl fld="0" item="0"/>
          <tpl fld="1" item="409"/>
          <tpl fld="4" item="6"/>
        </tpls>
      </m>
      <m in="0">
        <tpls c="3">
          <tpl fld="0" item="0"/>
          <tpl fld="1" item="40"/>
          <tpl fld="4" item="14"/>
        </tpls>
      </m>
      <n v="20" in="0">
        <tpls c="3">
          <tpl fld="0" item="0"/>
          <tpl fld="1" item="17"/>
          <tpl fld="4" item="14"/>
        </tpls>
      </n>
      <n v="29" in="0">
        <tpls c="3">
          <tpl fld="0" item="0"/>
          <tpl fld="1" item="58"/>
          <tpl fld="4" item="14"/>
        </tpls>
      </n>
      <m in="0">
        <tpls c="3">
          <tpl fld="0" item="0"/>
          <tpl fld="1" item="7"/>
          <tpl fld="4" item="11"/>
        </tpls>
      </m>
      <n v="50" in="0">
        <tpls c="3">
          <tpl fld="0" item="0"/>
          <tpl fld="1" item="156"/>
          <tpl fld="4" item="10"/>
        </tpls>
      </n>
      <n v="23" in="0">
        <tpls c="3">
          <tpl fld="0" item="0"/>
          <tpl fld="1" item="101"/>
          <tpl fld="4" item="14"/>
        </tpls>
      </n>
      <m in="0">
        <tpls c="3">
          <tpl fld="0" item="0"/>
          <tpl fld="2" item="0"/>
          <tpl fld="4" item="14"/>
        </tpls>
      </m>
      <n v="3" in="0">
        <tpls c="3">
          <tpl fld="0" item="0"/>
          <tpl fld="1" item="95"/>
          <tpl fld="4" item="10"/>
        </tpls>
      </n>
      <m in="0">
        <tpls c="3">
          <tpl fld="0" item="0"/>
          <tpl fld="1" item="271"/>
          <tpl fld="4" item="8"/>
        </tpls>
      </m>
      <n v="1" in="0">
        <tpls c="3">
          <tpl fld="0" item="0"/>
          <tpl fld="1" item="365"/>
          <tpl fld="4" item="1"/>
        </tpls>
      </n>
      <m in="1">
        <tpls c="3">
          <tpl fld="0" item="0"/>
          <tpl fld="1" item="272"/>
          <tpl fld="4" item="7"/>
        </tpls>
      </m>
      <m in="0">
        <tpls c="3">
          <tpl fld="0" item="0"/>
          <tpl fld="1" item="32"/>
          <tpl fld="4" item="5"/>
        </tpls>
      </m>
      <m in="0">
        <tpls c="3">
          <tpl fld="0" item="0"/>
          <tpl fld="1" item="441"/>
          <tpl fld="4" item="1"/>
        </tpls>
      </m>
      <m in="0">
        <tpls c="3">
          <tpl fld="0" item="0"/>
          <tpl fld="1" item="452"/>
          <tpl fld="4" item="6"/>
        </tpls>
      </m>
      <m in="0">
        <tpls c="3">
          <tpl fld="0" item="0"/>
          <tpl fld="1" item="248"/>
          <tpl fld="4" item="14"/>
        </tpls>
      </m>
      <n v="136" in="0">
        <tpls c="3">
          <tpl fld="0" item="0"/>
          <tpl fld="1" item="54"/>
          <tpl fld="4" item="10"/>
        </tpls>
      </n>
      <m in="0">
        <tpls c="3">
          <tpl fld="0" item="0"/>
          <tpl fld="1" item="352"/>
          <tpl fld="4" item="12"/>
        </tpls>
      </m>
      <n v="684" in="0">
        <tpls c="3">
          <tpl fld="0" item="0"/>
          <tpl fld="1" item="82"/>
          <tpl fld="4" item="10"/>
        </tpls>
      </n>
      <m in="0">
        <tpls c="3">
          <tpl fld="0" item="0"/>
          <tpl fld="1" item="232"/>
          <tpl fld="4" item="1"/>
        </tpls>
      </m>
      <n v="101" in="0">
        <tpls c="3">
          <tpl fld="0" item="0"/>
          <tpl fld="1" item="430"/>
          <tpl fld="4" item="14"/>
        </tpls>
      </n>
      <m in="0">
        <tpls c="3">
          <tpl fld="0" item="0"/>
          <tpl fld="1" item="408"/>
          <tpl fld="4" item="13"/>
        </tpls>
      </m>
      <n v="2" in="0">
        <tpls c="3">
          <tpl fld="0" item="0"/>
          <tpl fld="1" item="38"/>
          <tpl fld="4" item="13"/>
        </tpls>
      </n>
      <m in="0">
        <tpls c="3">
          <tpl fld="0" item="0"/>
          <tpl fld="1" item="349"/>
          <tpl fld="4" item="14"/>
        </tpls>
      </m>
      <m in="0">
        <tpls c="3">
          <tpl fld="0" item="0"/>
          <tpl fld="1" item="333"/>
          <tpl fld="4" item="12"/>
        </tpls>
      </m>
      <n v="105" in="1">
        <tpls c="3">
          <tpl fld="0" item="0"/>
          <tpl fld="1" item="254"/>
          <tpl fld="4" item="7"/>
        </tpls>
      </n>
      <n v="100" in="1">
        <tpls c="3">
          <tpl fld="0" item="0"/>
          <tpl fld="1" item="120"/>
          <tpl fld="4" item="7"/>
        </tpls>
      </n>
      <m in="0">
        <tpls c="3">
          <tpl fld="0" item="0"/>
          <tpl fld="1" item="396"/>
          <tpl fld="4" item="9"/>
        </tpls>
      </m>
      <n v="154" in="1">
        <tpls c="3">
          <tpl fld="0" item="0"/>
          <tpl fld="1" item="418"/>
          <tpl fld="4" item="7"/>
        </tpls>
      </n>
      <m in="0">
        <tpls c="3">
          <tpl fld="0" item="0"/>
          <tpl fld="1" item="235"/>
          <tpl fld="4" item="10"/>
        </tpls>
      </m>
      <m in="0">
        <tpls c="3">
          <tpl fld="0" item="0"/>
          <tpl fld="1" item="251"/>
          <tpl fld="4" item="10"/>
        </tpls>
      </m>
      <n v="2" in="0">
        <tpls c="3">
          <tpl fld="0" item="0"/>
          <tpl fld="1" item="452"/>
          <tpl fld="4" item="11"/>
        </tpls>
      </n>
      <m in="0">
        <tpls c="3">
          <tpl fld="0" item="0"/>
          <tpl fld="1" item="300"/>
          <tpl fld="4" item="12"/>
        </tpls>
      </m>
      <m in="0">
        <tpls c="3">
          <tpl fld="0" item="0"/>
          <tpl fld="1" item="132"/>
          <tpl fld="4" item="9"/>
        </tpls>
      </m>
      <m in="0">
        <tpls c="3">
          <tpl fld="0" item="0"/>
          <tpl fld="1" item="207"/>
          <tpl fld="4" item="12"/>
        </tpls>
      </m>
      <m in="0">
        <tpls c="3">
          <tpl fld="0" item="0"/>
          <tpl fld="1" item="403"/>
          <tpl fld="4" item="1"/>
        </tpls>
      </m>
      <m in="0">
        <tpls c="3">
          <tpl fld="0" item="0"/>
          <tpl fld="1" item="14"/>
          <tpl fld="4" item="14"/>
        </tpls>
      </m>
      <m in="0">
        <tpls c="3">
          <tpl fld="0" item="0"/>
          <tpl fld="1" item="240"/>
          <tpl fld="4" item="14"/>
        </tpls>
      </m>
      <m in="0">
        <tpls c="3">
          <tpl fld="0" item="0"/>
          <tpl fld="1" item="88"/>
          <tpl fld="4" item="8"/>
        </tpls>
      </m>
      <m in="0">
        <tpls c="3">
          <tpl fld="0" item="0"/>
          <tpl fld="1" item="185"/>
          <tpl fld="4" item="12"/>
        </tpls>
      </m>
      <m in="0">
        <tpls c="3">
          <tpl fld="0" item="0"/>
          <tpl fld="1" item="218"/>
          <tpl fld="4" item="5"/>
        </tpls>
      </m>
      <n v="260" in="0">
        <tpls c="3">
          <tpl fld="0" item="0"/>
          <tpl fld="1" item="47"/>
          <tpl fld="4" item="14"/>
        </tpls>
      </n>
      <m in="0">
        <tpls c="3">
          <tpl fld="0" item="0"/>
          <tpl fld="1" item="349"/>
          <tpl fld="4" item="12"/>
        </tpls>
      </m>
      <m in="0">
        <tpls c="3">
          <tpl fld="0" item="0"/>
          <tpl fld="1" item="143"/>
          <tpl fld="4" item="5"/>
        </tpls>
      </m>
      <n v="12" in="0">
        <tpls c="3">
          <tpl fld="0" item="0"/>
          <tpl fld="1" item="29"/>
          <tpl fld="4" item="14"/>
        </tpls>
      </n>
      <m in="0">
        <tpls c="3">
          <tpl fld="0" item="0"/>
          <tpl fld="1" item="88"/>
          <tpl fld="4" item="1"/>
        </tpls>
      </m>
      <m in="0">
        <tpls c="3">
          <tpl fld="0" item="0"/>
          <tpl fld="1" item="127"/>
          <tpl fld="4" item="9"/>
        </tpls>
      </m>
      <n v="4" in="0">
        <tpls c="3">
          <tpl fld="0" item="0"/>
          <tpl fld="1" item="351"/>
          <tpl fld="4" item="11"/>
        </tpls>
      </n>
      <n v="135" in="1">
        <tpls c="3">
          <tpl fld="0" item="0"/>
          <tpl fld="1" item="209"/>
          <tpl fld="4" item="7"/>
        </tpls>
      </n>
      <m in="0">
        <tpls c="3">
          <tpl fld="0" item="0"/>
          <tpl fld="1" item="206"/>
          <tpl fld="4" item="6"/>
        </tpls>
      </m>
      <n v="15" in="0">
        <tpls c="3">
          <tpl fld="0" item="0"/>
          <tpl fld="1" item="335"/>
          <tpl fld="4" item="14"/>
        </tpls>
      </n>
      <n v="18" in="1">
        <tpls c="3">
          <tpl fld="0" item="0"/>
          <tpl fld="1" item="53"/>
          <tpl fld="4" item="7"/>
        </tpls>
      </n>
      <m in="0">
        <tpls c="3">
          <tpl fld="0" item="0"/>
          <tpl fld="1" item="336"/>
          <tpl fld="4" item="11"/>
        </tpls>
      </m>
      <m in="0">
        <tpls c="3">
          <tpl fld="0" item="0"/>
          <tpl fld="1" item="102"/>
          <tpl fld="4" item="14"/>
        </tpls>
      </m>
      <m in="0">
        <tpls c="3">
          <tpl fld="0" item="0"/>
          <tpl fld="1" item="448"/>
          <tpl fld="4" item="8"/>
        </tpls>
      </m>
      <m in="0">
        <tpls c="3">
          <tpl fld="0" item="0"/>
          <tpl fld="1" item="109"/>
          <tpl fld="4" item="12"/>
        </tpls>
      </m>
      <m in="0">
        <tpls c="3">
          <tpl fld="0" item="0"/>
          <tpl fld="1" item="119"/>
          <tpl fld="4" item="9"/>
        </tpls>
      </m>
      <n v="55" in="0">
        <tpls c="3">
          <tpl fld="0" item="0"/>
          <tpl fld="1" item="89"/>
          <tpl fld="4" item="14"/>
        </tpls>
      </n>
      <n v="91" in="0">
        <tpls c="3">
          <tpl fld="0" item="0"/>
          <tpl fld="1" item="20"/>
          <tpl fld="4" item="14"/>
        </tpls>
      </n>
      <m in="0">
        <tpls c="3">
          <tpl fld="0" item="0"/>
          <tpl fld="1" item="330"/>
          <tpl fld="4" item="8"/>
        </tpls>
      </m>
      <m in="0">
        <tpls c="3">
          <tpl fld="0" item="0"/>
          <tpl fld="1" item="158"/>
          <tpl fld="4" item="8"/>
        </tpls>
      </m>
      <n v="880" in="0">
        <tpls c="3">
          <tpl fld="0" item="0"/>
          <tpl fld="1" item="364"/>
          <tpl fld="4" item="10"/>
        </tpls>
      </n>
      <m in="0">
        <tpls c="3">
          <tpl fld="0" item="0"/>
          <tpl fld="1" item="121"/>
          <tpl fld="4" item="14"/>
        </tpls>
      </m>
      <m in="0">
        <tpls c="3">
          <tpl fld="0" item="0"/>
          <tpl fld="1" item="407"/>
          <tpl fld="4" item="9"/>
        </tpls>
      </m>
      <m in="0">
        <tpls c="3">
          <tpl fld="0" item="0"/>
          <tpl fld="1" item="204"/>
          <tpl fld="4" item="9"/>
        </tpls>
      </m>
      <m in="0">
        <tpls c="3">
          <tpl fld="0" item="0"/>
          <tpl fld="1" item="260"/>
          <tpl fld="4" item="14"/>
        </tpls>
      </m>
      <m in="0">
        <tpls c="3">
          <tpl fld="0" item="0"/>
          <tpl fld="1" item="293"/>
          <tpl fld="4" item="12"/>
        </tpls>
      </m>
      <m in="0">
        <tpls c="3">
          <tpl fld="0" item="0"/>
          <tpl fld="1" item="428"/>
          <tpl fld="4" item="9"/>
        </tpls>
      </m>
      <m in="0">
        <tpls c="3">
          <tpl fld="0" item="0"/>
          <tpl fld="1" item="449"/>
          <tpl fld="4" item="12"/>
        </tpls>
      </m>
      <n v="2" in="0">
        <tpls c="3">
          <tpl fld="0" item="0"/>
          <tpl fld="1" item="99"/>
          <tpl fld="4" item="11"/>
        </tpls>
      </n>
      <n v="96" in="0">
        <tpls c="3">
          <tpl fld="0" item="0"/>
          <tpl fld="1" item="144"/>
          <tpl fld="4" item="14"/>
        </tpls>
      </n>
      <m in="0">
        <tpls c="3">
          <tpl fld="0" item="0"/>
          <tpl fld="1" item="374"/>
          <tpl fld="4" item="10"/>
        </tpls>
      </m>
      <m in="0">
        <tpls c="3">
          <tpl fld="0" item="0"/>
          <tpl fld="1" item="201"/>
          <tpl fld="4" item="8"/>
        </tpls>
      </m>
      <n v="4" in="0">
        <tpls c="3">
          <tpl fld="0" item="0"/>
          <tpl fld="1" item="276"/>
          <tpl fld="4" item="14"/>
        </tpls>
      </n>
      <n v="77" in="0">
        <tpls c="3">
          <tpl fld="0" item="0"/>
          <tpl fld="1" item="173"/>
          <tpl fld="4" item="10"/>
        </tpls>
      </n>
      <m in="0">
        <tpls c="3">
          <tpl fld="0" item="0"/>
          <tpl fld="1" item="34"/>
          <tpl fld="4" item="1"/>
        </tpls>
      </m>
      <m in="0">
        <tpls c="3">
          <tpl fld="0" item="0"/>
          <tpl fld="1" item="145"/>
          <tpl fld="4" item="14"/>
        </tpls>
      </m>
      <m in="0">
        <tpls c="3">
          <tpl fld="0" item="0"/>
          <tpl fld="1" item="19"/>
          <tpl fld="4" item="13"/>
        </tpls>
      </m>
      <m in="0">
        <tpls c="3">
          <tpl fld="0" item="0"/>
          <tpl fld="1" item="228"/>
          <tpl fld="4" item="13"/>
        </tpls>
      </m>
      <n v="5" in="0">
        <tpls c="3">
          <tpl fld="0" item="0"/>
          <tpl fld="1" item="226"/>
          <tpl fld="4" item="13"/>
        </tpls>
      </n>
      <m in="0">
        <tpls c="3">
          <tpl fld="0" item="0"/>
          <tpl fld="1" item="398"/>
          <tpl fld="4" item="13"/>
        </tpls>
      </m>
      <m in="0">
        <tpls c="3">
          <tpl fld="0" item="0"/>
          <tpl fld="1" item="342"/>
          <tpl fld="4" item="18"/>
        </tpls>
      </m>
      <n v="265" in="0">
        <tpls c="3">
          <tpl fld="0" item="0"/>
          <tpl fld="1" item="65"/>
          <tpl fld="4" item="20"/>
        </tpls>
      </n>
      <n v="13" in="0">
        <tpls c="3">
          <tpl fld="0" item="0"/>
          <tpl fld="1" item="37"/>
          <tpl fld="4" item="14"/>
        </tpls>
      </n>
      <n v="56" in="0">
        <tpls c="3">
          <tpl fld="0" item="0"/>
          <tpl fld="1" item="10"/>
          <tpl fld="4" item="14"/>
        </tpls>
      </n>
      <m in="0">
        <tpls c="3">
          <tpl fld="0" item="0"/>
          <tpl fld="1" item="141"/>
          <tpl fld="4" item="9"/>
        </tpls>
      </m>
      <m in="0">
        <tpls c="3">
          <tpl fld="0" item="0"/>
          <tpl fld="1" item="1"/>
          <tpl fld="4" item="6"/>
        </tpls>
      </m>
      <n v="69" in="0">
        <tpls c="3">
          <tpl fld="0" item="0"/>
          <tpl fld="1" item="64"/>
          <tpl fld="4" item="14"/>
        </tpls>
      </n>
      <m in="0">
        <tpls c="3">
          <tpl fld="0" item="0"/>
          <tpl fld="1" item="341"/>
          <tpl fld="4" item="1"/>
        </tpls>
      </m>
      <m in="0">
        <tpls c="3">
          <tpl fld="0" item="0"/>
          <tpl fld="1" item="76"/>
          <tpl fld="4" item="12"/>
        </tpls>
      </m>
      <m in="0">
        <tpls c="3">
          <tpl fld="0" item="0"/>
          <tpl fld="1" item="5"/>
          <tpl fld="4" item="6"/>
        </tpls>
      </m>
      <m in="0">
        <tpls c="3">
          <tpl fld="0" item="0"/>
          <tpl fld="1" item="197"/>
          <tpl fld="4" item="14"/>
        </tpls>
      </m>
      <m in="0">
        <tpls c="3">
          <tpl fld="0" item="0"/>
          <tpl fld="1" item="414"/>
          <tpl fld="4" item="14"/>
        </tpls>
      </m>
      <n v="56" in="0">
        <tpls c="3">
          <tpl fld="0" item="0"/>
          <tpl fld="1" item="37"/>
          <tpl fld="4" item="10"/>
        </tpls>
      </n>
      <n v="316" in="0">
        <tpls c="3">
          <tpl fld="0" item="0"/>
          <tpl fld="1" item="287"/>
          <tpl fld="4" item="10"/>
        </tpls>
      </n>
      <m in="0">
        <tpls c="3">
          <tpl fld="0" item="0"/>
          <tpl fld="1" item="180"/>
          <tpl fld="4" item="1"/>
        </tpls>
      </m>
      <m in="0">
        <tpls c="3">
          <tpl fld="0" item="0"/>
          <tpl fld="1" item="336"/>
          <tpl fld="4" item="14"/>
        </tpls>
      </m>
      <m in="0">
        <tpls c="3">
          <tpl fld="0" item="0"/>
          <tpl fld="1" item="217"/>
          <tpl fld="4" item="12"/>
        </tpls>
      </m>
      <n v="64" in="0">
        <tpls c="3">
          <tpl fld="0" item="0"/>
          <tpl fld="1" item="206"/>
          <tpl fld="4" item="14"/>
        </tpls>
      </n>
      <m in="0">
        <tpls c="3">
          <tpl fld="0" item="0"/>
          <tpl fld="3" item="0"/>
          <tpl fld="4" item="9"/>
        </tpls>
      </m>
      <m in="0">
        <tpls c="3">
          <tpl fld="0" item="0"/>
          <tpl fld="1" item="293"/>
          <tpl fld="4" item="11"/>
        </tpls>
      </m>
      <m in="0">
        <tpls c="3">
          <tpl fld="0" item="0"/>
          <tpl fld="1" item="192"/>
          <tpl fld="4" item="12"/>
        </tpls>
      </m>
      <m in="0">
        <tpls c="3">
          <tpl fld="0" item="0"/>
          <tpl fld="1" item="241"/>
          <tpl fld="4" item="11"/>
        </tpls>
      </m>
      <m in="0">
        <tpls c="3">
          <tpl fld="0" item="0"/>
          <tpl fld="1" item="215"/>
          <tpl fld="4" item="6"/>
        </tpls>
      </m>
      <m in="0">
        <tpls c="3">
          <tpl fld="0" item="0"/>
          <tpl fld="1" item="88"/>
          <tpl fld="4" item="11"/>
        </tpls>
      </m>
      <n v="1051" in="0">
        <tpls c="3">
          <tpl fld="0" item="0"/>
          <tpl fld="1" item="312"/>
          <tpl fld="4" item="10"/>
        </tpls>
      </n>
      <m in="0">
        <tpls c="3">
          <tpl fld="0" item="0"/>
          <tpl fld="1" item="137"/>
          <tpl fld="4" item="9"/>
        </tpls>
      </m>
      <m in="0">
        <tpls c="3">
          <tpl fld="0" item="0"/>
          <tpl fld="1" item="138"/>
          <tpl fld="4" item="6"/>
        </tpls>
      </m>
      <m in="0">
        <tpls c="3">
          <tpl fld="0" item="0"/>
          <tpl fld="1" item="387"/>
          <tpl fld="4" item="14"/>
        </tpls>
      </m>
      <n v="162" in="1">
        <tpls c="3">
          <tpl fld="0" item="0"/>
          <tpl fld="1" item="453"/>
          <tpl fld="4" item="7"/>
        </tpls>
      </n>
      <m in="0">
        <tpls c="3">
          <tpl fld="0" item="0"/>
          <tpl fld="1" item="249"/>
          <tpl fld="4" item="8"/>
        </tpls>
      </m>
      <m in="0">
        <tpls c="3">
          <tpl fld="0" item="0"/>
          <tpl fld="1" item="292"/>
          <tpl fld="4" item="6"/>
        </tpls>
      </m>
      <m in="0">
        <tpls c="3">
          <tpl fld="0" item="0"/>
          <tpl fld="1" item="10"/>
          <tpl fld="4" item="6"/>
        </tpls>
      </m>
      <n v="11" in="1">
        <tpls c="3">
          <tpl fld="0" item="0"/>
          <tpl fld="1" item="361"/>
          <tpl fld="4" item="7"/>
        </tpls>
      </n>
      <m in="0">
        <tpls c="3">
          <tpl fld="0" item="0"/>
          <tpl fld="1" item="163"/>
          <tpl fld="4" item="5"/>
        </tpls>
      </m>
      <m in="0">
        <tpls c="3">
          <tpl fld="0" item="0"/>
          <tpl fld="1" item="364"/>
          <tpl fld="4" item="8"/>
        </tpls>
      </m>
      <n v="131" in="0">
        <tpls c="3">
          <tpl fld="0" item="0"/>
          <tpl fld="1" item="305"/>
          <tpl fld="4" item="10"/>
        </tpls>
      </n>
      <n v="14" in="0">
        <tpls c="3">
          <tpl fld="0" item="0"/>
          <tpl fld="1" item="383"/>
          <tpl fld="4" item="14"/>
        </tpls>
      </n>
      <m in="0">
        <tpls c="3">
          <tpl fld="0" item="0"/>
          <tpl fld="1" item="197"/>
          <tpl fld="4" item="9"/>
        </tpls>
      </m>
      <n v="233" in="0">
        <tpls c="3">
          <tpl fld="0" item="0"/>
          <tpl fld="1" item="453"/>
          <tpl fld="4" item="10"/>
        </tpls>
      </n>
      <m in="0">
        <tpls c="3">
          <tpl fld="0" item="0"/>
          <tpl fld="1" item="209"/>
          <tpl fld="4" item="8"/>
        </tpls>
      </m>
      <m in="0">
        <tpls c="3">
          <tpl fld="0" item="0"/>
          <tpl fld="1" item="181"/>
          <tpl fld="4" item="12"/>
        </tpls>
      </m>
      <n v="657" in="1">
        <tpls c="3">
          <tpl fld="0" item="0"/>
          <tpl fld="1" item="82"/>
          <tpl fld="4" item="7"/>
        </tpls>
      </n>
      <n v="30" in="0">
        <tpls c="3">
          <tpl fld="0" item="0"/>
          <tpl fld="1" item="58"/>
          <tpl fld="4" item="10"/>
        </tpls>
      </n>
      <n v="34" in="1">
        <tpls c="3">
          <tpl fld="0" item="0"/>
          <tpl fld="1" item="14"/>
          <tpl fld="4" item="7"/>
        </tpls>
      </n>
      <n v="74" in="0">
        <tpls c="3">
          <tpl fld="0" item="0"/>
          <tpl fld="1" item="326"/>
          <tpl fld="4" item="14"/>
        </tpls>
      </n>
      <n v="58" in="0">
        <tpls c="3">
          <tpl fld="0" item="0"/>
          <tpl fld="1" item="390"/>
          <tpl fld="4" item="13"/>
        </tpls>
      </n>
      <m in="0">
        <tpls c="3">
          <tpl fld="0" item="0"/>
          <tpl fld="1" item="449"/>
          <tpl fld="4" item="11"/>
        </tpls>
      </m>
      <m in="0">
        <tpls c="3">
          <tpl fld="0" item="0"/>
          <tpl fld="1" item="360"/>
          <tpl fld="4" item="6"/>
        </tpls>
      </m>
      <m in="0">
        <tpls c="3">
          <tpl fld="0" item="0"/>
          <tpl fld="1" item="270"/>
          <tpl fld="4" item="14"/>
        </tpls>
      </m>
      <n v="86" in="1">
        <tpls c="3">
          <tpl fld="0" item="0"/>
          <tpl fld="1" item="370"/>
          <tpl fld="4" item="7"/>
        </tpls>
      </n>
      <m in="0">
        <tpls c="3">
          <tpl fld="0" item="0"/>
          <tpl fld="1" item="299"/>
          <tpl fld="4" item="8"/>
        </tpls>
      </m>
      <n v="54" in="0">
        <tpls c="3">
          <tpl fld="0" item="0"/>
          <tpl fld="1" item="311"/>
          <tpl fld="4" item="10"/>
        </tpls>
      </n>
      <m in="0">
        <tpls c="3">
          <tpl fld="0" item="0"/>
          <tpl fld="1" item="211"/>
          <tpl fld="4" item="10"/>
        </tpls>
      </m>
      <m in="0">
        <tpls c="3">
          <tpl fld="0" item="0"/>
          <tpl fld="1" item="344"/>
          <tpl fld="4" item="6"/>
        </tpls>
      </m>
      <n v="16" in="0">
        <tpls c="3">
          <tpl fld="0" item="0"/>
          <tpl fld="1" item="48"/>
          <tpl fld="4" item="14"/>
        </tpls>
      </n>
      <m in="0">
        <tpls c="3">
          <tpl fld="0" item="0"/>
          <tpl fld="1" item="55"/>
          <tpl fld="4" item="12"/>
        </tpls>
      </m>
      <n v="48" in="0">
        <tpls c="3">
          <tpl fld="0" item="0"/>
          <tpl fld="1" item="411"/>
          <tpl fld="4" item="14"/>
        </tpls>
      </n>
      <m in="0">
        <tpls c="3">
          <tpl fld="0" item="0"/>
          <tpl fld="1" item="305"/>
          <tpl fld="4" item="8"/>
        </tpls>
      </m>
      <m in="0">
        <tpls c="3">
          <tpl fld="0" item="0"/>
          <tpl fld="1" item="276"/>
          <tpl fld="4" item="9"/>
        </tpls>
      </m>
      <m in="0">
        <tpls c="3">
          <tpl fld="0" item="0"/>
          <tpl fld="1" item="266"/>
          <tpl fld="4" item="6"/>
        </tpls>
      </m>
      <n v="79" in="0">
        <tpls c="3">
          <tpl fld="0" item="0"/>
          <tpl fld="1" item="199"/>
          <tpl fld="4" item="14"/>
        </tpls>
      </n>
      <n v="96" in="1">
        <tpls c="3">
          <tpl fld="0" item="0"/>
          <tpl fld="1" item="317"/>
          <tpl fld="4" item="7"/>
        </tpls>
      </n>
      <n v="1141" in="1">
        <tpls c="3">
          <tpl fld="0" item="0"/>
          <tpl fld="1" item="351"/>
          <tpl fld="4" item="7"/>
        </tpls>
      </n>
      <m in="0">
        <tpls c="3">
          <tpl fld="0" item="0"/>
          <tpl fld="1" item="353"/>
          <tpl fld="4" item="14"/>
        </tpls>
      </m>
      <m in="0">
        <tpls c="3">
          <tpl fld="0" item="0"/>
          <tpl fld="1" item="246"/>
          <tpl fld="4" item="12"/>
        </tpls>
      </m>
      <m in="0">
        <tpls c="3">
          <tpl fld="0" item="0"/>
          <tpl fld="1" item="368"/>
          <tpl fld="4" item="11"/>
        </tpls>
      </m>
      <m in="0">
        <tpls c="3">
          <tpl fld="0" item="0"/>
          <tpl fld="1" item="231"/>
          <tpl fld="4" item="8"/>
        </tpls>
      </m>
      <m in="0">
        <tpls c="3">
          <tpl fld="0" item="0"/>
          <tpl fld="1" item="389"/>
          <tpl fld="4" item="11"/>
        </tpls>
      </m>
      <m in="0">
        <tpls c="3">
          <tpl fld="0" item="0"/>
          <tpl fld="1" item="431"/>
          <tpl fld="4" item="12"/>
        </tpls>
      </m>
      <m in="0">
        <tpls c="3">
          <tpl fld="0" item="0"/>
          <tpl fld="1" item="110"/>
          <tpl fld="4" item="9"/>
        </tpls>
      </m>
      <m in="0">
        <tpls c="3">
          <tpl fld="0" item="0"/>
          <tpl fld="1" item="158"/>
          <tpl fld="4" item="14"/>
        </tpls>
      </m>
      <m in="0">
        <tpls c="3">
          <tpl fld="0" item="0"/>
          <tpl fld="1" item="440"/>
          <tpl fld="4" item="14"/>
        </tpls>
      </m>
      <n v="21" in="0">
        <tpls c="3">
          <tpl fld="0" item="0"/>
          <tpl fld="1" item="311"/>
          <tpl fld="4" item="14"/>
        </tpls>
      </n>
      <m in="1">
        <tpls c="3">
          <tpl fld="0" item="0"/>
          <tpl fld="1" item="421"/>
          <tpl fld="4" item="7"/>
        </tpls>
      </m>
      <m in="0">
        <tpls c="3">
          <tpl fld="0" item="0"/>
          <tpl fld="1" item="340"/>
          <tpl fld="4" item="12"/>
        </tpls>
      </m>
      <m in="0">
        <tpls c="3">
          <tpl fld="0" item="0"/>
          <tpl fld="1" item="316"/>
          <tpl fld="4" item="5"/>
        </tpls>
      </m>
      <m in="0">
        <tpls c="3">
          <tpl fld="0" item="0"/>
          <tpl fld="1" item="24"/>
          <tpl fld="4" item="14"/>
        </tpls>
      </m>
      <m in="0">
        <tpls c="3">
          <tpl fld="0" item="0"/>
          <tpl fld="1" item="446"/>
          <tpl fld="4" item="14"/>
        </tpls>
      </m>
      <n v="16" in="0">
        <tpls c="3">
          <tpl fld="0" item="0"/>
          <tpl fld="1" item="308"/>
          <tpl fld="4" item="14"/>
        </tpls>
      </n>
      <n v="60" in="0">
        <tpls c="3">
          <tpl fld="0" item="0"/>
          <tpl fld="1" item="276"/>
          <tpl fld="4" item="10"/>
        </tpls>
      </n>
      <m in="0">
        <tpls c="3">
          <tpl fld="0" item="0"/>
          <tpl fld="1" item="339"/>
          <tpl fld="4" item="12"/>
        </tpls>
      </m>
      <n v="398" in="1">
        <tpls c="3">
          <tpl fld="0" item="0"/>
          <tpl fld="1" item="42"/>
          <tpl fld="4" item="7"/>
        </tpls>
      </n>
      <m in="0">
        <tpls c="3">
          <tpl fld="0" item="0"/>
          <tpl fld="1" item="222"/>
          <tpl fld="4" item="10"/>
        </tpls>
      </m>
      <m in="0">
        <tpls c="3">
          <tpl fld="0" item="0"/>
          <tpl fld="1" item="345"/>
          <tpl fld="4" item="6"/>
        </tpls>
      </m>
      <n v="315" in="0">
        <tpls c="3">
          <tpl fld="0" item="0"/>
          <tpl fld="1" item="324"/>
          <tpl fld="4" item="14"/>
        </tpls>
      </n>
      <m in="0">
        <tpls c="3">
          <tpl fld="0" item="0"/>
          <tpl fld="1" item="219"/>
          <tpl fld="4" item="12"/>
        </tpls>
      </m>
      <m in="0">
        <tpls c="3">
          <tpl fld="0" item="0"/>
          <tpl fld="1" item="166"/>
          <tpl fld="4" item="8"/>
        </tpls>
      </m>
      <n v="33" in="0">
        <tpls c="3">
          <tpl fld="0" item="0"/>
          <tpl fld="1" item="163"/>
          <tpl fld="4" item="14"/>
        </tpls>
      </n>
      <m in="0">
        <tpls c="3">
          <tpl fld="0" item="0"/>
          <tpl fld="1" item="131"/>
          <tpl fld="4" item="13"/>
        </tpls>
      </m>
      <n v="157" in="0">
        <tpls c="3">
          <tpl fld="0" item="0"/>
          <tpl fld="1" item="183"/>
          <tpl fld="4" item="14"/>
        </tpls>
      </n>
      <n v="2" in="0">
        <tpls c="3">
          <tpl fld="0" item="0"/>
          <tpl fld="1" item="350"/>
          <tpl fld="4" item="19"/>
        </tpls>
      </n>
      <m in="0">
        <tpls c="3">
          <tpl fld="0" item="0"/>
          <tpl fld="1" item="46"/>
          <tpl fld="4" item="16"/>
        </tpls>
      </m>
      <m in="0">
        <tpls c="3">
          <tpl fld="0" item="0"/>
          <tpl fld="1" item="203"/>
          <tpl fld="4" item="19"/>
        </tpls>
      </m>
      <m in="0">
        <tpls c="3">
          <tpl fld="0" item="0"/>
          <tpl fld="1" item="122"/>
          <tpl fld="4" item="19"/>
        </tpls>
      </m>
      <n v="295" in="0">
        <tpls c="3">
          <tpl fld="0" item="0"/>
          <tpl fld="1" item="281"/>
          <tpl fld="4" item="15"/>
        </tpls>
      </n>
      <m in="0">
        <tpls c="3">
          <tpl fld="0" item="0"/>
          <tpl fld="1" item="229"/>
          <tpl fld="4" item="15"/>
        </tpls>
      </m>
      <n v="96" in="0">
        <tpls c="3">
          <tpl fld="0" item="0"/>
          <tpl fld="1" item="279"/>
          <tpl fld="4" item="14"/>
        </tpls>
      </n>
      <m in="0">
        <tpls c="3">
          <tpl fld="0" item="0"/>
          <tpl fld="1" item="36"/>
          <tpl fld="4" item="14"/>
        </tpls>
      </m>
      <m in="0">
        <tpls c="3">
          <tpl fld="0" item="0"/>
          <tpl fld="1" item="81"/>
          <tpl fld="4" item="12"/>
        </tpls>
      </m>
      <n v="149" in="1">
        <tpls c="3">
          <tpl fld="0" item="0"/>
          <tpl fld="1" item="275"/>
          <tpl fld="4" item="7"/>
        </tpls>
      </n>
      <m in="0">
        <tpls c="3">
          <tpl fld="0" item="0"/>
          <tpl fld="1" item="76"/>
          <tpl fld="4" item="9"/>
        </tpls>
      </m>
      <m in="0">
        <tpls c="3">
          <tpl fld="0" item="0"/>
          <tpl fld="1" item="389"/>
          <tpl fld="4" item="12"/>
        </tpls>
      </m>
      <n v="17" in="0">
        <tpls c="3">
          <tpl fld="0" item="0"/>
          <tpl fld="1" item="282"/>
          <tpl fld="4" item="14"/>
        </tpls>
      </n>
      <n v="28" in="0">
        <tpls c="3">
          <tpl fld="0" item="0"/>
          <tpl fld="1" item="189"/>
          <tpl fld="4" item="14"/>
        </tpls>
      </n>
      <n v="2" in="0">
        <tpls c="3">
          <tpl fld="0" item="0"/>
          <tpl fld="1" item="317"/>
          <tpl fld="4" item="1"/>
        </tpls>
      </n>
      <n v="872" in="1">
        <tpls c="3">
          <tpl fld="0" item="0"/>
          <tpl fld="1" item="7"/>
          <tpl fld="4" item="7"/>
        </tpls>
      </n>
      <m in="0">
        <tpls c="3">
          <tpl fld="0" item="0"/>
          <tpl fld="1" item="21"/>
          <tpl fld="4" item="14"/>
        </tpls>
      </m>
      <m in="0">
        <tpls c="3">
          <tpl fld="0" item="0"/>
          <tpl fld="1" item="261"/>
          <tpl fld="4" item="12"/>
        </tpls>
      </m>
      <m in="0">
        <tpls c="3">
          <tpl fld="0" item="0"/>
          <tpl fld="1" item="444"/>
          <tpl fld="4" item="6"/>
        </tpls>
      </m>
      <m in="1">
        <tpls c="3">
          <tpl fld="0" item="0"/>
          <tpl fld="1" item="257"/>
          <tpl fld="4" item="7"/>
        </tpls>
      </m>
      <n v="1" in="0">
        <tpls c="3">
          <tpl fld="0" item="0"/>
          <tpl fld="1" item="85"/>
          <tpl fld="4" item="8"/>
        </tpls>
      </n>
      <m in="0">
        <tpls c="3">
          <tpl fld="0" item="0"/>
          <tpl fld="1" item="9"/>
          <tpl fld="4" item="8"/>
        </tpls>
      </m>
      <m in="0">
        <tpls c="3">
          <tpl fld="0" item="0"/>
          <tpl fld="1" item="454"/>
          <tpl fld="4" item="6"/>
        </tpls>
      </m>
      <n v="13" in="0">
        <tpls c="3">
          <tpl fld="0" item="0"/>
          <tpl fld="1" item="173"/>
          <tpl fld="4" item="14"/>
        </tpls>
      </n>
      <m in="0">
        <tpls c="3">
          <tpl fld="0" item="0"/>
          <tpl fld="1" item="210"/>
          <tpl fld="4" item="14"/>
        </tpls>
      </m>
      <m in="0">
        <tpls c="3">
          <tpl fld="0" item="0"/>
          <tpl fld="1" item="232"/>
          <tpl fld="4" item="12"/>
        </tpls>
      </m>
      <m in="0">
        <tpls c="3">
          <tpl fld="0" item="0"/>
          <tpl fld="1" item="391"/>
          <tpl fld="4" item="1"/>
        </tpls>
      </m>
      <n v="22" in="0">
        <tpls c="3">
          <tpl fld="0" item="0"/>
          <tpl fld="1" item="207"/>
          <tpl fld="4" item="14"/>
        </tpls>
      </n>
      <m in="0">
        <tpls c="3">
          <tpl fld="0" item="0"/>
          <tpl fld="1" item="406"/>
          <tpl fld="4" item="9"/>
        </tpls>
      </m>
      <m in="0">
        <tpls c="3">
          <tpl fld="0" item="0"/>
          <tpl fld="1" item="140"/>
          <tpl fld="4" item="6"/>
        </tpls>
      </m>
      <n v="11" in="0">
        <tpls c="3">
          <tpl fld="0" item="0"/>
          <tpl fld="1" item="283"/>
          <tpl fld="4" item="14"/>
        </tpls>
      </n>
      <m in="0">
        <tpls c="3">
          <tpl fld="0" item="0"/>
          <tpl fld="1" item="426"/>
          <tpl fld="4" item="1"/>
        </tpls>
      </m>
      <m in="0">
        <tpls c="3">
          <tpl fld="0" item="0"/>
          <tpl fld="1" item="208"/>
          <tpl fld="4" item="9"/>
        </tpls>
      </m>
      <m in="1">
        <tpls c="3">
          <tpl fld="0" item="0"/>
          <tpl fld="1" item="336"/>
          <tpl fld="4" item="7"/>
        </tpls>
      </m>
      <m in="0">
        <tpls c="3">
          <tpl fld="0" item="0"/>
          <tpl fld="1" item="261"/>
          <tpl fld="4" item="1"/>
        </tpls>
      </m>
      <m in="0">
        <tpls c="3">
          <tpl fld="0" item="0"/>
          <tpl fld="1" item="310"/>
          <tpl fld="4" item="9"/>
        </tpls>
      </m>
      <m in="0">
        <tpls c="3">
          <tpl fld="0" item="0"/>
          <tpl fld="1" item="300"/>
          <tpl fld="4" item="9"/>
        </tpls>
      </m>
      <m in="0">
        <tpls c="3">
          <tpl fld="0" item="0"/>
          <tpl fld="1" item="116"/>
          <tpl fld="4" item="12"/>
        </tpls>
      </m>
      <m in="0">
        <tpls c="3">
          <tpl fld="0" item="0"/>
          <tpl fld="1" item="220"/>
          <tpl fld="4" item="1"/>
        </tpls>
      </m>
      <m in="0">
        <tpls c="3">
          <tpl fld="0" item="0"/>
          <tpl fld="1" item="293"/>
          <tpl fld="4" item="8"/>
        </tpls>
      </m>
      <m in="0">
        <tpls c="3">
          <tpl fld="0" item="0"/>
          <tpl fld="1" item="95"/>
          <tpl fld="4" item="8"/>
        </tpls>
      </m>
      <m in="0">
        <tpls c="3">
          <tpl fld="0" item="0"/>
          <tpl fld="1" item="162"/>
          <tpl fld="4" item="9"/>
        </tpls>
      </m>
      <m in="0">
        <tpls c="3">
          <tpl fld="0" item="0"/>
          <tpl fld="1" item="409"/>
          <tpl fld="4" item="1"/>
        </tpls>
      </m>
      <m in="0">
        <tpls c="3">
          <tpl fld="0" item="0"/>
          <tpl fld="1" item="376"/>
          <tpl fld="4" item="10"/>
        </tpls>
      </m>
      <m in="0">
        <tpls c="3">
          <tpl fld="0" item="0"/>
          <tpl fld="1" item="195"/>
          <tpl fld="4" item="12"/>
        </tpls>
      </m>
      <m in="0">
        <tpls c="3">
          <tpl fld="0" item="0"/>
          <tpl fld="1" item="243"/>
          <tpl fld="4" item="8"/>
        </tpls>
      </m>
      <m in="0">
        <tpls c="3">
          <tpl fld="0" item="0"/>
          <tpl fld="1" item="19"/>
          <tpl fld="4" item="10"/>
        </tpls>
      </m>
      <m in="0">
        <tpls c="3">
          <tpl fld="0" item="0"/>
          <tpl fld="1" item="131"/>
          <tpl fld="4" item="12"/>
        </tpls>
      </m>
      <m in="0">
        <tpls c="3">
          <tpl fld="0" item="0"/>
          <tpl fld="1" item="394"/>
          <tpl fld="4" item="6"/>
        </tpls>
      </m>
      <m in="0">
        <tpls c="3">
          <tpl fld="0" item="0"/>
          <tpl fld="1" item="369"/>
          <tpl fld="4" item="1"/>
        </tpls>
      </m>
      <m in="0">
        <tpls c="3">
          <tpl fld="0" item="0"/>
          <tpl fld="1" item="170"/>
          <tpl fld="4" item="8"/>
        </tpls>
      </m>
      <m in="0">
        <tpls c="3">
          <tpl fld="0" item="0"/>
          <tpl fld="1" item="126"/>
          <tpl fld="4" item="12"/>
        </tpls>
      </m>
      <m in="0">
        <tpls c="3">
          <tpl fld="0" item="0"/>
          <tpl fld="1" item="316"/>
          <tpl fld="4" item="6"/>
        </tpls>
      </m>
      <m in="0">
        <tpls c="3">
          <tpl fld="0" item="0"/>
          <tpl fld="1" item="238"/>
          <tpl fld="4" item="1"/>
        </tpls>
      </m>
      <m in="0">
        <tpls c="3">
          <tpl fld="0" item="0"/>
          <tpl fld="1" item="379"/>
          <tpl fld="4" item="10"/>
        </tpls>
      </m>
      <m in="0">
        <tpls c="3">
          <tpl fld="0" item="0"/>
          <tpl fld="1" item="178"/>
          <tpl fld="4" item="9"/>
        </tpls>
      </m>
      <m in="0">
        <tpls c="3">
          <tpl fld="0" item="0"/>
          <tpl fld="1" item="167"/>
          <tpl fld="4" item="11"/>
        </tpls>
      </m>
      <m in="0">
        <tpls c="3">
          <tpl fld="0" item="0"/>
          <tpl fld="1" item="247"/>
          <tpl fld="4" item="12"/>
        </tpls>
      </m>
      <m in="0">
        <tpls c="3">
          <tpl fld="0" item="0"/>
          <tpl fld="1" item="304"/>
          <tpl fld="4" item="9"/>
        </tpls>
      </m>
      <m in="0">
        <tpls c="3">
          <tpl fld="0" item="0"/>
          <tpl fld="1" item="119"/>
          <tpl fld="4" item="14"/>
        </tpls>
      </m>
      <m in="0">
        <tpls c="3">
          <tpl fld="0" item="0"/>
          <tpl fld="1" item="444"/>
          <tpl fld="4" item="9"/>
        </tpls>
      </m>
      <m in="0">
        <tpls c="3">
          <tpl fld="0" item="0"/>
          <tpl fld="1" item="43"/>
          <tpl fld="4" item="6"/>
        </tpls>
      </m>
      <n v="1531" in="1">
        <tpls c="3">
          <tpl fld="0" item="0"/>
          <tpl fld="1" item="160"/>
          <tpl fld="4" item="7"/>
        </tpls>
      </n>
      <m in="0">
        <tpls c="3">
          <tpl fld="0" item="0"/>
          <tpl fld="1" item="271"/>
          <tpl fld="4" item="11"/>
        </tpls>
      </m>
      <m in="0">
        <tpls c="3">
          <tpl fld="0" item="0"/>
          <tpl fld="1" item="30"/>
          <tpl fld="4" item="14"/>
        </tpls>
      </m>
      <m in="0">
        <tpls c="3">
          <tpl fld="0" item="0"/>
          <tpl fld="1" item="432"/>
          <tpl fld="4" item="9"/>
        </tpls>
      </m>
      <m in="0">
        <tpls c="3">
          <tpl fld="0" item="0"/>
          <tpl fld="1" item="189"/>
          <tpl fld="4" item="8"/>
        </tpls>
      </m>
      <m in="0">
        <tpls c="3">
          <tpl fld="0" item="0"/>
          <tpl fld="1" item="436"/>
          <tpl fld="4" item="14"/>
        </tpls>
      </m>
      <m in="0">
        <tpls c="3">
          <tpl fld="0" item="0"/>
          <tpl fld="1" item="446"/>
          <tpl fld="4" item="12"/>
        </tpls>
      </m>
      <m in="0">
        <tpls c="3">
          <tpl fld="0" item="0"/>
          <tpl fld="1" item="218"/>
          <tpl fld="4" item="9"/>
        </tpls>
      </m>
      <n v="18" in="0">
        <tpls c="3">
          <tpl fld="0" item="0"/>
          <tpl fld="1" item="113"/>
          <tpl fld="4" item="10"/>
        </tpls>
      </n>
      <m in="0">
        <tpls c="3">
          <tpl fld="0" item="0"/>
          <tpl fld="1" item="216"/>
          <tpl fld="4" item="12"/>
        </tpls>
      </m>
      <m in="0">
        <tpls c="3">
          <tpl fld="0" item="0"/>
          <tpl fld="1" item="148"/>
          <tpl fld="4" item="6"/>
        </tpls>
      </m>
      <m in="0">
        <tpls c="3">
          <tpl fld="0" item="0"/>
          <tpl fld="1" item="26"/>
          <tpl fld="4" item="14"/>
        </tpls>
      </m>
      <n v="7" in="0">
        <tpls c="3">
          <tpl fld="0" item="0"/>
          <tpl fld="1" item="344"/>
          <tpl fld="4" item="14"/>
        </tpls>
      </n>
      <n v="16" in="1">
        <tpls c="3">
          <tpl fld="0" item="0"/>
          <tpl fld="1" item="50"/>
          <tpl fld="4" item="7"/>
        </tpls>
      </n>
      <m in="0">
        <tpls c="3">
          <tpl fld="0" item="0"/>
          <tpl fld="1" item="402"/>
          <tpl fld="4" item="9"/>
        </tpls>
      </m>
      <m in="0">
        <tpls c="3">
          <tpl fld="0" item="0"/>
          <tpl fld="1" item="448"/>
          <tpl fld="4" item="1"/>
        </tpls>
      </m>
      <m in="0">
        <tpls c="3">
          <tpl fld="0" item="0"/>
          <tpl fld="1" item="372"/>
          <tpl fld="4" item="1"/>
        </tpls>
      </m>
      <m in="0">
        <tpls c="3">
          <tpl fld="0" item="0"/>
          <tpl fld="1" item="86"/>
          <tpl fld="4" item="10"/>
        </tpls>
      </m>
      <n v="1" in="0">
        <tpls c="3">
          <tpl fld="0" item="0"/>
          <tpl fld="1" item="236"/>
          <tpl fld="4" item="13"/>
        </tpls>
      </n>
      <n v="1" in="0">
        <tpls c="3">
          <tpl fld="0" item="0"/>
          <tpl fld="1" item="36"/>
          <tpl fld="4" item="10"/>
        </tpls>
      </n>
      <m in="0">
        <tpls c="3">
          <tpl fld="0" item="0"/>
          <tpl fld="1" item="98"/>
          <tpl fld="4" item="12"/>
        </tpls>
      </m>
      <n v="125" in="0">
        <tpls c="3">
          <tpl fld="0" item="0"/>
          <tpl fld="1" item="9"/>
          <tpl fld="4" item="14"/>
        </tpls>
      </n>
      <n v="1" in="0">
        <tpls c="3">
          <tpl fld="0" item="0"/>
          <tpl fld="1" item="162"/>
          <tpl fld="4" item="13"/>
        </tpls>
      </n>
      <m in="0">
        <tpls c="3">
          <tpl fld="0" item="0"/>
          <tpl fld="1" item="252"/>
          <tpl fld="4" item="1"/>
        </tpls>
      </m>
      <n v="224" in="1">
        <tpls c="3">
          <tpl fld="0" item="0"/>
          <tpl fld="1" item="430"/>
          <tpl fld="4" item="7"/>
        </tpls>
      </n>
      <n v="2" in="0">
        <tpls c="3">
          <tpl fld="0" item="0"/>
          <tpl fld="1" item="168"/>
          <tpl fld="4" item="8"/>
        </tpls>
      </n>
      <n v="693" in="0">
        <tpls c="3">
          <tpl fld="0" item="0"/>
          <tpl fld="1" item="85"/>
          <tpl fld="4" item="10"/>
        </tpls>
      </n>
      <m in="0">
        <tpls c="3">
          <tpl fld="0" item="0"/>
          <tpl fld="1" item="262"/>
          <tpl fld="4" item="9"/>
        </tpls>
      </m>
      <m in="0">
        <tpls c="3">
          <tpl fld="0" item="0"/>
          <tpl fld="1" item="290"/>
          <tpl fld="4" item="9"/>
        </tpls>
      </m>
      <m in="0">
        <tpls c="3">
          <tpl fld="0" item="0"/>
          <tpl fld="1" item="26"/>
          <tpl fld="4" item="1"/>
        </tpls>
      </m>
      <m in="0">
        <tpls c="3">
          <tpl fld="0" item="0"/>
          <tpl fld="1" item="210"/>
          <tpl fld="4" item="16"/>
        </tpls>
      </m>
      <m in="0">
        <tpls c="3">
          <tpl fld="0" item="0"/>
          <tpl fld="1" item="240"/>
          <tpl fld="4" item="18"/>
        </tpls>
      </m>
      <m in="0">
        <tpls c="3">
          <tpl fld="0" item="0"/>
          <tpl fld="1" item="108"/>
          <tpl fld="4" item="18"/>
        </tpls>
      </m>
      <m in="0">
        <tpls c="3">
          <tpl fld="0" item="0"/>
          <tpl fld="1" item="435"/>
          <tpl fld="4" item="16"/>
        </tpls>
      </m>
      <n v="6" in="0">
        <tpls c="3">
          <tpl fld="0" item="0"/>
          <tpl fld="1" item="58"/>
          <tpl fld="4" item="17"/>
        </tpls>
      </n>
      <n v="5" in="0">
        <tpls c="3">
          <tpl fld="0" item="0"/>
          <tpl fld="1" item="173"/>
          <tpl fld="4" item="17"/>
        </tpls>
      </n>
      <n v="25" in="0">
        <tpls c="3">
          <tpl fld="0" item="0"/>
          <tpl fld="1" item="258"/>
          <tpl fld="4" item="14"/>
        </tpls>
      </n>
      <n v="43" in="0">
        <tpls c="3">
          <tpl fld="0" item="0"/>
          <tpl fld="1" item="424"/>
          <tpl fld="4" item="14"/>
        </tpls>
      </n>
      <n v="31" in="0">
        <tpls c="3">
          <tpl fld="0" item="0"/>
          <tpl fld="1" item="169"/>
          <tpl fld="4" item="10"/>
        </tpls>
      </n>
      <m in="0">
        <tpls c="3">
          <tpl fld="0" item="0"/>
          <tpl fld="1" item="370"/>
          <tpl fld="4" item="8"/>
        </tpls>
      </m>
      <m in="0">
        <tpls c="3">
          <tpl fld="0" item="0"/>
          <tpl fld="1" item="179"/>
          <tpl fld="4" item="6"/>
        </tpls>
      </m>
      <m in="0">
        <tpls c="3">
          <tpl fld="0" item="0"/>
          <tpl fld="1" item="455"/>
          <tpl fld="4" item="9"/>
        </tpls>
      </m>
      <n v="5" in="1">
        <tpls c="3">
          <tpl fld="0" item="0"/>
          <tpl fld="1" item="5"/>
          <tpl fld="4" item="7"/>
        </tpls>
      </n>
      <m in="0">
        <tpls c="3">
          <tpl fld="0" item="0"/>
          <tpl fld="1" item="41"/>
          <tpl fld="4" item="12"/>
        </tpls>
      </m>
      <m in="0">
        <tpls c="3">
          <tpl fld="0" item="0"/>
          <tpl fld="1" item="221"/>
          <tpl fld="4" item="14"/>
        </tpls>
      </m>
      <n v="40" in="0">
        <tpls c="3">
          <tpl fld="0" item="0"/>
          <tpl fld="1" item="52"/>
          <tpl fld="4" item="14"/>
        </tpls>
      </n>
      <m in="0">
        <tpls c="3">
          <tpl fld="0" item="0"/>
          <tpl fld="1" item="315"/>
          <tpl fld="4" item="11"/>
        </tpls>
      </m>
      <m in="0">
        <tpls c="3">
          <tpl fld="0" item="0"/>
          <tpl fld="1" item="162"/>
          <tpl fld="4" item="5"/>
        </tpls>
      </m>
      <m in="0">
        <tpls c="3">
          <tpl fld="0" item="0"/>
          <tpl fld="1" item="406"/>
          <tpl fld="4" item="14"/>
        </tpls>
      </m>
      <n v="66" in="1">
        <tpls c="3">
          <tpl fld="0" item="0"/>
          <tpl fld="1" item="386"/>
          <tpl fld="4" item="7"/>
        </tpls>
      </n>
      <m in="0">
        <tpls c="3">
          <tpl fld="0" item="0"/>
          <tpl fld="1" item="445"/>
          <tpl fld="4" item="14"/>
        </tpls>
      </m>
      <m in="0">
        <tpls c="3">
          <tpl fld="0" item="0"/>
          <tpl fld="1" item="119"/>
          <tpl fld="4" item="1"/>
        </tpls>
      </m>
      <m in="0">
        <tpls c="3">
          <tpl fld="0" item="0"/>
          <tpl fld="1" item="384"/>
          <tpl fld="4" item="14"/>
        </tpls>
      </m>
      <n v="143" in="0">
        <tpls c="3">
          <tpl fld="0" item="0"/>
          <tpl fld="1" item="49"/>
          <tpl fld="4" item="14"/>
        </tpls>
      </n>
      <n v="2" in="0">
        <tpls c="3">
          <tpl fld="0" item="0"/>
          <tpl fld="1" item="80"/>
          <tpl fld="4" item="11"/>
        </tpls>
      </n>
      <m in="0">
        <tpls c="3">
          <tpl fld="0" item="0"/>
          <tpl fld="1" item="213"/>
          <tpl fld="4" item="12"/>
        </tpls>
      </m>
      <m in="0">
        <tpls c="3">
          <tpl fld="0" item="0"/>
          <tpl fld="1" item="399"/>
          <tpl fld="4" item="6"/>
        </tpls>
      </m>
      <m in="0">
        <tpls c="3">
          <tpl fld="0" item="0"/>
          <tpl fld="1" item="404"/>
          <tpl fld="4" item="10"/>
        </tpls>
      </m>
      <n v="3" in="0">
        <tpls c="3">
          <tpl fld="0" item="0"/>
          <tpl fld="1" item="44"/>
          <tpl fld="4" item="13"/>
        </tpls>
      </n>
      <m in="0">
        <tpls c="3">
          <tpl fld="0" item="0"/>
          <tpl fld="1" item="139"/>
          <tpl fld="4" item="12"/>
        </tpls>
      </m>
      <m in="0">
        <tpls c="3">
          <tpl fld="0" item="0"/>
          <tpl fld="1" item="439"/>
          <tpl fld="4" item="8"/>
        </tpls>
      </m>
      <m in="0">
        <tpls c="3">
          <tpl fld="0" item="0"/>
          <tpl fld="1" item="0"/>
          <tpl fld="4" item="8"/>
        </tpls>
      </m>
      <n v="440" in="1">
        <tpls c="3">
          <tpl fld="0" item="0"/>
          <tpl fld="1" item="104"/>
          <tpl fld="4" item="7"/>
        </tpls>
      </n>
      <n v="185" in="0">
        <tpls c="3">
          <tpl fld="0" item="0"/>
          <tpl fld="1" item="38"/>
          <tpl fld="4" item="10"/>
        </tpls>
      </n>
      <m in="0">
        <tpls c="3">
          <tpl fld="0" item="0"/>
          <tpl fld="1" item="80"/>
          <tpl fld="4" item="8"/>
        </tpls>
      </m>
      <n v="28" in="0">
        <tpls c="3">
          <tpl fld="0" item="0"/>
          <tpl fld="1" item="151"/>
          <tpl fld="4" item="14"/>
        </tpls>
      </n>
      <m in="0">
        <tpls c="3">
          <tpl fld="0" item="0"/>
          <tpl fld="1" item="129"/>
          <tpl fld="4" item="9"/>
        </tpls>
      </m>
      <m in="0">
        <tpls c="3">
          <tpl fld="0" item="0"/>
          <tpl fld="1" item="70"/>
          <tpl fld="4" item="11"/>
        </tpls>
      </m>
      <m in="0">
        <tpls c="3">
          <tpl fld="0" item="0"/>
          <tpl fld="1" item="241"/>
          <tpl fld="4" item="13"/>
        </tpls>
      </m>
      <m in="1">
        <tpls c="3">
          <tpl fld="0" item="0"/>
          <tpl fld="1" item="51"/>
          <tpl fld="4" item="7"/>
        </tpls>
      </m>
      <m in="0">
        <tpls c="3">
          <tpl fld="0" item="0"/>
          <tpl fld="1" item="192"/>
          <tpl fld="4" item="10"/>
        </tpls>
      </m>
      <m in="0">
        <tpls c="3">
          <tpl fld="0" item="0"/>
          <tpl fld="1" item="420"/>
          <tpl fld="4" item="9"/>
        </tpls>
      </m>
      <m in="0">
        <tpls c="3">
          <tpl fld="0" item="0"/>
          <tpl fld="1" item="398"/>
          <tpl fld="4" item="8"/>
        </tpls>
      </m>
      <m in="0">
        <tpls c="3">
          <tpl fld="0" item="0"/>
          <tpl fld="1" item="150"/>
          <tpl fld="4" item="9"/>
        </tpls>
      </m>
      <m in="0">
        <tpls c="3">
          <tpl fld="0" item="0"/>
          <tpl fld="1" item="244"/>
          <tpl fld="4" item="8"/>
        </tpls>
      </m>
      <m in="0">
        <tpls c="3">
          <tpl fld="0" item="0"/>
          <tpl fld="1" item="441"/>
          <tpl fld="4" item="6"/>
        </tpls>
      </m>
      <m in="0">
        <tpls c="3">
          <tpl fld="0" item="0"/>
          <tpl fld="1" item="163"/>
          <tpl fld="4" item="12"/>
        </tpls>
      </m>
      <m in="1">
        <tpls c="3">
          <tpl fld="0" item="0"/>
          <tpl fld="1" item="388"/>
          <tpl fld="4" item="7"/>
        </tpls>
      </m>
      <m in="0">
        <tpls c="3">
          <tpl fld="0" item="0"/>
          <tpl fld="1" item="70"/>
          <tpl fld="4" item="9"/>
        </tpls>
      </m>
      <m in="0">
        <tpls c="3">
          <tpl fld="0" item="0"/>
          <tpl fld="1" item="306"/>
          <tpl fld="4" item="8"/>
        </tpls>
      </m>
      <m in="0">
        <tpls c="3">
          <tpl fld="0" item="0"/>
          <tpl fld="1" item="91"/>
          <tpl fld="4" item="10"/>
        </tpls>
      </m>
      <m in="0">
        <tpls c="3">
          <tpl fld="0" item="0"/>
          <tpl fld="1" item="59"/>
          <tpl fld="4" item="6"/>
        </tpls>
      </m>
      <m in="0">
        <tpls c="3">
          <tpl fld="0" item="0"/>
          <tpl fld="1" item="410"/>
          <tpl fld="4" item="11"/>
        </tpls>
      </m>
      <m in="0">
        <tpls c="3">
          <tpl fld="0" item="0"/>
          <tpl fld="1" item="63"/>
          <tpl fld="4" item="6"/>
        </tpls>
      </m>
      <m in="0">
        <tpls c="3">
          <tpl fld="0" item="0"/>
          <tpl fld="1" item="357"/>
          <tpl fld="4" item="12"/>
        </tpls>
      </m>
      <n v="4" in="0">
        <tpls c="3">
          <tpl fld="0" item="0"/>
          <tpl fld="1" item="87"/>
          <tpl fld="4" item="11"/>
        </tpls>
      </n>
      <n v="89" in="0">
        <tpls c="3">
          <tpl fld="0" item="0"/>
          <tpl fld="1" item="39"/>
          <tpl fld="4" item="14"/>
        </tpls>
      </n>
      <m in="0">
        <tpls c="3">
          <tpl fld="0" item="0"/>
          <tpl fld="1" item="272"/>
          <tpl fld="4" item="1"/>
        </tpls>
      </m>
      <m in="0">
        <tpls c="3">
          <tpl fld="0" item="0"/>
          <tpl fld="1" item="222"/>
          <tpl fld="4" item="14"/>
        </tpls>
      </m>
      <n v="21" in="0">
        <tpls c="3">
          <tpl fld="0" item="0"/>
          <tpl fld="1" item="312"/>
          <tpl fld="4" item="13"/>
        </tpls>
      </n>
      <n v="61" in="0">
        <tpls c="3">
          <tpl fld="0" item="0"/>
          <tpl fld="1" item="152"/>
          <tpl fld="4" item="14"/>
        </tpls>
      </n>
      <n v="58" in="1">
        <tpls c="3">
          <tpl fld="0" item="0"/>
          <tpl fld="1" item="200"/>
          <tpl fld="4" item="7"/>
        </tpls>
      </n>
      <m in="0">
        <tpls c="3">
          <tpl fld="0" item="0"/>
          <tpl fld="1" item="418"/>
          <tpl fld="4" item="1"/>
        </tpls>
      </m>
      <n v="4" in="0">
        <tpls c="3">
          <tpl fld="0" item="0"/>
          <tpl fld="1" item="82"/>
          <tpl fld="4" item="1"/>
        </tpls>
      </n>
      <m in="0">
        <tpls c="3">
          <tpl fld="0" item="0"/>
          <tpl fld="1" item="406"/>
          <tpl fld="4" item="6"/>
        </tpls>
      </m>
      <m in="0">
        <tpls c="3">
          <tpl fld="0" item="0"/>
          <tpl fld="1" item="151"/>
          <tpl fld="4" item="12"/>
        </tpls>
      </m>
      <m in="0">
        <tpls c="3">
          <tpl fld="0" item="0"/>
          <tpl fld="1" item="88"/>
          <tpl fld="4" item="6"/>
        </tpls>
      </m>
      <m in="0">
        <tpls c="3">
          <tpl fld="0" item="0"/>
          <tpl fld="1" item="108"/>
          <tpl fld="4" item="8"/>
        </tpls>
      </m>
      <m in="0">
        <tpls c="3">
          <tpl fld="0" item="0"/>
          <tpl fld="1" item="18"/>
          <tpl fld="4" item="12"/>
        </tpls>
      </m>
      <m in="0">
        <tpls c="3">
          <tpl fld="0" item="0"/>
          <tpl fld="1" item="297"/>
          <tpl fld="4" item="12"/>
        </tpls>
      </m>
      <m in="0">
        <tpls c="3">
          <tpl fld="0" item="0"/>
          <tpl fld="1" item="78"/>
          <tpl fld="4" item="14"/>
        </tpls>
      </m>
      <n v="943" in="0">
        <tpls c="3">
          <tpl fld="0" item="0"/>
          <tpl fld="1" item="269"/>
          <tpl fld="4" item="10"/>
        </tpls>
      </n>
      <n v="1" in="0">
        <tpls c="3">
          <tpl fld="0" item="0"/>
          <tpl fld="1" item="447"/>
          <tpl fld="4" item="9"/>
        </tpls>
      </n>
      <m in="1">
        <tpls c="3">
          <tpl fld="0" item="0"/>
          <tpl fld="1" item="60"/>
          <tpl fld="4" item="7"/>
        </tpls>
      </m>
      <m in="0">
        <tpls c="3">
          <tpl fld="0" item="0"/>
          <tpl fld="1" item="19"/>
          <tpl fld="4" item="9"/>
        </tpls>
      </m>
      <m in="0">
        <tpls c="3">
          <tpl fld="0" item="0"/>
          <tpl fld="1" item="86"/>
          <tpl fld="4" item="6"/>
        </tpls>
      </m>
      <m in="0">
        <tpls c="3">
          <tpl fld="0" item="0"/>
          <tpl fld="1" item="159"/>
          <tpl fld="4" item="12"/>
        </tpls>
      </m>
      <m in="0">
        <tpls c="3">
          <tpl fld="0" item="0"/>
          <tpl fld="1" item="455"/>
          <tpl fld="4" item="1"/>
        </tpls>
      </m>
      <m in="0">
        <tpls c="3">
          <tpl fld="0" item="0"/>
          <tpl fld="1" item="7"/>
          <tpl fld="4" item="9"/>
        </tpls>
      </m>
      <n v="762" in="0">
        <tpls c="3">
          <tpl fld="0" item="0"/>
          <tpl fld="1" item="347"/>
          <tpl fld="4" item="10"/>
        </tpls>
      </n>
      <m in="0">
        <tpls c="3">
          <tpl fld="0" item="0"/>
          <tpl fld="1" item="247"/>
          <tpl fld="4" item="6"/>
        </tpls>
      </m>
      <m in="0">
        <tpls c="3">
          <tpl fld="0" item="0"/>
          <tpl fld="1" item="318"/>
          <tpl fld="4" item="18"/>
        </tpls>
      </m>
      <m in="0">
        <tpls c="3">
          <tpl fld="0" item="0"/>
          <tpl fld="1" item="423"/>
          <tpl fld="4" item="13"/>
        </tpls>
      </m>
      <m in="0">
        <tpls c="3">
          <tpl fld="0" item="0"/>
          <tpl fld="1" item="261"/>
          <tpl fld="4" item="20"/>
        </tpls>
      </m>
      <m in="0">
        <tpls c="3">
          <tpl fld="0" item="0"/>
          <tpl fld="1" item="228"/>
          <tpl fld="4" item="18"/>
        </tpls>
      </m>
      <n v="23" in="0">
        <tpls c="3">
          <tpl fld="0" item="0"/>
          <tpl fld="1" item="256"/>
          <tpl fld="4" item="21"/>
        </tpls>
      </n>
      <m in="0">
        <tpls c="3">
          <tpl fld="0" item="0"/>
          <tpl fld="1" item="374"/>
          <tpl fld="4" item="21"/>
        </tpls>
      </m>
      <n v="696" in="1">
        <tpls c="3">
          <tpl fld="0" item="0"/>
          <tpl fld="1" item="85"/>
          <tpl fld="4" item="7"/>
        </tpls>
      </n>
      <n v="2" in="0">
        <tpls c="3">
          <tpl fld="0" item="0"/>
          <tpl fld="1" item="277"/>
          <tpl fld="4" item="19"/>
        </tpls>
      </n>
      <m in="0">
        <tpls c="3">
          <tpl fld="0" item="0"/>
          <tpl fld="1" item="300"/>
          <tpl fld="4" item="14"/>
        </tpls>
      </m>
      <m in="0">
        <tpls c="3">
          <tpl fld="0" item="0"/>
          <tpl fld="1" item="162"/>
          <tpl fld="4" item="1"/>
        </tpls>
      </m>
      <n v="15" in="0">
        <tpls c="3">
          <tpl fld="0" item="0"/>
          <tpl fld="1" item="13"/>
          <tpl fld="4" item="10"/>
        </tpls>
      </n>
      <n v="30" in="1">
        <tpls c="3">
          <tpl fld="0" item="0"/>
          <tpl fld="1" item="58"/>
          <tpl fld="4" item="7"/>
        </tpls>
      </n>
      <n v="2" in="0">
        <tpls c="3">
          <tpl fld="0" item="0"/>
          <tpl fld="1" item="67"/>
          <tpl fld="4" item="9"/>
        </tpls>
      </n>
      <m in="0">
        <tpls c="3">
          <tpl fld="0" item="0"/>
          <tpl fld="1" item="264"/>
          <tpl fld="4" item="5"/>
        </tpls>
      </m>
      <n v="3" in="0">
        <tpls c="3">
          <tpl fld="0" item="0"/>
          <tpl fld="1" item="262"/>
          <tpl fld="4" item="11"/>
        </tpls>
      </n>
      <m in="0">
        <tpls c="3">
          <tpl fld="0" item="0"/>
          <tpl fld="1" item="200"/>
          <tpl fld="4" item="8"/>
        </tpls>
      </m>
      <m in="0">
        <tpls c="3">
          <tpl fld="0" item="0"/>
          <tpl fld="1" item="153"/>
          <tpl fld="4" item="11"/>
        </tpls>
      </m>
      <n v="841" in="1">
        <tpls c="3">
          <tpl fld="0" item="0"/>
          <tpl fld="1" item="11"/>
          <tpl fld="4" item="7"/>
        </tpls>
      </n>
      <m in="0">
        <tpls c="3">
          <tpl fld="0" item="0"/>
          <tpl fld="1" item="416"/>
          <tpl fld="4" item="11"/>
        </tpls>
      </m>
      <m in="0">
        <tpls c="3">
          <tpl fld="0" item="0"/>
          <tpl fld="1" item="81"/>
          <tpl fld="4" item="6"/>
        </tpls>
      </m>
      <n v="154" in="0">
        <tpls c="3">
          <tpl fld="0" item="0"/>
          <tpl fld="1" item="104"/>
          <tpl fld="4" item="14"/>
        </tpls>
      </n>
      <n v="9" in="0">
        <tpls c="3">
          <tpl fld="0" item="0"/>
          <tpl fld="1" item="202"/>
          <tpl fld="4" item="1"/>
        </tpls>
      </n>
      <m in="1">
        <tpls c="3">
          <tpl fld="0" item="0"/>
          <tpl fld="1" item="358"/>
          <tpl fld="4" item="7"/>
        </tpls>
      </m>
      <n v="45" in="1">
        <tpls c="3">
          <tpl fld="0" item="0"/>
          <tpl fld="1" item="325"/>
          <tpl fld="4" item="7"/>
        </tpls>
      </n>
      <m in="0">
        <tpls c="3">
          <tpl fld="0" item="0"/>
          <tpl fld="1" item="234"/>
          <tpl fld="4" item="11"/>
        </tpls>
      </m>
      <m in="0">
        <tpls c="3">
          <tpl fld="0" item="0"/>
          <tpl fld="1" item="167"/>
          <tpl fld="4" item="6"/>
        </tpls>
      </m>
      <m in="0">
        <tpls c="3">
          <tpl fld="0" item="0"/>
          <tpl fld="1" item="187"/>
          <tpl fld="4" item="9"/>
        </tpls>
      </m>
      <n v="34" in="1">
        <tpls c="3">
          <tpl fld="0" item="0"/>
          <tpl fld="1" item="434"/>
          <tpl fld="4" item="7"/>
        </tpls>
      </n>
      <n v="1" in="0">
        <tpls c="3">
          <tpl fld="0" item="0"/>
          <tpl fld="1" item="183"/>
          <tpl fld="4" item="1"/>
        </tpls>
      </n>
      <m in="0">
        <tpls c="3">
          <tpl fld="0" item="0"/>
          <tpl fld="1" item="273"/>
          <tpl fld="4" item="8"/>
        </tpls>
      </m>
      <m in="0">
        <tpls c="3">
          <tpl fld="0" item="0"/>
          <tpl fld="1" item="115"/>
          <tpl fld="4" item="13"/>
        </tpls>
      </m>
      <m in="0">
        <tpls c="3">
          <tpl fld="0" item="0"/>
          <tpl fld="1" item="422"/>
          <tpl fld="4" item="6"/>
        </tpls>
      </m>
      <n v="16" in="1">
        <tpls c="3">
          <tpl fld="0" item="0"/>
          <tpl fld="1" item="252"/>
          <tpl fld="4" item="7"/>
        </tpls>
      </n>
      <m in="0">
        <tpls c="3">
          <tpl fld="0" item="0"/>
          <tpl fld="1" item="302"/>
          <tpl fld="4" item="12"/>
        </tpls>
      </m>
      <m in="1">
        <tpls c="3">
          <tpl fld="0" item="0"/>
          <tpl fld="1" item="90"/>
          <tpl fld="4" item="7"/>
        </tpls>
      </m>
      <m in="0">
        <tpls c="3">
          <tpl fld="0" item="0"/>
          <tpl fld="1" item="79"/>
          <tpl fld="4" item="9"/>
        </tpls>
      </m>
      <m in="0">
        <tpls c="3">
          <tpl fld="0" item="0"/>
          <tpl fld="1" item="208"/>
          <tpl fld="4" item="5"/>
        </tpls>
      </m>
      <n v="12" in="0">
        <tpls c="3">
          <tpl fld="0" item="0"/>
          <tpl fld="1" item="429"/>
          <tpl fld="4" item="14"/>
        </tpls>
      </n>
      <m in="0">
        <tpls c="3">
          <tpl fld="0" item="0"/>
          <tpl fld="1" item="96"/>
          <tpl fld="4" item="14"/>
        </tpls>
      </m>
      <m in="0">
        <tpls c="3">
          <tpl fld="0" item="0"/>
          <tpl fld="1" item="278"/>
          <tpl fld="4" item="8"/>
        </tpls>
      </m>
      <m in="0">
        <tpls c="3">
          <tpl fld="0" item="0"/>
          <tpl fld="1" item="118"/>
          <tpl fld="4" item="14"/>
        </tpls>
      </m>
      <m in="0">
        <tpls c="3">
          <tpl fld="0" item="0"/>
          <tpl fld="1" item="52"/>
          <tpl fld="4" item="13"/>
        </tpls>
      </m>
      <n v="2" in="0">
        <tpls c="3">
          <tpl fld="0" item="0"/>
          <tpl fld="1" item="281"/>
          <tpl fld="4" item="8"/>
        </tpls>
      </n>
      <m in="0">
        <tpls c="3">
          <tpl fld="0" item="0"/>
          <tpl fld="1" item="157"/>
          <tpl fld="4" item="14"/>
        </tpls>
      </m>
      <m in="0">
        <tpls c="3">
          <tpl fld="0" item="0"/>
          <tpl fld="1" item="164"/>
          <tpl fld="4" item="14"/>
        </tpls>
      </m>
      <m in="0">
        <tpls c="3">
          <tpl fld="0" item="0"/>
          <tpl fld="1" item="62"/>
          <tpl fld="4" item="9"/>
        </tpls>
      </m>
      <m in="0">
        <tpls c="3">
          <tpl fld="0" item="0"/>
          <tpl fld="1" item="433"/>
          <tpl fld="4" item="11"/>
        </tpls>
      </m>
      <n v="199" in="0">
        <tpls c="3">
          <tpl fld="0" item="0"/>
          <tpl fld="1" item="45"/>
          <tpl fld="4" item="14"/>
        </tpls>
      </n>
      <m in="0">
        <tpls c="3">
          <tpl fld="0" item="0"/>
          <tpl fld="1" item="130"/>
          <tpl fld="4" item="14"/>
        </tpls>
      </m>
      <m in="0">
        <tpls c="3">
          <tpl fld="0" item="0"/>
          <tpl fld="1" item="452"/>
          <tpl fld="4" item="12"/>
        </tpls>
      </m>
      <m in="0">
        <tpls c="3">
          <tpl fld="0" item="0"/>
          <tpl fld="1" item="340"/>
          <tpl fld="4" item="6"/>
        </tpls>
      </m>
      <n v="10" in="0">
        <tpls c="3">
          <tpl fld="0" item="0"/>
          <tpl fld="1" item="289"/>
          <tpl fld="4" item="10"/>
        </tpls>
      </n>
      <m in="0">
        <tpls c="3">
          <tpl fld="0" item="0"/>
          <tpl fld="1" item="434"/>
          <tpl fld="4" item="9"/>
        </tpls>
      </m>
      <m in="0">
        <tpls c="3">
          <tpl fld="0" item="0"/>
          <tpl fld="1" item="260"/>
          <tpl fld="4" item="6"/>
        </tpls>
      </m>
      <m in="0">
        <tpls c="3">
          <tpl fld="0" item="0"/>
          <tpl fld="1" item="278"/>
          <tpl fld="4" item="14"/>
        </tpls>
      </m>
      <n v="1067" in="1">
        <tpls c="3">
          <tpl fld="0" item="0"/>
          <tpl fld="1" item="312"/>
          <tpl fld="4" item="7"/>
        </tpls>
      </n>
      <m in="0">
        <tpls c="3">
          <tpl fld="0" item="0"/>
          <tpl fld="1" item="44"/>
          <tpl fld="4" item="12"/>
        </tpls>
      </m>
      <m in="0">
        <tpls c="3">
          <tpl fld="0" item="0"/>
          <tpl fld="1" item="20"/>
          <tpl fld="4" item="5"/>
        </tpls>
      </m>
      <n v="42" in="0">
        <tpls c="3">
          <tpl fld="0" item="0"/>
          <tpl fld="1" item="339"/>
          <tpl fld="4" item="14"/>
        </tpls>
      </n>
      <n v="43" in="0">
        <tpls c="3">
          <tpl fld="0" item="0"/>
          <tpl fld="1" item="254"/>
          <tpl fld="4" item="14"/>
        </tpls>
      </n>
      <m in="0">
        <tpls c="3">
          <tpl fld="0" item="0"/>
          <tpl fld="1" item="315"/>
          <tpl fld="4" item="13"/>
        </tpls>
      </m>
      <n v="68" in="0">
        <tpls c="3">
          <tpl fld="0" item="0"/>
          <tpl fld="1" item="114"/>
          <tpl fld="4" item="14"/>
        </tpls>
      </n>
      <m in="0">
        <tpls c="3">
          <tpl fld="0" item="0"/>
          <tpl fld="1" item="220"/>
          <tpl fld="4" item="20"/>
        </tpls>
      </m>
      <m in="0">
        <tpls c="3">
          <tpl fld="0" item="0"/>
          <tpl fld="1" item="402"/>
          <tpl fld="4" item="1"/>
        </tpls>
      </m>
      <m in="0">
        <tpls c="3">
          <tpl fld="0" item="0"/>
          <tpl fld="1" item="202"/>
          <tpl fld="4" item="12"/>
        </tpls>
      </m>
      <n v="14" in="0">
        <tpls c="3">
          <tpl fld="0" item="0"/>
          <tpl fld="1" item="113"/>
          <tpl fld="4" item="14"/>
        </tpls>
      </n>
      <m in="0">
        <tpls c="3">
          <tpl fld="0" item="0"/>
          <tpl fld="1" item="234"/>
          <tpl fld="4" item="8"/>
        </tpls>
      </m>
      <n v="121" in="0">
        <tpls c="3">
          <tpl fld="0" item="0"/>
          <tpl fld="1" item="309"/>
          <tpl fld="4" item="14"/>
        </tpls>
      </n>
      <m in="0">
        <tpls c="3">
          <tpl fld="0" item="0"/>
          <tpl fld="1" item="426"/>
          <tpl fld="4" item="6"/>
        </tpls>
      </m>
      <n v="185" in="1">
        <tpls c="3">
          <tpl fld="0" item="0"/>
          <tpl fld="1" item="9"/>
          <tpl fld="4" item="7"/>
        </tpls>
      </n>
      <m in="0">
        <tpls c="3">
          <tpl fld="0" item="0"/>
          <tpl fld="1" item="303"/>
          <tpl fld="4" item="11"/>
        </tpls>
      </m>
      <m in="0">
        <tpls c="3">
          <tpl fld="0" item="0"/>
          <tpl fld="1" item="142"/>
          <tpl fld="4" item="9"/>
        </tpls>
      </m>
      <m in="0">
        <tpls c="3">
          <tpl fld="0" item="0"/>
          <tpl fld="1" item="358"/>
          <tpl fld="4" item="8"/>
        </tpls>
      </m>
      <m in="0">
        <tpls c="3">
          <tpl fld="0" item="0"/>
          <tpl fld="1" item="245"/>
          <tpl fld="4" item="8"/>
        </tpls>
      </m>
      <n v="1" in="0">
        <tpls c="3">
          <tpl fld="0" item="0"/>
          <tpl fld="1" item="331"/>
          <tpl fld="4" item="8"/>
        </tpls>
      </n>
      <n v="600" in="0">
        <tpls c="3">
          <tpl fld="0" item="0"/>
          <tpl fld="1" item="452"/>
          <tpl fld="4" item="14"/>
        </tpls>
      </n>
      <m in="0">
        <tpls c="3">
          <tpl fld="0" item="0"/>
          <tpl fld="1" item="188"/>
          <tpl fld="4" item="10"/>
        </tpls>
      </m>
      <n v="270" in="0">
        <tpls c="3">
          <tpl fld="0" item="0"/>
          <tpl fld="1" item="339"/>
          <tpl fld="4" item="10"/>
        </tpls>
      </n>
      <m in="0">
        <tpls c="3">
          <tpl fld="0" item="0"/>
          <tpl fld="1" item="292"/>
          <tpl fld="4" item="19"/>
        </tpls>
      </m>
      <m in="0">
        <tpls c="3">
          <tpl fld="0" item="0"/>
          <tpl fld="1" item="22"/>
          <tpl fld="4" item="18"/>
        </tpls>
      </m>
      <n v="9" in="0">
        <tpls c="3">
          <tpl fld="0" item="0"/>
          <tpl fld="1" item="4"/>
          <tpl fld="4" item="15"/>
        </tpls>
      </n>
      <n v="122" in="0">
        <tpls c="3">
          <tpl fld="0" item="0"/>
          <tpl fld="1" item="262"/>
          <tpl fld="4" item="15"/>
        </tpls>
      </n>
      <m in="0">
        <tpls c="3">
          <tpl fld="0" item="0"/>
          <tpl fld="1" item="384"/>
          <tpl fld="4" item="9"/>
        </tpls>
      </m>
      <n v="2" in="0">
        <tpls c="3">
          <tpl fld="0" item="0"/>
          <tpl fld="1" item="359"/>
          <tpl fld="4" item="13"/>
        </tpls>
      </n>
      <m in="0">
        <tpls c="3">
          <tpl fld="0" item="0"/>
          <tpl fld="1" item="54"/>
          <tpl fld="4" item="18"/>
        </tpls>
      </m>
      <n v="201" in="0">
        <tpls c="3">
          <tpl fld="0" item="0"/>
          <tpl fld="1" item="114"/>
          <tpl fld="4" item="15"/>
        </tpls>
      </n>
      <m in="0">
        <tpls c="3">
          <tpl fld="0" item="0"/>
          <tpl fld="1" item="148"/>
          <tpl fld="4" item="18"/>
        </tpls>
      </m>
      <n v="3" in="0">
        <tpls c="3">
          <tpl fld="0" item="0"/>
          <tpl fld="1" item="377"/>
          <tpl fld="4" item="18"/>
        </tpls>
      </n>
      <n v="14" in="0">
        <tpls c="3">
          <tpl fld="0" item="0"/>
          <tpl fld="1" item="59"/>
          <tpl fld="4" item="14"/>
        </tpls>
      </n>
      <m in="0">
        <tpls c="3">
          <tpl fld="0" item="0"/>
          <tpl fld="1" item="137"/>
          <tpl fld="4" item="18"/>
        </tpls>
      </m>
      <m in="0">
        <tpls c="3">
          <tpl fld="0" item="0"/>
          <tpl fld="1" item="293"/>
          <tpl fld="4" item="18"/>
        </tpls>
      </m>
      <m in="0">
        <tpls c="3">
          <tpl fld="0" item="0"/>
          <tpl fld="1" item="338"/>
          <tpl fld="4" item="21"/>
        </tpls>
      </m>
      <n v="31" in="0">
        <tpls c="3">
          <tpl fld="0" item="0"/>
          <tpl fld="1" item="183"/>
          <tpl fld="4" item="21"/>
        </tpls>
      </n>
      <n v="155" in="0">
        <tpls c="3">
          <tpl fld="0" item="0"/>
          <tpl fld="1" item="105"/>
          <tpl fld="4" item="14"/>
        </tpls>
      </n>
      <n v="86" in="0">
        <tpls c="3">
          <tpl fld="0" item="0"/>
          <tpl fld="1" item="117"/>
          <tpl fld="4" item="14"/>
        </tpls>
      </n>
      <m in="0">
        <tpls c="3">
          <tpl fld="0" item="0"/>
          <tpl fld="1" item="261"/>
          <tpl fld="4" item="19"/>
        </tpls>
      </m>
      <n v="4" in="0">
        <tpls c="3">
          <tpl fld="0" item="0"/>
          <tpl fld="1" item="213"/>
          <tpl fld="4" item="13"/>
        </tpls>
      </n>
      <n v="2" in="0">
        <tpls c="3">
          <tpl fld="0" item="0"/>
          <tpl fld="1" item="369"/>
          <tpl fld="4" item="13"/>
        </tpls>
      </n>
      <m in="0">
        <tpls c="3">
          <tpl fld="0" item="0"/>
          <tpl fld="1" item="30"/>
          <tpl fld="4" item="19"/>
        </tpls>
      </m>
      <n v="6" in="0">
        <tpls c="3">
          <tpl fld="0" item="0"/>
          <tpl fld="1" item="319"/>
          <tpl fld="4" item="18"/>
        </tpls>
      </n>
      <n v="1" in="0">
        <tpls c="3">
          <tpl fld="0" item="0"/>
          <tpl fld="1" item="2"/>
          <tpl fld="4" item="19"/>
        </tpls>
      </n>
      <m in="0">
        <tpls c="3">
          <tpl fld="0" item="0"/>
          <tpl fld="1" item="457"/>
          <tpl fld="4" item="16"/>
        </tpls>
      </m>
      <n v="47" in="0">
        <tpls c="3">
          <tpl fld="0" item="0"/>
          <tpl fld="1" item="11"/>
          <tpl fld="4" item="19"/>
        </tpls>
      </n>
      <n v="2" in="0">
        <tpls c="3">
          <tpl fld="0" item="0"/>
          <tpl fld="1" item="157"/>
          <tpl fld="4" item="20"/>
        </tpls>
      </n>
      <n v="74" in="0">
        <tpls c="3">
          <tpl fld="0" item="0"/>
          <tpl fld="1" item="231"/>
          <tpl fld="4" item="20"/>
        </tpls>
      </n>
      <n v="34" in="0">
        <tpls c="3">
          <tpl fld="0" item="0"/>
          <tpl fld="1" item="14"/>
          <tpl fld="4" item="20"/>
        </tpls>
      </n>
      <n v="2" in="0">
        <tpls c="3">
          <tpl fld="0" item="0"/>
          <tpl fld="1" item="94"/>
          <tpl fld="4" item="13"/>
        </tpls>
      </n>
      <n v="248" in="0">
        <tpls c="3">
          <tpl fld="0" item="0"/>
          <tpl fld="1" item="141"/>
          <tpl fld="4" item="14"/>
        </tpls>
      </n>
      <n v="4" in="0">
        <tpls c="3">
          <tpl fld="0" item="0"/>
          <tpl fld="1" item="106"/>
          <tpl fld="4" item="16"/>
        </tpls>
      </n>
      <n v="37" in="0">
        <tpls c="3">
          <tpl fld="0" item="0"/>
          <tpl fld="1" item="224"/>
          <tpl fld="4" item="20"/>
        </tpls>
      </n>
      <n v="2" in="0">
        <tpls c="3">
          <tpl fld="0" item="0"/>
          <tpl fld="1" item="126"/>
          <tpl fld="4" item="21"/>
        </tpls>
      </n>
      <m in="0">
        <tpls c="3">
          <tpl fld="0" item="0"/>
          <tpl fld="1" item="258"/>
          <tpl fld="4" item="6"/>
        </tpls>
      </m>
      <n v="1" in="0">
        <tpls c="3">
          <tpl fld="0" item="0"/>
          <tpl fld="1" item="173"/>
          <tpl fld="4" item="19"/>
        </tpls>
      </n>
      <n v="3" in="0">
        <tpls c="3">
          <tpl fld="0" item="0"/>
          <tpl fld="1" item="38"/>
          <tpl fld="4" item="16"/>
        </tpls>
      </n>
      <m in="0">
        <tpls c="3">
          <tpl fld="0" item="0"/>
          <tpl fld="1" item="374"/>
          <tpl fld="4" item="19"/>
        </tpls>
      </m>
      <m in="0">
        <tpls c="3">
          <tpl fld="0" item="0"/>
          <tpl fld="1" item="304"/>
          <tpl fld="4" item="20"/>
        </tpls>
      </m>
      <m in="0">
        <tpls c="3">
          <tpl fld="0" item="0"/>
          <tpl fld="1" item="24"/>
          <tpl fld="4" item="15"/>
        </tpls>
      </m>
      <n v="5" in="0">
        <tpls c="3">
          <tpl fld="0" item="0"/>
          <tpl fld="1" item="35"/>
          <tpl fld="4" item="15"/>
        </tpls>
      </n>
      <n v="3" in="0">
        <tpls c="3">
          <tpl fld="0" item="0"/>
          <tpl fld="1" item="258"/>
          <tpl fld="4" item="16"/>
        </tpls>
      </n>
      <m in="0">
        <tpls c="3">
          <tpl fld="0" item="0"/>
          <tpl fld="1" item="19"/>
          <tpl fld="4" item="18"/>
        </tpls>
      </m>
      <m in="0">
        <tpls c="3">
          <tpl fld="0" item="0"/>
          <tpl fld="1" item="429"/>
          <tpl fld="4" item="16"/>
        </tpls>
      </m>
      <n v="55" in="0">
        <tpls c="3">
          <tpl fld="0" item="0"/>
          <tpl fld="1" item="254"/>
          <tpl fld="4" item="15"/>
        </tpls>
      </n>
      <m in="0">
        <tpls c="3">
          <tpl fld="0" item="0"/>
          <tpl fld="1" item="341"/>
          <tpl fld="4" item="17"/>
        </tpls>
      </m>
      <m in="0">
        <tpls c="3">
          <tpl fld="0" item="0"/>
          <tpl fld="1" item="428"/>
          <tpl fld="4" item="17"/>
        </tpls>
      </m>
      <n v="34" in="0">
        <tpls c="3">
          <tpl fld="0" item="0"/>
          <tpl fld="1" item="403"/>
          <tpl fld="4" item="14"/>
        </tpls>
      </n>
      <m in="0">
        <tpls c="3">
          <tpl fld="0" item="0"/>
          <tpl fld="1" item="397"/>
          <tpl fld="4" item="18"/>
        </tpls>
      </m>
      <n v="89" in="0">
        <tpls c="3">
          <tpl fld="0" item="0"/>
          <tpl fld="1" item="148"/>
          <tpl fld="4" item="20"/>
        </tpls>
      </n>
      <n v="4" in="0">
        <tpls c="3">
          <tpl fld="0" item="0"/>
          <tpl fld="1" item="49"/>
          <tpl fld="4" item="18"/>
        </tpls>
      </n>
      <m in="0">
        <tpls c="3">
          <tpl fld="0" item="0"/>
          <tpl fld="1" item="451"/>
          <tpl fld="4" item="17"/>
        </tpls>
      </m>
      <m in="0">
        <tpls c="3">
          <tpl fld="0" item="0"/>
          <tpl fld="1" item="162"/>
          <tpl fld="4" item="21"/>
        </tpls>
      </m>
      <m in="0">
        <tpls c="3">
          <tpl fld="0" item="0"/>
          <tpl fld="1" item="44"/>
          <tpl fld="4" item="21"/>
        </tpls>
      </m>
      <m in="0">
        <tpls c="3">
          <tpl fld="0" item="0"/>
          <tpl fld="1" item="360"/>
          <tpl fld="4" item="1"/>
        </tpls>
      </m>
      <n v="11" in="0">
        <tpls c="3">
          <tpl fld="0" item="0"/>
          <tpl fld="1" item="41"/>
          <tpl fld="4" item="19"/>
        </tpls>
      </n>
      <m in="0">
        <tpls c="3">
          <tpl fld="0" item="0"/>
          <tpl fld="1" item="24"/>
          <tpl fld="4" item="20"/>
        </tpls>
      </m>
      <n v="128" in="0">
        <tpls c="3">
          <tpl fld="0" item="0"/>
          <tpl fld="1" item="368"/>
          <tpl fld="4" item="15"/>
        </tpls>
      </n>
      <m in="0">
        <tpls c="3">
          <tpl fld="0" item="0"/>
          <tpl fld="1" item="23"/>
          <tpl fld="4" item="20"/>
        </tpls>
      </m>
      <n v="124" in="0">
        <tpls c="3">
          <tpl fld="0" item="0"/>
          <tpl fld="1" item="7"/>
          <tpl fld="4" item="14"/>
        </tpls>
      </n>
      <m in="0">
        <tpls c="3">
          <tpl fld="0" item="0"/>
          <tpl fld="1" item="373"/>
          <tpl fld="4" item="18"/>
        </tpls>
      </m>
      <m in="0">
        <tpls c="3">
          <tpl fld="0" item="0"/>
          <tpl fld="1" item="220"/>
          <tpl fld="4" item="13"/>
        </tpls>
      </m>
      <m in="0">
        <tpls c="3">
          <tpl fld="0" item="0"/>
          <tpl fld="1" item="399"/>
          <tpl fld="4" item="18"/>
        </tpls>
      </m>
      <m in="0">
        <tpls c="3">
          <tpl fld="0" item="0"/>
          <tpl fld="1" item="229"/>
          <tpl fld="4" item="21"/>
        </tpls>
      </m>
      <n v="21" in="0">
        <tpls c="3">
          <tpl fld="0" item="0"/>
          <tpl fld="1" item="287"/>
          <tpl fld="4" item="21"/>
        </tpls>
      </n>
      <m in="0">
        <tpls c="3">
          <tpl fld="0" item="0"/>
          <tpl fld="1" item="196"/>
          <tpl fld="4" item="13"/>
        </tpls>
      </m>
      <n v="14" in="0">
        <tpls c="3">
          <tpl fld="0" item="0"/>
          <tpl fld="1" item="395"/>
          <tpl fld="4" item="19"/>
        </tpls>
      </n>
      <m in="0">
        <tpls c="3">
          <tpl fld="0" item="0"/>
          <tpl fld="1" item="419"/>
          <tpl fld="4" item="13"/>
        </tpls>
      </m>
      <m in="0">
        <tpls c="3">
          <tpl fld="0" item="0"/>
          <tpl fld="1" item="220"/>
          <tpl fld="4" item="16"/>
        </tpls>
      </m>
      <m in="0">
        <tpls c="3">
          <tpl fld="0" item="0"/>
          <tpl fld="1" item="439"/>
          <tpl fld="4" item="18"/>
        </tpls>
      </m>
      <n v="1333" in="0">
        <tpls c="3">
          <tpl fld="0" item="0"/>
          <tpl fld="1" item="177"/>
          <tpl fld="4" item="20"/>
        </tpls>
      </n>
      <m in="0">
        <tpls c="3">
          <tpl fld="0" item="0"/>
          <tpl fld="1" item="436"/>
          <tpl fld="4" item="19"/>
        </tpls>
      </m>
      <n v="1" in="0">
        <tpls c="3">
          <tpl fld="0" item="0"/>
          <tpl fld="1" item="94"/>
          <tpl fld="4" item="16"/>
        </tpls>
      </n>
      <n v="4" in="0">
        <tpls c="3">
          <tpl fld="0" item="0"/>
          <tpl fld="1" item="333"/>
          <tpl fld="4" item="19"/>
        </tpls>
      </n>
      <m in="0">
        <tpls c="3">
          <tpl fld="0" item="0"/>
          <tpl fld="1" item="278"/>
          <tpl fld="4" item="20"/>
        </tpls>
      </m>
      <n v="120" in="0">
        <tpls c="3">
          <tpl fld="0" item="0"/>
          <tpl fld="1" item="106"/>
          <tpl fld="4" item="20"/>
        </tpls>
      </n>
      <n v="51" in="0">
        <tpls c="3">
          <tpl fld="0" item="0"/>
          <tpl fld="1" item="106"/>
          <tpl fld="4" item="15"/>
        </tpls>
      </n>
      <m in="0">
        <tpls c="3">
          <tpl fld="0" item="0"/>
          <tpl fld="1" item="112"/>
          <tpl fld="4" item="16"/>
        </tpls>
      </m>
      <m in="0">
        <tpls c="3">
          <tpl fld="0" item="0"/>
          <tpl fld="1" item="413"/>
          <tpl fld="4" item="19"/>
        </tpls>
      </m>
      <n v="45" in="0">
        <tpls c="3">
          <tpl fld="0" item="0"/>
          <tpl fld="1" item="291"/>
          <tpl fld="4" item="20"/>
        </tpls>
      </n>
      <n v="6" in="0">
        <tpls c="3">
          <tpl fld="0" item="0"/>
          <tpl fld="1" item="249"/>
          <tpl fld="4" item="17"/>
        </tpls>
      </n>
      <m in="0">
        <tpls c="3">
          <tpl fld="0" item="0"/>
          <tpl fld="1" item="450"/>
          <tpl fld="4" item="19"/>
        </tpls>
      </m>
      <m in="0">
        <tpls c="3">
          <tpl fld="0" item="0"/>
          <tpl fld="1" item="44"/>
          <tpl fld="4" item="16"/>
        </tpls>
      </m>
      <m in="0">
        <tpls c="3">
          <tpl fld="0" item="0"/>
          <tpl fld="1" item="121"/>
          <tpl fld="4" item="16"/>
        </tpls>
      </m>
      <m in="0">
        <tpls c="3">
          <tpl fld="0" item="0"/>
          <tpl fld="1" item="223"/>
          <tpl fld="4" item="19"/>
        </tpls>
      </m>
      <m in="0">
        <tpls c="3">
          <tpl fld="0" item="0"/>
          <tpl fld="1" item="40"/>
          <tpl fld="4" item="15"/>
        </tpls>
      </m>
      <m in="0">
        <tpls c="3">
          <tpl fld="0" item="0"/>
          <tpl fld="1" item="193"/>
          <tpl fld="4" item="15"/>
        </tpls>
      </m>
      <n v="4" in="0">
        <tpls c="3">
          <tpl fld="0" item="0"/>
          <tpl fld="1" item="153"/>
          <tpl fld="4" item="15"/>
        </tpls>
      </n>
      <n v="1" in="0">
        <tpls c="3">
          <tpl fld="0" item="0"/>
          <tpl fld="1" item="275"/>
          <tpl fld="4" item="16"/>
        </tpls>
      </n>
      <m in="0">
        <tpls c="3">
          <tpl fld="0" item="0"/>
          <tpl fld="1" item="272"/>
          <tpl fld="4" item="18"/>
        </tpls>
      </m>
      <m in="0">
        <tpls c="3">
          <tpl fld="0" item="0"/>
          <tpl fld="1" item="52"/>
          <tpl fld="4" item="18"/>
        </tpls>
      </m>
      <m in="0">
        <tpls c="3">
          <tpl fld="0" item="0"/>
          <tpl fld="1" item="216"/>
          <tpl fld="4" item="16"/>
        </tpls>
      </m>
      <m in="0">
        <tpls c="3">
          <tpl fld="0" item="0"/>
          <tpl fld="1" item="78"/>
          <tpl fld="4" item="17"/>
        </tpls>
      </m>
      <n v="8" in="0">
        <tpls c="3">
          <tpl fld="0" item="0"/>
          <tpl fld="1" item="410"/>
          <tpl fld="4" item="17"/>
        </tpls>
      </n>
      <n v="34" in="0">
        <tpls c="3">
          <tpl fld="0" item="0"/>
          <tpl fld="1" item="142"/>
          <tpl fld="4" item="10"/>
        </tpls>
      </n>
      <m in="0">
        <tpls c="3">
          <tpl fld="0" item="0"/>
          <tpl fld="1" item="174"/>
          <tpl fld="4" item="6"/>
        </tpls>
      </m>
      <m in="0">
        <tpls c="3">
          <tpl fld="0" item="0"/>
          <tpl fld="1" item="339"/>
          <tpl fld="4" item="18"/>
        </tpls>
      </m>
      <n v="120" in="0">
        <tpls c="3">
          <tpl fld="0" item="0"/>
          <tpl fld="1" item="132"/>
          <tpl fld="4" item="13"/>
        </tpls>
      </n>
      <m in="0">
        <tpls c="3">
          <tpl fld="0" item="0"/>
          <tpl fld="1" item="92"/>
          <tpl fld="4" item="20"/>
        </tpls>
      </m>
      <m in="0">
        <tpls c="3">
          <tpl fld="0" item="0"/>
          <tpl fld="1" item="98"/>
          <tpl fld="4" item="18"/>
        </tpls>
      </m>
      <n v="5" in="0">
        <tpls c="3">
          <tpl fld="0" item="0"/>
          <tpl fld="1" item="18"/>
          <tpl fld="4" item="21"/>
        </tpls>
      </n>
      <n v="5" in="0">
        <tpls c="3">
          <tpl fld="0" item="0"/>
          <tpl fld="1" item="173"/>
          <tpl fld="4" item="21"/>
        </tpls>
      </n>
      <m in="0">
        <tpls c="3">
          <tpl fld="0" item="0"/>
          <tpl fld="1" item="314"/>
          <tpl fld="4" item="18"/>
        </tpls>
      </m>
      <n v="28" in="0">
        <tpls c="3">
          <tpl fld="0" item="0"/>
          <tpl fld="1" item="183"/>
          <tpl fld="4" item="19"/>
        </tpls>
      </n>
      <m in="0">
        <tpls c="3">
          <tpl fld="0" item="0"/>
          <tpl fld="1" item="289"/>
          <tpl fld="4" item="21"/>
        </tpls>
      </m>
      <m in="0">
        <tpls c="3">
          <tpl fld="0" item="0"/>
          <tpl fld="1" item="206"/>
          <tpl fld="4" item="5"/>
        </tpls>
      </m>
      <n v="56" in="0">
        <tpls c="3">
          <tpl fld="0" item="0"/>
          <tpl fld="1" item="365"/>
          <tpl fld="4" item="14"/>
        </tpls>
      </n>
      <m in="0">
        <tpls c="3">
          <tpl fld="0" item="0"/>
          <tpl fld="1" item="48"/>
          <tpl fld="4" item="13"/>
        </tpls>
      </m>
      <n v="13" in="0">
        <tpls c="3">
          <tpl fld="0" item="0"/>
          <tpl fld="1" item="79"/>
          <tpl fld="4" item="14"/>
        </tpls>
      </n>
      <m in="0">
        <tpls c="3">
          <tpl fld="0" item="0"/>
          <tpl fld="1" item="86"/>
          <tpl fld="4" item="1"/>
        </tpls>
      </m>
      <n v="27" in="0">
        <tpls c="3">
          <tpl fld="0" item="0"/>
          <tpl fld="1" item="269"/>
          <tpl fld="4" item="21"/>
        </tpls>
      </n>
      <n v="50" in="0">
        <tpls c="3">
          <tpl fld="0" item="0"/>
          <tpl fld="1" item="324"/>
          <tpl fld="4" item="13"/>
        </tpls>
      </n>
      <m in="0">
        <tpls c="3">
          <tpl fld="0" item="0"/>
          <tpl fld="1" item="46"/>
          <tpl fld="4" item="19"/>
        </tpls>
      </m>
      <m in="0">
        <tpls c="3">
          <tpl fld="0" item="0"/>
          <tpl fld="1" item="295"/>
          <tpl fld="4" item="19"/>
        </tpls>
      </m>
      <m in="0">
        <tpls c="3">
          <tpl fld="0" item="0"/>
          <tpl fld="1" item="297"/>
          <tpl fld="4" item="13"/>
        </tpls>
      </m>
      <m in="0">
        <tpls c="3">
          <tpl fld="0" item="0"/>
          <tpl fld="1" item="69"/>
          <tpl fld="4" item="20"/>
        </tpls>
      </m>
      <n v="476" in="0">
        <tpls c="3">
          <tpl fld="0" item="0"/>
          <tpl fld="1" item="230"/>
          <tpl fld="4" item="20"/>
        </tpls>
      </n>
      <n v="2853" in="0">
        <tpls c="3">
          <tpl fld="0" item="0"/>
          <tpl fld="1" item="380"/>
          <tpl fld="4" item="20"/>
        </tpls>
      </n>
      <m in="0">
        <tpls c="3">
          <tpl fld="0" item="0"/>
          <tpl fld="1" item="154"/>
          <tpl fld="4" item="19"/>
        </tpls>
      </m>
      <n v="4" in="0">
        <tpls c="3">
          <tpl fld="0" item="0"/>
          <tpl fld="1" item="85"/>
          <tpl fld="4" item="16"/>
        </tpls>
      </n>
      <n v="14" in="0">
        <tpls c="3">
          <tpl fld="0" item="0"/>
          <tpl fld="1" item="390"/>
          <tpl fld="4" item="16"/>
        </tpls>
      </n>
      <m in="0">
        <tpls c="3">
          <tpl fld="0" item="0"/>
          <tpl fld="1" item="180"/>
          <tpl fld="4" item="19"/>
        </tpls>
      </m>
      <n v="11" in="0">
        <tpls c="3">
          <tpl fld="0" item="0"/>
          <tpl fld="1" item="432"/>
          <tpl fld="4" item="15"/>
        </tpls>
      </n>
      <m in="0">
        <tpls c="3">
          <tpl fld="0" item="0"/>
          <tpl fld="1" item="26"/>
          <tpl fld="4" item="15"/>
        </tpls>
      </m>
      <n v="10" in="0">
        <tpls c="3">
          <tpl fld="0" item="0"/>
          <tpl fld="1" item="299"/>
          <tpl fld="4" item="15"/>
        </tpls>
      </n>
      <m in="0">
        <tpls c="3">
          <tpl fld="0" item="0"/>
          <tpl fld="1" item="91"/>
          <tpl fld="4" item="19"/>
        </tpls>
      </m>
      <n v="6" in="0">
        <tpls c="3">
          <tpl fld="0" item="0"/>
          <tpl fld="1" item="99"/>
          <tpl fld="4" item="16"/>
        </tpls>
      </n>
      <n v="3" in="0">
        <tpls c="3">
          <tpl fld="0" item="0"/>
          <tpl fld="1" item="258"/>
          <tpl fld="4" item="19"/>
        </tpls>
      </n>
      <n v="3" in="0">
        <tpls c="3">
          <tpl fld="0" item="0"/>
          <tpl fld="1" item="178"/>
          <tpl fld="4" item="13"/>
        </tpls>
      </n>
      <m in="0">
        <tpls c="3">
          <tpl fld="0" item="0"/>
          <tpl fld="1" item="307"/>
          <tpl fld="4" item="16"/>
        </tpls>
      </m>
      <n v="503" in="0">
        <tpls c="3">
          <tpl fld="0" item="0"/>
          <tpl fld="1" item="85"/>
          <tpl fld="4" item="20"/>
        </tpls>
      </n>
      <m in="0">
        <tpls c="3">
          <tpl fld="0" item="0"/>
          <tpl fld="1" item="239"/>
          <tpl fld="4" item="13"/>
        </tpls>
      </m>
      <n v="10" in="0">
        <tpls c="3">
          <tpl fld="0" item="0"/>
          <tpl fld="1" item="256"/>
          <tpl fld="4" item="19"/>
        </tpls>
      </n>
      <n v="7" in="0">
        <tpls c="3">
          <tpl fld="0" item="0"/>
          <tpl fld="1" item="267"/>
          <tpl fld="4" item="19"/>
        </tpls>
      </n>
      <m in="0">
        <tpls c="3">
          <tpl fld="0" item="0"/>
          <tpl fld="1" item="379"/>
          <tpl fld="4" item="19"/>
        </tpls>
      </m>
      <n v="19" in="0">
        <tpls c="3">
          <tpl fld="0" item="0"/>
          <tpl fld="1" item="55"/>
          <tpl fld="4" item="20"/>
        </tpls>
      </n>
      <n v="279" in="0">
        <tpls c="3">
          <tpl fld="0" item="0"/>
          <tpl fld="1" item="174"/>
          <tpl fld="4" item="20"/>
        </tpls>
      </n>
      <n v="17" in="0">
        <tpls c="3">
          <tpl fld="0" item="0"/>
          <tpl fld="2" item="0"/>
          <tpl fld="4" item="20"/>
        </tpls>
      </n>
      <m in="0">
        <tpls c="3">
          <tpl fld="0" item="0"/>
          <tpl fld="1" item="226"/>
          <tpl fld="4" item="19"/>
        </tpls>
      </m>
      <m in="0">
        <tpls c="3">
          <tpl fld="0" item="0"/>
          <tpl fld="1" item="369"/>
          <tpl fld="4" item="16"/>
        </tpls>
      </m>
      <m in="0">
        <tpls c="3">
          <tpl fld="0" item="0"/>
          <tpl fld="1" item="335"/>
          <tpl fld="4" item="16"/>
        </tpls>
      </m>
      <m in="0">
        <tpls c="3">
          <tpl fld="0" item="0"/>
          <tpl fld="1" item="218"/>
          <tpl fld="4" item="16"/>
        </tpls>
      </m>
      <m in="0">
        <tpls c="3">
          <tpl fld="0" item="0"/>
          <tpl fld="1" item="128"/>
          <tpl fld="4" item="15"/>
        </tpls>
      </m>
      <m in="0">
        <tpls c="3">
          <tpl fld="0" item="0"/>
          <tpl fld="1" item="436"/>
          <tpl fld="4" item="15"/>
        </tpls>
      </m>
      <m in="0">
        <tpls c="3">
          <tpl fld="0" item="0"/>
          <tpl fld="1" item="293"/>
          <tpl fld="4" item="15"/>
        </tpls>
      </m>
      <n v="1" in="0">
        <tpls c="3">
          <tpl fld="0" item="0"/>
          <tpl fld="1" item="138"/>
          <tpl fld="4" item="16"/>
        </tpls>
      </n>
      <n v="1" in="0">
        <tpls c="3">
          <tpl fld="0" item="0"/>
          <tpl fld="1" item="183"/>
          <tpl fld="4" item="18"/>
        </tpls>
      </n>
      <m in="0">
        <tpls c="3">
          <tpl fld="0" item="0"/>
          <tpl fld="1" item="29"/>
          <tpl fld="4" item="18"/>
        </tpls>
      </m>
      <m in="0">
        <tpls c="3">
          <tpl fld="0" item="0"/>
          <tpl fld="1" item="440"/>
          <tpl fld="4" item="18"/>
        </tpls>
      </m>
      <n v="3" in="0">
        <tpls c="3">
          <tpl fld="0" item="0"/>
          <tpl fld="1" item="334"/>
          <tpl fld="4" item="17"/>
        </tpls>
      </n>
      <n v="1" in="0">
        <tpls c="3">
          <tpl fld="0" item="0"/>
          <tpl fld="1" item="142"/>
          <tpl fld="4" item="17"/>
        </tpls>
      </n>
      <n v="8" in="0">
        <tpls c="3">
          <tpl fld="0" item="0"/>
          <tpl fld="1" item="447"/>
          <tpl fld="4" item="18"/>
        </tpls>
      </n>
      <m in="0">
        <tpls c="3">
          <tpl fld="0" item="0"/>
          <tpl fld="1" item="228"/>
          <tpl fld="4" item="12"/>
        </tpls>
      </m>
      <m in="0">
        <tpls c="3">
          <tpl fld="0" item="0"/>
          <tpl fld="1" item="327"/>
          <tpl fld="4" item="13"/>
        </tpls>
      </m>
      <m in="0">
        <tpls c="3">
          <tpl fld="0" item="0"/>
          <tpl fld="1" item="323"/>
          <tpl fld="4" item="18"/>
        </tpls>
      </m>
      <n v="95" in="0">
        <tpls c="3">
          <tpl fld="0" item="0"/>
          <tpl fld="1" item="296"/>
          <tpl fld="4" item="20"/>
        </tpls>
      </n>
      <m in="0">
        <tpls c="3">
          <tpl fld="0" item="0"/>
          <tpl fld="1" item="322"/>
          <tpl fld="4" item="16"/>
        </tpls>
      </m>
      <m in="0">
        <tpls c="3">
          <tpl fld="0" item="0"/>
          <tpl fld="1" item="213"/>
          <tpl fld="4" item="18"/>
        </tpls>
      </m>
      <m in="0">
        <tpls c="3">
          <tpl fld="0" item="0"/>
          <tpl fld="1" item="130"/>
          <tpl fld="4" item="1"/>
        </tpls>
      </m>
      <m in="0">
        <tpls c="3">
          <tpl fld="0" item="0"/>
          <tpl fld="1" item="105"/>
          <tpl fld="4" item="18"/>
        </tpls>
      </m>
      <m in="0">
        <tpls c="3">
          <tpl fld="0" item="0"/>
          <tpl fld="1" item="229"/>
          <tpl fld="4" item="18"/>
        </tpls>
      </m>
      <n v="5" in="0">
        <tpls c="3">
          <tpl fld="0" item="0"/>
          <tpl fld="1" item="366"/>
          <tpl fld="4" item="17"/>
        </tpls>
      </n>
      <n v="2" in="0">
        <tpls c="3">
          <tpl fld="0" item="0"/>
          <tpl fld="1" item="231"/>
          <tpl fld="4" item="21"/>
        </tpls>
      </n>
      <n v="7" in="0">
        <tpls c="3">
          <tpl fld="0" item="0"/>
          <tpl fld="1" item="298"/>
          <tpl fld="4" item="10"/>
        </tpls>
      </n>
      <m in="0">
        <tpls c="3">
          <tpl fld="0" item="0"/>
          <tpl fld="1" item="92"/>
          <tpl fld="4" item="14"/>
        </tpls>
      </m>
      <m in="0">
        <tpls c="3">
          <tpl fld="0" item="0"/>
          <tpl fld="1" item="141"/>
          <tpl fld="4" item="6"/>
        </tpls>
      </m>
      <m in="0">
        <tpls c="3">
          <tpl fld="0" item="0"/>
          <tpl fld="1" item="328"/>
          <tpl fld="4" item="13"/>
        </tpls>
      </m>
      <n v="5" in="0">
        <tpls c="3">
          <tpl fld="0" item="0"/>
          <tpl fld="1" item="169"/>
          <tpl fld="4" item="14"/>
        </tpls>
      </n>
      <m in="0">
        <tpls c="3">
          <tpl fld="0" item="0"/>
          <tpl fld="1" item="196"/>
          <tpl fld="4" item="20"/>
        </tpls>
      </m>
      <m in="0">
        <tpls c="3">
          <tpl fld="0" item="0"/>
          <tpl fld="1" item="98"/>
          <tpl fld="4" item="21"/>
        </tpls>
      </m>
      <m in="0">
        <tpls c="3">
          <tpl fld="0" item="0"/>
          <tpl fld="1" item="164"/>
          <tpl fld="4" item="9"/>
        </tpls>
      </m>
      <m in="0">
        <tpls c="3">
          <tpl fld="0" item="0"/>
          <tpl fld="1" item="356"/>
          <tpl fld="4" item="9"/>
        </tpls>
      </m>
      <m in="0">
        <tpls c="3">
          <tpl fld="0" item="0"/>
          <tpl fld="1" item="146"/>
          <tpl fld="4" item="9"/>
        </tpls>
      </m>
      <m in="0">
        <tpls c="3">
          <tpl fld="0" item="0"/>
          <tpl fld="1" item="406"/>
          <tpl fld="4" item="10"/>
        </tpls>
      </m>
      <n v="36" in="0">
        <tpls c="3">
          <tpl fld="0" item="0"/>
          <tpl fld="1" item="116"/>
          <tpl fld="4" item="10"/>
        </tpls>
      </n>
      <n v="428" in="0">
        <tpls c="3">
          <tpl fld="0" item="0"/>
          <tpl fld="1" item="390"/>
          <tpl fld="4" item="14"/>
        </tpls>
      </n>
      <n v="504" in="0">
        <tpls c="3">
          <tpl fld="0" item="0"/>
          <tpl fld="1" item="125"/>
          <tpl fld="4" item="10"/>
        </tpls>
      </n>
      <m in="0">
        <tpls c="3">
          <tpl fld="0" item="0"/>
          <tpl fld="1" item="184"/>
          <tpl fld="4" item="12"/>
        </tpls>
      </m>
      <n v="520" in="1">
        <tpls c="3">
          <tpl fld="0" item="0"/>
          <tpl fld="1" item="309"/>
          <tpl fld="4" item="7"/>
        </tpls>
      </n>
      <n v="3" in="0">
        <tpls c="3">
          <tpl fld="0" item="0"/>
          <tpl fld="1" item="442"/>
          <tpl fld="4" item="8"/>
        </tpls>
      </n>
      <m in="0">
        <tpls c="3">
          <tpl fld="0" item="0"/>
          <tpl fld="1" item="327"/>
          <tpl fld="4" item="14"/>
        </tpls>
      </m>
      <n v="6" in="0">
        <tpls c="3">
          <tpl fld="0" item="0"/>
          <tpl fld="1" item="456"/>
          <tpl fld="4" item="16"/>
        </tpls>
      </n>
      <n v="18" in="0">
        <tpls c="3">
          <tpl fld="0" item="0"/>
          <tpl fld="1" item="231"/>
          <tpl fld="4" item="19"/>
        </tpls>
      </n>
      <m in="0">
        <tpls c="3">
          <tpl fld="0" item="0"/>
          <tpl fld="1" item="159"/>
          <tpl fld="4" item="17"/>
        </tpls>
      </m>
      <m in="0">
        <tpls c="3">
          <tpl fld="0" item="0"/>
          <tpl fld="1" item="135"/>
          <tpl fld="4" item="17"/>
        </tpls>
      </m>
      <n v="27" in="0">
        <tpls c="3">
          <tpl fld="0" item="0"/>
          <tpl fld="1" item="57"/>
          <tpl fld="4" item="14"/>
        </tpls>
      </n>
      <n v="1" in="0">
        <tpls c="3">
          <tpl fld="0" item="0"/>
          <tpl fld="1" item="430"/>
          <tpl fld="4" item="16"/>
        </tpls>
      </n>
      <m in="0">
        <tpls c="3">
          <tpl fld="0" item="0"/>
          <tpl fld="1" item="1"/>
          <tpl fld="4" item="13"/>
        </tpls>
      </m>
      <m in="0">
        <tpls c="3">
          <tpl fld="0" item="0"/>
          <tpl fld="1" item="295"/>
          <tpl fld="4" item="17"/>
        </tpls>
      </m>
      <n v="78" in="0">
        <tpls c="3">
          <tpl fld="0" item="0"/>
          <tpl fld="1" item="249"/>
          <tpl fld="4" item="15"/>
        </tpls>
      </n>
      <m in="0">
        <tpls c="3">
          <tpl fld="0" item="0"/>
          <tpl fld="1" item="91"/>
          <tpl fld="4" item="14"/>
        </tpls>
      </m>
      <n v="3" in="0">
        <tpls c="3">
          <tpl fld="0" item="0"/>
          <tpl fld="1" item="41"/>
          <tpl fld="4" item="13"/>
        </tpls>
      </n>
      <n v="10" in="0">
        <tpls c="3">
          <tpl fld="0" item="0"/>
          <tpl fld="1" item="281"/>
          <tpl fld="4" item="19"/>
        </tpls>
      </n>
      <m in="0">
        <tpls c="3">
          <tpl fld="0" item="0"/>
          <tpl fld="1" item="323"/>
          <tpl fld="4" item="13"/>
        </tpls>
      </m>
      <m in="0">
        <tpls c="3">
          <tpl fld="0" item="0"/>
          <tpl fld="1" item="237"/>
          <tpl fld="4" item="19"/>
        </tpls>
      </m>
      <n v="10" in="0">
        <tpls c="3">
          <tpl fld="0" item="0"/>
          <tpl fld="1" item="256"/>
          <tpl fld="4" item="16"/>
        </tpls>
      </n>
      <m in="0">
        <tpls c="3">
          <tpl fld="0" item="0"/>
          <tpl fld="1" item="402"/>
          <tpl fld="4" item="18"/>
        </tpls>
      </m>
      <n v="8" in="0">
        <tpls c="3">
          <tpl fld="0" item="0"/>
          <tpl fld="1" item="7"/>
          <tpl fld="4" item="19"/>
        </tpls>
      </n>
      <m in="0">
        <tpls c="3">
          <tpl fld="0" item="0"/>
          <tpl fld="1" item="197"/>
          <tpl fld="4" item="16"/>
        </tpls>
      </m>
      <m in="0">
        <tpls c="3">
          <tpl fld="0" item="0"/>
          <tpl fld="1" item="286"/>
          <tpl fld="4" item="19"/>
        </tpls>
      </m>
      <m in="0">
        <tpls c="3">
          <tpl fld="0" item="0"/>
          <tpl fld="1" item="136"/>
          <tpl fld="4" item="20"/>
        </tpls>
      </m>
      <n v="37" in="0">
        <tpls c="3">
          <tpl fld="0" item="0"/>
          <tpl fld="1" item="52"/>
          <tpl fld="4" item="20"/>
        </tpls>
      </n>
      <m in="0">
        <tpls c="3">
          <tpl fld="0" item="0"/>
          <tpl fld="1" item="379"/>
          <tpl fld="4" item="15"/>
        </tpls>
      </m>
      <m in="0">
        <tpls c="3">
          <tpl fld="0" item="0"/>
          <tpl fld="1" item="440"/>
          <tpl fld="4" item="1"/>
        </tpls>
      </m>
      <m in="0">
        <tpls c="3">
          <tpl fld="0" item="0"/>
          <tpl fld="1" item="310"/>
          <tpl fld="4" item="16"/>
        </tpls>
      </m>
      <m in="0">
        <tpls c="3">
          <tpl fld="0" item="0"/>
          <tpl fld="1" item="79"/>
          <tpl fld="4" item="18"/>
        </tpls>
      </m>
      <n v="15" in="0">
        <tpls c="3">
          <tpl fld="0" item="0"/>
          <tpl fld="1" item="117"/>
          <tpl fld="4" item="16"/>
        </tpls>
      </n>
      <n v="14" in="0">
        <tpls c="3">
          <tpl fld="0" item="0"/>
          <tpl fld="1" item="133"/>
          <tpl fld="4" item="15"/>
        </tpls>
      </n>
      <n v="65" in="0">
        <tpls c="3">
          <tpl fld="0" item="0"/>
          <tpl fld="1" item="431"/>
          <tpl fld="4" item="15"/>
        </tpls>
      </n>
      <n v="569" in="0">
        <tpls c="3">
          <tpl fld="0" item="0"/>
          <tpl fld="1" item="452"/>
          <tpl fld="4" item="15"/>
        </tpls>
      </n>
      <m in="0">
        <tpls c="3">
          <tpl fld="0" item="0"/>
          <tpl fld="1" item="247"/>
          <tpl fld="4" item="19"/>
        </tpls>
      </m>
      <m in="0">
        <tpls c="3">
          <tpl fld="0" item="0"/>
          <tpl fld="1" item="455"/>
          <tpl fld="4" item="19"/>
        </tpls>
      </m>
      <n v="9" in="0">
        <tpls c="3">
          <tpl fld="0" item="0"/>
          <tpl fld="1" item="266"/>
          <tpl fld="4" item="18"/>
        </tpls>
      </n>
      <n v="571" in="0">
        <tpls c="3">
          <tpl fld="0" item="0"/>
          <tpl fld="1" item="351"/>
          <tpl fld="4" item="15"/>
        </tpls>
      </n>
      <n v="65" in="0">
        <tpls c="3">
          <tpl fld="0" item="0"/>
          <tpl fld="1" item="3"/>
          <tpl fld="4" item="20"/>
        </tpls>
      </n>
      <m in="0">
        <tpls c="3">
          <tpl fld="0" item="0"/>
          <tpl fld="1" item="88"/>
          <tpl fld="4" item="16"/>
        </tpls>
      </m>
      <m in="0">
        <tpls c="3">
          <tpl fld="0" item="0"/>
          <tpl fld="1" item="145"/>
          <tpl fld="4" item="18"/>
        </tpls>
      </m>
      <m in="0">
        <tpls c="3">
          <tpl fld="0" item="0"/>
          <tpl fld="1" item="316"/>
          <tpl fld="4" item="16"/>
        </tpls>
      </m>
      <m in="0">
        <tpls c="3">
          <tpl fld="0" item="0"/>
          <tpl fld="1" item="388"/>
          <tpl fld="4" item="17"/>
        </tpls>
      </m>
      <m in="0">
        <tpls c="3">
          <tpl fld="0" item="0"/>
          <tpl fld="1" item="192"/>
          <tpl fld="4" item="17"/>
        </tpls>
      </m>
      <m in="0">
        <tpls c="3">
          <tpl fld="0" item="0"/>
          <tpl fld="1" item="413"/>
          <tpl fld="4" item="17"/>
        </tpls>
      </m>
      <n v="24" in="0">
        <tpls c="3">
          <tpl fld="0" item="0"/>
          <tpl fld="1" item="412"/>
          <tpl fld="4" item="14"/>
        </tpls>
      </n>
      <m in="0">
        <tpls c="3">
          <tpl fld="0" item="0"/>
          <tpl fld="1" item="189"/>
          <tpl fld="4" item="18"/>
        </tpls>
      </m>
      <m in="0">
        <tpls c="3">
          <tpl fld="0" item="0"/>
          <tpl fld="1" item="165"/>
          <tpl fld="4" item="21"/>
        </tpls>
      </m>
      <m in="0">
        <tpls c="3">
          <tpl fld="0" item="0"/>
          <tpl fld="1" item="22"/>
          <tpl fld="4" item="21"/>
        </tpls>
      </m>
      <m in="0">
        <tpls c="3">
          <tpl fld="0" item="0"/>
          <tpl fld="1" item="306"/>
          <tpl fld="4" item="21"/>
        </tpls>
      </m>
      <m in="0">
        <tpls c="3">
          <tpl fld="0" item="0"/>
          <tpl fld="1" item="72"/>
          <tpl fld="4" item="13"/>
        </tpls>
      </m>
      <n v="94" in="0">
        <tpls c="3">
          <tpl fld="0" item="0"/>
          <tpl fld="1" item="215"/>
          <tpl fld="4" item="14"/>
        </tpls>
      </n>
      <m in="0">
        <tpls c="3">
          <tpl fld="0" item="0"/>
          <tpl fld="1" item="270"/>
          <tpl fld="4" item="13"/>
        </tpls>
      </m>
      <m in="0">
        <tpls c="3">
          <tpl fld="0" item="0"/>
          <tpl fld="1" item="23"/>
          <tpl fld="4" item="13"/>
        </tpls>
      </m>
      <n v="466" in="0">
        <tpls c="3">
          <tpl fld="0" item="0"/>
          <tpl fld="1" item="107"/>
          <tpl fld="4" item="13"/>
        </tpls>
      </n>
      <n v="8" in="0">
        <tpls c="3">
          <tpl fld="0" item="0"/>
          <tpl fld="1" item="28"/>
          <tpl fld="4" item="19"/>
        </tpls>
      </n>
      <m in="0">
        <tpls c="3">
          <tpl fld="0" item="0"/>
          <tpl fld="1" item="156"/>
          <tpl fld="4" item="18"/>
        </tpls>
      </m>
      <m in="0">
        <tpls c="3">
          <tpl fld="0" item="0"/>
          <tpl fld="1" item="207"/>
          <tpl fld="4" item="18"/>
        </tpls>
      </m>
      <m in="0">
        <tpls c="3">
          <tpl fld="0" item="0"/>
          <tpl fld="1" item="253"/>
          <tpl fld="4" item="1"/>
        </tpls>
      </m>
      <m in="0">
        <tpls c="3">
          <tpl fld="0" item="0"/>
          <tpl fld="1" item="146"/>
          <tpl fld="4" item="5"/>
        </tpls>
      </m>
      <n v="11" in="0">
        <tpls c="3">
          <tpl fld="0" item="0"/>
          <tpl fld="1" item="386"/>
          <tpl fld="4" item="14"/>
        </tpls>
      </n>
      <n v="1" in="0">
        <tpls c="3">
          <tpl fld="0" item="0"/>
          <tpl fld="1" item="48"/>
          <tpl fld="4" item="16"/>
        </tpls>
      </n>
      <m in="0">
        <tpls c="3">
          <tpl fld="0" item="0"/>
          <tpl fld="1" item="373"/>
          <tpl fld="4" item="13"/>
        </tpls>
      </m>
      <n v="34" in="0">
        <tpls c="3">
          <tpl fld="0" item="0"/>
          <tpl fld="1" item="149"/>
          <tpl fld="4" item="21"/>
        </tpls>
      </n>
      <m in="0">
        <tpls c="3">
          <tpl fld="0" item="0"/>
          <tpl fld="1" item="195"/>
          <tpl fld="4" item="17"/>
        </tpls>
      </m>
      <m in="0">
        <tpls c="3">
          <tpl fld="0" item="0"/>
          <tpl fld="1" item="61"/>
          <tpl fld="4" item="13"/>
        </tpls>
      </m>
      <m in="0">
        <tpls c="3">
          <tpl fld="0" item="0"/>
          <tpl fld="1" item="361"/>
          <tpl fld="4" item="19"/>
        </tpls>
      </m>
      <n v="3" in="0">
        <tpls c="3">
          <tpl fld="0" item="0"/>
          <tpl fld="1" item="141"/>
          <tpl fld="4" item="13"/>
        </tpls>
      </n>
      <m in="0">
        <tpls c="3">
          <tpl fld="0" item="0"/>
          <tpl fld="1" item="84"/>
          <tpl fld="4" item="18"/>
        </tpls>
      </m>
      <m in="0">
        <tpls c="3">
          <tpl fld="0" item="0"/>
          <tpl fld="1" item="321"/>
          <tpl fld="4" item="18"/>
        </tpls>
      </m>
      <m in="0">
        <tpls c="3">
          <tpl fld="0" item="0"/>
          <tpl fld="1" item="293"/>
          <tpl fld="4" item="20"/>
        </tpls>
      </m>
      <m in="0">
        <tpls c="3">
          <tpl fld="0" item="0"/>
          <tpl fld="1" item="299"/>
          <tpl fld="4" item="19"/>
        </tpls>
      </m>
      <m in="0">
        <tpls c="3">
          <tpl fld="0" item="0"/>
          <tpl fld="1" item="26"/>
          <tpl fld="4" item="16"/>
        </tpls>
      </m>
      <n v="7" in="0">
        <tpls c="3">
          <tpl fld="0" item="0"/>
          <tpl fld="1" item="287"/>
          <tpl fld="4" item="19"/>
        </tpls>
      </n>
      <n v="69" in="0">
        <tpls c="3">
          <tpl fld="0" item="0"/>
          <tpl fld="1" item="382"/>
          <tpl fld="4" item="20"/>
        </tpls>
      </n>
      <m in="0">
        <tpls c="3">
          <tpl fld="0" item="0"/>
          <tpl fld="1" item="261"/>
          <tpl fld="4" item="15"/>
        </tpls>
      </m>
      <n v="210" in="0">
        <tpls c="3">
          <tpl fld="0" item="0"/>
          <tpl fld="1" item="256"/>
          <tpl fld="4" item="15"/>
        </tpls>
      </n>
      <m in="0">
        <tpls c="3">
          <tpl fld="0" item="0"/>
          <tpl fld="1" item="17"/>
          <tpl fld="4" item="16"/>
        </tpls>
      </m>
      <m in="0">
        <tpls c="3">
          <tpl fld="0" item="0"/>
          <tpl fld="1" item="30"/>
          <tpl fld="4" item="18"/>
        </tpls>
      </m>
      <n v="18" in="0">
        <tpls c="3">
          <tpl fld="0" item="0"/>
          <tpl fld="1" item="104"/>
          <tpl fld="4" item="16"/>
        </tpls>
      </n>
      <m in="0">
        <tpls c="3">
          <tpl fld="0" item="0"/>
          <tpl fld="1" item="51"/>
          <tpl fld="4" item="15"/>
        </tpls>
      </m>
      <n v="4" in="0">
        <tpls c="3">
          <tpl fld="0" item="0"/>
          <tpl fld="1" item="254"/>
          <tpl fld="4" item="17"/>
        </tpls>
      </n>
      <n v="30" in="0">
        <tpls c="3">
          <tpl fld="0" item="0"/>
          <tpl fld="1" item="215"/>
          <tpl fld="4" item="17"/>
        </tpls>
      </n>
      <n v="204" in="0">
        <tpls c="3">
          <tpl fld="0" item="0"/>
          <tpl fld="1" item="347"/>
          <tpl fld="4" item="14"/>
        </tpls>
      </n>
      <n v="61" in="0">
        <tpls c="3">
          <tpl fld="0" item="0"/>
          <tpl fld="1" item="202"/>
          <tpl fld="4" item="16"/>
        </tpls>
      </n>
      <m in="0">
        <tpls c="3">
          <tpl fld="0" item="0"/>
          <tpl fld="1" item="93"/>
          <tpl fld="4" item="20"/>
        </tpls>
      </m>
      <m in="0">
        <tpls c="3">
          <tpl fld="0" item="0"/>
          <tpl fld="1" item="61"/>
          <tpl fld="4" item="21"/>
        </tpls>
      </m>
      <m in="0">
        <tpls c="3">
          <tpl fld="0" item="0"/>
          <tpl fld="1" item="425"/>
          <tpl fld="4" item="16"/>
        </tpls>
      </m>
      <n v="3" in="0">
        <tpls c="3">
          <tpl fld="0" item="0"/>
          <tpl fld="1" item="132"/>
          <tpl fld="4" item="18"/>
        </tpls>
      </n>
      <n v="1" in="0">
        <tpls c="3">
          <tpl fld="0" item="0"/>
          <tpl fld="1" item="317"/>
          <tpl fld="4" item="18"/>
        </tpls>
      </n>
      <m in="0">
        <tpls c="3">
          <tpl fld="0" item="0"/>
          <tpl fld="1" item="70"/>
          <tpl fld="4" item="16"/>
        </tpls>
      </m>
      <n v="26" in="0">
        <tpls c="3">
          <tpl fld="0" item="0"/>
          <tpl fld="1" item="348"/>
          <tpl fld="4" item="17"/>
        </tpls>
      </n>
      <m in="0">
        <tpls c="3">
          <tpl fld="0" item="0"/>
          <tpl fld="1" item="270"/>
          <tpl fld="4" item="17"/>
        </tpls>
      </m>
      <m in="0">
        <tpls c="3">
          <tpl fld="0" item="0"/>
          <tpl fld="1" item="75"/>
          <tpl fld="4" item="6"/>
        </tpls>
      </m>
      <m in="0">
        <tpls c="3">
          <tpl fld="0" item="0"/>
          <tpl fld="1" item="216"/>
          <tpl fld="4" item="5"/>
        </tpls>
      </m>
      <m in="0">
        <tpls c="3">
          <tpl fld="0" item="0"/>
          <tpl fld="1" item="238"/>
          <tpl fld="4" item="18"/>
        </tpls>
      </m>
      <n v="99" in="0">
        <tpls c="3">
          <tpl fld="0" item="0"/>
          <tpl fld="1" item="288"/>
          <tpl fld="4" item="13"/>
        </tpls>
      </n>
      <m in="0">
        <tpls c="3">
          <tpl fld="0" item="0"/>
          <tpl fld="1" item="253"/>
          <tpl fld="4" item="18"/>
        </tpls>
      </m>
      <m in="0">
        <tpls c="3">
          <tpl fld="0" item="0"/>
          <tpl fld="1" item="194"/>
          <tpl fld="4" item="21"/>
        </tpls>
      </m>
      <n v="19" in="0">
        <tpls c="3">
          <tpl fld="0" item="0"/>
          <tpl fld="1" item="42"/>
          <tpl fld="4" item="21"/>
        </tpls>
      </n>
      <m in="0">
        <tpls c="3">
          <tpl fld="0" item="0"/>
          <tpl fld="1" item="92"/>
          <tpl fld="4" item="1"/>
        </tpls>
      </m>
      <m in="0">
        <tpls c="3">
          <tpl fld="0" item="0"/>
          <tpl fld="1" item="323"/>
          <tpl fld="4" item="12"/>
        </tpls>
      </m>
      <n v="1" in="0">
        <tpls c="3">
          <tpl fld="0" item="0"/>
          <tpl fld="1" item="232"/>
          <tpl fld="4" item="13"/>
        </tpls>
      </n>
      <n v="5" in="0">
        <tpls c="3">
          <tpl fld="0" item="0"/>
          <tpl fld="1" item="279"/>
          <tpl fld="4" item="19"/>
        </tpls>
      </n>
      <n v="4" in="0">
        <tpls c="3">
          <tpl fld="0" item="0"/>
          <tpl fld="1" item="420"/>
          <tpl fld="4" item="13"/>
        </tpls>
      </n>
      <m in="0">
        <tpls c="3">
          <tpl fld="0" item="0"/>
          <tpl fld="1" item="391"/>
          <tpl fld="4" item="16"/>
        </tpls>
      </m>
      <m in="0">
        <tpls c="3">
          <tpl fld="0" item="0"/>
          <tpl fld="1" item="276"/>
          <tpl fld="4" item="18"/>
        </tpls>
      </m>
      <n v="14" in="0">
        <tpls c="3">
          <tpl fld="0" item="0"/>
          <tpl fld="1" item="449"/>
          <tpl fld="4" item="20"/>
        </tpls>
      </n>
      <m in="0">
        <tpls c="3">
          <tpl fld="0" item="0"/>
          <tpl fld="1" item="21"/>
          <tpl fld="4" item="19"/>
        </tpls>
      </m>
      <n v="2" in="0">
        <tpls c="3">
          <tpl fld="0" item="0"/>
          <tpl fld="1" item="61"/>
          <tpl fld="4" item="14"/>
        </tpls>
      </n>
      <m in="0">
        <tpls c="3">
          <tpl fld="0" item="0"/>
          <tpl fld="1" item="451"/>
          <tpl fld="4" item="16"/>
        </tpls>
      </m>
      <m in="0">
        <tpls c="3">
          <tpl fld="0" item="0"/>
          <tpl fld="1" item="116"/>
          <tpl fld="4" item="20"/>
        </tpls>
      </m>
      <n v="30" in="0">
        <tpls c="3">
          <tpl fld="0" item="0"/>
          <tpl fld="1" item="267"/>
          <tpl fld="4" item="14"/>
        </tpls>
      </n>
      <m in="0">
        <tpls c="3">
          <tpl fld="0" item="0"/>
          <tpl fld="1" item="240"/>
          <tpl fld="4" item="19"/>
        </tpls>
      </m>
      <n v="25" in="0">
        <tpls c="3">
          <tpl fld="0" item="0"/>
          <tpl fld="1" item="312"/>
          <tpl fld="4" item="19"/>
        </tpls>
      </n>
      <m in="0">
        <tpls c="3">
          <tpl fld="0" item="0"/>
          <tpl fld="1" item="341"/>
          <tpl fld="4" item="13"/>
        </tpls>
      </m>
      <m in="0">
        <tpls c="3">
          <tpl fld="0" item="0"/>
          <tpl fld="1" item="166"/>
          <tpl fld="4" item="20"/>
        </tpls>
      </m>
      <m in="0">
        <tpls c="3">
          <tpl fld="0" item="0"/>
          <tpl fld="1" item="128"/>
          <tpl fld="4" item="20"/>
        </tpls>
      </m>
      <m in="0">
        <tpls c="3">
          <tpl fld="0" item="0"/>
          <tpl fld="1" item="1"/>
          <tpl fld="4" item="20"/>
        </tpls>
      </m>
      <m in="0">
        <tpls c="3">
          <tpl fld="0" item="0"/>
          <tpl fld="1" item="402"/>
          <tpl fld="4" item="19"/>
        </tpls>
      </m>
      <n v="2" in="0">
        <tpls c="3">
          <tpl fld="0" item="0"/>
          <tpl fld="1" item="317"/>
          <tpl fld="4" item="16"/>
        </tpls>
      </n>
      <n v="17" in="0">
        <tpls c="3">
          <tpl fld="0" item="0"/>
          <tpl fld="1" item="438"/>
          <tpl fld="4" item="16"/>
        </tpls>
      </n>
      <m in="0">
        <tpls c="3">
          <tpl fld="0" item="0"/>
          <tpl fld="1" item="217"/>
          <tpl fld="4" item="19"/>
        </tpls>
      </m>
      <n v="125" in="0">
        <tpls c="3">
          <tpl fld="0" item="0"/>
          <tpl fld="1" item="442"/>
          <tpl fld="4" item="15"/>
        </tpls>
      </n>
      <m in="0">
        <tpls c="3">
          <tpl fld="0" item="0"/>
          <tpl fld="1" item="374"/>
          <tpl fld="4" item="15"/>
        </tpls>
      </m>
      <n v="15" in="0">
        <tpls c="3">
          <tpl fld="0" item="0"/>
          <tpl fld="1" item="134"/>
          <tpl fld="4" item="15"/>
        </tpls>
      </n>
      <m in="0">
        <tpls c="3">
          <tpl fld="0" item="0"/>
          <tpl fld="1" item="93"/>
          <tpl fld="4" item="16"/>
        </tpls>
      </m>
      <m in="0">
        <tpls c="3">
          <tpl fld="0" item="0"/>
          <tpl fld="1" item="56"/>
          <tpl fld="4" item="18"/>
        </tpls>
      </m>
      <n v="19" in="0">
        <tpls c="3">
          <tpl fld="0" item="0"/>
          <tpl fld="1" item="312"/>
          <tpl fld="4" item="18"/>
        </tpls>
      </n>
      <n v="12" in="0">
        <tpls c="3">
          <tpl fld="0" item="0"/>
          <tpl fld="1" item="313"/>
          <tpl fld="4" item="16"/>
        </tpls>
      </n>
      <m in="0">
        <tpls c="3">
          <tpl fld="0" item="0"/>
          <tpl fld="1" item="35"/>
          <tpl fld="4" item="17"/>
        </tpls>
      </m>
      <n v="13" in="0">
        <tpls c="3">
          <tpl fld="0" item="0"/>
          <tpl fld="1" item="182"/>
          <tpl fld="4" item="17"/>
        </tpls>
      </n>
      <m in="0">
        <tpls c="3">
          <tpl fld="0" item="0"/>
          <tpl fld="1" item="30"/>
          <tpl fld="4" item="17"/>
        </tpls>
      </m>
      <n v="1" in="0">
        <tpls c="3">
          <tpl fld="0" item="0"/>
          <tpl fld="1" item="403"/>
          <tpl fld="4" item="16"/>
        </tpls>
      </n>
      <m in="0">
        <tpls c="3">
          <tpl fld="0" item="0"/>
          <tpl fld="1" item="127"/>
          <tpl fld="4" item="18"/>
        </tpls>
      </m>
      <n v="11" in="0">
        <tpls c="3">
          <tpl fld="0" item="0"/>
          <tpl fld="1" item="245"/>
          <tpl fld="4" item="14"/>
        </tpls>
      </n>
      <m in="0">
        <tpls c="3">
          <tpl fld="0" item="0"/>
          <tpl fld="1" item="125"/>
          <tpl fld="4" item="16"/>
        </tpls>
      </m>
      <n v="22" in="0">
        <tpls c="3">
          <tpl fld="0" item="0"/>
          <tpl fld="1" item="255"/>
          <tpl fld="4" item="19"/>
        </tpls>
      </n>
      <n v="1287" in="0">
        <tpls c="3">
          <tpl fld="0" item="0"/>
          <tpl fld="1" item="68"/>
          <tpl fld="4" item="20"/>
        </tpls>
      </n>
      <m in="0">
        <tpls c="3">
          <tpl fld="0" item="0"/>
          <tpl fld="1" item="171"/>
          <tpl fld="4" item="17"/>
        </tpls>
      </m>
      <n v="1" in="0">
        <tpls c="3">
          <tpl fld="0" item="0"/>
          <tpl fld="1" item="97"/>
          <tpl fld="4" item="19"/>
        </tpls>
      </n>
      <m in="0">
        <tpls c="3">
          <tpl fld="0" item="0"/>
          <tpl fld="1" item="61"/>
          <tpl fld="4" item="16"/>
        </tpls>
      </m>
      <n v="10" in="0">
        <tpls c="3">
          <tpl fld="0" item="0"/>
          <tpl fld="1" item="365"/>
          <tpl fld="4" item="16"/>
        </tpls>
      </n>
      <m in="0">
        <tpls c="3">
          <tpl fld="0" item="0"/>
          <tpl fld="1" item="25"/>
          <tpl fld="4" item="16"/>
        </tpls>
      </m>
      <n v="71" in="0">
        <tpls c="3">
          <tpl fld="0" item="0"/>
          <tpl fld="1" item="330"/>
          <tpl fld="4" item="15"/>
        </tpls>
      </n>
      <n v="31" in="0">
        <tpls c="3">
          <tpl fld="0" item="0"/>
          <tpl fld="1" item="444"/>
          <tpl fld="4" item="15"/>
        </tpls>
      </n>
      <m in="0">
        <tpls c="3">
          <tpl fld="0" item="0"/>
          <tpl fld="1" item="173"/>
          <tpl fld="4" item="5"/>
        </tpls>
      </m>
      <m in="0">
        <tpls c="3">
          <tpl fld="0" item="0"/>
          <tpl fld="1" item="203"/>
          <tpl fld="4" item="16"/>
        </tpls>
      </m>
      <m in="0">
        <tpls c="3">
          <tpl fld="0" item="0"/>
          <tpl fld="1" item="119"/>
          <tpl fld="4" item="18"/>
        </tpls>
      </m>
      <n v="11" in="0">
        <tpls c="3">
          <tpl fld="0" item="0"/>
          <tpl fld="1" item="160"/>
          <tpl fld="4" item="18"/>
        </tpls>
      </n>
      <m in="0">
        <tpls c="3">
          <tpl fld="0" item="0"/>
          <tpl fld="1" item="314"/>
          <tpl fld="4" item="17"/>
        </tpls>
      </m>
      <n v="1" in="0">
        <tpls c="3">
          <tpl fld="0" item="0"/>
          <tpl fld="1" item="95"/>
          <tpl fld="4" item="17"/>
        </tpls>
      </n>
      <n v="2" in="0">
        <tpls c="3">
          <tpl fld="0" item="0"/>
          <tpl fld="1" item="309"/>
          <tpl fld="4" item="13"/>
        </tpls>
      </n>
      <m in="0">
        <tpls c="3">
          <tpl fld="0" item="0"/>
          <tpl fld="1" item="423"/>
          <tpl fld="4" item="20"/>
        </tpls>
      </m>
      <n v="11" in="0">
        <tpls c="3">
          <tpl fld="0" item="0"/>
          <tpl fld="1" item="430"/>
          <tpl fld="4" item="21"/>
        </tpls>
      </n>
      <m in="0">
        <tpls c="3">
          <tpl fld="0" item="0"/>
          <tpl fld="1" item="186"/>
          <tpl fld="4" item="21"/>
        </tpls>
      </m>
      <n v="13" in="0">
        <tpls c="3">
          <tpl fld="0" item="0"/>
          <tpl fld="1" item="50"/>
          <tpl fld="4" item="14"/>
        </tpls>
      </n>
      <n v="273" in="0">
        <tpls c="3">
          <tpl fld="0" item="0"/>
          <tpl fld="1" item="438"/>
          <tpl fld="4" item="14"/>
        </tpls>
      </n>
      <n v="5" in="0">
        <tpls c="3">
          <tpl fld="0" item="0"/>
          <tpl fld="1" item="5"/>
          <tpl fld="4" item="14"/>
        </tpls>
      </n>
      <m in="0">
        <tpls c="3">
          <tpl fld="0" item="0"/>
          <tpl fld="1" item="235"/>
          <tpl fld="4" item="19"/>
        </tpls>
      </m>
      <n v="60" in="0">
        <tpls c="3">
          <tpl fld="0" item="0"/>
          <tpl fld="1" item="160"/>
          <tpl fld="4" item="13"/>
        </tpls>
      </n>
      <m in="0">
        <tpls c="3">
          <tpl fld="0" item="0"/>
          <tpl fld="1" item="119"/>
          <tpl fld="4" item="17"/>
        </tpls>
      </m>
      <n v="218" in="0">
        <tpls c="3">
          <tpl fld="0" item="0"/>
          <tpl fld="1" item="438"/>
          <tpl fld="4" item="15"/>
        </tpls>
      </n>
      <n v="59" in="0">
        <tpls c="3">
          <tpl fld="0" item="0"/>
          <tpl fld="1" item="174"/>
          <tpl fld="4" item="14"/>
        </tpls>
      </n>
      <n v="4" in="0">
        <tpls c="3">
          <tpl fld="0" item="0"/>
          <tpl fld="1" item="148"/>
          <tpl fld="4" item="13"/>
        </tpls>
      </n>
      <n v="92" in="0">
        <tpls c="3">
          <tpl fld="0" item="0"/>
          <tpl fld="1" item="442"/>
          <tpl fld="4" item="14"/>
        </tpls>
      </n>
      <n v="957" in="0">
        <tpls c="3">
          <tpl fld="0" item="0"/>
          <tpl fld="1" item="132"/>
          <tpl fld="4" item="20"/>
        </tpls>
      </n>
      <m in="0">
        <tpls c="3">
          <tpl fld="0" item="0"/>
          <tpl fld="1" item="22"/>
          <tpl fld="4" item="13"/>
        </tpls>
      </m>
      <n v="2" in="0">
        <tpls c="3">
          <tpl fld="0" item="0"/>
          <tpl fld="1" item="148"/>
          <tpl fld="4" item="19"/>
        </tpls>
      </n>
      <m in="0">
        <tpls c="3">
          <tpl fld="0" item="0"/>
          <tpl fld="1" item="164"/>
          <tpl fld="4" item="13"/>
        </tpls>
      </m>
      <m in="0">
        <tpls c="3">
          <tpl fld="0" item="0"/>
          <tpl fld="1" item="188"/>
          <tpl fld="4" item="19"/>
        </tpls>
      </m>
      <m in="0">
        <tpls c="3">
          <tpl fld="0" item="0"/>
          <tpl fld="1" item="72"/>
          <tpl fld="4" item="19"/>
        </tpls>
      </m>
      <m in="0">
        <tpls c="3">
          <tpl fld="0" item="0"/>
          <tpl fld="1" item="446"/>
          <tpl fld="4" item="20"/>
        </tpls>
      </m>
      <m in="0">
        <tpls c="3">
          <tpl fld="0" item="0"/>
          <tpl fld="1" item="143"/>
          <tpl fld="4" item="20"/>
        </tpls>
      </m>
      <n v="47" in="0">
        <tpls c="3">
          <tpl fld="0" item="0"/>
          <tpl fld="1" item="18"/>
          <tpl fld="4" item="20"/>
        </tpls>
      </n>
      <m in="0">
        <tpls c="3">
          <tpl fld="0" item="0"/>
          <tpl fld="1" item="416"/>
          <tpl fld="4" item="1"/>
        </tpls>
      </m>
      <m in="0">
        <tpls c="3">
          <tpl fld="0" item="0"/>
          <tpl fld="1" item="83"/>
          <tpl fld="4" item="19"/>
        </tpls>
      </m>
      <n v="10" in="0">
        <tpls c="3">
          <tpl fld="0" item="0"/>
          <tpl fld="1" item="315"/>
          <tpl fld="4" item="16"/>
        </tpls>
      </n>
      <m in="0">
        <tpls c="3">
          <tpl fld="0" item="0"/>
          <tpl fld="1" item="211"/>
          <tpl fld="4" item="16"/>
        </tpls>
      </m>
      <m in="0">
        <tpls c="3">
          <tpl fld="0" item="0"/>
          <tpl fld="3" item="0"/>
          <tpl fld="4" item="15"/>
        </tpls>
      </m>
      <n v="331" in="0">
        <tpls c="3">
          <tpl fld="0" item="0"/>
          <tpl fld="1" item="7"/>
          <tpl fld="4" item="15"/>
        </tpls>
      </n>
      <n v="33" in="0">
        <tpls c="3">
          <tpl fld="0" item="0"/>
          <tpl fld="1" item="189"/>
          <tpl fld="4" item="15"/>
        </tpls>
      </n>
      <n v="8" in="0">
        <tpls c="3">
          <tpl fld="0" item="0"/>
          <tpl fld="1" item="187"/>
          <tpl fld="4" item="19"/>
        </tpls>
      </n>
      <m in="0">
        <tpls c="3">
          <tpl fld="0" item="0"/>
          <tpl fld="1" item="154"/>
          <tpl fld="4" item="13"/>
        </tpls>
      </m>
      <m in="0">
        <tpls c="3">
          <tpl fld="0" item="0"/>
          <tpl fld="1" item="375"/>
          <tpl fld="4" item="18"/>
        </tpls>
      </m>
      <m in="0">
        <tpls c="3">
          <tpl fld="0" item="0"/>
          <tpl fld="1" item="17"/>
          <tpl fld="4" item="6"/>
        </tpls>
      </m>
      <m in="0">
        <tpls c="3">
          <tpl fld="0" item="0"/>
          <tpl fld="1" item="235"/>
          <tpl fld="4" item="11"/>
        </tpls>
      </m>
      <m in="0">
        <tpls c="3">
          <tpl fld="0" item="0"/>
          <tpl fld="1" item="190"/>
          <tpl fld="4" item="9"/>
        </tpls>
      </m>
      <m in="0">
        <tpls c="3">
          <tpl fld="0" item="0"/>
          <tpl fld="1" item="46"/>
          <tpl fld="4" item="6"/>
        </tpls>
      </m>
      <n v="77" in="1">
        <tpls c="3">
          <tpl fld="0" item="0"/>
          <tpl fld="1" item="52"/>
          <tpl fld="4" item="7"/>
        </tpls>
      </n>
      <m in="0">
        <tpls c="3">
          <tpl fld="0" item="0"/>
          <tpl fld="1" item="308"/>
          <tpl fld="4" item="6"/>
        </tpls>
      </m>
      <m in="0">
        <tpls c="3">
          <tpl fld="0" item="0"/>
          <tpl fld="1" item="396"/>
          <tpl fld="4" item="12"/>
        </tpls>
      </m>
      <n v="3" in="0">
        <tpls c="3">
          <tpl fld="0" item="0"/>
          <tpl fld="1" item="305"/>
          <tpl fld="4" item="19"/>
        </tpls>
      </n>
      <n v="58" in="1">
        <tpls c="3">
          <tpl fld="0" item="0"/>
          <tpl fld="1" item="433"/>
          <tpl fld="4" item="7"/>
        </tpls>
      </n>
      <n v="6" in="0">
        <tpls c="3">
          <tpl fld="0" item="0"/>
          <tpl fld="1" item="32"/>
          <tpl fld="4" item="16"/>
        </tpls>
      </n>
      <n v="3" in="0">
        <tpls c="3">
          <tpl fld="0" item="0"/>
          <tpl fld="1" item="103"/>
          <tpl fld="4" item="13"/>
        </tpls>
      </n>
      <m in="0">
        <tpls c="3">
          <tpl fld="0" item="0"/>
          <tpl fld="1" item="169"/>
          <tpl fld="4" item="19"/>
        </tpls>
      </m>
      <m in="0">
        <tpls c="3">
          <tpl fld="0" item="0"/>
          <tpl fld="1" item="14"/>
          <tpl fld="4" item="13"/>
        </tpls>
      </m>
      <m in="0">
        <tpls c="3">
          <tpl fld="0" item="0"/>
          <tpl fld="1" item="228"/>
          <tpl fld="4" item="14"/>
        </tpls>
      </m>
      <n v="7" in="0">
        <tpls c="3">
          <tpl fld="0" item="0"/>
          <tpl fld="1" item="453"/>
          <tpl fld="4" item="19"/>
        </tpls>
      </n>
      <m in="0">
        <tpls c="3">
          <tpl fld="0" item="0"/>
          <tpl fld="1" item="376"/>
          <tpl fld="4" item="18"/>
        </tpls>
      </m>
      <m in="0">
        <tpls c="3">
          <tpl fld="0" item="0"/>
          <tpl fld="1" item="371"/>
          <tpl fld="4" item="21"/>
        </tpls>
      </m>
      <m in="0">
        <tpls c="3">
          <tpl fld="0" item="0"/>
          <tpl fld="1" item="358"/>
          <tpl fld="4" item="5"/>
        </tpls>
      </m>
      <m in="0">
        <tpls c="3">
          <tpl fld="0" item="0"/>
          <tpl fld="1" item="362"/>
          <tpl fld="4" item="19"/>
        </tpls>
      </m>
      <m in="0">
        <tpls c="3">
          <tpl fld="0" item="0"/>
          <tpl fld="1" item="314"/>
          <tpl fld="4" item="16"/>
        </tpls>
      </m>
      <n v="10" in="0">
        <tpls c="3">
          <tpl fld="0" item="0"/>
          <tpl fld="1" item="401"/>
          <tpl fld="4" item="19"/>
        </tpls>
      </n>
      <n v="12" in="0">
        <tpls c="3">
          <tpl fld="0" item="0"/>
          <tpl fld="1" item="359"/>
          <tpl fld="4" item="20"/>
        </tpls>
      </n>
      <m in="0">
        <tpls c="3">
          <tpl fld="0" item="0"/>
          <tpl fld="1" item="257"/>
          <tpl fld="4" item="20"/>
        </tpls>
      </m>
      <n v="204" in="0">
        <tpls c="3">
          <tpl fld="0" item="0"/>
          <tpl fld="1" item="231"/>
          <tpl fld="4" item="15"/>
        </tpls>
      </n>
      <n v="7" in="0">
        <tpls c="3">
          <tpl fld="0" item="0"/>
          <tpl fld="1" item="269"/>
          <tpl fld="4" item="16"/>
        </tpls>
      </n>
      <m in="0">
        <tpls c="3">
          <tpl fld="0" item="0"/>
          <tpl fld="1" item="196"/>
          <tpl fld="4" item="18"/>
        </tpls>
      </m>
      <m in="0">
        <tpls c="3">
          <tpl fld="0" item="0"/>
          <tpl fld="1" item="291"/>
          <tpl fld="4" item="16"/>
        </tpls>
      </m>
      <n v="49" in="0">
        <tpls c="3">
          <tpl fld="0" item="0"/>
          <tpl fld="1" item="255"/>
          <tpl fld="4" item="15"/>
        </tpls>
      </n>
      <m in="0">
        <tpls c="3">
          <tpl fld="0" item="0"/>
          <tpl fld="1" item="73"/>
          <tpl fld="4" item="15"/>
        </tpls>
      </m>
      <m in="0">
        <tpls c="3">
          <tpl fld="0" item="0"/>
          <tpl fld="1" item="113"/>
          <tpl fld="4" item="17"/>
        </tpls>
      </m>
      <n v="343" in="0">
        <tpls c="3">
          <tpl fld="0" item="0"/>
          <tpl fld="1" item="312"/>
          <tpl fld="4" item="14"/>
        </tpls>
      </n>
      <n v="1" in="0">
        <tpls c="3">
          <tpl fld="0" item="0"/>
          <tpl fld="1" item="68"/>
          <tpl fld="4" item="18"/>
        </tpls>
      </n>
      <m in="0">
        <tpls c="3">
          <tpl fld="0" item="0"/>
          <tpl fld="1" item="315"/>
          <tpl fld="4" item="20"/>
        </tpls>
      </m>
      <m in="0">
        <tpls c="3">
          <tpl fld="0" item="0"/>
          <tpl fld="1" item="348"/>
          <tpl fld="4" item="18"/>
        </tpls>
      </m>
      <m in="0">
        <tpls c="3">
          <tpl fld="0" item="0"/>
          <tpl fld="1" item="168"/>
          <tpl fld="4" item="17"/>
        </tpls>
      </m>
      <m in="0">
        <tpls c="3">
          <tpl fld="0" item="0"/>
          <tpl fld="1" item="328"/>
          <tpl fld="4" item="17"/>
        </tpls>
      </m>
      <m in="0">
        <tpls c="3">
          <tpl fld="0" item="0"/>
          <tpl fld="1" item="260"/>
          <tpl fld="4" item="21"/>
        </tpls>
      </m>
      <n v="10" in="0">
        <tpls c="3">
          <tpl fld="0" item="0"/>
          <tpl fld="1" item="359"/>
          <tpl fld="4" item="14"/>
        </tpls>
      </n>
      <m in="0">
        <tpls c="3">
          <tpl fld="0" item="0"/>
          <tpl fld="1" item="288"/>
          <tpl fld="4" item="18"/>
        </tpls>
      </m>
      <n v="3" in="0">
        <tpls c="3">
          <tpl fld="0" item="0"/>
          <tpl fld="1" item="0"/>
          <tpl fld="4" item="16"/>
        </tpls>
      </n>
      <m in="0">
        <tpls c="3">
          <tpl fld="0" item="0"/>
          <tpl fld="1" item="372"/>
          <tpl fld="4" item="13"/>
        </tpls>
      </m>
      <n v="15" in="0">
        <tpls c="3">
          <tpl fld="0" item="0"/>
          <tpl fld="1" item="367"/>
          <tpl fld="4" item="21"/>
        </tpls>
      </n>
      <m in="0">
        <tpls c="3">
          <tpl fld="0" item="0"/>
          <tpl fld="1" item="72"/>
          <tpl fld="4" item="18"/>
        </tpls>
      </m>
      <n v="2" in="0">
        <tpls c="3">
          <tpl fld="0" item="0"/>
          <tpl fld="1" item="334"/>
          <tpl fld="4" item="21"/>
        </tpls>
      </n>
      <n v="7" in="0">
        <tpls c="3">
          <tpl fld="0" item="0"/>
          <tpl fld="1" item="227"/>
          <tpl fld="4" item="21"/>
        </tpls>
      </n>
      <n v="55" in="0">
        <tpls c="3">
          <tpl fld="0" item="0"/>
          <tpl fld="1" item="331"/>
          <tpl fld="4" item="21"/>
        </tpls>
      </n>
      <m in="0">
        <tpls c="3">
          <tpl fld="0" item="0"/>
          <tpl fld="1" item="219"/>
          <tpl fld="4" item="13"/>
        </tpls>
      </m>
      <m in="0">
        <tpls c="3">
          <tpl fld="0" item="0"/>
          <tpl fld="1" item="76"/>
          <tpl fld="4" item="13"/>
        </tpls>
      </m>
      <m in="0">
        <tpls c="3">
          <tpl fld="0" item="0"/>
          <tpl fld="1" item="167"/>
          <tpl fld="4" item="13"/>
        </tpls>
      </m>
      <m in="0">
        <tpls c="3">
          <tpl fld="0" item="0"/>
          <tpl fld="1" item="349"/>
          <tpl fld="4" item="13"/>
        </tpls>
      </m>
      <m in="0">
        <tpls c="3">
          <tpl fld="0" item="0"/>
          <tpl fld="1" item="318"/>
          <tpl fld="4" item="16"/>
        </tpls>
      </m>
      <m in="0">
        <tpls c="3">
          <tpl fld="0" item="0"/>
          <tpl fld="1" item="224"/>
          <tpl fld="4" item="18"/>
        </tpls>
      </m>
      <m in="0">
        <tpls c="3">
          <tpl fld="0" item="0"/>
          <tpl fld="1" item="456"/>
          <tpl fld="4" item="18"/>
        </tpls>
      </m>
      <m in="0">
        <tpls c="3">
          <tpl fld="0" item="0"/>
          <tpl fld="1" item="279"/>
          <tpl fld="4" item="5"/>
        </tpls>
      </m>
      <m in="0">
        <tpls c="3">
          <tpl fld="0" item="0"/>
          <tpl fld="1" item="310"/>
          <tpl fld="4" item="19"/>
        </tpls>
      </m>
      <n v="1" in="0">
        <tpls c="3">
          <tpl fld="0" item="0"/>
          <tpl fld="1" item="271"/>
          <tpl fld="4" item="19"/>
        </tpls>
      </n>
      <m in="0">
        <tpls c="3">
          <tpl fld="0" item="0"/>
          <tpl fld="1" item="250"/>
          <tpl fld="4" item="19"/>
        </tpls>
      </m>
      <n v="1" in="0">
        <tpls c="3">
          <tpl fld="0" item="0"/>
          <tpl fld="1" item="291"/>
          <tpl fld="4" item="19"/>
        </tpls>
      </n>
      <n v="122" in="0">
        <tpls c="3">
          <tpl fld="0" item="0"/>
          <tpl fld="1" item="453"/>
          <tpl fld="4" item="20"/>
        </tpls>
      </n>
      <n v="115" in="0">
        <tpls c="3">
          <tpl fld="0" item="0"/>
          <tpl fld="1" item="101"/>
          <tpl fld="4" item="15"/>
        </tpls>
      </n>
      <n v="48" in="0">
        <tpls c="3">
          <tpl fld="0" item="0"/>
          <tpl fld="1" item="64"/>
          <tpl fld="4" item="15"/>
        </tpls>
      </n>
      <n v="4" in="0">
        <tpls c="3">
          <tpl fld="0" item="0"/>
          <tpl fld="1" item="179"/>
          <tpl fld="4" item="13"/>
        </tpls>
      </n>
      <m in="0">
        <tpls c="3">
          <tpl fld="0" item="0"/>
          <tpl fld="1" item="43"/>
          <tpl fld="4" item="13"/>
        </tpls>
      </m>
      <m in="0">
        <tpls c="3">
          <tpl fld="0" item="0"/>
          <tpl fld="1" item="222"/>
          <tpl fld="4" item="16"/>
        </tpls>
      </m>
      <n v="304" in="0">
        <tpls c="3">
          <tpl fld="0" item="0"/>
          <tpl fld="1" item="262"/>
          <tpl fld="4" item="20"/>
        </tpls>
      </n>
      <m in="0">
        <tpls c="3">
          <tpl fld="0" item="0"/>
          <tpl fld="1" item="353"/>
          <tpl fld="4" item="21"/>
        </tpls>
      </m>
      <n v="3" in="0">
        <tpls c="3">
          <tpl fld="0" item="0"/>
          <tpl fld="1" item="242"/>
          <tpl fld="4" item="19"/>
        </tpls>
      </n>
      <m in="0">
        <tpls c="3">
          <tpl fld="0" item="0"/>
          <tpl fld="1" item="384"/>
          <tpl fld="4" item="16"/>
        </tpls>
      </m>
      <m in="0">
        <tpls c="3">
          <tpl fld="0" item="0"/>
          <tpl fld="1" item="186"/>
          <tpl fld="4" item="19"/>
        </tpls>
      </m>
      <m in="0">
        <tpls c="3">
          <tpl fld="0" item="0"/>
          <tpl fld="1" item="166"/>
          <tpl fld="4" item="15"/>
        </tpls>
      </m>
      <n v="24" in="0">
        <tpls c="3">
          <tpl fld="0" item="0"/>
          <tpl fld="1" item="44"/>
          <tpl fld="4" item="15"/>
        </tpls>
      </n>
      <n v="5" in="0">
        <tpls c="3">
          <tpl fld="0" item="0"/>
          <tpl fld="1" item="393"/>
          <tpl fld="4" item="15"/>
        </tpls>
      </n>
      <m in="0">
        <tpls c="3">
          <tpl fld="0" item="0"/>
          <tpl fld="1" item="265"/>
          <tpl fld="4" item="16"/>
        </tpls>
      </m>
      <m in="0">
        <tpls c="3">
          <tpl fld="0" item="0"/>
          <tpl fld="1" item="94"/>
          <tpl fld="4" item="18"/>
        </tpls>
      </m>
      <m in="0">
        <tpls c="3">
          <tpl fld="0" item="0"/>
          <tpl fld="1" item="6"/>
          <tpl fld="4" item="16"/>
        </tpls>
      </m>
      <m in="0">
        <tpls c="3">
          <tpl fld="0" item="0"/>
          <tpl fld="1" item="399"/>
          <tpl fld="4" item="17"/>
        </tpls>
      </m>
      <m in="0">
        <tpls c="3">
          <tpl fld="0" item="0"/>
          <tpl fld="1" item="457"/>
          <tpl fld="4" item="17"/>
        </tpls>
      </m>
      <n v="1" in="0">
        <tpls c="3">
          <tpl fld="0" item="0"/>
          <tpl fld="1" item="267"/>
          <tpl fld="4" item="17"/>
        </tpls>
      </n>
      <n v="15" in="0">
        <tpls c="3">
          <tpl fld="0" item="0"/>
          <tpl fld="1" item="294"/>
          <tpl fld="4" item="14"/>
        </tpls>
      </n>
      <m in="0">
        <tpls c="3">
          <tpl fld="0" item="0"/>
          <tpl fld="1" item="387"/>
          <tpl fld="4" item="18"/>
        </tpls>
      </m>
      <n v="1" in="0">
        <tpls c="3">
          <tpl fld="0" item="0"/>
          <tpl fld="1" item="52"/>
          <tpl fld="4" item="21"/>
        </tpls>
      </n>
      <m in="0">
        <tpls c="3">
          <tpl fld="0" item="0"/>
          <tpl fld="1" item="240"/>
          <tpl fld="4" item="21"/>
        </tpls>
      </m>
      <n v="10" in="0">
        <tpls c="3">
          <tpl fld="0" item="0"/>
          <tpl fld="1" item="32"/>
          <tpl fld="4" item="19"/>
        </tpls>
      </n>
      <n v="2" in="0">
        <tpls c="3">
          <tpl fld="0" item="0"/>
          <tpl fld="1" item="295"/>
          <tpl fld="4" item="15"/>
        </tpls>
      </n>
      <n v="93" in="0">
        <tpls c="3">
          <tpl fld="0" item="0"/>
          <tpl fld="1" item="454"/>
          <tpl fld="4" item="20"/>
        </tpls>
      </n>
      <m in="0">
        <tpls c="3">
          <tpl fld="0" item="0"/>
          <tpl fld="1" item="405"/>
          <tpl fld="4" item="8"/>
        </tpls>
      </m>
      <m in="0">
        <tpls c="3">
          <tpl fld="0" item="0"/>
          <tpl fld="1" item="428"/>
          <tpl fld="4" item="13"/>
        </tpls>
      </m>
      <n v="1" in="0">
        <tpls c="3">
          <tpl fld="0" item="0"/>
          <tpl fld="1" item="359"/>
          <tpl fld="4" item="1"/>
        </tpls>
      </n>
      <m in="0">
        <tpls c="3">
          <tpl fld="0" item="0"/>
          <tpl fld="1" item="96"/>
          <tpl fld="4" item="20"/>
        </tpls>
      </m>
      <m in="0">
        <tpls c="3">
          <tpl fld="0" item="0"/>
          <tpl fld="1" item="268"/>
          <tpl fld="4" item="21"/>
        </tpls>
      </m>
      <n v="2" in="0">
        <tpls c="3">
          <tpl fld="0" item="0"/>
          <tpl fld="1" item="429"/>
          <tpl fld="4" item="21"/>
        </tpls>
      </n>
      <m in="0">
        <tpls c="3">
          <tpl fld="0" item="0"/>
          <tpl fld="1" item="79"/>
          <tpl fld="4" item="13"/>
        </tpls>
      </m>
      <m in="0">
        <tpls c="3">
          <tpl fld="0" item="0"/>
          <tpl fld="1" item="100"/>
          <tpl fld="4" item="19"/>
        </tpls>
      </m>
      <m in="0">
        <tpls c="3">
          <tpl fld="0" item="0"/>
          <tpl fld="1" item="358"/>
          <tpl fld="4" item="13"/>
        </tpls>
      </m>
      <m in="0">
        <tpls c="3">
          <tpl fld="0" item="0"/>
          <tpl fld="1" item="398"/>
          <tpl fld="4" item="18"/>
        </tpls>
      </m>
      <m in="0">
        <tpls c="3">
          <tpl fld="0" item="0"/>
          <tpl fld="1" item="221"/>
          <tpl fld="4" item="18"/>
        </tpls>
      </m>
      <n v="275" in="0">
        <tpls c="3">
          <tpl fld="0" item="0"/>
          <tpl fld="1" item="319"/>
          <tpl fld="4" item="20"/>
        </tpls>
      </n>
      <n v="21" in="0">
        <tpls c="3">
          <tpl fld="0" item="0"/>
          <tpl fld="1" item="117"/>
          <tpl fld="4" item="19"/>
        </tpls>
      </n>
      <m in="0">
        <tpls c="3">
          <tpl fld="0" item="0"/>
          <tpl fld="1" item="292"/>
          <tpl fld="4" item="16"/>
        </tpls>
      </m>
      <n v="6" in="0">
        <tpls c="3">
          <tpl fld="0" item="0"/>
          <tpl fld="1" item="42"/>
          <tpl fld="4" item="19"/>
        </tpls>
      </n>
      <n v="43" in="0">
        <tpls c="3">
          <tpl fld="0" item="0"/>
          <tpl fld="1" item="246"/>
          <tpl fld="4" item="20"/>
        </tpls>
      </n>
      <n v="54" in="0">
        <tpls c="3">
          <tpl fld="0" item="0"/>
          <tpl fld="1" item="77"/>
          <tpl fld="4" item="15"/>
        </tpls>
      </n>
      <n v="76" in="0">
        <tpls c="3">
          <tpl fld="0" item="0"/>
          <tpl fld="1" item="258"/>
          <tpl fld="4" item="15"/>
        </tpls>
      </n>
      <m in="0">
        <tpls c="3">
          <tpl fld="0" item="0"/>
          <tpl fld="1" item="372"/>
          <tpl fld="4" item="16"/>
        </tpls>
      </m>
      <m in="0">
        <tpls c="3">
          <tpl fld="0" item="0"/>
          <tpl fld="1" item="314"/>
          <tpl fld="4" item="19"/>
        </tpls>
      </m>
      <m in="0">
        <tpls c="3">
          <tpl fld="0" item="0"/>
          <tpl fld="1" item="171"/>
          <tpl fld="4" item="20"/>
        </tpls>
      </m>
      <n v="8" in="0">
        <tpls c="3">
          <tpl fld="0" item="0"/>
          <tpl fld="1" item="77"/>
          <tpl fld="4" item="17"/>
        </tpls>
      </n>
      <n v="41" in="1">
        <tpls c="3">
          <tpl fld="0" item="0"/>
          <tpl fld="1" item="186"/>
          <tpl fld="4" item="7"/>
        </tpls>
      </n>
      <m in="0">
        <tpls c="3">
          <tpl fld="0" item="0"/>
          <tpl fld="1" item="208"/>
          <tpl fld="4" item="19"/>
        </tpls>
      </m>
      <m in="0">
        <tpls c="3">
          <tpl fld="0" item="0"/>
          <tpl fld="1" item="455"/>
          <tpl fld="4" item="16"/>
        </tpls>
      </m>
      <n v="31" in="0">
        <tpls c="3">
          <tpl fld="0" item="0"/>
          <tpl fld="1" item="230"/>
          <tpl fld="4" item="16"/>
        </tpls>
      </n>
      <m in="0">
        <tpls c="3">
          <tpl fld="0" item="0"/>
          <tpl fld="1" item="92"/>
          <tpl fld="4" item="16"/>
        </tpls>
      </m>
      <m in="0">
        <tpls c="3">
          <tpl fld="0" item="0"/>
          <tpl fld="1" item="6"/>
          <tpl fld="4" item="15"/>
        </tpls>
      </m>
      <n v="300" in="0">
        <tpls c="3">
          <tpl fld="0" item="0"/>
          <tpl fld="1" item="11"/>
          <tpl fld="4" item="15"/>
        </tpls>
      </n>
      <n v="289" in="0">
        <tpls c="3">
          <tpl fld="0" item="0"/>
          <tpl fld="1" item="87"/>
          <tpl fld="4" item="15"/>
        </tpls>
      </n>
      <n v="6" in="0">
        <tpls c="3">
          <tpl fld="0" item="0"/>
          <tpl fld="1" item="124"/>
          <tpl fld="4" item="16"/>
        </tpls>
      </n>
      <m in="0">
        <tpls c="3">
          <tpl fld="0" item="0"/>
          <tpl fld="1" item="71"/>
          <tpl fld="4" item="18"/>
        </tpls>
      </m>
      <m in="0">
        <tpls c="3">
          <tpl fld="0" item="0"/>
          <tpl fld="1" item="185"/>
          <tpl fld="4" item="18"/>
        </tpls>
      </m>
      <m in="0">
        <tpls c="3">
          <tpl fld="0" item="0"/>
          <tpl fld="1" item="102"/>
          <tpl fld="4" item="18"/>
        </tpls>
      </m>
      <m in="0">
        <tpls c="3">
          <tpl fld="0" item="0"/>
          <tpl fld="1" item="321"/>
          <tpl fld="4" item="14"/>
        </tpls>
      </m>
      <n v="2" in="0">
        <tpls c="3">
          <tpl fld="0" item="0"/>
          <tpl fld="1" item="32"/>
          <tpl fld="4" item="12"/>
        </tpls>
      </n>
      <m in="0">
        <tpls c="3">
          <tpl fld="0" item="0"/>
          <tpl fld="1" item="318"/>
          <tpl fld="4" item="14"/>
        </tpls>
      </m>
      <m in="0">
        <tpls c="3">
          <tpl fld="0" item="0"/>
          <tpl fld="1" item="246"/>
          <tpl fld="4" item="6"/>
        </tpls>
      </m>
      <m in="0">
        <tpls c="3">
          <tpl fld="0" item="0"/>
          <tpl fld="1" item="60"/>
          <tpl fld="4" item="13"/>
        </tpls>
      </m>
      <m in="0">
        <tpls c="3">
          <tpl fld="0" item="0"/>
          <tpl fld="1" item="20"/>
          <tpl fld="4" item="12"/>
        </tpls>
      </m>
      <m in="0">
        <tpls c="3">
          <tpl fld="0" item="0"/>
          <tpl fld="1" item="362"/>
          <tpl fld="4" item="14"/>
        </tpls>
      </m>
      <n v="10" in="1">
        <tpls c="3">
          <tpl fld="0" item="0"/>
          <tpl fld="1" item="299"/>
          <tpl fld="4" item="7"/>
        </tpls>
      </n>
      <n v="4" in="0">
        <tpls c="3">
          <tpl fld="0" item="0"/>
          <tpl fld="1" item="400"/>
          <tpl fld="4" item="1"/>
        </tpls>
      </n>
      <n v="3" in="0">
        <tpls c="3">
          <tpl fld="0" item="0"/>
          <tpl fld="1" item="179"/>
          <tpl fld="4" item="11"/>
        </tpls>
      </n>
      <n v="2" in="0">
        <tpls c="3">
          <tpl fld="0" item="0"/>
          <tpl fld="1" item="438"/>
          <tpl fld="4" item="11"/>
        </tpls>
      </n>
      <n v="66" in="1">
        <tpls c="3">
          <tpl fld="0" item="0"/>
          <tpl fld="1" item="405"/>
          <tpl fld="4" item="7"/>
        </tpls>
      </n>
      <m in="0">
        <tpls c="3">
          <tpl fld="0" item="0"/>
          <tpl fld="1" item="146"/>
          <tpl fld="4" item="14"/>
        </tpls>
      </m>
      <n v="39" in="0">
        <tpls c="3">
          <tpl fld="0" item="0"/>
          <tpl fld="1" item="427"/>
          <tpl fld="4" item="14"/>
        </tpls>
      </n>
      <m in="0">
        <tpls c="3">
          <tpl fld="0" item="0"/>
          <tpl fld="1" item="259"/>
          <tpl fld="4" item="6"/>
        </tpls>
      </m>
      <m in="0">
        <tpls c="3">
          <tpl fld="0" item="0"/>
          <tpl fld="1" item="22"/>
          <tpl fld="4" item="16"/>
        </tpls>
      </m>
      <m in="0">
        <tpls c="3">
          <tpl fld="0" item="0"/>
          <tpl fld="1" item="261"/>
          <tpl fld="4" item="16"/>
        </tpls>
      </m>
      <m in="0">
        <tpls c="3">
          <tpl fld="0" item="0"/>
          <tpl fld="1" item="258"/>
          <tpl fld="4" item="18"/>
        </tpls>
      </m>
      <m in="0">
        <tpls c="3">
          <tpl fld="0" item="0"/>
          <tpl fld="1" item="51"/>
          <tpl fld="4" item="20"/>
        </tpls>
      </m>
      <m in="0">
        <tpls c="3">
          <tpl fld="0" item="0"/>
          <tpl fld="1" item="213"/>
          <tpl fld="4" item="20"/>
        </tpls>
      </m>
      <m in="0">
        <tpls c="3">
          <tpl fld="0" item="0"/>
          <tpl fld="1" item="123"/>
          <tpl fld="4" item="9"/>
        </tpls>
      </m>
      <m in="0">
        <tpls c="3">
          <tpl fld="0" item="0"/>
          <tpl fld="1" item="23"/>
          <tpl fld="4" item="14"/>
        </tpls>
      </m>
      <m in="0">
        <tpls c="3">
          <tpl fld="0" item="0"/>
          <tpl fld="1" item="90"/>
          <tpl fld="4" item="19"/>
        </tpls>
      </m>
      <m in="0">
        <tpls c="3">
          <tpl fld="0" item="0"/>
          <tpl fld="1" item="448"/>
          <tpl fld="4" item="19"/>
        </tpls>
      </m>
      <m in="0">
        <tpls c="3">
          <tpl fld="0" item="0"/>
          <tpl fld="1" item="158"/>
          <tpl fld="4" item="18"/>
        </tpls>
      </m>
      <m in="0">
        <tpls c="3">
          <tpl fld="0" item="0"/>
          <tpl fld="1" item="74"/>
          <tpl fld="4" item="15"/>
        </tpls>
      </m>
      <n v="4" in="0">
        <tpls c="3">
          <tpl fld="0" item="0"/>
          <tpl fld="1" item="320"/>
          <tpl fld="4" item="18"/>
        </tpls>
      </n>
      <n v="14" in="0">
        <tpls c="3">
          <tpl fld="0" item="0"/>
          <tpl fld="1" item="395"/>
          <tpl fld="4" item="16"/>
        </tpls>
      </n>
      <m in="0">
        <tpls c="3">
          <tpl fld="0" item="0"/>
          <tpl fld="1" item="26"/>
          <tpl fld="4" item="18"/>
        </tpls>
      </m>
      <m in="0">
        <tpls c="3">
          <tpl fld="0" item="0"/>
          <tpl fld="1" item="284"/>
          <tpl fld="4" item="16"/>
        </tpls>
      </m>
      <n v="492" in="0">
        <tpls c="3">
          <tpl fld="0" item="0"/>
          <tpl fld="1" item="447"/>
          <tpl fld="4" item="15"/>
        </tpls>
      </n>
      <n v="10" in="0">
        <tpls c="3">
          <tpl fld="0" item="0"/>
          <tpl fld="1" item="322"/>
          <tpl fld="4" item="17"/>
        </tpls>
      </n>
      <m in="0">
        <tpls c="3">
          <tpl fld="0" item="0"/>
          <tpl fld="1" item="344"/>
          <tpl fld="4" item="17"/>
        </tpls>
      </m>
      <n v="253" in="0">
        <tpls c="3">
          <tpl fld="0" item="0"/>
          <tpl fld="1" item="41"/>
          <tpl fld="4" item="14"/>
        </tpls>
      </n>
      <n v="22" in="0">
        <tpls c="3">
          <tpl fld="0" item="0"/>
          <tpl fld="1" item="380"/>
          <tpl fld="4" item="18"/>
        </tpls>
      </n>
      <m in="0">
        <tpls c="3">
          <tpl fld="0" item="0"/>
          <tpl fld="1" item="388"/>
          <tpl fld="4" item="20"/>
        </tpls>
      </m>
      <n v="1" in="0">
        <tpls c="3">
          <tpl fld="0" item="0"/>
          <tpl fld="1" item="172"/>
          <tpl fld="4" item="18"/>
        </tpls>
      </n>
      <n v="4" in="0">
        <tpls c="3">
          <tpl fld="0" item="0"/>
          <tpl fld="1" item="296"/>
          <tpl fld="4" item="17"/>
        </tpls>
      </n>
      <n v="1" in="0">
        <tpls c="3">
          <tpl fld="0" item="0"/>
          <tpl fld="1" item="63"/>
          <tpl fld="4" item="21"/>
        </tpls>
      </n>
      <n v="29" in="0">
        <tpls c="3">
          <tpl fld="0" item="0"/>
          <tpl fld="1" item="215"/>
          <tpl fld="4" item="21"/>
        </tpls>
      </n>
      <n v="84" in="0">
        <tpls c="3">
          <tpl fld="0" item="0"/>
          <tpl fld="1" item="333"/>
          <tpl fld="4" item="14"/>
        </tpls>
      </n>
      <n v="7" in="0">
        <tpls c="3">
          <tpl fld="0" item="0"/>
          <tpl fld="1" item="10"/>
          <tpl fld="4" item="13"/>
        </tpls>
      </n>
      <n v="7" in="0">
        <tpls c="3">
          <tpl fld="0" item="0"/>
          <tpl fld="1" item="279"/>
          <tpl fld="4" item="13"/>
        </tpls>
      </n>
      <n v="4" in="0">
        <tpls c="3">
          <tpl fld="0" item="0"/>
          <tpl fld="1" item="352"/>
          <tpl fld="4" item="14"/>
        </tpls>
      </n>
      <n v="37" in="0">
        <tpls c="3">
          <tpl fld="0" item="0"/>
          <tpl fld="1" item="351"/>
          <tpl fld="4" item="13"/>
        </tpls>
      </n>
      <m in="0">
        <tpls c="3">
          <tpl fld="0" item="0"/>
          <tpl fld="1" item="123"/>
          <tpl fld="4" item="16"/>
        </tpls>
      </m>
      <m in="0">
        <tpls c="3">
          <tpl fld="0" item="0"/>
          <tpl fld="1" item="154"/>
          <tpl fld="4" item="16"/>
        </tpls>
      </m>
      <n v="3" in="0">
        <tpls c="3">
          <tpl fld="0" item="0"/>
          <tpl fld="1" item="121"/>
          <tpl fld="4" item="13"/>
        </tpls>
      </n>
      <n v="8" in="0">
        <tpls c="3">
          <tpl fld="0" item="0"/>
          <tpl fld="1" item="432"/>
          <tpl fld="4" item="14"/>
        </tpls>
      </n>
      <m in="0">
        <tpls c="3">
          <tpl fld="0" item="0"/>
          <tpl fld="1" item="109"/>
          <tpl fld="4" item="13"/>
        </tpls>
      </m>
      <m in="0">
        <tpls c="3">
          <tpl fld="0" item="0"/>
          <tpl fld="1" item="334"/>
          <tpl fld="4" item="16"/>
        </tpls>
      </m>
      <m in="0">
        <tpls c="3">
          <tpl fld="0" item="0"/>
          <tpl fld="1" item="124"/>
          <tpl fld="4" item="20"/>
        </tpls>
      </m>
      <m in="0">
        <tpls c="3">
          <tpl fld="0" item="0"/>
          <tpl fld="1" item="27"/>
          <tpl fld="4" item="13"/>
        </tpls>
      </m>
      <m in="0">
        <tpls c="3">
          <tpl fld="0" item="0"/>
          <tpl fld="1" item="304"/>
          <tpl fld="4" item="13"/>
        </tpls>
      </m>
      <n v="4" in="0">
        <tpls c="3">
          <tpl fld="0" item="0"/>
          <tpl fld="1" item="275"/>
          <tpl fld="4" item="13"/>
        </tpls>
      </n>
      <m in="0">
        <tpls c="3">
          <tpl fld="0" item="0"/>
          <tpl fld="1" item="74"/>
          <tpl fld="4" item="13"/>
        </tpls>
      </m>
      <n v="3" in="0">
        <tpls c="3">
          <tpl fld="0" item="0"/>
          <tpl fld="1" item="182"/>
          <tpl fld="4" item="18"/>
        </tpls>
      </n>
      <m in="0">
        <tpls c="3">
          <tpl fld="0" item="0"/>
          <tpl fld="1" item="392"/>
          <tpl fld="4" item="18"/>
        </tpls>
      </m>
      <m in="0">
        <tpls c="3">
          <tpl fld="0" item="0"/>
          <tpl fld="1" item="316"/>
          <tpl fld="4" item="20"/>
        </tpls>
      </m>
      <m in="0">
        <tpls c="3">
          <tpl fld="0" item="0"/>
          <tpl fld="1" item="323"/>
          <tpl fld="4" item="19"/>
        </tpls>
      </m>
      <n v="5" in="0">
        <tpls c="3">
          <tpl fld="0" item="0"/>
          <tpl fld="1" item="296"/>
          <tpl fld="4" item="19"/>
        </tpls>
      </n>
      <m in="0">
        <tpls c="3">
          <tpl fld="0" item="0"/>
          <tpl fld="1" item="300"/>
          <tpl fld="4" item="19"/>
        </tpls>
      </m>
      <m in="0">
        <tpls c="3">
          <tpl fld="0" item="0"/>
          <tpl fld="1" item="376"/>
          <tpl fld="4" item="19"/>
        </tpls>
      </m>
      <m in="0">
        <tpls c="3">
          <tpl fld="0" item="0"/>
          <tpl fld="1" item="203"/>
          <tpl fld="4" item="20"/>
        </tpls>
      </m>
      <n v="11" in="0">
        <tpls c="3">
          <tpl fld="0" item="0"/>
          <tpl fld="1" item="245"/>
          <tpl fld="4" item="15"/>
        </tpls>
      </n>
      <n v="94" in="0">
        <tpls c="3">
          <tpl fld="0" item="0"/>
          <tpl fld="1" item="209"/>
          <tpl fld="4" item="15"/>
        </tpls>
      </n>
      <n v="105" in="0">
        <tpls c="3">
          <tpl fld="0" item="0"/>
          <tpl fld="1" item="348"/>
          <tpl fld="4" item="14"/>
        </tpls>
      </n>
      <n v="2" in="0">
        <tpls c="3">
          <tpl fld="0" item="0"/>
          <tpl fld="1" item="422"/>
          <tpl fld="4" item="16"/>
        </tpls>
      </n>
      <m in="0">
        <tpls c="3">
          <tpl fld="0" item="0"/>
          <tpl fld="1" item="251"/>
          <tpl fld="4" item="16"/>
        </tpls>
      </m>
      <n v="23" in="0">
        <tpls c="3">
          <tpl fld="0" item="0"/>
          <tpl fld="1" item="347"/>
          <tpl fld="4" item="16"/>
        </tpls>
      </n>
      <m in="0">
        <tpls c="3">
          <tpl fld="0" item="0"/>
          <tpl fld="1" item="290"/>
          <tpl fld="4" item="16"/>
        </tpls>
      </m>
      <n v="66" in="0">
        <tpls c="3">
          <tpl fld="0" item="0"/>
          <tpl fld="1" item="205"/>
          <tpl fld="4" item="15"/>
        </tpls>
      </n>
      <m in="0">
        <tpls c="3">
          <tpl fld="0" item="0"/>
          <tpl fld="1" item="118"/>
          <tpl fld="4" item="17"/>
        </tpls>
      </m>
      <m in="0">
        <tpls c="3">
          <tpl fld="0" item="0"/>
          <tpl fld="1" item="60"/>
          <tpl fld="4" item="17"/>
        </tpls>
      </m>
      <n v="1" in="0">
        <tpls c="3">
          <tpl fld="0" item="0"/>
          <tpl fld="1" item="150"/>
          <tpl fld="4" item="13"/>
        </tpls>
      </n>
      <m in="0">
        <tpls c="3">
          <tpl fld="0" item="0"/>
          <tpl fld="1" item="243"/>
          <tpl fld="4" item="16"/>
        </tpls>
      </m>
      <m in="0">
        <tpls c="3">
          <tpl fld="0" item="0"/>
          <tpl fld="1" item="387"/>
          <tpl fld="4" item="19"/>
        </tpls>
      </m>
      <m in="0">
        <tpls c="3">
          <tpl fld="0" item="0"/>
          <tpl fld="1" item="451"/>
          <tpl fld="4" item="18"/>
        </tpls>
      </m>
      <n v="191" in="0">
        <tpls c="3">
          <tpl fld="0" item="0"/>
          <tpl fld="1" item="273"/>
          <tpl fld="4" item="15"/>
        </tpls>
      </n>
      <m in="0">
        <tpls c="3">
          <tpl fld="0" item="0"/>
          <tpl fld="1" item="146"/>
          <tpl fld="4" item="20"/>
        </tpls>
      </m>
      <m in="0">
        <tpls c="3">
          <tpl fld="0" item="0"/>
          <tpl fld="1" item="325"/>
          <tpl fld="4" item="16"/>
        </tpls>
      </m>
      <m in="0">
        <tpls c="3">
          <tpl fld="0" item="0"/>
          <tpl fld="1" item="139"/>
          <tpl fld="4" item="18"/>
        </tpls>
      </m>
      <n v="2" in="0">
        <tpls c="3">
          <tpl fld="0" item="0"/>
          <tpl fld="1" item="410"/>
          <tpl fld="4" item="16"/>
        </tpls>
      </n>
      <n v="12" in="0">
        <tpls c="3">
          <tpl fld="0" item="0"/>
          <tpl fld="1" item="163"/>
          <tpl fld="4" item="17"/>
        </tpls>
      </n>
      <m in="0">
        <tpls c="3">
          <tpl fld="0" item="0"/>
          <tpl fld="1" item="103"/>
          <tpl fld="4" item="17"/>
        </tpls>
      </m>
      <m in="0">
        <tpls c="3">
          <tpl fld="0" item="0"/>
          <tpl fld="1" item="435"/>
          <tpl fld="4" item="17"/>
        </tpls>
      </m>
      <n v="3" in="0">
        <tpls c="3">
          <tpl fld="0" item="0"/>
          <tpl fld="1" item="213"/>
          <tpl fld="4" item="14"/>
        </tpls>
      </n>
      <m in="0">
        <tpls c="3">
          <tpl fld="0" item="0"/>
          <tpl fld="1" item="12"/>
          <tpl fld="4" item="18"/>
        </tpls>
      </m>
      <m in="0">
        <tpls c="3">
          <tpl fld="0" item="0"/>
          <tpl fld="1" item="25"/>
          <tpl fld="4" item="21"/>
        </tpls>
      </m>
      <m in="0">
        <tpls c="3">
          <tpl fld="0" item="0"/>
          <tpl fld="1" item="291"/>
          <tpl fld="4" item="21"/>
        </tpls>
      </m>
      <m in="0">
        <tpls c="3">
          <tpl fld="0" item="0"/>
          <tpl fld="1" item="336"/>
          <tpl fld="4" item="21"/>
        </tpls>
      </m>
      <m in="0">
        <tpls c="3">
          <tpl fld="0" item="0"/>
          <tpl fld="1" item="185"/>
          <tpl fld="4" item="13"/>
        </tpls>
      </m>
      <n v="3" in="0">
        <tpls c="3">
          <tpl fld="0" item="0"/>
          <tpl fld="1" item="456"/>
          <tpl fld="4" item="13"/>
        </tpls>
      </n>
      <n v="3" in="0">
        <tpls c="3">
          <tpl fld="0" item="0"/>
          <tpl fld="1" item="282"/>
          <tpl fld="4" item="13"/>
        </tpls>
      </n>
      <n v="8" in="0">
        <tpls c="3">
          <tpl fld="0" item="0"/>
          <tpl fld="1" item="442"/>
          <tpl fld="4" item="13"/>
        </tpls>
      </n>
      <n v="1" in="0">
        <tpls c="3">
          <tpl fld="0" item="0"/>
          <tpl fld="1" item="279"/>
          <tpl fld="4" item="16"/>
        </tpls>
      </n>
      <m in="0">
        <tpls c="3">
          <tpl fld="0" item="0"/>
          <tpl fld="1" item="284"/>
          <tpl fld="4" item="18"/>
        </tpls>
      </m>
      <m in="0">
        <tpls c="3">
          <tpl fld="0" item="0"/>
          <tpl fld="1" item="426"/>
          <tpl fld="4" item="10"/>
        </tpls>
      </m>
      <m in="0">
        <tpls c="3">
          <tpl fld="0" item="0"/>
          <tpl fld="1" item="217"/>
          <tpl fld="4" item="16"/>
        </tpls>
      </m>
      <n v="8" in="0">
        <tpls c="3">
          <tpl fld="0" item="0"/>
          <tpl fld="1" item="179"/>
          <tpl fld="4" item="19"/>
        </tpls>
      </n>
      <m in="0">
        <tpls c="3">
          <tpl fld="0" item="0"/>
          <tpl fld="1" item="124"/>
          <tpl fld="4" item="21"/>
        </tpls>
      </m>
      <m in="0">
        <tpls c="3">
          <tpl fld="0" item="0"/>
          <tpl fld="1" item="52"/>
          <tpl fld="4" item="17"/>
        </tpls>
      </m>
      <n v="251" in="0">
        <tpls c="3">
          <tpl fld="0" item="0"/>
          <tpl fld="1" item="385"/>
          <tpl fld="4" item="13"/>
        </tpls>
      </n>
      <n v="1" in="0">
        <tpls c="3">
          <tpl fld="0" item="0"/>
          <tpl fld="1" item="369"/>
          <tpl fld="4" item="19"/>
        </tpls>
      </n>
      <n v="2" in="0">
        <tpls c="3">
          <tpl fld="0" item="0"/>
          <tpl fld="1" item="284"/>
          <tpl fld="4" item="13"/>
        </tpls>
      </n>
      <m in="0">
        <tpls c="3">
          <tpl fld="0" item="0"/>
          <tpl fld="1" item="280"/>
          <tpl fld="4" item="18"/>
        </tpls>
      </m>
      <n v="41" in="0">
        <tpls c="3">
          <tpl fld="0" item="0"/>
          <tpl fld="1" item="285"/>
          <tpl fld="4" item="20"/>
        </tpls>
      </n>
      <m in="0">
        <tpls c="3">
          <tpl fld="0" item="0"/>
          <tpl fld="1" item="443"/>
          <tpl fld="4" item="20"/>
        </tpls>
      </m>
      <n v="7" in="0">
        <tpls c="3">
          <tpl fld="0" item="0"/>
          <tpl fld="1" item="141"/>
          <tpl fld="4" item="19"/>
        </tpls>
      </n>
      <m in="0">
        <tpls c="3">
          <tpl fld="0" item="0"/>
          <tpl fld="1" item="407"/>
          <tpl fld="4" item="16"/>
        </tpls>
      </m>
      <n v="13" in="0">
        <tpls c="3">
          <tpl fld="0" item="0"/>
          <tpl fld="1" item="39"/>
          <tpl fld="4" item="19"/>
        </tpls>
      </n>
      <n v="84" in="0">
        <tpls c="3">
          <tpl fld="0" item="0"/>
          <tpl fld="1" item="367"/>
          <tpl fld="4" item="15"/>
        </tpls>
      </n>
      <m in="0">
        <tpls c="3">
          <tpl fld="0" item="0"/>
          <tpl fld="1" item="445"/>
          <tpl fld="4" item="15"/>
        </tpls>
      </m>
      <n v="31" in="0">
        <tpls c="3">
          <tpl fld="0" item="0"/>
          <tpl fld="1" item="208"/>
          <tpl fld="4" item="15"/>
        </tpls>
      </n>
      <m in="0">
        <tpls c="3">
          <tpl fld="0" item="0"/>
          <tpl fld="1" item="373"/>
          <tpl fld="4" item="6"/>
        </tpls>
      </m>
      <n v="2" in="0">
        <tpls c="3">
          <tpl fld="0" item="0"/>
          <tpl fld="1" item="187"/>
          <tpl fld="4" item="16"/>
        </tpls>
      </n>
      <m in="0">
        <tpls c="3">
          <tpl fld="0" item="0"/>
          <tpl fld="1" item="250"/>
          <tpl fld="4" item="18"/>
        </tpls>
      </m>
      <n v="3" in="0">
        <tpls c="3">
          <tpl fld="0" item="0"/>
          <tpl fld="1" item="54"/>
          <tpl fld="4" item="16"/>
        </tpls>
      </n>
      <m in="0">
        <tpls c="3">
          <tpl fld="0" item="0"/>
          <tpl fld="1" item="405"/>
          <tpl fld="4" item="17"/>
        </tpls>
      </m>
      <m in="0">
        <tpls c="3">
          <tpl fld="0" item="0"/>
          <tpl fld="1" item="338"/>
          <tpl fld="4" item="17"/>
        </tpls>
      </m>
      <n v="1" in="0">
        <tpls c="3">
          <tpl fld="0" item="0"/>
          <tpl fld="1" item="121"/>
          <tpl fld="4" item="17"/>
        </tpls>
      </n>
      <n v="236" in="0">
        <tpls c="3">
          <tpl fld="0" item="0"/>
          <tpl fld="1" item="281"/>
          <tpl fld="4" item="14"/>
        </tpls>
      </n>
      <m in="0">
        <tpls c="3">
          <tpl fld="0" item="0"/>
          <tpl fld="1" item="416"/>
          <tpl fld="4" item="16"/>
        </tpls>
      </m>
      <m in="0">
        <tpls c="3">
          <tpl fld="0" item="0"/>
          <tpl fld="1" item="295"/>
          <tpl fld="4" item="20"/>
        </tpls>
      </m>
      <n v="13" in="0">
        <tpls c="3">
          <tpl fld="0" item="0"/>
          <tpl fld="1" item="201"/>
          <tpl fld="4" item="21"/>
        </tpls>
      </n>
      <n v="18" in="0">
        <tpls c="3">
          <tpl fld="0" item="0"/>
          <tpl fld="1" item="337"/>
          <tpl fld="4" item="16"/>
        </tpls>
      </n>
      <m in="0">
        <tpls c="3">
          <tpl fld="0" item="0"/>
          <tpl fld="1" item="279"/>
          <tpl fld="4" item="18"/>
        </tpls>
      </m>
      <n v="4" in="0">
        <tpls c="3">
          <tpl fld="0" item="0"/>
          <tpl fld="1" item="149"/>
          <tpl fld="4" item="18"/>
        </tpls>
      </n>
      <n v="74" in="0">
        <tpls c="3">
          <tpl fld="0" item="0"/>
          <tpl fld="1" item="177"/>
          <tpl fld="4" item="17"/>
        </tpls>
      </n>
      <n v="6" in="0">
        <tpls c="3">
          <tpl fld="0" item="0"/>
          <tpl fld="1" item="9"/>
          <tpl fld="4" item="17"/>
        </tpls>
      </n>
      <m in="0">
        <tpls c="3">
          <tpl fld="0" item="0"/>
          <tpl fld="1" item="171"/>
          <tpl fld="4" item="13"/>
        </tpls>
      </m>
      <m in="0">
        <tpls c="3">
          <tpl fld="0" item="0"/>
          <tpl fld="1" item="40"/>
          <tpl fld="4" item="20"/>
        </tpls>
      </m>
      <n v="1" in="0">
        <tpls c="3">
          <tpl fld="0" item="0"/>
          <tpl fld="1" item="84"/>
          <tpl fld="4" item="21"/>
        </tpls>
      </n>
      <n v="11" in="0">
        <tpls c="3">
          <tpl fld="0" item="0"/>
          <tpl fld="1" item="104"/>
          <tpl fld="4" item="21"/>
        </tpls>
      </n>
      <m in="0">
        <tpls c="3">
          <tpl fld="0" item="0"/>
          <tpl fld="1" item="38"/>
          <tpl fld="4" item="9"/>
        </tpls>
      </m>
      <m in="0">
        <tpls c="3">
          <tpl fld="0" item="0"/>
          <tpl fld="1" item="96"/>
          <tpl fld="4" item="13"/>
        </tpls>
      </m>
      <m in="0">
        <tpls c="3">
          <tpl fld="0" item="0"/>
          <tpl fld="1" item="23"/>
          <tpl fld="4" item="19"/>
        </tpls>
      </m>
      <m in="0">
        <tpls c="3">
          <tpl fld="0" item="0"/>
          <tpl fld="1" item="298"/>
          <tpl fld="4" item="13"/>
        </tpls>
      </m>
      <m in="0">
        <tpls c="3">
          <tpl fld="0" item="0"/>
          <tpl fld="1" item="282"/>
          <tpl fld="4" item="18"/>
        </tpls>
      </m>
      <m in="0">
        <tpls c="3">
          <tpl fld="0" item="0"/>
          <tpl fld="1" item="164"/>
          <tpl fld="4" item="18"/>
        </tpls>
      </m>
      <n v="20" in="0">
        <tpls c="3">
          <tpl fld="0" item="0"/>
          <tpl fld="1" item="276"/>
          <tpl fld="4" item="20"/>
        </tpls>
      </n>
      <n v="29" in="0">
        <tpls c="3">
          <tpl fld="0" item="0"/>
          <tpl fld="1" item="57"/>
          <tpl fld="4" item="13"/>
        </tpls>
      </n>
      <m in="0">
        <tpls c="3">
          <tpl fld="0" item="0"/>
          <tpl fld="1" item="448"/>
          <tpl fld="4" item="14"/>
        </tpls>
      </m>
      <m in="0">
        <tpls c="3">
          <tpl fld="0" item="0"/>
          <tpl fld="1" item="122"/>
          <tpl fld="4" item="14"/>
        </tpls>
      </m>
      <m in="0">
        <tpls c="3">
          <tpl fld="0" item="0"/>
          <tpl fld="1" item="143"/>
          <tpl fld="4" item="19"/>
        </tpls>
      </m>
      <n v="103" in="0">
        <tpls c="3">
          <tpl fld="0" item="0"/>
          <tpl fld="1" item="397"/>
          <tpl fld="4" item="14"/>
        </tpls>
      </n>
      <m in="0">
        <tpls c="3">
          <tpl fld="0" item="0"/>
          <tpl fld="1" item="445"/>
          <tpl fld="4" item="17"/>
        </tpls>
      </m>
      <n v="620" in="0">
        <tpls c="3">
          <tpl fld="0" item="0"/>
          <tpl fld="1" item="390"/>
          <tpl fld="4" item="15"/>
        </tpls>
      </n>
      <n v="8" in="0">
        <tpls c="3">
          <tpl fld="0" item="0"/>
          <tpl fld="1" item="393"/>
          <tpl fld="4" item="14"/>
        </tpls>
      </n>
      <m in="0">
        <tpls c="3">
          <tpl fld="0" item="0"/>
          <tpl fld="1" item="245"/>
          <tpl fld="4" item="6"/>
        </tpls>
      </m>
      <m in="0">
        <tpls c="3">
          <tpl fld="0" item="0"/>
          <tpl fld="1" item="136"/>
          <tpl fld="4" item="13"/>
        </tpls>
      </m>
      <n v="22" in="0">
        <tpls c="3">
          <tpl fld="0" item="0"/>
          <tpl fld="1" item="232"/>
          <tpl fld="4" item="14"/>
        </tpls>
      </n>
      <n v="211" in="0">
        <tpls c="3">
          <tpl fld="0" item="0"/>
          <tpl fld="1" item="410"/>
          <tpl fld="4" item="20"/>
        </tpls>
      </n>
      <m in="0">
        <tpls c="3">
          <tpl fld="0" item="0"/>
          <tpl fld="1" item="297"/>
          <tpl fld="4" item="21"/>
        </tpls>
      </m>
      <n v="6" in="0">
        <tpls c="3">
          <tpl fld="0" item="0"/>
          <tpl fld="1" item="343"/>
          <tpl fld="4" item="13"/>
        </tpls>
      </n>
      <m in="0">
        <tpls c="3">
          <tpl fld="0" item="0"/>
          <tpl fld="1" item="295"/>
          <tpl fld="4" item="13"/>
        </tpls>
      </m>
      <m in="0">
        <tpls c="3">
          <tpl fld="0" item="0"/>
          <tpl fld="1" item="157"/>
          <tpl fld="4" item="19"/>
        </tpls>
      </m>
      <m in="0">
        <tpls c="3">
          <tpl fld="0" item="0"/>
          <tpl fld="1" item="62"/>
          <tpl fld="4" item="13"/>
        </tpls>
      </m>
      <n v="185" in="0">
        <tpls c="3">
          <tpl fld="0" item="0"/>
          <tpl fld="1" item="182"/>
          <tpl fld="4" item="20"/>
        </tpls>
      </n>
      <m in="0">
        <tpls c="3">
          <tpl fld="0" item="0"/>
          <tpl fld="1" item="344"/>
          <tpl fld="4" item="20"/>
        </tpls>
      </m>
      <n v="1138" in="0">
        <tpls c="3">
          <tpl fld="0" item="0"/>
          <tpl fld="1" item="47"/>
          <tpl fld="4" item="20"/>
        </tpls>
      </n>
      <m in="0">
        <tpls c="3">
          <tpl fld="0" item="0"/>
          <tpl fld="1" item="387"/>
          <tpl fld="4" item="9"/>
        </tpls>
      </m>
      <m in="0">
        <tpls c="3">
          <tpl fld="0" item="0"/>
          <tpl fld="1" item="34"/>
          <tpl fld="4" item="19"/>
        </tpls>
      </m>
      <m in="0">
        <tpls c="3">
          <tpl fld="0" item="0"/>
          <tpl fld="1" item="295"/>
          <tpl fld="4" item="16"/>
        </tpls>
      </m>
      <m in="0">
        <tpls c="3">
          <tpl fld="0" item="0"/>
          <tpl fld="1" item="248"/>
          <tpl fld="4" item="19"/>
        </tpls>
      </m>
      <m in="0">
        <tpls c="3">
          <tpl fld="0" item="0"/>
          <tpl fld="1" item="220"/>
          <tpl fld="4" item="15"/>
        </tpls>
      </m>
      <n v="44" in="0">
        <tpls c="3">
          <tpl fld="0" item="0"/>
          <tpl fld="1" item="124"/>
          <tpl fld="4" item="15"/>
        </tpls>
      </n>
      <n v="392" in="0">
        <tpls c="3">
          <tpl fld="0" item="0"/>
          <tpl fld="1" item="111"/>
          <tpl fld="4" item="15"/>
        </tpls>
      </n>
      <n v="4" in="0">
        <tpls c="3">
          <tpl fld="0" item="0"/>
          <tpl fld="1" item="37"/>
          <tpl fld="4" item="1"/>
        </tpls>
      </n>
      <m in="0">
        <tpls c="3">
          <tpl fld="0" item="0"/>
          <tpl fld="1" item="393"/>
          <tpl fld="4" item="19"/>
        </tpls>
      </m>
      <n v="3" in="0">
        <tpls c="3">
          <tpl fld="0" item="0"/>
          <tpl fld="1" item="342"/>
          <tpl fld="4" item="19"/>
        </tpls>
      </n>
      <m in="0">
        <tpls c="3">
          <tpl fld="0" item="0"/>
          <tpl fld="1" item="412"/>
          <tpl fld="4" item="18"/>
        </tpls>
      </m>
      <n v="35" in="0">
        <tpls c="3">
          <tpl fld="0" item="0"/>
          <tpl fld="1" item="63"/>
          <tpl fld="4" item="15"/>
        </tpls>
      </n>
      <n v="1" in="0">
        <tpls c="3">
          <tpl fld="0" item="0"/>
          <tpl fld="1" item="280"/>
          <tpl fld="4" item="16"/>
        </tpls>
      </n>
      <m in="0">
        <tpls c="3">
          <tpl fld="0" item="0"/>
          <tpl fld="1" item="79"/>
          <tpl fld="4" item="16"/>
        </tpls>
      </m>
      <m in="0">
        <tpls c="3">
          <tpl fld="0" item="0"/>
          <tpl fld="1" item="257"/>
          <tpl fld="4" item="18"/>
        </tpls>
      </m>
      <n v="7" in="0">
        <tpls c="3">
          <tpl fld="0" item="0"/>
          <tpl fld="1" item="267"/>
          <tpl fld="4" item="16"/>
        </tpls>
      </n>
      <m in="0">
        <tpls c="3">
          <tpl fld="0" item="0"/>
          <tpl fld="1" item="112"/>
          <tpl fld="4" item="15"/>
        </tpls>
      </m>
      <n v="147" in="0">
        <tpls c="3">
          <tpl fld="0" item="0"/>
          <tpl fld="1" item="139"/>
          <tpl fld="4" item="15"/>
        </tpls>
      </n>
      <m in="0">
        <tpls c="3">
          <tpl fld="0" item="0"/>
          <tpl fld="1" item="399"/>
          <tpl fld="4" item="15"/>
        </tpls>
      </m>
      <n v="38" in="0">
        <tpls c="3">
          <tpl fld="0" item="0"/>
          <tpl fld="1" item="129"/>
          <tpl fld="4" item="14"/>
        </tpls>
      </n>
      <m in="0">
        <tpls c="3">
          <tpl fld="0" item="0"/>
          <tpl fld="1" item="21"/>
          <tpl fld="4" item="18"/>
        </tpls>
      </m>
      <m in="0">
        <tpls c="3">
          <tpl fld="0" item="0"/>
          <tpl fld="1" item="217"/>
          <tpl fld="4" item="20"/>
        </tpls>
      </m>
      <n v="9" in="0">
        <tpls c="3">
          <tpl fld="0" item="0"/>
          <tpl fld="1" item="41"/>
          <tpl fld="4" item="18"/>
        </tpls>
      </n>
      <n v="10" in="0">
        <tpls c="3">
          <tpl fld="0" item="0"/>
          <tpl fld="1" item="430"/>
          <tpl fld="4" item="17"/>
        </tpls>
      </n>
      <n v="17" in="0">
        <tpls c="3">
          <tpl fld="0" item="0"/>
          <tpl fld="1" item="262"/>
          <tpl fld="4" item="17"/>
        </tpls>
      </n>
      <n v="96" in="0">
        <tpls c="3">
          <tpl fld="0" item="0"/>
          <tpl fld="1" item="313"/>
          <tpl fld="4" item="17"/>
        </tpls>
      </n>
      <m in="0">
        <tpls c="3">
          <tpl fld="0" item="0"/>
          <tpl fld="1" item="163"/>
          <tpl fld="4" item="13"/>
        </tpls>
      </m>
      <n v="95" in="0">
        <tpls c="3">
          <tpl fld="0" item="0"/>
          <tpl fld="1" item="42"/>
          <tpl fld="4" item="14"/>
        </tpls>
      </n>
      <m in="0">
        <tpls c="3">
          <tpl fld="0" item="0"/>
          <tpl fld="1" item="443"/>
          <tpl fld="4" item="21"/>
        </tpls>
      </m>
      <m in="0">
        <tpls c="3">
          <tpl fld="0" item="0"/>
          <tpl fld="1" item="261"/>
          <tpl fld="4" item="13"/>
        </tpls>
      </m>
      <m in="0">
        <tpls c="3">
          <tpl fld="0" item="0"/>
          <tpl fld="1" item="402"/>
          <tpl fld="4" item="13"/>
        </tpls>
      </m>
      <m in="0">
        <tpls c="3">
          <tpl fld="0" item="0"/>
          <tpl fld="1" item="170"/>
          <tpl fld="4" item="18"/>
        </tpls>
      </m>
      <n v="15" in="0">
        <tpls c="3">
          <tpl fld="0" item="0"/>
          <tpl fld="1" item="294"/>
          <tpl fld="4" item="15"/>
        </tpls>
      </n>
      <n v="3" in="0">
        <tpls c="3">
          <tpl fld="0" item="0"/>
          <tpl fld="1" item="430"/>
          <tpl fld="4" item="18"/>
        </tpls>
      </n>
      <n v="5" in="0">
        <tpls c="3">
          <tpl fld="0" item="0"/>
          <tpl fld="1" item="114"/>
          <tpl fld="4" item="18"/>
        </tpls>
      </n>
      <n v="19" in="0">
        <tpls c="3">
          <tpl fld="0" item="0"/>
          <tpl fld="1" item="8"/>
          <tpl fld="4" item="14"/>
        </tpls>
      </n>
      <m in="0">
        <tpls c="3">
          <tpl fld="0" item="0"/>
          <tpl fld="1" item="91"/>
          <tpl fld="4" item="18"/>
        </tpls>
      </m>
      <m in="0">
        <tpls c="3">
          <tpl fld="0" item="0"/>
          <tpl fld="1" item="309"/>
          <tpl fld="4" item="18"/>
        </tpls>
      </m>
      <n v="116" in="0">
        <tpls c="3">
          <tpl fld="0" item="0"/>
          <tpl fld="1" item="33"/>
          <tpl fld="4" item="21"/>
        </tpls>
      </n>
      <m in="0">
        <tpls c="3">
          <tpl fld="0" item="0"/>
          <tpl fld="1" item="79"/>
          <tpl fld="4" item="21"/>
        </tpls>
      </m>
      <n v="4" in="0">
        <tpls c="3">
          <tpl fld="0" item="0"/>
          <tpl fld="1" item="159"/>
          <tpl fld="4" item="14"/>
        </tpls>
      </n>
      <n v="12" in="0">
        <tpls c="3">
          <tpl fld="0" item="0"/>
          <tpl fld="1" item="72"/>
          <tpl fld="4" item="14"/>
        </tpls>
      </n>
      <n v="1" in="0">
        <tpls c="3">
          <tpl fld="0" item="0"/>
          <tpl fld="1" item="302"/>
          <tpl fld="4" item="13"/>
        </tpls>
      </n>
      <n v="214" in="0">
        <tpls c="3">
          <tpl fld="0" item="0"/>
          <tpl fld="1" item="364"/>
          <tpl fld="4" item="14"/>
        </tpls>
      </n>
      <n v="1" in="0">
        <tpls c="3">
          <tpl fld="0" item="0"/>
          <tpl fld="1" item="202"/>
          <tpl fld="4" item="13"/>
        </tpls>
      </n>
      <m in="0">
        <tpls c="3">
          <tpl fld="0" item="0"/>
          <tpl fld="1" item="165"/>
          <tpl fld="4" item="16"/>
        </tpls>
      </m>
      <n v="10" in="0">
        <tpls c="3">
          <tpl fld="0" item="0"/>
          <tpl fld="1" item="417"/>
          <tpl fld="4" item="13"/>
        </tpls>
      </n>
      <n v="1" in="0">
        <tpls c="3">
          <tpl fld="0" item="0"/>
          <tpl fld="1" item="57"/>
          <tpl fld="4" item="5"/>
        </tpls>
      </n>
      <m in="0">
        <tpls c="3">
          <tpl fld="0" item="0"/>
          <tpl fld="1" item="190"/>
          <tpl fld="4" item="1"/>
        </tpls>
      </m>
      <m in="0">
        <tpls c="3">
          <tpl fld="0" item="0"/>
          <tpl fld="1" item="387"/>
          <tpl fld="4" item="1"/>
        </tpls>
      </m>
      <m in="0">
        <tpls c="3">
          <tpl fld="0" item="0"/>
          <tpl fld="1" item="171"/>
          <tpl fld="4" item="9"/>
        </tpls>
      </m>
      <n v="1798" in="0">
        <tpls c="3">
          <tpl fld="0" item="0"/>
          <tpl fld="1" item="33"/>
          <tpl fld="4" item="10"/>
        </tpls>
      </n>
      <m in="0">
        <tpls c="3">
          <tpl fld="0" item="0"/>
          <tpl fld="1" item="46"/>
          <tpl fld="4" item="8"/>
        </tpls>
      </m>
      <m in="0">
        <tpls c="3">
          <tpl fld="0" item="0"/>
          <tpl fld="1" item="123"/>
          <tpl fld="4" item="13"/>
        </tpls>
      </m>
      <m in="0">
        <tpls c="3">
          <tpl fld="0" item="0"/>
          <tpl fld="1" item="315"/>
          <tpl fld="4" item="8"/>
        </tpls>
      </m>
      <m in="0">
        <tpls c="3">
          <tpl fld="0" item="0"/>
          <tpl fld="1" item="52"/>
          <tpl fld="4" item="6"/>
        </tpls>
      </m>
      <m in="0">
        <tpls c="3">
          <tpl fld="0" item="0"/>
          <tpl fld="1" item="95"/>
          <tpl fld="4" item="9"/>
        </tpls>
      </m>
      <m in="0">
        <tpls c="3">
          <tpl fld="0" item="0"/>
          <tpl fld="1" item="98"/>
          <tpl fld="4" item="14"/>
        </tpls>
      </m>
      <m in="0">
        <tpls c="3">
          <tpl fld="0" item="0"/>
          <tpl fld="1" item="454"/>
          <tpl fld="4" item="18"/>
        </tpls>
      </m>
      <m in="0">
        <tpls c="3">
          <tpl fld="0" item="0"/>
          <tpl fld="1" item="338"/>
          <tpl fld="4" item="18"/>
        </tpls>
      </m>
      <n v="37" in="0">
        <tpls c="3">
          <tpl fld="0" item="0"/>
          <tpl fld="1" item="160"/>
          <tpl fld="4" item="19"/>
        </tpls>
      </n>
      <n v="2" in="0">
        <tpls c="3">
          <tpl fld="0" item="0"/>
          <tpl fld="1" item="284"/>
          <tpl fld="4" item="15"/>
        </tpls>
      </n>
      <m in="0">
        <tpls c="3">
          <tpl fld="0" item="0"/>
          <tpl fld="1" item="235"/>
          <tpl fld="4" item="15"/>
        </tpls>
      </m>
      <m in="0">
        <tpls c="3">
          <tpl fld="0" item="0"/>
          <tpl fld="1" item="349"/>
          <tpl fld="4" item="9"/>
        </tpls>
      </m>
      <n v="2" in="0">
        <tpls c="3">
          <tpl fld="0" item="0"/>
          <tpl fld="1" item="267"/>
          <tpl fld="4" item="18"/>
        </tpls>
      </n>
      <m in="0">
        <tpls c="3">
          <tpl fld="0" item="0"/>
          <tpl fld="1" item="170"/>
          <tpl fld="4" item="16"/>
        </tpls>
      </m>
      <n v="3" in="0">
        <tpls c="3">
          <tpl fld="0" item="0"/>
          <tpl fld="1" item="333"/>
          <tpl fld="4" item="13"/>
        </tpls>
      </n>
      <m in="0">
        <tpls c="3">
          <tpl fld="0" item="0"/>
          <tpl fld="1" item="203"/>
          <tpl fld="4" item="17"/>
        </tpls>
      </m>
      <m in="0">
        <tpls c="3">
          <tpl fld="0" item="0"/>
          <tpl fld="1" item="346"/>
          <tpl fld="4" item="1"/>
        </tpls>
      </m>
      <m in="0">
        <tpls c="3">
          <tpl fld="0" item="0"/>
          <tpl fld="1" item="28"/>
          <tpl fld="4" item="18"/>
        </tpls>
      </m>
      <m in="0">
        <tpls c="3">
          <tpl fld="0" item="0"/>
          <tpl fld="1" item="218"/>
          <tpl fld="4" item="21"/>
        </tpls>
      </m>
      <m in="0">
        <tpls c="3">
          <tpl fld="0" item="0"/>
          <tpl fld="1" item="46"/>
          <tpl fld="4" item="21"/>
        </tpls>
      </m>
      <m in="0">
        <tpls c="3">
          <tpl fld="0" item="0"/>
          <tpl fld="1" item="323"/>
          <tpl fld="4" item="21"/>
        </tpls>
      </m>
      <m in="0">
        <tpls c="3">
          <tpl fld="0" item="0"/>
          <tpl fld="1" item="392"/>
          <tpl fld="4" item="14"/>
        </tpls>
      </m>
      <m in="0">
        <tpls c="3">
          <tpl fld="0" item="0"/>
          <tpl fld="1" item="88"/>
          <tpl fld="4" item="14"/>
        </tpls>
      </m>
      <n v="7" in="0">
        <tpls c="3">
          <tpl fld="0" item="0"/>
          <tpl fld="1" item="49"/>
          <tpl fld="4" item="13"/>
        </tpls>
      </n>
      <m in="0">
        <tpls c="3">
          <tpl fld="0" item="0"/>
          <tpl fld="1" item="100"/>
          <tpl fld="4" item="13"/>
        </tpls>
      </m>
      <n v="1" in="0">
        <tpls c="3">
          <tpl fld="0" item="0"/>
          <tpl fld="1" item="227"/>
          <tpl fld="4" item="13"/>
        </tpls>
      </n>
      <m in="0">
        <tpls c="3">
          <tpl fld="0" item="0"/>
          <tpl fld="1" item="153"/>
          <tpl fld="4" item="19"/>
        </tpls>
      </m>
      <m in="0">
        <tpls c="3">
          <tpl fld="0" item="0"/>
          <tpl fld="1" item="341"/>
          <tpl fld="4" item="18"/>
        </tpls>
      </m>
      <n v="15" in="0">
        <tpls c="3">
          <tpl fld="0" item="0"/>
          <tpl fld="1" item="125"/>
          <tpl fld="4" item="18"/>
        </tpls>
      </n>
      <n v="43" in="0">
        <tpls c="3">
          <tpl fld="0" item="0"/>
          <tpl fld="1" item="77"/>
          <tpl fld="4" item="14"/>
        </tpls>
      </n>
      <m in="0">
        <tpls c="3">
          <tpl fld="0" item="0"/>
          <tpl fld="1" item="260"/>
          <tpl fld="4" item="19"/>
        </tpls>
      </m>
      <m in="0">
        <tpls c="3">
          <tpl fld="0" item="0"/>
          <tpl fld="1" item="125"/>
          <tpl fld="4" item="19"/>
        </tpls>
      </m>
      <n v="2" in="0">
        <tpls c="3">
          <tpl fld="0" item="0"/>
          <tpl fld="1" item="419"/>
          <tpl fld="4" item="19"/>
        </tpls>
      </n>
      <m in="0">
        <tpls c="3">
          <tpl fld="0" item="0"/>
          <tpl fld="1" item="58"/>
          <tpl fld="4" item="19"/>
        </tpls>
      </m>
      <m in="0">
        <tpls c="3">
          <tpl fld="0" item="0"/>
          <tpl fld="1" item="392"/>
          <tpl fld="4" item="20"/>
        </tpls>
      </m>
      <n v="61" in="0">
        <tpls c="3">
          <tpl fld="0" item="0"/>
          <tpl fld="1" item="219"/>
          <tpl fld="4" item="20"/>
        </tpls>
      </n>
      <n v="37" in="0">
        <tpls c="3">
          <tpl fld="0" item="0"/>
          <tpl fld="1" item="356"/>
          <tpl fld="4" item="20"/>
        </tpls>
      </n>
      <n v="1" in="0">
        <tpls c="3">
          <tpl fld="0" item="0"/>
          <tpl fld="1" item="219"/>
          <tpl fld="4" item="19"/>
        </tpls>
      </n>
      <n v="8" in="0">
        <tpls c="3">
          <tpl fld="0" item="0"/>
          <tpl fld="1" item="67"/>
          <tpl fld="4" item="16"/>
        </tpls>
      </n>
      <m in="0">
        <tpls c="3">
          <tpl fld="0" item="0"/>
          <tpl fld="1" item="9"/>
          <tpl fld="4" item="19"/>
        </tpls>
      </m>
      <n v="10" in="0">
        <tpls c="3">
          <tpl fld="0" item="0"/>
          <tpl fld="1" item="87"/>
          <tpl fld="4" item="18"/>
        </tpls>
      </n>
      <m in="0">
        <tpls c="3">
          <tpl fld="0" item="0"/>
          <tpl fld="1" item="250"/>
          <tpl fld="4" item="15"/>
        </tpls>
      </m>
      <n v="1" in="0">
        <tpls c="3">
          <tpl fld="0" item="0"/>
          <tpl fld="1" item="403"/>
          <tpl fld="4" item="13"/>
        </tpls>
      </n>
      <n v="1" in="0">
        <tpls c="3">
          <tpl fld="0" item="0"/>
          <tpl fld="1" item="254"/>
          <tpl fld="4" item="19"/>
        </tpls>
      </n>
      <m in="0">
        <tpls c="3">
          <tpl fld="0" item="0"/>
          <tpl fld="1" item="297"/>
          <tpl fld="4" item="19"/>
        </tpls>
      </m>
      <m in="0">
        <tpls c="3">
          <tpl fld="0" item="0"/>
          <tpl fld="1" item="270"/>
          <tpl fld="4" item="19"/>
        </tpls>
      </m>
      <m in="0">
        <tpls c="3">
          <tpl fld="0" item="0"/>
          <tpl fld="1" item="241"/>
          <tpl fld="4" item="15"/>
        </tpls>
      </m>
      <n v="11" in="0">
        <tpls c="3">
          <tpl fld="0" item="0"/>
          <tpl fld="1" item="171"/>
          <tpl fld="4" item="15"/>
        </tpls>
      </n>
      <n v="45" in="0">
        <tpls c="3">
          <tpl fld="0" item="0"/>
          <tpl fld="1" item="18"/>
          <tpl fld="4" item="15"/>
        </tpls>
      </n>
      <m in="0">
        <tpls c="3">
          <tpl fld="0" item="0"/>
          <tpl fld="1" item="342"/>
          <tpl fld="4" item="13"/>
        </tpls>
      </m>
      <m in="0">
        <tpls c="3">
          <tpl fld="0" item="0"/>
          <tpl fld="1" item="29"/>
          <tpl fld="4" item="16"/>
        </tpls>
      </m>
      <m in="0">
        <tpls c="3">
          <tpl fld="0" item="0"/>
          <tpl fld="1" item="388"/>
          <tpl fld="4" item="16"/>
        </tpls>
      </m>
      <m in="0">
        <tpls c="3">
          <tpl fld="0" item="0"/>
          <tpl fld="1" item="386"/>
          <tpl fld="4" item="16"/>
        </tpls>
      </m>
      <n v="2" in="0">
        <tpls c="3">
          <tpl fld="0" item="0"/>
          <tpl fld="1" item="431"/>
          <tpl fld="4" item="16"/>
        </tpls>
      </n>
      <m in="0">
        <tpls c="3">
          <tpl fld="0" item="0"/>
          <tpl fld="1" item="396"/>
          <tpl fld="4" item="17"/>
        </tpls>
      </m>
      <n v="5" in="0">
        <tpls c="3">
          <tpl fld="0" item="0"/>
          <tpl fld="1" item="370"/>
          <tpl fld="4" item="17"/>
        </tpls>
      </n>
      <m in="0">
        <tpls c="3">
          <tpl fld="0" item="0"/>
          <tpl fld="1" item="147"/>
          <tpl fld="4" item="18"/>
        </tpls>
      </m>
      <n v="16" in="0">
        <tpls c="3">
          <tpl fld="0" item="0"/>
          <tpl fld="1" item="126"/>
          <tpl fld="4" item="14"/>
        </tpls>
      </n>
      <m in="0">
        <tpls c="3">
          <tpl fld="0" item="0"/>
          <tpl fld="1" item="136"/>
          <tpl fld="4" item="18"/>
        </tpls>
      </m>
      <m in="0">
        <tpls c="3">
          <tpl fld="0" item="0"/>
          <tpl fld="1" item="153"/>
          <tpl fld="4" item="18"/>
        </tpls>
      </m>
      <n v="36" in="0">
        <tpls c="3">
          <tpl fld="0" item="0"/>
          <tpl fld="1" item="80"/>
          <tpl fld="4" item="21"/>
        </tpls>
      </n>
      <m in="0">
        <tpls c="3">
          <tpl fld="0" item="0"/>
          <tpl fld="1" item="310"/>
          <tpl fld="4" item="21"/>
        </tpls>
      </m>
      <m in="0">
        <tpls c="3">
          <tpl fld="0" item="0"/>
          <tpl fld="1" item="13"/>
          <tpl fld="4" item="18"/>
        </tpls>
      </m>
      <n v="1" in="0">
        <tpls c="3">
          <tpl fld="0" item="0"/>
          <tpl fld="1" item="420"/>
          <tpl fld="4" item="18"/>
        </tpls>
      </n>
      <n v="125" in="0">
        <tpls c="3">
          <tpl fld="0" item="0"/>
          <tpl fld="1" item="313"/>
          <tpl fld="4" item="13"/>
        </tpls>
      </n>
      <n v="1" in="0">
        <tpls c="3">
          <tpl fld="0" item="0"/>
          <tpl fld="1" item="8"/>
          <tpl fld="4" item="21"/>
        </tpls>
      </n>
      <m in="0">
        <tpls c="3">
          <tpl fld="0" item="0"/>
          <tpl fld="1" item="84"/>
          <tpl fld="4" item="12"/>
        </tpls>
      </m>
      <m in="0">
        <tpls c="3">
          <tpl fld="0" item="0"/>
          <tpl fld="1" item="356"/>
          <tpl fld="4" item="5"/>
        </tpls>
      </m>
      <n v="8" in="0">
        <tpls c="3">
          <tpl fld="0" item="0"/>
          <tpl fld="1" item="410"/>
          <tpl fld="4" item="21"/>
        </tpls>
      </n>
      <m in="0">
        <tpls c="3">
          <tpl fld="0" item="0"/>
          <tpl fld="1" item="355"/>
          <tpl fld="4" item="21"/>
        </tpls>
      </m>
      <n v="31" in="0">
        <tpls c="3">
          <tpl fld="0" item="0"/>
          <tpl fld="1" item="111"/>
          <tpl fld="4" item="21"/>
        </tpls>
      </n>
      <n v="16" in="0">
        <tpls c="3">
          <tpl fld="0" item="0"/>
          <tpl fld="1" item="281"/>
          <tpl fld="4" item="13"/>
        </tpls>
      </n>
      <n v="17" in="0">
        <tpls c="3">
          <tpl fld="0" item="0"/>
          <tpl fld="1" item="262"/>
          <tpl fld="4" item="13"/>
        </tpls>
      </n>
      <n v="21" in="0">
        <tpls c="3">
          <tpl fld="0" item="0"/>
          <tpl fld="1" item="409"/>
          <tpl fld="4" item="13"/>
        </tpls>
      </n>
      <m in="0">
        <tpls c="3">
          <tpl fld="0" item="0"/>
          <tpl fld="1" item="448"/>
          <tpl fld="4" item="13"/>
        </tpls>
      </m>
      <m in="0">
        <tpls c="3">
          <tpl fld="0" item="0"/>
          <tpl fld="1" item="97"/>
          <tpl fld="4" item="18"/>
        </tpls>
      </m>
      <n v="1" in="0">
        <tpls c="3">
          <tpl fld="0" item="0"/>
          <tpl fld="1" item="405"/>
          <tpl fld="4" item="18"/>
        </tpls>
      </n>
      <n v="162" in="0">
        <tpls c="3">
          <tpl fld="0" item="0"/>
          <tpl fld="1" item="442"/>
          <tpl fld="4" item="20"/>
        </tpls>
      </n>
      <m in="0">
        <tpls c="3">
          <tpl fld="0" item="0"/>
          <tpl fld="1" item="423"/>
          <tpl fld="4" item="12"/>
        </tpls>
      </m>
      <m in="0">
        <tpls c="3">
          <tpl fld="0" item="0"/>
          <tpl fld="1" item="272"/>
          <tpl fld="4" item="19"/>
        </tpls>
      </m>
      <n v="4" in="0">
        <tpls c="3">
          <tpl fld="0" item="0"/>
          <tpl fld="1" item="357"/>
          <tpl fld="4" item="19"/>
        </tpls>
      </n>
      <n v="5" in="0">
        <tpls c="3">
          <tpl fld="0" item="0"/>
          <tpl fld="1" item="275"/>
          <tpl fld="4" item="19"/>
        </tpls>
      </n>
      <n v="2" in="0">
        <tpls c="3">
          <tpl fld="0" item="0"/>
          <tpl fld="1" item="356"/>
          <tpl fld="4" item="19"/>
        </tpls>
      </n>
      <n v="22" in="0">
        <tpls c="3">
          <tpl fld="0" item="0"/>
          <tpl fld="1" item="37"/>
          <tpl fld="4" item="20"/>
        </tpls>
      </n>
      <n v="34" in="0">
        <tpls c="3">
          <tpl fld="0" item="0"/>
          <tpl fld="1" item="52"/>
          <tpl fld="4" item="15"/>
        </tpls>
      </n>
      <m in="0">
        <tpls c="3">
          <tpl fld="0" item="0"/>
          <tpl fld="1" item="238"/>
          <tpl fld="4" item="13"/>
        </tpls>
      </m>
      <m in="0">
        <tpls c="3">
          <tpl fld="0" item="0"/>
          <tpl fld="1" item="292"/>
          <tpl fld="4" item="13"/>
        </tpls>
      </m>
      <m in="0">
        <tpls c="3">
          <tpl fld="0" item="0"/>
          <tpl fld="1" item="81"/>
          <tpl fld="4" item="16"/>
        </tpls>
      </m>
      <m in="0">
        <tpls c="3">
          <tpl fld="0" item="0"/>
          <tpl fld="1" item="216"/>
          <tpl fld="4" item="20"/>
        </tpls>
      </m>
      <m in="0">
        <tpls c="3">
          <tpl fld="0" item="0"/>
          <tpl fld="1" item="284"/>
          <tpl fld="4" item="21"/>
        </tpls>
      </m>
      <n v="6" in="0">
        <tpls c="3">
          <tpl fld="0" item="0"/>
          <tpl fld="1" item="110"/>
          <tpl fld="4" item="14"/>
        </tpls>
      </n>
      <m in="0">
        <tpls c="3">
          <tpl fld="0" item="0"/>
          <tpl fld="1" item="293"/>
          <tpl fld="4" item="19"/>
        </tpls>
      </m>
      <m in="0">
        <tpls c="3">
          <tpl fld="0" item="0"/>
          <tpl fld="1" item="66"/>
          <tpl fld="4" item="16"/>
        </tpls>
      </m>
      <m in="0">
        <tpls c="3">
          <tpl fld="0" item="0"/>
          <tpl fld="1" item="135"/>
          <tpl fld="4" item="19"/>
        </tpls>
      </m>
      <m in="0">
        <tpls c="3">
          <tpl fld="0" item="0"/>
          <tpl fld="1" item="448"/>
          <tpl fld="4" item="15"/>
        </tpls>
      </m>
      <n v="44" in="0">
        <tpls c="3">
          <tpl fld="0" item="0"/>
          <tpl fld="1" item="161"/>
          <tpl fld="4" item="15"/>
        </tpls>
      </n>
      <n v="138" in="0">
        <tpls c="3">
          <tpl fld="0" item="0"/>
          <tpl fld="1" item="49"/>
          <tpl fld="4" item="15"/>
        </tpls>
      </n>
      <m in="0">
        <tpls c="3">
          <tpl fld="0" item="0"/>
          <tpl fld="1" item="373"/>
          <tpl fld="4" item="16"/>
        </tpls>
      </m>
      <n v="2" in="0">
        <tpls c="3">
          <tpl fld="0" item="0"/>
          <tpl fld="1" item="57"/>
          <tpl fld="4" item="18"/>
        </tpls>
      </n>
      <m in="0">
        <tpls c="3">
          <tpl fld="0" item="0"/>
          <tpl fld="1" item="14"/>
          <tpl fld="4" item="16"/>
        </tpls>
      </m>
      <m in="0">
        <tpls c="3">
          <tpl fld="0" item="0"/>
          <tpl fld="1" item="21"/>
          <tpl fld="4" item="17"/>
        </tpls>
      </m>
      <n v="8" in="0">
        <tpls c="3">
          <tpl fld="0" item="0"/>
          <tpl fld="1" item="227"/>
          <tpl fld="4" item="17"/>
        </tpls>
      </n>
      <m in="0">
        <tpls c="3">
          <tpl fld="0" item="0"/>
          <tpl fld="1" item="439"/>
          <tpl fld="4" item="17"/>
        </tpls>
      </m>
      <n v="6" in="0">
        <tpls c="3">
          <tpl fld="0" item="0"/>
          <tpl fld="1" item="196"/>
          <tpl fld="4" item="14"/>
        </tpls>
      </n>
      <m in="0">
        <tpls c="3">
          <tpl fld="0" item="0"/>
          <tpl fld="1" item="157"/>
          <tpl fld="4" item="18"/>
        </tpls>
      </m>
      <m in="0">
        <tpls c="3">
          <tpl fld="0" item="0"/>
          <tpl fld="1" item="36"/>
          <tpl fld="4" item="21"/>
        </tpls>
      </m>
      <m in="0">
        <tpls c="3">
          <tpl fld="0" item="0"/>
          <tpl fld="1" item="244"/>
          <tpl fld="4" item="21"/>
        </tpls>
      </m>
      <n v="2" in="0">
        <tpls c="3">
          <tpl fld="0" item="0"/>
          <tpl fld="1" item="418"/>
          <tpl fld="4" item="19"/>
        </tpls>
      </n>
      <m in="0">
        <tpls c="3">
          <tpl fld="0" item="0"/>
          <tpl fld="1" item="19"/>
          <tpl fld="4" item="1"/>
        </tpls>
      </m>
      <m in="0">
        <tpls c="3">
          <tpl fld="0" item="0"/>
          <tpl fld="1" item="217"/>
          <tpl fld="4" item="17"/>
        </tpls>
      </m>
      <m in="0">
        <tpls c="3">
          <tpl fld="0" item="0"/>
          <tpl fld="1" item="445"/>
          <tpl fld="4" item="20"/>
        </tpls>
      </m>
      <m in="0">
        <tpls c="3">
          <tpl fld="0" item="0"/>
          <tpl fld="1" item="183"/>
          <tpl fld="4" item="6"/>
        </tpls>
      </m>
      <n v="4" in="0">
        <tpls c="3">
          <tpl fld="0" item="0"/>
          <tpl fld="1" item="144"/>
          <tpl fld="4" item="13"/>
        </tpls>
      </n>
      <m in="0">
        <tpls c="3">
          <tpl fld="0" item="0"/>
          <tpl fld="1" item="78"/>
          <tpl fld="4" item="20"/>
        </tpls>
      </m>
      <m in="0">
        <tpls c="3">
          <tpl fld="0" item="0"/>
          <tpl fld="1" item="31"/>
          <tpl fld="4" item="21"/>
        </tpls>
      </m>
      <m in="0">
        <tpls c="3">
          <tpl fld="0" item="0"/>
          <tpl fld="1" item="86"/>
          <tpl fld="4" item="13"/>
        </tpls>
      </m>
      <n v="19" in="0">
        <tpls c="3">
          <tpl fld="0" item="0"/>
          <tpl fld="1" item="351"/>
          <tpl fld="4" item="19"/>
        </tpls>
      </n>
      <n v="5" in="0">
        <tpls c="3">
          <tpl fld="0" item="0"/>
          <tpl fld="1" item="101"/>
          <tpl fld="4" item="13"/>
        </tpls>
      </n>
      <n v="5" in="0">
        <tpls c="3">
          <tpl fld="0" item="0"/>
          <tpl fld="1" item="354"/>
          <tpl fld="4" item="18"/>
        </tpls>
      </n>
      <n v="676" in="0">
        <tpls c="3">
          <tpl fld="0" item="0"/>
          <tpl fld="1" item="269"/>
          <tpl fld="4" item="20"/>
        </tpls>
      </n>
      <m in="0">
        <tpls c="3">
          <tpl fld="0" item="0"/>
          <tpl fld="1" item="12"/>
          <tpl fld="4" item="20"/>
        </tpls>
      </m>
      <m in="0">
        <tpls c="3">
          <tpl fld="0" item="0"/>
          <tpl fld="1" item="358"/>
          <tpl fld="4" item="19"/>
        </tpls>
      </m>
      <m in="0">
        <tpls c="3">
          <tpl fld="0" item="0"/>
          <tpl fld="1" item="190"/>
          <tpl fld="4" item="16"/>
        </tpls>
      </m>
      <m in="0">
        <tpls c="3">
          <tpl fld="0" item="0"/>
          <tpl fld="1" item="263"/>
          <tpl fld="4" item="19"/>
        </tpls>
      </m>
      <n v="211" in="0">
        <tpls c="3">
          <tpl fld="0" item="0"/>
          <tpl fld="1" item="80"/>
          <tpl fld="4" item="15"/>
        </tpls>
      </n>
      <n v="69" in="0">
        <tpls c="3">
          <tpl fld="0" item="0"/>
          <tpl fld="1" item="370"/>
          <tpl fld="4" item="15"/>
        </tpls>
      </n>
      <n v="34" in="0">
        <tpls c="3">
          <tpl fld="0" item="0"/>
          <tpl fld="1" item="138"/>
          <tpl fld="4" item="15"/>
        </tpls>
      </n>
      <m in="0">
        <tpls c="3">
          <tpl fld="0" item="0"/>
          <tpl fld="1" item="346"/>
          <tpl fld="4" item="19"/>
        </tpls>
      </m>
      <n v="1" in="0">
        <tpls c="3">
          <tpl fld="0" item="0"/>
          <tpl fld="1" item="410"/>
          <tpl fld="4" item="18"/>
        </tpls>
      </n>
      <m in="0">
        <tpls c="3">
          <tpl fld="0" item="0"/>
          <tpl fld="1" item="348"/>
          <tpl fld="4" item="19"/>
        </tpls>
      </m>
      <m in="0">
        <tpls c="3">
          <tpl fld="0" item="0"/>
          <tpl fld="1" item="357"/>
          <tpl fld="4" item="21"/>
        </tpls>
      </m>
      <n v="25" in="0">
        <tpls c="3">
          <tpl fld="0" item="0"/>
          <tpl fld="1" item="49"/>
          <tpl fld="4" item="17"/>
        </tpls>
      </n>
      <n v="19" in="0">
        <tpls c="3">
          <tpl fld="0" item="0"/>
          <tpl fld="1" item="20"/>
          <tpl fld="4" item="13"/>
        </tpls>
      </n>
      <n v="3" in="0">
        <tpls c="3">
          <tpl fld="0" item="0"/>
          <tpl fld="1" item="280"/>
          <tpl fld="4" item="19"/>
        </tpls>
      </n>
      <n v="9" in="0">
        <tpls c="3">
          <tpl fld="0" item="0"/>
          <tpl fld="1" item="329"/>
          <tpl fld="4" item="19"/>
        </tpls>
      </n>
      <n v="4" in="0">
        <tpls c="3">
          <tpl fld="0" item="0"/>
          <tpl fld="1" item="181"/>
          <tpl fld="4" item="20"/>
        </tpls>
      </n>
      <n v="1" in="0">
        <tpls c="3">
          <tpl fld="0" item="0"/>
          <tpl fld="1" item="134"/>
          <tpl fld="4" item="20"/>
        </tpls>
      </n>
      <n v="448" in="0">
        <tpls c="3">
          <tpl fld="0" item="0"/>
          <tpl fld="1" item="256"/>
          <tpl fld="4" item="20"/>
        </tpls>
      </n>
      <n v="18" in="0">
        <tpls c="3">
          <tpl fld="0" item="0"/>
          <tpl fld="1" item="266"/>
          <tpl fld="4" item="11"/>
        </tpls>
      </n>
      <m in="0">
        <tpls c="3">
          <tpl fld="0" item="0"/>
          <tpl fld="1" item="62"/>
          <tpl fld="4" item="19"/>
        </tpls>
      </m>
      <m in="0">
        <tpls c="3">
          <tpl fld="0" item="0"/>
          <tpl fld="1" item="433"/>
          <tpl fld="4" item="16"/>
        </tpls>
      </m>
      <m in="0">
        <tpls c="3">
          <tpl fld="0" item="0"/>
          <tpl fld="1" item="113"/>
          <tpl fld="4" item="16"/>
        </tpls>
      </m>
      <n v="100" in="0">
        <tpls c="3">
          <tpl fld="0" item="0"/>
          <tpl fld="1" item="182"/>
          <tpl fld="4" item="15"/>
        </tpls>
      </n>
      <n v="15" in="0">
        <tpls c="3">
          <tpl fld="0" item="0"/>
          <tpl fld="1" item="16"/>
          <tpl fld="4" item="15"/>
        </tpls>
      </n>
      <n v="115" in="0">
        <tpls c="3">
          <tpl fld="0" item="0"/>
          <tpl fld="1" item="28"/>
          <tpl fld="4" item="15"/>
        </tpls>
      </n>
      <n v="10" in="0">
        <tpls c="3">
          <tpl fld="0" item="0"/>
          <tpl fld="1" item="136"/>
          <tpl fld="4" item="14"/>
        </tpls>
      </n>
      <m in="0">
        <tpls c="3">
          <tpl fld="0" item="0"/>
          <tpl fld="1" item="248"/>
          <tpl fld="4" item="16"/>
        </tpls>
      </m>
      <m in="0">
        <tpls c="3">
          <tpl fld="0" item="0"/>
          <tpl fld="1" item="304"/>
          <tpl fld="4" item="18"/>
        </tpls>
      </m>
      <n v="1" in="0">
        <tpls c="3">
          <tpl fld="0" item="0"/>
          <tpl fld="1" item="249"/>
          <tpl fld="4" item="18"/>
        </tpls>
      </n>
      <n v="12" in="0">
        <tpls c="3">
          <tpl fld="0" item="0"/>
          <tpl fld="1" item="99"/>
          <tpl fld="4" item="17"/>
        </tpls>
      </n>
      <m in="0">
        <tpls c="3">
          <tpl fld="0" item="0"/>
          <tpl fld="1" item="19"/>
          <tpl fld="4" item="17"/>
        </tpls>
      </m>
      <m in="0">
        <tpls c="3">
          <tpl fld="0" item="0"/>
          <tpl fld="1" item="110"/>
          <tpl fld="4" item="17"/>
        </tpls>
      </m>
      <n v="78" in="0">
        <tpls c="3">
          <tpl fld="0" item="0"/>
          <tpl fld="1" item="337"/>
          <tpl fld="4" item="14"/>
        </tpls>
      </n>
      <n v="17" in="0">
        <tpls c="3">
          <tpl fld="0" item="0"/>
          <tpl fld="1" item="171"/>
          <tpl fld="4" item="14"/>
        </tpls>
      </n>
      <n v="3" in="0">
        <tpls c="3">
          <tpl fld="0" item="0"/>
          <tpl fld="1" item="137"/>
          <tpl fld="4" item="16"/>
        </tpls>
      </n>
      <m in="0">
        <tpls c="3">
          <tpl fld="0" item="0"/>
          <tpl fld="1" item="244"/>
          <tpl fld="4" item="16"/>
        </tpls>
      </m>
      <m in="0">
        <tpls c="3">
          <tpl fld="0" item="0"/>
          <tpl fld="1" item="128"/>
          <tpl fld="4" item="13"/>
        </tpls>
      </m>
      <m in="0">
        <tpls c="3">
          <tpl fld="0" item="0"/>
          <tpl fld="1" item="419"/>
          <tpl fld="4" item="17"/>
        </tpls>
      </m>
      <m in="0">
        <tpls c="3">
          <tpl fld="0" item="0"/>
          <tpl fld="1" item="8"/>
          <tpl fld="4" item="18"/>
        </tpls>
      </m>
      <n v="532" in="0">
        <tpls c="3">
          <tpl fld="0" item="0"/>
          <tpl fld="1" item="20"/>
          <tpl fld="4" item="20"/>
        </tpls>
      </n>
      <m in="0">
        <tpls c="3">
          <tpl fld="0" item="0"/>
          <tpl fld="1" item="362"/>
          <tpl fld="4" item="18"/>
        </tpls>
      </m>
      <m in="0">
        <tpls c="3">
          <tpl fld="0" item="0"/>
          <tpl fld="1" item="300"/>
          <tpl fld="4" item="17"/>
        </tpls>
      </m>
      <m in="0">
        <tpls c="3">
          <tpl fld="0" item="0"/>
          <tpl fld="1" item="234"/>
          <tpl fld="4" item="17"/>
        </tpls>
      </m>
      <n v="10" in="0">
        <tpls c="3">
          <tpl fld="0" item="0"/>
          <tpl fld="1" item="277"/>
          <tpl fld="4" item="21"/>
        </tpls>
      </n>
      <m in="0">
        <tpls c="3">
          <tpl fld="0" item="0"/>
          <tpl fld="1" item="303"/>
          <tpl fld="4" item="5"/>
        </tpls>
      </m>
      <m in="0">
        <tpls c="3">
          <tpl fld="0" item="0"/>
          <tpl fld="1" item="383"/>
          <tpl fld="4" item="13"/>
        </tpls>
      </m>
      <m in="0">
        <tpls c="3">
          <tpl fld="0" item="0"/>
          <tpl fld="1" item="445"/>
          <tpl fld="4" item="13"/>
        </tpls>
      </m>
      <m in="0">
        <tpls c="3">
          <tpl fld="0" item="0"/>
          <tpl fld="1" item="192"/>
          <tpl fld="4" item="14"/>
        </tpls>
      </m>
      <n v="1" in="0">
        <tpls c="3">
          <tpl fld="0" item="0"/>
          <tpl fld="1" item="55"/>
          <tpl fld="4" item="21"/>
        </tpls>
      </n>
      <m in="0">
        <tpls c="3">
          <tpl fld="0" item="0"/>
          <tpl fld="1" item="223"/>
          <tpl fld="4" item="13"/>
        </tpls>
      </m>
      <m in="0">
        <tpls c="3">
          <tpl fld="0" item="0"/>
          <tpl fld="1" item="123"/>
          <tpl fld="4" item="19"/>
        </tpls>
      </m>
      <m in="0">
        <tpls c="3">
          <tpl fld="0" item="0"/>
          <tpl fld="1" item="321"/>
          <tpl fld="4" item="13"/>
        </tpls>
      </m>
      <m in="0">
        <tpls c="3">
          <tpl fld="0" item="0"/>
          <tpl fld="1" item="244"/>
          <tpl fld="4" item="19"/>
        </tpls>
      </m>
      <n v="2" in="0">
        <tpls c="3">
          <tpl fld="0" item="0"/>
          <tpl fld="1" item="44"/>
          <tpl fld="4" item="19"/>
        </tpls>
      </n>
      <n v="5" in="0">
        <tpls c="3">
          <tpl fld="0" item="0"/>
          <tpl fld="1" item="254"/>
          <tpl fld="4" item="13"/>
        </tpls>
      </n>
      <n v="11" in="0">
        <tpls c="3">
          <tpl fld="0" item="0"/>
          <tpl fld="1" item="252"/>
          <tpl fld="4" item="20"/>
        </tpls>
      </n>
      <m in="0">
        <tpls c="3">
          <tpl fld="0" item="0"/>
          <tpl fld="1" item="310"/>
          <tpl fld="4" item="20"/>
        </tpls>
      </m>
      <m in="0">
        <tpls c="3">
          <tpl fld="0" item="0"/>
          <tpl fld="1" item="404"/>
          <tpl fld="4" item="20"/>
        </tpls>
      </m>
      <n v="13" in="0">
        <tpls c="3">
          <tpl fld="0" item="0"/>
          <tpl fld="1" item="172"/>
          <tpl fld="4" item="14"/>
        </tpls>
      </n>
      <n v="3" in="0">
        <tpls c="3">
          <tpl fld="0" item="0"/>
          <tpl fld="1" item="215"/>
          <tpl fld="4" item="16"/>
        </tpls>
      </n>
      <m in="0">
        <tpls c="3">
          <tpl fld="0" item="0"/>
          <tpl fld="1" item="450"/>
          <tpl fld="4" item="13"/>
        </tpls>
      </m>
      <m in="0">
        <tpls c="3">
          <tpl fld="0" item="0"/>
          <tpl fld="1" item="337"/>
          <tpl fld="4" item="12"/>
        </tpls>
      </m>
      <m in="0">
        <tpls c="3">
          <tpl fld="0" item="0"/>
          <tpl fld="1" item="315"/>
          <tpl fld="4" item="6"/>
        </tpls>
      </m>
      <n v="56" in="0">
        <tpls c="3">
          <tpl fld="0" item="0"/>
          <tpl fld="1" item="429"/>
          <tpl fld="4" item="10"/>
        </tpls>
      </n>
      <m in="0">
        <tpls c="3">
          <tpl fld="0" item="0"/>
          <tpl fld="1" item="188"/>
          <tpl fld="4" item="14"/>
        </tpls>
      </m>
      <m in="0">
        <tpls c="3">
          <tpl fld="0" item="0"/>
          <tpl fld="1" item="55"/>
          <tpl fld="4" item="5"/>
        </tpls>
      </m>
      <m in="0">
        <tpls c="3">
          <tpl fld="0" item="0"/>
          <tpl fld="1" item="203"/>
          <tpl fld="4" item="6"/>
        </tpls>
      </m>
      <m in="0">
        <tpls c="3">
          <tpl fld="0" item="0"/>
          <tpl fld="1" item="338"/>
          <tpl fld="4" item="10"/>
        </tpls>
      </m>
      <n v="7" in="0">
        <tpls c="3">
          <tpl fld="0" item="0"/>
          <tpl fld="1" item="295"/>
          <tpl fld="4" item="10"/>
        </tpls>
      </n>
      <n v="47" in="0">
        <tpls c="3">
          <tpl fld="0" item="0"/>
          <tpl fld="1" item="317"/>
          <tpl fld="4" item="14"/>
        </tpls>
      </n>
      <m in="0">
        <tpls c="3">
          <tpl fld="0" item="0"/>
          <tpl fld="1" item="212"/>
          <tpl fld="4" item="8"/>
        </tpls>
      </m>
      <m in="0">
        <tpls c="3">
          <tpl fld="0" item="0"/>
          <tpl fld="1" item="53"/>
          <tpl fld="4" item="9"/>
        </tpls>
      </m>
      <m in="0">
        <tpls c="3">
          <tpl fld="0" item="0"/>
          <tpl fld="1" item="243"/>
          <tpl fld="4" item="14"/>
        </tpls>
      </m>
      <n v="12" in="0">
        <tpls c="3">
          <tpl fld="0" item="0"/>
          <tpl fld="1" item="285"/>
          <tpl fld="4" item="19"/>
        </tpls>
      </n>
      <n v="811" in="0">
        <tpls c="3">
          <tpl fld="0" item="0"/>
          <tpl fld="1" item="447"/>
          <tpl fld="4" item="20"/>
        </tpls>
      </n>
      <m in="0">
        <tpls c="3">
          <tpl fld="0" item="0"/>
          <tpl fld="1" item="323"/>
          <tpl fld="4" item="16"/>
        </tpls>
      </m>
      <m in="0">
        <tpls c="3">
          <tpl fld="0" item="0"/>
          <tpl fld="1" item="143"/>
          <tpl fld="4" item="17"/>
        </tpls>
      </m>
      <n v="69" in="0">
        <tpls c="3">
          <tpl fld="0" item="0"/>
          <tpl fld="1" item="390"/>
          <tpl fld="4" item="21"/>
        </tpls>
      </n>
      <m in="0">
        <tpls c="3">
          <tpl fld="0" item="0"/>
          <tpl fld="1" item="250"/>
          <tpl fld="4" item="13"/>
        </tpls>
      </m>
      <m in="0">
        <tpls c="3">
          <tpl fld="0" item="0"/>
          <tpl fld="1" item="191"/>
          <tpl fld="4" item="13"/>
        </tpls>
      </m>
      <n v="475" in="0">
        <tpls c="3">
          <tpl fld="0" item="0"/>
          <tpl fld="1" item="82"/>
          <tpl fld="4" item="20"/>
        </tpls>
      </n>
      <n v="39" in="0">
        <tpls c="3">
          <tpl fld="0" item="0"/>
          <tpl fld="1" item="452"/>
          <tpl fld="4" item="19"/>
        </tpls>
      </n>
      <m in="0">
        <tpls c="3">
          <tpl fld="0" item="0"/>
          <tpl fld="1" item="194"/>
          <tpl fld="4" item="18"/>
        </tpls>
      </m>
      <n v="71" in="0">
        <tpls c="3">
          <tpl fld="0" item="0"/>
          <tpl fld="1" item="334"/>
          <tpl fld="4" item="14"/>
        </tpls>
      </n>
      <n v="7" in="0">
        <tpls c="3">
          <tpl fld="0" item="0"/>
          <tpl fld="1" item="9"/>
          <tpl fld="4" item="13"/>
        </tpls>
      </n>
      <m in="0">
        <tpls c="3">
          <tpl fld="0" item="0"/>
          <tpl fld="1" item="303"/>
          <tpl fld="4" item="13"/>
        </tpls>
      </m>
      <m in="0">
        <tpls c="3">
          <tpl fld="0" item="0"/>
          <tpl fld="1" item="89"/>
          <tpl fld="4" item="13"/>
        </tpls>
      </m>
      <m in="0">
        <tpls c="3">
          <tpl fld="0" item="0"/>
          <tpl fld="1" item="9"/>
          <tpl fld="4" item="16"/>
        </tpls>
      </m>
      <m in="0">
        <tpls c="3">
          <tpl fld="0" item="0"/>
          <tpl fld="1" item="418"/>
          <tpl fld="4" item="18"/>
        </tpls>
      </m>
      <m in="0">
        <tpls c="3">
          <tpl fld="0" item="0"/>
          <tpl fld="1" item="368"/>
          <tpl fld="4" item="18"/>
        </tpls>
      </m>
      <m in="0">
        <tpls c="3">
          <tpl fld="0" item="0"/>
          <tpl fld="1" item="434"/>
          <tpl fld="4" item="19"/>
        </tpls>
      </m>
      <m in="0">
        <tpls c="3">
          <tpl fld="0" item="0"/>
          <tpl fld="1" item="112"/>
          <tpl fld="4" item="19"/>
        </tpls>
      </m>
      <n v="2" in="0">
        <tpls c="3">
          <tpl fld="0" item="0"/>
          <tpl fld="1" item="94"/>
          <tpl fld="4" item="19"/>
        </tpls>
      </n>
      <m in="0">
        <tpls c="3">
          <tpl fld="0" item="0"/>
          <tpl fld="1" item="79"/>
          <tpl fld="4" item="19"/>
        </tpls>
      </m>
      <n v="237" in="0">
        <tpls c="3">
          <tpl fld="0" item="0"/>
          <tpl fld="1" item="337"/>
          <tpl fld="4" item="20"/>
        </tpls>
      </n>
      <n v="34" in="0">
        <tpls c="3">
          <tpl fld="0" item="0"/>
          <tpl fld="1" item="227"/>
          <tpl fld="4" item="20"/>
        </tpls>
      </n>
      <n v="29" in="0">
        <tpls c="3">
          <tpl fld="0" item="0"/>
          <tpl fld="1" item="433"/>
          <tpl fld="4" item="15"/>
        </tpls>
      </n>
      <m in="0">
        <tpls c="3">
          <tpl fld="0" item="0"/>
          <tpl fld="1" item="235"/>
          <tpl fld="4" item="14"/>
        </tpls>
      </m>
      <m in="0">
        <tpls c="3">
          <tpl fld="0" item="0"/>
          <tpl fld="1" item="272"/>
          <tpl fld="4" item="16"/>
        </tpls>
      </m>
      <m in="0">
        <tpls c="3">
          <tpl fld="0" item="0"/>
          <tpl fld="1" item="208"/>
          <tpl fld="4" item="16"/>
        </tpls>
      </m>
      <n v="20" in="0">
        <tpls c="3">
          <tpl fld="0" item="0"/>
          <tpl fld="1" item="255"/>
          <tpl fld="4" item="16"/>
        </tpls>
      </n>
      <m in="0">
        <tpls c="3">
          <tpl fld="0" item="0"/>
          <tpl fld="1" item="237"/>
          <tpl fld="4" item="16"/>
        </tpls>
      </m>
      <n v="24" in="0">
        <tpls c="3">
          <tpl fld="0" item="0"/>
          <tpl fld="1" item="186"/>
          <tpl fld="4" item="15"/>
        </tpls>
      </n>
      <n v="65" in="0">
        <tpls c="3">
          <tpl fld="0" item="0"/>
          <tpl fld="1" item="453"/>
          <tpl fld="4" item="15"/>
        </tpls>
      </n>
      <m in="0">
        <tpls c="3">
          <tpl fld="0" item="0"/>
          <tpl fld="1" item="275"/>
          <tpl fld="4" item="17"/>
        </tpls>
      </m>
      <n v="103" in="0">
        <tpls c="3">
          <tpl fld="0" item="0"/>
          <tpl fld="1" item="395"/>
          <tpl fld="4" item="14"/>
        </tpls>
      </n>
      <m in="0">
        <tpls c="3">
          <tpl fld="0" item="0"/>
          <tpl fld="1" item="437"/>
          <tpl fld="4" item="16"/>
        </tpls>
      </m>
      <m in="0">
        <tpls c="3">
          <tpl fld="0" item="0"/>
          <tpl fld="1" item="86"/>
          <tpl fld="4" item="16"/>
        </tpls>
      </m>
      <m in="0">
        <tpls c="3">
          <tpl fld="0" item="0"/>
          <tpl fld="1" item="251"/>
          <tpl fld="4" item="18"/>
        </tpls>
      </m>
      <m in="0">
        <tpls c="3">
          <tpl fld="0" item="0"/>
          <tpl fld="1" item="261"/>
          <tpl fld="4" item="21"/>
        </tpls>
      </m>
      <m in="0">
        <tpls c="3">
          <tpl fld="0" item="0"/>
          <tpl fld="1" item="13"/>
          <tpl fld="4" item="16"/>
        </tpls>
      </m>
      <m in="0">
        <tpls c="3">
          <tpl fld="0" item="0"/>
          <tpl fld="1" item="63"/>
          <tpl fld="4" item="18"/>
        </tpls>
      </m>
      <m in="0">
        <tpls c="3">
          <tpl fld="0" item="0"/>
          <tpl fld="1" item="247"/>
          <tpl fld="4" item="16"/>
        </tpls>
      </m>
      <m in="0">
        <tpls c="3">
          <tpl fld="0" item="0"/>
          <tpl fld="1" item="69"/>
          <tpl fld="4" item="16"/>
        </tpls>
      </m>
      <n v="1" in="0">
        <tpls c="3">
          <tpl fld="0" item="0"/>
          <tpl fld="1" item="236"/>
          <tpl fld="4" item="17"/>
        </tpls>
      </n>
      <n v="18" in="0">
        <tpls c="3">
          <tpl fld="0" item="0"/>
          <tpl fld="1" item="125"/>
          <tpl fld="4" item="17"/>
        </tpls>
      </n>
      <m in="0">
        <tpls c="3">
          <tpl fld="0" item="0"/>
          <tpl fld="1" item="422"/>
          <tpl fld="4" item="18"/>
        </tpls>
      </m>
      <n v="21" in="0">
        <tpls c="3">
          <tpl fld="0" item="0"/>
          <tpl fld="1" item="0"/>
          <tpl fld="4" item="14"/>
        </tpls>
      </n>
      <n v="1" in="0">
        <tpls c="3">
          <tpl fld="0" item="0"/>
          <tpl fld="1" item="337"/>
          <tpl fld="4" item="18"/>
        </tpls>
      </n>
      <m in="0">
        <tpls c="3">
          <tpl fld="0" item="0"/>
          <tpl fld="1" item="305"/>
          <tpl fld="4" item="18"/>
        </tpls>
      </m>
      <m in="0">
        <tpls c="3">
          <tpl fld="0" item="0"/>
          <tpl fld="1" item="345"/>
          <tpl fld="4" item="21"/>
        </tpls>
      </m>
      <n v="4" in="0">
        <tpls c="3">
          <tpl fld="0" item="0"/>
          <tpl fld="1" item="38"/>
          <tpl fld="4" item="21"/>
        </tpls>
      </n>
      <n v="29" in="0">
        <tpls c="3">
          <tpl fld="0" item="0"/>
          <tpl fld="1" item="280"/>
          <tpl fld="4" item="14"/>
        </tpls>
      </n>
      <n v="46" in="0">
        <tpls c="3">
          <tpl fld="0" item="0"/>
          <tpl fld="1" item="54"/>
          <tpl fld="4" item="14"/>
        </tpls>
      </n>
      <n v="9" in="0">
        <tpls c="3">
          <tpl fld="0" item="0"/>
          <tpl fld="1" item="77"/>
          <tpl fld="4" item="19"/>
        </tpls>
      </n>
      <n v="56" in="0">
        <tpls c="3">
          <tpl fld="0" item="0"/>
          <tpl fld="1" item="8"/>
          <tpl fld="4" item="13"/>
        </tpls>
      </n>
      <m in="0">
        <tpls c="3">
          <tpl fld="0" item="0"/>
          <tpl fld="1" item="429"/>
          <tpl fld="4" item="13"/>
        </tpls>
      </m>
      <m in="0">
        <tpls c="3">
          <tpl fld="0" item="0"/>
          <tpl fld="1" item="134"/>
          <tpl fld="4" item="19"/>
        </tpls>
      </m>
      <m in="0">
        <tpls c="3">
          <tpl fld="0" item="0"/>
          <tpl fld="1" item="332"/>
          <tpl fld="4" item="18"/>
        </tpls>
      </m>
      <n v="12" in="0">
        <tpls c="3">
          <tpl fld="0" item="0"/>
          <tpl fld="1" item="137"/>
          <tpl fld="4" item="14"/>
        </tpls>
      </n>
      <m in="0">
        <tpls c="3">
          <tpl fld="0" item="0"/>
          <tpl fld="1" item="425"/>
          <tpl fld="4" item="13"/>
        </tpls>
      </m>
      <n v="32" in="0">
        <tpls c="3">
          <tpl fld="0" item="0"/>
          <tpl fld="1" item="144"/>
          <tpl fld="4" item="16"/>
        </tpls>
      </n>
      <n v="119" in="0">
        <tpls c="3">
          <tpl fld="0" item="0"/>
          <tpl fld="1" item="430"/>
          <tpl fld="4" item="20"/>
        </tpls>
      </n>
      <m in="0">
        <tpls c="3">
          <tpl fld="0" item="0"/>
          <tpl fld="1" item="399"/>
          <tpl fld="4" item="13"/>
        </tpls>
      </m>
      <m in="0">
        <tpls c="3">
          <tpl fld="0" item="0"/>
          <tpl fld="1" item="440"/>
          <tpl fld="4" item="13"/>
        </tpls>
      </m>
      <m in="0">
        <tpls c="3">
          <tpl fld="0" item="0"/>
          <tpl fld="1" item="418"/>
          <tpl fld="4" item="13"/>
        </tpls>
      </m>
      <n v="3" in="0">
        <tpls c="3">
          <tpl fld="0" item="0"/>
          <tpl fld="1" item="296"/>
          <tpl fld="4" item="18"/>
        </tpls>
      </n>
      <n v="71" in="0">
        <tpls c="3">
          <tpl fld="0" item="0"/>
          <tpl fld="1" item="275"/>
          <tpl fld="4" item="20"/>
        </tpls>
      </n>
      <m in="0">
        <tpls c="3">
          <tpl fld="0" item="0"/>
          <tpl fld="1" item="59"/>
          <tpl fld="4" item="20"/>
        </tpls>
      </m>
      <m in="0">
        <tpls c="3">
          <tpl fld="0" item="0"/>
          <tpl fld="1" item="310"/>
          <tpl fld="4" item="6"/>
        </tpls>
      </m>
      <n v="3" in="0">
        <tpls c="3">
          <tpl fld="0" item="0"/>
          <tpl fld="1" item="138"/>
          <tpl fld="4" item="19"/>
        </tpls>
      </n>
      <m in="0">
        <tpls c="3">
          <tpl fld="0" item="0"/>
          <tpl fld="1" item="51"/>
          <tpl fld="4" item="19"/>
        </tpls>
      </m>
      <n v="1" in="0">
        <tpls c="3">
          <tpl fld="0" item="0"/>
          <tpl fld="1" item="403"/>
          <tpl fld="4" item="19"/>
        </tpls>
      </n>
      <n v="14" in="0">
        <tpls c="3">
          <tpl fld="0" item="0"/>
          <tpl fld="1" item="111"/>
          <tpl fld="4" item="19"/>
        </tpls>
      </n>
      <n v="11" in="0">
        <tpls c="3">
          <tpl fld="0" item="0"/>
          <tpl fld="1" item="162"/>
          <tpl fld="4" item="15"/>
        </tpls>
      </n>
      <m in="0">
        <tpls c="3">
          <tpl fld="0" item="0"/>
          <tpl fld="1" item="146"/>
          <tpl fld="4" item="15"/>
        </tpls>
      </m>
      <n v="160" in="0">
        <tpls c="3">
          <tpl fld="0" item="0"/>
          <tpl fld="1" item="233"/>
          <tpl fld="4" item="15"/>
        </tpls>
      </n>
      <m in="0">
        <tpls c="3">
          <tpl fld="0" item="0"/>
          <tpl fld="1" item="218"/>
          <tpl fld="4" item="13"/>
        </tpls>
      </m>
      <m in="0">
        <tpls c="3">
          <tpl fld="0" item="0"/>
          <tpl fld="1" item="406"/>
          <tpl fld="4" item="16"/>
        </tpls>
      </m>
      <m in="0">
        <tpls c="3">
          <tpl fld="0" item="0"/>
          <tpl fld="1" item="228"/>
          <tpl fld="4" item="16"/>
        </tpls>
      </m>
      <m in="0">
        <tpls c="3">
          <tpl fld="0" item="0"/>
          <tpl fld="1" item="226"/>
          <tpl fld="4" item="16"/>
        </tpls>
      </m>
      <m in="0">
        <tpls c="3">
          <tpl fld="0" item="0"/>
          <tpl fld="1" item="122"/>
          <tpl fld="4" item="16"/>
        </tpls>
      </m>
      <m in="0">
        <tpls c="3">
          <tpl fld="0" item="0"/>
          <tpl fld="1" item="416"/>
          <tpl fld="4" item="17"/>
        </tpls>
      </m>
      <m in="0">
        <tpls c="3">
          <tpl fld="0" item="0"/>
          <tpl fld="1" item="178"/>
          <tpl fld="4" item="17"/>
        </tpls>
      </m>
      <m in="0">
        <tpls c="3">
          <tpl fld="0" item="0"/>
          <tpl fld="1" item="298"/>
          <tpl fld="4" item="16"/>
        </tpls>
      </m>
      <m in="0">
        <tpls c="3">
          <tpl fld="0" item="0"/>
          <tpl fld="1" item="152"/>
          <tpl fld="4" item="19"/>
        </tpls>
      </m>
      <n v="45" in="0">
        <tpls c="3">
          <tpl fld="0" item="0"/>
          <tpl fld="1" item="347"/>
          <tpl fld="4" item="17"/>
        </tpls>
      </n>
      <n v="732" in="0">
        <tpls c="3">
          <tpl fld="0" item="0"/>
          <tpl fld="1" item="99"/>
          <tpl fld="4" item="20"/>
        </tpls>
      </n>
      <n v="26" in="0">
        <tpls c="3">
          <tpl fld="0" item="0"/>
          <tpl fld="1" item="288"/>
          <tpl fld="4" item="16"/>
        </tpls>
      </n>
      <n v="1" in="0">
        <tpls c="3">
          <tpl fld="0" item="0"/>
          <tpl fld="1" item="366"/>
          <tpl fld="4" item="18"/>
        </tpls>
      </n>
      <m in="0">
        <tpls c="3">
          <tpl fld="0" item="0"/>
          <tpl fld="1" item="352"/>
          <tpl fld="4" item="16"/>
        </tpls>
      </m>
      <n v="7" in="0">
        <tpls c="3">
          <tpl fld="0" item="0"/>
          <tpl fld="1" item="427"/>
          <tpl fld="4" item="17"/>
        </tpls>
      </n>
      <m in="0">
        <tpls c="3">
          <tpl fld="0" item="0"/>
          <tpl fld="1" item="229"/>
          <tpl fld="4" item="17"/>
        </tpls>
      </m>
      <m in="0">
        <tpls c="3">
          <tpl fld="0" item="0"/>
          <tpl fld="1" item="134"/>
          <tpl fld="4" item="17"/>
        </tpls>
      </m>
      <m in="0">
        <tpls c="3">
          <tpl fld="0" item="0"/>
          <tpl fld="1" item="389"/>
          <tpl fld="4" item="13"/>
        </tpls>
      </m>
      <m in="0">
        <tpls c="3">
          <tpl fld="0" item="0"/>
          <tpl fld="1" item="144"/>
          <tpl fld="4" item="5"/>
        </tpls>
      </m>
      <n v="14" in="0">
        <tpls c="3">
          <tpl fld="0" item="0"/>
          <tpl fld="1" item="99"/>
          <tpl fld="4" item="21"/>
        </tpls>
      </n>
      <m in="0">
        <tpls c="3">
          <tpl fld="0" item="0"/>
          <tpl fld="1" item="232"/>
          <tpl fld="4" item="21"/>
        </tpls>
      </m>
      <m in="0">
        <tpls c="3">
          <tpl fld="0" item="0"/>
          <tpl fld="1" item="142"/>
          <tpl fld="4" item="21"/>
        </tpls>
      </m>
      <n v="24" in="0">
        <tpls c="3">
          <tpl fld="0" item="0"/>
          <tpl fld="1" item="68"/>
          <tpl fld="4" item="13"/>
        </tpls>
      </n>
      <m in="0">
        <tpls c="3">
          <tpl fld="0" item="0"/>
          <tpl fld="1" item="325"/>
          <tpl fld="4" item="13"/>
        </tpls>
      </m>
      <n v="36" in="0">
        <tpls c="3">
          <tpl fld="0" item="0"/>
          <tpl fld="1" item="140"/>
          <tpl fld="4" item="13"/>
        </tpls>
      </n>
      <n v="2" in="0">
        <tpls c="3">
          <tpl fld="0" item="0"/>
          <tpl fld="1" item="454"/>
          <tpl fld="4" item="13"/>
        </tpls>
      </n>
      <m in="0">
        <tpls c="3">
          <tpl fld="0" item="0"/>
          <tpl fld="1" item="369"/>
          <tpl fld="4" item="18"/>
        </tpls>
      </m>
      <n v="223" in="0">
        <tpls c="3">
          <tpl fld="0" item="0"/>
          <tpl fld="1" item="279"/>
          <tpl fld="4" item="20"/>
        </tpls>
      </n>
      <m in="0">
        <tpls c="3">
          <tpl fld="0" item="0"/>
          <tpl fld="1" item="155"/>
          <tpl fld="4" item="1"/>
        </tpls>
      </m>
      <m in="0">
        <tpls c="3">
          <tpl fld="0" item="0"/>
          <tpl fld="1" item="306"/>
          <tpl fld="4" item="18"/>
        </tpls>
      </m>
      <n v="34" in="0">
        <tpls c="3">
          <tpl fld="0" item="0"/>
          <tpl fld="1" item="47"/>
          <tpl fld="4" item="19"/>
        </tpls>
      </n>
      <m in="0">
        <tpls c="3">
          <tpl fld="0" item="0"/>
          <tpl fld="1" item="78"/>
          <tpl fld="4" item="21"/>
        </tpls>
      </m>
      <m in="0">
        <tpls c="3">
          <tpl fld="0" item="0"/>
          <tpl fld="1" item="190"/>
          <tpl fld="4" item="17"/>
        </tpls>
      </m>
      <m in="0">
        <tpls c="3">
          <tpl fld="0" item="0"/>
          <tpl fld="1" item="91"/>
          <tpl fld="4" item="13"/>
        </tpls>
      </m>
      <m in="0">
        <tpls c="3">
          <tpl fld="0" item="0"/>
          <tpl fld="1" item="6"/>
          <tpl fld="4" item="19"/>
        </tpls>
      </m>
      <m in="0">
        <tpls c="3">
          <tpl fld="0" item="0"/>
          <tpl fld="1" item="73"/>
          <tpl fld="4" item="13"/>
        </tpls>
      </m>
      <n v="3" in="0">
        <tpls c="3">
          <tpl fld="0" item="0"/>
          <tpl fld="1" item="50"/>
          <tpl fld="4" item="20"/>
        </tpls>
      </n>
      <n v="13" in="0">
        <tpls c="3">
          <tpl fld="0" item="0"/>
          <tpl fld="1" item="180"/>
          <tpl fld="4" item="20"/>
        </tpls>
      </n>
      <n v="5" in="0">
        <tpls c="3">
          <tpl fld="0" item="0"/>
          <tpl fld="1" item="35"/>
          <tpl fld="4" item="20"/>
        </tpls>
      </n>
      <m in="0">
        <tpls c="3">
          <tpl fld="0" item="0"/>
          <tpl fld="1" item="432"/>
          <tpl fld="4" item="12"/>
        </tpls>
      </m>
      <m in="0">
        <tpls c="3">
          <tpl fld="0" item="0"/>
          <tpl fld="1" item="425"/>
          <tpl fld="4" item="19"/>
        </tpls>
      </m>
      <m in="0">
        <tpls c="3">
          <tpl fld="0" item="0"/>
          <tpl fld="1" item="143"/>
          <tpl fld="4" item="16"/>
        </tpls>
      </m>
      <m in="0">
        <tpls c="3">
          <tpl fld="0" item="0"/>
          <tpl fld="1" item="321"/>
          <tpl fld="4" item="19"/>
        </tpls>
      </m>
      <n v="1" in="0">
        <tpls c="3">
          <tpl fld="0" item="0"/>
          <tpl fld="1" item="213"/>
          <tpl fld="4" item="15"/>
        </tpls>
      </n>
      <m in="0">
        <tpls c="3">
          <tpl fld="0" item="0"/>
          <tpl fld="1" item="340"/>
          <tpl fld="4" item="15"/>
        </tpls>
      </m>
      <m in="0">
        <tpls c="3">
          <tpl fld="0" item="0"/>
          <tpl fld="1" item="270"/>
          <tpl fld="4" item="15"/>
        </tpls>
      </m>
      <m in="0">
        <tpls c="3">
          <tpl fld="0" item="0"/>
          <tpl fld="1" item="238"/>
          <tpl fld="4" item="16"/>
        </tpls>
      </m>
      <m in="0">
        <tpls c="3">
          <tpl fld="0" item="0"/>
          <tpl fld="1" item="431"/>
          <tpl fld="4" item="18"/>
        </tpls>
      </m>
      <m in="0">
        <tpls c="3">
          <tpl fld="0" item="0"/>
          <tpl fld="1" item="147"/>
          <tpl fld="4" item="16"/>
        </tpls>
      </m>
      <m in="0">
        <tpls c="3">
          <tpl fld="0" item="0"/>
          <tpl fld="1" item="345"/>
          <tpl fld="4" item="17"/>
        </tpls>
      </m>
      <n v="26" in="0">
        <tpls c="3">
          <tpl fld="0" item="0"/>
          <tpl fld="1" item="32"/>
          <tpl fld="4" item="17"/>
        </tpls>
      </n>
      <m in="0">
        <tpls c="3">
          <tpl fld="0" item="0"/>
          <tpl fld="1" item="26"/>
          <tpl fld="4" item="17"/>
        </tpls>
      </m>
      <n v="16" in="0">
        <tpls c="3">
          <tpl fld="0" item="0"/>
          <tpl fld="1" item="325"/>
          <tpl fld="4" item="14"/>
        </tpls>
      </n>
      <n v="8" in="0">
        <tpls c="3">
          <tpl fld="0" item="0"/>
          <tpl fld="1" item="20"/>
          <tpl fld="4" item="16"/>
        </tpls>
      </n>
      <m in="0">
        <tpls c="3">
          <tpl fld="0" item="0"/>
          <tpl fld="1" item="130"/>
          <tpl fld="4" item="19"/>
        </tpls>
      </m>
      <m in="0">
        <tpls c="3">
          <tpl fld="0" item="0"/>
          <tpl fld="1" item="143"/>
          <tpl fld="4" item="13"/>
        </tpls>
      </m>
      <n v="2" in="0">
        <tpls c="3">
          <tpl fld="0" item="0"/>
          <tpl fld="1" item="360"/>
          <tpl fld="4" item="16"/>
        </tpls>
      </n>
      <m in="0">
        <tpls c="3">
          <tpl fld="0" item="0"/>
          <tpl fld="1" item="70"/>
          <tpl fld="4" item="20"/>
        </tpls>
      </m>
      <n v="57" in="0">
        <tpls c="3">
          <tpl fld="0" item="0"/>
          <tpl fld="1" item="175"/>
          <tpl fld="4" item="13"/>
        </tpls>
      </n>
      <n v="1" in="0">
        <tpls c="3">
          <tpl fld="0" item="0"/>
          <tpl fld="1" item="165"/>
          <tpl fld="4" item="13"/>
        </tpls>
      </n>
      <m in="0">
        <tpls c="3">
          <tpl fld="0" item="0"/>
          <tpl fld="1" item="2"/>
          <tpl fld="4" item="16"/>
        </tpls>
      </m>
      <n v="6" in="0">
        <tpls c="3">
          <tpl fld="0" item="0"/>
          <tpl fld="1" item="313"/>
          <tpl fld="4" item="18"/>
        </tpls>
      </n>
      <m in="0">
        <tpls c="3">
          <tpl fld="0" item="0"/>
          <tpl fld="1" item="448"/>
          <tpl fld="4" item="16"/>
        </tpls>
      </m>
      <m in="0">
        <tpls c="3">
          <tpl fld="0" item="0"/>
          <tpl fld="1" item="428"/>
          <tpl fld="4" item="15"/>
        </tpls>
      </m>
      <n v="760" in="0">
        <tpls c="3">
          <tpl fld="0" item="0"/>
          <tpl fld="1" item="324"/>
          <tpl fld="4" item="15"/>
        </tpls>
      </n>
      <n v="23" in="0">
        <tpls c="3">
          <tpl fld="0" item="0"/>
          <tpl fld="1" item="325"/>
          <tpl fld="4" item="15"/>
        </tpls>
      </n>
      <n v="117" in="0">
        <tpls c="3">
          <tpl fld="0" item="0"/>
          <tpl fld="1" item="149"/>
          <tpl fld="4" item="14"/>
        </tpls>
      </n>
      <m in="0">
        <tpls c="3">
          <tpl fld="0" item="0"/>
          <tpl fld="1" item="411"/>
          <tpl fld="4" item="18"/>
        </tpls>
      </m>
      <n v="112" in="0">
        <tpls c="3">
          <tpl fld="0" item="0"/>
          <tpl fld="1" item="411"/>
          <tpl fld="4" item="20"/>
        </tpls>
      </n>
      <m in="0">
        <tpls c="3">
          <tpl fld="0" item="0"/>
          <tpl fld="1" item="231"/>
          <tpl fld="4" item="18"/>
        </tpls>
      </m>
      <m in="0">
        <tpls c="3">
          <tpl fld="0" item="0"/>
          <tpl fld="1" item="22"/>
          <tpl fld="4" item="17"/>
        </tpls>
      </m>
      <m in="0">
        <tpls c="3">
          <tpl fld="0" item="0"/>
          <tpl fld="1" item="193"/>
          <tpl fld="4" item="17"/>
        </tpls>
      </m>
      <n v="5" in="0">
        <tpls c="3">
          <tpl fld="0" item="0"/>
          <tpl fld="1" item="214"/>
          <tpl fld="4" item="17"/>
        </tpls>
      </n>
      <m in="0">
        <tpls c="3">
          <tpl fld="0" item="0"/>
          <tpl fld="1" item="190"/>
          <tpl fld="4" item="14"/>
        </tpls>
      </m>
      <n v="34" in="0">
        <tpls c="3">
          <tpl fld="0" item="0"/>
          <tpl fld="1" item="184"/>
          <tpl fld="4" item="14"/>
        </tpls>
      </n>
      <m in="0">
        <tpls c="3">
          <tpl fld="0" item="0"/>
          <tpl fld="1" item="216"/>
          <tpl fld="4" item="21"/>
        </tpls>
      </m>
      <n v="1" in="0">
        <tpls c="3">
          <tpl fld="0" item="0"/>
          <tpl fld="1" item="314"/>
          <tpl fld="4" item="21"/>
        </tpls>
      </n>
      <n v="7" in="0">
        <tpls c="3">
          <tpl fld="0" item="0"/>
          <tpl fld="1" item="424"/>
          <tpl fld="4" item="21"/>
        </tpls>
      </n>
      <n v="43" in="1">
        <tpls c="3">
          <tpl fld="0" item="0"/>
          <tpl fld="1" item="129"/>
          <tpl fld="4" item="7"/>
        </tpls>
      </n>
      <m in="0">
        <tpls c="3">
          <tpl fld="0" item="0"/>
          <tpl fld="1" item="19"/>
          <tpl fld="4" item="14"/>
        </tpls>
      </m>
      <m in="0">
        <tpls c="3">
          <tpl fld="0" item="0"/>
          <tpl fld="1" item="391"/>
          <tpl fld="4" item="18"/>
        </tpls>
      </m>
      <n v="6" in="0">
        <tpls c="3">
          <tpl fld="0" item="0"/>
          <tpl fld="1" item="49"/>
          <tpl fld="4" item="19"/>
        </tpls>
      </n>
      <m in="0">
        <tpls c="3">
          <tpl fld="0" item="0"/>
          <tpl fld="1" item="128"/>
          <tpl fld="4" item="19"/>
        </tpls>
      </m>
      <n v="127" in="0">
        <tpls c="3">
          <tpl fld="0" item="0"/>
          <tpl fld="1" item="103"/>
          <tpl fld="4" item="14"/>
        </tpls>
      </n>
      <m in="0">
        <tpls c="3">
          <tpl fld="0" item="0"/>
          <tpl fld="1" item="353"/>
          <tpl fld="4" item="13"/>
        </tpls>
      </m>
      <n v="1" in="0">
        <tpls c="3">
          <tpl fld="0" item="0"/>
          <tpl fld="1" item="3"/>
          <tpl fld="4" item="13"/>
        </tpls>
      </n>
      <m in="0">
        <tpls c="3">
          <tpl fld="0" item="0"/>
          <tpl fld="1" item="408"/>
          <tpl fld="4" item="14"/>
        </tpls>
      </m>
      <n v="1" in="0">
        <tpls c="3">
          <tpl fld="0" item="0"/>
          <tpl fld="1" item="56"/>
          <tpl fld="4" item="13"/>
        </tpls>
      </n>
      <m in="0">
        <tpls c="3">
          <tpl fld="0" item="0"/>
          <tpl fld="1" item="373"/>
          <tpl fld="4" item="19"/>
        </tpls>
      </m>
      <m in="0">
        <tpls c="3">
          <tpl fld="0" item="0"/>
          <tpl fld="1" item="131"/>
          <tpl fld="4" item="16"/>
        </tpls>
      </m>
      <m in="0">
        <tpls c="3">
          <tpl fld="0" item="0"/>
          <tpl fld="1" item="152"/>
          <tpl fld="4" item="11"/>
        </tpls>
      </m>
      <n v="26" in="0">
        <tpls c="3">
          <tpl fld="0" item="0"/>
          <tpl fld="1" item="447"/>
          <tpl fld="4" item="13"/>
        </tpls>
      </n>
      <n v="27" in="0">
        <tpls c="3">
          <tpl fld="0" item="0"/>
          <tpl fld="1" item="288"/>
          <tpl fld="4" item="19"/>
        </tpls>
      </n>
      <m in="0">
        <tpls c="3">
          <tpl fld="0" item="0"/>
          <tpl fld="1" item="371"/>
          <tpl fld="4" item="19"/>
        </tpls>
      </m>
      <m in="0">
        <tpls c="3">
          <tpl fld="0" item="0"/>
          <tpl fld="1" item="411"/>
          <tpl fld="4" item="19"/>
        </tpls>
      </m>
      <n v="10" in="0">
        <tpls c="3">
          <tpl fld="0" item="0"/>
          <tpl fld="1" item="195"/>
          <tpl fld="4" item="20"/>
        </tpls>
      </n>
      <n v="17" in="0">
        <tpls c="3">
          <tpl fld="0" item="0"/>
          <tpl fld="1" item="274"/>
          <tpl fld="4" item="20"/>
        </tpls>
      </n>
      <n v="513" in="0">
        <tpls c="3">
          <tpl fld="0" item="0"/>
          <tpl fld="1" item="333"/>
          <tpl fld="4" item="20"/>
        </tpls>
      </n>
      <m in="0">
        <tpls c="3">
          <tpl fld="0" item="0"/>
          <tpl fld="1" item="440"/>
          <tpl fld="4" item="19"/>
        </tpls>
      </m>
      <n v="17" in="0">
        <tpls c="3">
          <tpl fld="0" item="0"/>
          <tpl fld="1" item="351"/>
          <tpl fld="4" item="16"/>
        </tpls>
      </n>
      <m in="0">
        <tpls c="3">
          <tpl fld="0" item="0"/>
          <tpl fld="1" item="374"/>
          <tpl fld="4" item="16"/>
        </tpls>
      </m>
      <m in="0">
        <tpls c="3">
          <tpl fld="0" item="0"/>
          <tpl fld="1" item="60"/>
          <tpl fld="4" item="16"/>
        </tpls>
      </m>
      <n v="254" in="0">
        <tpls c="3">
          <tpl fld="0" item="0"/>
          <tpl fld="1" item="45"/>
          <tpl fld="4" item="15"/>
        </tpls>
      </n>
      <m in="0">
        <tpls c="3">
          <tpl fld="0" item="0"/>
          <tpl fld="1" item="221"/>
          <tpl fld="4" item="15"/>
        </tpls>
      </m>
      <n v="70" in="0">
        <tpls c="3">
          <tpl fld="0" item="0"/>
          <tpl fld="1" item="305"/>
          <tpl fld="4" item="15"/>
        </tpls>
      </n>
      <m in="0">
        <tpls c="3">
          <tpl fld="0" item="0"/>
          <tpl fld="1" item="223"/>
          <tpl fld="4" item="8"/>
        </tpls>
      </m>
      <n v="2" in="0">
        <tpls c="3">
          <tpl fld="0" item="0"/>
          <tpl fld="1" item="106"/>
          <tpl fld="4" item="13"/>
        </tpls>
      </n>
      <n v="27" in="0">
        <tpls c="3">
          <tpl fld="0" item="0"/>
          <tpl fld="1" item="139"/>
          <tpl fld="4" item="19"/>
        </tpls>
      </n>
      <n v="76" in="0">
        <tpls c="3">
          <tpl fld="0" item="0"/>
          <tpl fld="1" item="386"/>
          <tpl fld="4" item="10"/>
        </tpls>
      </n>
      <m in="0">
        <tpls c="3">
          <tpl fld="0" item="0"/>
          <tpl fld="1" item="14"/>
          <tpl fld="4" item="12"/>
        </tpls>
      </m>
      <m in="0">
        <tpls c="3">
          <tpl fld="0" item="0"/>
          <tpl fld="1" item="112"/>
          <tpl fld="4" item="12"/>
        </tpls>
      </m>
      <n v="53" in="0">
        <tpls c="3">
          <tpl fld="0" item="0"/>
          <tpl fld="1" item="85"/>
          <tpl fld="4" item="13"/>
        </tpls>
      </n>
      <m in="0">
        <tpls c="3">
          <tpl fld="0" item="0"/>
          <tpl fld="1" item="411"/>
          <tpl fld="4" item="6"/>
        </tpls>
      </m>
      <m in="0">
        <tpls c="3">
          <tpl fld="0" item="0"/>
          <tpl fld="1" item="22"/>
          <tpl fld="4" item="14"/>
        </tpls>
      </m>
      <m in="0">
        <tpls c="3">
          <tpl fld="0" item="0"/>
          <tpl fld="1" item="218"/>
          <tpl fld="4" item="14"/>
        </tpls>
      </m>
      <m in="0">
        <tpls c="3">
          <tpl fld="0" item="0"/>
          <tpl fld="1" item="293"/>
          <tpl fld="4" item="14"/>
        </tpls>
      </m>
      <m in="0">
        <tpls c="3">
          <tpl fld="0" item="0"/>
          <tpl fld="1" item="35"/>
          <tpl fld="4" item="14"/>
        </tpls>
      </m>
      <m in="0">
        <tpls c="3">
          <tpl fld="0" item="0"/>
          <tpl fld="1" item="371"/>
          <tpl fld="4" item="16"/>
        </tpls>
      </m>
      <n v="55" in="0">
        <tpls c="3">
          <tpl fld="0" item="0"/>
          <tpl fld="1" item="380"/>
          <tpl fld="4" item="19"/>
        </tpls>
      </n>
      <m in="0">
        <tpls c="3">
          <tpl fld="0" item="0"/>
          <tpl fld="1" item="434"/>
          <tpl fld="4" item="18"/>
        </tpls>
      </m>
      <n v="38" in="0">
        <tpls c="3">
          <tpl fld="0" item="0"/>
          <tpl fld="1" item="263"/>
          <tpl fld="4" item="14"/>
        </tpls>
      </n>
      <n v="38" in="0">
        <tpls c="3">
          <tpl fld="0" item="0"/>
          <tpl fld="1" item="140"/>
          <tpl fld="4" item="19"/>
        </tpls>
      </n>
      <n v="2" in="0">
        <tpls c="3">
          <tpl fld="0" item="0"/>
          <tpl fld="1" item="214"/>
          <tpl fld="4" item="19"/>
        </tpls>
      </n>
      <m in="0">
        <tpls c="3">
          <tpl fld="0" item="0"/>
          <tpl fld="1" item="97"/>
          <tpl fld="4" item="6"/>
        </tpls>
      </m>
      <m in="0">
        <tpls c="3">
          <tpl fld="0" item="0"/>
          <tpl fld="1" item="12"/>
          <tpl fld="4" item="19"/>
        </tpls>
      </m>
      <n v="6" in="0">
        <tpls c="3">
          <tpl fld="0" item="0"/>
          <tpl fld="1" item="305"/>
          <tpl fld="4" item="13"/>
        </tpls>
      </n>
      <m in="0">
        <tpls c="3">
          <tpl fld="0" item="0"/>
          <tpl fld="1" item="17"/>
          <tpl fld="4" item="18"/>
        </tpls>
      </m>
      <m in="0">
        <tpls c="3">
          <tpl fld="0" item="0"/>
          <tpl fld="1" item="376"/>
          <tpl fld="4" item="15"/>
        </tpls>
      </m>
      <n v="1" in="0">
        <tpls c="3">
          <tpl fld="0" item="0"/>
          <tpl fld="1" item="329"/>
          <tpl fld="4" item="13"/>
        </tpls>
      </n>
      <n v="1" in="0">
        <tpls c="3">
          <tpl fld="0" item="0"/>
          <tpl fld="1" item="155"/>
          <tpl fld="4" item="19"/>
        </tpls>
      </n>
      <n v="1" in="0">
        <tpls c="3">
          <tpl fld="0" item="0"/>
          <tpl fld="1" item="75"/>
          <tpl fld="4" item="19"/>
        </tpls>
      </n>
      <m in="0">
        <tpls c="3">
          <tpl fld="0" item="0"/>
          <tpl fld="1" item="404"/>
          <tpl fld="4" item="19"/>
        </tpls>
      </m>
      <m in="0">
        <tpls c="3">
          <tpl fld="0" item="0"/>
          <tpl fld="1" item="176"/>
          <tpl fld="4" item="20"/>
        </tpls>
      </m>
      <n v="10" in="0">
        <tpls c="3">
          <tpl fld="0" item="0"/>
          <tpl fld="1" item="108"/>
          <tpl fld="4" item="15"/>
        </tpls>
      </n>
      <n v="561" in="0">
        <tpls c="3">
          <tpl fld="0" item="0"/>
          <tpl fld="1" item="160"/>
          <tpl fld="4" item="15"/>
        </tpls>
      </n>
      <m in="0">
        <tpls c="3">
          <tpl fld="0" item="0"/>
          <tpl fld="1" item="76"/>
          <tpl fld="4" item="14"/>
        </tpls>
      </m>
      <m in="0">
        <tpls c="3">
          <tpl fld="0" item="0"/>
          <tpl fld="1" item="336"/>
          <tpl fld="4" item="16"/>
        </tpls>
      </m>
      <m in="0">
        <tpls c="3">
          <tpl fld="0" item="0"/>
          <tpl fld="1" item="346"/>
          <tpl fld="4" item="16"/>
        </tpls>
      </m>
      <m in="0">
        <tpls c="3">
          <tpl fld="0" item="0"/>
          <tpl fld="1" item="16"/>
          <tpl fld="4" item="16"/>
        </tpls>
      </m>
      <m in="0">
        <tpls c="3">
          <tpl fld="0" item="0"/>
          <tpl fld="1" item="383"/>
          <tpl fld="4" item="16"/>
        </tpls>
      </m>
      <n v="9" in="0">
        <tpls c="3">
          <tpl fld="0" item="0"/>
          <tpl fld="1" item="283"/>
          <tpl fld="4" item="15"/>
        </tpls>
      </n>
      <m in="0">
        <tpls c="3">
          <tpl fld="0" item="0"/>
          <tpl fld="1" item="37"/>
          <tpl fld="4" item="17"/>
        </tpls>
      </m>
      <m in="0">
        <tpls c="3">
          <tpl fld="0" item="0"/>
          <tpl fld="1" item="340"/>
          <tpl fld="4" item="18"/>
        </tpls>
      </m>
      <m in="0">
        <tpls c="3">
          <tpl fld="0" item="0"/>
          <tpl fld="1" item="175"/>
          <tpl fld="4" item="18"/>
        </tpls>
      </m>
      <n v="5" in="0">
        <tpls c="3">
          <tpl fld="0" item="0"/>
          <tpl fld="1" item="331"/>
          <tpl fld="4" item="18"/>
        </tpls>
      </n>
      <m in="0">
        <tpls c="3">
          <tpl fld="0" item="0"/>
          <tpl fld="1" item="304"/>
          <tpl fld="4" item="17"/>
        </tpls>
      </m>
      <m in="0">
        <tpls c="3">
          <tpl fld="0" item="0"/>
          <tpl fld="1" item="156"/>
          <tpl fld="4" item="21"/>
        </tpls>
      </m>
      <m in="0">
        <tpls c="3">
          <tpl fld="0" item="0"/>
          <tpl fld="1" item="326"/>
          <tpl fld="4" item="6"/>
        </tpls>
      </m>
      <m in="0">
        <tpls c="3">
          <tpl fld="0" item="0"/>
          <tpl fld="1" item="241"/>
          <tpl fld="4" item="19"/>
        </tpls>
      </m>
      <m in="0">
        <tpls c="3">
          <tpl fld="0" item="0"/>
          <tpl fld="1" item="195"/>
          <tpl fld="4" item="18"/>
        </tpls>
      </m>
      <m in="0">
        <tpls c="3">
          <tpl fld="0" item="0"/>
          <tpl fld="1" item="451"/>
          <tpl fld="4" item="15"/>
        </tpls>
      </m>
      <n v="62" in="0">
        <tpls c="3">
          <tpl fld="0" item="0"/>
          <tpl fld="1" item="305"/>
          <tpl fld="4" item="20"/>
        </tpls>
      </n>
      <m in="0">
        <tpls c="3">
          <tpl fld="0" item="0"/>
          <tpl fld="1" item="188"/>
          <tpl fld="4" item="1"/>
        </tpls>
      </m>
      <m in="0">
        <tpls c="3">
          <tpl fld="0" item="0"/>
          <tpl fld="1" item="179"/>
          <tpl fld="4" item="18"/>
        </tpls>
      </m>
      <m in="0">
        <tpls c="3">
          <tpl fld="0" item="0"/>
          <tpl fld="1" item="370"/>
          <tpl fld="4" item="13"/>
        </tpls>
      </m>
      <m in="0">
        <tpls c="3">
          <tpl fld="0" item="0"/>
          <tpl fld="1" item="118"/>
          <tpl fld="4" item="20"/>
        </tpls>
      </m>
      <m in="0">
        <tpls c="3">
          <tpl fld="0" item="0"/>
          <tpl fld="1" item="322"/>
          <tpl fld="4" item="18"/>
        </tpls>
      </m>
      <m in="0">
        <tpls c="3">
          <tpl fld="0" item="0"/>
          <tpl fld="1" item="133"/>
          <tpl fld="4" item="21"/>
        </tpls>
      </m>
      <n v="25" in="0">
        <tpls c="3">
          <tpl fld="0" item="0"/>
          <tpl fld="1" item="230"/>
          <tpl fld="4" item="21"/>
        </tpls>
      </n>
      <n v="2" in="0">
        <tpls c="3">
          <tpl fld="0" item="0"/>
          <tpl fld="1" item="206"/>
          <tpl fld="4" item="13"/>
        </tpls>
      </n>
      <m in="0">
        <tpls c="3">
          <tpl fld="0" item="0"/>
          <tpl fld="1" item="240"/>
          <tpl fld="4" item="13"/>
        </tpls>
      </m>
      <m in="0">
        <tpls c="3">
          <tpl fld="0" item="0"/>
          <tpl fld="1" item="294"/>
          <tpl fld="4" item="19"/>
        </tpls>
      </m>
      <m in="0">
        <tpls c="3">
          <tpl fld="0" item="0"/>
          <tpl fld="1" item="272"/>
          <tpl fld="4" item="13"/>
        </tpls>
      </m>
      <n v="4" in="0">
        <tpls c="3">
          <tpl fld="0" item="0"/>
          <tpl fld="1" item="444"/>
          <tpl fld="4" item="19"/>
        </tpls>
      </n>
      <m in="0">
        <tpls c="3">
          <tpl fld="0" item="0"/>
          <tpl fld="1" item="95"/>
          <tpl fld="4" item="16"/>
        </tpls>
      </m>
      <m in="0">
        <tpls c="3">
          <tpl fld="0" item="0"/>
          <tpl fld="1" item="55"/>
          <tpl fld="4" item="18"/>
        </tpls>
      </m>
      <n v="4" in="0">
        <tpls c="3">
          <tpl fld="0" item="0"/>
          <tpl fld="1" item="317"/>
          <tpl fld="4" item="19"/>
        </tpls>
      </n>
      <m in="0">
        <tpls c="3">
          <tpl fld="0" item="0"/>
          <tpl fld="1" item="198"/>
          <tpl fld="4" item="16"/>
        </tpls>
      </m>
      <n v="23" in="0">
        <tpls c="3">
          <tpl fld="0" item="0"/>
          <tpl fld="1" item="319"/>
          <tpl fld="4" item="19"/>
        </tpls>
      </n>
      <n v="272" in="0">
        <tpls c="3">
          <tpl fld="0" item="0"/>
          <tpl fld="1" item="140"/>
          <tpl fld="4" item="20"/>
        </tpls>
      </n>
      <n v="584" in="0">
        <tpls c="3">
          <tpl fld="0" item="0"/>
          <tpl fld="1" item="364"/>
          <tpl fld="4" item="20"/>
        </tpls>
      </n>
      <m in="0">
        <tpls c="3">
          <tpl fld="0" item="0"/>
          <tpl fld="1" item="248"/>
          <tpl fld="4" item="15"/>
        </tpls>
      </m>
      <n v="6" in="0">
        <tpls c="3">
          <tpl fld="0" item="0"/>
          <tpl fld="1" item="182"/>
          <tpl fld="4" item="16"/>
        </tpls>
      </n>
      <n v="8" in="0">
        <tpls c="3">
          <tpl fld="0" item="0"/>
          <tpl fld="1" item="52"/>
          <tpl fld="4" item="19"/>
        </tpls>
      </n>
      <m in="0">
        <tpls c="3">
          <tpl fld="0" item="0"/>
          <tpl fld="1" item="180"/>
          <tpl fld="4" item="18"/>
        </tpls>
      </m>
      <n v="83" in="0">
        <tpls c="3">
          <tpl fld="0" item="0"/>
          <tpl fld="1" item="343"/>
          <tpl fld="4" item="15"/>
        </tpls>
      </n>
      <n v="2" in="0">
        <tpls c="3">
          <tpl fld="0" item="0"/>
          <tpl fld="1" item="249"/>
          <tpl fld="4" item="19"/>
        </tpls>
      </n>
      <m in="0">
        <tpls c="3">
          <tpl fld="0" item="0"/>
          <tpl fld="1" item="236"/>
          <tpl fld="4" item="16"/>
        </tpls>
      </m>
      <m in="0">
        <tpls c="3">
          <tpl fld="0" item="0"/>
          <tpl fld="1" item="118"/>
          <tpl fld="4" item="16"/>
        </tpls>
      </m>
      <n v="41" in="0">
        <tpls c="3">
          <tpl fld="0" item="0"/>
          <tpl fld="1" item="424"/>
          <tpl fld="4" item="19"/>
        </tpls>
      </n>
      <m in="0">
        <tpls c="3">
          <tpl fld="0" item="0"/>
          <tpl fld="1" item="43"/>
          <tpl fld="4" item="15"/>
        </tpls>
      </m>
      <n v="74" in="0">
        <tpls c="3">
          <tpl fld="0" item="0"/>
          <tpl fld="1" item="194"/>
          <tpl fld="4" item="15"/>
        </tpls>
      </n>
      <n v="47" in="0">
        <tpls c="3">
          <tpl fld="0" item="0"/>
          <tpl fld="1" item="10"/>
          <tpl fld="4" item="15"/>
        </tpls>
      </n>
      <m in="0">
        <tpls c="3">
          <tpl fld="0" item="0"/>
          <tpl fld="1" item="308"/>
          <tpl fld="4" item="16"/>
        </tpls>
      </m>
      <m in="0">
        <tpls c="3">
          <tpl fld="0" item="0"/>
          <tpl fld="1" item="241"/>
          <tpl fld="4" item="18"/>
        </tpls>
      </m>
      <m in="0">
        <tpls c="3">
          <tpl fld="0" item="0"/>
          <tpl fld="1" item="316"/>
          <tpl fld="4" item="18"/>
        </tpls>
      </m>
      <m in="0">
        <tpls c="3">
          <tpl fld="0" item="0"/>
          <tpl fld="1" item="72"/>
          <tpl fld="4" item="16"/>
        </tpls>
      </m>
      <m in="0">
        <tpls c="3">
          <tpl fld="0" item="0"/>
          <tpl fld="1" item="116"/>
          <tpl fld="4" item="17"/>
        </tpls>
      </m>
      <m in="0">
        <tpls c="3">
          <tpl fld="0" item="0"/>
          <tpl fld="1" item="355"/>
          <tpl fld="4" item="17"/>
        </tpls>
      </m>
      <m in="0">
        <tpls c="3">
          <tpl fld="0" item="0"/>
          <tpl fld="1" item="437"/>
          <tpl fld="4" item="18"/>
        </tpls>
      </m>
      <n v="68" in="0">
        <tpls c="3">
          <tpl fld="0" item="0"/>
          <tpl fld="1" item="67"/>
          <tpl fld="4" item="13"/>
        </tpls>
      </n>
      <m in="0">
        <tpls c="3">
          <tpl fld="0" item="0"/>
          <tpl fld="1" item="203"/>
          <tpl fld="4" item="18"/>
        </tpls>
      </m>
      <m in="0">
        <tpls c="3">
          <tpl fld="0" item="0"/>
          <tpl fld="1" item="372"/>
          <tpl fld="4" item="18"/>
        </tpls>
      </m>
      <m in="0">
        <tpls c="3">
          <tpl fld="0" item="0"/>
          <tpl fld="1" item="370"/>
          <tpl fld="4" item="21"/>
        </tpls>
      </m>
      <m in="0">
        <tpls c="3">
          <tpl fld="0" item="0"/>
          <tpl fld="1" item="433"/>
          <tpl fld="4" item="21"/>
        </tpls>
      </m>
      <m in="0">
        <tpls c="3">
          <tpl fld="0" item="0"/>
          <tpl fld="1" item="353"/>
          <tpl fld="4" item="18"/>
        </tpls>
      </m>
      <n v="19" in="0">
        <tpls c="3">
          <tpl fld="0" item="0"/>
          <tpl fld="1" item="104"/>
          <tpl fld="4" item="19"/>
        </tpls>
      </n>
      <n v="1" in="0">
        <tpls c="3">
          <tpl fld="0" item="0"/>
          <tpl fld="1" item="16"/>
          <tpl fld="4" item="21"/>
        </tpls>
      </n>
      <m in="0">
        <tpls c="3">
          <tpl fld="0" item="0"/>
          <tpl fld="1" item="177"/>
          <tpl fld="4" item="8"/>
        </tpls>
      </m>
      <m in="0">
        <tpls c="3">
          <tpl fld="0" item="0"/>
          <tpl fld="1" item="303"/>
          <tpl fld="4" item="14"/>
        </tpls>
      </m>
      <n v="124" in="0">
        <tpls c="3">
          <tpl fld="0" item="0"/>
          <tpl fld="1" item="65"/>
          <tpl fld="4" item="14"/>
        </tpls>
      </n>
      <m in="0">
        <tpls c="3">
          <tpl fld="0" item="0"/>
          <tpl fld="1" item="439"/>
          <tpl fld="4" item="21"/>
        </tpls>
      </m>
      <n v="85" in="0">
        <tpls c="3">
          <tpl fld="0" item="0"/>
          <tpl fld="1" item="313"/>
          <tpl fld="4" item="21"/>
        </tpls>
      </n>
      <m in="0">
        <tpls c="3">
          <tpl fld="0" item="0"/>
          <tpl fld="1" item="431"/>
          <tpl fld="4" item="21"/>
        </tpls>
      </m>
      <n v="1" in="0">
        <tpls c="3">
          <tpl fld="0" item="0"/>
          <tpl fld="1" item="335"/>
          <tpl fld="4" item="13"/>
        </tpls>
      </n>
      <m in="0">
        <tpls c="3">
          <tpl fld="0" item="0"/>
          <tpl fld="1" item="253"/>
          <tpl fld="4" item="13"/>
        </tpls>
      </m>
      <m in="0">
        <tpls c="3">
          <tpl fld="0" item="0"/>
          <tpl fld="1" item="306"/>
          <tpl fld="4" item="13"/>
        </tpls>
      </m>
      <n v="5" in="0">
        <tpls c="3">
          <tpl fld="0" item="0"/>
          <tpl fld="1" item="4"/>
          <tpl fld="4" item="13"/>
        </tpls>
      </n>
      <m in="0">
        <tpls c="3">
          <tpl fld="0" item="0"/>
          <tpl fld="1" item="83"/>
          <tpl fld="4" item="18"/>
        </tpls>
      </m>
      <m in="0">
        <tpls c="3">
          <tpl fld="0" item="0"/>
          <tpl fld="1" item="237"/>
          <tpl fld="4" item="20"/>
        </tpls>
      </m>
      <m in="0">
        <tpls c="3">
          <tpl fld="0" item="0"/>
          <tpl fld="1" item="159"/>
          <tpl fld="4" item="20"/>
        </tpls>
      </m>
      <n v="41" in="0">
        <tpls c="3">
          <tpl fld="0" item="0"/>
          <tpl fld="1" item="381"/>
          <tpl fld="4" item="19"/>
        </tpls>
      </n>
      <m in="0">
        <tpls c="3">
          <tpl fld="0" item="0"/>
          <tpl fld="1" item="307"/>
          <tpl fld="4" item="19"/>
        </tpls>
      </m>
      <n v="25" in="0">
        <tpls c="3">
          <tpl fld="0" item="0"/>
          <tpl fld="1" item="447"/>
          <tpl fld="4" item="19"/>
        </tpls>
      </n>
      <m in="0">
        <tpls c="3">
          <tpl fld="0" item="0"/>
          <tpl fld="1" item="142"/>
          <tpl fld="4" item="19"/>
        </tpls>
      </m>
      <m in="0">
        <tpls c="3">
          <tpl fld="0" item="0"/>
          <tpl fld="1" item="46"/>
          <tpl fld="4" item="15"/>
        </tpls>
      </m>
      <n v="227" in="0">
        <tpls c="3">
          <tpl fld="0" item="0"/>
          <tpl fld="1" item="99"/>
          <tpl fld="4" item="15"/>
        </tpls>
      </n>
      <n v="10" in="0">
        <tpls c="3">
          <tpl fld="0" item="0"/>
          <tpl fld="1" item="415"/>
          <tpl fld="4" item="19"/>
        </tpls>
      </n>
      <n v="2" in="0">
        <tpls c="3">
          <tpl fld="0" item="0"/>
          <tpl fld="1" item="110"/>
          <tpl fld="4" item="13"/>
        </tpls>
      </n>
      <m in="0">
        <tpls c="3">
          <tpl fld="0" item="0"/>
          <tpl fld="1" item="173"/>
          <tpl fld="4" item="16"/>
        </tpls>
      </m>
      <m in="0">
        <tpls c="3">
          <tpl fld="0" item="0"/>
          <tpl fld="1" item="307"/>
          <tpl fld="4" item="20"/>
        </tpls>
      </m>
      <n v="28" in="0">
        <tpls c="3">
          <tpl fld="0" item="0"/>
          <tpl fld="1" item="394"/>
          <tpl fld="4" item="14"/>
        </tpls>
      </n>
      <m in="0">
        <tpls c="3">
          <tpl fld="0" item="0"/>
          <tpl fld="1" item="73"/>
          <tpl fld="4" item="19"/>
        </tpls>
      </m>
      <m in="0">
        <tpls c="3">
          <tpl fld="0" item="0"/>
          <tpl fld="1" item="53"/>
          <tpl fld="4" item="16"/>
        </tpls>
      </m>
      <m in="0">
        <tpls c="3">
          <tpl fld="0" item="0"/>
          <tpl fld="1" item="37"/>
          <tpl fld="4" item="19"/>
        </tpls>
      </m>
      <m in="0">
        <tpls c="3">
          <tpl fld="0" item="0"/>
          <tpl fld="1" item="158"/>
          <tpl fld="4" item="15"/>
        </tpls>
      </m>
      <n v="24" in="0">
        <tpls c="3">
          <tpl fld="0" item="0"/>
          <tpl fld="1" item="356"/>
          <tpl fld="4" item="15"/>
        </tpls>
      </n>
      <m in="0">
        <tpls c="3">
          <tpl fld="0" item="0"/>
          <tpl fld="1" item="349"/>
          <tpl fld="4" item="15"/>
        </tpls>
      </m>
      <n v="29" in="0">
        <tpls c="3">
          <tpl fld="0" item="0"/>
          <tpl fld="1" item="62"/>
          <tpl fld="4" item="14"/>
        </tpls>
      </n>
      <m in="0">
        <tpls c="3">
          <tpl fld="0" item="0"/>
          <tpl fld="1" item="74"/>
          <tpl fld="4" item="16"/>
        </tpls>
      </m>
      <n v="1" in="0">
        <tpls c="3">
          <tpl fld="0" item="0"/>
          <tpl fld="1" item="359"/>
          <tpl fld="4" item="18"/>
        </tpls>
      </n>
      <m in="0">
        <tpls c="3">
          <tpl fld="0" item="0"/>
          <tpl fld="1" item="405"/>
          <tpl fld="4" item="16"/>
        </tpls>
      </m>
      <m in="0">
        <tpls c="3">
          <tpl fld="0" item="0"/>
          <tpl fld="1" item="146"/>
          <tpl fld="4" item="17"/>
        </tpls>
      </m>
      <m in="0">
        <tpls c="3">
          <tpl fld="0" item="0"/>
          <tpl fld="1" item="17"/>
          <tpl fld="4" item="17"/>
        </tpls>
      </m>
      <m in="0">
        <tpls c="3">
          <tpl fld="0" item="0"/>
          <tpl fld="1" item="169"/>
          <tpl fld="4" item="17"/>
        </tpls>
      </m>
      <m in="0">
        <tpls c="3">
          <tpl fld="0" item="0"/>
          <tpl fld="1" item="363"/>
          <tpl fld="4" item="13"/>
        </tpls>
      </m>
      <m in="0">
        <tpls c="3">
          <tpl fld="0" item="0"/>
          <tpl fld="1" item="93"/>
          <tpl fld="4" item="14"/>
        </tpls>
      </m>
      <n v="6" in="0">
        <tpls c="3">
          <tpl fld="0" item="0"/>
          <tpl fld="1" item="380"/>
          <tpl fld="4" item="1"/>
        </tpls>
      </n>
      <n v="2" in="0">
        <tpls c="3">
          <tpl fld="0" item="0"/>
          <tpl fld="1" item="267"/>
          <tpl fld="4" item="21"/>
        </tpls>
      </n>
      <m in="0">
        <tpls c="3">
          <tpl fld="0" item="0"/>
          <tpl fld="1" item="59"/>
          <tpl fld="4" item="21"/>
        </tpls>
      </m>
      <m in="0">
        <tpls c="3">
          <tpl fld="0" item="0"/>
          <tpl fld="1" item="222"/>
          <tpl fld="4" item="21"/>
        </tpls>
      </m>
      <m in="0">
        <tpls c="3">
          <tpl fld="0" item="0"/>
          <tpl fld="1" item="438"/>
          <tpl fld="4" item="5"/>
        </tpls>
      </m>
      <n v="2" in="0">
        <tpls c="3">
          <tpl fld="0" item="0"/>
          <tpl fld="1" item="312"/>
          <tpl fld="4" item="9"/>
        </tpls>
      </n>
      <n v="169" in="0">
        <tpls c="3">
          <tpl fld="0" item="0"/>
          <tpl fld="1" item="400"/>
          <tpl fld="4" item="14"/>
        </tpls>
      </n>
      <n v="17" in="0">
        <tpls c="3">
          <tpl fld="0" item="0"/>
          <tpl fld="1" item="114"/>
          <tpl fld="4" item="16"/>
        </tpls>
      </n>
      <m in="0">
        <tpls c="3">
          <tpl fld="0" item="0"/>
          <tpl fld="1" item="361"/>
          <tpl fld="4" item="16"/>
        </tpls>
      </m>
      <m in="0">
        <tpls c="3">
          <tpl fld="0" item="0"/>
          <tpl fld="1" item="416"/>
          <tpl fld="4" item="14"/>
        </tpls>
      </m>
      <n v="9" in="0">
        <tpls c="3">
          <tpl fld="0" item="0"/>
          <tpl fld="1" item="442"/>
          <tpl fld="4" item="17"/>
        </tpls>
      </n>
      <m in="0">
        <tpls c="3">
          <tpl fld="0" item="0"/>
          <tpl fld="1" item="163"/>
          <tpl fld="4" item="18"/>
        </tpls>
      </m>
      <m in="0">
        <tpls c="3">
          <tpl fld="0" item="0"/>
          <tpl fld="1" item="248"/>
          <tpl fld="4" item="20"/>
        </tpls>
      </m>
      <m in="0">
        <tpls c="3">
          <tpl fld="0" item="0"/>
          <tpl fld="1" item="198"/>
          <tpl fld="4" item="18"/>
        </tpls>
      </m>
      <n v="1" in="0">
        <tpls c="3">
          <tpl fld="0" item="0"/>
          <tpl fld="1" item="84"/>
          <tpl fld="4" item="17"/>
        </tpls>
      </n>
      <m in="0">
        <tpls c="3">
          <tpl fld="0" item="0"/>
          <tpl fld="1" item="316"/>
          <tpl fld="4" item="17"/>
        </tpls>
      </m>
      <n v="3" in="0">
        <tpls c="3">
          <tpl fld="0" item="0"/>
          <tpl fld="1" item="325"/>
          <tpl fld="4" item="17"/>
        </tpls>
      </n>
      <m in="0">
        <tpls c="3">
          <tpl fld="0" item="0"/>
          <tpl fld="1" item="77"/>
          <tpl fld="4" item="13"/>
        </tpls>
      </m>
      <n v="55" in="0">
        <tpls c="3">
          <tpl fld="0" item="0"/>
          <tpl fld="1" item="431"/>
          <tpl fld="4" item="14"/>
        </tpls>
      </n>
      <m in="0">
        <tpls c="3">
          <tpl fld="0" item="0"/>
          <tpl fld="1" item="278"/>
          <tpl fld="4" item="5"/>
        </tpls>
      </m>
      <m in="0">
        <tpls c="3">
          <tpl fld="0" item="0"/>
          <tpl fld="1" item="276"/>
          <tpl fld="4" item="21"/>
        </tpls>
      </m>
      <n v="42" in="0">
        <tpls c="3">
          <tpl fld="0" item="0"/>
          <tpl fld="1" item="296"/>
          <tpl fld="4" item="14"/>
        </tpls>
      </n>
      <n v="4" in="0">
        <tpls c="3">
          <tpl fld="0" item="0"/>
          <tpl fld="1" item="201"/>
          <tpl fld="4" item="13"/>
        </tpls>
      </n>
      <m in="0">
        <tpls c="3">
          <tpl fld="0" item="0"/>
          <tpl fld="1" item="236"/>
          <tpl fld="4" item="19"/>
        </tpls>
      </m>
      <m in="0">
        <tpls c="3">
          <tpl fld="0" item="0"/>
          <tpl fld="1" item="118"/>
          <tpl fld="4" item="19"/>
        </tpls>
      </m>
      <m in="0">
        <tpls c="3">
          <tpl fld="0" item="0"/>
          <tpl fld="1" item="15"/>
          <tpl fld="4" item="13"/>
        </tpls>
      </m>
      <m in="0">
        <tpls c="3">
          <tpl fld="0" item="0"/>
          <tpl fld="1" item="374"/>
          <tpl fld="4" item="20"/>
        </tpls>
      </m>
      <n v="10" in="0">
        <tpls c="3">
          <tpl fld="0" item="0"/>
          <tpl fld="1" item="284"/>
          <tpl fld="4" item="20"/>
        </tpls>
      </n>
      <m in="0">
        <tpls c="3">
          <tpl fld="0" item="0"/>
          <tpl fld="1" item="263"/>
          <tpl fld="4" item="20"/>
        </tpls>
      </m>
      <m in="0">
        <tpls c="3">
          <tpl fld="0" item="0"/>
          <tpl fld="1" item="346"/>
          <tpl fld="4" item="13"/>
        </tpls>
      </m>
      <n v="1" in="0">
        <tpls c="3">
          <tpl fld="0" item="0"/>
          <tpl fld="1" item="10"/>
          <tpl fld="4" item="19"/>
        </tpls>
      </n>
      <n v="2" in="0">
        <tpls c="3">
          <tpl fld="0" item="0"/>
          <tpl fld="1" item="151"/>
          <tpl fld="4" item="13"/>
        </tpls>
      </n>
      <m in="0">
        <tpls c="3">
          <tpl fld="0" item="0"/>
          <tpl fld="1" item="150"/>
          <tpl fld="4" item="18"/>
        </tpls>
      </m>
      <m in="0">
        <tpls c="3">
          <tpl fld="0" item="0"/>
          <tpl fld="1" item="422"/>
          <tpl fld="4" item="8"/>
        </tpls>
      </m>
      <n v="814" in="1">
        <tpls c="3">
          <tpl fld="0" item="0"/>
          <tpl fld="1" item="281"/>
          <tpl fld="4" item="7"/>
        </tpls>
      </n>
      <m in="0">
        <tpls c="3">
          <tpl fld="0" item="0"/>
          <tpl fld="1" item="8"/>
          <tpl fld="4" item="8"/>
        </tpls>
      </m>
      <m in="0">
        <tpls c="3">
          <tpl fld="0" item="0"/>
          <tpl fld="1" item="366"/>
          <tpl fld="4" item="8"/>
        </tpls>
      </m>
      <m in="0">
        <tpls c="3">
          <tpl fld="0" item="0"/>
          <tpl fld="1" item="216"/>
          <tpl fld="4" item="10"/>
        </tpls>
      </m>
      <m in="0">
        <tpls c="3">
          <tpl fld="0" item="0"/>
          <tpl fld="1" item="410"/>
          <tpl fld="4" item="5"/>
        </tpls>
      </m>
      <m in="0">
        <tpls c="3">
          <tpl fld="0" item="0"/>
          <tpl fld="1" item="270"/>
          <tpl fld="4" item="10"/>
        </tpls>
      </m>
      <m in="0">
        <tpls c="3">
          <tpl fld="0" item="0"/>
          <tpl fld="1" item="115"/>
          <tpl fld="4" item="11"/>
        </tpls>
      </m>
      <m in="0">
        <tpls c="3">
          <tpl fld="0" item="0"/>
          <tpl fld="1" item="128"/>
          <tpl fld="4" item="12"/>
        </tpls>
      </m>
      <m in="0">
        <tpls c="3">
          <tpl fld="0" item="0"/>
          <tpl fld="1" item="58"/>
          <tpl fld="4" item="18"/>
        </tpls>
      </m>
      <m in="0">
        <tpls c="3">
          <tpl fld="0" item="0"/>
          <tpl fld="1" item="300"/>
          <tpl fld="4" item="16"/>
        </tpls>
      </m>
      <m in="0">
        <tpls c="3">
          <tpl fld="0" item="0"/>
          <tpl fld="1" item="154"/>
          <tpl fld="4" item="20"/>
        </tpls>
      </m>
      <n v="4" in="0">
        <tpls c="3">
          <tpl fld="0" item="0"/>
          <tpl fld="1" item="236"/>
          <tpl fld="4" item="20"/>
        </tpls>
      </n>
      <m in="0">
        <tpls c="3">
          <tpl fld="0" item="0"/>
          <tpl fld="1" item="450"/>
          <tpl fld="4" item="20"/>
        </tpls>
      </m>
      <m in="0">
        <tpls c="3">
          <tpl fld="0" item="0"/>
          <tpl fld="1" item="146"/>
          <tpl fld="4" item="16"/>
        </tpls>
      </m>
      <m in="0">
        <tpls c="3">
          <tpl fld="0" item="0"/>
          <tpl fld="1" item="96"/>
          <tpl fld="4" item="18"/>
        </tpls>
      </m>
      <m in="0">
        <tpls c="3">
          <tpl fld="0" item="0"/>
          <tpl fld="1" item="450"/>
          <tpl fld="4" item="16"/>
        </tpls>
      </m>
      <n v="7" in="0">
        <tpls c="3">
          <tpl fld="0" item="0"/>
          <tpl fld="1" item="175"/>
          <tpl fld="4" item="16"/>
        </tpls>
      </n>
      <m in="0">
        <tpls c="3">
          <tpl fld="0" item="0"/>
          <tpl fld="1" item="302"/>
          <tpl fld="4" item="17"/>
        </tpls>
      </m>
      <m in="0">
        <tpls c="3">
          <tpl fld="0" item="0"/>
          <tpl fld="1" item="240"/>
          <tpl fld="4" item="16"/>
        </tpls>
      </m>
      <n v="1" in="0">
        <tpls c="3">
          <tpl fld="0" item="0"/>
          <tpl fld="1" item="283"/>
          <tpl fld="4" item="16"/>
        </tpls>
      </n>
      <n v="9" in="0">
        <tpls c="3">
          <tpl fld="0" item="0"/>
          <tpl fld="1" item="264"/>
          <tpl fld="4" item="16"/>
        </tpls>
      </n>
      <n v="3" in="0">
        <tpls c="3">
          <tpl fld="0" item="0"/>
          <tpl fld="1" item="57"/>
          <tpl fld="4" item="16"/>
        </tpls>
      </n>
      <m in="0">
        <tpls c="3">
          <tpl fld="0" item="0"/>
          <tpl fld="1" item="440"/>
          <tpl fld="4" item="17"/>
        </tpls>
      </m>
      <n v="43" in="0">
        <tpls c="3">
          <tpl fld="0" item="0"/>
          <tpl fld="1" item="312"/>
          <tpl fld="4" item="17"/>
        </tpls>
      </n>
      <n v="1" in="0">
        <tpls c="3">
          <tpl fld="0" item="0"/>
          <tpl fld="1" item="65"/>
          <tpl fld="4" item="18"/>
        </tpls>
      </n>
      <n v="79" in="0">
        <tpls c="3">
          <tpl fld="0" item="0"/>
          <tpl fld="1" item="138"/>
          <tpl fld="4" item="14"/>
        </tpls>
      </n>
      <m in="0">
        <tpls c="3">
          <tpl fld="0" item="0"/>
          <tpl fld="1" item="234"/>
          <tpl fld="4" item="18"/>
        </tpls>
      </m>
      <m in="0">
        <tpls c="3">
          <tpl fld="0" item="0"/>
          <tpl fld="1" item="237"/>
          <tpl fld="4" item="18"/>
        </tpls>
      </m>
      <m in="0">
        <tpls c="3">
          <tpl fld="0" item="0"/>
          <tpl fld="1" item="389"/>
          <tpl fld="4" item="21"/>
        </tpls>
      </m>
      <m in="0">
        <tpls c="3">
          <tpl fld="0" item="0"/>
          <tpl fld="1" item="178"/>
          <tpl fld="4" item="21"/>
        </tpls>
      </m>
      <m in="0">
        <tpls c="3">
          <tpl fld="0" item="0"/>
          <tpl fld="1" item="308"/>
          <tpl fld="4" item="12"/>
        </tpls>
      </m>
      <n v="544" in="0">
        <tpls c="3">
          <tpl fld="0" item="0"/>
          <tpl fld="1" item="107"/>
          <tpl fld="4" item="14"/>
        </tpls>
      </n>
      <n v="245" in="0">
        <tpls c="3">
          <tpl fld="0" item="0"/>
          <tpl fld="1" item="202"/>
          <tpl fld="4" item="14"/>
        </tpls>
      </n>
      <n v="9" in="0">
        <tpls c="3">
          <tpl fld="0" item="0"/>
          <tpl fld="1" item="320"/>
          <tpl fld="4" item="13"/>
        </tpls>
      </n>
      <n v="140" in="0">
        <tpls c="3">
          <tpl fld="0" item="0"/>
          <tpl fld="1" item="85"/>
          <tpl fld="4" item="14"/>
        </tpls>
      </n>
      <m in="0">
        <tpls c="3">
          <tpl fld="0" item="0"/>
          <tpl fld="1" item="371"/>
          <tpl fld="4" item="13"/>
        </tpls>
      </m>
      <n v="1" in="0">
        <tpls c="3">
          <tpl fld="0" item="0"/>
          <tpl fld="1" item="174"/>
          <tpl fld="4" item="16"/>
        </tpls>
      </n>
      <m in="0">
        <tpls c="3">
          <tpl fld="0" item="0"/>
          <tpl fld="1" item="291"/>
          <tpl fld="4" item="9"/>
        </tpls>
      </m>
      <n v="90" in="0">
        <tpls c="3">
          <tpl fld="0" item="0"/>
          <tpl fld="1" item="320"/>
          <tpl fld="4" item="14"/>
        </tpls>
      </n>
      <n v="2" in="0">
        <tpls c="3">
          <tpl fld="0" item="0"/>
          <tpl fld="1" item="320"/>
          <tpl fld="4" item="11"/>
        </tpls>
      </n>
      <m in="0">
        <tpls c="3">
          <tpl fld="0" item="0"/>
          <tpl fld="1" item="193"/>
          <tpl fld="4" item="14"/>
        </tpls>
      </m>
      <n v="12" in="0">
        <tpls c="3">
          <tpl fld="0" item="0"/>
          <tpl fld="1" item="377"/>
          <tpl fld="4" item="16"/>
        </tpls>
      </n>
      <n v="2" in="0">
        <tpls c="3">
          <tpl fld="0" item="0"/>
          <tpl fld="1" item="39"/>
          <tpl fld="4" item="13"/>
        </tpls>
      </n>
      <m in="0">
        <tpls c="3">
          <tpl fld="0" item="0"/>
          <tpl fld="1" item="164"/>
          <tpl fld="4" item="21"/>
        </tpls>
      </m>
      <n v="1" in="0">
        <tpls c="3">
          <tpl fld="0" item="0"/>
          <tpl fld="1" item="95"/>
          <tpl fld="4" item="15"/>
        </tpls>
      </n>
      <n v="14" in="0">
        <tpls c="3">
          <tpl fld="0" item="0"/>
          <tpl fld="1" item="105"/>
          <tpl fld="4" item="13"/>
        </tpls>
      </n>
      <n v="2" in="0">
        <tpls c="3">
          <tpl fld="0" item="0"/>
          <tpl fld="1" item="133"/>
          <tpl fld="4" item="13"/>
        </tpls>
      </n>
      <m in="0">
        <tpls c="3">
          <tpl fld="0" item="0"/>
          <tpl fld="1" item="197"/>
          <tpl fld="4" item="19"/>
        </tpls>
      </m>
      <m in="0">
        <tpls c="3">
          <tpl fld="0" item="0"/>
          <tpl fld="2" item="0"/>
          <tpl fld="4" item="13"/>
        </tpls>
      </m>
      <n v="1" in="0">
        <tpls c="3">
          <tpl fld="0" item="0"/>
          <tpl fld="1" item="249"/>
          <tpl fld="4" item="16"/>
        </tpls>
      </n>
      <m in="0">
        <tpls c="3">
          <tpl fld="0" item="0"/>
          <tpl fld="1" item="361"/>
          <tpl fld="4" item="18"/>
        </tpls>
      </m>
      <m in="0">
        <tpls c="3">
          <tpl fld="0" item="0"/>
          <tpl fld="1" item="70"/>
          <tpl fld="4" item="18"/>
        </tpls>
      </m>
      <m in="0">
        <tpls c="3">
          <tpl fld="0" item="0"/>
          <tpl fld="1" item="92"/>
          <tpl fld="4" item="10"/>
        </tpls>
      </m>
      <m in="0">
        <tpls c="3">
          <tpl fld="0" item="0"/>
          <tpl fld="1" item="28"/>
          <tpl fld="4" item="6"/>
        </tpls>
      </m>
      <n v="67" in="0">
        <tpls c="3">
          <tpl fld="0" item="0"/>
          <tpl fld="1" item="107"/>
          <tpl fld="4" item="19"/>
        </tpls>
      </n>
      <m in="0">
        <tpls c="3">
          <tpl fld="0" item="0"/>
          <tpl fld="1" item="145"/>
          <tpl fld="4" item="16"/>
        </tpls>
      </m>
      <n v="1" in="0">
        <tpls c="3">
          <tpl fld="0" item="0"/>
          <tpl fld="1" item="397"/>
          <tpl fld="4" item="19"/>
        </tpls>
      </n>
      <m in="0">
        <tpls c="3">
          <tpl fld="0" item="0"/>
          <tpl fld="1" item="328"/>
          <tpl fld="4" item="20"/>
        </tpls>
      </m>
      <n v="703" in="0">
        <tpls c="3">
          <tpl fld="0" item="0"/>
          <tpl fld="1" item="312"/>
          <tpl fld="4" item="20"/>
        </tpls>
      </n>
      <n v="319" in="0">
        <tpls c="3">
          <tpl fld="0" item="0"/>
          <tpl fld="1" item="364"/>
          <tpl fld="4" item="15"/>
        </tpls>
      </n>
      <m in="0">
        <tpls c="3">
          <tpl fld="0" item="0"/>
          <tpl fld="1" item="276"/>
          <tpl fld="4" item="16"/>
        </tpls>
      </m>
      <m in="0">
        <tpls c="3">
          <tpl fld="0" item="0"/>
          <tpl fld="1" item="243"/>
          <tpl fld="4" item="18"/>
        </tpls>
      </m>
      <n v="30" in="0">
        <tpls c="3">
          <tpl fld="0" item="0"/>
          <tpl fld="1" item="47"/>
          <tpl fld="4" item="16"/>
        </tpls>
      </n>
      <n v="7" in="0">
        <tpls c="3">
          <tpl fld="0" item="0"/>
          <tpl fld="1" item="75"/>
          <tpl fld="4" item="15"/>
        </tpls>
      </n>
      <m in="0">
        <tpls c="3">
          <tpl fld="0" item="0"/>
          <tpl fld="1" item="306"/>
          <tpl fld="4" item="15"/>
        </tpls>
      </m>
      <m in="0">
        <tpls c="3">
          <tpl fld="0" item="0"/>
          <tpl fld="1" item="211"/>
          <tpl fld="4" item="17"/>
        </tpls>
      </m>
      <n v="2" in="0">
        <tpls c="3">
          <tpl fld="0" item="0"/>
          <tpl fld="1" item="350"/>
          <tpl fld="4" item="16"/>
        </tpls>
      </n>
      <n v="36" in="0">
        <tpls c="3">
          <tpl fld="0" item="0"/>
          <tpl fld="1" item="334"/>
          <tpl fld="4" item="20"/>
        </tpls>
      </n>
      <m in="0">
        <tpls c="3">
          <tpl fld="0" item="0"/>
          <tpl fld="1" item="103"/>
          <tpl fld="4" item="21"/>
        </tpls>
      </m>
      <m in="0">
        <tpls c="3">
          <tpl fld="0" item="0"/>
          <tpl fld="1" item="263"/>
          <tpl fld="4" item="16"/>
        </tpls>
      </m>
      <m in="0">
        <tpls c="3">
          <tpl fld="0" item="0"/>
          <tpl fld="1" item="161"/>
          <tpl fld="4" item="18"/>
        </tpls>
      </m>
      <m in="0">
        <tpls c="3">
          <tpl fld="0" item="0"/>
          <tpl fld="1" item="245"/>
          <tpl fld="4" item="18"/>
        </tpls>
      </m>
      <m in="0">
        <tpls c="3">
          <tpl fld="0" item="0"/>
          <tpl fld="1" item="127"/>
          <tpl fld="4" item="16"/>
        </tpls>
      </m>
      <n v="6" in="0">
        <tpls c="3">
          <tpl fld="0" item="0"/>
          <tpl fld="1" item="8"/>
          <tpl fld="4" item="17"/>
        </tpls>
      </n>
      <n v="1" in="0">
        <tpls c="3">
          <tpl fld="0" item="0"/>
          <tpl fld="1" item="25"/>
          <tpl fld="4" item="17"/>
        </tpls>
      </n>
      <m in="0">
        <tpls c="3">
          <tpl fld="0" item="0"/>
          <tpl fld="1" item="251"/>
          <tpl fld="4" item="1"/>
        </tpls>
      </m>
      <m in="0">
        <tpls c="3">
          <tpl fld="0" item="0"/>
          <tpl fld="1" item="31"/>
          <tpl fld="4" item="18"/>
        </tpls>
      </m>
      <m in="0">
        <tpls c="3">
          <tpl fld="0" item="0"/>
          <tpl fld="1" item="340"/>
          <tpl fld="4" item="13"/>
        </tpls>
      </m>
      <m in="0">
        <tpls c="3">
          <tpl fld="0" item="0"/>
          <tpl fld="1" item="113"/>
          <tpl fld="4" item="20"/>
        </tpls>
      </m>
      <m in="0">
        <tpls c="3">
          <tpl fld="0" item="0"/>
          <tpl fld="1" item="297"/>
          <tpl fld="4" item="18"/>
        </tpls>
      </m>
      <n v="25" in="0">
        <tpls c="3">
          <tpl fld="0" item="0"/>
          <tpl fld="1" item="45"/>
          <tpl fld="4" item="21"/>
        </tpls>
      </n>
      <n v="8" in="0">
        <tpls c="3">
          <tpl fld="0" item="0"/>
          <tpl fld="1" item="10"/>
          <tpl fld="4" item="21"/>
        </tpls>
      </n>
      <m in="0">
        <tpls c="3">
          <tpl fld="0" item="0"/>
          <tpl fld="1" item="227"/>
          <tpl fld="4" item="8"/>
        </tpls>
      </m>
      <n v="7" in="0">
        <tpls c="3">
          <tpl fld="0" item="0"/>
          <tpl fld="1" item="114"/>
          <tpl fld="4" item="13"/>
        </tpls>
      </n>
      <n v="7" in="0">
        <tpls c="3">
          <tpl fld="0" item="0"/>
          <tpl fld="1" item="121"/>
          <tpl fld="4" item="19"/>
        </tpls>
      </n>
      <m in="0">
        <tpls c="3">
          <tpl fld="0" item="0"/>
          <tpl fld="1" item="78"/>
          <tpl fld="4" item="13"/>
        </tpls>
      </m>
      <m in="0">
        <tpls c="3">
          <tpl fld="0" item="0"/>
          <tpl fld="1" item="93"/>
          <tpl fld="4" item="19"/>
        </tpls>
      </m>
      <m in="0">
        <tpls c="3">
          <tpl fld="0" item="0"/>
          <tpl fld="1" item="180"/>
          <tpl fld="4" item="16"/>
        </tpls>
      </m>
      <m in="0">
        <tpls c="3">
          <tpl fld="0" item="0"/>
          <tpl fld="1" item="186"/>
          <tpl fld="4" item="18"/>
        </tpls>
      </m>
      <n v="5" in="0">
        <tpls c="3">
          <tpl fld="0" item="0"/>
          <tpl fld="1" item="298"/>
          <tpl fld="4" item="14"/>
        </tpls>
      </n>
      <m in="0">
        <tpls c="3">
          <tpl fld="0" item="0"/>
          <tpl fld="1" item="248"/>
          <tpl fld="4" item="13"/>
        </tpls>
      </m>
      <n v="68" in="0">
        <tpls c="3">
          <tpl fld="0" item="0"/>
          <tpl fld="1" item="370"/>
          <tpl fld="4" item="14"/>
        </tpls>
      </n>
      <n v="13" in="0">
        <tpls c="3">
          <tpl fld="0" item="0"/>
          <tpl fld="1" item="139"/>
          <tpl fld="4" item="16"/>
        </tpls>
      </n>
      <m in="0">
        <tpls c="3">
          <tpl fld="0" item="0"/>
          <tpl fld="1" item="428"/>
          <tpl fld="4" item="20"/>
        </tpls>
      </m>
      <m in="0">
        <tpls c="3">
          <tpl fld="0" item="0"/>
          <tpl fld="1" item="47"/>
          <tpl fld="4" item="6"/>
        </tpls>
      </m>
      <m in="0">
        <tpls c="3">
          <tpl fld="0" item="0"/>
          <tpl fld="1" item="162"/>
          <tpl fld="4" item="19"/>
        </tpls>
      </m>
      <n v="1" in="0">
        <tpls c="3">
          <tpl fld="0" item="0"/>
          <tpl fld="1" item="101"/>
          <tpl fld="4" item="19"/>
        </tpls>
      </n>
      <n v="2" in="0">
        <tpls c="3">
          <tpl fld="0" item="0"/>
          <tpl fld="1" item="54"/>
          <tpl fld="4" item="13"/>
        </tpls>
      </n>
      <m in="0">
        <tpls c="3">
          <tpl fld="0" item="0"/>
          <tpl fld="1" item="408"/>
          <tpl fld="4" item="20"/>
        </tpls>
      </m>
      <n v="1605" in="0">
        <tpls c="3">
          <tpl fld="0" item="0"/>
          <tpl fld="1" item="390"/>
          <tpl fld="4" item="20"/>
        </tpls>
      </n>
      <m in="0">
        <tpls c="3">
          <tpl fld="0" item="0"/>
          <tpl fld="1" item="123"/>
          <tpl fld="4" item="20"/>
        </tpls>
      </m>
      <m in="0">
        <tpls c="3">
          <tpl fld="0" item="0"/>
          <tpl fld="1" item="71"/>
          <tpl fld="4" item="14"/>
        </tpls>
      </m>
      <m in="0">
        <tpls c="3">
          <tpl fld="0" item="0"/>
          <tpl fld="1" item="446"/>
          <tpl fld="4" item="19"/>
        </tpls>
      </m>
      <m in="0">
        <tpls c="3">
          <tpl fld="0" item="0"/>
          <tpl fld="1" item="116"/>
          <tpl fld="4" item="16"/>
        </tpls>
      </m>
      <n v="1" in="0">
        <tpls c="3">
          <tpl fld="0" item="0"/>
          <tpl fld="1" item="326"/>
          <tpl fld="4" item="16"/>
        </tpls>
      </n>
      <n v="3" in="0">
        <tpls c="3">
          <tpl fld="0" item="0"/>
          <tpl fld="1" item="368"/>
          <tpl fld="4" item="19"/>
        </tpls>
      </n>
      <m in="0">
        <tpls c="3">
          <tpl fld="0" item="0"/>
          <tpl fld="1" item="191"/>
          <tpl fld="4" item="15"/>
        </tpls>
      </m>
      <n v="17" in="0">
        <tpls c="3">
          <tpl fld="0" item="0"/>
          <tpl fld="1" item="17"/>
          <tpl fld="4" item="15"/>
        </tpls>
      </n>
      <n v="27" in="0">
        <tpls c="3">
          <tpl fld="0" item="0"/>
          <tpl fld="1" item="173"/>
          <tpl fld="4" item="15"/>
        </tpls>
      </n>
      <m in="0">
        <tpls c="3">
          <tpl fld="0" item="0"/>
          <tpl fld="1" item="90"/>
          <tpl fld="4" item="16"/>
        </tpls>
      </m>
      <m in="0">
        <tpls c="3">
          <tpl fld="0" item="0"/>
          <tpl fld="1" item="162"/>
          <tpl fld="4" item="18"/>
        </tpls>
      </m>
      <m in="0">
        <tpls c="3">
          <tpl fld="0" item="0"/>
          <tpl fld="1" item="403"/>
          <tpl fld="4" item="18"/>
        </tpls>
      </m>
      <m in="0">
        <tpls c="3">
          <tpl fld="0" item="0"/>
          <tpl fld="1" item="12"/>
          <tpl fld="4" item="16"/>
        </tpls>
      </m>
      <n v="40" in="0">
        <tpls c="3">
          <tpl fld="0" item="0"/>
          <tpl fld="1" item="85"/>
          <tpl fld="4" item="17"/>
        </tpls>
      </n>
      <m in="0">
        <tpls c="3">
          <tpl fld="0" item="0"/>
          <tpl fld="1" item="14"/>
          <tpl fld="4" item="17"/>
        </tpls>
      </m>
      <m in="0">
        <tpls c="3">
          <tpl fld="0" item="0"/>
          <tpl fld="1" item="387"/>
          <tpl fld="4" item="16"/>
        </tpls>
      </m>
      <m in="0">
        <tpls c="3">
          <tpl fld="0" item="0"/>
          <tpl fld="1" item="181"/>
          <tpl fld="4" item="16"/>
        </tpls>
      </m>
      <m in="0">
        <tpls c="3">
          <tpl fld="0" item="0"/>
          <tpl fld="1" item="46"/>
          <tpl fld="4" item="17"/>
        </tpls>
      </m>
      <n v="1" in="0">
        <tpls c="3">
          <tpl fld="0" item="0"/>
          <tpl fld="1" item="133"/>
          <tpl fld="4" item="11"/>
        </tpls>
      </n>
      <m in="0">
        <tpls c="3">
          <tpl fld="0" item="0"/>
          <tpl fld="1" item="37"/>
          <tpl fld="4" item="16"/>
        </tpls>
      </m>
      <m in="0">
        <tpls c="3">
          <tpl fld="0" item="0"/>
          <tpl fld="1" item="176"/>
          <tpl fld="4" item="18"/>
        </tpls>
      </m>
      <m in="0">
        <tpls c="3">
          <tpl fld="0" item="0"/>
          <tpl fld="1" item="394"/>
          <tpl fld="4" item="18"/>
        </tpls>
      </m>
      <m in="0">
        <tpls c="3">
          <tpl fld="0" item="0"/>
          <tpl fld="1" item="207"/>
          <tpl fld="4" item="17"/>
        </tpls>
      </m>
      <m in="0">
        <tpls c="3">
          <tpl fld="0" item="0"/>
          <tpl fld="1" item="74"/>
          <tpl fld="4" item="17"/>
        </tpls>
      </m>
      <m in="0">
        <tpls c="3">
          <tpl fld="0" item="0"/>
          <tpl fld="1" item="90"/>
          <tpl fld="4" item="17"/>
        </tpls>
      </m>
      <n v="6" in="0">
        <tpls c="3">
          <tpl fld="0" item="0"/>
          <tpl fld="1" item="178"/>
          <tpl fld="4" item="14"/>
        </tpls>
      </n>
      <m in="0">
        <tpls c="3">
          <tpl fld="0" item="0"/>
          <tpl fld="1" item="211"/>
          <tpl fld="4" item="14"/>
        </tpls>
      </m>
      <n v="1" in="0">
        <tpls c="3">
          <tpl fld="0" item="0"/>
          <tpl fld="1" item="386"/>
          <tpl fld="4" item="21"/>
        </tpls>
      </n>
      <n v="62" in="0">
        <tpls c="3">
          <tpl fld="0" item="0"/>
          <tpl fld="1" item="177"/>
          <tpl fld="4" item="21"/>
        </tpls>
      </n>
      <m in="0">
        <tpls c="3">
          <tpl fld="0" item="0"/>
          <tpl fld="1" item="122"/>
          <tpl fld="4" item="21"/>
        </tpls>
      </m>
      <n v="21" in="0">
        <tpls c="3">
          <tpl fld="0" item="0"/>
          <tpl fld="1" item="319"/>
          <tpl fld="4" item="13"/>
        </tpls>
      </n>
      <n v="35" in="0">
        <tpls c="3">
          <tpl fld="0" item="0"/>
          <tpl fld="1" item="452"/>
          <tpl fld="4" item="13"/>
        </tpls>
      </n>
      <m in="0">
        <tpls c="3">
          <tpl fld="0" item="0"/>
          <tpl fld="1" item="396"/>
          <tpl fld="4" item="13"/>
        </tpls>
      </m>
      <m in="0">
        <tpls c="3">
          <tpl fld="0" item="0"/>
          <tpl fld="1" item="112"/>
          <tpl fld="4" item="13"/>
        </tpls>
      </m>
      <m in="0">
        <tpls c="3">
          <tpl fld="0" item="0"/>
          <tpl fld="1" item="360"/>
          <tpl fld="4" item="18"/>
        </tpls>
      </m>
      <n v="77" in="0">
        <tpls c="3">
          <tpl fld="0" item="0"/>
          <tpl fld="1" item="326"/>
          <tpl fld="4" item="20"/>
        </tpls>
      </n>
      <n v="39" in="0">
        <tpls c="3">
          <tpl fld="0" item="0"/>
          <tpl fld="1" item="200"/>
          <tpl fld="4" item="20"/>
        </tpls>
      </n>
      <m in="0">
        <tpls c="3">
          <tpl fld="0" item="0"/>
          <tpl fld="1" item="393"/>
          <tpl fld="4" item="5"/>
        </tpls>
      </m>
      <n v="64" in="0">
        <tpls c="3">
          <tpl fld="0" item="0"/>
          <tpl fld="1" item="225"/>
          <tpl fld="4" item="13"/>
        </tpls>
      </n>
      <m in="0">
        <tpls c="3">
          <tpl fld="0" item="0"/>
          <tpl fld="1" item="116"/>
          <tpl fld="4" item="19"/>
        </tpls>
      </m>
      <m in="0">
        <tpls c="3">
          <tpl fld="0" item="0"/>
          <tpl fld="1" item="208"/>
          <tpl fld="4" item="6"/>
        </tpls>
      </m>
      <n v="2" in="0">
        <tpls c="3">
          <tpl fld="0" item="0"/>
          <tpl fld="1" item="409"/>
          <tpl fld="4" item="18"/>
        </tpls>
      </n>
      <m in="0">
        <tpls c="3">
          <tpl fld="0" item="0"/>
          <tpl fld="1" item="216"/>
          <tpl fld="4" item="19"/>
        </tpls>
      </m>
      <n v="5" in="0">
        <tpls c="3">
          <tpl fld="0" item="0"/>
          <tpl fld="1" item="322"/>
          <tpl fld="4" item="21"/>
        </tpls>
      </n>
      <n v="6" in="0">
        <tpls c="3">
          <tpl fld="0" item="0"/>
          <tpl fld="1" item="165"/>
          <tpl fld="4" item="14"/>
        </tpls>
      </n>
      <m in="0">
        <tpls c="3">
          <tpl fld="0" item="0"/>
          <tpl fld="1" item="126"/>
          <tpl fld="4" item="13"/>
        </tpls>
      </m>
      <m in="0">
        <tpls c="3">
          <tpl fld="0" item="0"/>
          <tpl fld="1" item="414"/>
          <tpl fld="4" item="13"/>
        </tpls>
      </m>
      <n v="132" in="0">
        <tpls c="3">
          <tpl fld="0" item="0"/>
          <tpl fld="1" item="269"/>
          <tpl fld="4" item="14"/>
        </tpls>
      </n>
      <m in="0">
        <tpls c="3">
          <tpl fld="0" item="0"/>
          <tpl fld="1" item="252"/>
          <tpl fld="4" item="21"/>
        </tpls>
      </m>
      <n v="8" in="0">
        <tpls c="3">
          <tpl fld="0" item="0"/>
          <tpl fld="1" item="289"/>
          <tpl fld="4" item="13"/>
        </tpls>
      </n>
      <m in="0">
        <tpls c="3">
          <tpl fld="0" item="0"/>
          <tpl fld="1" item="391"/>
          <tpl fld="4" item="13"/>
        </tpls>
      </m>
      <m in="0">
        <tpls c="3">
          <tpl fld="0" item="0"/>
          <tpl fld="1" item="379"/>
          <tpl fld="4" item="13"/>
        </tpls>
      </m>
      <n v="10" in="0">
        <tpls c="3">
          <tpl fld="0" item="0"/>
          <tpl fld="1" item="365"/>
          <tpl fld="4" item="19"/>
        </tpls>
      </n>
      <m in="0">
        <tpls c="3">
          <tpl fld="0" item="0"/>
          <tpl fld="1" item="181"/>
          <tpl fld="4" item="19"/>
        </tpls>
      </m>
      <m in="0">
        <tpls c="3">
          <tpl fld="0" item="0"/>
          <tpl fld="1" item="235"/>
          <tpl fld="4" item="13"/>
        </tpls>
      </m>
      <n v="55" in="0">
        <tpls c="3">
          <tpl fld="0" item="0"/>
          <tpl fld="1" item="386"/>
          <tpl fld="4" item="20"/>
        </tpls>
      </n>
      <n v="8" in="0">
        <tpls c="3">
          <tpl fld="0" item="0"/>
          <tpl fld="1" item="56"/>
          <tpl fld="4" item="20"/>
        </tpls>
      </n>
      <n v="51" in="0">
        <tpls c="3">
          <tpl fld="0" item="0"/>
          <tpl fld="1" item="397"/>
          <tpl fld="4" item="20"/>
        </tpls>
      </n>
      <m in="0">
        <tpls c="3">
          <tpl fld="0" item="0"/>
          <tpl fld="1" item="384"/>
          <tpl fld="4" item="19"/>
        </tpls>
      </m>
      <m in="0">
        <tpls c="3">
          <tpl fld="0" item="0"/>
          <tpl fld="1" item="432"/>
          <tpl fld="4" item="16"/>
        </tpls>
      </m>
      <n v="64" in="0">
        <tpls c="3">
          <tpl fld="0" item="0"/>
          <tpl fld="1" item="107"/>
          <tpl fld="4" item="16"/>
        </tpls>
      </n>
      <n v="1" in="0">
        <tpls c="3">
          <tpl fld="0" item="0"/>
          <tpl fld="1" item="283"/>
          <tpl fld="4" item="19"/>
        </tpls>
      </n>
      <n v="50" in="0">
        <tpls c="3">
          <tpl fld="0" item="0"/>
          <tpl fld="1" item="290"/>
          <tpl fld="4" item="15"/>
        </tpls>
      </n>
      <n v="118" in="0">
        <tpls c="3">
          <tpl fld="0" item="0"/>
          <tpl fld="1" item="287"/>
          <tpl fld="4" item="15"/>
        </tpls>
      </n>
      <n v="30" in="0">
        <tpls c="3">
          <tpl fld="0" item="0"/>
          <tpl fld="1" item="169"/>
          <tpl fld="4" item="15"/>
        </tpls>
      </n>
      <m in="0">
        <tpls c="3">
          <tpl fld="0" item="0"/>
          <tpl fld="1" item="224"/>
          <tpl fld="4" item="6"/>
        </tpls>
      </m>
      <m in="0">
        <tpls c="3">
          <tpl fld="0" item="0"/>
          <tpl fld="1" item="306"/>
          <tpl fld="4" item="19"/>
        </tpls>
      </m>
      <n v="229" in="0">
        <tpls c="3">
          <tpl fld="0" item="0"/>
          <tpl fld="1" item="68"/>
          <tpl fld="4" item="14"/>
        </tpls>
      </n>
      <n v="5" in="0">
        <tpls c="3">
          <tpl fld="0" item="0"/>
          <tpl fld="1" item="453"/>
          <tpl fld="4" item="16"/>
        </tpls>
      </n>
      <m in="0">
        <tpls c="3">
          <tpl fld="0" item="0"/>
          <tpl fld="1" item="318"/>
          <tpl fld="4" item="19"/>
        </tpls>
      </m>
      <m in="0">
        <tpls c="3">
          <tpl fld="0" item="0"/>
          <tpl fld="1" item="434"/>
          <tpl fld="4" item="13"/>
        </tpls>
      </m>
      <m in="0">
        <tpls c="3">
          <tpl fld="0" item="0"/>
          <tpl fld="1" item="336"/>
          <tpl fld="4" item="17"/>
        </tpls>
      </m>
      <m in="0">
        <tpls c="3">
          <tpl fld="0" item="0"/>
          <tpl fld="1" item="66"/>
          <tpl fld="4" item="19"/>
        </tpls>
      </m>
      <m in="0">
        <tpls c="3">
          <tpl fld="0" item="0"/>
          <tpl fld="1" item="349"/>
          <tpl fld="4" item="16"/>
        </tpls>
      </m>
      <m in="0">
        <tpls c="3">
          <tpl fld="0" item="0"/>
          <tpl fld="1" item="368"/>
          <tpl fld="4" item="16"/>
        </tpls>
      </m>
      <n v="1" in="0">
        <tpls c="3">
          <tpl fld="0" item="0"/>
          <tpl fld="1" item="10"/>
          <tpl fld="4" item="16"/>
        </tpls>
      </n>
      <n v="18" in="0">
        <tpls c="3">
          <tpl fld="0" item="0"/>
          <tpl fld="1" item="429"/>
          <tpl fld="4" item="15"/>
        </tpls>
      </n>
      <n v="32" in="0">
        <tpls c="3">
          <tpl fld="0" item="0"/>
          <tpl fld="1" item="417"/>
          <tpl fld="4" item="15"/>
        </tpls>
      </n>
      <n v="4" in="0">
        <tpls c="3">
          <tpl fld="0" item="0"/>
          <tpl fld="1" item="125"/>
          <tpl fld="4" item="11"/>
        </tpls>
      </n>
      <n v="5" in="0">
        <tpls c="3">
          <tpl fld="0" item="0"/>
          <tpl fld="1" item="415"/>
          <tpl fld="4" item="18"/>
        </tpls>
      </n>
      <m in="0">
        <tpls c="3">
          <tpl fld="0" item="0"/>
          <tpl fld="1" item="374"/>
          <tpl fld="4" item="18"/>
        </tpls>
      </m>
      <m in="0">
        <tpls c="3">
          <tpl fld="0" item="0"/>
          <tpl fld="1" item="291"/>
          <tpl fld="4" item="18"/>
        </tpls>
      </m>
      <n v="1" in="0">
        <tpls c="3">
          <tpl fld="0" item="0"/>
          <tpl fld="1" item="284"/>
          <tpl fld="4" item="17"/>
        </tpls>
      </n>
      <m in="0">
        <tpls c="3">
          <tpl fld="0" item="0"/>
          <tpl fld="1" item="318"/>
          <tpl fld="4" item="17"/>
        </tpls>
      </m>
      <m in="0">
        <tpls c="3">
          <tpl fld="0" item="0"/>
          <tpl fld="1" item="367"/>
          <tpl fld="4" item="8"/>
        </tpls>
      </m>
      <m in="0">
        <tpls c="3">
          <tpl fld="0" item="0"/>
          <tpl fld="1" item="95"/>
          <tpl fld="4" item="14"/>
        </tpls>
      </m>
      <m in="0">
        <tpls c="3">
          <tpl fld="0" item="0"/>
          <tpl fld="1" item="308"/>
          <tpl fld="4" item="13"/>
        </tpls>
      </m>
      <m in="0">
        <tpls c="3">
          <tpl fld="0" item="0"/>
          <tpl fld="1" item="102"/>
          <tpl fld="4" item="6"/>
        </tpls>
      </m>
      <m in="0">
        <tpls c="3">
          <tpl fld="0" item="0"/>
          <tpl fld="1" item="29"/>
          <tpl fld="4" item="20"/>
        </tpls>
      </m>
      <n v="3" in="0">
        <tpls c="3">
          <tpl fld="0" item="0"/>
          <tpl fld="1" item="120"/>
          <tpl fld="4" item="21"/>
        </tpls>
      </n>
      <n v="25" in="0">
        <tpls c="3">
          <tpl fld="0" item="0"/>
          <tpl fld="1" item="271"/>
          <tpl fld="4" item="14"/>
        </tpls>
      </n>
      <m in="0">
        <tpls c="3">
          <tpl fld="0" item="0"/>
          <tpl fld="1" item="4"/>
          <tpl fld="4" item="12"/>
        </tpls>
      </m>
      <m in="0">
        <tpls c="3">
          <tpl fld="0" item="0"/>
          <tpl fld="1" item="363"/>
          <tpl fld="4" item="18"/>
        </tpls>
      </m>
      <m in="0">
        <tpls c="3">
          <tpl fld="0" item="0"/>
          <tpl fld="1" item="101"/>
          <tpl fld="4" item="16"/>
        </tpls>
      </m>
      <m in="0">
        <tpls c="3">
          <tpl fld="0" item="0"/>
          <tpl fld="1" item="362"/>
          <tpl fld="4" item="13"/>
        </tpls>
      </m>
      <n v="73" in="0">
        <tpls c="3">
          <tpl fld="0" item="0"/>
          <tpl fld="1" item="225"/>
          <tpl fld="4" item="17"/>
        </tpls>
      </n>
      <n v="1" in="0">
        <tpls c="3">
          <tpl fld="0" item="0"/>
          <tpl fld="1" item="47"/>
          <tpl fld="4" item="12"/>
        </tpls>
      </n>
      <m in="0">
        <tpls c="3">
          <tpl fld="0" item="0"/>
          <tpl fld="1" item="198"/>
          <tpl fld="4" item="5"/>
        </tpls>
      </m>
      <m in="0">
        <tpls c="3">
          <tpl fld="0" item="0"/>
          <tpl fld="1" item="290"/>
          <tpl fld="4" item="18"/>
        </tpls>
      </m>
      <m in="0">
        <tpls c="3">
          <tpl fld="0" item="0"/>
          <tpl fld="1" item="164"/>
          <tpl fld="4" item="20"/>
        </tpls>
      </m>
      <m in="0">
        <tpls c="3">
          <tpl fld="0" item="0"/>
          <tpl fld="3" item="0"/>
          <tpl fld="4" item="18"/>
        </tpls>
      </m>
      <m in="0">
        <tpls c="3">
          <tpl fld="0" item="0"/>
          <tpl fld="1" item="155"/>
          <tpl fld="4" item="17"/>
        </tpls>
      </m>
      <n v="14" in="0">
        <tpls c="3">
          <tpl fld="0" item="0"/>
          <tpl fld="1" item="179"/>
          <tpl fld="4" item="21"/>
        </tpls>
      </n>
      <m in="0">
        <tpls c="3">
          <tpl fld="0" item="0"/>
          <tpl fld="1" item="428"/>
          <tpl fld="4" item="21"/>
        </tpls>
      </m>
      <n v="29" in="0">
        <tpls c="3">
          <tpl fld="0" item="0"/>
          <tpl fld="1" item="433"/>
          <tpl fld="4" item="14"/>
        </tpls>
      </n>
      <n v="5" in="0">
        <tpls c="3">
          <tpl fld="0" item="0"/>
          <tpl fld="1" item="230"/>
          <tpl fld="4" item="13"/>
        </tpls>
      </n>
      <n v="4" in="0">
        <tpls c="3">
          <tpl fld="0" item="0"/>
          <tpl fld="1" item="427"/>
          <tpl fld="4" item="13"/>
        </tpls>
      </n>
      <n v="74" in="0">
        <tpls c="3">
          <tpl fld="0" item="0"/>
          <tpl fld="1" item="275"/>
          <tpl fld="4" item="14"/>
        </tpls>
      </n>
      <m in="0">
        <tpls c="3">
          <tpl fld="0" item="0"/>
          <tpl fld="1" item="356"/>
          <tpl fld="4" item="13"/>
        </tpls>
      </m>
      <n v="17" in="0">
        <tpls c="3">
          <tpl fld="0" item="0"/>
          <tpl fld="1" item="315"/>
          <tpl fld="4" item="19"/>
        </tpls>
      </n>
      <m in="0">
        <tpls c="3">
          <tpl fld="0" item="0"/>
          <tpl fld="1" item="58"/>
          <tpl fld="4" item="16"/>
        </tpls>
      </m>
      <n v="274" in="0">
        <tpls c="3">
          <tpl fld="0" item="0"/>
          <tpl fld="1" item="182"/>
          <tpl fld="4" item="10"/>
        </tpls>
      </n>
      <n v="45" in="0">
        <tpls c="3">
          <tpl fld="0" item="0"/>
          <tpl fld="1" item="82"/>
          <tpl fld="4" item="13"/>
        </tpls>
      </n>
      <n v="6" in="0">
        <tpls c="3">
          <tpl fld="0" item="0"/>
          <tpl fld="1" item="397"/>
          <tpl fld="4" item="17"/>
        </tpls>
      </n>
      <m in="0">
        <tpls c="3">
          <tpl fld="0" item="0"/>
          <tpl fld="1" item="17"/>
          <tpl fld="4" item="21"/>
        </tpls>
      </m>
      <m in="0">
        <tpls c="3">
          <tpl fld="0" item="0"/>
          <tpl fld="1" item="44"/>
          <tpl fld="4" item="18"/>
        </tpls>
      </m>
      <m in="0">
        <tpls c="3">
          <tpl fld="0" item="0"/>
          <tpl fld="1" item="81"/>
          <tpl fld="4" item="17"/>
        </tpls>
      </m>
      <n v="13" in="0">
        <tpls c="3">
          <tpl fld="0" item="0"/>
          <tpl fld="1" item="339"/>
          <tpl fld="4" item="21"/>
        </tpls>
      </n>
      <m in="0">
        <tpls c="3">
          <tpl fld="0" item="0"/>
          <tpl fld="1" item="240"/>
          <tpl fld="4" item="20"/>
        </tpls>
      </m>
      <n v="4" in="0">
        <tpls c="3">
          <tpl fld="0" item="0"/>
          <tpl fld="1" item="38"/>
          <tpl fld="4" item="19"/>
        </tpls>
      </n>
      <n v="3" in="0">
        <tpls c="3">
          <tpl fld="0" item="0"/>
          <tpl fld="1" item="77"/>
          <tpl fld="4" item="16"/>
        </tpls>
      </n>
      <n v="75" in="0">
        <tpls c="3">
          <tpl fld="0" item="0"/>
          <tpl fld="1" item="258"/>
          <tpl fld="4" item="20"/>
        </tpls>
      </n>
      <m in="0">
        <tpls c="3">
          <tpl fld="0" item="0"/>
          <tpl fld="1" item="235"/>
          <tpl fld="4" item="18"/>
        </tpls>
      </m>
      <m in="0">
        <tpls c="3">
          <tpl fld="0" item="0"/>
          <tpl fld="1" item="259"/>
          <tpl fld="4" item="13"/>
        </tpls>
      </m>
      <m in="0">
        <tpls c="3">
          <tpl fld="0" item="0"/>
          <tpl fld="1" item="275"/>
          <tpl fld="4" item="18"/>
        </tpls>
      </m>
      <n v="6" in="0">
        <tpls c="3">
          <tpl fld="0" item="0"/>
          <tpl fld="1" item="364"/>
          <tpl fld="4" item="18"/>
        </tpls>
      </n>
      <n v="316" in="0">
        <tpls c="3">
          <tpl fld="0" item="0"/>
          <tpl fld="1" item="125"/>
          <tpl fld="4" item="20"/>
        </tpls>
      </n>
      <n v="1" in="0">
        <tpls c="3">
          <tpl fld="0" item="0"/>
          <tpl fld="1" item="168"/>
          <tpl fld="4" item="19"/>
        </tpls>
      </n>
      <m in="0">
        <tpls c="3">
          <tpl fld="0" item="0"/>
          <tpl fld="1" item="26"/>
          <tpl fld="4" item="19"/>
        </tpls>
      </m>
      <m in="0">
        <tpls c="3">
          <tpl fld="0" item="0"/>
          <tpl fld="1" item="278"/>
          <tpl fld="4" item="17"/>
        </tpls>
      </m>
      <n v="58" in="0">
        <tpls c="3">
          <tpl fld="0" item="0"/>
          <tpl fld="1" item="80"/>
          <tpl fld="4" item="14"/>
        </tpls>
      </n>
      <m in="0">
        <tpls c="3">
          <tpl fld="0" item="0"/>
          <tpl fld="1" item="321"/>
          <tpl fld="4" item="16"/>
        </tpls>
      </m>
      <m in="0">
        <tpls c="3">
          <tpl fld="0" item="0"/>
          <tpl fld="1" item="406"/>
          <tpl fld="4" item="19"/>
        </tpls>
      </m>
      <m in="0">
        <tpls c="3">
          <tpl fld="0" item="0"/>
          <tpl fld="1" item="19"/>
          <tpl fld="4" item="19"/>
        </tpls>
      </m>
      <m in="0">
        <tpls c="3">
          <tpl fld="0" item="0"/>
          <tpl fld="1" item="391"/>
          <tpl fld="4" item="17"/>
        </tpls>
      </m>
      <n v="1" in="0">
        <tpls c="3">
          <tpl fld="0" item="0"/>
          <tpl fld="1" item="322"/>
          <tpl fld="4" item="19"/>
        </tpls>
      </n>
      <m in="0">
        <tpls c="3">
          <tpl fld="0" item="0"/>
          <tpl fld="1" item="401"/>
          <tpl fld="4" item="16"/>
        </tpls>
      </m>
      <m in="0">
        <tpls c="3">
          <tpl fld="0" item="0"/>
          <tpl fld="1" item="137"/>
          <tpl fld="4" item="20"/>
        </tpls>
      </m>
      <n v="6" in="0">
        <tpls c="3">
          <tpl fld="0" item="0"/>
          <tpl fld="1" item="206"/>
          <tpl fld="4" item="21"/>
        </tpls>
      </n>
      <m in="0">
        <tpls c="3">
          <tpl fld="0" item="0"/>
          <tpl fld="1" item="307"/>
          <tpl fld="4" item="12"/>
        </tpls>
      </m>
      <m in="0">
        <tpls c="3">
          <tpl fld="0" item="0"/>
          <tpl fld="1" item="389"/>
          <tpl fld="4" item="16"/>
        </tpls>
      </m>
      <n v="1" in="0">
        <tpls c="3">
          <tpl fld="0" item="0"/>
          <tpl fld="1" item="287"/>
          <tpl fld="4" item="18"/>
        </tpls>
      </n>
      <n v="10" in="0">
        <tpls c="3">
          <tpl fld="0" item="0"/>
          <tpl fld="1" item="202"/>
          <tpl fld="4" item="18"/>
        </tpls>
      </n>
      <m in="0">
        <tpls c="3">
          <tpl fld="0" item="0"/>
          <tpl fld="1" item="429"/>
          <tpl fld="4" item="17"/>
        </tpls>
      </m>
      <n v="3" in="0">
        <tpls c="3">
          <tpl fld="0" item="0"/>
          <tpl fld="1" item="226"/>
          <tpl fld="4" item="17"/>
        </tpls>
      </n>
      <m in="0">
        <tpls c="3">
          <tpl fld="0" item="0"/>
          <tpl fld="1" item="315"/>
          <tpl fld="4" item="9"/>
        </tpls>
      </m>
      <m in="0">
        <tpls c="3">
          <tpl fld="0" item="0"/>
          <tpl fld="1" item="190"/>
          <tpl fld="4" item="18"/>
        </tpls>
      </m>
      <m in="0">
        <tpls c="3">
          <tpl fld="0" item="0"/>
          <tpl fld="1" item="61"/>
          <tpl fld="4" item="19"/>
        </tpls>
      </m>
      <m in="0">
        <tpls c="3">
          <tpl fld="0" item="0"/>
          <tpl fld="1" item="171"/>
          <tpl fld="4" item="19"/>
        </tpls>
      </m>
      <m in="0">
        <tpls c="3">
          <tpl fld="0" item="0"/>
          <tpl fld="1" item="13"/>
          <tpl fld="4" item="13"/>
        </tpls>
      </m>
      <m in="0">
        <tpls c="3">
          <tpl fld="0" item="0"/>
          <tpl fld="1" item="81"/>
          <tpl fld="4" item="18"/>
        </tpls>
      </m>
      <m in="0">
        <tpls c="3">
          <tpl fld="0" item="0"/>
          <tpl fld="1" item="51"/>
          <tpl fld="4" item="18"/>
        </tpls>
      </m>
      <m in="0">
        <tpls c="3">
          <tpl fld="0" item="0"/>
          <tpl fld="1" item="72"/>
          <tpl fld="4" item="20"/>
        </tpls>
      </m>
      <m in="0">
        <tpls c="3">
          <tpl fld="0" item="0"/>
          <tpl fld="1" item="430"/>
          <tpl fld="4" item="9"/>
        </tpls>
      </m>
      <m in="0">
        <tpls c="3">
          <tpl fld="0" item="0"/>
          <tpl fld="1" item="70"/>
          <tpl fld="4" item="14"/>
        </tpls>
      </m>
      <n v="1" in="0">
        <tpls c="3">
          <tpl fld="0" item="0"/>
          <tpl fld="1" item="308"/>
          <tpl fld="4" item="18"/>
        </tpls>
      </n>
      <m in="0">
        <tpls c="3">
          <tpl fld="0" item="0"/>
          <tpl fld="1" item="440"/>
          <tpl fld="4" item="21"/>
        </tpls>
      </m>
      <m in="0">
        <tpls c="3">
          <tpl fld="0" item="0"/>
          <tpl fld="1" item="272"/>
          <tpl fld="4" item="21"/>
        </tpls>
      </m>
      <m in="0">
        <tpls c="3">
          <tpl fld="0" item="0"/>
          <tpl fld="1" item="450"/>
          <tpl fld="4" item="21"/>
        </tpls>
      </m>
      <m in="0">
        <tpls c="3">
          <tpl fld="0" item="0"/>
          <tpl fld="1" item="191"/>
          <tpl fld="4" item="1"/>
        </tpls>
      </m>
      <m in="0">
        <tpls c="3">
          <tpl fld="0" item="0"/>
          <tpl fld="1" item="354"/>
          <tpl fld="4" item="19"/>
        </tpls>
      </m>
      <m in="0">
        <tpls c="3">
          <tpl fld="0" item="0"/>
          <tpl fld="1" item="196"/>
          <tpl fld="4" item="16"/>
        </tpls>
      </m>
      <m in="0">
        <tpls c="3">
          <tpl fld="0" item="0"/>
          <tpl fld="1" item="109"/>
          <tpl fld="4" item="16"/>
        </tpls>
      </m>
      <n v="37" in="0">
        <tpls c="3">
          <tpl fld="0" item="0"/>
          <tpl fld="1" item="160"/>
          <tpl fld="4" item="16"/>
        </tpls>
      </n>
      <n v="55" in="0">
        <tpls c="3">
          <tpl fld="0" item="0"/>
          <tpl fld="1" item="455"/>
          <tpl fld="4" item="15"/>
        </tpls>
      </n>
      <n v="145" in="0">
        <tpls c="3">
          <tpl fld="0" item="0"/>
          <tpl fld="1" item="175"/>
          <tpl fld="4" item="15"/>
        </tpls>
      </n>
      <m in="0">
        <tpls c="3">
          <tpl fld="0" item="0"/>
          <tpl fld="1" item="265"/>
          <tpl fld="4" item="15"/>
        </tpls>
      </m>
      <m in="0">
        <tpls c="3">
          <tpl fld="0" item="0"/>
          <tpl fld="1" item="268"/>
          <tpl fld="4" item="13"/>
        </tpls>
      </m>
      <n v="5" in="0">
        <tpls c="3">
          <tpl fld="0" item="0"/>
          <tpl fld="1" item="0"/>
          <tpl fld="4" item="21"/>
        </tpls>
      </n>
      <n v="2" in="0">
        <tpls c="3">
          <tpl fld="0" item="0"/>
          <tpl fld="1" item="151"/>
          <tpl fld="4" item="28"/>
        </tpls>
      </n>
      <m in="0">
        <tpls c="3">
          <tpl fld="0" item="0"/>
          <tpl fld="1" item="245"/>
          <tpl fld="4" item="29"/>
        </tpls>
      </m>
      <n v="8" in="0">
        <tpls c="3">
          <tpl fld="0" item="0"/>
          <tpl fld="1" item="314"/>
          <tpl fld="4" item="27"/>
        </tpls>
      </n>
      <n v="209" in="0">
        <tpls c="3">
          <tpl fld="0" item="0"/>
          <tpl fld="1" item="287"/>
          <tpl fld="4" item="27"/>
        </tpls>
      </n>
      <n v="3" in="0">
        <tpls c="3">
          <tpl fld="0" item="0"/>
          <tpl fld="1" item="54"/>
          <tpl fld="4" item="22"/>
        </tpls>
      </n>
      <n v="22" in="0">
        <tpls c="3">
          <tpl fld="0" item="0"/>
          <tpl fld="1" item="351"/>
          <tpl fld="4" item="22"/>
        </tpls>
      </n>
      <n v="10" in="0">
        <tpls c="3">
          <tpl fld="0" item="0"/>
          <tpl fld="1" item="59"/>
          <tpl fld="4" item="15"/>
        </tpls>
      </n>
      <m in="0">
        <tpls c="3">
          <tpl fld="0" item="0"/>
          <tpl fld="1" item="294"/>
          <tpl fld="4" item="28"/>
        </tpls>
      </m>
      <m in="0">
        <tpls c="3">
          <tpl fld="0" item="0"/>
          <tpl fld="1" item="120"/>
          <tpl fld="4" item="18"/>
        </tpls>
      </m>
      <m in="0">
        <tpls c="3">
          <tpl fld="0" item="0"/>
          <tpl fld="1" item="155"/>
          <tpl fld="4" item="16"/>
        </tpls>
      </m>
      <n v="13" in="0">
        <tpls c="3">
          <tpl fld="0" item="0"/>
          <tpl fld="1" item="20"/>
          <tpl fld="4" item="19"/>
        </tpls>
      </n>
      <n v="14" in="0">
        <tpls c="3">
          <tpl fld="0" item="0"/>
          <tpl fld="1" item="383"/>
          <tpl fld="4" item="15"/>
        </tpls>
      </n>
      <m in="0">
        <tpls c="3">
          <tpl fld="0" item="0"/>
          <tpl fld="1" item="439"/>
          <tpl fld="4" item="15"/>
        </tpls>
      </m>
      <n v="27" in="0">
        <tpls c="3">
          <tpl fld="0" item="0"/>
          <tpl fld="1" item="142"/>
          <tpl fld="4" item="15"/>
        </tpls>
      </n>
      <n v="1" in="0">
        <tpls c="3">
          <tpl fld="0" item="0"/>
          <tpl fld="1" item="194"/>
          <tpl fld="4" item="13"/>
        </tpls>
      </n>
      <n v="2" in="0">
        <tpls c="3">
          <tpl fld="0" item="0"/>
          <tpl fld="1" item="217"/>
          <tpl fld="4" item="13"/>
        </tpls>
      </n>
      <n v="1" in="0">
        <tpls c="3">
          <tpl fld="0" item="0"/>
          <tpl fld="1" item="246"/>
          <tpl fld="4" item="13"/>
        </tpls>
      </n>
      <n v="120" in="0">
        <tpls c="3">
          <tpl fld="0" item="0"/>
          <tpl fld="1" item="269"/>
          <tpl fld="4" item="13"/>
        </tpls>
      </n>
      <m in="0">
        <tpls c="3">
          <tpl fld="0" item="0"/>
          <tpl fld="1" item="252"/>
          <tpl fld="4" item="18"/>
        </tpls>
      </m>
      <n v="397" in="0">
        <tpls c="3">
          <tpl fld="0" item="0"/>
          <tpl fld="1" item="309"/>
          <tpl fld="4" item="20"/>
        </tpls>
      </n>
      <m in="0">
        <tpls c="3">
          <tpl fld="0" item="0"/>
          <tpl fld="1" item="341"/>
          <tpl fld="4" item="10"/>
        </tpls>
      </m>
      <n v="672" in="1">
        <tpls c="3">
          <tpl fld="0" item="0"/>
          <tpl fld="1" item="438"/>
          <tpl fld="4" item="7"/>
        </tpls>
      </n>
      <m in="0">
        <tpls c="3">
          <tpl fld="0" item="0"/>
          <tpl fld="1" item="36"/>
          <tpl fld="4" item="18"/>
        </tpls>
      </m>
      <n v="6" in="0">
        <tpls c="3">
          <tpl fld="0" item="0"/>
          <tpl fld="1" item="385"/>
          <tpl fld="4" item="18"/>
        </tpls>
      </n>
      <m in="0">
        <tpls c="3">
          <tpl fld="0" item="0"/>
          <tpl fld="1" item="18"/>
          <tpl fld="4" item="18"/>
        </tpls>
      </m>
      <n v="21" in="0">
        <tpls c="3">
          <tpl fld="0" item="0"/>
          <tpl fld="1" item="39"/>
          <tpl fld="4" item="17"/>
        </tpls>
      </n>
      <n v="13" in="0">
        <tpls c="3">
          <tpl fld="0" item="0"/>
          <tpl fld="1" item="273"/>
          <tpl fld="4" item="21"/>
        </tpls>
      </n>
      <n v="2" in="0">
        <tpls c="3">
          <tpl fld="0" item="0"/>
          <tpl fld="1" item="262"/>
          <tpl fld="4" item="8"/>
        </tpls>
      </n>
      <m in="0">
        <tpls c="3">
          <tpl fld="0" item="0"/>
          <tpl fld="3" item="0"/>
          <tpl fld="4" item="20"/>
        </tpls>
      </m>
      <n v="77" in="0">
        <tpls c="3">
          <tpl fld="0" item="0"/>
          <tpl fld="1" item="8"/>
          <tpl fld="4" item="23"/>
        </tpls>
      </n>
      <n v="152" in="0">
        <tpls c="3">
          <tpl fld="0" item="0"/>
          <tpl fld="1" item="411"/>
          <tpl fld="4" item="23"/>
        </tpls>
      </n>
      <n v="353" in="0">
        <tpls c="3">
          <tpl fld="0" item="0"/>
          <tpl fld="1" item="125"/>
          <tpl fld="4" item="27"/>
        </tpls>
      </n>
      <m in="0">
        <tpls c="3">
          <tpl fld="0" item="0"/>
          <tpl fld="1" item="407"/>
          <tpl fld="4" item="22"/>
        </tpls>
      </m>
      <n v="9" in="0">
        <tpls c="3">
          <tpl fld="0" item="0"/>
          <tpl fld="1" item="262"/>
          <tpl fld="4" item="22"/>
        </tpls>
      </n>
      <m in="0">
        <tpls c="3">
          <tpl fld="0" item="0"/>
          <tpl fld="1" item="290"/>
          <tpl fld="4" item="26"/>
        </tpls>
      </m>
      <m in="0">
        <tpls c="3">
          <tpl fld="0" item="0"/>
          <tpl fld="1" item="241"/>
          <tpl fld="4" item="5"/>
        </tpls>
      </m>
      <m in="0">
        <tpls c="3">
          <tpl fld="0" item="0"/>
          <tpl fld="1" item="419"/>
          <tpl fld="4" item="16"/>
        </tpls>
      </m>
      <m in="0">
        <tpls c="3">
          <tpl fld="0" item="0"/>
          <tpl fld="1" item="224"/>
          <tpl fld="4" item="13"/>
        </tpls>
      </m>
      <m in="0">
        <tpls c="3">
          <tpl fld="0" item="0"/>
          <tpl fld="1" item="398"/>
          <tpl fld="4" item="21"/>
        </tpls>
      </m>
      <n v="87" in="0">
        <tpls c="3">
          <tpl fld="0" item="0"/>
          <tpl fld="1" item="381"/>
          <tpl fld="4" item="14"/>
        </tpls>
      </n>
      <n v="79" in="0">
        <tpls c="3">
          <tpl fld="0" item="0"/>
          <tpl fld="1" item="47"/>
          <tpl fld="4" item="13"/>
        </tpls>
      </n>
      <m in="0">
        <tpls c="3">
          <tpl fld="0" item="0"/>
          <tpl fld="1" item="169"/>
          <tpl fld="4" item="9"/>
        </tpls>
      </m>
      <m in="0">
        <tpls c="3">
          <tpl fld="0" item="0"/>
          <tpl fld="1" item="342"/>
          <tpl fld="4" item="16"/>
        </tpls>
      </m>
      <m in="0">
        <tpls c="3">
          <tpl fld="0" item="0"/>
          <tpl fld="1" item="103"/>
          <tpl fld="4" item="18"/>
        </tpls>
      </m>
      <m in="0">
        <tpls c="3">
          <tpl fld="0" item="0"/>
          <tpl fld="1" item="344"/>
          <tpl fld="4" item="18"/>
        </tpls>
      </m>
      <m in="0">
        <tpls c="3">
          <tpl fld="0" item="0"/>
          <tpl fld="1" item="235"/>
          <tpl fld="4" item="16"/>
        </tpls>
      </m>
      <n v="9" in="0">
        <tpls c="3">
          <tpl fld="0" item="0"/>
          <tpl fld="1" item="258"/>
          <tpl fld="4" item="17"/>
        </tpls>
      </n>
      <m in="0">
        <tpls c="3">
          <tpl fld="0" item="0"/>
          <tpl fld="2" item="0"/>
          <tpl fld="4" item="17"/>
        </tpls>
      </m>
      <n v="17" in="0">
        <tpls c="3">
          <tpl fld="0" item="0"/>
          <tpl fld="1" item="80"/>
          <tpl fld="4" item="19"/>
        </tpls>
      </n>
      <m in="0">
        <tpls c="3">
          <tpl fld="0" item="0"/>
          <tpl fld="1" item="434"/>
          <tpl fld="4" item="16"/>
        </tpls>
      </m>
      <m in="0">
        <tpls c="3">
          <tpl fld="0" item="0"/>
          <tpl fld="1" item="3"/>
          <tpl fld="4" item="19"/>
        </tpls>
      </m>
      <m in="0">
        <tpls c="3">
          <tpl fld="0" item="0"/>
          <tpl fld="1" item="441"/>
          <tpl fld="4" item="20"/>
        </tpls>
      </m>
      <n v="244" in="0">
        <tpls c="3">
          <tpl fld="0" item="0"/>
          <tpl fld="1" item="415"/>
          <tpl fld="4" item="20"/>
        </tpls>
      </n>
      <n v="2" in="0">
        <tpls c="3">
          <tpl fld="0" item="0"/>
          <tpl fld="1" item="127"/>
          <tpl fld="4" item="20"/>
        </tpls>
      </n>
      <m in="0">
        <tpls c="3">
          <tpl fld="0" item="0"/>
          <tpl fld="1" item="405"/>
          <tpl fld="4" item="19"/>
        </tpls>
      </m>
      <m in="0">
        <tpls c="3">
          <tpl fld="0" item="0"/>
          <tpl fld="1" item="169"/>
          <tpl fld="4" item="21"/>
        </tpls>
      </m>
      <m in="0">
        <tpls c="3">
          <tpl fld="0" item="0"/>
          <tpl fld="1" item="298"/>
          <tpl fld="4" item="27"/>
        </tpls>
      </m>
      <m in="0">
        <tpls c="3">
          <tpl fld="0" item="0"/>
          <tpl fld="1" item="310"/>
          <tpl fld="4" item="22"/>
        </tpls>
      </m>
      <n v="13" in="0">
        <tpls c="3">
          <tpl fld="0" item="0"/>
          <tpl fld="1" item="409"/>
          <tpl fld="4" item="26"/>
        </tpls>
      </n>
      <m in="0">
        <tpls c="3">
          <tpl fld="0" item="0"/>
          <tpl fld="1" item="363"/>
          <tpl fld="4" item="24"/>
        </tpls>
      </m>
      <n v="143" in="0">
        <tpls c="3">
          <tpl fld="0" item="0"/>
          <tpl fld="1" item="80"/>
          <tpl fld="4" item="24"/>
        </tpls>
      </n>
      <n v="6" in="0">
        <tpls c="3">
          <tpl fld="0" item="0"/>
          <tpl fld="1" item="162"/>
          <tpl fld="4" item="20"/>
        </tpls>
      </n>
      <n v="21" in="0">
        <tpls c="3">
          <tpl fld="0" item="0"/>
          <tpl fld="1" item="17"/>
          <tpl fld="4" item="10"/>
        </tpls>
      </n>
      <m in="0">
        <tpls c="3">
          <tpl fld="0" item="0"/>
          <tpl fld="1" item="427"/>
          <tpl fld="4" item="16"/>
        </tpls>
      </m>
      <m in="0">
        <tpls c="3">
          <tpl fld="0" item="0"/>
          <tpl fld="1" item="436"/>
          <tpl fld="4" item="13"/>
        </tpls>
      </m>
      <n v="20" in="0">
        <tpls c="3">
          <tpl fld="0" item="0"/>
          <tpl fld="1" item="84"/>
          <tpl fld="4" item="14"/>
        </tpls>
      </n>
      <m in="0">
        <tpls c="3">
          <tpl fld="0" item="0"/>
          <tpl fld="1" item="115"/>
          <tpl fld="4" item="19"/>
        </tpls>
      </m>
      <m in="0">
        <tpls c="3">
          <tpl fld="0" item="0"/>
          <tpl fld="1" item="229"/>
          <tpl fld="4" item="19"/>
        </tpls>
      </m>
      <n v="15" in="0">
        <tpls c="3">
          <tpl fld="0" item="0"/>
          <tpl fld="1" item="447"/>
          <tpl fld="4" item="16"/>
        </tpls>
      </n>
      <m in="0">
        <tpls c="3">
          <tpl fld="0" item="0"/>
          <tpl fld="1" item="327"/>
          <tpl fld="4" item="18"/>
        </tpls>
      </m>
      <m in="0">
        <tpls c="3">
          <tpl fld="0" item="0"/>
          <tpl fld="1" item="146"/>
          <tpl fld="4" item="18"/>
        </tpls>
      </m>
      <m in="0">
        <tpls c="3">
          <tpl fld="0" item="0"/>
          <tpl fld="1" item="92"/>
          <tpl fld="4" item="18"/>
        </tpls>
      </m>
      <m in="0">
        <tpls c="3">
          <tpl fld="0" item="0"/>
          <tpl fld="1" item="232"/>
          <tpl fld="4" item="17"/>
        </tpls>
      </m>
      <n v="115" in="0">
        <tpls c="3">
          <tpl fld="0" item="0"/>
          <tpl fld="1" item="266"/>
          <tpl fld="4" item="17"/>
        </tpls>
      </n>
      <m in="0">
        <tpls c="3">
          <tpl fld="0" item="0"/>
          <tpl fld="1" item="196"/>
          <tpl fld="4" item="19"/>
        </tpls>
      </m>
      <m in="0">
        <tpls c="3">
          <tpl fld="0" item="0"/>
          <tpl fld="1" item="413"/>
          <tpl fld="4" item="16"/>
        </tpls>
      </m>
      <n v="8" in="0">
        <tpls c="3">
          <tpl fld="0" item="0"/>
          <tpl fld="1" item="442"/>
          <tpl fld="4" item="19"/>
        </tpls>
      </n>
      <m in="0">
        <tpls c="3">
          <tpl fld="0" item="0"/>
          <tpl fld="1" item="223"/>
          <tpl fld="4" item="20"/>
        </tpls>
      </m>
      <n v="97" in="0">
        <tpls c="3">
          <tpl fld="0" item="0"/>
          <tpl fld="1" item="277"/>
          <tpl fld="4" item="20"/>
        </tpls>
      </n>
      <m in="0">
        <tpls c="3">
          <tpl fld="0" item="0"/>
          <tpl fld="1" item="211"/>
          <tpl fld="4" item="15"/>
        </tpls>
      </m>
      <m in="0">
        <tpls c="3">
          <tpl fld="0" item="0"/>
          <tpl fld="1" item="367"/>
          <tpl fld="4" item="18"/>
        </tpls>
      </m>
      <m in="0">
        <tpls c="3">
          <tpl fld="0" item="0"/>
          <tpl fld="1" item="444"/>
          <tpl fld="4" item="21"/>
        </tpls>
      </m>
      <n v="26" in="0">
        <tpls c="3">
          <tpl fld="0" item="0"/>
          <tpl fld="1" item="431"/>
          <tpl fld="4" item="27"/>
        </tpls>
      </n>
      <m in="0">
        <tpls c="3">
          <tpl fld="0" item="0"/>
          <tpl fld="1" item="436"/>
          <tpl fld="4" item="22"/>
        </tpls>
      </m>
      <m in="0">
        <tpls c="3">
          <tpl fld="0" item="0"/>
          <tpl fld="1" item="73"/>
          <tpl fld="4" item="26"/>
        </tpls>
      </m>
      <m in="0">
        <tpls c="3">
          <tpl fld="0" item="0"/>
          <tpl fld="1" item="43"/>
          <tpl fld="4" item="24"/>
        </tpls>
      </m>
      <n v="784" in="0">
        <tpls c="3">
          <tpl fld="0" item="0"/>
          <tpl fld="1" item="107"/>
          <tpl fld="4" item="24"/>
        </tpls>
      </n>
      <m in="0">
        <tpls c="3">
          <tpl fld="0" item="0"/>
          <tpl fld="1" item="36"/>
          <tpl fld="4" item="15"/>
        </tpls>
      </m>
      <m in="0">
        <tpls c="3">
          <tpl fld="0" item="0"/>
          <tpl fld="1" item="441"/>
          <tpl fld="4" item="16"/>
        </tpls>
      </m>
      <n v="3" in="0">
        <tpls c="3">
          <tpl fld="0" item="0"/>
          <tpl fld="1" item="65"/>
          <tpl fld="4" item="13"/>
        </tpls>
      </n>
      <n v="7" in="0">
        <tpls c="3">
          <tpl fld="0" item="0"/>
          <tpl fld="1" item="368"/>
          <tpl fld="4" item="13"/>
        </tpls>
      </n>
      <m in="0">
        <tpls c="3">
          <tpl fld="0" item="0"/>
          <tpl fld="1" item="93"/>
          <tpl fld="4" item="13"/>
        </tpls>
      </m>
      <m in="0">
        <tpls c="3">
          <tpl fld="0" item="0"/>
          <tpl fld="1" item="128"/>
          <tpl fld="4" item="16"/>
        </tpls>
      </m>
      <m in="0">
        <tpls c="3">
          <tpl fld="0" item="0"/>
          <tpl fld="1" item="185"/>
          <tpl fld="4" item="9"/>
        </tpls>
      </m>
      <m in="0">
        <tpls c="3">
          <tpl fld="0" item="0"/>
          <tpl fld="1" item="260"/>
          <tpl fld="4" item="18"/>
        </tpls>
      </m>
      <n v="6" in="0">
        <tpls c="3">
          <tpl fld="0" item="0"/>
          <tpl fld="1" item="381"/>
          <tpl fld="4" item="18"/>
        </tpls>
      </n>
      <n v="8" in="0">
        <tpls c="3">
          <tpl fld="0" item="0"/>
          <tpl fld="1" item="438"/>
          <tpl fld="4" item="18"/>
        </tpls>
      </n>
      <m in="0">
        <tpls c="3">
          <tpl fld="0" item="0"/>
          <tpl fld="1" item="250"/>
          <tpl fld="4" item="17"/>
        </tpls>
      </m>
      <n v="7" in="0">
        <tpls c="3">
          <tpl fld="0" item="0"/>
          <tpl fld="1" item="54"/>
          <tpl fld="4" item="17"/>
        </tpls>
      </n>
      <n v="52" in="0">
        <tpls c="3">
          <tpl fld="0" item="0"/>
          <tpl fld="1" item="150"/>
          <tpl fld="4" item="10"/>
        </tpls>
      </n>
      <m in="0">
        <tpls c="3">
          <tpl fld="0" item="0"/>
          <tpl fld="1" item="353"/>
          <tpl fld="4" item="19"/>
        </tpls>
      </m>
      <n v="2" in="0">
        <tpls c="3">
          <tpl fld="0" item="0"/>
          <tpl fld="1" item="201"/>
          <tpl fld="4" item="16"/>
        </tpls>
      </n>
      <n v="5" in="0">
        <tpls c="3">
          <tpl fld="0" item="0"/>
          <tpl fld="1" item="454"/>
          <tpl fld="4" item="19"/>
        </tpls>
      </n>
      <n v="29" in="0">
        <tpls c="3">
          <tpl fld="0" item="0"/>
          <tpl fld="1" item="343"/>
          <tpl fld="4" item="20"/>
        </tpls>
      </n>
      <m in="0">
        <tpls c="3">
          <tpl fld="0" item="0"/>
          <tpl fld="1" item="102"/>
          <tpl fld="4" item="15"/>
        </tpls>
      </m>
      <n v="32" in="0">
        <tpls c="3">
          <tpl fld="0" item="0"/>
          <tpl fld="1" item="227"/>
          <tpl fld="4" item="15"/>
        </tpls>
      </n>
      <n v="1" in="0">
        <tpls c="3">
          <tpl fld="0" item="0"/>
          <tpl fld="1" item="212"/>
          <tpl fld="4" item="13"/>
        </tpls>
      </n>
      <n v="7" in="0">
        <tpls c="3">
          <tpl fld="0" item="0"/>
          <tpl fld="1" item="25"/>
          <tpl fld="4" item="14"/>
        </tpls>
      </n>
      <n v="20" in="0">
        <tpls c="3">
          <tpl fld="0" item="0"/>
          <tpl fld="1" item="433"/>
          <tpl fld="4" item="27"/>
        </tpls>
      </n>
      <m in="0">
        <tpls c="3">
          <tpl fld="0" item="0"/>
          <tpl fld="1" item="423"/>
          <tpl fld="4" item="22"/>
        </tpls>
      </m>
      <n v="23" in="0">
        <tpls c="3">
          <tpl fld="0" item="0"/>
          <tpl fld="1" item="16"/>
          <tpl fld="4" item="25"/>
        </tpls>
      </n>
      <m in="0">
        <tpls c="3">
          <tpl fld="0" item="0"/>
          <tpl fld="1" item="59"/>
          <tpl fld="4" item="24"/>
        </tpls>
      </m>
      <n v="6" in="0">
        <tpls c="3">
          <tpl fld="0" item="0"/>
          <tpl fld="1" item="208"/>
          <tpl fld="4" item="24"/>
        </tpls>
      </n>
      <n v="62" in="0">
        <tpls c="3">
          <tpl fld="0" item="0"/>
          <tpl fld="1" item="269"/>
          <tpl fld="4" item="17"/>
        </tpls>
      </n>
      <m in="0">
        <tpls c="3">
          <tpl fld="0" item="0"/>
          <tpl fld="1" item="76"/>
          <tpl fld="4" item="16"/>
        </tpls>
      </m>
      <m in="0">
        <tpls c="3">
          <tpl fld="0" item="0"/>
          <tpl fld="1" item="303"/>
          <tpl fld="4" item="16"/>
        </tpls>
      </m>
      <m in="0">
        <tpls c="3">
          <tpl fld="0" item="0"/>
          <tpl fld="1" item="338"/>
          <tpl fld="4" item="22"/>
        </tpls>
      </m>
      <m in="0">
        <tpls c="3">
          <tpl fld="0" item="0"/>
          <tpl fld="1" item="275"/>
          <tpl fld="4" item="22"/>
        </tpls>
      </m>
      <m in="0">
        <tpls c="3">
          <tpl fld="0" item="0"/>
          <tpl fld="1" item="435"/>
          <tpl fld="4" item="25"/>
        </tpls>
      </m>
      <n v="64" in="0">
        <tpls c="3">
          <tpl fld="0" item="0"/>
          <tpl fld="1" item="285"/>
          <tpl fld="4" item="15"/>
        </tpls>
      </n>
      <m in="0">
        <tpls c="3">
          <tpl fld="0" item="0"/>
          <tpl fld="1" item="36"/>
          <tpl fld="4" item="19"/>
        </tpls>
      </m>
      <m in="0">
        <tpls c="3">
          <tpl fld="0" item="0"/>
          <tpl fld="1" item="396"/>
          <tpl fld="4" item="20"/>
        </tpls>
      </m>
      <m in="0">
        <tpls c="3">
          <tpl fld="0" item="0"/>
          <tpl fld="1" item="270"/>
          <tpl fld="4" item="18"/>
        </tpls>
      </m>
      <m in="0">
        <tpls c="3">
          <tpl fld="0" item="0"/>
          <tpl fld="1" item="91"/>
          <tpl fld="4" item="17"/>
        </tpls>
      </m>
      <m in="0">
        <tpls c="3">
          <tpl fld="0" item="0"/>
          <tpl fld="1" item="457"/>
          <tpl fld="4" item="21"/>
        </tpls>
      </m>
      <n v="1" in="0">
        <tpls c="3">
          <tpl fld="0" item="0"/>
          <tpl fld="1" item="317"/>
          <tpl fld="4" item="21"/>
        </tpls>
      </n>
      <m in="0">
        <tpls c="3">
          <tpl fld="0" item="0"/>
          <tpl fld="1" item="74"/>
          <tpl fld="4" item="14"/>
        </tpls>
      </m>
      <n v="22" in="0">
        <tpls c="3">
          <tpl fld="0" item="0"/>
          <tpl fld="1" item="400"/>
          <tpl fld="4" item="16"/>
        </tpls>
      </n>
      <n v="2" in="0">
        <tpls c="3">
          <tpl fld="0" item="0"/>
          <tpl fld="1" item="55"/>
          <tpl fld="4" item="16"/>
        </tpls>
      </n>
      <n v="36" in="0">
        <tpls c="3">
          <tpl fld="0" item="0"/>
          <tpl fld="1" item="177"/>
          <tpl fld="4" item="16"/>
        </tpls>
      </n>
      <m in="0">
        <tpls c="3">
          <tpl fld="0" item="0"/>
          <tpl fld="1" item="213"/>
          <tpl fld="4" item="16"/>
        </tpls>
      </m>
      <m in="0">
        <tpls c="3">
          <tpl fld="0" item="0"/>
          <tpl fld="1" item="378"/>
          <tpl fld="4" item="15"/>
        </tpls>
      </m>
      <m in="0">
        <tpls c="3">
          <tpl fld="0" item="0"/>
          <tpl fld="1" item="251"/>
          <tpl fld="4" item="15"/>
        </tpls>
      </m>
      <n v="340" in="0">
        <tpls c="3">
          <tpl fld="0" item="0"/>
          <tpl fld="1" item="348"/>
          <tpl fld="4" item="10"/>
        </tpls>
      </n>
      <n v="1" in="0">
        <tpls c="3">
          <tpl fld="0" item="0"/>
          <tpl fld="1" item="208"/>
          <tpl fld="4" item="13"/>
        </tpls>
      </n>
      <n v="17" in="0">
        <tpls c="3">
          <tpl fld="0" item="0"/>
          <tpl fld="1" item="377"/>
          <tpl fld="4" item="19"/>
        </tpls>
      </n>
      <n v="3" in="0">
        <tpls c="3">
          <tpl fld="0" item="0"/>
          <tpl fld="1" item="422"/>
          <tpl fld="4" item="13"/>
        </tpls>
      </n>
      <m in="0">
        <tpls c="3">
          <tpl fld="0" item="0"/>
          <tpl fld="1" item="345"/>
          <tpl fld="4" item="18"/>
        </tpls>
      </m>
      <m in="0">
        <tpls c="3">
          <tpl fld="0" item="0"/>
          <tpl fld="1" item="300"/>
          <tpl fld="4" item="18"/>
        </tpls>
      </m>
      <m in="0">
        <tpls c="3">
          <tpl fld="0" item="0"/>
          <tpl fld="1" item="6"/>
          <tpl fld="4" item="20"/>
        </tpls>
      </m>
      <m in="0">
        <tpls c="3">
          <tpl fld="0" item="0"/>
          <tpl fld="1" item="102"/>
          <tpl fld="4" item="13"/>
        </tpls>
      </m>
      <n v="3" in="0">
        <tpls c="3">
          <tpl fld="0" item="0"/>
          <tpl fld="1" item="403"/>
          <tpl fld="4" item="17"/>
        </tpls>
      </n>
      <m in="0">
        <tpls c="3">
          <tpl fld="0" item="0"/>
          <tpl fld="1" item="341"/>
          <tpl fld="4" item="29"/>
        </tpls>
      </m>
      <n v="1" in="0">
        <tpls c="3">
          <tpl fld="0" item="0"/>
          <tpl fld="1" item="276"/>
          <tpl fld="4" item="27"/>
        </tpls>
      </n>
      <m in="0">
        <tpls c="3">
          <tpl fld="0" item="0"/>
          <tpl fld="1" item="414"/>
          <tpl fld="4" item="26"/>
        </tpls>
      </m>
      <n v="136" in="0">
        <tpls c="3">
          <tpl fld="0" item="0"/>
          <tpl fld="1" item="138"/>
          <tpl fld="4" item="25"/>
        </tpls>
      </n>
      <n v="6" in="0">
        <tpls c="3">
          <tpl fld="0" item="0"/>
          <tpl fld="1" item="299"/>
          <tpl fld="4" item="25"/>
        </tpls>
      </n>
      <m in="0">
        <tpls c="3">
          <tpl fld="0" item="0"/>
          <tpl fld="1" item="228"/>
          <tpl fld="4" item="25"/>
        </tpls>
      </m>
      <m in="0">
        <tpls c="3">
          <tpl fld="0" item="0"/>
          <tpl fld="1" item="23"/>
          <tpl fld="4" item="18"/>
        </tpls>
      </m>
      <m in="0">
        <tpls c="3">
          <tpl fld="0" item="0"/>
          <tpl fld="1" item="198"/>
          <tpl fld="4" item="21"/>
        </tpls>
      </m>
      <m in="0">
        <tpls c="3">
          <tpl fld="0" item="0"/>
          <tpl fld="1" item="370"/>
          <tpl fld="4" item="18"/>
        </tpls>
      </m>
      <m in="0">
        <tpls c="3">
          <tpl fld="0" item="0"/>
          <tpl fld="1" item="159"/>
          <tpl fld="4" item="13"/>
        </tpls>
      </m>
      <m in="0">
        <tpls c="3">
          <tpl fld="0" item="0"/>
          <tpl fld="1" item="290"/>
          <tpl fld="4" item="13"/>
        </tpls>
      </m>
      <m in="0">
        <tpls c="3">
          <tpl fld="0" item="0"/>
          <tpl fld="1" item="176"/>
          <tpl fld="4" item="16"/>
        </tpls>
      </m>
      <n v="8" in="0">
        <tpls c="3">
          <tpl fld="0" item="0"/>
          <tpl fld="1" item="255"/>
          <tpl fld="4" item="18"/>
        </tpls>
      </n>
      <m in="0">
        <tpls c="3">
          <tpl fld="0" item="0"/>
          <tpl fld="1" item="130"/>
          <tpl fld="4" item="8"/>
        </tpls>
      </m>
      <m in="0">
        <tpls c="3">
          <tpl fld="0" item="0"/>
          <tpl fld="1" item="126"/>
          <tpl fld="4" item="18"/>
        </tpls>
      </m>
      <n v="164" in="0">
        <tpls c="3">
          <tpl fld="0" item="0"/>
          <tpl fld="1" item="67"/>
          <tpl fld="4" item="14"/>
        </tpls>
      </n>
      <m in="0">
        <tpls c="3">
          <tpl fld="0" item="0"/>
          <tpl fld="1" item="95"/>
          <tpl fld="4" item="18"/>
        </tpls>
      </m>
      <m in="0">
        <tpls c="3">
          <tpl fld="0" item="0"/>
          <tpl fld="1" item="210"/>
          <tpl fld="4" item="18"/>
        </tpls>
      </m>
      <m in="0">
        <tpls c="3">
          <tpl fld="0" item="0"/>
          <tpl fld="1" item="48"/>
          <tpl fld="4" item="17"/>
        </tpls>
      </m>
      <m in="0">
        <tpls c="3">
          <tpl fld="0" item="0"/>
          <tpl fld="1" item="211"/>
          <tpl fld="4" item="21"/>
        </tpls>
      </m>
      <m in="0">
        <tpls c="3">
          <tpl fld="0" item="0"/>
          <tpl fld="1" item="94"/>
          <tpl fld="4" item="9"/>
        </tpls>
      </m>
      <m in="0">
        <tpls c="3">
          <tpl fld="0" item="0"/>
          <tpl fld="1" item="31"/>
          <tpl fld="4" item="19"/>
        </tpls>
      </m>
      <m in="0">
        <tpls c="3">
          <tpl fld="0" item="0"/>
          <tpl fld="1" item="193"/>
          <tpl fld="4" item="16"/>
        </tpls>
      </m>
      <m in="0">
        <tpls c="3">
          <tpl fld="0" item="0"/>
          <tpl fld="1" item="278"/>
          <tpl fld="4" item="19"/>
        </tpls>
      </m>
      <m in="0">
        <tpls c="3">
          <tpl fld="0" item="0"/>
          <tpl fld="1" item="93"/>
          <tpl fld="4" item="15"/>
        </tpls>
      </m>
      <m in="0">
        <tpls c="3">
          <tpl fld="0" item="0"/>
          <tpl fld="1" item="130"/>
          <tpl fld="4" item="15"/>
        </tpls>
      </m>
      <n v="82" in="0">
        <tpls c="3">
          <tpl fld="0" item="0"/>
          <tpl fld="1" item="334"/>
          <tpl fld="4" item="15"/>
        </tpls>
      </n>
      <m in="0">
        <tpls c="3">
          <tpl fld="0" item="0"/>
          <tpl fld="1" item="286"/>
          <tpl fld="4" item="16"/>
        </tpls>
      </m>
      <n v="3" in="0">
        <tpls c="3">
          <tpl fld="0" item="0"/>
          <tpl fld="1" item="8"/>
          <tpl fld="4" item="16"/>
        </tpls>
      </n>
      <n v="42" in="0">
        <tpls c="3">
          <tpl fld="0" item="0"/>
          <tpl fld="1" item="111"/>
          <tpl fld="4" item="17"/>
        </tpls>
      </n>
      <m in="0">
        <tpls c="3">
          <tpl fld="0" item="0"/>
          <tpl fld="1" item="109"/>
          <tpl fld="4" item="21"/>
        </tpls>
      </m>
      <n v="7" in="0">
        <tpls c="3">
          <tpl fld="0" item="0"/>
          <tpl fld="1" item="155"/>
          <tpl fld="4" item="20"/>
        </tpls>
      </n>
      <n v="8" in="0">
        <tpls c="3">
          <tpl fld="0" item="0"/>
          <tpl fld="1" item="246"/>
          <tpl fld="4" item="17"/>
        </tpls>
      </n>
      <n v="1" in="0">
        <tpls c="3">
          <tpl fld="0" item="0"/>
          <tpl fld="1" item="178"/>
          <tpl fld="4" item="20"/>
        </tpls>
      </n>
      <m in="0">
        <tpls c="3">
          <tpl fld="0" item="0"/>
          <tpl fld="1" item="83"/>
          <tpl fld="4" item="15"/>
        </tpls>
      </m>
      <m in="0">
        <tpls c="3">
          <tpl fld="0" item="0"/>
          <tpl fld="1" item="1"/>
          <tpl fld="4" item="19"/>
        </tpls>
      </m>
      <n v="31" in="0">
        <tpls c="3">
          <tpl fld="0" item="0"/>
          <tpl fld="1" item="419"/>
          <tpl fld="4" item="20"/>
        </tpls>
      </n>
      <n v="14" in="0">
        <tpls c="3">
          <tpl fld="0" item="0"/>
          <tpl fld="1" item="132"/>
          <tpl fld="4" item="16"/>
        </tpls>
      </n>
      <n v="8" in="0">
        <tpls c="3">
          <tpl fld="0" item="0"/>
          <tpl fld="1" item="441"/>
          <tpl fld="4" item="15"/>
        </tpls>
      </n>
      <n v="3" in="0">
        <tpls c="3">
          <tpl fld="0" item="0"/>
          <tpl fld="1" item="155"/>
          <tpl fld="4" item="13"/>
        </tpls>
      </n>
      <m in="0">
        <tpls c="3">
          <tpl fld="0" item="0"/>
          <tpl fld="1" item="209"/>
          <tpl fld="4" item="18"/>
        </tpls>
      </m>
      <n v="10" in="0">
        <tpls c="3">
          <tpl fld="0" item="0"/>
          <tpl fld="1" item="28"/>
          <tpl fld="4" item="17"/>
        </tpls>
      </n>
      <n v="4" in="0">
        <tpls c="3">
          <tpl fld="0" item="0"/>
          <tpl fld="1" item="174"/>
          <tpl fld="4" item="13"/>
        </tpls>
      </n>
      <m in="0">
        <tpls c="3">
          <tpl fld="0" item="0"/>
          <tpl fld="1" item="268"/>
          <tpl fld="4" item="17"/>
        </tpls>
      </m>
      <n v="6" in="0">
        <tpls c="3">
          <tpl fld="0" item="0"/>
          <tpl fld="1" item="351"/>
          <tpl fld="4" item="18"/>
        </tpls>
      </n>
      <m in="0">
        <tpls c="3">
          <tpl fld="0" item="0"/>
          <tpl fld="1" item="30"/>
          <tpl fld="4" item="13"/>
        </tpls>
      </m>
      <m in="0">
        <tpls c="3">
          <tpl fld="0" item="0"/>
          <tpl fld="1" item="24"/>
          <tpl fld="4" item="19"/>
        </tpls>
      </m>
      <n v="37" in="0">
        <tpls c="3">
          <tpl fld="0" item="0"/>
          <tpl fld="1" item="266"/>
          <tpl fld="4" item="16"/>
        </tpls>
      </n>
      <m in="0">
        <tpls c="3">
          <tpl fld="0" item="0"/>
          <tpl fld="1" item="391"/>
          <tpl fld="4" item="20"/>
        </tpls>
      </m>
      <n v="2" in="0">
        <tpls c="3">
          <tpl fld="0" item="0"/>
          <tpl fld="1" item="33"/>
          <tpl fld="4" item="18"/>
        </tpls>
      </n>
      <n v="1" in="0">
        <tpls c="3">
          <tpl fld="0" item="0"/>
          <tpl fld="1" item="161"/>
          <tpl fld="4" item="16"/>
        </tpls>
      </n>
      <m in="0">
        <tpls c="3">
          <tpl fld="0" item="0"/>
          <tpl fld="1" item="192"/>
          <tpl fld="4" item="16"/>
        </tpls>
      </m>
      <n v="2" in="0">
        <tpls c="3">
          <tpl fld="0" item="0"/>
          <tpl fld="1" item="442"/>
          <tpl fld="4" item="18"/>
        </tpls>
      </n>
      <n v="126" in="0">
        <tpls c="3">
          <tpl fld="0" item="0"/>
          <tpl fld="1" item="104"/>
          <tpl fld="4" item="15"/>
        </tpls>
      </n>
      <m in="0">
        <tpls c="3">
          <tpl fld="0" item="0"/>
          <tpl fld="1" item="233"/>
          <tpl fld="4" item="20"/>
        </tpls>
      </m>
      <m in="0">
        <tpls c="3">
          <tpl fld="0" item="0"/>
          <tpl fld="1" item="277"/>
          <tpl fld="4" item="18"/>
        </tpls>
      </m>
      <n v="2" in="0">
        <tpls c="3">
          <tpl fld="0" item="0"/>
          <tpl fld="1" item="382"/>
          <tpl fld="4" item="13"/>
        </tpls>
      </n>
      <m in="0">
        <tpls c="3">
          <tpl fld="0" item="0"/>
          <tpl fld="1" item="451"/>
          <tpl fld="4" item="14"/>
        </tpls>
      </m>
      <n v="1228" in="0">
        <tpls c="3">
          <tpl fld="0" item="0"/>
          <tpl fld="1" item="45"/>
          <tpl fld="4" item="20"/>
        </tpls>
      </n>
      <n v="2" in="0">
        <tpls c="3">
          <tpl fld="0" item="0"/>
          <tpl fld="1" item="311"/>
          <tpl fld="4" item="21"/>
        </tpls>
      </n>
      <m in="0">
        <tpls c="3">
          <tpl fld="0" item="0"/>
          <tpl fld="1" item="200"/>
          <tpl fld="4" item="19"/>
        </tpls>
      </m>
      <m in="0">
        <tpls c="3">
          <tpl fld="0" item="0"/>
          <tpl fld="1" item="432"/>
          <tpl fld="4" item="8"/>
        </tpls>
      </m>
      <m in="0">
        <tpls c="3">
          <tpl fld="0" item="0"/>
          <tpl fld="1" item="253"/>
          <tpl fld="4" item="14"/>
        </tpls>
      </m>
      <m in="0">
        <tpls c="3">
          <tpl fld="0" item="0"/>
          <tpl fld="1" item="185"/>
          <tpl fld="4" item="14"/>
        </tpls>
      </m>
      <n v="1" in="0">
        <tpls c="3">
          <tpl fld="0" item="0"/>
          <tpl fld="1" item="199"/>
          <tpl fld="4" item="13"/>
        </tpls>
      </n>
      <n v="1" in="0">
        <tpls c="3">
          <tpl fld="0" item="0"/>
          <tpl fld="1" item="242"/>
          <tpl fld="4" item="18"/>
        </tpls>
      </n>
      <m in="0">
        <tpls c="3">
          <tpl fld="0" item="0"/>
          <tpl fld="1" item="362"/>
          <tpl fld="4" item="16"/>
        </tpls>
      </m>
      <m in="0">
        <tpls c="3">
          <tpl fld="0" item="0"/>
          <tpl fld="1" item="16"/>
          <tpl fld="4" item="19"/>
        </tpls>
      </m>
      <n v="31" in="0">
        <tpls c="3">
          <tpl fld="0" item="0"/>
          <tpl fld="1" item="163"/>
          <tpl fld="4" item="15"/>
        </tpls>
      </n>
      <m in="0">
        <tpls c="3">
          <tpl fld="0" item="0"/>
          <tpl fld="1" item="423"/>
          <tpl fld="4" item="15"/>
        </tpls>
      </m>
      <n v="192" in="0">
        <tpls c="3">
          <tpl fld="0" item="0"/>
          <tpl fld="1" item="381"/>
          <tpl fld="4" item="15"/>
        </tpls>
      </n>
      <m in="0">
        <tpls c="3">
          <tpl fld="0" item="0"/>
          <tpl fld="1" item="435"/>
          <tpl fld="4" item="13"/>
        </tpls>
      </m>
      <m in="0">
        <tpls c="3">
          <tpl fld="0" item="0"/>
          <tpl fld="1" item="285"/>
          <tpl fld="4" item="13"/>
        </tpls>
      </m>
      <n v="2" in="0">
        <tpls c="3">
          <tpl fld="0" item="0"/>
          <tpl fld="1" item="168"/>
          <tpl fld="4" item="13"/>
        </tpls>
      </n>
      <n v="3" in="0">
        <tpls c="3">
          <tpl fld="0" item="0"/>
          <tpl fld="1" item="348"/>
          <tpl fld="4" item="13"/>
        </tpls>
      </n>
      <m in="0">
        <tpls c="3">
          <tpl fld="0" item="0"/>
          <tpl fld="1" item="131"/>
          <tpl fld="4" item="18"/>
        </tpls>
      </m>
      <m in="0">
        <tpls c="3">
          <tpl fld="0" item="0"/>
          <tpl fld="1" item="93"/>
          <tpl fld="4" item="18"/>
        </tpls>
      </m>
      <m in="0">
        <tpls c="3">
          <tpl fld="0" item="0"/>
          <tpl fld="1" item="392"/>
          <tpl fld="4" item="11"/>
        </tpls>
      </m>
      <m in="0">
        <tpls c="3">
          <tpl fld="0" item="0"/>
          <tpl fld="1" item="27"/>
          <tpl fld="4" item="18"/>
        </tpls>
      </m>
      <m in="0">
        <tpls c="3">
          <tpl fld="0" item="0"/>
          <tpl fld="1" item="61"/>
          <tpl fld="4" item="18"/>
        </tpls>
      </m>
      <n v="36" in="0">
        <tpls c="3">
          <tpl fld="0" item="0"/>
          <tpl fld="1" item="107"/>
          <tpl fld="4" item="18"/>
        </tpls>
      </n>
      <n v="151" in="0">
        <tpls c="3">
          <tpl fld="0" item="0"/>
          <tpl fld="1" item="324"/>
          <tpl fld="4" item="17"/>
        </tpls>
      </n>
      <m in="0">
        <tpls c="3">
          <tpl fld="0" item="0"/>
          <tpl fld="1" item="157"/>
          <tpl fld="4" item="17"/>
        </tpls>
      </m>
      <m in="0">
        <tpls c="3">
          <tpl fld="0" item="0"/>
          <tpl fld="1" item="346"/>
          <tpl fld="4" item="18"/>
        </tpls>
      </m>
      <n v="12" in="0">
        <tpls c="3">
          <tpl fld="0" item="0"/>
          <tpl fld="1" item="165"/>
          <tpl fld="4" item="23"/>
        </tpls>
      </n>
      <n v="238" in="0">
        <tpls c="3">
          <tpl fld="0" item="0"/>
          <tpl fld="1" item="255"/>
          <tpl fld="4" item="23"/>
        </tpls>
      </n>
      <n v="273" in="0">
        <tpls c="3">
          <tpl fld="0" item="0"/>
          <tpl fld="1" item="215"/>
          <tpl fld="4" item="27"/>
        </tpls>
      </n>
      <m in="0">
        <tpls c="3">
          <tpl fld="0" item="0"/>
          <tpl fld="1" item="154"/>
          <tpl fld="4" item="22"/>
        </tpls>
      </m>
      <m in="0">
        <tpls c="3">
          <tpl fld="0" item="0"/>
          <tpl fld="1" item="358"/>
          <tpl fld="4" item="22"/>
        </tpls>
      </m>
      <m in="0">
        <tpls c="3">
          <tpl fld="0" item="0"/>
          <tpl fld="1" item="286"/>
          <tpl fld="4" item="26"/>
        </tpls>
      </m>
      <n v="89" in="0">
        <tpls c="3">
          <tpl fld="0" item="0"/>
          <tpl fld="1" item="138"/>
          <tpl fld="4" item="20"/>
        </tpls>
      </n>
      <m in="0">
        <tpls c="3">
          <tpl fld="0" item="0"/>
          <tpl fld="1" item="210"/>
          <tpl fld="4" item="21"/>
        </tpls>
      </m>
      <n v="4" in="0">
        <tpls c="3">
          <tpl fld="0" item="0"/>
          <tpl fld="1" item="296"/>
          <tpl fld="4" item="13"/>
        </tpls>
      </n>
      <m in="0">
        <tpls c="3">
          <tpl fld="0" item="0"/>
          <tpl fld="1" item="135"/>
          <tpl fld="4" item="18"/>
        </tpls>
      </m>
      <m in="0">
        <tpls c="3">
          <tpl fld="0" item="0"/>
          <tpl fld="1" item="217"/>
          <tpl fld="4" item="18"/>
        </tpls>
      </m>
      <m in="0">
        <tpls c="3">
          <tpl fld="0" item="0"/>
          <tpl fld="1" item="450"/>
          <tpl fld="4" item="17"/>
        </tpls>
      </m>
      <m in="0">
        <tpls c="3">
          <tpl fld="0" item="0"/>
          <tpl fld="1" item="371"/>
          <tpl fld="4" item="17"/>
        </tpls>
      </m>
      <n v="24" in="0">
        <tpls c="3">
          <tpl fld="0" item="0"/>
          <tpl fld="1" item="144"/>
          <tpl fld="4" item="17"/>
        </tpls>
      </n>
      <m in="0">
        <tpls c="3">
          <tpl fld="0" item="0"/>
          <tpl fld="1" item="344"/>
          <tpl fld="4" item="19"/>
        </tpls>
      </m>
      <m in="0">
        <tpls c="3">
          <tpl fld="0" item="0"/>
          <tpl fld="1" item="63"/>
          <tpl fld="4" item="16"/>
        </tpls>
      </m>
      <m in="0">
        <tpls c="3">
          <tpl fld="0" item="0"/>
          <tpl fld="1" item="195"/>
          <tpl fld="4" item="19"/>
        </tpls>
      </m>
      <n v="50" in="0">
        <tpls c="3">
          <tpl fld="0" item="0"/>
          <tpl fld="1" item="266"/>
          <tpl fld="4" item="19"/>
        </tpls>
      </n>
      <n v="28" in="0">
        <tpls c="3">
          <tpl fld="0" item="0"/>
          <tpl fld="1" item="116"/>
          <tpl fld="4" item="15"/>
        </tpls>
      </n>
      <n v="19" in="0">
        <tpls c="3">
          <tpl fld="0" item="0"/>
          <tpl fld="1" item="323"/>
          <tpl fld="4" item="15"/>
        </tpls>
      </n>
      <m in="0">
        <tpls c="3">
          <tpl fld="0" item="0"/>
          <tpl fld="1" item="411"/>
          <tpl fld="4" item="8"/>
        </tpls>
      </m>
      <m in="0">
        <tpls c="3">
          <tpl fld="0" item="0"/>
          <tpl fld="1" item="435"/>
          <tpl fld="4" item="14"/>
        </tpls>
      </m>
      <n v="59" in="0">
        <tpls c="3">
          <tpl fld="0" item="0"/>
          <tpl fld="1" item="224"/>
          <tpl fld="4" item="14"/>
        </tpls>
      </n>
      <m in="0">
        <tpls c="3">
          <tpl fld="0" item="0"/>
          <tpl fld="1" item="53"/>
          <tpl fld="4" item="13"/>
        </tpls>
      </m>
      <n v="40" in="0">
        <tpls c="3">
          <tpl fld="0" item="0"/>
          <tpl fld="1" item="367"/>
          <tpl fld="4" item="14"/>
        </tpls>
      </n>
      <n v="29" in="0">
        <tpls c="3">
          <tpl fld="0" item="0"/>
          <tpl fld="1" item="332"/>
          <tpl fld="4" item="20"/>
        </tpls>
      </n>
      <m in="0">
        <tpls c="3">
          <tpl fld="0" item="0"/>
          <tpl fld="1" item="359"/>
          <tpl fld="4" item="6"/>
        </tpls>
      </m>
      <n v="4" in="0">
        <tpls c="3">
          <tpl fld="0" item="0"/>
          <tpl fld="1" item="370"/>
          <tpl fld="4" item="19"/>
        </tpls>
      </n>
      <n v="13" in="0">
        <tpls c="3">
          <tpl fld="0" item="0"/>
          <tpl fld="1" item="41"/>
          <tpl fld="4" item="17"/>
        </tpls>
      </n>
      <m in="0">
        <tpls c="3">
          <tpl fld="0" item="0"/>
          <tpl fld="1" item="286"/>
          <tpl fld="4" item="29"/>
        </tpls>
      </m>
      <n v="4" in="0">
        <tpls c="3">
          <tpl fld="0" item="0"/>
          <tpl fld="1" item="203"/>
          <tpl fld="4" item="29"/>
        </tpls>
      </n>
      <m in="0">
        <tpls c="3">
          <tpl fld="0" item="0"/>
          <tpl fld="1" item="74"/>
          <tpl fld="4" item="22"/>
        </tpls>
      </m>
      <m in="0">
        <tpls c="3">
          <tpl fld="0" item="0"/>
          <tpl fld="1" item="341"/>
          <tpl fld="4" item="26"/>
        </tpls>
      </m>
      <m in="0">
        <tpls c="3">
          <tpl fld="0" item="0"/>
          <tpl fld="1" item="188"/>
          <tpl fld="4" item="26"/>
        </tpls>
      </m>
      <n v="403" in="0">
        <tpls c="3">
          <tpl fld="0" item="0"/>
          <tpl fld="1" item="114"/>
          <tpl fld="4" item="25"/>
        </tpls>
      </n>
      <n v="39" in="1">
        <tpls c="3">
          <tpl fld="0" item="0"/>
          <tpl fld="1" item="311"/>
          <tpl fld="4" item="7"/>
        </tpls>
      </n>
      <m in="0">
        <tpls c="3">
          <tpl fld="0" item="0"/>
          <tpl fld="1" item="109"/>
          <tpl fld="4" item="14"/>
        </tpls>
      </m>
      <m in="0">
        <tpls c="3">
          <tpl fld="0" item="0"/>
          <tpl fld="1" item="43"/>
          <tpl fld="4" item="19"/>
        </tpls>
      </m>
      <m in="0">
        <tpls c="3">
          <tpl fld="0" item="0"/>
          <tpl fld="1" item="51"/>
          <tpl fld="4" item="13"/>
        </tpls>
      </m>
      <n v="2" in="0">
        <tpls c="3">
          <tpl fld="0" item="0"/>
          <tpl fld="1" item="412"/>
          <tpl fld="4" item="20"/>
        </tpls>
      </n>
      <n v="297" in="0">
        <tpls c="3">
          <tpl fld="0" item="0"/>
          <tpl fld="1" item="215"/>
          <tpl fld="4" item="20"/>
        </tpls>
      </n>
      <m in="0">
        <tpls c="3">
          <tpl fld="0" item="0"/>
          <tpl fld="1" item="343"/>
          <tpl fld="4" item="18"/>
        </tpls>
      </m>
      <n v="211" in="0">
        <tpls c="3">
          <tpl fld="0" item="0"/>
          <tpl fld="1" item="331"/>
          <tpl fld="4" item="13"/>
        </tpls>
      </n>
      <m in="0">
        <tpls c="3">
          <tpl fld="0" item="0"/>
          <tpl fld="1" item="133"/>
          <tpl fld="4" item="20"/>
        </tpls>
      </m>
      <m in="0">
        <tpls c="3">
          <tpl fld="0" item="0"/>
          <tpl fld="1" item="19"/>
          <tpl fld="4" item="21"/>
        </tpls>
      </m>
      <m in="0">
        <tpls c="3">
          <tpl fld="0" item="0"/>
          <tpl fld="1" item="86"/>
          <tpl fld="4" item="21"/>
        </tpls>
      </m>
      <m in="0">
        <tpls c="3">
          <tpl fld="0" item="0"/>
          <tpl fld="1" item="78"/>
          <tpl fld="4" item="6"/>
        </tpls>
      </m>
      <n v="8" in="0">
        <tpls c="3">
          <tpl fld="0" item="0"/>
          <tpl fld="1" item="33"/>
          <tpl fld="4" item="16"/>
        </tpls>
      </n>
      <n v="1" in="0">
        <tpls c="3">
          <tpl fld="0" item="0"/>
          <tpl fld="1" item="281"/>
          <tpl fld="4" item="18"/>
        </tpls>
      </n>
      <n v="11" in="0">
        <tpls c="3">
          <tpl fld="0" item="0"/>
          <tpl fld="1" item="111"/>
          <tpl fld="4" item="16"/>
        </tpls>
      </n>
      <n v="3" in="0">
        <tpls c="3">
          <tpl fld="0" item="0"/>
          <tpl fld="1" item="159"/>
          <tpl fld="4" item="15"/>
        </tpls>
      </n>
      <m in="0">
        <tpls c="3">
          <tpl fld="0" item="0"/>
          <tpl fld="1" item="297"/>
          <tpl fld="4" item="15"/>
        </tpls>
      </m>
      <m in="0">
        <tpls c="3">
          <tpl fld="0" item="0"/>
          <tpl fld="1" item="283"/>
          <tpl fld="4" item="17"/>
        </tpls>
      </m>
      <n v="4" in="0">
        <tpls c="3">
          <tpl fld="0" item="0"/>
          <tpl fld="1" item="199"/>
          <tpl fld="4" item="16"/>
        </tpls>
      </n>
      <n v="85" in="0">
        <tpls c="3">
          <tpl fld="0" item="0"/>
          <tpl fld="1" item="54"/>
          <tpl fld="4" item="20"/>
        </tpls>
      </n>
      <n v="8" in="0">
        <tpls c="3">
          <tpl fld="0" item="0"/>
          <tpl fld="1" item="139"/>
          <tpl fld="4" item="22"/>
        </tpls>
      </n>
      <m in="0">
        <tpls c="3">
          <tpl fld="0" item="0"/>
          <tpl fld="1" item="303"/>
          <tpl fld="4" item="26"/>
        </tpls>
      </m>
      <n v="14" in="0">
        <tpls c="3">
          <tpl fld="0" item="0"/>
          <tpl fld="1" item="28"/>
          <tpl fld="4" item="20"/>
        </tpls>
      </n>
      <m in="0">
        <tpls c="3">
          <tpl fld="0" item="0"/>
          <tpl fld="1" item="119"/>
          <tpl fld="4" item="20"/>
        </tpls>
      </m>
      <m in="0">
        <tpls c="3">
          <tpl fld="0" item="0"/>
          <tpl fld="1" item="12"/>
          <tpl fld="4" item="21"/>
        </tpls>
      </m>
      <m in="0">
        <tpls c="3">
          <tpl fld="0" item="0"/>
          <tpl fld="1" item="190"/>
          <tpl fld="4" item="28"/>
        </tpls>
      </m>
      <m in="0">
        <tpls c="3">
          <tpl fld="0" item="0"/>
          <tpl fld="1" item="15"/>
          <tpl fld="4" item="14"/>
        </tpls>
      </m>
      <m in="0">
        <tpls c="3">
          <tpl fld="0" item="0"/>
          <tpl fld="1" item="345"/>
          <tpl fld="4" item="13"/>
        </tpls>
      </m>
      <n v="4" in="0">
        <tpls c="3">
          <tpl fld="0" item="0"/>
          <tpl fld="1" item="410"/>
          <tpl fld="4" item="19"/>
        </tpls>
      </n>
      <m in="0">
        <tpls c="3">
          <tpl fld="0" item="0"/>
          <tpl fld="1" item="218"/>
          <tpl fld="4" item="19"/>
        </tpls>
      </m>
      <m in="0">
        <tpls c="3">
          <tpl fld="0" item="0"/>
          <tpl fld="1" item="228"/>
          <tpl fld="4" item="20"/>
        </tpls>
      </m>
      <n v="28" in="0">
        <tpls c="3">
          <tpl fld="0" item="0"/>
          <tpl fld="1" item="44"/>
          <tpl fld="4" item="20"/>
        </tpls>
      </n>
      <m in="0">
        <tpls c="3">
          <tpl fld="0" item="0"/>
          <tpl fld="1" item="153"/>
          <tpl fld="4" item="13"/>
        </tpls>
      </m>
      <m in="0">
        <tpls c="3">
          <tpl fld="0" item="0"/>
          <tpl fld="1" item="340"/>
          <tpl fld="4" item="20"/>
        </tpls>
      </m>
      <n v="2" in="0">
        <tpls c="3">
          <tpl fld="0" item="0"/>
          <tpl fld="1" item="369"/>
          <tpl fld="4" item="21"/>
        </tpls>
      </n>
      <m in="0">
        <tpls c="3">
          <tpl fld="0" item="0"/>
          <tpl fld="1" item="373"/>
          <tpl fld="4" item="21"/>
        </tpls>
      </m>
      <n v="19" in="0">
        <tpls c="3">
          <tpl fld="0" item="0"/>
          <tpl fld="1" item="48"/>
          <tpl fld="4" item="10"/>
        </tpls>
      </n>
      <m in="0">
        <tpls c="3">
          <tpl fld="0" item="0"/>
          <tpl fld="1" item="418"/>
          <tpl fld="4" item="16"/>
        </tpls>
      </m>
      <n v="1" in="0">
        <tpls c="3">
          <tpl fld="0" item="0"/>
          <tpl fld="1" item="38"/>
          <tpl fld="4" item="18"/>
        </tpls>
      </n>
      <n v="11" in="0">
        <tpls c="3">
          <tpl fld="0" item="0"/>
          <tpl fld="1" item="309"/>
          <tpl fld="4" item="16"/>
        </tpls>
      </n>
      <n v="28" in="0">
        <tpls c="3">
          <tpl fld="0" item="0"/>
          <tpl fld="1" item="311"/>
          <tpl fld="4" item="15"/>
        </tpls>
      </n>
      <n v="108" in="0">
        <tpls c="3">
          <tpl fld="0" item="0"/>
          <tpl fld="1" item="337"/>
          <tpl fld="4" item="15"/>
        </tpls>
      </n>
      <n v="7" in="0">
        <tpls c="3">
          <tpl fld="0" item="0"/>
          <tpl fld="1" item="231"/>
          <tpl fld="4" item="17"/>
        </tpls>
      </n>
      <n v="101" in="0">
        <tpls c="3">
          <tpl fld="0" item="0"/>
          <tpl fld="1" item="152"/>
          <tpl fld="4" item="20"/>
        </tpls>
      </n>
      <n v="247" in="0">
        <tpls c="3">
          <tpl fld="0" item="0"/>
          <tpl fld="1" item="42"/>
          <tpl fld="4" item="20"/>
        </tpls>
      </n>
      <m in="0">
        <tpls c="3">
          <tpl fld="0" item="0"/>
          <tpl fld="1" item="31"/>
          <tpl fld="4" item="22"/>
        </tpls>
      </m>
      <m in="0">
        <tpls c="3">
          <tpl fld="0" item="0"/>
          <tpl fld="1" item="378"/>
          <tpl fld="4" item="26"/>
        </tpls>
      </m>
      <n v="39" in="0">
        <tpls c="3">
          <tpl fld="0" item="0"/>
          <tpl fld="1" item="267"/>
          <tpl fld="4" item="15"/>
        </tpls>
      </n>
      <n v="7" in="0">
        <tpls c="3">
          <tpl fld="0" item="0"/>
          <tpl fld="1" item="361"/>
          <tpl fld="4" item="15"/>
        </tpls>
      </n>
      <m in="0">
        <tpls c="3">
          <tpl fld="0" item="0"/>
          <tpl fld="1" item="203"/>
          <tpl fld="4" item="21"/>
        </tpls>
      </m>
      <n v="48" in="0">
        <tpls c="3">
          <tpl fld="0" item="0"/>
          <tpl fld="1" item="381"/>
          <tpl fld="4" item="28"/>
        </tpls>
      </n>
      <m in="0">
        <tpls c="3">
          <tpl fld="0" item="0"/>
          <tpl fld="1" item="286"/>
          <tpl fld="4" item="13"/>
        </tpls>
      </m>
      <n v="6" in="0">
        <tpls c="3">
          <tpl fld="0" item="0"/>
          <tpl fld="1" item="420"/>
          <tpl fld="4" item="19"/>
        </tpls>
      </n>
      <n v="8" in="0">
        <tpls c="3">
          <tpl fld="0" item="0"/>
          <tpl fld="1" item="8"/>
          <tpl fld="4" item="19"/>
        </tpls>
      </n>
      <m in="0">
        <tpls c="3">
          <tpl fld="0" item="0"/>
          <tpl fld="1" item="399"/>
          <tpl fld="4" item="20"/>
        </tpls>
      </m>
      <n v="41" in="0">
        <tpls c="3">
          <tpl fld="0" item="0"/>
          <tpl fld="1" item="317"/>
          <tpl fld="4" item="20"/>
        </tpls>
      </n>
      <n v="503" in="0">
        <tpls c="3">
          <tpl fld="0" item="0"/>
          <tpl fld="1" item="313"/>
          <tpl fld="4" item="14"/>
        </tpls>
      </n>
      <m in="0">
        <tpls c="3">
          <tpl fld="0" item="0"/>
          <tpl fld="1" item="407"/>
          <tpl fld="4" item="13"/>
        </tpls>
      </m>
      <n v="921" in="0">
        <tpls c="3">
          <tpl fld="0" item="0"/>
          <tpl fld="1" item="202"/>
          <tpl fld="4" item="20"/>
        </tpls>
      </n>
      <m in="0">
        <tpls c="3">
          <tpl fld="0" item="0"/>
          <tpl fld="1" item="384"/>
          <tpl fld="4" item="21"/>
        </tpls>
      </m>
      <n v="3" in="0">
        <tpls c="3">
          <tpl fld="0" item="0"/>
          <tpl fld="1" item="410"/>
          <tpl fld="4" item="13"/>
        </tpls>
      </n>
      <m in="0">
        <tpls c="3">
          <tpl fld="0" item="0"/>
          <tpl fld="1" item="316"/>
          <tpl fld="4" item="8"/>
        </tpls>
      </m>
      <m in="0">
        <tpls c="3">
          <tpl fld="0" item="0"/>
          <tpl fld="1" item="293"/>
          <tpl fld="4" item="16"/>
        </tpls>
      </m>
      <m in="0">
        <tpls c="3">
          <tpl fld="0" item="0"/>
          <tpl fld="1" item="59"/>
          <tpl fld="4" item="18"/>
        </tpls>
      </m>
      <m in="0">
        <tpls c="3">
          <tpl fld="0" item="0"/>
          <tpl fld="1" item="126"/>
          <tpl fld="4" item="16"/>
        </tpls>
      </m>
      <n v="14" in="0">
        <tpls c="3">
          <tpl fld="0" item="0"/>
          <tpl fld="1" item="179"/>
          <tpl fld="4" item="17"/>
        </tpls>
      </n>
      <m in="0">
        <tpls c="3">
          <tpl fld="0" item="0"/>
          <tpl fld="1" item="24"/>
          <tpl fld="4" item="17"/>
        </tpls>
      </m>
      <m in="0">
        <tpls c="3">
          <tpl fld="0" item="0"/>
          <tpl fld="1" item="191"/>
          <tpl fld="4" item="17"/>
        </tpls>
      </m>
      <n v="40" in="0">
        <tpls c="3">
          <tpl fld="0" item="0"/>
          <tpl fld="1" item="364"/>
          <tpl fld="4" item="13"/>
        </tpls>
      </n>
      <n v="17" in="0">
        <tpls c="3">
          <tpl fld="0" item="0"/>
          <tpl fld="1" item="142"/>
          <tpl fld="4" item="20"/>
        </tpls>
      </n>
      <m in="0">
        <tpls c="3">
          <tpl fld="0" item="0"/>
          <tpl fld="1" item="389"/>
          <tpl fld="4" item="26"/>
        </tpls>
      </m>
      <n v="1" in="0">
        <tpls c="3">
          <tpl fld="0" item="0"/>
          <tpl fld="1" item="56"/>
          <tpl fld="4" item="26"/>
        </tpls>
      </n>
      <n v="8" in="0">
        <tpls c="3">
          <tpl fld="0" item="0"/>
          <tpl fld="1" item="291"/>
          <tpl fld="4" item="17"/>
        </tpls>
      </n>
      <m in="0">
        <tpls c="3">
          <tpl fld="0" item="0"/>
          <tpl fld="1" item="210"/>
          <tpl fld="4" item="17"/>
        </tpls>
      </m>
      <m in="0">
        <tpls c="3">
          <tpl fld="0" item="0"/>
          <tpl fld="1" item="113"/>
          <tpl fld="4" item="28"/>
        </tpls>
      </m>
      <m in="0">
        <tpls c="3">
          <tpl fld="0" item="0"/>
          <tpl fld="1" item="329"/>
          <tpl fld="4" item="28"/>
        </tpls>
      </m>
      <m in="0">
        <tpls c="3">
          <tpl fld="0" item="0"/>
          <tpl fld="1" item="159"/>
          <tpl fld="4" item="16"/>
        </tpls>
      </m>
      <n v="697" in="0">
        <tpls c="3">
          <tpl fld="0" item="0"/>
          <tpl fld="1" item="144"/>
          <tpl fld="4" item="20"/>
        </tpls>
      </n>
      <m in="0">
        <tpls c="3">
          <tpl fld="0" item="0"/>
          <tpl fld="1" item="237"/>
          <tpl fld="4" item="26"/>
        </tpls>
      </m>
      <m in="0">
        <tpls c="3">
          <tpl fld="0" item="0"/>
          <tpl fld="1" item="396"/>
          <tpl fld="4" item="26"/>
        </tpls>
      </m>
      <m in="0">
        <tpls c="3">
          <tpl fld="0" item="0"/>
          <tpl fld="1" item="254"/>
          <tpl fld="4" item="21"/>
        </tpls>
      </m>
      <n v="7" in="0">
        <tpls c="3">
          <tpl fld="0" item="0"/>
          <tpl fld="1" item="67"/>
          <tpl fld="4" item="18"/>
        </tpls>
      </n>
      <n v="14" in="0">
        <tpls c="3">
          <tpl fld="0" item="0"/>
          <tpl fld="1" item="32"/>
          <tpl fld="4" item="13"/>
        </tpls>
      </n>
      <n v="63" in="0">
        <tpls c="3">
          <tpl fld="0" item="0"/>
          <tpl fld="1" item="395"/>
          <tpl fld="4" item="13"/>
        </tpls>
      </n>
      <n v="1" in="0">
        <tpls c="3">
          <tpl fld="0" item="0"/>
          <tpl fld="1" item="53"/>
          <tpl fld="4" item="19"/>
        </tpls>
      </n>
      <n v="4" in="0">
        <tpls c="3">
          <tpl fld="0" item="0"/>
          <tpl fld="1" item="395"/>
          <tpl fld="4" item="18"/>
        </tpls>
      </n>
      <n v="12" in="1">
        <tpls c="3">
          <tpl fld="0" item="0"/>
          <tpl fld="1" item="25"/>
          <tpl fld="4" item="7"/>
        </tpls>
      </n>
      <m in="0">
        <tpls c="3">
          <tpl fld="0" item="0"/>
          <tpl fld="1" item="425"/>
          <tpl fld="4" item="11"/>
        </tpls>
      </m>
      <m in="0">
        <tpls c="3">
          <tpl fld="0" item="0"/>
          <tpl fld="1" item="25"/>
          <tpl fld="4" item="18"/>
        </tpls>
      </m>
      <m in="0">
        <tpls c="3">
          <tpl fld="0" item="0"/>
          <tpl fld="1" item="109"/>
          <tpl fld="4" item="18"/>
        </tpls>
      </m>
      <n v="12" in="0">
        <tpls c="3">
          <tpl fld="0" item="0"/>
          <tpl fld="1" item="47"/>
          <tpl fld="4" item="18"/>
        </tpls>
      </n>
      <n v="3" in="0">
        <tpls c="3">
          <tpl fld="0" item="0"/>
          <tpl fld="1" item="186"/>
          <tpl fld="4" item="17"/>
        </tpls>
      </n>
      <n v="8" in="0">
        <tpls c="3">
          <tpl fld="0" item="0"/>
          <tpl fld="1" item="360"/>
          <tpl fld="4" item="17"/>
        </tpls>
      </n>
      <m in="0">
        <tpls c="3">
          <tpl fld="0" item="0"/>
          <tpl fld="1" item="104"/>
          <tpl fld="4" item="8"/>
        </tpls>
      </m>
      <m in="0">
        <tpls c="3">
          <tpl fld="0" item="0"/>
          <tpl fld="1" item="243"/>
          <tpl fld="4" item="19"/>
        </tpls>
      </m>
      <n v="4" in="0">
        <tpls c="3">
          <tpl fld="0" item="0"/>
          <tpl fld="1" item="339"/>
          <tpl fld="4" item="16"/>
        </tpls>
      </n>
      <m in="0">
        <tpls c="3">
          <tpl fld="0" item="0"/>
          <tpl fld="1" item="86"/>
          <tpl fld="4" item="19"/>
        </tpls>
      </m>
      <n v="163" in="0">
        <tpls c="3">
          <tpl fld="0" item="0"/>
          <tpl fld="1" item="20"/>
          <tpl fld="4" item="15"/>
        </tpls>
      </n>
      <m in="0">
        <tpls c="3">
          <tpl fld="0" item="0"/>
          <tpl fld="1" item="338"/>
          <tpl fld="4" item="15"/>
        </tpls>
      </m>
      <n v="183" in="0">
        <tpls c="3">
          <tpl fld="0" item="0"/>
          <tpl fld="1" item="32"/>
          <tpl fld="4" item="15"/>
        </tpls>
      </n>
      <n v="16" in="0">
        <tpls c="3">
          <tpl fld="0" item="0"/>
          <tpl fld="1" item="56"/>
          <tpl fld="4" item="19"/>
        </tpls>
      </n>
      <n v="1" in="0">
        <tpls c="3">
          <tpl fld="0" item="0"/>
          <tpl fld="1" item="165"/>
          <tpl fld="4" item="19"/>
        </tpls>
      </n>
      <m in="0">
        <tpls c="3">
          <tpl fld="0" item="0"/>
          <tpl fld="1" item="12"/>
          <tpl fld="4" item="22"/>
        </tpls>
      </m>
      <n v="1" in="0">
        <tpls c="3">
          <tpl fld="0" item="0"/>
          <tpl fld="1" item="142"/>
          <tpl fld="4" item="22"/>
        </tpls>
      </n>
      <n v="224" in="0">
        <tpls c="3">
          <tpl fld="0" item="0"/>
          <tpl fld="1" item="415"/>
          <tpl fld="4" item="25"/>
        </tpls>
      </n>
      <m in="0">
        <tpls c="3">
          <tpl fld="0" item="0"/>
          <tpl fld="1" item="147"/>
          <tpl fld="4" item="24"/>
        </tpls>
      </m>
      <n v="436" in="0">
        <tpls c="3">
          <tpl fld="0" item="0"/>
          <tpl fld="1" item="177"/>
          <tpl fld="4" item="24"/>
        </tpls>
      </n>
      <m in="0">
        <tpls c="3">
          <tpl fld="0" item="0"/>
          <tpl fld="1" item="293"/>
          <tpl fld="4" item="21"/>
        </tpls>
      </m>
      <m in="0">
        <tpls c="3">
          <tpl fld="0" item="0"/>
          <tpl fld="1" item="305"/>
          <tpl fld="4" item="6"/>
        </tpls>
      </m>
      <m in="0">
        <tpls c="3">
          <tpl fld="0" item="0"/>
          <tpl fld="1" item="404"/>
          <tpl fld="4" item="18"/>
        </tpls>
      </m>
      <m in="0">
        <tpls c="3">
          <tpl fld="0" item="0"/>
          <tpl fld="1" item="293"/>
          <tpl fld="4" item="13"/>
        </tpls>
      </m>
      <m in="0">
        <tpls c="3">
          <tpl fld="0" item="0"/>
          <tpl fld="1" item="441"/>
          <tpl fld="4" item="19"/>
        </tpls>
      </m>
      <m in="0">
        <tpls c="3">
          <tpl fld="0" item="0"/>
          <tpl fld="1" item="212"/>
          <tpl fld="4" item="19"/>
        </tpls>
      </m>
      <n v="797" in="0">
        <tpls c="3">
          <tpl fld="0" item="0"/>
          <tpl fld="1" item="452"/>
          <tpl fld="4" item="20"/>
        </tpls>
      </n>
      <n v="264" in="0">
        <tpls c="3">
          <tpl fld="0" item="0"/>
          <tpl fld="1" item="312"/>
          <tpl fld="4" item="15"/>
        </tpls>
      </n>
      <n v="6" in="0">
        <tpls c="3">
          <tpl fld="0" item="0"/>
          <tpl fld="1" item="117"/>
          <tpl fld="4" item="1"/>
        </tpls>
      </n>
      <n v="66" in="0">
        <tpls c="3">
          <tpl fld="0" item="0"/>
          <tpl fld="1" item="256"/>
          <tpl fld="4" item="14"/>
        </tpls>
      </n>
      <n v="31" in="0">
        <tpls c="3">
          <tpl fld="0" item="0"/>
          <tpl fld="1" item="357"/>
          <tpl fld="4" item="14"/>
        </tpls>
      </n>
      <n v="2" in="0">
        <tpls c="3">
          <tpl fld="0" item="0"/>
          <tpl fld="1" item="0"/>
          <tpl fld="4" item="13"/>
        </tpls>
      </n>
      <m in="0">
        <tpls c="3">
          <tpl fld="0" item="0"/>
          <tpl fld="1" item="300"/>
          <tpl fld="4" item="13"/>
        </tpls>
      </m>
      <n v="22" in="0">
        <tpls c="3">
          <tpl fld="0" item="0"/>
          <tpl fld="1" item="66"/>
          <tpl fld="4" item="14"/>
        </tpls>
      </n>
      <n v="2" in="0">
        <tpls c="3">
          <tpl fld="0" item="0"/>
          <tpl fld="1" item="441"/>
          <tpl fld="4" item="13"/>
        </tpls>
      </n>
      <n v="4" in="0">
        <tpls c="3">
          <tpl fld="0" item="0"/>
          <tpl fld="1" item="333"/>
          <tpl fld="4" item="16"/>
        </tpls>
      </n>
      <m in="0">
        <tpls c="3">
          <tpl fld="0" item="0"/>
          <tpl fld="1" item="341"/>
          <tpl fld="4" item="14"/>
        </tpls>
      </m>
      <m in="0">
        <tpls c="3">
          <tpl fld="0" item="0"/>
          <tpl fld="1" item="343"/>
          <tpl fld="4" item="16"/>
        </tpls>
      </m>
      <m in="0">
        <tpls c="3">
          <tpl fld="0" item="0"/>
          <tpl fld="1" item="16"/>
          <tpl fld="4" item="18"/>
        </tpls>
      </m>
      <m in="0">
        <tpls c="3">
          <tpl fld="0" item="0"/>
          <tpl fld="1" item="83"/>
          <tpl fld="4" item="16"/>
        </tpls>
      </m>
      <n v="2" in="0">
        <tpls c="3">
          <tpl fld="0" item="0"/>
          <tpl fld="1" item="454"/>
          <tpl fld="4" item="17"/>
        </tpls>
      </n>
      <n v="16" in="0">
        <tpls c="3">
          <tpl fld="0" item="0"/>
          <tpl fld="1" item="233"/>
          <tpl fld="4" item="17"/>
        </tpls>
      </n>
      <n v="12" in="0">
        <tpls c="3">
          <tpl fld="0" item="0"/>
          <tpl fld="1" item="309"/>
          <tpl fld="4" item="17"/>
        </tpls>
      </n>
      <n v="17" in="0">
        <tpls c="3">
          <tpl fld="0" item="0"/>
          <tpl fld="1" item="385"/>
          <tpl fld="4" item="16"/>
        </tpls>
      </n>
      <n v="3114" in="0">
        <tpls c="3">
          <tpl fld="0" item="0"/>
          <tpl fld="1" item="266"/>
          <tpl fld="4" item="20"/>
        </tpls>
      </n>
      <n v="1" in="0">
        <tpls c="3">
          <tpl fld="0" item="0"/>
          <tpl fld="1" item="208"/>
          <tpl fld="4" item="26"/>
        </tpls>
      </n>
      <m in="0">
        <tpls c="3">
          <tpl fld="0" item="0"/>
          <tpl fld="1" item="36"/>
          <tpl fld="4" item="12"/>
        </tpls>
      </m>
      <n v="5" in="0">
        <tpls c="3">
          <tpl fld="0" item="0"/>
          <tpl fld="1" item="365"/>
          <tpl fld="4" item="13"/>
        </tpls>
      </n>
      <m in="0">
        <tpls c="3">
          <tpl fld="0" item="0"/>
          <tpl fld="1" item="107"/>
          <tpl fld="4" item="12"/>
        </tpls>
      </m>
      <n v="20" in="0">
        <tpls c="3">
          <tpl fld="0" item="0"/>
          <tpl fld="1" item="175"/>
          <tpl fld="4" item="17"/>
        </tpls>
      </n>
      <n v="35" in="0">
        <tpls c="3">
          <tpl fld="0" item="0"/>
          <tpl fld="1" item="364"/>
          <tpl fld="4" item="19"/>
        </tpls>
      </n>
      <m in="0">
        <tpls c="3">
          <tpl fld="0" item="0"/>
          <tpl fld="1" item="221"/>
          <tpl fld="4" item="8"/>
        </tpls>
      </m>
      <n v="17" in="0">
        <tpls c="3">
          <tpl fld="0" item="0"/>
          <tpl fld="1" item="319"/>
          <tpl fld="4" item="16"/>
        </tpls>
      </n>
      <m in="0">
        <tpls c="3">
          <tpl fld="0" item="0"/>
          <tpl fld="1" item="283"/>
          <tpl fld="4" item="18"/>
        </tpls>
      </m>
      <n v="29" in="0">
        <tpls c="3">
          <tpl fld="0" item="0"/>
          <tpl fld="1" item="325"/>
          <tpl fld="4" item="20"/>
        </tpls>
      </n>
      <m in="0">
        <tpls c="3">
          <tpl fld="0" item="0"/>
          <tpl fld="1" item="374"/>
          <tpl fld="4" item="9"/>
        </tpls>
      </m>
      <m in="0">
        <tpls c="3">
          <tpl fld="0" item="0"/>
          <tpl fld="1" item="80"/>
          <tpl fld="4" item="18"/>
        </tpls>
      </m>
      <m in="0">
        <tpls c="3">
          <tpl fld="0" item="0"/>
          <tpl fld="1" item="436"/>
          <tpl fld="4" item="16"/>
        </tpls>
      </m>
      <m in="0">
        <tpls c="3">
          <tpl fld="0" item="0"/>
          <tpl fld="1" item="217"/>
          <tpl fld="4" item="5"/>
        </tpls>
      </m>
      <m in="0">
        <tpls c="3">
          <tpl fld="0" item="0"/>
          <tpl fld="1" item="260"/>
          <tpl fld="4" item="16"/>
        </tpls>
      </m>
      <n v="2" in="0">
        <tpls c="3">
          <tpl fld="0" item="0"/>
          <tpl fld="1" item="89"/>
          <tpl fld="4" item="16"/>
        </tpls>
      </n>
      <n v="1" in="0">
        <tpls c="3">
          <tpl fld="0" item="0"/>
          <tpl fld="1" item="58"/>
          <tpl fld="4" item="13"/>
        </tpls>
      </n>
      <n v="16" in="0">
        <tpls c="3">
          <tpl fld="0" item="0"/>
          <tpl fld="1" item="53"/>
          <tpl fld="4" item="15"/>
        </tpls>
      </n>
      <m in="0">
        <tpls c="3">
          <tpl fld="0" item="0"/>
          <tpl fld="1" item="362"/>
          <tpl fld="4" item="20"/>
        </tpls>
      </m>
      <n v="52" in="0">
        <tpls c="3">
          <tpl fld="0" item="0"/>
          <tpl fld="1" item="419"/>
          <tpl fld="4" item="14"/>
        </tpls>
      </n>
      <m in="0">
        <tpls c="3">
          <tpl fld="0" item="0"/>
          <tpl fld="1" item="445"/>
          <tpl fld="4" item="18"/>
        </tpls>
      </m>
      <m in="0">
        <tpls c="3">
          <tpl fld="0" item="0"/>
          <tpl fld="1" item="371"/>
          <tpl fld="4" item="18"/>
        </tpls>
      </m>
      <n v="2" in="0">
        <tpls c="3">
          <tpl fld="0" item="0"/>
          <tpl fld="1" item="89"/>
          <tpl fld="4" item="19"/>
        </tpls>
      </n>
      <n v="2" in="0">
        <tpls c="3">
          <tpl fld="0" item="0"/>
          <tpl fld="1" item="359"/>
          <tpl fld="4" item="17"/>
        </tpls>
      </n>
      <m in="0">
        <tpls c="3">
          <tpl fld="0" item="0"/>
          <tpl fld="1" item="253"/>
          <tpl fld="4" item="15"/>
        </tpls>
      </m>
      <m in="0">
        <tpls c="3">
          <tpl fld="0" item="0"/>
          <tpl fld="1" item="379"/>
          <tpl fld="4" item="14"/>
        </tpls>
      </m>
      <m in="0">
        <tpls c="3">
          <tpl fld="0" item="0"/>
          <tpl fld="1" item="205"/>
          <tpl fld="4" item="19"/>
        </tpls>
      </m>
      <m in="0">
        <tpls c="3">
          <tpl fld="0" item="0"/>
          <tpl fld="1" item="98"/>
          <tpl fld="4" item="19"/>
        </tpls>
      </m>
      <n v="496" in="0">
        <tpls c="3">
          <tpl fld="0" item="0"/>
          <tpl fld="1" item="347"/>
          <tpl fld="4" item="20"/>
        </tpls>
      </n>
      <n v="4" in="0">
        <tpls c="3">
          <tpl fld="0" item="0"/>
          <tpl fld="1" item="394"/>
          <tpl fld="4" item="20"/>
        </tpls>
      </n>
      <m in="0">
        <tpls c="3">
          <tpl fld="0" item="0"/>
          <tpl fld="1" item="355"/>
          <tpl fld="4" item="20"/>
        </tpls>
      </m>
      <m in="0">
        <tpls c="3">
          <tpl fld="0" item="0"/>
          <tpl fld="1" item="34"/>
          <tpl fld="4" item="12"/>
        </tpls>
      </m>
      <m in="0">
        <tpls c="3">
          <tpl fld="0" item="0"/>
          <tpl fld="1" item="166"/>
          <tpl fld="4" item="19"/>
        </tpls>
      </m>
      <n v="54" in="0">
        <tpls c="3">
          <tpl fld="0" item="0"/>
          <tpl fld="1" item="202"/>
          <tpl fld="4" item="21"/>
        </tpls>
      </n>
      <m in="0">
        <tpls c="3">
          <tpl fld="0" item="0"/>
          <tpl fld="1" item="193"/>
          <tpl fld="4" item="13"/>
        </tpls>
      </m>
      <m in="0">
        <tpls c="3">
          <tpl fld="0" item="0"/>
          <tpl fld="1" item="122"/>
          <tpl fld="4" item="18"/>
        </tpls>
      </m>
      <m in="0">
        <tpls c="3">
          <tpl fld="0" item="0"/>
          <tpl fld="1" item="73"/>
          <tpl fld="4" item="16"/>
        </tpls>
      </m>
      <m in="0">
        <tpls c="3">
          <tpl fld="0" item="0"/>
          <tpl fld="1" item="36"/>
          <tpl fld="4" item="17"/>
        </tpls>
      </m>
      <n v="80" in="0">
        <tpls c="3">
          <tpl fld="0" item="0"/>
          <tpl fld="1" item="47"/>
          <tpl fld="4" item="17"/>
        </tpls>
      </n>
      <m in="0">
        <tpls c="3">
          <tpl fld="0" item="0"/>
          <tpl fld="1" item="376"/>
          <tpl fld="4" item="17"/>
        </tpls>
      </m>
      <m in="0">
        <tpls c="3">
          <tpl fld="0" item="0"/>
          <tpl fld="1" item="35"/>
          <tpl fld="4" item="19"/>
        </tpls>
      </m>
      <m in="0">
        <tpls c="3">
          <tpl fld="0" item="0"/>
          <tpl fld="1" item="238"/>
          <tpl fld="4" item="19"/>
        </tpls>
      </m>
      <m in="0">
        <tpls c="3">
          <tpl fld="0" item="0"/>
          <tpl fld="1" item="328"/>
          <tpl fld="4" item="19"/>
        </tpls>
      </m>
      <n v="4" in="0">
        <tpls c="3">
          <tpl fld="0" item="0"/>
          <tpl fld="1" item="274"/>
          <tpl fld="4" item="19"/>
        </tpls>
      </n>
      <n v="49" in="0">
        <tpls c="3">
          <tpl fld="0" item="0"/>
          <tpl fld="1" item="0"/>
          <tpl fld="4" item="20"/>
        </tpls>
      </n>
      <n v="7" in="0">
        <tpls c="3">
          <tpl fld="0" item="0"/>
          <tpl fld="1" item="25"/>
          <tpl fld="4" item="15"/>
        </tpls>
      </n>
      <m in="0">
        <tpls c="3">
          <tpl fld="0" item="0"/>
          <tpl fld="1" item="389"/>
          <tpl fld="4" item="9"/>
        </tpls>
      </m>
      <m in="0">
        <tpls c="3">
          <tpl fld="0" item="0"/>
          <tpl fld="1" item="404"/>
          <tpl fld="4" item="14"/>
        </tpls>
      </m>
      <m in="0">
        <tpls c="3">
          <tpl fld="0" item="0"/>
          <tpl fld="1" item="81"/>
          <tpl fld="4" item="13"/>
        </tpls>
      </m>
      <n v="220" in="0">
        <tpls c="3">
          <tpl fld="0" item="0"/>
          <tpl fld="1" item="395"/>
          <tpl fld="4" item="20"/>
        </tpls>
      </n>
      <m in="0">
        <tpls c="3">
          <tpl fld="0" item="0"/>
          <tpl fld="1" item="407"/>
          <tpl fld="4" item="21"/>
        </tpls>
      </m>
      <m in="0">
        <tpls c="3">
          <tpl fld="0" item="0"/>
          <tpl fld="1" item="439"/>
          <tpl fld="4" item="13"/>
        </tpls>
      </m>
      <n v="135" in="0">
        <tpls c="3">
          <tpl fld="0" item="0"/>
          <tpl fld="1" item="28"/>
          <tpl fld="4" item="14"/>
        </tpls>
      </n>
      <m in="0">
        <tpls c="3">
          <tpl fld="0" item="0"/>
          <tpl fld="1" item="92"/>
          <tpl fld="4" item="17"/>
        </tpls>
      </m>
      <m in="0">
        <tpls c="3">
          <tpl fld="0" item="0"/>
          <tpl fld="1" item="310"/>
          <tpl fld="4" item="29"/>
        </tpls>
      </m>
      <m in="0">
        <tpls c="3">
          <tpl fld="0" item="0"/>
          <tpl fld="1" item="295"/>
          <tpl fld="4" item="29"/>
        </tpls>
      </m>
      <m in="0">
        <tpls c="3">
          <tpl fld="0" item="0"/>
          <tpl fld="1" item="14"/>
          <tpl fld="4" item="22"/>
        </tpls>
      </m>
      <m in="0">
        <tpls c="3">
          <tpl fld="0" item="0"/>
          <tpl fld="1" item="136"/>
          <tpl fld="4" item="26"/>
        </tpls>
      </m>
      <m in="0">
        <tpls c="3">
          <tpl fld="0" item="0"/>
          <tpl fld="1" item="278"/>
          <tpl fld="4" item="26"/>
        </tpls>
      </m>
      <n v="41" in="0">
        <tpls c="3">
          <tpl fld="0" item="0"/>
          <tpl fld="1" item="274"/>
          <tpl fld="4" item="25"/>
        </tpls>
      </n>
      <m in="0">
        <tpls c="3">
          <tpl fld="0" item="0"/>
          <tpl fld="1" item="289"/>
          <tpl fld="4" item="6"/>
        </tpls>
      </m>
      <n v="3" in="0">
        <tpls c="3">
          <tpl fld="0" item="0"/>
          <tpl fld="1" item="332"/>
          <tpl fld="4" item="17"/>
        </tpls>
      </n>
      <m in="0">
        <tpls c="3">
          <tpl fld="0" item="0"/>
          <tpl fld="1" item="443"/>
          <tpl fld="4" item="16"/>
        </tpls>
      </m>
      <n v="6" in="0">
        <tpls c="3">
          <tpl fld="0" item="0"/>
          <tpl fld="1" item="155"/>
          <tpl fld="4" item="14"/>
        </tpls>
      </n>
      <m in="0">
        <tpls c="3">
          <tpl fld="0" item="0"/>
          <tpl fld="1" item="318"/>
          <tpl fld="4" item="5"/>
        </tpls>
      </m>
      <m in="0">
        <tpls c="3">
          <tpl fld="0" item="0"/>
          <tpl fld="1" item="404"/>
          <tpl fld="4" item="21"/>
        </tpls>
      </m>
      <m in="0">
        <tpls c="3">
          <tpl fld="0" item="0"/>
          <tpl fld="1" item="145"/>
          <tpl fld="4" item="21"/>
        </tpls>
      </m>
      <m in="0">
        <tpls c="3">
          <tpl fld="0" item="0"/>
          <tpl fld="1" item="379"/>
          <tpl fld="4" item="21"/>
        </tpls>
      </m>
      <m in="0">
        <tpls c="3">
          <tpl fld="0" item="0"/>
          <tpl fld="1" item="34"/>
          <tpl fld="4" item="9"/>
        </tpls>
      </m>
      <m in="0">
        <tpls c="3">
          <tpl fld="0" item="0"/>
          <tpl fld="1" item="96"/>
          <tpl fld="4" item="16"/>
        </tpls>
      </m>
      <m in="0">
        <tpls c="3">
          <tpl fld="0" item="0"/>
          <tpl fld="1" item="236"/>
          <tpl fld="4" item="18"/>
        </tpls>
      </m>
      <m in="0">
        <tpls c="3">
          <tpl fld="0" item="0"/>
          <tpl fld="1" item="118"/>
          <tpl fld="4" item="18"/>
        </tpls>
      </m>
      <n v="25" in="0">
        <tpls c="3">
          <tpl fld="0" item="0"/>
          <tpl fld="1" item="140"/>
          <tpl fld="4" item="16"/>
        </tpls>
      </n>
      <n v="35" in="0">
        <tpls c="3">
          <tpl fld="0" item="0"/>
          <tpl fld="1" item="11"/>
          <tpl fld="4" item="17"/>
        </tpls>
      </n>
      <m in="0">
        <tpls c="3">
          <tpl fld="0" item="0"/>
          <tpl fld="1" item="29"/>
          <tpl fld="4" item="17"/>
        </tpls>
      </m>
      <n v="19" in="0">
        <tpls c="3">
          <tpl fld="0" item="0"/>
          <tpl fld="1" item="37"/>
          <tpl fld="4" item="13"/>
        </tpls>
      </n>
      <m in="0">
        <tpls c="3">
          <tpl fld="0" item="0"/>
          <tpl fld="1" item="176"/>
          <tpl fld="4" item="19"/>
        </tpls>
      </m>
      <n v="2" in="0">
        <tpls c="3">
          <tpl fld="0" item="0"/>
          <tpl fld="1" item="412"/>
          <tpl fld="4" item="19"/>
        </tpls>
      </n>
      <m in="0">
        <tpls c="3">
          <tpl fld="0" item="0"/>
          <tpl fld="1" item="34"/>
          <tpl fld="4" item="20"/>
        </tpls>
      </m>
      <n v="771" in="0">
        <tpls c="3">
          <tpl fld="0" item="0"/>
          <tpl fld="1" item="400"/>
          <tpl fld="4" item="20"/>
        </tpls>
      </n>
      <n v="724" in="0">
        <tpls c="3">
          <tpl fld="0" item="0"/>
          <tpl fld="1" item="183"/>
          <tpl fld="4" item="20"/>
        </tpls>
      </n>
      <m in="0">
        <tpls c="3">
          <tpl fld="0" item="0"/>
          <tpl fld="1" item="157"/>
          <tpl fld="4" item="13"/>
        </tpls>
      </m>
      <n v="3" in="0">
        <tpls c="3">
          <tpl fld="0" item="0"/>
          <tpl fld="1" item="151"/>
          <tpl fld="4" item="21"/>
        </tpls>
      </n>
      <m in="0">
        <tpls c="3">
          <tpl fld="0" item="0"/>
          <tpl fld="1" item="30"/>
          <tpl fld="4" item="27"/>
        </tpls>
      </m>
      <m in="0">
        <tpls c="3">
          <tpl fld="0" item="0"/>
          <tpl fld="1" item="118"/>
          <tpl fld="4" item="22"/>
        </tpls>
      </m>
      <m in="0">
        <tpls c="3">
          <tpl fld="0" item="0"/>
          <tpl fld="1" item="122"/>
          <tpl fld="4" item="26"/>
        </tpls>
      </m>
      <n v="72" in="0">
        <tpls c="3">
          <tpl fld="0" item="0"/>
          <tpl fld="1" item="249"/>
          <tpl fld="4" item="24"/>
        </tpls>
      </n>
      <m in="0">
        <tpls c="3">
          <tpl fld="0" item="0"/>
          <tpl fld="1" item="238"/>
          <tpl fld="4" item="24"/>
        </tpls>
      </m>
      <n v="19" in="0">
        <tpls c="3">
          <tpl fld="0" item="0"/>
          <tpl fld="1" item="121"/>
          <tpl fld="4" item="24"/>
        </tpls>
      </n>
      <m in="0">
        <tpls c="3">
          <tpl fld="0" item="0"/>
          <tpl fld="1" item="147"/>
          <tpl fld="4" item="19"/>
        </tpls>
      </m>
      <n v="2" in="0">
        <tpls c="3">
          <tpl fld="0" item="0"/>
          <tpl fld="1" item="287"/>
          <tpl fld="4" item="16"/>
        </tpls>
      </n>
      <m in="0">
        <tpls c="3">
          <tpl fld="0" item="0"/>
          <tpl fld="1" item="150"/>
          <tpl fld="4" item="16"/>
        </tpls>
      </m>
      <n v="31" in="0">
        <tpls c="3">
          <tpl fld="0" item="0"/>
          <tpl fld="1" item="84"/>
          <tpl fld="4" item="15"/>
        </tpls>
      </n>
      <n v="390" in="0">
        <tpls c="3">
          <tpl fld="0" item="0"/>
          <tpl fld="1" item="105"/>
          <tpl fld="4" item="15"/>
        </tpls>
      </n>
      <m in="0">
        <tpls c="3">
          <tpl fld="0" item="0"/>
          <tpl fld="1" item="374"/>
          <tpl fld="4" item="13"/>
        </tpls>
      </m>
      <m in="0">
        <tpls c="3">
          <tpl fld="0" item="0"/>
          <tpl fld="1" item="268"/>
          <tpl fld="4" item="19"/>
        </tpls>
      </m>
      <m in="0">
        <tpls c="3">
          <tpl fld="0" item="0"/>
          <tpl fld="1" item="387"/>
          <tpl fld="4" item="13"/>
        </tpls>
      </m>
      <m in="0">
        <tpls c="3">
          <tpl fld="0" item="0"/>
          <tpl fld="1" item="168"/>
          <tpl fld="4" item="18"/>
        </tpls>
      </m>
      <m in="0">
        <tpls c="3">
          <tpl fld="0" item="0"/>
          <tpl fld="1" item="247"/>
          <tpl fld="4" item="18"/>
        </tpls>
      </m>
      <n v="36" in="0">
        <tpls c="3">
          <tpl fld="0" item="0"/>
          <tpl fld="1" item="79"/>
          <tpl fld="4" item="20"/>
        </tpls>
      </n>
      <n v="507" in="0">
        <tpls c="3">
          <tpl fld="0" item="0"/>
          <tpl fld="1" item="380"/>
          <tpl fld="4" item="14"/>
        </tpls>
      </n>
      <m in="0">
        <tpls c="3">
          <tpl fld="0" item="0"/>
          <tpl fld="1" item="406"/>
          <tpl fld="4" item="18"/>
        </tpls>
      </m>
      <m in="0">
        <tpls c="3">
          <tpl fld="0" item="0"/>
          <tpl fld="1" item="235"/>
          <tpl fld="4" item="20"/>
        </tpls>
      </m>
      <m in="0">
        <tpls c="3">
          <tpl fld="0" item="0"/>
          <tpl fld="1" item="299"/>
          <tpl fld="4" item="18"/>
        </tpls>
      </m>
      <n v="4" in="0">
        <tpls c="3">
          <tpl fld="0" item="0"/>
          <tpl fld="1" item="285"/>
          <tpl fld="4" item="17"/>
        </tpls>
      </n>
      <n v="6" in="0">
        <tpls c="3">
          <tpl fld="0" item="0"/>
          <tpl fld="1" item="411"/>
          <tpl fld="4" item="17"/>
        </tpls>
      </n>
      <n v="1" in="0">
        <tpls c="3">
          <tpl fld="0" item="0"/>
          <tpl fld="1" item="449"/>
          <tpl fld="4" item="21"/>
        </tpls>
      </n>
      <n v="23" in="0">
        <tpls c="3">
          <tpl fld="0" item="0"/>
          <tpl fld="1" item="364"/>
          <tpl fld="4" item="16"/>
        </tpls>
      </n>
      <m in="0">
        <tpls c="3">
          <tpl fld="0" item="0"/>
          <tpl fld="1" item="336"/>
          <tpl fld="4" item="15"/>
        </tpls>
      </m>
      <m in="0">
        <tpls c="3">
          <tpl fld="0" item="0"/>
          <tpl fld="1" item="436"/>
          <tpl fld="4" item="26"/>
        </tpls>
      </m>
      <m in="0">
        <tpls c="3">
          <tpl fld="0" item="0"/>
          <tpl fld="1" item="376"/>
          <tpl fld="4" item="25"/>
        </tpls>
      </m>
      <m in="0">
        <tpls c="3">
          <tpl fld="0" item="0"/>
          <tpl fld="1" item="445"/>
          <tpl fld="4" item="28"/>
        </tpls>
      </m>
      <m in="0">
        <tpls c="3">
          <tpl fld="0" item="0"/>
          <tpl fld="1" item="29"/>
          <tpl fld="4" item="28"/>
        </tpls>
      </m>
      <n v="5" in="0">
        <tpls c="3">
          <tpl fld="0" item="0"/>
          <tpl fld="1" item="64"/>
          <tpl fld="4" item="28"/>
        </tpls>
      </n>
      <m in="0">
        <tpls c="3">
          <tpl fld="0" item="0"/>
          <tpl fld="1" item="109"/>
          <tpl fld="4" item="23"/>
        </tpls>
      </m>
      <m in="0">
        <tpls c="3">
          <tpl fld="0" item="0"/>
          <tpl fld="1" item="93"/>
          <tpl fld="4" item="1"/>
        </tpls>
      </m>
      <m in="0">
        <tpls c="3">
          <tpl fld="0" item="0"/>
          <tpl fld="1" item="95"/>
          <tpl fld="4" item="19"/>
        </tpls>
      </m>
      <n v="2" in="0">
        <tpls c="3">
          <tpl fld="0" item="0"/>
          <tpl fld="1" item="207"/>
          <tpl fld="4" item="16"/>
        </tpls>
      </n>
      <n v="2" in="0">
        <tpls c="3">
          <tpl fld="0" item="0"/>
          <tpl fld="1" item="454"/>
          <tpl fld="4" item="16"/>
        </tpls>
      </n>
      <n v="46" in="0">
        <tpls c="3">
          <tpl fld="0" item="0"/>
          <tpl fld="1" item="291"/>
          <tpl fld="4" item="15"/>
        </tpls>
      </n>
      <m in="0">
        <tpls c="3">
          <tpl fld="0" item="0"/>
          <tpl fld="1" item="346"/>
          <tpl fld="4" item="15"/>
        </tpls>
      </m>
      <m in="0">
        <tpls c="3">
          <tpl fld="0" item="0"/>
          <tpl fld="1" item="265"/>
          <tpl fld="4" item="13"/>
        </tpls>
      </m>
      <n v="12" in="0">
        <tpls c="3">
          <tpl fld="0" item="0"/>
          <tpl fld="1" item="339"/>
          <tpl fld="4" item="19"/>
        </tpls>
      </n>
      <m in="0">
        <tpls c="3">
          <tpl fld="0" item="0"/>
          <tpl fld="1" item="311"/>
          <tpl fld="4" item="13"/>
        </tpls>
      </m>
      <m in="0">
        <tpls c="3">
          <tpl fld="0" item="0"/>
          <tpl fld="1" item="158"/>
          <tpl fld="4" item="20"/>
        </tpls>
      </m>
      <m in="0">
        <tpls c="3">
          <tpl fld="0" item="0"/>
          <tpl fld="1" item="439"/>
          <tpl fld="4" item="20"/>
        </tpls>
      </m>
      <n v="3" in="0">
        <tpls c="3">
          <tpl fld="0" item="0"/>
          <tpl fld="1" item="48"/>
          <tpl fld="4" item="20"/>
        </tpls>
      </n>
      <m in="0">
        <tpls c="3">
          <tpl fld="0" item="0"/>
          <tpl fld="1" item="251"/>
          <tpl fld="4" item="14"/>
        </tpls>
      </m>
      <n v="57" in="0">
        <tpls c="3">
          <tpl fld="0" item="0"/>
          <tpl fld="1" item="254"/>
          <tpl fld="4" item="20"/>
        </tpls>
      </n>
      <m in="0">
        <tpls c="3">
          <tpl fld="0" item="0"/>
          <tpl fld="1" item="142"/>
          <tpl fld="4" item="18"/>
        </tpls>
      </m>
      <n v="8" in="0">
        <tpls c="3">
          <tpl fld="0" item="0"/>
          <tpl fld="1" item="205"/>
          <tpl fld="4" item="17"/>
        </tpls>
      </n>
      <n v="2" in="0">
        <tpls c="3">
          <tpl fld="0" item="0"/>
          <tpl fld="1" item="209"/>
          <tpl fld="4" item="21"/>
        </tpls>
      </n>
      <m in="0">
        <tpls c="3">
          <tpl fld="0" item="0"/>
          <tpl fld="1" item="436"/>
          <tpl fld="4" item="21"/>
        </tpls>
      </m>
      <m in="0">
        <tpls c="3">
          <tpl fld="0" item="0"/>
          <tpl fld="1" item="89"/>
          <tpl fld="4" item="18"/>
        </tpls>
      </m>
      <m in="0">
        <tpls c="3">
          <tpl fld="0" item="0"/>
          <tpl fld="1" item="154"/>
          <tpl fld="4" item="15"/>
        </tpls>
      </m>
      <n v="7" in="0">
        <tpls c="3">
          <tpl fld="0" item="0"/>
          <tpl fld="1" item="199"/>
          <tpl fld="4" item="26"/>
        </tpls>
      </n>
      <m in="0">
        <tpls c="3">
          <tpl fld="0" item="0"/>
          <tpl fld="1" item="443"/>
          <tpl fld="4" item="25"/>
        </tpls>
      </m>
      <n v="9" in="0">
        <tpls c="3">
          <tpl fld="0" item="0"/>
          <tpl fld="1" item="397"/>
          <tpl fld="4" item="28"/>
        </tpls>
      </n>
      <m in="0">
        <tpls c="3">
          <tpl fld="0" item="0"/>
          <tpl fld="1" item="376"/>
          <tpl fld="4" item="28"/>
        </tpls>
      </m>
      <n v="8" in="0">
        <tpls c="3">
          <tpl fld="0" item="0"/>
          <tpl fld="1" item="108"/>
          <tpl fld="4" item="23"/>
        </tpls>
      </n>
      <n v="332" in="0">
        <tpls c="3">
          <tpl fld="0" item="0"/>
          <tpl fld="1" item="187"/>
          <tpl fld="4" item="23"/>
        </tpls>
      </n>
      <n v="14" in="0">
        <tpls c="3">
          <tpl fld="0" item="0"/>
          <tpl fld="1" item="273"/>
          <tpl fld="4" item="19"/>
        </tpls>
      </n>
      <n v="1" in="0">
        <tpls c="3">
          <tpl fld="0" item="0"/>
          <tpl fld="1" item="75"/>
          <tpl fld="4" item="16"/>
        </tpls>
      </n>
      <m in="0">
        <tpls c="3">
          <tpl fld="0" item="0"/>
          <tpl fld="1" item="153"/>
          <tpl fld="4" item="16"/>
        </tpls>
      </m>
      <n v="177" in="0">
        <tpls c="3">
          <tpl fld="0" item="0"/>
          <tpl fld="1" item="39"/>
          <tpl fld="4" item="15"/>
        </tpls>
      </n>
      <n v="12" in="0">
        <tpls c="3">
          <tpl fld="0" item="0"/>
          <tpl fld="1" item="37"/>
          <tpl fld="4" item="15"/>
        </tpls>
      </n>
      <m in="0">
        <tpls c="3">
          <tpl fld="0" item="0"/>
          <tpl fld="1" item="357"/>
          <tpl fld="4" item="13"/>
        </tpls>
      </m>
      <n v="16" in="0">
        <tpls c="3">
          <tpl fld="0" item="0"/>
          <tpl fld="1" item="262"/>
          <tpl fld="4" item="19"/>
        </tpls>
      </n>
      <n v="1" in="0">
        <tpls c="3">
          <tpl fld="0" item="0"/>
          <tpl fld="1" item="360"/>
          <tpl fld="4" item="13"/>
        </tpls>
      </n>
      <n v="31" in="0">
        <tpls c="3">
          <tpl fld="0" item="0"/>
          <tpl fld="1" item="16"/>
          <tpl fld="4" item="20"/>
        </tpls>
      </n>
      <m in="0">
        <tpls c="3">
          <tpl fld="0" item="0"/>
          <tpl fld="1" item="36"/>
          <tpl fld="4" item="20"/>
        </tpls>
      </m>
      <n v="13" in="0">
        <tpls c="3">
          <tpl fld="0" item="0"/>
          <tpl fld="1" item="383"/>
          <tpl fld="4" item="20"/>
        </tpls>
      </n>
      <n v="73" in="0">
        <tpls c="3">
          <tpl fld="0" item="0"/>
          <tpl fld="1" item="111"/>
          <tpl fld="4" item="14"/>
        </tpls>
      </n>
      <m in="0">
        <tpls c="3">
          <tpl fld="0" item="0"/>
          <tpl fld="1" item="90"/>
          <tpl fld="4" item="18"/>
        </tpls>
      </m>
      <m in="0">
        <tpls c="3">
          <tpl fld="0" item="0"/>
          <tpl fld="1" item="115"/>
          <tpl fld="4" item="21"/>
        </tpls>
      </m>
      <m in="0">
        <tpls c="3">
          <tpl fld="0" item="0"/>
          <tpl fld="1" item="56"/>
          <tpl fld="4" item="21"/>
        </tpls>
      </m>
      <n v="49" in="0">
        <tpls c="3">
          <tpl fld="0" item="0"/>
          <tpl fld="1" item="288"/>
          <tpl fld="4" item="21"/>
        </tpls>
      </n>
      <n v="32" in="0">
        <tpls c="3">
          <tpl fld="0" item="0"/>
          <tpl fld="1" item="437"/>
          <tpl fld="4" item="14"/>
        </tpls>
      </n>
      <n v="29" in="0">
        <tpls c="3">
          <tpl fld="0" item="0"/>
          <tpl fld="1" item="357"/>
          <tpl fld="4" item="15"/>
        </tpls>
      </n>
      <m in="0">
        <tpls c="3">
          <tpl fld="0" item="0"/>
          <tpl fld="1" item="60"/>
          <tpl fld="4" item="25"/>
        </tpls>
      </m>
      <m in="0">
        <tpls c="3">
          <tpl fld="0" item="0"/>
          <tpl fld="1" item="421"/>
          <tpl fld="4" item="18"/>
        </tpls>
      </m>
      <m in="0">
        <tpls c="3">
          <tpl fld="0" item="0"/>
          <tpl fld="1" item="105"/>
          <tpl fld="4" item="28"/>
        </tpls>
      </m>
      <m in="0">
        <tpls c="3">
          <tpl fld="0" item="0"/>
          <tpl fld="1" item="88"/>
          <tpl fld="4" item="28"/>
        </tpls>
      </m>
      <n v="14" in="0">
        <tpls c="3">
          <tpl fld="0" item="0"/>
          <tpl fld="1" item="294"/>
          <tpl fld="4" item="23"/>
        </tpls>
      </n>
      <m in="0">
        <tpls c="3">
          <tpl fld="0" item="0"/>
          <tpl fld="1" item="248"/>
          <tpl fld="4" item="23"/>
        </tpls>
      </m>
      <n v="22" in="0">
        <tpls c="3">
          <tpl fld="0" item="0"/>
          <tpl fld="1" item="68"/>
          <tpl fld="4" item="16"/>
        </tpls>
      </n>
      <n v="9" in="0">
        <tpls c="3">
          <tpl fld="0" item="0"/>
          <tpl fld="1" item="101"/>
          <tpl fld="4" item="17"/>
        </tpls>
      </n>
      <m in="0">
        <tpls c="3">
          <tpl fld="0" item="0"/>
          <tpl fld="1" item="229"/>
          <tpl fld="4" item="25"/>
        </tpls>
      </m>
      <n v="8" in="0">
        <tpls c="3">
          <tpl fld="0" item="0"/>
          <tpl fld="1" item="38"/>
          <tpl fld="4" item="17"/>
        </tpls>
      </n>
      <n v="34" in="0">
        <tpls c="3">
          <tpl fld="0" item="0"/>
          <tpl fld="1" item="63"/>
          <tpl fld="4" item="23"/>
        </tpls>
      </n>
      <n v="5" in="0">
        <tpls c="3">
          <tpl fld="0" item="0"/>
          <tpl fld="1" item="111"/>
          <tpl fld="4" item="13"/>
        </tpls>
      </n>
      <n v="18" in="0">
        <tpls c="3">
          <tpl fld="0" item="0"/>
          <tpl fld="1" item="324"/>
          <tpl fld="4" item="19"/>
        </tpls>
      </n>
      <m in="0">
        <tpls c="3">
          <tpl fld="0" item="0"/>
          <tpl fld="1" item="126"/>
          <tpl fld="4" item="19"/>
        </tpls>
      </m>
      <m in="0">
        <tpls c="3">
          <tpl fld="0" item="0"/>
          <tpl fld="1" item="253"/>
          <tpl fld="4" item="20"/>
        </tpls>
      </m>
      <n v="1005" in="0">
        <tpls c="3">
          <tpl fld="0" item="0"/>
          <tpl fld="1" item="313"/>
          <tpl fld="4" item="15"/>
        </tpls>
      </n>
      <m in="0">
        <tpls c="3">
          <tpl fld="0" item="0"/>
          <tpl fld="1" item="453"/>
          <tpl fld="4" item="8"/>
        </tpls>
      </m>
      <m in="0">
        <tpls c="3">
          <tpl fld="0" item="0"/>
          <tpl fld="1" item="355"/>
          <tpl fld="4" item="14"/>
        </tpls>
      </m>
      <m in="0">
        <tpls c="3">
          <tpl fld="0" item="0"/>
          <tpl fld="1" item="16"/>
          <tpl fld="4" item="13"/>
        </tpls>
      </m>
      <n v="97" in="0">
        <tpls c="3">
          <tpl fld="0" item="0"/>
          <tpl fld="1" item="187"/>
          <tpl fld="4" item="14"/>
        </tpls>
      </n>
      <m in="0">
        <tpls c="3">
          <tpl fld="0" item="0"/>
          <tpl fld="1" item="244"/>
          <tpl fld="4" item="20"/>
        </tpls>
      </m>
      <m in="0">
        <tpls c="3">
          <tpl fld="0" item="0"/>
          <tpl fld="1" item="381"/>
          <tpl fld="4" item="6"/>
        </tpls>
      </m>
      <n v="17" in="0">
        <tpls c="3">
          <tpl fld="0" item="0"/>
          <tpl fld="1" item="132"/>
          <tpl fld="4" item="19"/>
        </tpls>
      </n>
      <n v="31" in="0">
        <tpls c="3">
          <tpl fld="0" item="0"/>
          <tpl fld="1" item="380"/>
          <tpl fld="4" item="16"/>
        </tpls>
      </n>
      <n v="3" in="0">
        <tpls c="3">
          <tpl fld="0" item="0"/>
          <tpl fld="1" item="225"/>
          <tpl fld="4" item="18"/>
        </tpls>
      </n>
      <m in="0">
        <tpls c="3">
          <tpl fld="0" item="0"/>
          <tpl fld="1" item="136"/>
          <tpl fld="4" item="16"/>
        </tpls>
      </m>
      <m in="0">
        <tpls c="3">
          <tpl fld="0" item="0"/>
          <tpl fld="1" item="166"/>
          <tpl fld="4" item="17"/>
        </tpls>
      </m>
      <m in="0">
        <tpls c="3">
          <tpl fld="0" item="0"/>
          <tpl fld="1" item="272"/>
          <tpl fld="4" item="17"/>
        </tpls>
      </m>
      <m in="0">
        <tpls c="3">
          <tpl fld="0" item="0"/>
          <tpl fld="1" item="147"/>
          <tpl fld="4" item="17"/>
        </tpls>
      </m>
      <m in="0">
        <tpls c="3">
          <tpl fld="0" item="0"/>
          <tpl fld="1" item="146"/>
          <tpl fld="4" item="19"/>
        </tpls>
      </m>
      <m in="0">
        <tpls c="3">
          <tpl fld="0" item="0"/>
          <tpl fld="1" item="222"/>
          <tpl fld="4" item="20"/>
        </tpls>
      </m>
      <m in="0">
        <tpls c="3">
          <tpl fld="0" item="0"/>
          <tpl fld="1" item="439"/>
          <tpl fld="4" item="26"/>
        </tpls>
      </m>
      <m in="0">
        <tpls c="3">
          <tpl fld="0" item="0"/>
          <tpl fld="1" item="155"/>
          <tpl fld="4" item="26"/>
        </tpls>
      </m>
      <m in="0">
        <tpls c="3">
          <tpl fld="0" item="0"/>
          <tpl fld="1" item="74"/>
          <tpl fld="4" item="21"/>
        </tpls>
      </m>
      <m in="0">
        <tpls c="3">
          <tpl fld="0" item="0"/>
          <tpl fld="1" item="13"/>
          <tpl fld="4" item="21"/>
        </tpls>
      </m>
      <m in="0">
        <tpls c="3">
          <tpl fld="0" item="0"/>
          <tpl fld="1" item="181"/>
          <tpl fld="4" item="28"/>
        </tpls>
      </m>
      <m in="0">
        <tpls c="3">
          <tpl fld="0" item="0"/>
          <tpl fld="1" item="157"/>
          <tpl fld="4" item="28"/>
        </tpls>
      </m>
      <m in="0">
        <tpls c="3">
          <tpl fld="0" item="0"/>
          <tpl fld="1" item="86"/>
          <tpl fld="4" item="18"/>
        </tpls>
      </m>
      <n v="421" in="0">
        <tpls c="3">
          <tpl fld="0" item="0"/>
          <tpl fld="1" item="33"/>
          <tpl fld="4" item="15"/>
        </tpls>
      </n>
      <m in="0">
        <tpls c="3">
          <tpl fld="0" item="0"/>
          <tpl fld="1" item="449"/>
          <tpl fld="4" item="16"/>
        </tpls>
      </m>
      <m in="0">
        <tpls c="3">
          <tpl fld="0" item="0"/>
          <tpl fld="1" item="440"/>
          <tpl fld="4" item="16"/>
        </tpls>
      </m>
      <n v="18" in="0">
        <tpls c="3">
          <tpl fld="0" item="0"/>
          <tpl fld="1" item="424"/>
          <tpl fld="4" item="16"/>
        </tpls>
      </n>
      <m in="0">
        <tpls c="3">
          <tpl fld="0" item="0"/>
          <tpl fld="1" item="70"/>
          <tpl fld="4" item="17"/>
        </tpls>
      </m>
      <m in="0">
        <tpls c="3">
          <tpl fld="0" item="0"/>
          <tpl fld="1" item="310"/>
          <tpl fld="4" item="17"/>
        </tpls>
      </m>
      <m in="1">
        <tpls c="3">
          <tpl fld="0" item="0"/>
          <tpl fld="1" item="286"/>
          <tpl fld="4" item="7"/>
        </tpls>
      </m>
      <n v="3" in="0">
        <tpls c="3">
          <tpl fld="0" item="0"/>
          <tpl fld="1" item="367"/>
          <tpl fld="4" item="19"/>
        </tpls>
      </n>
      <m in="0">
        <tpls c="3">
          <tpl fld="0" item="0"/>
          <tpl fld="1" item="257"/>
          <tpl fld="4" item="16"/>
        </tpls>
      </m>
      <m in="0">
        <tpls c="3">
          <tpl fld="0" item="0"/>
          <tpl fld="1" item="445"/>
          <tpl fld="4" item="19"/>
        </tpls>
      </m>
      <n v="65" in="0">
        <tpls c="3">
          <tpl fld="0" item="0"/>
          <tpl fld="1" item="342"/>
          <tpl fld="4" item="20"/>
        </tpls>
      </n>
      <m in="0">
        <tpls c="3">
          <tpl fld="0" item="0"/>
          <tpl fld="1" item="131"/>
          <tpl fld="4" item="20"/>
        </tpls>
      </m>
      <m in="0">
        <tpls c="3">
          <tpl fld="0" item="0"/>
          <tpl fld="1" item="286"/>
          <tpl fld="4" item="20"/>
        </tpls>
      </m>
      <m in="0">
        <tpls c="3">
          <tpl fld="0" item="0"/>
          <tpl fld="1" item="277"/>
          <tpl fld="4" item="13"/>
        </tpls>
      </m>
      <m in="0">
        <tpls c="3">
          <tpl fld="0" item="0"/>
          <tpl fld="1" item="239"/>
          <tpl fld="4" item="14"/>
        </tpls>
      </m>
      <m in="0">
        <tpls c="3">
          <tpl fld="0" item="0"/>
          <tpl fld="1" item="435"/>
          <tpl fld="4" item="21"/>
        </tpls>
      </m>
      <m in="0">
        <tpls c="3">
          <tpl fld="0" item="0"/>
          <tpl fld="1" item="138"/>
          <tpl fld="4" item="21"/>
        </tpls>
      </m>
      <n v="14" in="0">
        <tpls c="3">
          <tpl fld="0" item="0"/>
          <tpl fld="1" item="262"/>
          <tpl fld="4" item="21"/>
        </tpls>
      </n>
      <m in="0">
        <tpls c="3">
          <tpl fld="0" item="0"/>
          <tpl fld="1" item="209"/>
          <tpl fld="4" item="16"/>
        </tpls>
      </m>
      <n v="19" in="0">
        <tpls c="3">
          <tpl fld="0" item="0"/>
          <tpl fld="1" item="420"/>
          <tpl fld="4" item="17"/>
        </tpls>
      </n>
      <n v="67" in="0">
        <tpls c="3">
          <tpl fld="0" item="0"/>
          <tpl fld="1" item="427"/>
          <tpl fld="4" item="25"/>
        </tpls>
      </n>
      <m in="0">
        <tpls c="3">
          <tpl fld="0" item="0"/>
          <tpl fld="1" item="204"/>
          <tpl fld="4" item="17"/>
        </tpls>
      </m>
      <n v="16" in="0">
        <tpls c="3">
          <tpl fld="0" item="0"/>
          <tpl fld="1" item="48"/>
          <tpl fld="4" item="23"/>
        </tpls>
      </n>
      <m in="0">
        <tpls c="3">
          <tpl fld="0" item="0"/>
          <tpl fld="1" item="24"/>
          <tpl fld="4" item="23"/>
        </tpls>
      </m>
      <m in="0">
        <tpls c="3">
          <tpl fld="0" item="0"/>
          <tpl fld="1" item="166"/>
          <tpl fld="4" item="1"/>
        </tpls>
      </m>
      <m in="0">
        <tpls c="3">
          <tpl fld="0" item="0"/>
          <tpl fld="1" item="6"/>
          <tpl fld="4" item="14"/>
        </tpls>
      </m>
      <m in="0">
        <tpls c="3">
          <tpl fld="0" item="0"/>
          <tpl fld="1" item="209"/>
          <tpl fld="4" item="19"/>
        </tpls>
      </m>
      <n v="8" in="0">
        <tpls c="3">
          <tpl fld="0" item="0"/>
          <tpl fld="1" item="441"/>
          <tpl fld="4" item="14"/>
        </tpls>
      </n>
      <m in="0">
        <tpls c="3">
          <tpl fld="0" item="0"/>
          <tpl fld="1" item="36"/>
          <tpl fld="4" item="16"/>
        </tpls>
      </m>
      <m in="0">
        <tpls c="3">
          <tpl fld="0" item="0"/>
          <tpl fld="1" item="436"/>
          <tpl fld="4" item="17"/>
        </tpls>
      </m>
      <m in="0">
        <tpls c="3">
          <tpl fld="0" item="0"/>
          <tpl fld="1" item="25"/>
          <tpl fld="4" item="19"/>
        </tpls>
      </m>
      <n v="27" in="0">
        <tpls c="3">
          <tpl fld="0" item="0"/>
          <tpl fld="1" item="212"/>
          <tpl fld="4" item="15"/>
        </tpls>
      </n>
      <m in="0">
        <tpls c="3">
          <tpl fld="0" item="0"/>
          <tpl fld="1" item="265"/>
          <tpl fld="4" item="14"/>
        </tpls>
      </m>
      <m in="0">
        <tpls c="3">
          <tpl fld="0" item="0"/>
          <tpl fld="1" item="349"/>
          <tpl fld="4" item="18"/>
        </tpls>
      </m>
      <m in="0">
        <tpls c="3">
          <tpl fld="0" item="0"/>
          <tpl fld="1" item="127"/>
          <tpl fld="4" item="19"/>
        </tpls>
      </m>
      <n v="17" in="0">
        <tpls c="3">
          <tpl fld="0" item="0"/>
          <tpl fld="1" item="438"/>
          <tpl fld="4" item="19"/>
        </tpls>
      </n>
      <n v="72" in="0">
        <tpls c="3">
          <tpl fld="0" item="0"/>
          <tpl fld="1" item="452"/>
          <tpl fld="4" item="17"/>
        </tpls>
      </n>
      <n v="18" in="0">
        <tpls c="3">
          <tpl fld="0" item="0"/>
          <tpl fld="1" item="53"/>
          <tpl fld="4" item="14"/>
        </tpls>
      </n>
      <n v="9" in="0">
        <tpls c="3">
          <tpl fld="0" item="0"/>
          <tpl fld="1" item="67"/>
          <tpl fld="4" item="19"/>
        </tpls>
      </n>
      <n v="6" in="0">
        <tpls c="3">
          <tpl fld="0" item="0"/>
          <tpl fld="1" item="283"/>
          <tpl fld="4" item="20"/>
        </tpls>
      </n>
      <m in="0">
        <tpls c="3">
          <tpl fld="0" item="0"/>
          <tpl fld="1" item="268"/>
          <tpl fld="4" item="16"/>
        </tpls>
      </m>
      <m in="0">
        <tpls c="3">
          <tpl fld="0" item="0"/>
          <tpl fld="1" item="245"/>
          <tpl fld="4" item="20"/>
        </tpls>
      </m>
      <m in="0">
        <tpls c="3">
          <tpl fld="0" item="0"/>
          <tpl fld="1" item="50"/>
          <tpl fld="4" item="21"/>
        </tpls>
      </m>
      <n v="1" in="0">
        <tpls c="3">
          <tpl fld="0" item="0"/>
          <tpl fld="1" item="285"/>
          <tpl fld="4" item="8"/>
        </tpls>
      </n>
      <n v="2" in="0">
        <tpls c="3">
          <tpl fld="0" item="0"/>
          <tpl fld="1" item="367"/>
          <tpl fld="4" item="16"/>
        </tpls>
      </n>
      <m in="0">
        <tpls c="3">
          <tpl fld="0" item="0"/>
          <tpl fld="1" item="24"/>
          <tpl fld="4" item="18"/>
        </tpls>
      </m>
      <m in="0">
        <tpls c="3">
          <tpl fld="0" item="0"/>
          <tpl fld="1" item="3"/>
          <tpl fld="4" item="16"/>
        </tpls>
      </m>
      <n v="350" in="0">
        <tpls c="3">
          <tpl fld="0" item="0"/>
          <tpl fld="1" item="269"/>
          <tpl fld="4" item="15"/>
        </tpls>
      </n>
      <n v="783" in="0">
        <tpls c="3">
          <tpl fld="0" item="0"/>
          <tpl fld="1" item="225"/>
          <tpl fld="4" item="15"/>
        </tpls>
      </n>
      <n v="15" in="0">
        <tpls c="3">
          <tpl fld="0" item="0"/>
          <tpl fld="1" item="155"/>
          <tpl fld="4" item="15"/>
        </tpls>
      </n>
      <m in="1">
        <tpls c="3">
          <tpl fld="0" item="0"/>
          <tpl fld="1" item="76"/>
          <tpl fld="4" item="7"/>
        </tpls>
      </m>
      <m in="0">
        <tpls c="3">
          <tpl fld="0" item="0"/>
          <tpl fld="1" item="175"/>
          <tpl fld="4" item="6"/>
        </tpls>
      </m>
      <n v="10" in="0">
        <tpls c="3">
          <tpl fld="0" item="0"/>
          <tpl fld="1" item="281"/>
          <tpl fld="4" item="16"/>
        </tpls>
      </n>
      <n v="8" in="0">
        <tpls c="3">
          <tpl fld="0" item="0"/>
          <tpl fld="1" item="80"/>
          <tpl fld="4" item="16"/>
        </tpls>
      </n>
      <m in="0">
        <tpls c="3">
          <tpl fld="0" item="0"/>
          <tpl fld="1" item="6"/>
          <tpl fld="4" item="21"/>
        </tpls>
      </m>
      <m in="0">
        <tpls c="3">
          <tpl fld="0" item="0"/>
          <tpl fld="1" item="393"/>
          <tpl fld="4" item="21"/>
        </tpls>
      </m>
      <n v="126" in="0">
        <tpls c="3">
          <tpl fld="0" item="0"/>
          <tpl fld="1" item="266"/>
          <tpl fld="4" item="21"/>
        </tpls>
      </n>
      <n v="32" in="0">
        <tpls c="3">
          <tpl fld="0" item="0"/>
          <tpl fld="1" item="381"/>
          <tpl fld="4" item="16"/>
        </tpls>
      </n>
      <m in="0">
        <tpls c="3">
          <tpl fld="0" item="0"/>
          <tpl fld="1" item="253"/>
          <tpl fld="4" item="16"/>
        </tpls>
      </m>
      <m in="0">
        <tpls c="3">
          <tpl fld="0" item="0"/>
          <tpl fld="1" item="306"/>
          <tpl fld="4" item="16"/>
        </tpls>
      </m>
      <m in="0">
        <tpls c="3">
          <tpl fld="0" item="0"/>
          <tpl fld="1" item="35"/>
          <tpl fld="4" item="16"/>
        </tpls>
      </m>
      <n v="1" in="0">
        <tpls c="3">
          <tpl fld="0" item="0"/>
          <tpl fld="1" item="63"/>
          <tpl fld="4" item="17"/>
        </tpls>
      </n>
      <n v="33" in="0">
        <tpls c="3">
          <tpl fld="0" item="0"/>
          <tpl fld="1" item="281"/>
          <tpl fld="4" item="17"/>
        </tpls>
      </n>
      <m in="0">
        <tpls c="3">
          <tpl fld="0" item="0"/>
          <tpl fld="1" item="69"/>
          <tpl fld="4" item="13"/>
        </tpls>
      </m>
      <n v="1" in="0">
        <tpls c="3">
          <tpl fld="0" item="0"/>
          <tpl fld="1" item="184"/>
          <tpl fld="4" item="19"/>
        </tpls>
      </n>
      <m in="0">
        <tpls c="3">
          <tpl fld="0" item="0"/>
          <tpl fld="1" item="352"/>
          <tpl fld="4" item="13"/>
        </tpls>
      </m>
      <n v="18" in="0">
        <tpls c="3">
          <tpl fld="0" item="0"/>
          <tpl fld="1" item="370"/>
          <tpl fld="4" item="20"/>
        </tpls>
      </n>
      <n v="28" in="0">
        <tpls c="3">
          <tpl fld="0" item="0"/>
          <tpl fld="1" item="455"/>
          <tpl fld="4" item="20"/>
        </tpls>
      </n>
      <m in="0">
        <tpls c="3">
          <tpl fld="0" item="0"/>
          <tpl fld="1" item="71"/>
          <tpl fld="4" item="20"/>
        </tpls>
      </m>
      <n v="37" in="0">
        <tpls c="3">
          <tpl fld="0" item="0"/>
          <tpl fld="1" item="365"/>
          <tpl fld="4" item="21"/>
        </tpls>
      </n>
      <n v="42" in="0">
        <tpls c="3">
          <tpl fld="0" item="0"/>
          <tpl fld="1" item="14"/>
          <tpl fld="4" item="27"/>
        </tpls>
      </n>
      <m in="0">
        <tpls c="3">
          <tpl fld="0" item="0"/>
          <tpl fld="1" item="416"/>
          <tpl fld="4" item="27"/>
        </tpls>
      </m>
      <n v="3" in="0">
        <tpls c="3">
          <tpl fld="0" item="0"/>
          <tpl fld="1" item="383"/>
          <tpl fld="4" item="26"/>
        </tpls>
      </n>
      <n v="86" in="0">
        <tpls c="3">
          <tpl fld="0" item="0"/>
          <tpl fld="1" item="296"/>
          <tpl fld="4" item="25"/>
        </tpls>
      </n>
      <n v="116" in="0">
        <tpls c="3">
          <tpl fld="0" item="0"/>
          <tpl fld="1" item="249"/>
          <tpl fld="4" item="25"/>
        </tpls>
      </n>
      <n v="3" in="0">
        <tpls c="3">
          <tpl fld="0" item="0"/>
          <tpl fld="1" item="25"/>
          <tpl fld="4" item="24"/>
        </tpls>
      </n>
      <n v="5" in="0">
        <tpls c="3">
          <tpl fld="0" item="0"/>
          <tpl fld="1" item="420"/>
          <tpl fld="4" item="16"/>
        </tpls>
      </n>
      <m in="0">
        <tpls c="3">
          <tpl fld="0" item="0"/>
          <tpl fld="1" item="110"/>
          <tpl fld="4" item="21"/>
        </tpls>
      </m>
      <n v="1" in="0">
        <tpls c="3">
          <tpl fld="0" item="0"/>
          <tpl fld="1" item="326"/>
          <tpl fld="4" item="19"/>
        </tpls>
      </n>
      <m in="0">
        <tpls c="3">
          <tpl fld="0" item="0"/>
          <tpl fld="1" item="426"/>
          <tpl fld="4" item="13"/>
        </tpls>
      </m>
      <n v="36" in="0">
        <tpls c="3">
          <tpl fld="0" item="0"/>
          <tpl fld="1" item="212"/>
          <tpl fld="4" item="20"/>
        </tpls>
      </n>
      <m in="0">
        <tpls c="3">
          <tpl fld="0" item="0"/>
          <tpl fld="1" item="363"/>
          <tpl fld="4" item="20"/>
        </tpls>
      </m>
      <m in="0">
        <tpls c="3">
          <tpl fld="0" item="0"/>
          <tpl fld="1" item="93"/>
          <tpl fld="4" item="8"/>
        </tpls>
      </m>
      <m in="0">
        <tpls c="3">
          <tpl fld="0" item="0"/>
          <tpl fld="1" item="397"/>
          <tpl fld="4" item="5"/>
        </tpls>
      </m>
      <m in="0">
        <tpls c="3">
          <tpl fld="0" item="0"/>
          <tpl fld="1" item="329"/>
          <tpl fld="4" item="18"/>
        </tpls>
      </m>
      <n v="99" in="0">
        <tpls c="3">
          <tpl fld="0" item="0"/>
          <tpl fld="1" item="183"/>
          <tpl fld="4" item="13"/>
        </tpls>
      </n>
      <n v="2" in="0">
        <tpls c="3">
          <tpl fld="0" item="0"/>
          <tpl fld="1" item="27"/>
          <tpl fld="4" item="20"/>
        </tpls>
      </n>
      <m in="0">
        <tpls c="3">
          <tpl fld="0" item="0"/>
          <tpl fld="1" item="129"/>
          <tpl fld="4" item="18"/>
        </tpls>
      </m>
      <m in="0">
        <tpls c="3">
          <tpl fld="0" item="0"/>
          <tpl fld="1" item="135"/>
          <tpl fld="4" item="21"/>
        </tpls>
      </m>
      <n v="5" in="0">
        <tpls c="3">
          <tpl fld="0" item="0"/>
          <tpl fld="1" item="117"/>
          <tpl fld="4" item="21"/>
        </tpls>
      </n>
      <m in="0">
        <tpls c="3">
          <tpl fld="0" item="0"/>
          <tpl fld="1" item="158"/>
          <tpl fld="4" item="5"/>
        </tpls>
      </m>
      <m in="0">
        <tpls c="3">
          <tpl fld="0" item="0"/>
          <tpl fld="1" item="21"/>
          <tpl fld="4" item="16"/>
        </tpls>
      </m>
      <m in="0">
        <tpls c="3">
          <tpl fld="0" item="0"/>
          <tpl fld="1" item="192"/>
          <tpl fld="4" item="18"/>
        </tpls>
      </m>
      <m in="0">
        <tpls c="3">
          <tpl fld="0" item="0"/>
          <tpl fld="1" item="414"/>
          <tpl fld="4" item="16"/>
        </tpls>
      </m>
      <m in="0">
        <tpls c="3">
          <tpl fld="0" item="0"/>
          <tpl fld="1" item="398"/>
          <tpl fld="4" item="15"/>
        </tpls>
      </m>
      <m in="0">
        <tpls c="3">
          <tpl fld="0" item="0"/>
          <tpl fld="1" item="316"/>
          <tpl fld="4" item="15"/>
        </tpls>
      </m>
      <n v="53" in="0">
        <tpls c="3">
          <tpl fld="0" item="0"/>
          <tpl fld="1" item="403"/>
          <tpl fld="4" item="15"/>
        </tpls>
      </n>
      <n v="3" in="0">
        <tpls c="3">
          <tpl fld="0" item="0"/>
          <tpl fld="1" item="409"/>
          <tpl fld="4" item="19"/>
        </tpls>
      </n>
      <n v="64" in="0">
        <tpls c="3">
          <tpl fld="0" item="0"/>
          <tpl fld="1" item="172"/>
          <tpl fld="4" item="20"/>
        </tpls>
      </n>
      <m in="0">
        <tpls c="3">
          <tpl fld="0" item="0"/>
          <tpl fld="1" item="193"/>
          <tpl fld="4" item="22"/>
        </tpls>
      </m>
      <m in="0">
        <tpls c="3">
          <tpl fld="0" item="0"/>
          <tpl fld="1" item="24"/>
          <tpl fld="4" item="26"/>
        </tpls>
      </m>
      <m in="0">
        <tpls c="3">
          <tpl fld="0" item="0"/>
          <tpl fld="1" item="300"/>
          <tpl fld="4" item="25"/>
        </tpls>
      </m>
      <m in="0">
        <tpls c="3">
          <tpl fld="0" item="0"/>
          <tpl fld="1" item="364"/>
          <tpl fld="4" item="32"/>
        </tpls>
      </m>
      <m in="0">
        <tpls c="3">
          <tpl fld="0" item="0"/>
          <tpl fld="1" item="280"/>
          <tpl fld="4" item="21"/>
        </tpls>
      </m>
      <m in="0">
        <tpls c="3">
          <tpl fld="0" item="0"/>
          <tpl fld="1" item="40"/>
          <tpl fld="4" item="28"/>
        </tpls>
      </m>
      <m in="0">
        <tpls c="3">
          <tpl fld="0" item="0"/>
          <tpl fld="1" item="399"/>
          <tpl fld="4" item="16"/>
        </tpls>
      </m>
      <n v="1" in="0">
        <tpls c="3">
          <tpl fld="0" item="0"/>
          <tpl fld="1" item="138"/>
          <tpl fld="4" item="18"/>
        </tpls>
      </n>
      <m in="0">
        <tpls c="3">
          <tpl fld="0" item="0"/>
          <tpl fld="1" item="121"/>
          <tpl fld="4" item="18"/>
        </tpls>
      </m>
      <n v="3" in="0">
        <tpls c="3">
          <tpl fld="0" item="0"/>
          <tpl fld="1" item="94"/>
          <tpl fld="4" item="17"/>
        </tpls>
      </n>
      <n v="1" in="0">
        <tpls c="3">
          <tpl fld="0" item="0"/>
          <tpl fld="1" item="434"/>
          <tpl fld="4" item="17"/>
        </tpls>
      </n>
      <m in="0">
        <tpls c="3">
          <tpl fld="0" item="0"/>
          <tpl fld="1" item="13"/>
          <tpl fld="4" item="19"/>
        </tpls>
      </m>
      <m in="0">
        <tpls c="3">
          <tpl fld="0" item="0"/>
          <tpl fld="1" item="1"/>
          <tpl fld="4" item="16"/>
        </tpls>
      </m>
      <n v="4" in="0">
        <tpls c="3">
          <tpl fld="0" item="0"/>
          <tpl fld="1" item="366"/>
          <tpl fld="4" item="19"/>
        </tpls>
      </n>
      <m in="0">
        <tpls c="3">
          <tpl fld="0" item="0"/>
          <tpl fld="1" item="21"/>
          <tpl fld="4" item="15"/>
        </tpls>
      </m>
      <m in="0">
        <tpls c="3">
          <tpl fld="0" item="0"/>
          <tpl fld="1" item="243"/>
          <tpl fld="4" item="15"/>
        </tpls>
      </m>
      <n v="2" in="0">
        <tpls c="3">
          <tpl fld="0" item="0"/>
          <tpl fld="1" item="61"/>
          <tpl fld="4" item="15"/>
        </tpls>
      </n>
      <n v="55" in="0">
        <tpls c="3">
          <tpl fld="0" item="0"/>
          <tpl fld="1" item="305"/>
          <tpl fld="4" item="14"/>
        </tpls>
      </n>
      <n v="190" in="0">
        <tpls c="3">
          <tpl fld="0" item="0"/>
          <tpl fld="1" item="87"/>
          <tpl fld="4" item="14"/>
        </tpls>
      </n>
      <n v="59" in="0">
        <tpls c="3">
          <tpl fld="0" item="0"/>
          <tpl fld="1" item="117"/>
          <tpl fld="4" item="13"/>
        </tpls>
      </n>
      <n v="63" in="0">
        <tpls c="3">
          <tpl fld="0" item="0"/>
          <tpl fld="1" item="377"/>
          <tpl fld="4" item="13"/>
        </tpls>
      </n>
      <n v="5" in="0">
        <tpls c="3">
          <tpl fld="0" item="0"/>
          <tpl fld="1" item="394"/>
          <tpl fld="4" item="13"/>
        </tpls>
      </n>
      <n v="25" in="0">
        <tpls c="3">
          <tpl fld="0" item="0"/>
          <tpl fld="1" item="347"/>
          <tpl fld="4" item="19"/>
        </tpls>
      </n>
      <n v="1" in="0">
        <tpls c="3">
          <tpl fld="0" item="0"/>
          <tpl fld="1" item="59"/>
          <tpl fld="4" item="16"/>
        </tpls>
      </n>
      <m in="0">
        <tpls c="3">
          <tpl fld="0" item="0"/>
          <tpl fld="1" item="98"/>
          <tpl fld="4" item="16"/>
        </tpls>
      </m>
      <n v="57" in="0">
        <tpls c="3">
          <tpl fld="0" item="0"/>
          <tpl fld="1" item="419"/>
          <tpl fld="4" item="15"/>
        </tpls>
      </n>
      <n v="57" in="0">
        <tpls c="3">
          <tpl fld="0" item="0"/>
          <tpl fld="1" item="331"/>
          <tpl fld="4" item="17"/>
        </tpls>
      </n>
      <m in="0">
        <tpls c="3">
          <tpl fld="0" item="0"/>
          <tpl fld="1" item="259"/>
          <tpl fld="4" item="25"/>
        </tpls>
      </m>
      <m in="0">
        <tpls c="3">
          <tpl fld="0" item="0"/>
          <tpl fld="1" item="46"/>
          <tpl fld="4" item="28"/>
        </tpls>
      </m>
      <m in="0">
        <tpls c="3">
          <tpl fld="0" item="0"/>
          <tpl fld="1" item="443"/>
          <tpl fld="4" item="23"/>
        </tpls>
      </m>
      <n v="44" in="0">
        <tpls c="3">
          <tpl fld="0" item="0"/>
          <tpl fld="1" item="369"/>
          <tpl fld="4" item="23"/>
        </tpls>
      </n>
      <n v="32" in="0">
        <tpls c="3">
          <tpl fld="0" item="0"/>
          <tpl fld="1" item="200"/>
          <tpl fld="4" item="29"/>
        </tpls>
      </n>
      <n v="21" in="0">
        <tpls c="3">
          <tpl fld="0" item="0"/>
          <tpl fld="1" item="120"/>
          <tpl fld="4" item="29"/>
        </tpls>
      </n>
      <m in="0">
        <tpls c="3">
          <tpl fld="0" item="0"/>
          <tpl fld="1" item="169"/>
          <tpl fld="4" item="1"/>
        </tpls>
      </m>
      <m in="0">
        <tpls c="3">
          <tpl fld="0" item="0"/>
          <tpl fld="1" item="46"/>
          <tpl fld="4" item="18"/>
        </tpls>
      </m>
      <m in="0">
        <tpls c="3">
          <tpl fld="0" item="0"/>
          <tpl fld="1" item="42"/>
          <tpl fld="4" item="18"/>
        </tpls>
      </m>
      <m in="0">
        <tpls c="3">
          <tpl fld="0" item="0"/>
          <tpl fld="1" item="244"/>
          <tpl fld="4" item="18"/>
        </tpls>
      </m>
      <n v="23" in="0">
        <tpls c="3">
          <tpl fld="0" item="0"/>
          <tpl fld="1" item="104"/>
          <tpl fld="4" item="17"/>
        </tpls>
      </n>
      <m in="0">
        <tpls c="3">
          <tpl fld="0" item="0"/>
          <tpl fld="1" item="83"/>
          <tpl fld="4" item="17"/>
        </tpls>
      </m>
      <m in="0">
        <tpls c="3">
          <tpl fld="0" item="0"/>
          <tpl fld="1" item="251"/>
          <tpl fld="4" item="19"/>
        </tpls>
      </m>
      <n v="2" in="0">
        <tpls c="3">
          <tpl fld="0" item="0"/>
          <tpl fld="1" item="296"/>
          <tpl fld="4" item="16"/>
        </tpls>
      </n>
      <m in="0">
        <tpls c="3">
          <tpl fld="0" item="0"/>
          <tpl fld="1" item="164"/>
          <tpl fld="4" item="19"/>
        </tpls>
      </m>
      <m in="0">
        <tpls c="3">
          <tpl fld="0" item="0"/>
          <tpl fld="1" item="406"/>
          <tpl fld="4" item="15"/>
        </tpls>
      </m>
      <n v="35" in="0">
        <tpls c="3">
          <tpl fld="0" item="0"/>
          <tpl fld="1" item="386"/>
          <tpl fld="4" item="15"/>
        </tpls>
      </n>
      <m in="0">
        <tpls c="3">
          <tpl fld="0" item="0"/>
          <tpl fld="1" item="222"/>
          <tpl fld="4" item="15"/>
        </tpls>
      </m>
      <m in="0">
        <tpls c="3">
          <tpl fld="0" item="0"/>
          <tpl fld="1" item="443"/>
          <tpl fld="4" item="8"/>
        </tpls>
      </m>
      <m in="0">
        <tpls c="3">
          <tpl fld="0" item="0"/>
          <tpl fld="1" item="211"/>
          <tpl fld="4" item="13"/>
        </tpls>
      </m>
      <m in="0">
        <tpls c="3">
          <tpl fld="0" item="0"/>
          <tpl fld="1" item="222"/>
          <tpl fld="4" item="13"/>
        </tpls>
      </m>
      <m in="0">
        <tpls c="3">
          <tpl fld="0" item="0"/>
          <tpl fld="1" item="97"/>
          <tpl fld="4" item="13"/>
        </tpls>
      </m>
      <n v="7" in="0">
        <tpls c="3">
          <tpl fld="0" item="0"/>
          <tpl fld="1" item="256"/>
          <tpl fld="4" item="13"/>
        </tpls>
      </n>
      <n v="2" in="0">
        <tpls c="3">
          <tpl fld="0" item="0"/>
          <tpl fld="1" item="370"/>
          <tpl fld="4" item="16"/>
        </tpls>
      </n>
      <m in="0">
        <tpls c="3">
          <tpl fld="0" item="0"/>
          <tpl fld="1" item="74"/>
          <tpl fld="4" item="18"/>
        </tpls>
      </m>
      <m in="0">
        <tpls c="3">
          <tpl fld="0" item="0"/>
          <tpl fld="1" item="443"/>
          <tpl fld="4" item="18"/>
        </tpls>
      </m>
      <m in="0">
        <tpls c="3">
          <tpl fld="0" item="0"/>
          <tpl fld="1" item="361"/>
          <tpl fld="4" item="17"/>
        </tpls>
      </m>
      <m in="0">
        <tpls c="3">
          <tpl fld="0" item="0"/>
          <tpl fld="1" item="298"/>
          <tpl fld="4" item="17"/>
        </tpls>
      </m>
      <m in="0">
        <tpls c="3">
          <tpl fld="0" item="0"/>
          <tpl fld="1" item="392"/>
          <tpl fld="4" item="24"/>
        </tpls>
      </m>
      <n v="2" in="0">
        <tpls c="3">
          <tpl fld="0" item="0"/>
          <tpl fld="1" item="334"/>
          <tpl fld="4" item="28"/>
        </tpls>
      </n>
      <n v="80" in="0">
        <tpls c="3">
          <tpl fld="0" item="0"/>
          <tpl fld="1" item="431"/>
          <tpl fld="4" item="23"/>
        </tpls>
      </n>
      <n v="29" in="0">
        <tpls c="3">
          <tpl fld="0" item="0"/>
          <tpl fld="1" item="444"/>
          <tpl fld="4" item="23"/>
        </tpls>
      </n>
      <m in="0">
        <tpls c="3">
          <tpl fld="0" item="0"/>
          <tpl fld="1" item="23"/>
          <tpl fld="4" item="29"/>
        </tpls>
      </m>
      <m in="0">
        <tpls c="3">
          <tpl fld="0" item="0"/>
          <tpl fld="1" item="15"/>
          <tpl fld="4" item="29"/>
        </tpls>
      </m>
      <m in="0">
        <tpls c="3">
          <tpl fld="0" item="0"/>
          <tpl fld="1" item="274"/>
          <tpl fld="4" item="18"/>
        </tpls>
      </m>
      <m in="0">
        <tpls c="3">
          <tpl fld="0" item="0"/>
          <tpl fld="1" item="9"/>
          <tpl fld="4" item="18"/>
        </tpls>
      </m>
      <m in="0">
        <tpls c="3">
          <tpl fld="0" item="0"/>
          <tpl fld="1" item="336"/>
          <tpl fld="4" item="18"/>
        </tpls>
      </m>
      <n v="11" in="0">
        <tpls c="3">
          <tpl fld="0" item="0"/>
          <tpl fld="1" item="273"/>
          <tpl fld="4" item="17"/>
        </tpls>
      </n>
      <m in="0">
        <tpls c="3">
          <tpl fld="0" item="0"/>
          <tpl fld="1" item="388"/>
          <tpl fld="4" item="21"/>
        </tpls>
      </m>
      <m in="0">
        <tpls c="3">
          <tpl fld="0" item="0"/>
          <tpl fld="1" item="323"/>
          <tpl fld="4" item="6"/>
        </tpls>
      </m>
      <n v="3" in="0">
        <tpls c="3">
          <tpl fld="0" item="0"/>
          <tpl fld="1" item="360"/>
          <tpl fld="4" item="19"/>
        </tpls>
      </n>
      <n v="1" in="0">
        <tpls c="3">
          <tpl fld="0" item="0"/>
          <tpl fld="1" item="302"/>
          <tpl fld="4" item="16"/>
        </tpls>
      </n>
      <m in="0">
        <tpls c="3">
          <tpl fld="0" item="0"/>
          <tpl fld="1" item="394"/>
          <tpl fld="4" item="16"/>
        </tpls>
      </m>
      <m in="0">
        <tpls c="3">
          <tpl fld="0" item="0"/>
          <tpl fld="1" item="1"/>
          <tpl fld="4" item="15"/>
        </tpls>
      </m>
      <n v="11" in="0">
        <tpls c="3">
          <tpl fld="0" item="0"/>
          <tpl fld="1" item="314"/>
          <tpl fld="4" item="15"/>
        </tpls>
      </n>
      <n v="39" in="0">
        <tpls c="3">
          <tpl fld="0" item="0"/>
          <tpl fld="1" item="263"/>
          <tpl fld="4" item="15"/>
        </tpls>
      </n>
      <n v="33" in="0">
        <tpls c="3">
          <tpl fld="0" item="0"/>
          <tpl fld="1" item="125"/>
          <tpl fld="4" item="13"/>
        </tpls>
      </n>
      <m in="0">
        <tpls c="3">
          <tpl fld="0" item="0"/>
          <tpl fld="1" item="34"/>
          <tpl fld="4" item="13"/>
        </tpls>
      </m>
      <n v="44" in="0">
        <tpls c="3">
          <tpl fld="0" item="0"/>
          <tpl fld="1" item="255"/>
          <tpl fld="4" item="13"/>
        </tpls>
      </n>
      <n v="1" in="0">
        <tpls c="3">
          <tpl fld="0" item="0"/>
          <tpl fld="1" item="401"/>
          <tpl fld="4" item="13"/>
        </tpls>
      </n>
      <m in="0">
        <tpls c="3">
          <tpl fld="0" item="0"/>
          <tpl fld="1" item="43"/>
          <tpl fld="4" item="18"/>
        </tpls>
      </m>
      <m in="0">
        <tpls c="3">
          <tpl fld="0" item="0"/>
          <tpl fld="1" item="295"/>
          <tpl fld="4" item="18"/>
        </tpls>
      </m>
      <m in="0">
        <tpls c="3">
          <tpl fld="0" item="0"/>
          <tpl fld="1" item="254"/>
          <tpl fld="4" item="18"/>
        </tpls>
      </m>
      <m in="0">
        <tpls c="3">
          <tpl fld="0" item="0"/>
          <tpl fld="1" item="112"/>
          <tpl fld="4" item="21"/>
        </tpls>
      </m>
      <m in="0">
        <tpls c="3">
          <tpl fld="0" item="0"/>
          <tpl fld="1" item="189"/>
          <tpl fld="4" item="17"/>
        </tpls>
      </m>
      <n v="294" in="0">
        <tpls c="3">
          <tpl fld="0" item="0"/>
          <tpl fld="1" item="11"/>
          <tpl fld="4" item="24"/>
        </tpls>
      </n>
      <m in="0">
        <tpls c="3">
          <tpl fld="0" item="0"/>
          <tpl fld="1" item="428"/>
          <tpl fld="4" item="28"/>
        </tpls>
      </m>
      <m in="0">
        <tpls c="3">
          <tpl fld="0" item="0"/>
          <tpl fld="1" item="373"/>
          <tpl fld="4" item="23"/>
        </tpls>
      </m>
      <n v="102" in="0">
        <tpls c="3">
          <tpl fld="0" item="0"/>
          <tpl fld="1" item="152"/>
          <tpl fld="4" item="23"/>
        </tpls>
      </n>
      <n v="23" in="0">
        <tpls c="3">
          <tpl fld="0" item="0"/>
          <tpl fld="1" item="233"/>
          <tpl fld="4" item="29"/>
        </tpls>
      </n>
      <m in="0">
        <tpls c="3">
          <tpl fld="0" item="0"/>
          <tpl fld="1" item="318"/>
          <tpl fld="4" item="27"/>
        </tpls>
      </m>
      <n v="12" in="0">
        <tpls c="3">
          <tpl fld="0" item="0"/>
          <tpl fld="1" item="81"/>
          <tpl fld="4" item="15"/>
        </tpls>
      </n>
      <n v="5" in="0">
        <tpls c="3">
          <tpl fld="0" item="0"/>
          <tpl fld="1" item="77"/>
          <tpl fld="4" item="21"/>
        </tpls>
      </n>
      <n v="472" in="0">
        <tpls c="3">
          <tpl fld="0" item="0"/>
          <tpl fld="1" item="45"/>
          <tpl fld="4" item="24"/>
        </tpls>
      </n>
      <n v="28" in="0">
        <tpls c="3">
          <tpl fld="0" item="0"/>
          <tpl fld="1" item="87"/>
          <tpl fld="4" item="28"/>
        </tpls>
      </n>
      <n v="83" in="0">
        <tpls c="3">
          <tpl fld="0" item="0"/>
          <tpl fld="1" item="106"/>
          <tpl fld="4" item="29"/>
        </tpls>
      </n>
      <n v="7" in="0">
        <tpls c="3">
          <tpl fld="0" item="0"/>
          <tpl fld="1" item="75"/>
          <tpl fld="4" item="14"/>
        </tpls>
      </n>
      <m in="0">
        <tpls c="3">
          <tpl fld="0" item="0"/>
          <tpl fld="1" item="70"/>
          <tpl fld="4" item="19"/>
        </tpls>
      </m>
      <n v="3" in="0">
        <tpls c="3">
          <tpl fld="0" item="0"/>
          <tpl fld="1" item="409"/>
          <tpl fld="4" item="16"/>
        </tpls>
      </n>
      <n v="1" in="0">
        <tpls c="3">
          <tpl fld="0" item="0"/>
          <tpl fld="1" item="151"/>
          <tpl fld="4" item="16"/>
        </tpls>
      </n>
      <m in="0">
        <tpls c="3">
          <tpl fld="0" item="0"/>
          <tpl fld="1" item="259"/>
          <tpl fld="4" item="15"/>
        </tpls>
      </m>
      <n v="4" in="0">
        <tpls c="3">
          <tpl fld="0" item="0"/>
          <tpl fld="1" item="326"/>
          <tpl fld="4" item="17"/>
        </tpls>
      </n>
      <n v="1" in="0">
        <tpls c="3">
          <tpl fld="0" item="0"/>
          <tpl fld="1" item="453"/>
          <tpl fld="4" item="13"/>
        </tpls>
      </n>
      <m in="0">
        <tpls c="3">
          <tpl fld="0" item="0"/>
          <tpl fld="1" item="391"/>
          <tpl fld="4" item="19"/>
        </tpls>
      </m>
      <m in="0">
        <tpls c="3">
          <tpl fld="0" item="0"/>
          <tpl fld="1" item="211"/>
          <tpl fld="4" item="19"/>
        </tpls>
      </m>
      <n v="82" in="0">
        <tpls c="3">
          <tpl fld="0" item="0"/>
          <tpl fld="1" item="94"/>
          <tpl fld="4" item="20"/>
        </tpls>
      </n>
      <n v="13" in="0">
        <tpls c="3">
          <tpl fld="0" item="0"/>
          <tpl fld="1" item="165"/>
          <tpl fld="4" item="20"/>
        </tpls>
      </n>
      <m in="0">
        <tpls c="3">
          <tpl fld="0" item="0"/>
          <tpl fld="1" item="406"/>
          <tpl fld="4" item="20"/>
        </tpls>
      </m>
      <n v="1" in="0">
        <tpls c="3">
          <tpl fld="0" item="0"/>
          <tpl fld="1" item="179"/>
          <tpl fld="4" item="9"/>
        </tpls>
      </n>
      <m in="0">
        <tpls c="3">
          <tpl fld="0" item="0"/>
          <tpl fld="1" item="271"/>
          <tpl fld="4" item="13"/>
        </tpls>
      </m>
      <m in="0">
        <tpls c="3">
          <tpl fld="0" item="0"/>
          <tpl fld="1" item="28"/>
          <tpl fld="4" item="1"/>
        </tpls>
      </m>
      <m in="0">
        <tpls c="3">
          <tpl fld="0" item="0"/>
          <tpl fld="1" item="246"/>
          <tpl fld="4" item="18"/>
        </tpls>
      </m>
      <m in="0">
        <tpls c="3">
          <tpl fld="0" item="0"/>
          <tpl fld="1" item="213"/>
          <tpl fld="4" item="21"/>
        </tpls>
      </m>
      <m in="0">
        <tpls c="3">
          <tpl fld="0" item="0"/>
          <tpl fld="1" item="73"/>
          <tpl fld="4" item="21"/>
        </tpls>
      </m>
      <n v="1" in="0">
        <tpls c="3">
          <tpl fld="0" item="0"/>
          <tpl fld="1" item="172"/>
          <tpl fld="4" item="21"/>
        </tpls>
      </n>
      <m in="0">
        <tpls c="3">
          <tpl fld="0" item="0"/>
          <tpl fld="1" item="105"/>
          <tpl fld="4" item="19"/>
        </tpls>
      </m>
      <m in="0">
        <tpls c="3">
          <tpl fld="0" item="0"/>
          <tpl fld="1" item="328"/>
          <tpl fld="4" item="15"/>
        </tpls>
      </m>
      <m in="0">
        <tpls c="3">
          <tpl fld="0" item="0"/>
          <tpl fld="1" item="198"/>
          <tpl fld="4" item="25"/>
        </tpls>
      </m>
      <n v="74" in="0">
        <tpls c="3">
          <tpl fld="0" item="0"/>
          <tpl fld="1" item="277"/>
          <tpl fld="4" item="15"/>
        </tpls>
      </n>
      <n v="6" in="0">
        <tpls c="3">
          <tpl fld="0" item="0"/>
          <tpl fld="1" item="249"/>
          <tpl fld="4" item="28"/>
        </tpls>
      </n>
      <m in="0">
        <tpls c="3">
          <tpl fld="0" item="0"/>
          <tpl fld="1" item="34"/>
          <tpl fld="4" item="28"/>
        </tpls>
      </m>
      <n v="199" in="0">
        <tpls c="3">
          <tpl fld="0" item="0"/>
          <tpl fld="1" item="442"/>
          <tpl fld="4" item="23"/>
        </tpls>
      </n>
      <n v="11" in="0">
        <tpls c="3">
          <tpl fld="0" item="0"/>
          <tpl fld="1" item="315"/>
          <tpl fld="4" item="29"/>
        </tpls>
      </n>
      <m in="0">
        <tpls c="3">
          <tpl fld="0" item="0"/>
          <tpl fld="1" item="233"/>
          <tpl fld="4" item="18"/>
        </tpls>
      </m>
      <m in="0">
        <tpls c="3">
          <tpl fld="0" item="0"/>
          <tpl fld="1" item="123"/>
          <tpl fld="4" item="17"/>
        </tpls>
      </m>
      <m in="0">
        <tpls c="3">
          <tpl fld="0" item="0"/>
          <tpl fld="1" item="247"/>
          <tpl fld="4" item="14"/>
        </tpls>
      </m>
      <n v="1480" in="0">
        <tpls c="3">
          <tpl fld="0" item="0"/>
          <tpl fld="1" item="33"/>
          <tpl fld="4" item="20"/>
        </tpls>
      </n>
      <m in="0">
        <tpls c="3">
          <tpl fld="0" item="0"/>
          <tpl fld="1" item="88"/>
          <tpl fld="4" item="18"/>
        </tpls>
      </m>
      <n v="25" in="0">
        <tpls c="3">
          <tpl fld="0" item="0"/>
          <tpl fld="1" item="11"/>
          <tpl fld="4" item="21"/>
        </tpls>
      </n>
      <m in="0">
        <tpls c="3">
          <tpl fld="0" item="0"/>
          <tpl fld="1" item="29"/>
          <tpl fld="4" item="21"/>
        </tpls>
      </m>
      <m in="0">
        <tpls c="3">
          <tpl fld="0" item="0"/>
          <tpl fld="1" item="440"/>
          <tpl fld="4" item="6"/>
        </tpls>
      </m>
      <m in="0">
        <tpls c="3">
          <tpl fld="0" item="0"/>
          <tpl fld="1" item="219"/>
          <tpl fld="4" item="16"/>
        </tpls>
      </m>
      <m in="0">
        <tpls c="3">
          <tpl fld="0" item="0"/>
          <tpl fld="1" item="310"/>
          <tpl fld="4" item="18"/>
        </tpls>
      </m>
      <m in="0">
        <tpls c="3">
          <tpl fld="0" item="0"/>
          <tpl fld="1" item="270"/>
          <tpl fld="4" item="16"/>
        </tpls>
      </m>
      <n v="11" in="0">
        <tpls c="3">
          <tpl fld="0" item="0"/>
          <tpl fld="1" item="402"/>
          <tpl fld="4" item="15"/>
        </tpls>
      </n>
      <n v="191" in="0">
        <tpls c="3">
          <tpl fld="0" item="0"/>
          <tpl fld="1" item="424"/>
          <tpl fld="4" item="15"/>
        </tpls>
      </n>
      <m in="0">
        <tpls c="3">
          <tpl fld="0" item="0"/>
          <tpl fld="1" item="53"/>
          <tpl fld="4" item="17"/>
        </tpls>
      </m>
      <m in="0">
        <tpls c="3">
          <tpl fld="0" item="0"/>
          <tpl fld="1" item="307"/>
          <tpl fld="4" item="14"/>
        </tpls>
      </m>
      <m in="0">
        <tpls c="3">
          <tpl fld="0" item="0"/>
          <tpl fld="1" item="314"/>
          <tpl fld="4" item="13"/>
        </tpls>
      </m>
      <m in="0">
        <tpls c="3">
          <tpl fld="0" item="0"/>
          <tpl fld="1" item="234"/>
          <tpl fld="4" item="19"/>
        </tpls>
      </m>
      <m in="0">
        <tpls c="3">
          <tpl fld="0" item="0"/>
          <tpl fld="1" item="247"/>
          <tpl fld="4" item="13"/>
        </tpls>
      </m>
      <m in="0">
        <tpls c="3">
          <tpl fld="0" item="0"/>
          <tpl fld="1" item="122"/>
          <tpl fld="4" item="13"/>
        </tpls>
      </m>
      <m in="0">
        <tpls c="3">
          <tpl fld="0" item="0"/>
          <tpl fld="1" item="193"/>
          <tpl fld="4" item="20"/>
        </tpls>
      </m>
      <m in="0">
        <tpls c="3">
          <tpl fld="0" item="0"/>
          <tpl fld="1" item="389"/>
          <tpl fld="4" item="20"/>
        </tpls>
      </m>
      <n v="163" in="0">
        <tpls c="3">
          <tpl fld="0" item="0"/>
          <tpl fld="1" item="77"/>
          <tpl fld="4" item="20"/>
        </tpls>
      </n>
      <n v="21" in="0">
        <tpls c="3">
          <tpl fld="0" item="0"/>
          <tpl fld="1" item="369"/>
          <tpl fld="4" item="15"/>
        </tpls>
      </n>
      <m in="0">
        <tpls c="3">
          <tpl fld="0" item="0"/>
          <tpl fld="1" item="24"/>
          <tpl fld="4" item="21"/>
        </tpls>
      </m>
      <n v="23" in="0">
        <tpls c="3">
          <tpl fld="0" item="0"/>
          <tpl fld="1" item="89"/>
          <tpl fld="4" item="24"/>
        </tpls>
      </n>
      <m in="0">
        <tpls c="3">
          <tpl fld="0" item="0"/>
          <tpl fld="1" item="282"/>
          <tpl fld="4" item="28"/>
        </tpls>
      </m>
      <n v="529" in="0">
        <tpls c="3">
          <tpl fld="0" item="0"/>
          <tpl fld="1" item="364"/>
          <tpl fld="4" item="29"/>
        </tpls>
      </n>
      <n v="57" in="0">
        <tpls c="3">
          <tpl fld="0" item="0"/>
          <tpl fld="1" item="209"/>
          <tpl fld="4" item="29"/>
        </tpls>
      </n>
      <n v="193" in="0">
        <tpls c="3">
          <tpl fld="0" item="0"/>
          <tpl fld="1" item="330"/>
          <tpl fld="4" item="29"/>
        </tpls>
      </n>
      <m in="0">
        <tpls c="3">
          <tpl fld="0" item="0"/>
          <tpl fld="1" item="445"/>
          <tpl fld="4" item="27"/>
        </tpls>
      </m>
      <m in="0">
        <tpls c="3">
          <tpl fld="0" item="0"/>
          <tpl fld="1" item="59"/>
          <tpl fld="4" item="13"/>
        </tpls>
      </m>
      <n v="6" in="0">
        <tpls c="3">
          <tpl fld="0" item="0"/>
          <tpl fld="1" item="324"/>
          <tpl fld="4" item="18"/>
        </tpls>
      </n>
      <m in="0">
        <tpls c="3">
          <tpl fld="0" item="0"/>
          <tpl fld="1" item="91"/>
          <tpl fld="4" item="16"/>
        </tpls>
      </m>
      <n v="39" in="0">
        <tpls c="3">
          <tpl fld="0" item="0"/>
          <tpl fld="1" item="67"/>
          <tpl fld="4" item="17"/>
        </tpls>
      </n>
      <m in="0">
        <tpls c="3">
          <tpl fld="0" item="0"/>
          <tpl fld="1" item="257"/>
          <tpl fld="4" item="17"/>
        </tpls>
      </m>
      <n v="12" in="0">
        <tpls c="3">
          <tpl fld="0" item="0"/>
          <tpl fld="1" item="395"/>
          <tpl fld="4" item="17"/>
        </tpls>
      </n>
      <m in="0">
        <tpls c="3">
          <tpl fld="0" item="0"/>
          <tpl fld="1" item="22"/>
          <tpl fld="4" item="19"/>
        </tpls>
      </m>
      <n v="9" in="0">
        <tpls c="3">
          <tpl fld="0" item="0"/>
          <tpl fld="1" item="456"/>
          <tpl fld="4" item="19"/>
        </tpls>
      </n>
      <n v="3" in="0">
        <tpls c="3">
          <tpl fld="0" item="0"/>
          <tpl fld="1" item="201"/>
          <tpl fld="4" item="19"/>
        </tpls>
      </n>
      <n v="7" in="0">
        <tpls c="3">
          <tpl fld="0" item="0"/>
          <tpl fld="1" item="124"/>
          <tpl fld="4" item="19"/>
        </tpls>
      </n>
      <n v="53" in="0">
        <tpls c="3">
          <tpl fld="0" item="0"/>
          <tpl fld="1" item="199"/>
          <tpl fld="4" item="20"/>
        </tpls>
      </n>
      <m in="0">
        <tpls c="3">
          <tpl fld="0" item="0"/>
          <tpl fld="1" item="188"/>
          <tpl fld="4" item="15"/>
        </tpls>
      </m>
      <m in="0">
        <tpls c="3">
          <tpl fld="0" item="0"/>
          <tpl fld="1" item="134"/>
          <tpl fld="4" item="13"/>
        </tpls>
      </m>
      <n v="62" in="0">
        <tpls c="3">
          <tpl fld="0" item="0"/>
          <tpl fld="1" item="427"/>
          <tpl fld="4" item="20"/>
        </tpls>
      </n>
      <n v="43" in="0">
        <tpls c="3">
          <tpl fld="0" item="0"/>
          <tpl fld="1" item="351"/>
          <tpl fld="4" item="21"/>
        </tpls>
      </n>
      <m in="0">
        <tpls c="3">
          <tpl fld="0" item="0"/>
          <tpl fld="1" item="238"/>
          <tpl fld="4" item="21"/>
        </tpls>
      </m>
      <n v="61" in="0">
        <tpls c="3">
          <tpl fld="0" item="0"/>
          <tpl fld="1" item="302"/>
          <tpl fld="4" item="15"/>
        </tpls>
      </n>
      <m in="0">
        <tpls c="3">
          <tpl fld="0" item="0"/>
          <tpl fld="1" item="162"/>
          <tpl fld="4" item="29"/>
        </tpls>
      </m>
      <n v="200" in="0">
        <tpls c="3">
          <tpl fld="0" item="0"/>
          <tpl fld="1" item="139"/>
          <tpl fld="4" item="29"/>
        </tpls>
      </n>
      <n v="7" in="0">
        <tpls c="3">
          <tpl fld="0" item="0"/>
          <tpl fld="1" item="106"/>
          <tpl fld="4" item="22"/>
        </tpls>
      </n>
      <m in="0">
        <tpls c="3">
          <tpl fld="0" item="0"/>
          <tpl fld="1" item="441"/>
          <tpl fld="4" item="18"/>
        </tpls>
      </m>
      <n v="2" in="0">
        <tpls c="3">
          <tpl fld="0" item="0"/>
          <tpl fld="1" item="400"/>
          <tpl fld="4" item="18"/>
        </tpls>
      </n>
      <m in="0">
        <tpls c="3">
          <tpl fld="0" item="0"/>
          <tpl fld="1" item="28"/>
          <tpl fld="4" item="13"/>
        </tpls>
      </m>
      <m in="0">
        <tpls c="3">
          <tpl fld="0" item="0"/>
          <tpl fld="1" item="437"/>
          <tpl fld="4" item="8"/>
        </tpls>
      </m>
      <n v="609" in="0">
        <tpls c="3">
          <tpl fld="0" item="0"/>
          <tpl fld="1" item="409"/>
          <tpl fld="4" item="20"/>
        </tpls>
      </n>
      <m in="0">
        <tpls c="3">
          <tpl fld="0" item="0"/>
          <tpl fld="1" item="294"/>
          <tpl fld="4" item="6"/>
        </tpls>
      </m>
      <m in="0">
        <tpls c="3">
          <tpl fld="0" item="0"/>
          <tpl fld="1" item="190"/>
          <tpl fld="4" item="15"/>
        </tpls>
      </m>
      <m in="0">
        <tpls c="3">
          <tpl fld="0" item="0"/>
          <tpl fld="1" item="359"/>
          <tpl fld="4" item="19"/>
        </tpls>
      </m>
      <m in="0">
        <tpls c="3">
          <tpl fld="0" item="0"/>
          <tpl fld="1" item="145"/>
          <tpl fld="4" item="17"/>
        </tpls>
      </m>
      <n v="49" in="0">
        <tpls c="3">
          <tpl fld="0" item="0"/>
          <tpl fld="1" item="403"/>
          <tpl fld="4" item="20"/>
        </tpls>
      </n>
      <m in="0">
        <tpls c="3">
          <tpl fld="0" item="0"/>
          <tpl fld="1" item="172"/>
          <tpl fld="4" item="16"/>
        </tpls>
      </m>
      <m in="0">
        <tpls c="3">
          <tpl fld="0" item="0"/>
          <tpl fld="1" item="334"/>
          <tpl fld="4" item="19"/>
        </tpls>
      </m>
      <n v="3" in="0">
        <tpls c="3">
          <tpl fld="0" item="0"/>
          <tpl fld="1" item="361"/>
          <tpl fld="4" item="13"/>
        </tpls>
      </n>
      <m in="0">
        <tpls c="3">
          <tpl fld="0" item="0"/>
          <tpl fld="1" item="327"/>
          <tpl fld="4" item="16"/>
        </tpls>
      </m>
      <m in="0">
        <tpls c="3">
          <tpl fld="0" item="0"/>
          <tpl fld="1" item="338"/>
          <tpl fld="4" item="20"/>
        </tpls>
      </m>
      <n v="1" in="0">
        <tpls c="3">
          <tpl fld="0" item="0"/>
          <tpl fld="1" item="3"/>
          <tpl fld="4" item="18"/>
        </tpls>
      </n>
      <m in="0">
        <tpls c="3">
          <tpl fld="0" item="0"/>
          <tpl fld="1" item="178"/>
          <tpl fld="4" item="16"/>
        </tpls>
      </m>
      <n v="4" in="0">
        <tpls c="3">
          <tpl fld="0" item="0"/>
          <tpl fld="2" item="0"/>
          <tpl fld="4" item="19"/>
        </tpls>
      </n>
      <m in="0">
        <tpls c="3">
          <tpl fld="0" item="0"/>
          <tpl fld="1" item="386"/>
          <tpl fld="4" item="18"/>
        </tpls>
      </m>
      <n v="75" in="0">
        <tpls c="3">
          <tpl fld="0" item="0"/>
          <tpl fld="1" item="57"/>
          <tpl fld="4" item="15"/>
        </tpls>
      </n>
      <m in="0">
        <tpls c="3">
          <tpl fld="0" item="0"/>
          <tpl fld="1" item="74"/>
          <tpl fld="4" item="20"/>
        </tpls>
      </m>
      <m in="0">
        <tpls c="3">
          <tpl fld="0" item="0"/>
          <tpl fld="1" item="378"/>
          <tpl fld="4" item="14"/>
        </tpls>
      </m>
      <m in="0">
        <tpls c="3">
          <tpl fld="0" item="0"/>
          <tpl fld="1" item="334"/>
          <tpl fld="4" item="18"/>
        </tpls>
      </m>
      <n v="28" in="0">
        <tpls c="3">
          <tpl fld="0" item="0"/>
          <tpl fld="1" item="433"/>
          <tpl fld="4" item="20"/>
        </tpls>
      </n>
      <m in="0">
        <tpls c="3">
          <tpl fld="0" item="0"/>
          <tpl fld="1" item="133"/>
          <tpl fld="4" item="18"/>
        </tpls>
      </m>
      <n v="4" in="0">
        <tpls c="3">
          <tpl fld="0" item="0"/>
          <tpl fld="1" item="455"/>
          <tpl fld="4" item="17"/>
        </tpls>
      </n>
      <n v="20" in="0">
        <tpls c="3">
          <tpl fld="0" item="0"/>
          <tpl fld="1" item="139"/>
          <tpl fld="4" item="17"/>
        </tpls>
      </n>
      <m in="0">
        <tpls c="3">
          <tpl fld="0" item="0"/>
          <tpl fld="1" item="188"/>
          <tpl fld="4" item="17"/>
        </tpls>
      </m>
      <n v="28" in="0">
        <tpls c="3">
          <tpl fld="0" item="0"/>
          <tpl fld="1" item="301"/>
          <tpl fld="4" item="14"/>
        </tpls>
      </n>
      <m in="0">
        <tpls c="3">
          <tpl fld="0" item="0"/>
          <tpl fld="1" item="220"/>
          <tpl fld="4" item="18"/>
        </tpls>
      </m>
      <n v="2" in="0">
        <tpls c="3">
          <tpl fld="0" item="0"/>
          <tpl fld="1" item="354"/>
          <tpl fld="4" item="13"/>
        </tpls>
      </n>
      <n v="23" in="0">
        <tpls c="3">
          <tpl fld="0" item="0"/>
          <tpl fld="1" item="339"/>
          <tpl fld="4" item="13"/>
        </tpls>
      </n>
      <n v="3" in="0">
        <tpls c="3">
          <tpl fld="0" item="0"/>
          <tpl fld="1" item="199"/>
          <tpl fld="4" item="18"/>
        </tpls>
      </n>
      <m in="0">
        <tpls c="3">
          <tpl fld="0" item="0"/>
          <tpl fld="1" item="353"/>
          <tpl fld="4" item="20"/>
        </tpls>
      </m>
      <m in="0">
        <tpls c="3">
          <tpl fld="0" item="0"/>
          <tpl fld="1" item="141"/>
          <tpl fld="4" item="18"/>
        </tpls>
      </m>
      <m in="0">
        <tpls c="3">
          <tpl fld="0" item="0"/>
          <tpl fld="1" item="338"/>
          <tpl fld="4" item="13"/>
        </tpls>
      </m>
      <m in="0">
        <tpls c="3">
          <tpl fld="0" item="0"/>
          <tpl fld="1" item="260"/>
          <tpl fld="4" item="20"/>
        </tpls>
      </m>
      <m in="0">
        <tpls c="3">
          <tpl fld="0" item="0"/>
          <tpl fld="1" item="265"/>
          <tpl fld="4" item="18"/>
        </tpls>
      </m>
      <m in="0">
        <tpls c="3">
          <tpl fld="0" item="0"/>
          <tpl fld="1" item="128"/>
          <tpl fld="4" item="21"/>
        </tpls>
      </m>
      <n v="34" in="0">
        <tpls c="3">
          <tpl fld="0" item="0"/>
          <tpl fld="1" item="132"/>
          <tpl fld="4" item="21"/>
        </tpls>
      </n>
      <m in="1">
        <tpls c="3">
          <tpl fld="0" item="0"/>
          <tpl fld="1" item="392"/>
          <tpl fld="4" item="7"/>
        </tpls>
      </m>
      <m in="0">
        <tpls c="3">
          <tpl fld="0" item="0"/>
          <tpl fld="1" item="402"/>
          <tpl fld="4" item="6"/>
        </tpls>
      </m>
      <m in="0">
        <tpls c="3">
          <tpl fld="0" item="0"/>
          <tpl fld="1" item="352"/>
          <tpl fld="4" item="19"/>
        </tpls>
      </m>
      <n v="13" in="0">
        <tpls c="3">
          <tpl fld="0" item="0"/>
          <tpl fld="1" item="320"/>
          <tpl fld="4" item="16"/>
        </tpls>
      </n>
      <n v="8" in="0">
        <tpls c="3">
          <tpl fld="0" item="0"/>
          <tpl fld="1" item="231"/>
          <tpl fld="4" item="16"/>
        </tpls>
      </n>
      <n v="6" in="0">
        <tpls c="3">
          <tpl fld="0" item="0"/>
          <tpl fld="2" item="0"/>
          <tpl fld="4" item="15"/>
        </tpls>
      </n>
      <m in="0">
        <tpls c="3">
          <tpl fld="0" item="0"/>
          <tpl fld="1" item="145"/>
          <tpl fld="4" item="15"/>
        </tpls>
      </m>
      <n v="12" in="0">
        <tpls c="3">
          <tpl fld="0" item="0"/>
          <tpl fld="1" item="308"/>
          <tpl fld="4" item="15"/>
        </tpls>
      </n>
      <m in="0">
        <tpls c="3">
          <tpl fld="0" item="0"/>
          <tpl fld="1" item="6"/>
          <tpl fld="4" item="13"/>
        </tpls>
      </m>
      <m in="0">
        <tpls c="3">
          <tpl fld="0" item="0"/>
          <tpl fld="1" item="75"/>
          <tpl fld="4" item="18"/>
        </tpls>
      </m>
      <m in="0">
        <tpls c="3">
          <tpl fld="0" item="0"/>
          <tpl fld="1" item="207"/>
          <tpl fld="4" item="22"/>
        </tpls>
      </m>
      <n v="3" in="0">
        <tpls c="3">
          <tpl fld="0" item="0"/>
          <tpl fld="1" item="200"/>
          <tpl fld="4" item="26"/>
        </tpls>
      </n>
      <n v="53" in="0">
        <tpls c="3">
          <tpl fld="0" item="0"/>
          <tpl fld="1" item="84"/>
          <tpl fld="4" item="25"/>
        </tpls>
      </n>
      <m in="0">
        <tpls c="3">
          <tpl fld="0" item="0"/>
          <tpl fld="1" item="70"/>
          <tpl fld="4" item="24"/>
        </tpls>
      </m>
      <m in="0">
        <tpls c="3">
          <tpl fld="0" item="0"/>
          <tpl fld="1" item="234"/>
          <tpl fld="4" item="15"/>
        </tpls>
      </m>
      <n v="53" in="0">
        <tpls c="3">
          <tpl fld="0" item="0"/>
          <tpl fld="1" item="160"/>
          <tpl fld="4" item="28"/>
        </tpls>
      </n>
      <m in="0">
        <tpls c="3">
          <tpl fld="0" item="0"/>
          <tpl fld="1" item="457"/>
          <tpl fld="4" item="18"/>
        </tpls>
      </m>
      <n v="62" in="0">
        <tpls c="3">
          <tpl fld="0" item="0"/>
          <tpl fld="1" item="161"/>
          <tpl fld="4" item="20"/>
        </tpls>
      </n>
      <m in="0">
        <tpls c="3">
          <tpl fld="0" item="0"/>
          <tpl fld="1" item="80"/>
          <tpl fld="4" item="9"/>
        </tpls>
      </m>
      <n v="1" in="0">
        <tpls c="3">
          <tpl fld="0" item="0"/>
          <tpl fld="1" item="18"/>
          <tpl fld="4" item="19"/>
        </tpls>
      </n>
      <m in="0">
        <tpls c="3">
          <tpl fld="0" item="0"/>
          <tpl fld="1" item="239"/>
          <tpl fld="4" item="16"/>
        </tpls>
      </m>
      <m in="0">
        <tpls c="3">
          <tpl fld="0" item="0"/>
          <tpl fld="1" item="388"/>
          <tpl fld="4" item="19"/>
        </tpls>
      </m>
      <n v="156" in="0">
        <tpls c="3">
          <tpl fld="0" item="0"/>
          <tpl fld="1" item="348"/>
          <tpl fld="4" item="15"/>
        </tpls>
      </n>
      <n v="122" in="0">
        <tpls c="3">
          <tpl fld="0" item="0"/>
          <tpl fld="1" item="42"/>
          <tpl fld="4" item="15"/>
        </tpls>
      </n>
      <n v="185" in="0">
        <tpls c="3">
          <tpl fld="0" item="0"/>
          <tpl fld="1" item="277"/>
          <tpl fld="4" item="10"/>
        </tpls>
      </n>
      <n v="1" in="0">
        <tpls c="3">
          <tpl fld="0" item="0"/>
          <tpl fld="1" item="393"/>
          <tpl fld="4" item="13"/>
        </tpls>
      </n>
      <m in="0">
        <tpls c="3">
          <tpl fld="0" item="0"/>
          <tpl fld="1" item="119"/>
          <tpl fld="4" item="19"/>
        </tpls>
      </m>
      <m in="0">
        <tpls c="3">
          <tpl fld="0" item="0"/>
          <tpl fld="1" item="190"/>
          <tpl fld="4" item="13"/>
        </tpls>
      </m>
      <m in="0">
        <tpls c="3">
          <tpl fld="0" item="0"/>
          <tpl fld="1" item="414"/>
          <tpl fld="4" item="18"/>
        </tpls>
      </m>
      <m in="0">
        <tpls c="3">
          <tpl fld="0" item="0"/>
          <tpl fld="1" item="289"/>
          <tpl fld="4" item="18"/>
        </tpls>
      </m>
      <n v="165" in="0">
        <tpls c="3">
          <tpl fld="0" item="0"/>
          <tpl fld="1" item="232"/>
          <tpl fld="4" item="20"/>
        </tpls>
      </n>
      <m in="0">
        <tpls c="3">
          <tpl fld="0" item="0"/>
          <tpl fld="1" item="234"/>
          <tpl fld="4" item="14"/>
        </tpls>
      </m>
      <m in="0">
        <tpls c="3">
          <tpl fld="0" item="0"/>
          <tpl fld="1" item="128"/>
          <tpl fld="4" item="18"/>
        </tpls>
      </m>
      <m in="0">
        <tpls c="3">
          <tpl fld="0" item="0"/>
          <tpl fld="1" item="341"/>
          <tpl fld="4" item="20"/>
        </tpls>
      </m>
      <m in="0">
        <tpls c="3">
          <tpl fld="0" item="0"/>
          <tpl fld="1" item="35"/>
          <tpl fld="4" item="18"/>
        </tpls>
      </m>
      <n v="14" in="0">
        <tpls c="3">
          <tpl fld="0" item="0"/>
          <tpl fld="1" item="330"/>
          <tpl fld="4" item="17"/>
        </tpls>
      </n>
      <m in="0">
        <tpls c="3">
          <tpl fld="0" item="0"/>
          <tpl fld="1" item="122"/>
          <tpl fld="4" item="17"/>
        </tpls>
      </m>
      <m in="0">
        <tpls c="3">
          <tpl fld="0" item="0"/>
          <tpl fld="1" item="92"/>
          <tpl fld="4" item="21"/>
        </tpls>
      </m>
      <m in="0">
        <tpls c="3">
          <tpl fld="0" item="0"/>
          <tpl fld="1" item="405"/>
          <tpl fld="4" item="13"/>
        </tpls>
      </m>
      <n v="29" in="0">
        <tpls c="3">
          <tpl fld="0" item="0"/>
          <tpl fld="1" item="14"/>
          <tpl fld="4" item="15"/>
        </tpls>
      </n>
      <m in="0">
        <tpls c="3">
          <tpl fld="0" item="0"/>
          <tpl fld="1" item="135"/>
          <tpl fld="4" item="26"/>
        </tpls>
      </m>
      <n v="1013" in="0">
        <tpls c="3">
          <tpl fld="0" item="0"/>
          <tpl fld="1" item="47"/>
          <tpl fld="4" item="25"/>
        </tpls>
      </n>
      <m in="0">
        <tpls c="3">
          <tpl fld="0" item="0"/>
          <tpl fld="1" item="197"/>
          <tpl fld="4" item="28"/>
        </tpls>
      </m>
      <m in="0">
        <tpls c="3">
          <tpl fld="0" item="0"/>
          <tpl fld="1" item="133"/>
          <tpl fld="4" item="28"/>
        </tpls>
      </m>
      <m in="0">
        <tpls c="3">
          <tpl fld="0" item="0"/>
          <tpl fld="1" item="224"/>
          <tpl fld="4" item="28"/>
        </tpls>
      </m>
      <m in="0">
        <tpls c="3">
          <tpl fld="0" item="0"/>
          <tpl fld="1" item="376"/>
          <tpl fld="4" item="23"/>
        </tpls>
      </m>
      <m in="0">
        <tpls c="3">
          <tpl fld="0" item="0"/>
          <tpl fld="1" item="147"/>
          <tpl fld="4" item="13"/>
        </tpls>
      </m>
      <n v="301" in="0">
        <tpls c="3">
          <tpl fld="0" item="0"/>
          <tpl fld="1" item="32"/>
          <tpl fld="4" item="20"/>
        </tpls>
      </n>
      <m in="0">
        <tpls c="3">
          <tpl fld="0" item="0"/>
          <tpl fld="1" item="329"/>
          <tpl fld="4" item="21"/>
        </tpls>
      </m>
      <m in="0">
        <tpls c="3">
          <tpl fld="0" item="0"/>
          <tpl fld="1" item="451"/>
          <tpl fld="4" item="13"/>
        </tpls>
      </m>
      <m in="0">
        <tpls c="3">
          <tpl fld="0" item="0"/>
          <tpl fld="1" item="259"/>
          <tpl fld="4" item="14"/>
        </tpls>
      </m>
      <m in="0">
        <tpls c="3">
          <tpl fld="0" item="0"/>
          <tpl fld="1" item="223"/>
          <tpl fld="4" item="16"/>
        </tpls>
      </m>
      <n v="1" in="0">
        <tpls c="3">
          <tpl fld="0" item="0"/>
          <tpl fld="1" item="424"/>
          <tpl fld="4" item="18"/>
        </tpls>
      </n>
      <m in="0">
        <tpls c="3">
          <tpl fld="0" item="0"/>
          <tpl fld="1" item="62"/>
          <tpl fld="4" item="16"/>
        </tpls>
      </m>
      <m in="0">
        <tpls c="3">
          <tpl fld="0" item="0"/>
          <tpl fld="1" item="23"/>
          <tpl fld="4" item="17"/>
        </tpls>
      </m>
      <n v="4" in="0">
        <tpls c="3">
          <tpl fld="0" item="0"/>
          <tpl fld="1" item="18"/>
          <tpl fld="4" item="17"/>
        </tpls>
      </n>
      <n v="1" in="0">
        <tpls c="3">
          <tpl fld="0" item="0"/>
          <tpl fld="1" item="335"/>
          <tpl fld="4" item="17"/>
        </tpls>
      </n>
      <m in="0">
        <tpls c="3">
          <tpl fld="0" item="0"/>
          <tpl fld="1" item="12"/>
          <tpl fld="4" item="13"/>
        </tpls>
      </m>
      <m in="0">
        <tpls c="3">
          <tpl fld="0" item="0"/>
          <tpl fld="1" item="363"/>
          <tpl fld="4" item="19"/>
        </tpls>
      </m>
      <m in="0">
        <tpls c="3">
          <tpl fld="0" item="0"/>
          <tpl fld="1" item="443"/>
          <tpl fld="4" item="19"/>
        </tpls>
      </m>
      <m in="0">
        <tpls c="3">
          <tpl fld="0" item="0"/>
          <tpl fld="1" item="349"/>
          <tpl fld="4" item="19"/>
        </tpls>
      </m>
      <m in="0">
        <tpls c="3">
          <tpl fld="0" item="0"/>
          <tpl fld="1" item="78"/>
          <tpl fld="4" item="19"/>
        </tpls>
      </m>
      <m in="0">
        <tpls c="3">
          <tpl fld="0" item="0"/>
          <tpl fld="1" item="416"/>
          <tpl fld="4" item="20"/>
        </tpls>
      </m>
      <m in="0">
        <tpls c="3">
          <tpl fld="0" item="0"/>
          <tpl fld="1" item="294"/>
          <tpl fld="4" item="20"/>
        </tpls>
      </m>
      <n v="271" in="0">
        <tpls c="3">
          <tpl fld="0" item="0"/>
          <tpl fld="1" item="117"/>
          <tpl fld="4" item="20"/>
        </tpls>
      </n>
      <n v="64" in="0">
        <tpls c="3">
          <tpl fld="0" item="0"/>
          <tpl fld="1" item="94"/>
          <tpl fld="4" item="15"/>
        </tpls>
      </n>
      <m in="0">
        <tpls c="3">
          <tpl fld="0" item="0"/>
          <tpl fld="1" item="167"/>
          <tpl fld="4" item="21"/>
        </tpls>
      </m>
      <n v="23" in="0">
        <tpls c="3">
          <tpl fld="0" item="0"/>
          <tpl fld="1" item="141"/>
          <tpl fld="4" item="21"/>
        </tpls>
      </n>
      <n v="9" in="0">
        <tpls c="3">
          <tpl fld="0" item="0"/>
          <tpl fld="1" item="301"/>
          <tpl fld="4" item="23"/>
        </tpls>
      </n>
      <m in="0">
        <tpls c="3">
          <tpl fld="0" item="0"/>
          <tpl fld="1" item="387"/>
          <tpl fld="4" item="29"/>
        </tpls>
      </m>
      <n v="16" in="0">
        <tpls c="3">
          <tpl fld="0" item="0"/>
          <tpl fld="1" item="372"/>
          <tpl fld="4" item="29"/>
        </tpls>
      </n>
      <n v="245" in="0">
        <tpls c="3">
          <tpl fld="0" item="0"/>
          <tpl fld="1" item="319"/>
          <tpl fld="4" item="27"/>
        </tpls>
      </n>
      <m in="0">
        <tpls c="3">
          <tpl fld="0" item="0"/>
          <tpl fld="1" item="328"/>
          <tpl fld="4" item="27"/>
        </tpls>
      </m>
      <n v="1" in="0">
        <tpls c="3">
          <tpl fld="0" item="0"/>
          <tpl fld="1" item="274"/>
          <tpl fld="4" item="13"/>
        </tpls>
      </n>
      <m in="0">
        <tpls c="3">
          <tpl fld="0" item="0"/>
          <tpl fld="1" item="384"/>
          <tpl fld="4" item="13"/>
        </tpls>
      </m>
      <n v="136" in="0">
        <tpls c="3">
          <tpl fld="0" item="0"/>
          <tpl fld="1" item="132"/>
          <tpl fld="4" item="14"/>
        </tpls>
      </n>
      <m in="0">
        <tpls c="3">
          <tpl fld="0" item="0"/>
          <tpl fld="1" item="435"/>
          <tpl fld="4" item="20"/>
        </tpls>
      </m>
      <n v="1" in="0">
        <tpls c="3">
          <tpl fld="0" item="0"/>
          <tpl fld="1" item="227"/>
          <tpl fld="4" item="19"/>
        </tpls>
      </n>
      <m in="0">
        <tpls c="3">
          <tpl fld="0" item="0"/>
          <tpl fld="1" item="90"/>
          <tpl fld="4" item="14"/>
        </tpls>
      </m>
      <m in="0">
        <tpls c="3">
          <tpl fld="0" item="0"/>
          <tpl fld="1" item="164"/>
          <tpl fld="4" item="16"/>
        </tpls>
      </m>
      <m in="0">
        <tpls c="3">
          <tpl fld="0" item="0"/>
          <tpl fld="1" item="20"/>
          <tpl fld="4" item="18"/>
        </tpls>
      </m>
      <m in="0">
        <tpls c="3">
          <tpl fld="0" item="0"/>
          <tpl fld="1" item="388"/>
          <tpl fld="4" item="18"/>
        </tpls>
      </m>
      <n v="1" in="0">
        <tpls c="3">
          <tpl fld="0" item="0"/>
          <tpl fld="1" item="323"/>
          <tpl fld="4" item="17"/>
        </tpls>
      </n>
      <n v="61" in="0">
        <tpls c="3">
          <tpl fld="0" item="0"/>
          <tpl fld="1" item="202"/>
          <tpl fld="4" item="17"/>
        </tpls>
      </n>
      <m in="0">
        <tpls c="3">
          <tpl fld="0" item="0"/>
          <tpl fld="1" item="50"/>
          <tpl fld="4" item="17"/>
        </tpls>
      </m>
      <m in="0">
        <tpls c="3">
          <tpl fld="0" item="0"/>
          <tpl fld="1" item="239"/>
          <tpl fld="4" item="19"/>
        </tpls>
      </m>
      <m in="0">
        <tpls c="3">
          <tpl fld="0" item="0"/>
          <tpl fld="1" item="81"/>
          <tpl fld="4" item="19"/>
        </tpls>
      </m>
      <n v="1" in="0">
        <tpls c="3">
          <tpl fld="0" item="0"/>
          <tpl fld="1" item="225"/>
          <tpl fld="4" item="19"/>
        </tpls>
      </n>
      <m in="0">
        <tpls c="3">
          <tpl fld="0" item="0"/>
          <tpl fld="1" item="439"/>
          <tpl fld="4" item="19"/>
        </tpls>
      </m>
      <m in="0">
        <tpls c="3">
          <tpl fld="0" item="0"/>
          <tpl fld="1" item="247"/>
          <tpl fld="4" item="20"/>
        </tpls>
      </m>
      <m in="0">
        <tpls c="3">
          <tpl fld="0" item="0"/>
          <tpl fld="1" item="118"/>
          <tpl fld="4" item="15"/>
        </tpls>
      </m>
      <m in="0">
        <tpls c="3">
          <tpl fld="0" item="0"/>
          <tpl fld="1" item="60"/>
          <tpl fld="4" item="15"/>
        </tpls>
      </m>
      <n v="42" in="0">
        <tpls c="3">
          <tpl fld="0" item="0"/>
          <tpl fld="1" item="385"/>
          <tpl fld="4" item="17"/>
        </tpls>
      </n>
      <m in="0">
        <tpls c="3">
          <tpl fld="0" item="0"/>
          <tpl fld="1" item="308"/>
          <tpl fld="4" item="19"/>
        </tpls>
      </m>
      <m in="0">
        <tpls c="3">
          <tpl fld="0" item="0"/>
          <tpl fld="1" item="396"/>
          <tpl fld="4" item="21"/>
        </tpls>
      </m>
      <m in="0">
        <tpls c="3">
          <tpl fld="0" item="0"/>
          <tpl fld="1" item="147"/>
          <tpl fld="4" item="23"/>
        </tpls>
      </m>
      <m in="0">
        <tpls c="3">
          <tpl fld="0" item="0"/>
          <tpl fld="1" item="234"/>
          <tpl fld="4" item="29"/>
        </tpls>
      </m>
      <n v="275" in="0">
        <tpls c="3">
          <tpl fld="0" item="0"/>
          <tpl fld="1" item="140"/>
          <tpl fld="4" item="29"/>
        </tpls>
      </n>
      <m in="0">
        <tpls c="3">
          <tpl fld="0" item="0"/>
          <tpl fld="1" item="450"/>
          <tpl fld="4" item="27"/>
        </tpls>
      </m>
      <n v="84" in="0">
        <tpls c="3">
          <tpl fld="0" item="0"/>
          <tpl fld="1" item="453"/>
          <tpl fld="4" item="27"/>
        </tpls>
      </n>
      <m in="0">
        <tpls c="3">
          <tpl fld="0" item="0"/>
          <tpl fld="1" item="229"/>
          <tpl fld="4" item="13"/>
        </tpls>
      </m>
      <n v="1" in="0">
        <tpls c="3">
          <tpl fld="0" item="0"/>
          <tpl fld="1" item="252"/>
          <tpl fld="4" item="13"/>
        </tpls>
      </n>
      <n v="1" in="0">
        <tpls c="3">
          <tpl fld="0" item="0"/>
          <tpl fld="1" item="310"/>
          <tpl fld="4" item="14"/>
        </tpls>
      </n>
      <m in="0">
        <tpls c="3">
          <tpl fld="0" item="0"/>
          <tpl fld="1" item="351"/>
          <tpl fld="4" item="5"/>
        </tpls>
      </m>
      <n v="6" in="0">
        <tpls c="3">
          <tpl fld="0" item="0"/>
          <tpl fld="1" item="330"/>
          <tpl fld="4" item="13"/>
        </tpls>
      </n>
      <m in="0">
        <tpls c="3">
          <tpl fld="0" item="0"/>
          <tpl fld="1" item="446"/>
          <tpl fld="4" item="16"/>
        </tpls>
      </m>
      <n v="97" in="0">
        <tpls c="3">
          <tpl fld="0" item="0"/>
          <tpl fld="1" item="242"/>
          <tpl fld="4" item="14"/>
        </tpls>
      </n>
      <m in="0">
        <tpls c="3">
          <tpl fld="0" item="0"/>
          <tpl fld="1" item="2"/>
          <tpl fld="4" item="18"/>
        </tpls>
      </m>
      <m in="0">
        <tpls c="3">
          <tpl fld="0" item="0"/>
          <tpl fld="1" item="73"/>
          <tpl fld="4" item="20"/>
        </tpls>
      </m>
      <m in="0">
        <tpls c="3">
          <tpl fld="0" item="0"/>
          <tpl fld="1" item="212"/>
          <tpl fld="4" item="18"/>
        </tpls>
      </m>
      <n v="1" in="0">
        <tpls c="3">
          <tpl fld="0" item="0"/>
          <tpl fld="1" item="386"/>
          <tpl fld="4" item="17"/>
        </tpls>
      </n>
      <n v="32" in="0">
        <tpls c="3">
          <tpl fld="0" item="0"/>
          <tpl fld="1" item="42"/>
          <tpl fld="4" item="17"/>
        </tpls>
      </n>
      <m in="0">
        <tpls c="3">
          <tpl fld="0" item="0"/>
          <tpl fld="1" item="297"/>
          <tpl fld="4" item="17"/>
        </tpls>
      </m>
      <n v="14" in="0">
        <tpls c="3">
          <tpl fld="0" item="0"/>
          <tpl fld="1" item="232"/>
          <tpl fld="4" item="19"/>
        </tpls>
      </n>
      <n v="15" in="0">
        <tpls c="3">
          <tpl fld="0" item="0"/>
          <tpl fld="1" item="313"/>
          <tpl fld="4" item="19"/>
        </tpls>
      </n>
      <n v="3" in="0">
        <tpls c="3">
          <tpl fld="0" item="0"/>
          <tpl fld="1" item="382"/>
          <tpl fld="4" item="19"/>
        </tpls>
      </n>
      <n v="22" in="0">
        <tpls c="3">
          <tpl fld="0" item="0"/>
          <tpl fld="1" item="68"/>
          <tpl fld="4" item="19"/>
        </tpls>
      </n>
      <n v="41" in="0">
        <tpls c="3">
          <tpl fld="0" item="0"/>
          <tpl fld="1" item="411"/>
          <tpl fld="4" item="15"/>
        </tpls>
      </n>
      <n v="28" in="0">
        <tpls c="3">
          <tpl fld="0" item="0"/>
          <tpl fld="1" item="58"/>
          <tpl fld="4" item="15"/>
        </tpls>
      </n>
      <m in="0">
        <tpls c="3">
          <tpl fld="0" item="0"/>
          <tpl fld="1" item="23"/>
          <tpl fld="4" item="15"/>
        </tpls>
      </m>
      <n v="1" in="0">
        <tpls c="3">
          <tpl fld="0" item="0"/>
          <tpl fld="1" item="124"/>
          <tpl fld="4" item="13"/>
        </tpls>
      </n>
      <n v="23" in="0">
        <tpls c="3">
          <tpl fld="0" item="0"/>
          <tpl fld="1" item="186"/>
          <tpl fld="4" item="20"/>
        </tpls>
      </n>
      <n v="38" in="0">
        <tpls c="3">
          <tpl fld="0" item="0"/>
          <tpl fld="1" item="447"/>
          <tpl fld="4" item="28"/>
        </tpls>
      </n>
      <n v="34" in="0">
        <tpls c="3">
          <tpl fld="0" item="0"/>
          <tpl fld="1" item="437"/>
          <tpl fld="4" item="23"/>
        </tpls>
      </n>
      <m in="0">
        <tpls c="3">
          <tpl fld="0" item="0"/>
          <tpl fld="1" item="253"/>
          <tpl fld="4" item="29"/>
        </tpls>
      </m>
      <n v="46" in="0">
        <tpls c="3">
          <tpl fld="0" item="0"/>
          <tpl fld="1" item="0"/>
          <tpl fld="4" item="29"/>
        </tpls>
      </n>
      <n v="12" in="0">
        <tpls c="3">
          <tpl fld="0" item="0"/>
          <tpl fld="2" item="0"/>
          <tpl fld="4" item="27"/>
        </tpls>
      </n>
      <m in="0">
        <tpls c="3">
          <tpl fld="0" item="0"/>
          <tpl fld="1" item="2"/>
          <tpl fld="4" item="22"/>
        </tpls>
      </m>
      <n v="72" in="0">
        <tpls c="3">
          <tpl fld="0" item="0"/>
          <tpl fld="1" item="152"/>
          <tpl fld="4" item="15"/>
        </tpls>
      </n>
      <m in="0">
        <tpls c="3">
          <tpl fld="0" item="0"/>
          <tpl fld="1" item="3"/>
          <tpl fld="4" item="21"/>
        </tpls>
      </m>
      <m in="0">
        <tpls c="3">
          <tpl fld="0" item="0"/>
          <tpl fld="1" item="171"/>
          <tpl fld="4" item="28"/>
        </tpls>
      </m>
      <n v="10" in="0">
        <tpls c="3">
          <tpl fld="0" item="0"/>
          <tpl fld="1" item="72"/>
          <tpl fld="4" item="23"/>
        </tpls>
      </n>
      <n v="299" in="0">
        <tpls c="3">
          <tpl fld="0" item="0"/>
          <tpl fld="1" item="41"/>
          <tpl fld="4" item="27"/>
        </tpls>
      </n>
      <m in="0">
        <tpls c="3">
          <tpl fld="0" item="0"/>
          <tpl fld="1" item="83"/>
          <tpl fld="4" item="14"/>
        </tpls>
      </m>
      <m in="0">
        <tpls c="3">
          <tpl fld="0" item="0"/>
          <tpl fld="1" item="284"/>
          <tpl fld="4" item="9"/>
        </tpls>
      </m>
      <m in="0">
        <tpls c="3">
          <tpl fld="0" item="0"/>
          <tpl fld="1" item="328"/>
          <tpl fld="4" item="18"/>
        </tpls>
      </m>
      <m in="0">
        <tpls c="3">
          <tpl fld="0" item="0"/>
          <tpl fld="1" item="134"/>
          <tpl fld="4" item="18"/>
        </tpls>
      </m>
      <n v="23" in="0">
        <tpls c="3">
          <tpl fld="0" item="0"/>
          <tpl fld="1" item="364"/>
          <tpl fld="4" item="21"/>
        </tpls>
      </n>
      <n v="30" in="0">
        <tpls c="3">
          <tpl fld="0" item="0"/>
          <tpl fld="1" item="281"/>
          <tpl fld="4" item="21"/>
        </tpls>
      </n>
      <m in="0">
        <tpls c="3">
          <tpl fld="0" item="0"/>
          <tpl fld="1" item="180"/>
          <tpl fld="4" item="5"/>
        </tpls>
      </m>
      <m in="0">
        <tpls c="3">
          <tpl fld="0" item="0"/>
          <tpl fld="1" item="163"/>
          <tpl fld="4" item="16"/>
        </tpls>
      </m>
      <n v="5" in="0">
        <tpls c="3">
          <tpl fld="0" item="0"/>
          <tpl fld="1" item="77"/>
          <tpl fld="4" item="18"/>
        </tpls>
      </n>
      <n v="8" in="0">
        <tpls c="3">
          <tpl fld="0" item="0"/>
          <tpl fld="1" item="7"/>
          <tpl fld="4" item="16"/>
        </tpls>
      </n>
      <m in="0">
        <tpls c="3">
          <tpl fld="0" item="0"/>
          <tpl fld="1" item="443"/>
          <tpl fld="4" item="15"/>
        </tpls>
      </m>
      <m in="0">
        <tpls c="3">
          <tpl fld="0" item="0"/>
          <tpl fld="1" item="327"/>
          <tpl fld="4" item="15"/>
        </tpls>
      </m>
      <n v="176" in="0">
        <tpls c="3">
          <tpl fld="0" item="0"/>
          <tpl fld="1" item="347"/>
          <tpl fld="4" item="15"/>
        </tpls>
      </n>
      <m in="0">
        <tpls c="3">
          <tpl fld="0" item="0"/>
          <tpl fld="1" item="30"/>
          <tpl fld="4" item="6"/>
        </tpls>
      </m>
      <m in="0">
        <tpls c="3">
          <tpl fld="0" item="0"/>
          <tpl fld="1" item="17"/>
          <tpl fld="4" item="13"/>
        </tpls>
      </m>
      <m in="0">
        <tpls c="3">
          <tpl fld="0" item="0"/>
          <tpl fld="1" item="283"/>
          <tpl fld="4" item="13"/>
        </tpls>
      </m>
      <n v="10" in="0">
        <tpls c="3">
          <tpl fld="0" item="0"/>
          <tpl fld="1" item="139"/>
          <tpl fld="4" item="13"/>
        </tpls>
      </n>
      <n v="2" in="0">
        <tpls c="3">
          <tpl fld="0" item="0"/>
          <tpl fld="1" item="276"/>
          <tpl fld="4" item="13"/>
        </tpls>
      </n>
      <n v="2" in="0">
        <tpls c="3">
          <tpl fld="0" item="0"/>
          <tpl fld="1" item="104"/>
          <tpl fld="4" item="18"/>
        </tpls>
      </n>
      <m in="0">
        <tpls c="3">
          <tpl fld="0" item="0"/>
          <tpl fld="1" item="448"/>
          <tpl fld="4" item="20"/>
        </tpls>
      </m>
      <m in="0">
        <tpls c="3">
          <tpl fld="0" item="0"/>
          <tpl fld="1" item="5"/>
          <tpl fld="4" item="20"/>
        </tpls>
      </m>
      <n v="173" in="0">
        <tpls c="3">
          <tpl fld="0" item="0"/>
          <tpl fld="1" item="367"/>
          <tpl fld="4" item="20"/>
        </tpls>
      </n>
      <n v="10" in="0">
        <tpls c="3">
          <tpl fld="0" item="0"/>
          <tpl fld="1" item="148"/>
          <tpl fld="4" item="17"/>
        </tpls>
      </n>
      <m in="0">
        <tpls c="3">
          <tpl fld="0" item="0"/>
          <tpl fld="1" item="428"/>
          <tpl fld="4" item="24"/>
        </tpls>
      </m>
      <n v="97" in="0">
        <tpls c="3">
          <tpl fld="0" item="0"/>
          <tpl fld="1" item="380"/>
          <tpl fld="4" item="28"/>
        </tpls>
      </n>
      <m in="0">
        <tpls c="3">
          <tpl fld="0" item="0"/>
          <tpl fld="1" item="102"/>
          <tpl fld="4" item="29"/>
        </tpls>
      </m>
      <n v="24" in="0">
        <tpls c="3">
          <tpl fld="0" item="0"/>
          <tpl fld="1" item="280"/>
          <tpl fld="4" item="29"/>
        </tpls>
      </n>
      <n v="134" in="0">
        <tpls c="3">
          <tpl fld="0" item="0"/>
          <tpl fld="1" item="397"/>
          <tpl fld="4" item="29"/>
        </tpls>
      </n>
      <n v="124" in="0">
        <tpls c="3">
          <tpl fld="0" item="0"/>
          <tpl fld="1" item="249"/>
          <tpl fld="4" item="27"/>
        </tpls>
      </n>
      <m in="0">
        <tpls c="3">
          <tpl fld="0" item="0"/>
          <tpl fld="1" item="69"/>
          <tpl fld="4" item="17"/>
        </tpls>
      </m>
      <m in="0">
        <tpls c="3">
          <tpl fld="0" item="0"/>
          <tpl fld="1" item="294"/>
          <tpl fld="4" item="21"/>
        </tpls>
      </m>
      <n v="1" in="0">
        <tpls c="3">
          <tpl fld="0" item="0"/>
          <tpl fld="1" item="195"/>
          <tpl fld="4" item="13"/>
        </tpls>
      </n>
      <n v="3" in="0">
        <tpls c="3">
          <tpl fld="0" item="0"/>
          <tpl fld="1" item="432"/>
          <tpl fld="4" item="19"/>
        </tpls>
      </n>
      <m in="0">
        <tpls c="3">
          <tpl fld="0" item="0"/>
          <tpl fld="1" item="158"/>
          <tpl fld="4" item="13"/>
        </tpls>
      </m>
      <n v="3" in="0">
        <tpls c="3">
          <tpl fld="0" item="0"/>
          <tpl fld="1" item="0"/>
          <tpl fld="4" item="19"/>
        </tpls>
      </n>
      <n v="23" in="0">
        <tpls c="3">
          <tpl fld="0" item="0"/>
          <tpl fld="1" item="331"/>
          <tpl fld="4" item="16"/>
        </tpls>
      </n>
      <m in="0">
        <tpls c="3">
          <tpl fld="0" item="0"/>
          <tpl fld="1" item="379"/>
          <tpl fld="4" item="18"/>
        </tpls>
      </m>
      <m in="0">
        <tpls c="3">
          <tpl fld="0" item="0"/>
          <tpl fld="1" item="295"/>
          <tpl fld="4" item="14"/>
        </tpls>
      </m>
      <m in="0">
        <tpls c="3">
          <tpl fld="0" item="0"/>
          <tpl fld="1" item="383"/>
          <tpl fld="4" item="18"/>
        </tpls>
      </m>
      <m in="0">
        <tpls c="3">
          <tpl fld="0" item="0"/>
          <tpl fld="1" item="83"/>
          <tpl fld="4" item="20"/>
        </tpls>
      </m>
      <m in="0">
        <tpls c="3">
          <tpl fld="0" item="0"/>
          <tpl fld="1" item="173"/>
          <tpl fld="4" item="18"/>
        </tpls>
      </m>
      <m in="0">
        <tpls c="3">
          <tpl fld="0" item="0"/>
          <tpl fld="1" item="75"/>
          <tpl fld="4" item="17"/>
        </tpls>
      </m>
      <n v="3" in="0">
        <tpls c="3">
          <tpl fld="0" item="0"/>
          <tpl fld="1" item="184"/>
          <tpl fld="4" item="17"/>
        </tpls>
      </n>
      <n v="2" in="0">
        <tpls c="3">
          <tpl fld="0" item="0"/>
          <tpl fld="1" item="150"/>
          <tpl fld="4" item="21"/>
        </tpls>
      </n>
      <m in="0">
        <tpls c="3">
          <tpl fld="0" item="0"/>
          <tpl fld="1" item="282"/>
          <tpl fld="4" item="19"/>
        </tpls>
      </m>
      <m in="0">
        <tpls c="3">
          <tpl fld="0" item="0"/>
          <tpl fld="1" item="344"/>
          <tpl fld="4" item="16"/>
        </tpls>
      </m>
      <n v="4" in="0">
        <tpls c="3">
          <tpl fld="0" item="0"/>
          <tpl fld="1" item="52"/>
          <tpl fld="4" item="16"/>
        </tpls>
      </n>
      <n v="4" in="0">
        <tpls c="3">
          <tpl fld="0" item="0"/>
          <tpl fld="1" item="129"/>
          <tpl fld="4" item="19"/>
        </tpls>
      </n>
      <n v="275" in="0">
        <tpls c="3">
          <tpl fld="0" item="0"/>
          <tpl fld="1" item="183"/>
          <tpl fld="4" item="15"/>
        </tpls>
      </n>
      <n v="34" in="0">
        <tpls c="3">
          <tpl fld="0" item="0"/>
          <tpl fld="1" item="335"/>
          <tpl fld="4" item="15"/>
        </tpls>
      </n>
      <m in="0">
        <tpls c="3">
          <tpl fld="0" item="0"/>
          <tpl fld="1" item="96"/>
          <tpl fld="4" item="15"/>
        </tpls>
      </m>
      <n v="153" in="0">
        <tpls c="3">
          <tpl fld="0" item="0"/>
          <tpl fld="1" item="9"/>
          <tpl fld="4" item="15"/>
        </tpls>
      </n>
      <m in="0">
        <tpls c="3">
          <tpl fld="0" item="0"/>
          <tpl fld="1" item="116"/>
          <tpl fld="4" item="21"/>
        </tpls>
      </m>
      <n v="13" in="0">
        <tpls c="3">
          <tpl fld="0" item="0"/>
          <tpl fld="1" item="41"/>
          <tpl fld="4" item="28"/>
        </tpls>
      </n>
      <m in="0">
        <tpls c="3">
          <tpl fld="0" item="0"/>
          <tpl fld="1" item="170"/>
          <tpl fld="4" item="13"/>
        </tpls>
      </m>
      <m in="0">
        <tpls c="3">
          <tpl fld="0" item="0"/>
          <tpl fld="1" item="237"/>
          <tpl fld="4" item="13"/>
        </tpls>
      </m>
      <n v="3" in="0">
        <tpls c="3">
          <tpl fld="0" item="0"/>
          <tpl fld="1" item="189"/>
          <tpl fld="4" item="13"/>
        </tpls>
      </n>
      <m in="0">
        <tpls c="3">
          <tpl fld="0" item="0"/>
          <tpl fld="1" item="330"/>
          <tpl fld="4" item="19"/>
        </tpls>
      </m>
      <n v="91" in="0">
        <tpls c="3">
          <tpl fld="0" item="0"/>
          <tpl fld="1" item="319"/>
          <tpl fld="4" item="14"/>
        </tpls>
      </n>
      <n v="4" in="0">
        <tpls c="3">
          <tpl fld="0" item="0"/>
          <tpl fld="1" item="334"/>
          <tpl fld="4" item="13"/>
        </tpls>
      </n>
      <m in="0">
        <tpls c="3">
          <tpl fld="0" item="0"/>
          <tpl fld="1" item="259"/>
          <tpl fld="4" item="20"/>
        </tpls>
      </m>
      <m in="0">
        <tpls c="3">
          <tpl fld="0" item="0"/>
          <tpl fld="1" item="27"/>
          <tpl fld="4" item="16"/>
        </tpls>
      </m>
      <n v="1" in="0">
        <tpls c="3">
          <tpl fld="0" item="0"/>
          <tpl fld="1" item="289"/>
          <tpl fld="4" item="15"/>
        </tpls>
      </n>
      <m in="0">
        <tpls c="3">
          <tpl fld="0" item="0"/>
          <tpl fld="1" item="53"/>
          <tpl fld="4" item="20"/>
        </tpls>
      </m>
      <m in="0">
        <tpls c="3">
          <tpl fld="0" item="0"/>
          <tpl fld="1" item="153"/>
          <tpl fld="4" item="20"/>
        </tpls>
      </m>
      <m in="0">
        <tpls c="3">
          <tpl fld="0" item="0"/>
          <tpl fld="1" item="185"/>
          <tpl fld="4" item="16"/>
        </tpls>
      </m>
      <n v="88" in="0">
        <tpls c="3">
          <tpl fld="0" item="0"/>
          <tpl fld="1" item="38"/>
          <tpl fld="4" item="15"/>
        </tpls>
      </n>
      <m in="0">
        <tpls c="3">
          <tpl fld="0" item="0"/>
          <tpl fld="1" item="376"/>
          <tpl fld="4" item="16"/>
        </tpls>
      </m>
      <m in="0">
        <tpls c="3">
          <tpl fld="0" item="0"/>
          <tpl fld="1" item="145"/>
          <tpl fld="4" item="19"/>
        </tpls>
      </m>
      <m in="0">
        <tpls c="3">
          <tpl fld="0" item="0"/>
          <tpl fld="1" item="376"/>
          <tpl fld="4" item="13"/>
        </tpls>
      </m>
      <m in="0">
        <tpls c="3">
          <tpl fld="0" item="0"/>
          <tpl fld="1" item="135"/>
          <tpl fld="4" item="15"/>
        </tpls>
      </m>
      <m in="0">
        <tpls c="3">
          <tpl fld="0" item="0"/>
          <tpl fld="1" item="12"/>
          <tpl fld="4" item="15"/>
        </tpls>
      </m>
      <m in="0">
        <tpls c="3">
          <tpl fld="0" item="0"/>
          <tpl fld="1" item="171"/>
          <tpl fld="4" item="18"/>
        </tpls>
      </m>
      <n v="1" in="0">
        <tpls c="3">
          <tpl fld="0" item="0"/>
          <tpl fld="1" item="168"/>
          <tpl fld="4" item="16"/>
        </tpls>
      </n>
      <m in="0">
        <tpls c="3">
          <tpl fld="0" item="0"/>
          <tpl fld="1" item="234"/>
          <tpl fld="4" item="20"/>
        </tpls>
      </m>
      <m in="0">
        <tpls c="3">
          <tpl fld="0" item="0"/>
          <tpl fld="1" item="136"/>
          <tpl fld="4" item="17"/>
        </tpls>
      </m>
      <m in="1">
        <tpls c="3">
          <tpl fld="0" item="0"/>
          <tpl fld="1" item="192"/>
          <tpl fld="4" item="7"/>
        </tpls>
      </m>
      <m in="0">
        <tpls c="3">
          <tpl fld="0" item="0"/>
          <tpl fld="1" item="376"/>
          <tpl fld="4" item="1"/>
        </tpls>
      </m>
      <m in="0">
        <tpls c="3">
          <tpl fld="0" item="0"/>
          <tpl fld="1" item="406"/>
          <tpl fld="4" item="13"/>
        </tpls>
      </m>
      <n v="1" in="0">
        <tpls c="3">
          <tpl fld="0" item="0"/>
          <tpl fld="1" item="181"/>
          <tpl fld="4" item="13"/>
        </tpls>
      </n>
      <n v="19" in="0">
        <tpls c="3">
          <tpl fld="0" item="0"/>
          <tpl fld="1" item="366"/>
          <tpl fld="4" item="14"/>
        </tpls>
      </n>
      <n v="1" in="0">
        <tpls c="3">
          <tpl fld="0" item="0"/>
          <tpl fld="1" item="205"/>
          <tpl fld="4" item="13"/>
        </tpls>
      </n>
      <m in="0">
        <tpls c="3">
          <tpl fld="0" item="0"/>
          <tpl fld="1" item="204"/>
          <tpl fld="4" item="19"/>
        </tpls>
      </m>
      <n v="15" in="0">
        <tpls c="3">
          <tpl fld="0" item="0"/>
          <tpl fld="1" item="115"/>
          <tpl fld="4" item="14"/>
        </tpls>
      </n>
      <n v="72" in="0">
        <tpls c="3">
          <tpl fld="0" item="0"/>
          <tpl fld="1" item="182"/>
          <tpl fld="4" item="14"/>
        </tpls>
      </n>
      <m in="0">
        <tpls c="3">
          <tpl fld="0" item="0"/>
          <tpl fld="1" item="173"/>
          <tpl fld="4" item="13"/>
        </tpls>
      </m>
      <n v="1" in="0">
        <tpls c="3">
          <tpl fld="0" item="0"/>
          <tpl fld="1" item="372"/>
          <tpl fld="4" item="19"/>
        </tpls>
      </n>
      <m in="0">
        <tpls c="3">
          <tpl fld="0" item="0"/>
          <tpl fld="1" item="108"/>
          <tpl fld="4" item="16"/>
        </tpls>
      </m>
      <m in="0">
        <tpls c="3">
          <tpl fld="0" item="0"/>
          <tpl fld="1" item="136"/>
          <tpl fld="4" item="19"/>
        </tpls>
      </m>
      <n v="335" in="0">
        <tpls c="3">
          <tpl fld="0" item="0"/>
          <tpl fld="1" item="132"/>
          <tpl fld="4" item="15"/>
        </tpls>
      </n>
      <m in="0">
        <tpls c="3">
          <tpl fld="0" item="0"/>
          <tpl fld="1" item="19"/>
          <tpl fld="4" item="15"/>
        </tpls>
      </m>
      <m in="0">
        <tpls c="3">
          <tpl fld="0" item="0"/>
          <tpl fld="1" item="167"/>
          <tpl fld="4" item="8"/>
        </tpls>
      </m>
      <n v="6" in="0">
        <tpls c="3">
          <tpl fld="0" item="0"/>
          <tpl fld="1" item="301"/>
          <tpl fld="4" item="13"/>
        </tpls>
      </n>
      <m in="0">
        <tpls c="3">
          <tpl fld="0" item="0"/>
          <tpl fld="1" item="220"/>
          <tpl fld="4" item="19"/>
        </tpls>
      </m>
      <m in="0">
        <tpls c="3">
          <tpl fld="0" item="0"/>
          <tpl fld="1" item="182"/>
          <tpl fld="4" item="13"/>
        </tpls>
      </m>
      <m in="0">
        <tpls c="3">
          <tpl fld="0" item="0"/>
          <tpl fld="1" item="345"/>
          <tpl fld="4" item="16"/>
        </tpls>
      </m>
      <m in="0">
        <tpls c="3">
          <tpl fld="0" item="0"/>
          <tpl fld="1" item="6"/>
          <tpl fld="4" item="18"/>
        </tpls>
      </m>
      <m in="0">
        <tpls c="3">
          <tpl fld="0" item="0"/>
          <tpl fld="1" item="15"/>
          <tpl fld="4" item="18"/>
        </tpls>
      </m>
      <m in="0">
        <tpls c="3">
          <tpl fld="0" item="0"/>
          <tpl fld="1" item="166"/>
          <tpl fld="4" item="14"/>
        </tpls>
      </m>
      <m in="0">
        <tpls c="3">
          <tpl fld="0" item="0"/>
          <tpl fld="1" item="166"/>
          <tpl fld="4" item="18"/>
        </tpls>
      </m>
      <n v="2702" in="0">
        <tpls c="3">
          <tpl fld="0" item="0"/>
          <tpl fld="1" item="313"/>
          <tpl fld="4" item="20"/>
        </tpls>
      </n>
      <m in="0">
        <tpls c="3">
          <tpl fld="0" item="0"/>
          <tpl fld="1" item="181"/>
          <tpl fld="4" item="18"/>
        </tpls>
      </m>
      <m in="0">
        <tpls c="3">
          <tpl fld="0" item="0"/>
          <tpl fld="1" item="404"/>
          <tpl fld="4" item="17"/>
        </tpls>
      </m>
      <m in="0">
        <tpls c="3">
          <tpl fld="0" item="0"/>
          <tpl fld="1" item="109"/>
          <tpl fld="4" item="17"/>
        </tpls>
      </m>
      <m in="0">
        <tpls c="3">
          <tpl fld="0" item="0"/>
          <tpl fld="1" item="98"/>
          <tpl fld="4" item="17"/>
        </tpls>
      </m>
      <n v="17" in="0">
        <tpls c="3">
          <tpl fld="0" item="0"/>
          <tpl fld="1" item="156"/>
          <tpl fld="4" item="15"/>
        </tpls>
      </n>
      <n v="17" in="0">
        <tpls c="3">
          <tpl fld="0" item="0"/>
          <tpl fld="1" item="368"/>
          <tpl fld="4" item="26"/>
        </tpls>
      </n>
      <n v="18" in="0">
        <tpls c="3">
          <tpl fld="0" item="0"/>
          <tpl fld="1" item="156"/>
          <tpl fld="4" item="25"/>
        </tpls>
      </n>
      <m in="0">
        <tpls c="3">
          <tpl fld="0" item="0"/>
          <tpl fld="1" item="457"/>
          <tpl fld="4" item="28"/>
        </tpls>
      </m>
      <n v="1" in="0">
        <tpls c="3">
          <tpl fld="0" item="0"/>
          <tpl fld="1" item="52"/>
          <tpl fld="4" item="28"/>
        </tpls>
      </n>
      <n v="2" in="0">
        <tpls c="3">
          <tpl fld="0" item="0"/>
          <tpl fld="1" item="369"/>
          <tpl fld="4" item="28"/>
        </tpls>
      </n>
      <m in="0">
        <tpls c="3">
          <tpl fld="0" item="0"/>
          <tpl fld="1" item="22"/>
          <tpl fld="4" item="23"/>
        </tpls>
      </m>
      <m in="0">
        <tpls c="3">
          <tpl fld="0" item="0"/>
          <tpl fld="1" item="43"/>
          <tpl fld="4" item="16"/>
        </tpls>
      </m>
      <m in="0">
        <tpls c="3">
          <tpl fld="0" item="0"/>
          <tpl fld="1" item="210"/>
          <tpl fld="4" item="15"/>
        </tpls>
      </m>
      <m in="0">
        <tpls c="3">
          <tpl fld="0" item="0"/>
          <tpl fld="1" item="75"/>
          <tpl fld="4" item="12"/>
        </tpls>
      </m>
      <m in="0">
        <tpls c="3">
          <tpl fld="0" item="0"/>
          <tpl fld="1" item="340"/>
          <tpl fld="4" item="16"/>
        </tpls>
      </m>
      <n v="5" in="0">
        <tpls c="3">
          <tpl fld="0" item="0"/>
          <tpl fld="1" item="45"/>
          <tpl fld="4" item="18"/>
        </tpls>
      </n>
      <n v="6" in="0">
        <tpls c="3">
          <tpl fld="0" item="0"/>
          <tpl fld="1" item="64"/>
          <tpl fld="4" item="18"/>
        </tpls>
      </n>
      <m in="0">
        <tpls c="3">
          <tpl fld="0" item="0"/>
          <tpl fld="1" item="349"/>
          <tpl fld="4" item="17"/>
        </tpls>
      </m>
      <m in="0">
        <tpls c="3">
          <tpl fld="0" item="0"/>
          <tpl fld="1" item="222"/>
          <tpl fld="4" item="17"/>
        </tpls>
      </m>
      <m in="0">
        <tpls c="3">
          <tpl fld="0" item="0"/>
          <tpl fld="1" item="96"/>
          <tpl fld="4" item="19"/>
        </tpls>
      </m>
      <m in="0">
        <tpls c="3">
          <tpl fld="0" item="0"/>
          <tpl fld="1" item="31"/>
          <tpl fld="4" item="16"/>
        </tpls>
      </m>
      <n v="27" in="0">
        <tpls c="3">
          <tpl fld="0" item="0"/>
          <tpl fld="1" item="385"/>
          <tpl fld="4" item="19"/>
        </tpls>
      </n>
      <n v="66" in="0">
        <tpls c="3">
          <tpl fld="0" item="0"/>
          <tpl fld="1" item="366"/>
          <tpl fld="4" item="15"/>
        </tpls>
      </n>
      <m in="0">
        <tpls c="3">
          <tpl fld="0" item="0"/>
          <tpl fld="1" item="457"/>
          <tpl fld="4" item="15"/>
        </tpls>
      </m>
      <m in="0">
        <tpls c="3">
          <tpl fld="0" item="0"/>
          <tpl fld="1" item="272"/>
          <tpl fld="4" item="15"/>
        </tpls>
      </m>
      <m in="0">
        <tpls c="3">
          <tpl fld="0" item="0"/>
          <tpl fld="1" item="109"/>
          <tpl fld="4" item="1"/>
        </tpls>
      </m>
      <m in="0">
        <tpls c="3">
          <tpl fld="0" item="0"/>
          <tpl fld="1" item="291"/>
          <tpl fld="4" item="13"/>
        </tpls>
      </m>
      <m in="0">
        <tpls c="3">
          <tpl fld="0" item="0"/>
          <tpl fld="1" item="130"/>
          <tpl fld="4" item="13"/>
        </tpls>
      </m>
      <n v="183" in="0">
        <tpls c="3">
          <tpl fld="0" item="0"/>
          <tpl fld="1" item="177"/>
          <tpl fld="4" item="14"/>
        </tpls>
      </n>
      <m in="0">
        <tpls c="3">
          <tpl fld="0" item="0"/>
          <tpl fld="1" item="340"/>
          <tpl fld="4" item="14"/>
        </tpls>
      </m>
      <m in="0">
        <tpls c="3">
          <tpl fld="0" item="0"/>
          <tpl fld="1" item="40"/>
          <tpl fld="4" item="19"/>
        </tpls>
      </m>
      <n v="34" in="0">
        <tpls c="3">
          <tpl fld="0" item="0"/>
          <tpl fld="1" item="144"/>
          <tpl fld="4" item="19"/>
        </tpls>
      </n>
      <m in="0">
        <tpls c="3">
          <tpl fld="0" item="0"/>
          <tpl fld="1" item="145"/>
          <tpl fld="4" item="20"/>
        </tpls>
      </m>
      <m in="0">
        <tpls c="3">
          <tpl fld="0" item="0"/>
          <tpl fld="1" item="133"/>
          <tpl fld="4" item="17"/>
        </tpls>
      </m>
      <m in="0">
        <tpls c="3">
          <tpl fld="0" item="0"/>
          <tpl fld="1" item="12"/>
          <tpl fld="4" item="25"/>
        </tpls>
      </m>
      <m in="0">
        <tpls c="3">
          <tpl fld="0" item="0"/>
          <tpl fld="1" item="234"/>
          <tpl fld="4" item="28"/>
        </tpls>
      </m>
      <n v="20" in="0">
        <tpls c="3">
          <tpl fld="0" item="0"/>
          <tpl fld="1" item="207"/>
          <tpl fld="4" item="23"/>
        </tpls>
      </n>
      <n v="17" in="0">
        <tpls c="3">
          <tpl fld="0" item="0"/>
          <tpl fld="2" item="0"/>
          <tpl fld="4" item="23"/>
        </tpls>
      </n>
      <n v="15" in="0">
        <tpls c="3">
          <tpl fld="0" item="0"/>
          <tpl fld="1" item="195"/>
          <tpl fld="4" item="23"/>
        </tpls>
      </n>
      <n v="45" in="0">
        <tpls c="3">
          <tpl fld="0" item="0"/>
          <tpl fld="1" item="94"/>
          <tpl fld="4" item="29"/>
        </tpls>
      </n>
      <m in="0">
        <tpls c="3">
          <tpl fld="0" item="0"/>
          <tpl fld="1" item="363"/>
          <tpl fld="4" item="16"/>
        </tpls>
      </m>
      <n v="4" in="0">
        <tpls c="3">
          <tpl fld="0" item="0"/>
          <tpl fld="1" item="304"/>
          <tpl fld="4" item="19"/>
        </tpls>
      </n>
      <n v="10" in="0">
        <tpls c="3">
          <tpl fld="0" item="0"/>
          <tpl fld="1" item="64"/>
          <tpl fld="4" item="13"/>
        </tpls>
      </n>
      <n v="20" in="0">
        <tpls c="3">
          <tpl fld="0" item="0"/>
          <tpl fld="1" item="97"/>
          <tpl fld="4" item="20"/>
        </tpls>
      </n>
      <m in="0">
        <tpls c="3">
          <tpl fld="0" item="0"/>
          <tpl fld="1" item="66"/>
          <tpl fld="4" item="20"/>
        </tpls>
      </m>
      <m in="0">
        <tpls c="3">
          <tpl fld="0" item="0"/>
          <tpl fld="1" item="301"/>
          <tpl fld="4" item="20"/>
        </tpls>
      </m>
      <n v="3" in="0">
        <tpls c="3">
          <tpl fld="0" item="0"/>
          <tpl fld="1" item="415"/>
          <tpl fld="4" item="13"/>
        </tpls>
      </n>
      <m in="0">
        <tpls c="3">
          <tpl fld="0" item="0"/>
          <tpl fld="1" item="272"/>
          <tpl fld="4" item="14"/>
        </tpls>
      </m>
      <n v="5" in="0">
        <tpls c="3">
          <tpl fld="0" item="0"/>
          <tpl fld="1" item="327"/>
          <tpl fld="4" item="21"/>
        </tpls>
      </n>
      <m in="0">
        <tpls c="3">
          <tpl fld="0" item="0"/>
          <tpl fld="1" item="208"/>
          <tpl fld="4" item="21"/>
        </tpls>
      </m>
      <m in="0">
        <tpls c="3">
          <tpl fld="0" item="0"/>
          <tpl fld="1" item="5"/>
          <tpl fld="4" item="21"/>
        </tpls>
      </m>
      <n v="28" in="0">
        <tpls c="3">
          <tpl fld="0" item="0"/>
          <tpl fld="1" item="148"/>
          <tpl fld="4" item="14"/>
        </tpls>
      </n>
      <n v="4" in="0">
        <tpls c="3">
          <tpl fld="0" item="0"/>
          <tpl fld="1" item="103"/>
          <tpl fld="4" item="16"/>
        </tpls>
      </n>
      <m in="0">
        <tpls c="3">
          <tpl fld="0" item="0"/>
          <tpl fld="1" item="135"/>
          <tpl fld="4" item="16"/>
        </tpls>
      </m>
      <m in="0">
        <tpls c="3">
          <tpl fld="0" item="0"/>
          <tpl fld="1" item="229"/>
          <tpl fld="4" item="16"/>
        </tpls>
      </m>
      <m in="0">
        <tpls c="3">
          <tpl fld="0" item="0"/>
          <tpl fld="1" item="169"/>
          <tpl fld="4" item="16"/>
        </tpls>
      </m>
      <m in="0">
        <tpls c="3">
          <tpl fld="0" item="0"/>
          <tpl fld="1" item="15"/>
          <tpl fld="4" item="15"/>
        </tpls>
      </m>
      <n v="25" in="0">
        <tpls c="3">
          <tpl fld="0" item="0"/>
          <tpl fld="1" item="409"/>
          <tpl fld="4" item="17"/>
        </tpls>
      </n>
      <n v="15" in="0">
        <tpls c="3">
          <tpl fld="0" item="0"/>
          <tpl fld="1" item="354"/>
          <tpl fld="4" item="17"/>
        </tpls>
      </n>
      <n v="94" in="0">
        <tpls c="3">
          <tpl fld="0" item="0"/>
          <tpl fld="1" item="232"/>
          <tpl fld="4" item="15"/>
        </tpls>
      </n>
      <n v="3" in="0">
        <tpls c="3">
          <tpl fld="0" item="0"/>
          <tpl fld="1" item="89"/>
          <tpl fld="4" item="28"/>
        </tpls>
      </n>
      <m in="0">
        <tpls c="3">
          <tpl fld="0" item="0"/>
          <tpl fld="1" item="93"/>
          <tpl fld="4" item="28"/>
        </tpls>
      </m>
      <m in="0">
        <tpls c="3">
          <tpl fld="0" item="0"/>
          <tpl fld="1" item="29"/>
          <tpl fld="4" item="29"/>
        </tpls>
      </m>
      <n v="122" in="0">
        <tpls c="3">
          <tpl fld="0" item="0"/>
          <tpl fld="1" item="342"/>
          <tpl fld="4" item="27"/>
        </tpls>
      </n>
      <n v="2" in="0">
        <tpls c="3">
          <tpl fld="0" item="0"/>
          <tpl fld="1" item="155"/>
          <tpl fld="4" item="27"/>
        </tpls>
      </n>
      <n v="19" in="0">
        <tpls c="3">
          <tpl fld="0" item="0"/>
          <tpl fld="1" item="438"/>
          <tpl fld="4" item="22"/>
        </tpls>
      </n>
      <n v="8" in="0">
        <tpls c="3">
          <tpl fld="0" item="0"/>
          <tpl fld="1" item="354"/>
          <tpl fld="4" item="22"/>
        </tpls>
      </n>
      <m in="0">
        <tpls c="3">
          <tpl fld="0" item="0"/>
          <tpl fld="3" item="0"/>
          <tpl fld="4" item="16"/>
        </tpls>
      </m>
      <m in="0">
        <tpls c="3">
          <tpl fld="0" item="0"/>
          <tpl fld="1" item="259"/>
          <tpl fld="4" item="19"/>
        </tpls>
      </m>
      <m in="0">
        <tpls c="3">
          <tpl fld="0" item="0"/>
          <tpl fld="1" item="113"/>
          <tpl fld="4" item="19"/>
        </tpls>
      </m>
      <n v="583" in="0">
        <tpls c="3">
          <tpl fld="0" item="0"/>
          <tpl fld="1" item="11"/>
          <tpl fld="4" item="20"/>
        </tpls>
      </n>
      <n v="36" in="0">
        <tpls c="3">
          <tpl fld="0" item="0"/>
          <tpl fld="1" item="150"/>
          <tpl fld="4" item="20"/>
        </tpls>
      </n>
      <m in="0">
        <tpls c="3">
          <tpl fld="0" item="0"/>
          <tpl fld="1" item="413"/>
          <tpl fld="4" item="20"/>
        </tpls>
      </m>
      <n v="185" in="0">
        <tpls c="3">
          <tpl fld="0" item="0"/>
          <tpl fld="1" item="231"/>
          <tpl fld="4" item="14"/>
        </tpls>
      </n>
      <n v="54" in="0">
        <tpls c="3">
          <tpl fld="0" item="0"/>
          <tpl fld="1" item="27"/>
          <tpl fld="4" item="14"/>
        </tpls>
      </n>
      <m in="0">
        <tpls c="3">
          <tpl fld="0" item="0"/>
          <tpl fld="1" item="376"/>
          <tpl fld="4" item="21"/>
        </tpls>
      </m>
      <n v="2" in="0">
        <tpls c="3">
          <tpl fld="0" item="0"/>
          <tpl fld="1" item="94"/>
          <tpl fld="4" item="21"/>
        </tpls>
      </n>
      <m in="0">
        <tpls c="3">
          <tpl fld="0" item="0"/>
          <tpl fld="1" item="48"/>
          <tpl fld="4" item="21"/>
        </tpls>
      </m>
      <n v="7" in="0">
        <tpls c="3">
          <tpl fld="0" item="0"/>
          <tpl fld="1" item="217"/>
          <tpl fld="4" item="14"/>
        </tpls>
      </n>
      <n v="3" in="0">
        <tpls c="3">
          <tpl fld="0" item="0"/>
          <tpl fld="1" item="141"/>
          <tpl fld="4" item="16"/>
        </tpls>
      </n>
      <m in="0">
        <tpls c="3">
          <tpl fld="0" item="0"/>
          <tpl fld="1" item="439"/>
          <tpl fld="4" item="16"/>
        </tpls>
      </m>
      <m in="0">
        <tpls c="3">
          <tpl fld="0" item="0"/>
          <tpl fld="1" item="359"/>
          <tpl fld="4" item="16"/>
        </tpls>
      </m>
      <m in="0">
        <tpls c="3">
          <tpl fld="0" item="0"/>
          <tpl fld="1" item="5"/>
          <tpl fld="4" item="16"/>
        </tpls>
      </m>
      <m in="0">
        <tpls c="3">
          <tpl fld="0" item="0"/>
          <tpl fld="1" item="176"/>
          <tpl fld="4" item="15"/>
        </tpls>
      </m>
      <m in="0">
        <tpls c="3">
          <tpl fld="0" item="0"/>
          <tpl fld="1" item="108"/>
          <tpl fld="4" item="17"/>
        </tpls>
      </m>
      <n v="62" in="0">
        <tpls c="3">
          <tpl fld="0" item="0"/>
          <tpl fld="1" item="160"/>
          <tpl fld="4" item="17"/>
        </tpls>
      </n>
      <n v="204" in="0">
        <tpls c="3">
          <tpl fld="0" item="0"/>
          <tpl fld="1" item="82"/>
          <tpl fld="4" item="15"/>
        </tpls>
      </n>
      <m in="0">
        <tpls c="3">
          <tpl fld="0" item="0"/>
          <tpl fld="1" item="268"/>
          <tpl fld="4" item="28"/>
        </tpls>
      </m>
      <m in="0">
        <tpls c="3">
          <tpl fld="0" item="0"/>
          <tpl fld="1" item="260"/>
          <tpl fld="4" item="23"/>
        </tpls>
      </m>
      <m in="0">
        <tpls c="3">
          <tpl fld="0" item="0"/>
          <tpl fld="1" item="292"/>
          <tpl fld="4" item="29"/>
        </tpls>
      </m>
      <m in="0">
        <tpls c="3">
          <tpl fld="0" item="0"/>
          <tpl fld="1" item="51"/>
          <tpl fld="4" item="27"/>
        </tpls>
      </m>
      <m in="0">
        <tpls c="3">
          <tpl fld="0" item="0"/>
          <tpl fld="1" item="391"/>
          <tpl fld="4" item="27"/>
        </tpls>
      </m>
      <m in="0">
        <tpls c="3">
          <tpl fld="0" item="0"/>
          <tpl fld="1" item="216"/>
          <tpl fld="4" item="22"/>
        </tpls>
      </m>
      <m in="0">
        <tpls c="3">
          <tpl fld="0" item="0"/>
          <tpl fld="1" item="245"/>
          <tpl fld="4" item="26"/>
        </tpls>
      </m>
      <n v="1" in="0">
        <tpls c="3">
          <tpl fld="0" item="0"/>
          <tpl fld="1" item="214"/>
          <tpl fld="4" item="16"/>
        </tpls>
      </n>
      <m in="0">
        <tpls c="3">
          <tpl fld="0" item="0"/>
          <tpl fld="1" item="338"/>
          <tpl fld="4" item="16"/>
        </tpls>
      </m>
      <m in="0">
        <tpls c="3">
          <tpl fld="0" item="0"/>
          <tpl fld="1" item="375"/>
          <tpl fld="4" item="19"/>
        </tpls>
      </m>
      <m in="0">
        <tpls c="3">
          <tpl fld="0" item="0"/>
          <tpl fld="1" item="297"/>
          <tpl fld="4" item="20"/>
        </tpls>
      </m>
      <n v="685" in="0">
        <tpls c="3">
          <tpl fld="0" item="0"/>
          <tpl fld="1" item="149"/>
          <tpl fld="4" item="20"/>
        </tpls>
      </n>
      <n v="33" in="0">
        <tpls c="3">
          <tpl fld="0" item="0"/>
          <tpl fld="1" item="267"/>
          <tpl fld="4" item="20"/>
        </tpls>
      </n>
      <m in="0">
        <tpls c="3">
          <tpl fld="0" item="0"/>
          <tpl fld="1" item="198"/>
          <tpl fld="4" item="13"/>
        </tpls>
      </m>
      <m in="0">
        <tpls c="3">
          <tpl fld="0" item="0"/>
          <tpl fld="1" item="24"/>
          <tpl fld="4" item="13"/>
        </tpls>
      </m>
      <n v="8" in="0">
        <tpls c="3">
          <tpl fld="0" item="0"/>
          <tpl fld="1" item="418"/>
          <tpl fld="4" item="21"/>
        </tpls>
      </n>
      <n v="15" in="0">
        <tpls c="3">
          <tpl fld="0" item="0"/>
          <tpl fld="1" item="13"/>
          <tpl fld="4" item="14"/>
        </tpls>
      </n>
      <m in="0">
        <tpls c="3">
          <tpl fld="0" item="0"/>
          <tpl fld="1" item="386"/>
          <tpl fld="4" item="13"/>
        </tpls>
      </m>
      <n v="7" in="0">
        <tpls c="3">
          <tpl fld="0" item="0"/>
          <tpl fld="1" item="28"/>
          <tpl fld="4" item="16"/>
        </tpls>
      </n>
      <n v="33" in="0">
        <tpls c="3">
          <tpl fld="0" item="0"/>
          <tpl fld="1" item="452"/>
          <tpl fld="4" item="16"/>
        </tpls>
      </n>
      <m in="0">
        <tpls c="3">
          <tpl fld="0" item="0"/>
          <tpl fld="1" item="396"/>
          <tpl fld="4" item="16"/>
        </tpls>
      </m>
      <n v="2" in="0">
        <tpls c="3">
          <tpl fld="0" item="0"/>
          <tpl fld="1" item="194"/>
          <tpl fld="4" item="16"/>
        </tpls>
      </n>
      <m in="0">
        <tpls c="3">
          <tpl fld="0" item="0"/>
          <tpl fld="1" item="241"/>
          <tpl fld="4" item="17"/>
        </tpls>
      </m>
      <n v="4" in="0">
        <tpls c="3">
          <tpl fld="0" item="0"/>
          <tpl fld="1" item="219"/>
          <tpl fld="4" item="17"/>
        </tpls>
      </n>
      <m in="0">
        <tpls c="3">
          <tpl fld="0" item="0"/>
          <tpl fld="1" item="244"/>
          <tpl fld="4" item="17"/>
        </tpls>
      </m>
      <n v="2" in="0">
        <tpls c="3">
          <tpl fld="0" item="0"/>
          <tpl fld="1" item="151"/>
          <tpl fld="4" item="17"/>
        </tpls>
      </n>
      <n v="44" in="0">
        <tpls c="3">
          <tpl fld="0" item="0"/>
          <tpl fld="1" item="288"/>
          <tpl fld="4" item="28"/>
        </tpls>
      </n>
      <m in="0">
        <tpls c="3">
          <tpl fld="0" item="0"/>
          <tpl fld="1" item="272"/>
          <tpl fld="4" item="23"/>
        </tpls>
      </m>
      <m in="0">
        <tpls c="3">
          <tpl fld="0" item="0"/>
          <tpl fld="1" item="105"/>
          <tpl fld="4" item="29"/>
        </tpls>
      </m>
      <m in="0">
        <tpls c="3">
          <tpl fld="0" item="0"/>
          <tpl fld="1" item="51"/>
          <tpl fld="4" item="22"/>
        </tpls>
      </m>
      <n v="2" in="0">
        <tpls c="3">
          <tpl fld="0" item="0"/>
          <tpl fld="1" item="115"/>
          <tpl fld="4" item="22"/>
        </tpls>
      </n>
      <n v="35" in="0">
        <tpls c="3">
          <tpl fld="0" item="0"/>
          <tpl fld="1" item="331"/>
          <tpl fld="4" item="22"/>
        </tpls>
      </n>
      <n v="18" in="0">
        <tpls c="3">
          <tpl fld="0" item="0"/>
          <tpl fld="1" item="80"/>
          <tpl fld="4" item="26"/>
        </tpls>
      </n>
      <m in="0">
        <tpls c="3">
          <tpl fld="0" item="0"/>
          <tpl fld="1" item="270"/>
          <tpl fld="4" item="21"/>
        </tpls>
      </m>
      <m in="0">
        <tpls c="3">
          <tpl fld="0" item="0"/>
          <tpl fld="1" item="12"/>
          <tpl fld="4" item="28"/>
        </tpls>
      </m>
      <n v="9" in="0">
        <tpls c="3">
          <tpl fld="0" item="0"/>
          <tpl fld="1" item="299"/>
          <tpl fld="4" item="23"/>
        </tpls>
      </n>
      <n v="91" in="0">
        <tpls c="3">
          <tpl fld="0" item="0"/>
          <tpl fld="1" item="453"/>
          <tpl fld="4" item="29"/>
        </tpls>
      </n>
      <n v="17" in="0">
        <tpls c="3">
          <tpl fld="0" item="0"/>
          <tpl fld="1" item="32"/>
          <tpl fld="4" item="22"/>
        </tpls>
      </n>
      <n v="3" in="0">
        <tpls c="3">
          <tpl fld="0" item="0"/>
          <tpl fld="1" item="432"/>
          <tpl fld="4" item="13"/>
        </tpls>
      </n>
      <m in="0">
        <tpls c="3">
          <tpl fld="0" item="0"/>
          <tpl fld="1" item="192"/>
          <tpl fld="4" item="19"/>
        </tpls>
      </m>
      <n v="7" in="0">
        <tpls c="3">
          <tpl fld="0" item="0"/>
          <tpl fld="1" item="11"/>
          <tpl fld="4" item="13"/>
        </tpls>
      </n>
      <n v="4" in="0">
        <tpls c="3">
          <tpl fld="0" item="0"/>
          <tpl fld="1" item="152"/>
          <tpl fld="4" item="13"/>
        </tpls>
      </n>
      <m in="0">
        <tpls c="3">
          <tpl fld="0" item="0"/>
          <tpl fld="1" item="421"/>
          <tpl fld="4" item="19"/>
        </tpls>
      </m>
      <m in="0">
        <tpls c="3">
          <tpl fld="0" item="0"/>
          <tpl fld="1" item="216"/>
          <tpl fld="4" item="18"/>
        </tpls>
      </m>
      <n v="12" in="0">
        <tpls c="3">
          <tpl fld="0" item="0"/>
          <tpl fld="1" item="108"/>
          <tpl fld="4" item="14"/>
        </tpls>
      </n>
      <n v="1" in="0">
        <tpls c="3">
          <tpl fld="0" item="0"/>
          <tpl fld="1" item="11"/>
          <tpl fld="4" item="18"/>
        </tpls>
      </n>
      <n v="2" in="0">
        <tpls c="3">
          <tpl fld="0" item="0"/>
          <tpl fld="1" item="62"/>
          <tpl fld="4" item="20"/>
        </tpls>
      </n>
      <m in="0">
        <tpls c="3">
          <tpl fld="0" item="0"/>
          <tpl fld="1" item="435"/>
          <tpl fld="4" item="18"/>
        </tpls>
      </m>
      <n v="46" in="0">
        <tpls c="3">
          <tpl fld="0" item="0"/>
          <tpl fld="1" item="351"/>
          <tpl fld="4" item="17"/>
        </tpls>
      </n>
      <m in="0">
        <tpls c="3">
          <tpl fld="0" item="0"/>
          <tpl fld="1" item="431"/>
          <tpl fld="4" item="17"/>
        </tpls>
      </m>
      <n v="9" in="0">
        <tpls c="3">
          <tpl fld="0" item="0"/>
          <tpl fld="1" item="101"/>
          <tpl fld="4" item="21"/>
        </tpls>
      </n>
      <n v="17" in="0">
        <tpls c="3">
          <tpl fld="0" item="0"/>
          <tpl fld="1" item="114"/>
          <tpl fld="4" item="19"/>
        </tpls>
      </n>
      <m in="0">
        <tpls c="3">
          <tpl fld="0" item="0"/>
          <tpl fld="1" item="241"/>
          <tpl fld="4" item="16"/>
        </tpls>
      </m>
      <n v="3" in="0">
        <tpls c="3">
          <tpl fld="0" item="0"/>
          <tpl fld="1" item="137"/>
          <tpl fld="4" item="19"/>
        </tpls>
      </n>
      <n v="36" in="0">
        <tpls c="3">
          <tpl fld="0" item="0"/>
          <tpl fld="1" item="87"/>
          <tpl fld="4" item="19"/>
        </tpls>
      </n>
      <n v="170" in="0">
        <tpls c="3">
          <tpl fld="0" item="0"/>
          <tpl fld="1" item="85"/>
          <tpl fld="4" item="15"/>
        </tpls>
      </n>
      <n v="7" in="0">
        <tpls c="3">
          <tpl fld="0" item="0"/>
          <tpl fld="1" item="181"/>
          <tpl fld="4" item="15"/>
        </tpls>
      </n>
      <m in="0">
        <tpls c="3">
          <tpl fld="0" item="0"/>
          <tpl fld="1" item="408"/>
          <tpl fld="4" item="15"/>
        </tpls>
      </m>
      <n v="737" in="0">
        <tpls c="3">
          <tpl fld="0" item="0"/>
          <tpl fld="1" item="7"/>
          <tpl fld="4" item="20"/>
        </tpls>
      </n>
      <n v="55" in="0">
        <tpls c="3">
          <tpl fld="0" item="0"/>
          <tpl fld="1" item="360"/>
          <tpl fld="4" item="15"/>
        </tpls>
      </n>
      <n v="10" in="0">
        <tpls c="3">
          <tpl fld="0" item="0"/>
          <tpl fld="1" item="163"/>
          <tpl fld="4" item="28"/>
        </tpls>
      </n>
      <n v="27" in="0">
        <tpls c="3">
          <tpl fld="0" item="0"/>
          <tpl fld="1" item="429"/>
          <tpl fld="4" item="23"/>
        </tpls>
      </n>
      <n v="512" in="0">
        <tpls c="3">
          <tpl fld="0" item="0"/>
          <tpl fld="1" item="364"/>
          <tpl fld="4" item="27"/>
        </tpls>
      </n>
      <n v="52" in="0">
        <tpls c="3">
          <tpl fld="0" item="0"/>
          <tpl fld="1" item="209"/>
          <tpl fld="4" item="27"/>
        </tpls>
      </n>
      <m in="0">
        <tpls c="3">
          <tpl fld="0" item="0"/>
          <tpl fld="1" item="222"/>
          <tpl fld="4" item="27"/>
        </tpls>
      </m>
      <m in="0">
        <tpls c="3">
          <tpl fld="0" item="0"/>
          <tpl fld="1" item="454"/>
          <tpl fld="4" item="22"/>
        </tpls>
      </m>
      <m in="0">
        <tpls c="3">
          <tpl fld="0" item="0"/>
          <tpl fld="1" item="118"/>
          <tpl fld="4" item="21"/>
        </tpls>
      </m>
      <m in="0">
        <tpls c="3">
          <tpl fld="0" item="0"/>
          <tpl fld="1" item="346"/>
          <tpl fld="4" item="21"/>
        </tpls>
      </m>
      <m in="0">
        <tpls c="3">
          <tpl fld="0" item="0"/>
          <tpl fld="1" item="449"/>
          <tpl fld="4" item="18"/>
        </tpls>
      </m>
      <m in="0">
        <tpls c="3">
          <tpl fld="0" item="0"/>
          <tpl fld="1" item="250"/>
          <tpl fld="4" item="16"/>
        </tpls>
      </m>
      <m in="0">
        <tpls c="3">
          <tpl fld="0" item="0"/>
          <tpl fld="1" item="74"/>
          <tpl fld="4" item="19"/>
        </tpls>
      </m>
      <n v="18" in="0">
        <tpls c="3">
          <tpl fld="0" item="0"/>
          <tpl fld="1" item="311"/>
          <tpl fld="4" item="20"/>
        </tpls>
      </n>
      <n v="66" in="0">
        <tpls c="3">
          <tpl fld="0" item="0"/>
          <tpl fld="1" item="209"/>
          <tpl fld="4" item="20"/>
        </tpls>
      </n>
      <n v="47" in="0">
        <tpls c="3">
          <tpl fld="0" item="0"/>
          <tpl fld="1" item="3"/>
          <tpl fld="4" item="15"/>
        </tpls>
      </n>
      <m in="0">
        <tpls c="3">
          <tpl fld="0" item="0"/>
          <tpl fld="1" item="154"/>
          <tpl fld="4" item="14"/>
        </tpls>
      </m>
      <n v="111" in="0">
        <tpls c="3">
          <tpl fld="0" item="0"/>
          <tpl fld="1" item="368"/>
          <tpl fld="4" item="14"/>
        </tpls>
      </n>
      <m in="0">
        <tpls c="3">
          <tpl fld="0" item="0"/>
          <tpl fld="1" item="299"/>
          <tpl fld="4" item="13"/>
        </tpls>
      </m>
      <m in="0">
        <tpls c="3">
          <tpl fld="0" item="0"/>
          <tpl fld="1" item="119"/>
          <tpl fld="4" item="13"/>
        </tpls>
      </m>
      <m in="0">
        <tpls c="3">
          <tpl fld="0" item="0"/>
          <tpl fld="1" item="2"/>
          <tpl fld="4" item="13"/>
        </tpls>
      </m>
      <m in="0">
        <tpls c="3">
          <tpl fld="0" item="0"/>
          <tpl fld="1" item="280"/>
          <tpl fld="4" item="13"/>
        </tpls>
      </m>
      <m in="0">
        <tpls c="3">
          <tpl fld="0" item="0"/>
          <tpl fld="1" item="97"/>
          <tpl fld="4" item="16"/>
        </tpls>
      </m>
      <m in="0">
        <tpls c="3">
          <tpl fld="0" item="0"/>
          <tpl fld="1" item="71"/>
          <tpl fld="4" item="16"/>
        </tpls>
      </m>
      <m in="0">
        <tpls c="3">
          <tpl fld="0" item="0"/>
          <tpl fld="1" item="15"/>
          <tpl fld="4" item="16"/>
        </tpls>
      </m>
      <m in="0">
        <tpls c="3">
          <tpl fld="0" item="0"/>
          <tpl fld="1" item="227"/>
          <tpl fld="4" item="18"/>
        </tpls>
      </m>
      <m in="0">
        <tpls c="3">
          <tpl fld="0" item="0"/>
          <tpl fld="1" item="428"/>
          <tpl fld="4" item="18"/>
        </tpls>
      </m>
      <n v="1" in="0">
        <tpls c="3">
          <tpl fld="0" item="0"/>
          <tpl fld="1" item="254"/>
          <tpl fld="4" item="16"/>
        </tpls>
      </n>
      <m in="0">
        <tpls c="3">
          <tpl fld="0" item="0"/>
          <tpl fld="1" item="362"/>
          <tpl fld="4" item="17"/>
        </tpls>
      </m>
      <m in="0">
        <tpls c="3">
          <tpl fld="0" item="0"/>
          <tpl fld="1" item="356"/>
          <tpl fld="4" item="17"/>
        </tpls>
      </m>
      <m in="0">
        <tpls c="3">
          <tpl fld="0" item="0"/>
          <tpl fld="1" item="97"/>
          <tpl fld="4" item="17"/>
        </tpls>
      </m>
      <n v="21" in="0">
        <tpls c="3">
          <tpl fld="0" item="0"/>
          <tpl fld="1" item="49"/>
          <tpl fld="4" item="21"/>
        </tpls>
      </n>
      <n v="3" in="0">
        <tpls c="3">
          <tpl fld="0" item="0"/>
          <tpl fld="1" item="120"/>
          <tpl fld="4" item="28"/>
        </tpls>
      </n>
      <n v="50" in="0">
        <tpls c="3">
          <tpl fld="0" item="0"/>
          <tpl fld="1" item="173"/>
          <tpl fld="4" item="23"/>
        </tpls>
      </n>
      <m in="0">
        <tpls c="3">
          <tpl fld="0" item="0"/>
          <tpl fld="1" item="193"/>
          <tpl fld="4" item="18"/>
        </tpls>
      </m>
      <m in="0">
        <tpls c="3">
          <tpl fld="0" item="0"/>
          <tpl fld="1" item="116"/>
          <tpl fld="4" item="5"/>
        </tpls>
      </m>
      <m in="0">
        <tpls c="3">
          <tpl fld="0" item="0"/>
          <tpl fld="1" item="234"/>
          <tpl fld="4" item="13"/>
        </tpls>
      </m>
      <n v="1" in="0">
        <tpls c="3">
          <tpl fld="0" item="0"/>
          <tpl fld="1" item="48"/>
          <tpl fld="4" item="19"/>
        </tpls>
      </n>
      <m in="0">
        <tpls c="3">
          <tpl fld="0" item="0"/>
          <tpl fld="1" item="457"/>
          <tpl fld="4" item="20"/>
        </tpls>
      </m>
      <m in="0">
        <tpls c="3">
          <tpl fld="0" item="0"/>
          <tpl fld="1" item="166"/>
          <tpl fld="4" item="16"/>
        </tpls>
      </m>
      <n v="121" in="0">
        <tpls c="3">
          <tpl fld="0" item="0"/>
          <tpl fld="1" item="201"/>
          <tpl fld="4" item="15"/>
        </tpls>
      </n>
      <m in="0">
        <tpls c="3">
          <tpl fld="0" item="0"/>
          <tpl fld="1" item="208"/>
          <tpl fld="4" item="18"/>
        </tpls>
      </m>
      <m in="0">
        <tpls c="3">
          <tpl fld="0" item="0"/>
          <tpl fld="1" item="374"/>
          <tpl fld="4" item="17"/>
        </tpls>
      </m>
      <m in="0">
        <tpls c="3">
          <tpl fld="0" item="0"/>
          <tpl fld="1" item="197"/>
          <tpl fld="4" item="18"/>
        </tpls>
      </m>
      <m in="0">
        <tpls c="3">
          <tpl fld="0" item="0"/>
          <tpl fld="1" item="86"/>
          <tpl fld="4" item="17"/>
        </tpls>
      </m>
      <n v="3" in="0">
        <tpls c="3">
          <tpl fld="0" item="0"/>
          <tpl fld="1" item="172"/>
          <tpl fld="4" item="13"/>
        </tpls>
      </n>
      <n v="1" in="0">
        <tpls c="3">
          <tpl fld="0" item="0"/>
          <tpl fld="1" item="184"/>
          <tpl fld="4" item="16"/>
        </tpls>
      </n>
      <n v="60" in="0">
        <tpls c="3">
          <tpl fld="0" item="0"/>
          <tpl fld="1" item="366"/>
          <tpl fld="4" item="20"/>
        </tpls>
      </n>
      <m in="0">
        <tpls c="3">
          <tpl fld="0" item="0"/>
          <tpl fld="1" item="152"/>
          <tpl fld="4" item="16"/>
        </tpls>
      </m>
      <m in="0">
        <tpls c="3">
          <tpl fld="0" item="0"/>
          <tpl fld="1" item="265"/>
          <tpl fld="4" item="12"/>
        </tpls>
      </m>
      <m in="0">
        <tpls c="3">
          <tpl fld="0" item="0"/>
          <tpl fld="1" item="172"/>
          <tpl fld="4" item="6"/>
        </tpls>
      </m>
      <m in="0">
        <tpls c="3">
          <tpl fld="0" item="0"/>
          <tpl fld="1" item="340"/>
          <tpl fld="4" item="19"/>
        </tpls>
      </m>
      <m in="0">
        <tpls c="3">
          <tpl fld="0" item="0"/>
          <tpl fld="1" item="271"/>
          <tpl fld="4" item="18"/>
        </tpls>
      </m>
      <m in="0">
        <tpls c="3">
          <tpl fld="0" item="0"/>
          <tpl fld="1" item="240"/>
          <tpl fld="4" item="15"/>
        </tpls>
      </m>
      <n v="94" in="0">
        <tpls c="3">
          <tpl fld="0" item="0"/>
          <tpl fld="1" item="103"/>
          <tpl fld="4" item="20"/>
        </tpls>
      </n>
      <m in="0">
        <tpls c="3">
          <tpl fld="0" item="0"/>
          <tpl fld="1" item="292"/>
          <tpl fld="4" item="11"/>
        </tpls>
      </m>
      <n v="22" in="0">
        <tpls c="3">
          <tpl fld="0" item="0"/>
          <tpl fld="1" item="444"/>
          <tpl fld="4" item="14"/>
        </tpls>
      </n>
      <m in="0">
        <tpls c="3">
          <tpl fld="0" item="0"/>
          <tpl fld="1" item="170"/>
          <tpl fld="4" item="19"/>
        </tpls>
      </m>
      <m in="0">
        <tpls c="3">
          <tpl fld="0" item="0"/>
          <tpl fld="1" item="414"/>
          <tpl fld="4" item="19"/>
        </tpls>
      </m>
      <m in="0">
        <tpls c="3">
          <tpl fld="0" item="0"/>
          <tpl fld="1" item="92"/>
          <tpl fld="4" item="19"/>
        </tpls>
      </m>
      <n v="50" in="0">
        <tpls c="3">
          <tpl fld="0" item="0"/>
          <tpl fld="1" item="417"/>
          <tpl fld="4" item="20"/>
        </tpls>
      </n>
      <n v="562" in="0">
        <tpls c="3">
          <tpl fld="0" item="0"/>
          <tpl fld="1" item="281"/>
          <tpl fld="4" item="20"/>
        </tpls>
      </n>
      <m in="0">
        <tpls c="3">
          <tpl fld="0" item="0"/>
          <tpl fld="1" item="376"/>
          <tpl fld="4" item="20"/>
        </tpls>
      </m>
      <n v="5" in="0">
        <tpls c="3">
          <tpl fld="0" item="0"/>
          <tpl fld="1" item="290"/>
          <tpl fld="4" item="14"/>
        </tpls>
      </n>
      <n v="1" in="0">
        <tpls c="3">
          <tpl fld="0" item="0"/>
          <tpl fld="1" item="27"/>
          <tpl fld="4" item="19"/>
        </tpls>
      </n>
      <n v="20" in="0">
        <tpls c="3">
          <tpl fld="0" item="0"/>
          <tpl fld="1" item="269"/>
          <tpl fld="4" item="19"/>
        </tpls>
      </n>
      <m in="0">
        <tpls c="3">
          <tpl fld="0" item="0"/>
          <tpl fld="1" item="252"/>
          <tpl fld="4" item="16"/>
        </tpls>
      </m>
      <m in="0">
        <tpls c="3">
          <tpl fld="0" item="0"/>
          <tpl fld="1" item="191"/>
          <tpl fld="4" item="18"/>
        </tpls>
      </m>
      <m in="0">
        <tpls c="3">
          <tpl fld="0" item="0"/>
          <tpl fld="1" item="341"/>
          <tpl fld="4" item="16"/>
        </tpls>
      </m>
      <n v="23" in="0">
        <tpls c="3">
          <tpl fld="0" item="0"/>
          <tpl fld="1" item="256"/>
          <tpl fld="4" item="17"/>
        </tpls>
      </n>
      <m in="0">
        <tpls c="3">
          <tpl fld="0" item="0"/>
          <tpl fld="1" item="401"/>
          <tpl fld="4" item="17"/>
        </tpls>
      </m>
      <m in="0">
        <tpls c="3">
          <tpl fld="0" item="0"/>
          <tpl fld="1" item="408"/>
          <tpl fld="4" item="19"/>
        </tpls>
      </m>
      <n v="12" in="0">
        <tpls c="3">
          <tpl fld="0" item="0"/>
          <tpl fld="1" item="324"/>
          <tpl fld="4" item="16"/>
        </tpls>
      </n>
      <m in="0">
        <tpls c="3">
          <tpl fld="0" item="0"/>
          <tpl fld="1" item="345"/>
          <tpl fld="4" item="19"/>
        </tpls>
      </m>
      <m in="0">
        <tpls c="3">
          <tpl fld="0" item="0"/>
          <tpl fld="1" item="426"/>
          <tpl fld="4" item="20"/>
        </tpls>
      </m>
      <n v="21" in="0">
        <tpls c="3">
          <tpl fld="0" item="0"/>
          <tpl fld="1" item="156"/>
          <tpl fld="4" item="20"/>
        </tpls>
      </n>
      <n v="145" in="0">
        <tpls c="3">
          <tpl fld="0" item="0"/>
          <tpl fld="1" item="103"/>
          <tpl fld="4" item="15"/>
        </tpls>
      </n>
      <m in="0">
        <tpls c="3">
          <tpl fld="0" item="0"/>
          <tpl fld="1" item="409"/>
          <tpl fld="4" item="8"/>
        </tpls>
      </m>
      <m in="0">
        <tpls c="3">
          <tpl fld="0" item="0"/>
          <tpl fld="1" item="294"/>
          <tpl fld="4" item="13"/>
        </tpls>
      </m>
      <n v="3" in="0">
        <tpls c="3">
          <tpl fld="0" item="0"/>
          <tpl fld="1" item="367"/>
          <tpl fld="4" item="13"/>
        </tpls>
      </n>
      <n v="4" in="0">
        <tpls c="3">
          <tpl fld="0" item="0"/>
          <tpl fld="1" item="4"/>
          <tpl fld="4" item="21"/>
        </tpls>
      </n>
      <n v="8" in="0">
        <tpls c="3">
          <tpl fld="0" item="0"/>
          <tpl fld="1" item="310"/>
          <tpl fld="4" item="13"/>
        </tpls>
      </n>
      <n v="2" in="0">
        <tpls c="3">
          <tpl fld="0" item="0"/>
          <tpl fld="1" item="84"/>
          <tpl fld="4" item="13"/>
        </tpls>
      </n>
      <m in="0">
        <tpls c="3">
          <tpl fld="0" item="0"/>
          <tpl fld="1" item="190"/>
          <tpl fld="4" item="20"/>
        </tpls>
      </m>
      <m in="0">
        <tpls c="3">
          <tpl fld="0" item="0"/>
          <tpl fld="1" item="239"/>
          <tpl fld="4" item="17"/>
        </tpls>
      </m>
      <n v="15" in="0">
        <tpls c="3">
          <tpl fld="0" item="0"/>
          <tpl fld="1" item="13"/>
          <tpl fld="4" item="25"/>
        </tpls>
      </n>
      <n v="6" in="0">
        <tpls c="3">
          <tpl fld="0" item="0"/>
          <tpl fld="1" item="382"/>
          <tpl fld="4" item="21"/>
        </tpls>
      </n>
      <n v="336" in="0">
        <tpls c="3">
          <tpl fld="0" item="0"/>
          <tpl fld="1" item="264"/>
          <tpl fld="4" item="23"/>
        </tpls>
      </n>
      <n v="29" in="0">
        <tpls c="3">
          <tpl fld="0" item="0"/>
          <tpl fld="1" item="323"/>
          <tpl fld="4" item="23"/>
        </tpls>
      </n>
      <m in="0">
        <tpls c="3">
          <tpl fld="0" item="0"/>
          <tpl fld="1" item="321"/>
          <tpl fld="4" item="23"/>
        </tpls>
      </m>
      <m in="0">
        <tpls c="3">
          <tpl fld="0" item="0"/>
          <tpl fld="1" item="439"/>
          <tpl fld="4" item="29"/>
        </tpls>
      </m>
      <n v="51" in="0">
        <tpls c="3">
          <tpl fld="0" item="0"/>
          <tpl fld="1" item="418"/>
          <tpl fld="4" item="15"/>
        </tpls>
      </n>
      <m in="0">
        <tpls c="3">
          <tpl fld="0" item="0"/>
          <tpl fld="1" item="299"/>
          <tpl fld="4" item="17"/>
        </tpls>
      </m>
      <n v="1" in="0">
        <tpls c="3">
          <tpl fld="0" item="0"/>
          <tpl fld="1" item="400"/>
          <tpl fld="4" item="13"/>
        </tpls>
      </n>
      <m in="0">
        <tpls c="3">
          <tpl fld="0" item="0"/>
          <tpl fld="1" item="71"/>
          <tpl fld="4" item="13"/>
        </tpls>
      </m>
      <m in="0">
        <tpls c="3">
          <tpl fld="0" item="0"/>
          <tpl fld="1" item="327"/>
          <tpl fld="4" item="20"/>
        </tpls>
      </m>
      <n v="3" in="0">
        <tpls c="3">
          <tpl fld="0" item="0"/>
          <tpl fld="1" item="455"/>
          <tpl fld="4" item="21"/>
        </tpls>
      </n>
      <n v="29" in="0">
        <tpls c="3">
          <tpl fld="0" item="0"/>
          <tpl fld="1" item="39"/>
          <tpl fld="4" item="21"/>
        </tpls>
      </n>
      <n v="24" in="0">
        <tpls c="3">
          <tpl fld="0" item="0"/>
          <tpl fld="1" item="183"/>
          <tpl fld="4" item="16"/>
        </tpls>
      </n>
      <m in="0">
        <tpls c="3">
          <tpl fld="0" item="0"/>
          <tpl fld="1" item="201"/>
          <tpl fld="4" item="18"/>
        </tpls>
      </m>
      <m in="0">
        <tpls c="3">
          <tpl fld="0" item="0"/>
          <tpl fld="1" item="234"/>
          <tpl fld="4" item="16"/>
        </tpls>
      </m>
      <m in="0">
        <tpls c="3">
          <tpl fld="0" item="0"/>
          <tpl fld="1" item="2"/>
          <tpl fld="4" item="17"/>
        </tpls>
      </m>
      <n v="9" in="0">
        <tpls c="3">
          <tpl fld="0" item="0"/>
          <tpl fld="1" item="319"/>
          <tpl fld="4" item="17"/>
        </tpls>
      </n>
      <n v="9" in="0">
        <tpls c="3">
          <tpl fld="0" item="0"/>
          <tpl fld="1" item="65"/>
          <tpl fld="4" item="17"/>
        </tpls>
      </n>
      <n v="15" in="0">
        <tpls c="3">
          <tpl fld="0" item="0"/>
          <tpl fld="1" item="337"/>
          <tpl fld="4" item="13"/>
        </tpls>
      </n>
      <m in="0">
        <tpls c="3">
          <tpl fld="0" item="0"/>
          <tpl fld="1" item="336"/>
          <tpl fld="4" item="19"/>
        </tpls>
      </m>
      <n v="10" in="0">
        <tpls c="3">
          <tpl fld="0" item="0"/>
          <tpl fld="1" item="182"/>
          <tpl fld="4" item="19"/>
        </tpls>
      </n>
      <n v="1" in="0">
        <tpls c="3">
          <tpl fld="0" item="0"/>
          <tpl fld="1" item="150"/>
          <tpl fld="4" item="19"/>
        </tpls>
      </n>
      <n v="186" in="0">
        <tpls c="3">
          <tpl fld="0" item="0"/>
          <tpl fld="1" item="354"/>
          <tpl fld="4" item="20"/>
        </tpls>
      </n>
      <m in="0">
        <tpls c="3">
          <tpl fld="0" item="0"/>
          <tpl fld="1" item="375"/>
          <tpl fld="4" item="20"/>
        </tpls>
      </m>
      <m in="0">
        <tpls c="3">
          <tpl fld="0" item="0"/>
          <tpl fld="1" item="299"/>
          <tpl fld="4" item="20"/>
        </tpls>
      </m>
      <n v="126" in="0">
        <tpls c="3">
          <tpl fld="0" item="0"/>
          <tpl fld="1" item="322"/>
          <tpl fld="4" item="20"/>
        </tpls>
      </n>
      <m in="0">
        <tpls c="3">
          <tpl fld="0" item="0"/>
          <tpl fld="1" item="419"/>
          <tpl fld="4" item="21"/>
        </tpls>
      </m>
      <m in="0">
        <tpls c="3">
          <tpl fld="0" item="0"/>
          <tpl fld="1" item="158"/>
          <tpl fld="4" item="17"/>
        </tpls>
      </m>
      <m in="0">
        <tpls c="3">
          <tpl fld="0" item="0"/>
          <tpl fld="1" item="21"/>
          <tpl fld="4" item="23"/>
        </tpls>
      </m>
      <n v="17" in="0">
        <tpls c="3">
          <tpl fld="0" item="0"/>
          <tpl fld="1" item="437"/>
          <tpl fld="4" item="29"/>
        </tpls>
      </n>
      <m in="0">
        <tpls c="3">
          <tpl fld="0" item="0"/>
          <tpl fld="1" item="443"/>
          <tpl fld="4" item="29"/>
        </tpls>
      </m>
      <n v="26" in="0">
        <tpls c="3">
          <tpl fld="0" item="0"/>
          <tpl fld="1" item="200"/>
          <tpl fld="4" item="27"/>
        </tpls>
      </n>
      <m in="0">
        <tpls c="3">
          <tpl fld="0" item="0"/>
          <tpl fld="1" item="159"/>
          <tpl fld="4" item="27"/>
        </tpls>
      </m>
      <m in="0">
        <tpls c="3">
          <tpl fld="0" item="0"/>
          <tpl fld="1" item="223"/>
          <tpl fld="4" item="18"/>
        </tpls>
      </m>
      <n v="2" in="0">
        <tpls c="3">
          <tpl fld="0" item="0"/>
          <tpl fld="1" item="148"/>
          <tpl fld="4" item="16"/>
        </tpls>
      </n>
      <n v="1" in="0">
        <tpls c="3">
          <tpl fld="0" item="0"/>
          <tpl fld="1" item="412"/>
          <tpl fld="4" item="16"/>
        </tpls>
      </n>
      <n v="888" in="0">
        <tpls c="3">
          <tpl fld="0" item="0"/>
          <tpl fld="1" item="380"/>
          <tpl fld="4" item="15"/>
        </tpls>
      </n>
      <m in="0">
        <tpls c="3">
          <tpl fld="0" item="0"/>
          <tpl fld="1" item="268"/>
          <tpl fld="4" item="15"/>
        </tpls>
      </m>
      <m in="0">
        <tpls c="3">
          <tpl fld="0" item="0"/>
          <tpl fld="1" item="387"/>
          <tpl fld="4" item="15"/>
        </tpls>
      </m>
      <n v="17" in="0">
        <tpls c="3">
          <tpl fld="0" item="0"/>
          <tpl fld="1" item="97"/>
          <tpl fld="4" item="14"/>
        </tpls>
      </n>
      <n v="31" in="0">
        <tpls c="3">
          <tpl fld="0" item="0"/>
          <tpl fld="1" item="177"/>
          <tpl fld="4" item="13"/>
        </tpls>
      </n>
      <m in="0">
        <tpls c="3">
          <tpl fld="0" item="0"/>
          <tpl fld="1" item="69"/>
          <tpl fld="4" item="19"/>
        </tpls>
      </m>
      <m in="0">
        <tpls c="3">
          <tpl fld="0" item="0"/>
          <tpl fld="1" item="416"/>
          <tpl fld="4" item="13"/>
        </tpls>
      </m>
      <n v="1" in="0">
        <tpls c="3">
          <tpl fld="0" item="0"/>
          <tpl fld="1" item="431"/>
          <tpl fld="4" item="13"/>
        </tpls>
      </n>
      <m in="0">
        <tpls c="3">
          <tpl fld="0" item="0"/>
          <tpl fld="1" item="451"/>
          <tpl fld="4" item="20"/>
        </tpls>
      </m>
      <n v="8" in="0">
        <tpls c="3">
          <tpl fld="0" item="0"/>
          <tpl fld="1" item="81"/>
          <tpl fld="4" item="20"/>
        </tpls>
      </n>
      <m in="0">
        <tpls c="3">
          <tpl fld="0" item="0"/>
          <tpl fld="1" item="301"/>
          <tpl fld="4" item="18"/>
        </tpls>
      </m>
      <m in="0">
        <tpls c="3">
          <tpl fld="0" item="0"/>
          <tpl fld="1" item="123"/>
          <tpl fld="4" item="14"/>
        </tpls>
      </m>
      <m in="0">
        <tpls c="3">
          <tpl fld="0" item="0"/>
          <tpl fld="1" item="444"/>
          <tpl fld="4" item="18"/>
        </tpls>
      </m>
      <m in="0">
        <tpls c="3">
          <tpl fld="0" item="0"/>
          <tpl fld="1" item="292"/>
          <tpl fld="4" item="18"/>
        </tpls>
      </m>
      <n v="24" in="0">
        <tpls c="3">
          <tpl fld="0" item="0"/>
          <tpl fld="1" item="20"/>
          <tpl fld="4" item="17"/>
        </tpls>
      </n>
      <m in="0">
        <tpls c="3">
          <tpl fld="0" item="0"/>
          <tpl fld="1" item="108"/>
          <tpl fld="4" item="21"/>
        </tpls>
      </m>
      <n v="12" in="0">
        <tpls c="3">
          <tpl fld="0" item="0"/>
          <tpl fld="1" item="278"/>
          <tpl fld="4" item="10"/>
        </tpls>
      </n>
      <m in="0">
        <tpls c="3">
          <tpl fld="0" item="0"/>
          <tpl fld="1" item="19"/>
          <tpl fld="4" item="20"/>
        </tpls>
      </m>
      <n v="156" in="0">
        <tpls c="3">
          <tpl fld="0" item="0"/>
          <tpl fld="1" item="232"/>
          <tpl fld="4" item="23"/>
        </tpls>
      </n>
      <m in="0">
        <tpls c="3">
          <tpl fld="0" item="0"/>
          <tpl fld="1" item="248"/>
          <tpl fld="4" item="29"/>
        </tpls>
      </m>
      <n v="1122" in="0">
        <tpls c="3">
          <tpl fld="0" item="0"/>
          <tpl fld="1" item="45"/>
          <tpl fld="4" item="27"/>
        </tpls>
      </n>
      <m in="0">
        <tpls c="3">
          <tpl fld="0" item="0"/>
          <tpl fld="1" item="62"/>
          <tpl fld="4" item="22"/>
        </tpls>
      </m>
      <m in="0">
        <tpls c="3">
          <tpl fld="0" item="0"/>
          <tpl fld="1" item="195"/>
          <tpl fld="4" item="22"/>
        </tpls>
      </m>
      <m in="0">
        <tpls c="3">
          <tpl fld="0" item="0"/>
          <tpl fld="1" item="165"/>
          <tpl fld="4" item="26"/>
        </tpls>
      </m>
      <m in="0">
        <tpls c="3">
          <tpl fld="0" item="0"/>
          <tpl fld="1" item="267"/>
          <tpl fld="4" item="6"/>
        </tpls>
      </m>
      <m in="0">
        <tpls c="3">
          <tpl fld="0" item="0"/>
          <tpl fld="1" item="261"/>
          <tpl fld="4" item="18"/>
        </tpls>
      </m>
      <m in="0">
        <tpls c="3">
          <tpl fld="0" item="0"/>
          <tpl fld="1" item="204"/>
          <tpl fld="4" item="16"/>
        </tpls>
      </m>
      <n v="9" in="0">
        <tpls c="3">
          <tpl fld="0" item="0"/>
          <tpl fld="1" item="276"/>
          <tpl fld="4" item="15"/>
        </tpls>
      </n>
      <n v="7" in="0">
        <tpls c="3">
          <tpl fld="0" item="0"/>
          <tpl fld="1" item="344"/>
          <tpl fld="4" item="15"/>
        </tpls>
      </n>
      <n v="43" in="0">
        <tpls c="3">
          <tpl fld="0" item="0"/>
          <tpl fld="1" item="296"/>
          <tpl fld="4" item="15"/>
        </tpls>
      </n>
      <m in="0">
        <tpls c="3">
          <tpl fld="0" item="0"/>
          <tpl fld="1" item="55"/>
          <tpl fld="4" item="13"/>
        </tpls>
      </m>
      <n v="9" in="0">
        <tpls c="3">
          <tpl fld="0" item="0"/>
          <tpl fld="1" item="85"/>
          <tpl fld="4" item="19"/>
        </tpls>
      </n>
      <n v="20" in="0">
        <tpls c="3">
          <tpl fld="0" item="0"/>
          <tpl fld="1" item="390"/>
          <tpl fld="4" item="19"/>
        </tpls>
      </n>
      <m in="0">
        <tpls c="3">
          <tpl fld="0" item="0"/>
          <tpl fld="1" item="378"/>
          <tpl fld="4" item="13"/>
        </tpls>
      </m>
      <n v="9" in="0">
        <tpls c="3">
          <tpl fld="0" item="0"/>
          <tpl fld="1" item="357"/>
          <tpl fld="4" item="20"/>
        </tpls>
      </n>
      <n v="3" in="0">
        <tpls c="3">
          <tpl fld="0" item="0"/>
          <tpl fld="1" item="401"/>
          <tpl fld="4" item="20"/>
        </tpls>
      </n>
      <m in="1">
        <tpls c="3">
          <tpl fld="0" item="0"/>
          <tpl fld="1" item="145"/>
          <tpl fld="4" item="7"/>
        </tpls>
      </m>
      <n v="1" in="0">
        <tpls c="3">
          <tpl fld="0" item="0"/>
          <tpl fld="1" item="419"/>
          <tpl fld="4" item="18"/>
        </tpls>
      </n>
      <m in="0">
        <tpls c="3">
          <tpl fld="0" item="0"/>
          <tpl fld="1" item="223"/>
          <tpl fld="4" item="14"/>
        </tpls>
      </m>
      <m in="0">
        <tpls c="3">
          <tpl fld="0" item="0"/>
          <tpl fld="1" item="53"/>
          <tpl fld="4" item="18"/>
        </tpls>
      </m>
      <m in="0">
        <tpls c="3">
          <tpl fld="0" item="0"/>
          <tpl fld="1" item="110"/>
          <tpl fld="4" item="18"/>
        </tpls>
      </m>
      <n v="50" in="0">
        <tpls c="3">
          <tpl fld="0" item="0"/>
          <tpl fld="1" item="447"/>
          <tpl fld="4" item="21"/>
        </tpls>
      </n>
      <n v="30" in="0">
        <tpls c="3">
          <tpl fld="0" item="0"/>
          <tpl fld="1" item="87"/>
          <tpl fld="4" item="21"/>
        </tpls>
      </n>
      <n v="33" in="0">
        <tpls c="3">
          <tpl fld="0" item="0"/>
          <tpl fld="1" item="335"/>
          <tpl fld="4" item="20"/>
        </tpls>
      </n>
      <n v="1363" in="0">
        <tpls c="3">
          <tpl fld="0" item="0"/>
          <tpl fld="1" item="68"/>
          <tpl fld="4" item="23"/>
        </tpls>
      </n>
      <m in="0">
        <tpls c="3">
          <tpl fld="0" item="0"/>
          <tpl fld="1" item="257"/>
          <tpl fld="4" item="29"/>
        </tpls>
      </m>
      <n v="209" in="0">
        <tpls c="3">
          <tpl fld="0" item="0"/>
          <tpl fld="1" item="410"/>
          <tpl fld="4" item="27"/>
        </tpls>
      </n>
      <m in="0">
        <tpls c="3">
          <tpl fld="0" item="0"/>
          <tpl fld="1" item="445"/>
          <tpl fld="4" item="26"/>
        </tpls>
      </m>
      <m in="0">
        <tpls c="3">
          <tpl fld="0" item="0"/>
          <tpl fld="1" item="108"/>
          <tpl fld="4" item="26"/>
        </tpls>
      </m>
      <n v="5" in="0">
        <tpls c="3">
          <tpl fld="0" item="0"/>
          <tpl fld="1" item="372"/>
          <tpl fld="4" item="26"/>
        </tpls>
      </n>
      <n v="251" in="0">
        <tpls c="3">
          <tpl fld="0" item="0"/>
          <tpl fld="1" item="11"/>
          <tpl fld="4" item="14"/>
        </tpls>
      </n>
      <m in="0">
        <tpls c="3">
          <tpl fld="0" item="0"/>
          <tpl fld="1" item="178"/>
          <tpl fld="4" item="18"/>
        </tpls>
      </m>
      <n v="6" in="0">
        <tpls c="3">
          <tpl fld="0" item="0"/>
          <tpl fld="1" item="49"/>
          <tpl fld="4" item="16"/>
        </tpls>
      </n>
      <n v="486" in="0">
        <tpls c="3">
          <tpl fld="0" item="0"/>
          <tpl fld="1" item="177"/>
          <tpl fld="4" item="15"/>
        </tpls>
      </n>
      <m in="0">
        <tpls c="3">
          <tpl fld="0" item="0"/>
          <tpl fld="1" item="122"/>
          <tpl fld="4" item="15"/>
        </tpls>
      </m>
      <m in="0">
        <tpls c="3">
          <tpl fld="0" item="0"/>
          <tpl fld="1" item="6"/>
          <tpl fld="4" item="17"/>
        </tpls>
      </m>
      <m in="0">
        <tpls c="3">
          <tpl fld="0" item="0"/>
          <tpl fld="1" item="251"/>
          <tpl fld="4" item="13"/>
        </tpls>
      </m>
      <n v="14" in="0">
        <tpls c="3">
          <tpl fld="0" item="0"/>
          <tpl fld="1" item="233"/>
          <tpl fld="4" item="19"/>
        </tpls>
      </n>
      <n v="3" in="0">
        <tpls c="3">
          <tpl fld="0" item="0"/>
          <tpl fld="1" item="161"/>
          <tpl fld="4" item="19"/>
        </tpls>
      </n>
      <m in="0">
        <tpls c="3">
          <tpl fld="0" item="0"/>
          <tpl fld="1" item="307"/>
          <tpl fld="4" item="13"/>
        </tpls>
      </m>
      <m in="0">
        <tpls c="3">
          <tpl fld="0" item="0"/>
          <tpl fld="1" item="147"/>
          <tpl fld="4" item="20"/>
        </tpls>
      </m>
      <m in="0">
        <tpls c="3">
          <tpl fld="0" item="0"/>
          <tpl fld="1" item="197"/>
          <tpl fld="4" item="20"/>
        </tpls>
      </m>
      <m in="0">
        <tpls c="3">
          <tpl fld="0" item="0"/>
          <tpl fld="1" item="358"/>
          <tpl fld="4" item="18"/>
        </tpls>
      </m>
      <m in="0">
        <tpls c="3">
          <tpl fld="0" item="0"/>
          <tpl fld="1" item="161"/>
          <tpl fld="4" item="13"/>
        </tpls>
      </m>
      <n v="388" in="0">
        <tpls c="3">
          <tpl fld="0" item="0"/>
          <tpl fld="1" item="67"/>
          <tpl fld="4" item="20"/>
        </tpls>
      </n>
      <m in="0">
        <tpls c="3">
          <tpl fld="0" item="0"/>
          <tpl fld="1" item="187"/>
          <tpl fld="4" item="18"/>
        </tpls>
      </m>
      <n v="14" in="0">
        <tpls c="3">
          <tpl fld="0" item="0"/>
          <tpl fld="1" item="174"/>
          <tpl fld="4" item="21"/>
        </tpls>
      </n>
      <m in="0">
        <tpls c="3">
          <tpl fld="0" item="0"/>
          <tpl fld="1" item="413"/>
          <tpl fld="4" item="21"/>
        </tpls>
      </m>
      <n v="59" in="0">
        <tpls c="3">
          <tpl fld="0" item="0"/>
          <tpl fld="1" item="219"/>
          <tpl fld="4" item="15"/>
        </tpls>
      </n>
      <n v="4" in="0">
        <tpls c="3">
          <tpl fld="0" item="0"/>
          <tpl fld="1" item="5"/>
          <tpl fld="4" item="23"/>
        </tpls>
      </n>
      <n v="55" in="0">
        <tpls c="3">
          <tpl fld="0" item="0"/>
          <tpl fld="1" item="427"/>
          <tpl fld="4" item="29"/>
        </tpls>
      </n>
      <m in="0">
        <tpls c="3">
          <tpl fld="0" item="0"/>
          <tpl fld="1" item="69"/>
          <tpl fld="4" item="27"/>
        </tpls>
      </m>
      <n v="1" in="0">
        <tpls c="3">
          <tpl fld="0" item="0"/>
          <tpl fld="1" item="356"/>
          <tpl fld="4" item="26"/>
        </tpls>
      </n>
      <n v="42" in="0">
        <tpls c="3">
          <tpl fld="0" item="0"/>
          <tpl fld="1" item="390"/>
          <tpl fld="4" item="26"/>
        </tpls>
      </n>
      <m in="0">
        <tpls c="3">
          <tpl fld="0" item="0"/>
          <tpl fld="1" item="318"/>
          <tpl fld="4" item="26"/>
        </tpls>
      </m>
      <m in="0">
        <tpls c="3">
          <tpl fld="0" item="0"/>
          <tpl fld="1" item="176"/>
          <tpl fld="4" item="14"/>
        </tpls>
      </m>
      <m in="0">
        <tpls c="3">
          <tpl fld="0" item="0"/>
          <tpl fld="1" item="88"/>
          <tpl fld="4" item="15"/>
        </tpls>
      </m>
      <n v="452" in="0">
        <tpls c="3">
          <tpl fld="0" item="0"/>
          <tpl fld="1" item="320"/>
          <tpl fld="4" item="23"/>
        </tpls>
      </n>
      <n v="1" in="0">
        <tpls c="3">
          <tpl fld="0" item="0"/>
          <tpl fld="1" item="134"/>
          <tpl fld="4" item="29"/>
        </tpls>
      </n>
      <m in="0">
        <tpls c="3">
          <tpl fld="0" item="0"/>
          <tpl fld="1" item="302"/>
          <tpl fld="4" item="22"/>
        </tpls>
      </m>
      <m in="0">
        <tpls c="3">
          <tpl fld="0" item="0"/>
          <tpl fld="1" item="221"/>
          <tpl fld="4" item="26"/>
        </tpls>
      </m>
      <m in="0">
        <tpls c="3">
          <tpl fld="0" item="0"/>
          <tpl fld="1" item="34"/>
          <tpl fld="4" item="16"/>
        </tpls>
      </m>
      <n v="2" in="0">
        <tpls c="3">
          <tpl fld="0" item="0"/>
          <tpl fld="1" item="41"/>
          <tpl fld="4" item="16"/>
        </tpls>
      </n>
      <m in="0">
        <tpls c="3">
          <tpl fld="0" item="0"/>
          <tpl fld="1" item="133"/>
          <tpl fld="4" item="19"/>
        </tpls>
      </m>
      <m in="0">
        <tpls c="3">
          <tpl fld="0" item="0"/>
          <tpl fld="1" item="98"/>
          <tpl fld="4" item="20"/>
        </tpls>
      </m>
      <n v="1179" in="0">
        <tpls c="3">
          <tpl fld="0" item="0"/>
          <tpl fld="1" item="160"/>
          <tpl fld="4" item="20"/>
        </tpls>
      </n>
      <m in="0">
        <tpls c="3">
          <tpl fld="0" item="0"/>
          <tpl fld="1" item="164"/>
          <tpl fld="4" item="15"/>
        </tpls>
      </m>
      <n v="1" in="0">
        <tpls c="3">
          <tpl fld="0" item="0"/>
          <tpl fld="1" item="25"/>
          <tpl fld="4" item="13"/>
        </tpls>
      </n>
      <m in="0">
        <tpls c="3">
          <tpl fld="0" item="0"/>
          <tpl fld="1" item="243"/>
          <tpl fld="4" item="13"/>
        </tpls>
      </m>
      <m in="0">
        <tpls c="3">
          <tpl fld="0" item="0"/>
          <tpl fld="1" item="342"/>
          <tpl fld="4" item="14"/>
        </tpls>
      </m>
      <m in="0">
        <tpls c="3">
          <tpl fld="0" item="0"/>
          <tpl fld="1" item="451"/>
          <tpl fld="4" item="6"/>
        </tpls>
      </m>
      <n v="12" in="0">
        <tpls c="3">
          <tpl fld="0" item="0"/>
          <tpl fld="1" item="103"/>
          <tpl fld="4" item="19"/>
        </tpls>
      </n>
      <m in="0">
        <tpls c="3">
          <tpl fld="0" item="0"/>
          <tpl fld="1" item="213"/>
          <tpl fld="4" item="19"/>
        </tpls>
      </m>
      <m in="0">
        <tpls c="3">
          <tpl fld="0" item="0"/>
          <tpl fld="1" item="18"/>
          <tpl fld="4" item="16"/>
        </tpls>
      </m>
      <m in="0">
        <tpls c="3">
          <tpl fld="0" item="0"/>
          <tpl fld="1" item="116"/>
          <tpl fld="4" item="18"/>
        </tpls>
      </m>
      <m in="0">
        <tpls c="3">
          <tpl fld="0" item="0"/>
          <tpl fld="1" item="326"/>
          <tpl fld="4" item="18"/>
        </tpls>
      </m>
      <m in="0">
        <tpls c="3">
          <tpl fld="0" item="0"/>
          <tpl fld="1" item="278"/>
          <tpl fld="4" item="16"/>
        </tpls>
      </m>
      <m in="0">
        <tpls c="3">
          <tpl fld="0" item="0"/>
          <tpl fld="1" item="128"/>
          <tpl fld="4" item="17"/>
        </tpls>
      </m>
      <m in="0">
        <tpls c="3">
          <tpl fld="0" item="0"/>
          <tpl fld="1" item="408"/>
          <tpl fld="4" item="17"/>
        </tpls>
      </m>
      <n v="18" in="0">
        <tpls c="3">
          <tpl fld="0" item="0"/>
          <tpl fld="1" item="333"/>
          <tpl fld="4" item="17"/>
        </tpls>
      </n>
      <m in="0">
        <tpls c="3">
          <tpl fld="0" item="0"/>
          <tpl fld="1" item="60"/>
          <tpl fld="4" item="21"/>
        </tpls>
      </m>
      <m in="0">
        <tpls c="3">
          <tpl fld="0" item="0"/>
          <tpl fld="1" item="142"/>
          <tpl fld="4" item="28"/>
        </tpls>
      </m>
      <m in="0">
        <tpls c="3">
          <tpl fld="0" item="0"/>
          <tpl fld="1" item="286"/>
          <tpl fld="4" item="23"/>
        </tpls>
      </m>
      <n v="482" in="0">
        <tpls c="3">
          <tpl fld="0" item="0"/>
          <tpl fld="1" item="347"/>
          <tpl fld="4" item="29"/>
        </tpls>
      </n>
      <m in="0">
        <tpls c="3">
          <tpl fld="0" item="0"/>
          <tpl fld="1" item="272"/>
          <tpl fld="4" item="22"/>
        </tpls>
      </m>
      <m in="0">
        <tpls c="3">
          <tpl fld="0" item="0"/>
          <tpl fld="1" item="239"/>
          <tpl fld="4" item="22"/>
        </tpls>
      </m>
      <n v="1" in="0">
        <tpls c="3">
          <tpl fld="0" item="0"/>
          <tpl fld="1" item="305"/>
          <tpl fld="4" item="22"/>
        </tpls>
      </n>
      <n v="1" in="0">
        <tpls c="3">
          <tpl fld="0" item="0"/>
          <tpl fld="1" item="302"/>
          <tpl fld="4" item="19"/>
        </tpls>
      </n>
      <m in="0">
        <tpls c="3">
          <tpl fld="0" item="0"/>
          <tpl fld="1" item="247"/>
          <tpl fld="4" item="28"/>
        </tpls>
      </m>
      <m in="0">
        <tpls c="3">
          <tpl fld="0" item="0"/>
          <tpl fld="1" item="332"/>
          <tpl fld="4" item="13"/>
        </tpls>
      </m>
      <m in="0">
        <tpls c="3">
          <tpl fld="0" item="0"/>
          <tpl fld="1" item="335"/>
          <tpl fld="4" item="18"/>
        </tpls>
      </m>
      <m in="0">
        <tpls c="3">
          <tpl fld="0" item="0"/>
          <tpl fld="1" item="186"/>
          <tpl fld="4" item="16"/>
        </tpls>
      </m>
      <m in="0">
        <tpls c="3">
          <tpl fld="0" item="0"/>
          <tpl fld="1" item="307"/>
          <tpl fld="4" item="15"/>
        </tpls>
      </m>
      <m in="0">
        <tpls c="3">
          <tpl fld="0" item="0"/>
          <tpl fld="1" item="307"/>
          <tpl fld="4" item="17"/>
        </tpls>
      </m>
      <m in="0">
        <tpls c="3">
          <tpl fld="0" item="0"/>
          <tpl fld="1" item="44"/>
          <tpl fld="4" item="17"/>
        </tpls>
      </m>
      <m in="0">
        <tpls c="3">
          <tpl fld="0" item="0"/>
          <tpl fld="1" item="450"/>
          <tpl fld="4" item="14"/>
        </tpls>
      </m>
      <m in="0">
        <tpls c="3">
          <tpl fld="0" item="0"/>
          <tpl fld="1" item="389"/>
          <tpl fld="4" item="19"/>
        </tpls>
      </m>
      <n v="1" in="0">
        <tpls c="3">
          <tpl fld="0" item="0"/>
          <tpl fld="1" item="276"/>
          <tpl fld="4" item="19"/>
        </tpls>
      </n>
      <n v="16" in="0">
        <tpls c="3">
          <tpl fld="0" item="0"/>
          <tpl fld="1" item="215"/>
          <tpl fld="4" item="19"/>
        </tpls>
      </n>
      <n v="2" in="0">
        <tpls c="3">
          <tpl fld="0" item="0"/>
          <tpl fld="1" item="178"/>
          <tpl fld="4" item="19"/>
        </tpls>
      </n>
      <n v="436" in="0">
        <tpls c="3">
          <tpl fld="0" item="0"/>
          <tpl fld="1" item="320"/>
          <tpl fld="4" item="20"/>
        </tpls>
      </n>
      <n v="240" in="0">
        <tpls c="3">
          <tpl fld="0" item="0"/>
          <tpl fld="1" item="41"/>
          <tpl fld="4" item="20"/>
        </tpls>
      </n>
      <m in="0">
        <tpls c="3">
          <tpl fld="0" item="0"/>
          <tpl fld="1" item="425"/>
          <tpl fld="4" item="18"/>
        </tpls>
      </m>
      <m in="0">
        <tpls c="3">
          <tpl fld="0" item="0"/>
          <tpl fld="1" item="336"/>
          <tpl fld="4" item="13"/>
        </tpls>
      </m>
      <n v="573" in="0">
        <tpls c="3">
          <tpl fld="0" item="0"/>
          <tpl fld="1" item="114"/>
          <tpl fld="4" item="20"/>
        </tpls>
      </n>
      <m in="0">
        <tpls c="3">
          <tpl fld="0" item="0"/>
          <tpl fld="1" item="30"/>
          <tpl fld="4" item="21"/>
        </tpls>
      </m>
      <m in="0">
        <tpls c="3">
          <tpl fld="0" item="0"/>
          <tpl fld="1" item="221"/>
          <tpl fld="4" item="21"/>
        </tpls>
      </m>
      <n v="24" in="0">
        <tpls c="3">
          <tpl fld="0" item="0"/>
          <tpl fld="1" item="372"/>
          <tpl fld="4" item="15"/>
        </tpls>
      </n>
      <n v="9" in="0">
        <tpls c="3">
          <tpl fld="0" item="0"/>
          <tpl fld="1" item="302"/>
          <tpl fld="4" item="23"/>
        </tpls>
      </n>
      <m in="0">
        <tpls c="3">
          <tpl fld="0" item="0"/>
          <tpl fld="1" item="153"/>
          <tpl fld="4" item="29"/>
        </tpls>
      </m>
      <m in="0">
        <tpls c="3">
          <tpl fld="0" item="0"/>
          <tpl fld="1" item="315"/>
          <tpl fld="4" item="22"/>
        </tpls>
      </m>
      <n v="6" in="0">
        <tpls c="3">
          <tpl fld="0" item="0"/>
          <tpl fld="1" item="10"/>
          <tpl fld="4" item="26"/>
        </tpls>
      </n>
      <n v="6" in="0">
        <tpls c="3">
          <tpl fld="0" item="0"/>
          <tpl fld="1" item="28"/>
          <tpl fld="4" item="26"/>
        </tpls>
      </n>
      <m in="0">
        <tpls c="3">
          <tpl fld="0" item="0"/>
          <tpl fld="1" item="452"/>
          <tpl fld="4" item="18"/>
        </tpls>
      </m>
      <m in="0">
        <tpls c="3">
          <tpl fld="0" item="0"/>
          <tpl fld="1" item="40"/>
          <tpl fld="4" item="13"/>
        </tpls>
      </m>
      <m in="0">
        <tpls c="3">
          <tpl fld="0" item="0"/>
          <tpl fld="1" item="294"/>
          <tpl fld="4" item="18"/>
        </tpls>
      </m>
      <m in="0">
        <tpls c="3">
          <tpl fld="0" item="0"/>
          <tpl fld="1" item="349"/>
          <tpl fld="4" item="20"/>
        </tpls>
      </m>
      <m in="0">
        <tpls c="3">
          <tpl fld="0" item="0"/>
          <tpl fld="1" item="453"/>
          <tpl fld="4" item="18"/>
        </tpls>
      </m>
      <m in="0">
        <tpls c="3">
          <tpl fld="0" item="0"/>
          <tpl fld="1" item="193"/>
          <tpl fld="4" item="19"/>
        </tpls>
      </m>
      <m in="0">
        <tpls c="3">
          <tpl fld="0" item="0"/>
          <tpl fld="1" item="428"/>
          <tpl fld="4" item="19"/>
        </tpls>
      </m>
      <m in="0">
        <tpls c="3">
          <tpl fld="0" item="0"/>
          <tpl fld="1" item="58"/>
          <tpl fld="4" item="20"/>
        </tpls>
      </m>
      <n v="2" in="0">
        <tpls c="3">
          <tpl fld="0" item="0"/>
          <tpl fld="1" item="224"/>
          <tpl fld="4" item="16"/>
        </tpls>
      </n>
      <n v="53" in="0">
        <tpls c="3">
          <tpl fld="0" item="0"/>
          <tpl fld="1" item="184"/>
          <tpl fld="4" item="15"/>
        </tpls>
      </n>
      <n v="10" in="0">
        <tpls c="3">
          <tpl fld="0" item="0"/>
          <tpl fld="1" item="162"/>
          <tpl fld="4" item="14"/>
        </tpls>
      </n>
      <m in="0">
        <tpls c="3">
          <tpl fld="0" item="0"/>
          <tpl fld="1" item="83"/>
          <tpl fld="4" item="13"/>
        </tpls>
      </m>
      <n v="1" in="0">
        <tpls c="3">
          <tpl fld="0" item="0"/>
          <tpl fld="1" item="444"/>
          <tpl fld="4" item="17"/>
        </tpls>
      </n>
      <m in="0">
        <tpls c="3">
          <tpl fld="0" item="0"/>
          <tpl fld="1" item="200"/>
          <tpl fld="4" item="13"/>
        </tpls>
      </m>
      <n v="7" in="0">
        <tpls c="3">
          <tpl fld="0" item="0"/>
          <tpl fld="1" item="54"/>
          <tpl fld="4" item="19"/>
        </tpls>
      </n>
      <m in="0">
        <tpls c="3">
          <tpl fld="0" item="0"/>
          <tpl fld="1" item="198"/>
          <tpl fld="4" item="15"/>
        </tpls>
      </m>
      <n v="2" in="0">
        <tpls c="3">
          <tpl fld="0" item="0"/>
          <tpl fld="1" item="4"/>
          <tpl fld="4" item="19"/>
        </tpls>
      </n>
      <n v="5" in="0">
        <tpls c="3">
          <tpl fld="0" item="0"/>
          <tpl fld="1" item="204"/>
          <tpl fld="4" item="13"/>
        </tpls>
      </n>
      <n v="7" in="0">
        <tpls c="3">
          <tpl fld="0" item="0"/>
          <tpl fld="1" item="168"/>
          <tpl fld="4" item="15"/>
        </tpls>
      </n>
      <n v="20" in="0">
        <tpls c="3">
          <tpl fld="0" item="0"/>
          <tpl fld="1" item="8"/>
          <tpl fld="4" item="20"/>
        </tpls>
      </n>
      <m in="1">
        <tpls c="3">
          <tpl fld="0" item="0"/>
          <tpl fld="1" item="70"/>
          <tpl fld="4" item="7"/>
        </tpls>
      </m>
      <n v="11" in="0">
        <tpls c="3">
          <tpl fld="0" item="0"/>
          <tpl fld="1" item="284"/>
          <tpl fld="4" item="14"/>
        </tpls>
      </n>
      <n v="8" in="0">
        <tpls c="3">
          <tpl fld="0" item="0"/>
          <tpl fld="1" item="233"/>
          <tpl fld="4" item="16"/>
        </tpls>
      </n>
      <n v="8" in="0">
        <tpls c="3">
          <tpl fld="0" item="0"/>
          <tpl fld="1" item="106"/>
          <tpl fld="4" item="19"/>
        </tpls>
      </n>
      <n v="24" in="0">
        <tpls c="3">
          <tpl fld="0" item="0"/>
          <tpl fld="1" item="368"/>
          <tpl fld="4" item="17"/>
        </tpls>
      </n>
      <m in="0">
        <tpls c="3">
          <tpl fld="0" item="0"/>
          <tpl fld="1" item="392"/>
          <tpl fld="4" item="15"/>
        </tpls>
      </m>
      <m in="0">
        <tpls c="3">
          <tpl fld="0" item="0"/>
          <tpl fld="1" item="289"/>
          <tpl fld="4" item="12"/>
        </tpls>
      </m>
      <m in="0">
        <tpls c="3">
          <tpl fld="0" item="0"/>
          <tpl fld="1" item="417"/>
          <tpl fld="4" item="1"/>
        </tpls>
      </m>
      <n v="4" in="0">
        <tpls c="3">
          <tpl fld="0" item="0"/>
          <tpl fld="1" item="357"/>
          <tpl fld="4" item="16"/>
        </tpls>
      </n>
      <n v="6" in="0">
        <tpls c="3">
          <tpl fld="0" item="0"/>
          <tpl fld="1" item="442"/>
          <tpl fld="4" item="16"/>
        </tpls>
      </n>
      <m in="0">
        <tpls c="3">
          <tpl fld="0" item="0"/>
          <tpl fld="1" item="23"/>
          <tpl fld="4" item="16"/>
        </tpls>
      </m>
      <n v="92" in="0">
        <tpls c="3">
          <tpl fld="0" item="0"/>
          <tpl fld="1" item="319"/>
          <tpl fld="4" item="15"/>
        </tpls>
      </n>
      <n v="57" in="0">
        <tpls c="3">
          <tpl fld="0" item="0"/>
          <tpl fld="1" item="342"/>
          <tpl fld="4" item="15"/>
        </tpls>
      </n>
      <m in="0">
        <tpls c="3">
          <tpl fld="0" item="0"/>
          <tpl fld="1" item="304"/>
          <tpl fld="4" item="15"/>
        </tpls>
      </m>
      <n v="317" in="0">
        <tpls c="3">
          <tpl fld="0" item="0"/>
          <tpl fld="1" item="377"/>
          <tpl fld="4" item="14"/>
        </tpls>
      </n>
      <n v="9" in="0">
        <tpls c="3">
          <tpl fld="0" item="0"/>
          <tpl fld="1" item="56"/>
          <tpl fld="4" item="16"/>
        </tpls>
      </n>
      <m in="0">
        <tpls c="3">
          <tpl fld="0" item="0"/>
          <tpl fld="1" item="100"/>
          <tpl fld="4" item="16"/>
        </tpls>
      </m>
      <m in="0">
        <tpls c="3">
          <tpl fld="0" item="0"/>
          <tpl fld="1" item="286"/>
          <tpl fld="4" item="14"/>
        </tpls>
      </m>
      <n v="1" in="0">
        <tpls c="3">
          <tpl fld="0" item="0"/>
          <tpl fld="1" item="412"/>
          <tpl fld="4" item="13"/>
        </tpls>
      </n>
      <n v="448" in="0">
        <tpls c="3">
          <tpl fld="0" item="0"/>
          <tpl fld="1" item="365"/>
          <tpl fld="4" item="20"/>
        </tpls>
      </n>
      <m in="0">
        <tpls c="3">
          <tpl fld="0" item="0"/>
          <tpl fld="1" item="26"/>
          <tpl fld="4" item="21"/>
        </tpls>
      </m>
      <n v="31" in="0">
        <tpls c="3">
          <tpl fld="0" item="0"/>
          <tpl fld="1" item="385"/>
          <tpl fld="4" item="21"/>
        </tpls>
      </n>
      <n v="36" in="0">
        <tpls c="3">
          <tpl fld="0" item="0"/>
          <tpl fld="1" item="87"/>
          <tpl fld="4" item="16"/>
        </tpls>
      </n>
      <m in="0">
        <tpls c="3">
          <tpl fld="0" item="0"/>
          <tpl fld="1" item="40"/>
          <tpl fld="4" item="18"/>
        </tpls>
      </m>
      <n v="4" in="0">
        <tpls c="3">
          <tpl fld="0" item="0"/>
          <tpl fld="1" item="39"/>
          <tpl fld="4" item="16"/>
        </tpls>
      </n>
      <m in="0">
        <tpls c="3">
          <tpl fld="0" item="0"/>
          <tpl fld="1" item="70"/>
          <tpl fld="4" item="15"/>
        </tpls>
      </m>
      <m in="0">
        <tpls c="3">
          <tpl fld="0" item="0"/>
          <tpl fld="1" item="176"/>
          <tpl fld="4" item="17"/>
        </tpls>
      </m>
      <n v="2" in="0">
        <tpls c="3">
          <tpl fld="0" item="0"/>
          <tpl fld="1" item="317"/>
          <tpl fld="4" item="17"/>
        </tpls>
      </n>
      <m in="0">
        <tpls c="3">
          <tpl fld="0" item="0"/>
          <tpl fld="1" item="50"/>
          <tpl fld="4" item="13"/>
        </tpls>
      </m>
      <n v="4" in="0">
        <tpls c="3">
          <tpl fld="0" item="0"/>
          <tpl fld="1" item="449"/>
          <tpl fld="4" item="19"/>
        </tpls>
      </n>
      <m in="0">
        <tpls c="3">
          <tpl fld="0" item="0"/>
          <tpl fld="1" item="423"/>
          <tpl fld="4" item="19"/>
        </tpls>
      </m>
      <m in="0">
        <tpls c="3">
          <tpl fld="0" item="0"/>
          <tpl fld="1" item="70"/>
          <tpl fld="4" item="13"/>
        </tpls>
      </m>
      <n v="212" in="0">
        <tpls c="3">
          <tpl fld="0" item="0"/>
          <tpl fld="1" item="139"/>
          <tpl fld="4" item="20"/>
        </tpls>
      </n>
      <m in="0">
        <tpls c="3">
          <tpl fld="0" item="0"/>
          <tpl fld="1" item="239"/>
          <tpl fld="4" item="20"/>
        </tpls>
      </m>
      <n v="45" in="0">
        <tpls c="3">
          <tpl fld="0" item="0"/>
          <tpl fld="1" item="173"/>
          <tpl fld="4" item="20"/>
        </tpls>
      </n>
      <n v="1" in="0">
        <tpls c="3">
          <tpl fld="0" item="0"/>
          <tpl fld="1" item="180"/>
          <tpl fld="4" item="21"/>
        </tpls>
      </n>
      <n v="49" in="0">
        <tpls c="3">
          <tpl fld="0" item="0"/>
          <tpl fld="1" item="68"/>
          <tpl fld="4" item="21"/>
        </tpls>
      </n>
      <n v="493" in="0">
        <tpls c="3">
          <tpl fld="0" item="0"/>
          <tpl fld="1" item="377"/>
          <tpl fld="4" item="15"/>
        </tpls>
      </n>
      <n v="417" in="0">
        <tpls c="3">
          <tpl fld="0" item="0"/>
          <tpl fld="1" item="273"/>
          <tpl fld="4" item="23"/>
        </tpls>
      </n>
      <n v="189" in="0">
        <tpls c="3">
          <tpl fld="0" item="0"/>
          <tpl fld="1" item="279"/>
          <tpl fld="4" item="29"/>
        </tpls>
      </n>
      <n v="145" in="0">
        <tpls c="3">
          <tpl fld="0" item="0"/>
          <tpl fld="1" item="182"/>
          <tpl fld="4" item="29"/>
        </tpls>
      </n>
      <n v="47" in="0">
        <tpls c="3">
          <tpl fld="0" item="0"/>
          <tpl fld="1" item="403"/>
          <tpl fld="4" item="29"/>
        </tpls>
      </n>
      <m in="0">
        <tpls c="3">
          <tpl fld="0" item="0"/>
          <tpl fld="1" item="153"/>
          <tpl fld="4" item="27"/>
        </tpls>
      </m>
      <n v="5" in="0">
        <tpls c="3">
          <tpl fld="0" item="0"/>
          <tpl fld="1" item="5"/>
          <tpl fld="4" item="15"/>
        </tpls>
      </n>
      <m in="0">
        <tpls c="3">
          <tpl fld="0" item="0"/>
          <tpl fld="1" item="282"/>
          <tpl fld="4" item="21"/>
        </tpls>
      </m>
      <m in="0">
        <tpls c="3">
          <tpl fld="0" item="0"/>
          <tpl fld="1" item="303"/>
          <tpl fld="4" item="19"/>
        </tpls>
      </m>
      <m in="0">
        <tpls c="3">
          <tpl fld="0" item="0"/>
          <tpl fld="1" item="289"/>
          <tpl fld="4" item="19"/>
        </tpls>
      </m>
      <m in="0">
        <tpls c="3">
          <tpl fld="0" item="0"/>
          <tpl fld="1" item="98"/>
          <tpl fld="4" item="13"/>
        </tpls>
      </m>
      <m in="0">
        <tpls c="3">
          <tpl fld="0" item="0"/>
          <tpl fld="1" item="378"/>
          <tpl fld="4" item="20"/>
        </tpls>
      </m>
      <n v="598" in="0">
        <tpls c="3">
          <tpl fld="0" item="0"/>
          <tpl fld="1" item="105"/>
          <tpl fld="4" item="20"/>
        </tpls>
      </n>
      <n v="880" in="0">
        <tpls c="3">
          <tpl fld="0" item="0"/>
          <tpl fld="1" item="111"/>
          <tpl fld="4" item="20"/>
        </tpls>
      </n>
      <m in="0">
        <tpls c="3">
          <tpl fld="0" item="0"/>
          <tpl fld="1" item="219"/>
          <tpl fld="4" item="11"/>
        </tpls>
      </m>
      <n v="169" in="0">
        <tpls c="3">
          <tpl fld="0" item="0"/>
          <tpl fld="1" item="331"/>
          <tpl fld="4" item="14"/>
        </tpls>
      </n>
      <m in="0">
        <tpls c="3">
          <tpl fld="0" item="0"/>
          <tpl fld="1" item="413"/>
          <tpl fld="4" item="6"/>
        </tpls>
      </m>
      <m in="0">
        <tpls c="3">
          <tpl fld="0" item="0"/>
          <tpl fld="1" item="278"/>
          <tpl fld="4" item="18"/>
        </tpls>
      </m>
      <n v="1" in="0">
        <tpls c="3">
          <tpl fld="0" item="0"/>
          <tpl fld="1" item="454"/>
          <tpl fld="4" item="21"/>
        </tpls>
      </n>
      <m in="0">
        <tpls c="3">
          <tpl fld="0" item="0"/>
          <tpl fld="1" item="127"/>
          <tpl fld="4" item="21"/>
        </tpls>
      </m>
      <m in="0">
        <tpls c="3">
          <tpl fld="0" item="0"/>
          <tpl fld="1" item="235"/>
          <tpl fld="4" item="21"/>
        </tpls>
      </m>
      <n v="34" in="0">
        <tpls c="3">
          <tpl fld="0" item="0"/>
          <tpl fld="1" item="330"/>
          <tpl fld="4" item="14"/>
        </tpls>
      </n>
      <n v="9" in="0">
        <tpls c="3">
          <tpl fld="0" item="0"/>
          <tpl fld="1" item="415"/>
          <tpl fld="4" item="16"/>
        </tpls>
      </n>
      <m in="0">
        <tpls c="3">
          <tpl fld="0" item="0"/>
          <tpl fld="1" item="421"/>
          <tpl fld="4" item="16"/>
        </tpls>
      </m>
      <m in="0">
        <tpls c="3">
          <tpl fld="0" item="0"/>
          <tpl fld="1" item="402"/>
          <tpl fld="4" item="16"/>
        </tpls>
      </m>
      <m in="0">
        <tpls c="3">
          <tpl fld="0" item="0"/>
          <tpl fld="1" item="445"/>
          <tpl fld="4" item="16"/>
        </tpls>
      </m>
      <n v="14" in="0">
        <tpls c="3">
          <tpl fld="0" item="0"/>
          <tpl fld="1" item="50"/>
          <tpl fld="4" item="15"/>
        </tpls>
      </n>
      <m in="0">
        <tpls c="3">
          <tpl fld="0" item="0"/>
          <tpl fld="1" item="373"/>
          <tpl fld="4" item="15"/>
        </tpls>
      </m>
      <m in="0">
        <tpls c="3">
          <tpl fld="0" item="0"/>
          <tpl fld="1" item="388"/>
          <tpl fld="4" item="15"/>
        </tpls>
      </m>
      <m in="0">
        <tpls c="3">
          <tpl fld="0" item="0"/>
          <tpl fld="1" item="130"/>
          <tpl fld="4" item="20"/>
        </tpls>
      </m>
      <m in="0">
        <tpls c="3">
          <tpl fld="0" item="0"/>
          <tpl fld="1" item="27"/>
          <tpl fld="4" item="28"/>
        </tpls>
      </m>
      <n v="11" in="0">
        <tpls c="3">
          <tpl fld="0" item="0"/>
          <tpl fld="1" item="57"/>
          <tpl fld="4" item="28"/>
        </tpls>
      </n>
      <n v="316" in="0">
        <tpls c="3">
          <tpl fld="0" item="0"/>
          <tpl fld="1" item="41"/>
          <tpl fld="4" item="29"/>
        </tpls>
      </n>
      <n v="649" in="0">
        <tpls c="3">
          <tpl fld="0" item="0"/>
          <tpl fld="1" item="87"/>
          <tpl fld="4" item="27"/>
        </tpls>
      </n>
      <n v="3" in="0">
        <tpls c="3">
          <tpl fld="0" item="0"/>
          <tpl fld="1" item="357"/>
          <tpl fld="4" item="27"/>
        </tpls>
      </n>
      <n v="30" in="0">
        <tpls c="3">
          <tpl fld="0" item="0"/>
          <tpl fld="1" item="400"/>
          <tpl fld="4" item="22"/>
        </tpls>
      </n>
      <m in="0">
        <tpls c="3">
          <tpl fld="0" item="0"/>
          <tpl fld="1" item="66"/>
          <tpl fld="4" item="18"/>
        </tpls>
      </m>
      <m in="0">
        <tpls c="3">
          <tpl fld="0" item="0"/>
          <tpl fld="1" item="392"/>
          <tpl fld="4" item="13"/>
        </tpls>
      </m>
      <n v="206" in="0">
        <tpls c="3">
          <tpl fld="0" item="0"/>
          <tpl fld="1" item="226"/>
          <tpl fld="4" item="20"/>
        </tpls>
      </n>
      <m in="0">
        <tpls c="3">
          <tpl fld="0" item="0"/>
          <tpl fld="1" item="106"/>
          <tpl fld="4" item="18"/>
        </tpls>
      </m>
      <m in="0">
        <tpls c="3">
          <tpl fld="0" item="0"/>
          <tpl fld="1" item="124"/>
          <tpl fld="4" item="17"/>
        </tpls>
      </m>
      <n v="24" in="0">
        <tpls c="3">
          <tpl fld="0" item="0"/>
          <tpl fld="1" item="287"/>
          <tpl fld="4" item="17"/>
        </tpls>
      </n>
      <m in="0">
        <tpls c="3">
          <tpl fld="0" item="0"/>
          <tpl fld="1" item="93"/>
          <tpl fld="4" item="17"/>
        </tpls>
      </m>
      <m in="0">
        <tpls c="3">
          <tpl fld="0" item="0"/>
          <tpl fld="1" item="259"/>
          <tpl fld="4" item="5"/>
        </tpls>
      </m>
      <m in="0">
        <tpls c="3">
          <tpl fld="0" item="0"/>
          <tpl fld="1" item="167"/>
          <tpl fld="4" item="19"/>
        </tpls>
      </m>
      <m in="0">
        <tpls c="3">
          <tpl fld="0" item="0"/>
          <tpl fld="1" item="191"/>
          <tpl fld="4" item="16"/>
        </tpls>
      </m>
      <m in="0">
        <tpls c="3">
          <tpl fld="0" item="0"/>
          <tpl fld="1" item="245"/>
          <tpl fld="4" item="16"/>
        </tpls>
      </m>
      <n v="1" in="0">
        <tpls c="3">
          <tpl fld="0" item="0"/>
          <tpl fld="1" item="311"/>
          <tpl fld="4" item="19"/>
        </tpls>
      </n>
      <m in="0">
        <tpls c="3">
          <tpl fld="0" item="0"/>
          <tpl fld="1" item="71"/>
          <tpl fld="4" item="15"/>
        </tpls>
      </m>
      <m in="0">
        <tpls c="3">
          <tpl fld="0" item="0"/>
          <tpl fld="1" item="30"/>
          <tpl fld="4" item="15"/>
        </tpls>
      </m>
      <m in="0">
        <tpls c="3">
          <tpl fld="0" item="0"/>
          <tpl fld="1" item="159"/>
          <tpl fld="4" item="8"/>
        </tpls>
      </m>
      <n v="39" in="0">
        <tpls c="3">
          <tpl fld="0" item="0"/>
          <tpl fld="1" item="453"/>
          <tpl fld="4" item="14"/>
        </tpls>
      </n>
      <n v="231" in="0">
        <tpls c="3">
          <tpl fld="0" item="0"/>
          <tpl fld="1" item="225"/>
          <tpl fld="4" item="14"/>
        </tpls>
      </n>
      <n v="1" in="0">
        <tpls c="3">
          <tpl fld="0" item="0"/>
          <tpl fld="1" item="429"/>
          <tpl fld="4" item="19"/>
        </tpls>
      </n>
      <n v="1" in="0">
        <tpls c="3">
          <tpl fld="0" item="0"/>
          <tpl fld="1" item="113"/>
          <tpl fld="4" item="13"/>
        </tpls>
      </n>
      <n v="98" in="0">
        <tpls c="3">
          <tpl fld="0" item="0"/>
          <tpl fld="1" item="415"/>
          <tpl fld="4" item="14"/>
        </tpls>
      </n>
      <m in="0">
        <tpls c="3">
          <tpl fld="0" item="0"/>
          <tpl fld="1" item="188"/>
          <tpl fld="4" item="13"/>
        </tpls>
      </m>
      <m in="0">
        <tpls c="3">
          <tpl fld="0" item="0"/>
          <tpl fld="1" item="133"/>
          <tpl fld="4" item="16"/>
        </tpls>
      </m>
      <m in="0">
        <tpls c="3">
          <tpl fld="0" item="0"/>
          <tpl fld="1" item="379"/>
          <tpl fld="4" item="6"/>
        </tpls>
      </m>
      <n v="39" in="0">
        <tpls c="3">
          <tpl fld="0" item="0"/>
          <tpl fld="1" item="114"/>
          <tpl fld="4" item="17"/>
        </tpls>
      </n>
      <m in="0">
        <tpls c="3">
          <tpl fld="0" item="0"/>
          <tpl fld="1" item="138"/>
          <tpl fld="4" item="29"/>
        </tpls>
      </m>
      <m in="0">
        <tpls c="3">
          <tpl fld="0" item="0"/>
          <tpl fld="1" item="257"/>
          <tpl fld="4" item="27"/>
        </tpls>
      </m>
      <m in="0">
        <tpls c="3">
          <tpl fld="0" item="0"/>
          <tpl fld="1" item="153"/>
          <tpl fld="4" item="22"/>
        </tpls>
      </m>
      <n v="39" in="0">
        <tpls c="3">
          <tpl fld="0" item="0"/>
          <tpl fld="1" item="433"/>
          <tpl fld="4" item="25"/>
        </tpls>
      </n>
      <n v="164" in="0">
        <tpls c="3">
          <tpl fld="0" item="0"/>
          <tpl fld="1" item="64"/>
          <tpl fld="4" item="25"/>
        </tpls>
      </n>
      <n v="1139" in="0">
        <tpls c="3">
          <tpl fld="0" item="0"/>
          <tpl fld="1" item="288"/>
          <tpl fld="4" item="25"/>
        </tpls>
      </n>
      <m in="0">
        <tpls c="3">
          <tpl fld="0" item="0"/>
          <tpl fld="1" item="102"/>
          <tpl fld="4" item="20"/>
        </tpls>
      </m>
      <m in="0">
        <tpls c="3">
          <tpl fld="0" item="0"/>
          <tpl fld="1" item="185"/>
          <tpl fld="4" item="19"/>
        </tpls>
      </m>
      <m in="0">
        <tpls c="3">
          <tpl fld="0" item="0"/>
          <tpl fld="1" item="440"/>
          <tpl fld="4" item="20"/>
        </tpls>
      </m>
      <n v="2" in="0">
        <tpls c="3">
          <tpl fld="0" item="0"/>
          <tpl fld="1" item="32"/>
          <tpl fld="4" item="18"/>
        </tpls>
      </n>
      <n v="4" in="0">
        <tpls c="3">
          <tpl fld="0" item="0"/>
          <tpl fld="1" item="369"/>
          <tpl fld="4" item="17"/>
        </tpls>
      </n>
      <n v="20" in="0">
        <tpls c="3">
          <tpl fld="0" item="0"/>
          <tpl fld="1" item="57"/>
          <tpl fld="4" item="17"/>
        </tpls>
      </n>
      <m in="0">
        <tpls c="3">
          <tpl fld="0" item="0"/>
          <tpl fld="1" item="259"/>
          <tpl fld="4" item="17"/>
        </tpls>
      </m>
      <m in="0">
        <tpls c="3">
          <tpl fld="0" item="0"/>
          <tpl fld="1" item="333"/>
          <tpl fld="4" item="6"/>
        </tpls>
      </m>
      <m in="0">
        <tpls c="3">
          <tpl fld="0" item="0"/>
          <tpl fld="1" item="15"/>
          <tpl fld="4" item="19"/>
        </tpls>
      </m>
      <m in="0">
        <tpls c="3">
          <tpl fld="0" item="0"/>
          <tpl fld="1" item="353"/>
          <tpl fld="4" item="16"/>
        </tpls>
      </m>
      <m in="0">
        <tpls c="3">
          <tpl fld="0" item="0"/>
          <tpl fld="1" item="375"/>
          <tpl fld="4" item="16"/>
        </tpls>
      </m>
      <m in="0">
        <tpls c="3">
          <tpl fld="0" item="0"/>
          <tpl fld="1" item="228"/>
          <tpl fld="4" item="19"/>
        </tpls>
      </m>
      <n v="4" in="0">
        <tpls c="3">
          <tpl fld="0" item="0"/>
          <tpl fld="1" item="401"/>
          <tpl fld="4" item="15"/>
        </tpls>
      </n>
      <m in="0">
        <tpls c="3">
          <tpl fld="0" item="0"/>
          <tpl fld="1" item="109"/>
          <tpl fld="4" item="15"/>
        </tpls>
      </m>
      <m in="0">
        <tpls c="3">
          <tpl fld="0" item="0"/>
          <tpl fld="1" item="31"/>
          <tpl fld="4" item="13"/>
        </tpls>
      </m>
      <n v="3" in="0">
        <tpls c="3">
          <tpl fld="0" item="0"/>
          <tpl fld="1" item="231"/>
          <tpl fld="4" item="13"/>
        </tpls>
      </n>
      <m in="0">
        <tpls c="3">
          <tpl fld="0" item="0"/>
          <tpl fld="1" item="338"/>
          <tpl fld="4" item="19"/>
        </tpls>
      </m>
      <m in="0">
        <tpls c="3">
          <tpl fld="0" item="0"/>
          <tpl fld="1" item="146"/>
          <tpl fld="4" item="13"/>
        </tpls>
      </m>
      <n v="36" in="0">
        <tpls c="3">
          <tpl fld="0" item="0"/>
          <tpl fld="1" item="206"/>
          <tpl fld="4" item="19"/>
        </tpls>
      </n>
      <m in="0">
        <tpls c="3">
          <tpl fld="0" item="0"/>
          <tpl fld="1" item="200"/>
          <tpl fld="4" item="16"/>
        </tpls>
      </m>
      <m in="0">
        <tpls c="3">
          <tpl fld="0" item="0"/>
          <tpl fld="1" item="401"/>
          <tpl fld="4" item="18"/>
        </tpls>
      </m>
      <n v="37" in="0">
        <tpls c="3">
          <tpl fld="0" item="0"/>
          <tpl fld="1" item="249"/>
          <tpl fld="4" item="14"/>
        </tpls>
      </n>
      <m in="0">
        <tpls c="3">
          <tpl fld="0" item="0"/>
          <tpl fld="1" item="303"/>
          <tpl fld="4" item="17"/>
        </tpls>
      </m>
      <n v="2916" in="0">
        <tpls c="3">
          <tpl fld="0" item="0"/>
          <tpl fld="1" item="266"/>
          <tpl fld="4" item="29"/>
        </tpls>
      </n>
      <n v="61" in="0">
        <tpls c="3">
          <tpl fld="0" item="0"/>
          <tpl fld="1" item="219"/>
          <tpl fld="4" item="27"/>
        </tpls>
      </n>
      <m in="0">
        <tpls c="3">
          <tpl fld="0" item="0"/>
          <tpl fld="1" item="76"/>
          <tpl fld="4" item="22"/>
        </tpls>
      </m>
      <m in="0">
        <tpls c="3">
          <tpl fld="0" item="0"/>
          <tpl fld="1" item="21"/>
          <tpl fld="4" item="25"/>
        </tpls>
      </m>
      <n v="56" in="0">
        <tpls c="3">
          <tpl fld="0" item="0"/>
          <tpl fld="1" item="121"/>
          <tpl fld="4" item="25"/>
        </tpls>
      </n>
      <n v="2429" in="0">
        <tpls c="3">
          <tpl fld="0" item="0"/>
          <tpl fld="1" item="266"/>
          <tpl fld="4" item="25"/>
        </tpls>
      </n>
      <n v="1005" in="0">
        <tpls c="3">
          <tpl fld="0" item="0"/>
          <tpl fld="1" item="107"/>
          <tpl fld="4" item="15"/>
        </tpls>
      </n>
      <m in="0">
        <tpls c="3">
          <tpl fld="0" item="0"/>
          <tpl fld="1" item="383"/>
          <tpl fld="4" item="19"/>
        </tpls>
      </m>
      <m in="0">
        <tpls c="3">
          <tpl fld="0" item="0"/>
          <tpl fld="1" item="306"/>
          <tpl fld="4" item="20"/>
        </tpls>
      </m>
      <n v="4" in="0">
        <tpls c="3">
          <tpl fld="0" item="0"/>
          <tpl fld="1" item="10"/>
          <tpl fld="4" item="18"/>
        </tpls>
      </n>
      <n v="14" in="0">
        <tpls c="3">
          <tpl fld="0" item="0"/>
          <tpl fld="1" item="255"/>
          <tpl fld="4" item="17"/>
        </tpls>
      </n>
      <n v="6" in="0">
        <tpls c="3">
          <tpl fld="0" item="0"/>
          <tpl fld="1" item="382"/>
          <tpl fld="4" item="17"/>
        </tpls>
      </n>
      <n v="3" in="0">
        <tpls c="3">
          <tpl fld="0" item="0"/>
          <tpl fld="1" item="200"/>
          <tpl fld="4" item="21"/>
        </tpls>
      </n>
      <n v="1" in="0">
        <tpls c="3">
          <tpl fld="0" item="0"/>
          <tpl fld="1" item="175"/>
          <tpl fld="4" item="1"/>
        </tpls>
      </n>
      <m in="0">
        <tpls c="3">
          <tpl fld="0" item="0"/>
          <tpl fld="1" item="396"/>
          <tpl fld="4" item="19"/>
        </tpls>
      </m>
      <m in="0">
        <tpls c="3">
          <tpl fld="0" item="0"/>
          <tpl fld="1" item="289"/>
          <tpl fld="4" item="16"/>
        </tpls>
      </m>
      <n v="2" in="0">
        <tpls c="3">
          <tpl fld="0" item="0"/>
          <tpl fld="1" item="42"/>
          <tpl fld="4" item="16"/>
        </tpls>
      </n>
      <n v="14" in="0">
        <tpls c="3">
          <tpl fld="0" item="0"/>
          <tpl fld="1" item="149"/>
          <tpl fld="4" item="16"/>
        </tpls>
      </n>
      <n v="80" in="0">
        <tpls c="3">
          <tpl fld="0" item="0"/>
          <tpl fld="1" item="430"/>
          <tpl fld="4" item="15"/>
        </tpls>
      </n>
      <n v="26" in="0">
        <tpls c="3">
          <tpl fld="0" item="0"/>
          <tpl fld="1" item="271"/>
          <tpl fld="4" item="15"/>
        </tpls>
      </n>
      <m in="0">
        <tpls c="3">
          <tpl fld="0" item="0"/>
          <tpl fld="1" item="72"/>
          <tpl fld="4" item="9"/>
        </tpls>
      </m>
      <m in="0">
        <tpls c="3">
          <tpl fld="0" item="0"/>
          <tpl fld="1" item="413"/>
          <tpl fld="4" item="13"/>
        </tpls>
      </m>
      <m in="0">
        <tpls c="3">
          <tpl fld="0" item="0"/>
          <tpl fld="1" item="355"/>
          <tpl fld="4" item="19"/>
        </tpls>
      </m>
      <m in="0">
        <tpls c="3">
          <tpl fld="0" item="0"/>
          <tpl fld="3" item="0"/>
          <tpl fld="4" item="13"/>
        </tpls>
      </m>
      <m in="0">
        <tpls c="3">
          <tpl fld="0" item="0"/>
          <tpl fld="1" item="158"/>
          <tpl fld="4" item="16"/>
        </tpls>
      </m>
      <n v="1" in="0">
        <tpls c="3">
          <tpl fld="0" item="0"/>
          <tpl fld="1" item="206"/>
          <tpl fld="4" item="18"/>
        </tpls>
      </n>
      <m in="0">
        <tpls c="3">
          <tpl fld="0" item="0"/>
          <tpl fld="1" item="69"/>
          <tpl fld="4" item="18"/>
        </tpls>
      </m>
      <n v="22" in="0">
        <tpls c="3">
          <tpl fld="0" item="0"/>
          <tpl fld="1" item="187"/>
          <tpl fld="4" item="17"/>
        </tpls>
      </n>
      <n v="319" in="0">
        <tpls c="3">
          <tpl fld="0" item="0"/>
          <tpl fld="1" item="39"/>
          <tpl fld="4" item="29"/>
        </tpls>
      </n>
      <m in="0">
        <tpls c="3">
          <tpl fld="0" item="0"/>
          <tpl fld="1" item="59"/>
          <tpl fld="4" item="27"/>
        </tpls>
      </m>
      <m in="0">
        <tpls c="3">
          <tpl fld="0" item="0"/>
          <tpl fld="1" item="15"/>
          <tpl fld="4" item="22"/>
        </tpls>
      </m>
      <n v="37" in="0">
        <tpls c="3">
          <tpl fld="0" item="0"/>
          <tpl fld="1" item="332"/>
          <tpl fld="4" item="25"/>
        </tpls>
      </n>
      <n v="17" in="0">
        <tpls c="3">
          <tpl fld="0" item="0"/>
          <tpl fld="1" item="383"/>
          <tpl fld="4" item="25"/>
        </tpls>
      </n>
      <n v="9" in="0">
        <tpls c="3">
          <tpl fld="0" item="0"/>
          <tpl fld="1" item="72"/>
          <tpl fld="4" item="25"/>
        </tpls>
      </n>
      <n v="2" in="0">
        <tpls c="3">
          <tpl fld="0" item="0"/>
          <tpl fld="1" item="277"/>
          <tpl fld="4" item="16"/>
        </tpls>
      </n>
      <n v="31" in="0">
        <tpls c="3">
          <tpl fld="0" item="0"/>
          <tpl fld="1" item="67"/>
          <tpl fld="4" item="21"/>
        </tpls>
      </n>
      <m in="0">
        <tpls c="3">
          <tpl fld="0" item="0"/>
          <tpl fld="1" item="46"/>
          <tpl fld="4" item="27"/>
        </tpls>
      </m>
      <n v="7" in="0">
        <tpls c="3">
          <tpl fld="0" item="0"/>
          <tpl fld="1" item="271"/>
          <tpl fld="4" item="27"/>
        </tpls>
      </n>
      <m in="0">
        <tpls c="3">
          <tpl fld="0" item="0"/>
          <tpl fld="1" item="74"/>
          <tpl fld="4" item="26"/>
        </tpls>
      </m>
      <n v="90" in="0">
        <tpls c="3">
          <tpl fld="0" item="0"/>
          <tpl fld="1" item="94"/>
          <tpl fld="4" item="25"/>
        </tpls>
      </n>
      <m in="0">
        <tpls c="3">
          <tpl fld="0" item="0"/>
          <tpl fld="1" item="66"/>
          <tpl fld="4" item="13"/>
        </tpls>
      </m>
      <m in="0">
        <tpls c="3">
          <tpl fld="0" item="0"/>
          <tpl fld="1" item="130"/>
          <tpl fld="4" item="18"/>
        </tpls>
      </m>
      <m in="0">
        <tpls c="3">
          <tpl fld="0" item="0"/>
          <tpl fld="1" item="408"/>
          <tpl fld="4" item="16"/>
        </tpls>
      </m>
      <m in="0">
        <tpls c="3">
          <tpl fld="0" item="0"/>
          <tpl fld="1" item="143"/>
          <tpl fld="4" item="15"/>
        </tpls>
      </m>
      <n v="13" in="0">
        <tpls c="3">
          <tpl fld="0" item="0"/>
          <tpl fld="1" item="195"/>
          <tpl fld="4" item="15"/>
        </tpls>
      </n>
      <m in="0">
        <tpls c="3">
          <tpl fld="0" item="0"/>
          <tpl fld="1" item="412"/>
          <tpl fld="4" item="17"/>
        </tpls>
      </m>
      <m in="0">
        <tpls c="3">
          <tpl fld="0" item="0"/>
          <tpl fld="1" item="137"/>
          <tpl fld="4" item="13"/>
        </tpls>
      </m>
      <n v="35" in="0">
        <tpls c="3">
          <tpl fld="0" item="0"/>
          <tpl fld="1" item="331"/>
          <tpl fld="4" item="19"/>
        </tpls>
      </n>
      <m in="0">
        <tpls c="3">
          <tpl fld="0" item="0"/>
          <tpl fld="1" item="158"/>
          <tpl fld="4" item="19"/>
        </tpls>
      </m>
      <m in="0">
        <tpls c="3">
          <tpl fld="0" item="0"/>
          <tpl fld="1" item="60"/>
          <tpl fld="4" item="19"/>
        </tpls>
      </m>
      <n v="3" in="0">
        <tpls c="3">
          <tpl fld="0" item="0"/>
          <tpl fld="1" item="302"/>
          <tpl fld="4" item="20"/>
        </tpls>
      </n>
      <m in="0">
        <tpls c="3">
          <tpl fld="0" item="0"/>
          <tpl fld="1" item="198"/>
          <tpl fld="4" item="20"/>
        </tpls>
      </m>
      <m in="1">
        <tpls c="3">
          <tpl fld="0" item="0"/>
          <tpl fld="1" item="164"/>
          <tpl fld="4" item="7"/>
        </tpls>
      </m>
      <n v="5" in="0">
        <tpls c="3">
          <tpl fld="0" item="0"/>
          <tpl fld="1" item="230"/>
          <tpl fld="4" item="1"/>
        </tpls>
      </n>
      <m in="0">
        <tpls c="3">
          <tpl fld="0" item="0"/>
          <tpl fld="1" item="384"/>
          <tpl fld="4" item="18"/>
        </tpls>
      </m>
      <m in="0">
        <tpls c="3">
          <tpl fld="0" item="0"/>
          <tpl fld="1" item="127"/>
          <tpl fld="4" item="13"/>
        </tpls>
      </m>
      <n v="13" in="0">
        <tpls c="3">
          <tpl fld="0" item="0"/>
          <tpl fld="1" item="2"/>
          <tpl fld="4" item="20"/>
        </tpls>
      </n>
      <n v="3" in="0">
        <tpls c="3">
          <tpl fld="0" item="0"/>
          <tpl fld="1" item="152"/>
          <tpl fld="4" item="18"/>
        </tpls>
      </n>
      <n v="5" in="0">
        <tpls c="3">
          <tpl fld="0" item="0"/>
          <tpl fld="1" item="427"/>
          <tpl fld="4" item="21"/>
        </tpls>
      </n>
      <m in="0">
        <tpls c="3">
          <tpl fld="0" item="0"/>
          <tpl fld="1" item="62"/>
          <tpl fld="4" item="21"/>
        </tpls>
      </m>
      <n v="145" in="0">
        <tpls c="3">
          <tpl fld="0" item="0"/>
          <tpl fld="1" item="117"/>
          <tpl fld="4" item="15"/>
        </tpls>
      </n>
      <m in="0">
        <tpls c="3">
          <tpl fld="0" item="0"/>
          <tpl fld="1" item="98"/>
          <tpl fld="4" item="23"/>
        </tpls>
      </m>
      <m in="0">
        <tpls c="3">
          <tpl fld="0" item="0"/>
          <tpl fld="1" item="408"/>
          <tpl fld="4" item="29"/>
        </tpls>
      </m>
      <n v="150" in="0">
        <tpls c="3">
          <tpl fld="0" item="0"/>
          <tpl fld="1" item="64"/>
          <tpl fld="4" item="27"/>
        </tpls>
      </n>
      <m in="0">
        <tpls c="3">
          <tpl fld="0" item="0"/>
          <tpl fld="1" item="398"/>
          <tpl fld="4" item="26"/>
        </tpls>
      </m>
      <n v="29" in="0">
        <tpls c="3">
          <tpl fld="0" item="0"/>
          <tpl fld="1" item="351"/>
          <tpl fld="4" item="26"/>
        </tpls>
      </n>
      <n v="18" in="0">
        <tpls c="3">
          <tpl fld="0" item="0"/>
          <tpl fld="1" item="281"/>
          <tpl fld="4" item="26"/>
        </tpls>
      </n>
      <n v="147" in="0">
        <tpls c="3">
          <tpl fld="0" item="0"/>
          <tpl fld="1" item="320"/>
          <tpl fld="4" item="15"/>
        </tpls>
      </n>
      <m in="0">
        <tpls c="3">
          <tpl fld="0" item="0"/>
          <tpl fld="1" item="198"/>
          <tpl fld="4" item="17"/>
        </tpls>
      </m>
      <m in="0">
        <tpls c="3">
          <tpl fld="0" item="0"/>
          <tpl fld="1" item="298"/>
          <tpl fld="4" item="19"/>
        </tpls>
      </m>
      <m in="0">
        <tpls c="3">
          <tpl fld="0" item="0"/>
          <tpl fld="1" item="263"/>
          <tpl fld="4" item="18"/>
        </tpls>
      </m>
      <n v="39" in="0">
        <tpls c="3">
          <tpl fld="0" item="0"/>
          <tpl fld="1" item="312"/>
          <tpl fld="4" item="21"/>
        </tpls>
      </n>
      <n v="3" in="0">
        <tpls c="3">
          <tpl fld="0" item="0"/>
          <tpl fld="1" item="161"/>
          <tpl fld="4" item="21"/>
        </tpls>
      </n>
      <m in="0">
        <tpls c="3">
          <tpl fld="0" item="0"/>
          <tpl fld="1" item="146"/>
          <tpl fld="4" item="21"/>
        </tpls>
      </m>
      <n v="3" in="0">
        <tpls c="3">
          <tpl fld="0" item="0"/>
          <tpl fld="1" item="314"/>
          <tpl fld="4" item="14"/>
        </tpls>
      </n>
      <m in="0">
        <tpls c="3">
          <tpl fld="0" item="0"/>
          <tpl fld="1" item="274"/>
          <tpl fld="4" item="16"/>
        </tpls>
      </m>
      <m in="0">
        <tpls c="3">
          <tpl fld="0" item="0"/>
          <tpl fld="1" item="102"/>
          <tpl fld="4" item="16"/>
        </tpls>
      </m>
      <n v="29" in="0">
        <tpls c="3">
          <tpl fld="0" item="0"/>
          <tpl fld="1" item="45"/>
          <tpl fld="4" item="16"/>
        </tpls>
      </n>
      <m in="0">
        <tpls c="3">
          <tpl fld="0" item="0"/>
          <tpl fld="1" item="134"/>
          <tpl fld="4" item="16"/>
        </tpls>
      </m>
      <n v="2" in="0">
        <tpls c="3">
          <tpl fld="0" item="0"/>
          <tpl fld="1" item="157"/>
          <tpl fld="4" item="15"/>
        </tpls>
      </n>
      <m in="0">
        <tpls c="3">
          <tpl fld="0" item="0"/>
          <tpl fld="1" item="102"/>
          <tpl fld="4" item="17"/>
        </tpls>
      </m>
      <m in="1">
        <tpls c="3">
          <tpl fld="0" item="0"/>
          <tpl fld="1" item="154"/>
          <tpl fld="4" item="7"/>
        </tpls>
      </m>
      <n v="12" in="0">
        <tpls c="3">
          <tpl fld="0" item="0"/>
          <tpl fld="1" item="287"/>
          <tpl fld="4" item="13"/>
        </tpls>
      </n>
      <n v="4" in="0">
        <tpls c="3">
          <tpl fld="0" item="0"/>
          <tpl fld="1" item="84"/>
          <tpl fld="4" item="19"/>
        </tpls>
      </n>
      <n v="30" in="0">
        <tpls c="3">
          <tpl fld="0" item="0"/>
          <tpl fld="1" item="104"/>
          <tpl fld="4" item="13"/>
        </tpls>
      </n>
      <m in="0">
        <tpls c="3">
          <tpl fld="0" item="0"/>
          <tpl fld="1" item="184"/>
          <tpl fld="4" item="18"/>
        </tpls>
      </m>
      <m in="0">
        <tpls c="3">
          <tpl fld="0" item="0"/>
          <tpl fld="1" item="22"/>
          <tpl fld="4" item="20"/>
        </tpls>
      </m>
      <m in="0">
        <tpls c="3">
          <tpl fld="0" item="0"/>
          <tpl fld="1" item="270"/>
          <tpl fld="4" item="20"/>
        </tpls>
      </m>
      <m in="0">
        <tpls c="3">
          <tpl fld="0" item="0"/>
          <tpl fld="1" item="416"/>
          <tpl fld="4" item="19"/>
        </tpls>
      </m>
      <m in="0">
        <tpls c="3">
          <tpl fld="0" item="0"/>
          <tpl fld="1" item="285"/>
          <tpl fld="4" item="21"/>
        </tpls>
      </m>
      <m in="0">
        <tpls c="3">
          <tpl fld="0" item="0"/>
          <tpl fld="1" item="162"/>
          <tpl fld="4" item="27"/>
        </tpls>
      </m>
      <m in="0">
        <tpls c="3">
          <tpl fld="0" item="0"/>
          <tpl fld="1" item="105"/>
          <tpl fld="4" item="27"/>
        </tpls>
      </m>
      <n v="5" in="0">
        <tpls c="3">
          <tpl fld="0" item="0"/>
          <tpl fld="1" item="333"/>
          <tpl fld="4" item="26"/>
        </tpls>
      </n>
      <m in="0">
        <tpls c="3">
          <tpl fld="0" item="0"/>
          <tpl fld="1" item="145"/>
          <tpl fld="4" item="25"/>
        </tpls>
      </m>
      <n v="254" in="0">
        <tpls c="3">
          <tpl fld="0" item="0"/>
          <tpl fld="1" item="42"/>
          <tpl fld="4" item="25"/>
        </tpls>
      </n>
      <n v="34" in="0">
        <tpls c="3">
          <tpl fld="0" item="0"/>
          <tpl fld="1" item="302"/>
          <tpl fld="4" item="24"/>
        </tpls>
      </n>
      <m in="0">
        <tpls c="3">
          <tpl fld="0" item="0"/>
          <tpl fld="1" item="330"/>
          <tpl fld="4" item="16"/>
        </tpls>
      </m>
      <m in="0">
        <tpls c="3">
          <tpl fld="0" item="0"/>
          <tpl fld="1" item="82"/>
          <tpl fld="4" item="18"/>
        </tpls>
      </m>
      <m in="0">
        <tpls c="3">
          <tpl fld="0" item="0"/>
          <tpl fld="1" item="157"/>
          <tpl fld="4" item="16"/>
        </tpls>
      </m>
      <m in="0">
        <tpls c="3">
          <tpl fld="0" item="0"/>
          <tpl fld="1" item="212"/>
          <tpl fld="4" item="17"/>
        </tpls>
      </m>
      <m in="0">
        <tpls c="3">
          <tpl fld="0" item="0"/>
          <tpl fld="1" item="240"/>
          <tpl fld="4" item="17"/>
        </tpls>
      </m>
      <m in="0">
        <tpls c="3">
          <tpl fld="0" item="0"/>
          <tpl fld="1" item="198"/>
          <tpl fld="4" item="19"/>
        </tpls>
      </m>
      <m in="0">
        <tpls c="3">
          <tpl fld="0" item="0"/>
          <tpl fld="1" item="423"/>
          <tpl fld="4" item="16"/>
        </tpls>
      </m>
      <m in="0">
        <tpls c="3">
          <tpl fld="0" item="0"/>
          <tpl fld="1" item="435"/>
          <tpl fld="4" item="19"/>
        </tpls>
      </m>
      <m in="0">
        <tpls c="3">
          <tpl fld="0" item="0"/>
          <tpl fld="1" item="15"/>
          <tpl fld="4" item="20"/>
        </tpls>
      </m>
      <n v="237" in="0">
        <tpls c="3">
          <tpl fld="0" item="0"/>
          <tpl fld="1" item="206"/>
          <tpl fld="4" item="20"/>
        </tpls>
      </n>
      <n v="12" in="0">
        <tpls c="3">
          <tpl fld="0" item="0"/>
          <tpl fld="1" item="113"/>
          <tpl fld="4" item="15"/>
        </tpls>
      </n>
      <m in="0">
        <tpls c="3">
          <tpl fld="0" item="0"/>
          <tpl fld="1" item="71"/>
          <tpl fld="4" item="12"/>
        </tpls>
      </m>
      <m in="0">
        <tpls c="3">
          <tpl fld="0" item="0"/>
          <tpl fld="1" item="112"/>
          <tpl fld="4" item="14"/>
        </tpls>
      </m>
      <n v="18" in="0">
        <tpls c="3">
          <tpl fld="0" item="0"/>
          <tpl fld="1" item="44"/>
          <tpl fld="4" item="14"/>
        </tpls>
      </n>
      <n v="2" in="0">
        <tpls c="3">
          <tpl fld="0" item="0"/>
          <tpl fld="1" item="356"/>
          <tpl fld="4" item="21"/>
        </tpls>
      </n>
      <m in="0">
        <tpls c="3">
          <tpl fld="0" item="0"/>
          <tpl fld="1" item="250"/>
          <tpl fld="4" item="21"/>
        </tpls>
      </m>
      <m in="0">
        <tpls c="3">
          <tpl fld="0" item="0"/>
          <tpl fld="1" item="321"/>
          <tpl fld="4" item="21"/>
        </tpls>
      </m>
      <m in="0">
        <tpls c="3">
          <tpl fld="0" item="0"/>
          <tpl fld="1" item="239"/>
          <tpl fld="4" item="18"/>
        </tpls>
      </m>
      <n v="4" in="0">
        <tpls c="3">
          <tpl fld="0" item="0"/>
          <tpl fld="1" item="200"/>
          <tpl fld="4" item="17"/>
        </tpls>
      </n>
      <m in="0">
        <tpls c="3">
          <tpl fld="0" item="0"/>
          <tpl fld="1" item="353"/>
          <tpl fld="4" item="25"/>
        </tpls>
      </m>
      <m in="0">
        <tpls c="3">
          <tpl fld="0" item="0"/>
          <tpl fld="1" item="96"/>
          <tpl fld="4" item="21"/>
        </tpls>
      </m>
      <m in="0">
        <tpls c="3">
          <tpl fld="0" item="0"/>
          <tpl fld="1" item="191"/>
          <tpl fld="4" item="23"/>
        </tpls>
      </m>
      <m in="0">
        <tpls c="3">
          <tpl fld="0" item="0"/>
          <tpl fld="1" item="457"/>
          <tpl fld="4" item="22"/>
        </tpls>
      </m>
      <m in="0">
        <tpls c="3">
          <tpl fld="0" item="0"/>
          <tpl fld="1" item="344"/>
          <tpl fld="4" item="22"/>
        </tpls>
      </m>
      <n v="39" in="0">
        <tpls c="3">
          <tpl fld="0" item="0"/>
          <tpl fld="1" item="329"/>
          <tpl fld="4" item="27"/>
        </tpls>
      </n>
      <m in="0">
        <tpls c="3">
          <tpl fld="0" item="0"/>
          <tpl fld="1" item="426"/>
          <tpl fld="4" item="14"/>
        </tpls>
      </m>
      <n v="17" in="0">
        <tpls c="3">
          <tpl fld="0" item="0"/>
          <tpl fld="1" item="65"/>
          <tpl fld="4" item="19"/>
        </tpls>
      </n>
      <n v="3" in="0">
        <tpls c="3">
          <tpl fld="0" item="0"/>
          <tpl fld="1" item="140"/>
          <tpl fld="4" item="18"/>
        </tpls>
      </n>
      <n v="3" in="0">
        <tpls c="3">
          <tpl fld="0" item="0"/>
          <tpl fld="1" item="236"/>
          <tpl fld="4" item="15"/>
        </tpls>
      </n>
      <n v="674" in="0">
        <tpls c="3">
          <tpl fld="0" item="0"/>
          <tpl fld="1" item="87"/>
          <tpl fld="4" item="20"/>
        </tpls>
      </n>
      <n v="24" in="0">
        <tpls c="3">
          <tpl fld="0" item="0"/>
          <tpl fld="1" item="405"/>
          <tpl fld="4" item="14"/>
        </tpls>
      </n>
      <m in="0">
        <tpls c="3">
          <tpl fld="0" item="0"/>
          <tpl fld="1" item="166"/>
          <tpl fld="4" item="13"/>
        </tpls>
      </m>
      <n v="165" in="0">
        <tpls c="3">
          <tpl fld="0" item="0"/>
          <tpl fld="1" item="64"/>
          <tpl fld="4" item="20"/>
        </tpls>
      </n>
      <m in="0">
        <tpls c="3">
          <tpl fld="0" item="0"/>
          <tpl fld="1" item="378"/>
          <tpl fld="4" item="16"/>
        </tpls>
      </m>
      <m in="0">
        <tpls c="3">
          <tpl fld="0" item="0"/>
          <tpl fld="1" item="433"/>
          <tpl fld="4" item="19"/>
        </tpls>
      </m>
      <n v="2" in="0">
        <tpls c="3">
          <tpl fld="0" item="0"/>
          <tpl fld="1" item="425"/>
          <tpl fld="4" item="21"/>
        </tpls>
      </n>
      <n v="1" in="0">
        <tpls c="3">
          <tpl fld="0" item="0"/>
          <tpl fld="1" item="417"/>
          <tpl fld="4" item="16"/>
        </tpls>
      </n>
      <m in="0">
        <tpls c="3">
          <tpl fld="0" item="0"/>
          <tpl fld="1" item="294"/>
          <tpl fld="4" item="16"/>
        </tpls>
      </m>
      <n v="337" in="0">
        <tpls c="3">
          <tpl fld="0" item="0"/>
          <tpl fld="1" item="273"/>
          <tpl fld="4" item="20"/>
        </tpls>
      </n>
      <n v="58" in="0">
        <tpls c="3">
          <tpl fld="0" item="0"/>
          <tpl fld="1" item="288"/>
          <tpl fld="4" item="17"/>
        </tpls>
      </n>
      <n v="70" in="0">
        <tpls c="3">
          <tpl fld="0" item="0"/>
          <tpl fld="1" item="54"/>
          <tpl fld="4" item="15"/>
        </tpls>
      </n>
      <m in="0">
        <tpls c="3">
          <tpl fld="0" item="0"/>
          <tpl fld="1" item="197"/>
          <tpl fld="4" item="21"/>
        </tpls>
      </m>
      <n v="1" in="0">
        <tpls c="3">
          <tpl fld="0" item="0"/>
          <tpl fld="1" item="116"/>
          <tpl fld="4" item="26"/>
        </tpls>
      </n>
      <n v="57" in="0">
        <tpls c="3">
          <tpl fld="0" item="0"/>
          <tpl fld="1" item="405"/>
          <tpl fld="4" item="23"/>
        </tpls>
      </n>
      <n v="22" in="0">
        <tpls c="3">
          <tpl fld="0" item="0"/>
          <tpl fld="1" item="85"/>
          <tpl fld="4" item="26"/>
        </tpls>
      </n>
      <m in="0">
        <tpls c="3">
          <tpl fld="0" item="0"/>
          <tpl fld="1" item="327"/>
          <tpl fld="4" item="26"/>
        </tpls>
      </m>
      <n v="144" in="0">
        <tpls c="3">
          <tpl fld="0" item="0"/>
          <tpl fld="1" item="77"/>
          <tpl fld="4" item="25"/>
        </tpls>
      </n>
      <m in="0">
        <tpls c="3">
          <tpl fld="0" item="0"/>
          <tpl fld="1" item="294"/>
          <tpl fld="4" item="12"/>
        </tpls>
      </m>
      <m in="0">
        <tpls c="3">
          <tpl fld="0" item="0"/>
          <tpl fld="1" item="79"/>
          <tpl fld="4" item="17"/>
        </tpls>
      </m>
      <m in="0">
        <tpls c="3">
          <tpl fld="0" item="0"/>
          <tpl fld="1" item="345"/>
          <tpl fld="4" item="29"/>
        </tpls>
      </m>
      <n v="456" in="0">
        <tpls c="3">
          <tpl fld="0" item="0"/>
          <tpl fld="1" item="347"/>
          <tpl fld="4" item="27"/>
        </tpls>
      </n>
      <m in="0">
        <tpls c="3">
          <tpl fld="0" item="0"/>
          <tpl fld="1" item="240"/>
          <tpl fld="4" item="22"/>
        </tpls>
      </m>
      <m in="0">
        <tpls c="3">
          <tpl fld="0" item="0"/>
          <tpl fld="1" item="235"/>
          <tpl fld="4" item="26"/>
        </tpls>
      </m>
      <n v="1" in="0">
        <tpls c="3">
          <tpl fld="0" item="0"/>
          <tpl fld="1" item="310"/>
          <tpl fld="4" item="15"/>
        </tpls>
      </n>
      <n v="6" in="0">
        <tpls c="3">
          <tpl fld="0" item="0"/>
          <tpl fld="1" item="75"/>
          <tpl fld="4" item="23"/>
        </tpls>
      </n>
      <n v="107" in="0">
        <tpls c="3">
          <tpl fld="0" item="0"/>
          <tpl fld="1" item="277"/>
          <tpl fld="4" item="25"/>
        </tpls>
      </n>
      <m in="0">
        <tpls c="3">
          <tpl fld="0" item="0"/>
          <tpl fld="1" item="426"/>
          <tpl fld="4" item="28"/>
        </tpls>
      </m>
      <n v="61" in="0">
        <tpls c="3">
          <tpl fld="0" item="0"/>
          <tpl fld="1" item="290"/>
          <tpl fld="4" item="23"/>
        </tpls>
      </n>
      <m in="0">
        <tpls c="3">
          <tpl fld="0" item="0"/>
          <tpl fld="1" item="188"/>
          <tpl fld="4" item="20"/>
        </tpls>
      </m>
      <n v="2689" in="0">
        <tpls c="3">
          <tpl fld="0" item="0"/>
          <tpl fld="1" item="107"/>
          <tpl fld="4" item="20"/>
        </tpls>
      </n>
      <m in="0">
        <tpls c="3">
          <tpl fld="0" item="0"/>
          <tpl fld="1" item="295"/>
          <tpl fld="4" item="22"/>
        </tpls>
      </m>
      <m in="0">
        <tpls c="3">
          <tpl fld="0" item="0"/>
          <tpl fld="1" item="81"/>
          <tpl fld="4" item="26"/>
        </tpls>
      </m>
      <n v="368" in="0">
        <tpls c="3">
          <tpl fld="0" item="0"/>
          <tpl fld="1" item="141"/>
          <tpl fld="4" item="15"/>
        </tpls>
      </n>
      <n v="124" in="0">
        <tpls c="3">
          <tpl fld="0" item="0"/>
          <tpl fld="1" item="339"/>
          <tpl fld="4" item="15"/>
        </tpls>
      </n>
      <m in="0">
        <tpls c="3">
          <tpl fld="0" item="0"/>
          <tpl fld="1" item="72"/>
          <tpl fld="4" item="28"/>
        </tpls>
      </m>
      <n v="15" in="0">
        <tpls c="3">
          <tpl fld="0" item="0"/>
          <tpl fld="1" item="287"/>
          <tpl fld="4" item="28"/>
        </tpls>
      </n>
      <m in="0">
        <tpls c="3">
          <tpl fld="0" item="0"/>
          <tpl fld="1" item="304"/>
          <tpl fld="4" item="16"/>
        </tpls>
      </m>
      <m in="0">
        <tpls c="3">
          <tpl fld="0" item="0"/>
          <tpl fld="1" item="13"/>
          <tpl fld="4" item="20"/>
        </tpls>
      </m>
      <m in="0">
        <tpls c="3">
          <tpl fld="0" item="0"/>
          <tpl fld="1" item="134"/>
          <tpl fld="4" item="26"/>
        </tpls>
      </m>
      <m in="0">
        <tpls c="3">
          <tpl fld="0" item="0"/>
          <tpl fld="1" item="416"/>
          <tpl fld="4" item="26"/>
        </tpls>
      </m>
      <m in="0">
        <tpls c="3">
          <tpl fld="0" item="0"/>
          <tpl fld="1" item="307"/>
          <tpl fld="4" item="21"/>
        </tpls>
      </m>
      <m in="0">
        <tpls c="3">
          <tpl fld="0" item="0"/>
          <tpl fld="1" item="176"/>
          <tpl fld="4" item="21"/>
        </tpls>
      </m>
      <n v="29" in="0">
        <tpls c="3">
          <tpl fld="0" item="0"/>
          <tpl fld="1" item="215"/>
          <tpl fld="4" item="28"/>
        </tpls>
      </n>
      <n v="5" in="0">
        <tpls c="3">
          <tpl fld="0" item="0"/>
          <tpl fld="1" item="394"/>
          <tpl fld="4" item="23"/>
        </tpls>
      </n>
      <m in="0">
        <tpls c="3">
          <tpl fld="0" item="0"/>
          <tpl fld="1" item="408"/>
          <tpl fld="4" item="18"/>
        </tpls>
      </m>
      <n v="1" in="0">
        <tpls c="3">
          <tpl fld="0" item="0"/>
          <tpl fld="1" item="343"/>
          <tpl fld="4" item="17"/>
        </tpls>
      </n>
      <m in="0">
        <tpls c="3">
          <tpl fld="0" item="0"/>
          <tpl fld="1" item="345"/>
          <tpl fld="4" item="24"/>
        </tpls>
      </m>
      <m in="0">
        <tpls c="3">
          <tpl fld="0" item="0"/>
          <tpl fld="1" item="355"/>
          <tpl fld="4" item="28"/>
        </tpls>
      </m>
      <n v="87" in="0">
        <tpls c="3">
          <tpl fld="0" item="0"/>
          <tpl fld="1" item="254"/>
          <tpl fld="4" item="23"/>
        </tpls>
      </n>
      <m in="0">
        <tpls c="3">
          <tpl fld="0" item="0"/>
          <tpl fld="1" item="259"/>
          <tpl fld="4" item="23"/>
        </tpls>
      </m>
      <n v="155" in="0">
        <tpls c="3">
          <tpl fld="0" item="0"/>
          <tpl fld="1" item="442"/>
          <tpl fld="4" item="29"/>
        </tpls>
      </n>
      <m in="0">
        <tpls c="3">
          <tpl fld="0" item="0"/>
          <tpl fld="1" item="363"/>
          <tpl fld="4" item="27"/>
        </tpls>
      </m>
      <n v="33" in="0">
        <tpls c="3">
          <tpl fld="0" item="0"/>
          <tpl fld="1" item="434"/>
          <tpl fld="4" item="15"/>
        </tpls>
      </n>
      <n v="2" in="0">
        <tpls c="3">
          <tpl fld="0" item="0"/>
          <tpl fld="1" item="61"/>
          <tpl fld="4" item="20"/>
        </tpls>
      </n>
      <n v="103" in="0">
        <tpls c="3">
          <tpl fld="0" item="0"/>
          <tpl fld="1" item="215"/>
          <tpl fld="4" item="24"/>
        </tpls>
      </n>
      <n v="46" in="0">
        <tpls c="3">
          <tpl fld="0" item="0"/>
          <tpl fld="1" item="84"/>
          <tpl fld="4" item="27"/>
        </tpls>
      </n>
      <n v="1" in="0">
        <tpls c="3">
          <tpl fld="0" item="0"/>
          <tpl fld="1" item="81"/>
          <tpl fld="4" item="24"/>
        </tpls>
      </n>
      <n v="1" in="0">
        <tpls c="3">
          <tpl fld="0" item="0"/>
          <tpl fld="1" item="271"/>
          <tpl fld="4" item="16"/>
        </tpls>
      </n>
      <n v="38" in="0">
        <tpls c="3">
          <tpl fld="0" item="0"/>
          <tpl fld="1" item="274"/>
          <tpl fld="4" item="14"/>
        </tpls>
      </n>
      <m in="0">
        <tpls c="3">
          <tpl fld="0" item="0"/>
          <tpl fld="1" item="66"/>
          <tpl fld="4" item="17"/>
        </tpls>
      </m>
      <m in="0">
        <tpls c="3">
          <tpl fld="0" item="0"/>
          <tpl fld="1" item="379"/>
          <tpl fld="4" item="29"/>
        </tpls>
      </m>
      <n v="13" in="0">
        <tpls c="3">
          <tpl fld="0" item="0"/>
          <tpl fld="1" item="208"/>
          <tpl fld="4" item="27"/>
        </tpls>
      </n>
      <m in="0">
        <tpls c="3">
          <tpl fld="0" item="0"/>
          <tpl fld="1" item="396"/>
          <tpl fld="4" item="22"/>
        </tpls>
      </m>
      <m in="0">
        <tpls c="3">
          <tpl fld="0" item="0"/>
          <tpl fld="1" item="413"/>
          <tpl fld="4" item="25"/>
        </tpls>
      </m>
      <m in="0">
        <tpls c="3">
          <tpl fld="0" item="0"/>
          <tpl fld="1" item="286"/>
          <tpl fld="4" item="25"/>
        </tpls>
      </m>
      <n v="10" in="0">
        <tpls c="3">
          <tpl fld="0" item="0"/>
          <tpl fld="1" item="136"/>
          <tpl fld="4" item="25"/>
        </tpls>
      </n>
      <m in="0">
        <tpls c="3">
          <tpl fld="0" item="0"/>
          <tpl fld="1" item="448"/>
          <tpl fld="4" item="18"/>
        </tpls>
      </m>
      <n v="1" in="0">
        <tpls c="3">
          <tpl fld="0" item="0"/>
          <tpl fld="1" item="325"/>
          <tpl fld="4" item="21"/>
        </tpls>
      </n>
      <n v="21" in="0">
        <tpls c="3">
          <tpl fld="0" item="0"/>
          <tpl fld="1" item="274"/>
          <tpl fld="4" item="27"/>
        </tpls>
      </n>
      <n v="145" in="0">
        <tpls c="3">
          <tpl fld="0" item="0"/>
          <tpl fld="1" item="226"/>
          <tpl fld="4" item="27"/>
        </tpls>
      </n>
      <m in="0">
        <tpls c="3">
          <tpl fld="0" item="0"/>
          <tpl fld="1" item="298"/>
          <tpl fld="4" item="26"/>
        </tpls>
      </m>
      <n v="266" in="0">
        <tpls c="3">
          <tpl fld="0" item="0"/>
          <tpl fld="1" item="39"/>
          <tpl fld="4" item="25"/>
        </tpls>
      </n>
      <n v="150" in="0">
        <tpls c="3">
          <tpl fld="0" item="0"/>
          <tpl fld="1" item="101"/>
          <tpl fld="4" item="25"/>
        </tpls>
      </n>
      <n v="3" in="0">
        <tpls c="3">
          <tpl fld="0" item="0"/>
          <tpl fld="1" item="58"/>
          <tpl fld="4" item="24"/>
        </tpls>
      </n>
      <n v="3" in="0">
        <tpls c="3">
          <tpl fld="0" item="0"/>
          <tpl fld="1" item="252"/>
          <tpl fld="4" item="19"/>
        </tpls>
      </n>
      <n v="57" in="0">
        <tpls c="3">
          <tpl fld="0" item="0"/>
          <tpl fld="1" item="4"/>
          <tpl fld="4" item="20"/>
        </tpls>
      </n>
      <m in="0">
        <tpls c="3">
          <tpl fld="0" item="0"/>
          <tpl fld="1" item="100"/>
          <tpl fld="4" item="26"/>
        </tpls>
      </m>
      <n v="12" in="0">
        <tpls c="3">
          <tpl fld="0" item="0"/>
          <tpl fld="1" item="32"/>
          <tpl fld="4" item="26"/>
        </tpls>
      </n>
      <n v="42" in="0">
        <tpls c="3">
          <tpl fld="0" item="0"/>
          <tpl fld="1" item="347"/>
          <tpl fld="4" item="21"/>
        </tpls>
      </n>
      <m in="0">
        <tpls c="3">
          <tpl fld="0" item="0"/>
          <tpl fld="1" item="136"/>
          <tpl fld="4" item="21"/>
        </tpls>
      </m>
      <n v="26" in="0">
        <tpls c="3">
          <tpl fld="0" item="0"/>
          <tpl fld="1" item="281"/>
          <tpl fld="4" item="28"/>
        </tpls>
      </n>
      <n v="12" in="0">
        <tpls c="3">
          <tpl fld="0" item="0"/>
          <tpl fld="1" item="337"/>
          <tpl fld="4" item="28"/>
        </tpls>
      </n>
      <n v="3" in="0">
        <tpls c="3">
          <tpl fld="0" item="0"/>
          <tpl fld="1" item="390"/>
          <tpl fld="4" item="18"/>
        </tpls>
      </n>
      <m in="0">
        <tpls c="3">
          <tpl fld="0" item="0"/>
          <tpl fld="1" item="289"/>
          <tpl fld="4" item="20"/>
        </tpls>
      </m>
      <m in="0">
        <tpls c="3">
          <tpl fld="0" item="0"/>
          <tpl fld="1" item="110"/>
          <tpl fld="4" item="26"/>
        </tpls>
      </m>
      <n v="33" in="0">
        <tpls c="3">
          <tpl fld="0" item="0"/>
          <tpl fld="1" item="425"/>
          <tpl fld="4" item="15"/>
        </tpls>
      </n>
      <m in="0">
        <tpls c="3">
          <tpl fld="0" item="0"/>
          <tpl fld="1" item="190"/>
          <tpl fld="4" item="24"/>
        </tpls>
      </m>
      <n v="41" in="0">
        <tpls c="3">
          <tpl fld="0" item="0"/>
          <tpl fld="1" item="28"/>
          <tpl fld="4" item="27"/>
        </tpls>
      </n>
      <m in="0">
        <tpls c="3">
          <tpl fld="0" item="0"/>
          <tpl fld="1" item="304"/>
          <tpl fld="4" item="24"/>
        </tpls>
      </m>
      <n v="18" in="0">
        <tpls c="3">
          <tpl fld="0" item="0"/>
          <tpl fld="1" item="456"/>
          <tpl fld="4" item="20"/>
        </tpls>
      </n>
      <n v="32" in="0">
        <tpls c="3">
          <tpl fld="0" item="0"/>
          <tpl fld="1" item="400"/>
          <tpl fld="4" item="19"/>
        </tpls>
      </n>
      <m in="0">
        <tpls c="3">
          <tpl fld="0" item="0"/>
          <tpl fld="1" item="392"/>
          <tpl fld="4" item="17"/>
        </tpls>
      </m>
      <m in="0">
        <tpls c="3">
          <tpl fld="0" item="0"/>
          <tpl fld="1" item="259"/>
          <tpl fld="4" item="29"/>
        </tpls>
      </m>
      <m in="0">
        <tpls c="3">
          <tpl fld="0" item="0"/>
          <tpl fld="1" item="398"/>
          <tpl fld="4" item="27"/>
        </tpls>
      </m>
      <n v="4" in="0">
        <tpls c="3">
          <tpl fld="0" item="0"/>
          <tpl fld="1" item="77"/>
          <tpl fld="4" item="26"/>
        </tpls>
      </n>
      <n v="4" in="0">
        <tpls c="3">
          <tpl fld="0" item="0"/>
          <tpl fld="1" item="61"/>
          <tpl fld="4" item="25"/>
        </tpls>
      </n>
      <m in="0">
        <tpls c="3">
          <tpl fld="0" item="0"/>
          <tpl fld="1" item="340"/>
          <tpl fld="4" item="25"/>
        </tpls>
      </m>
      <m in="0">
        <tpls c="3">
          <tpl fld="0" item="0"/>
          <tpl fld="1" item="247"/>
          <tpl fld="4" item="25"/>
        </tpls>
      </m>
      <n v="4" in="0">
        <tpls c="3">
          <tpl fld="0" item="0"/>
          <tpl fld="1" item="209"/>
          <tpl fld="4" item="13"/>
        </tpls>
      </n>
      <n v="13" in="0">
        <tpls c="3">
          <tpl fld="0" item="0"/>
          <tpl fld="1" item="279"/>
          <tpl fld="4" item="21"/>
        </tpls>
      </n>
      <m in="0">
        <tpls c="3">
          <tpl fld="0" item="0"/>
          <tpl fld="1" item="229"/>
          <tpl fld="4" item="27"/>
        </tpls>
      </m>
      <n v="1" in="0">
        <tpls c="3">
          <tpl fld="0" item="0"/>
          <tpl fld="1" item="425"/>
          <tpl fld="4" item="22"/>
        </tpls>
      </n>
      <m in="0">
        <tpls c="3">
          <tpl fld="0" item="0"/>
          <tpl fld="1" item="5"/>
          <tpl fld="4" item="26"/>
        </tpls>
      </m>
      <m in="0">
        <tpls c="3">
          <tpl fld="0" item="0"/>
          <tpl fld="1" item="341"/>
          <tpl fld="4" item="25"/>
        </tpls>
      </m>
      <n v="25" in="0">
        <tpls c="3">
          <tpl fld="0" item="0"/>
          <tpl fld="1" item="195"/>
          <tpl fld="4" item="25"/>
        </tpls>
      </n>
      <n v="62" in="0">
        <tpls c="3">
          <tpl fld="0" item="0"/>
          <tpl fld="1" item="442"/>
          <tpl fld="4" item="24"/>
        </tpls>
      </n>
      <m in="0">
        <tpls c="3">
          <tpl fld="0" item="0"/>
          <tpl fld="1" item="354"/>
          <tpl fld="4" item="16"/>
        </tpls>
      </m>
      <m in="0">
        <tpls c="3">
          <tpl fld="0" item="0"/>
          <tpl fld="1" item="112"/>
          <tpl fld="4" item="20"/>
        </tpls>
      </m>
      <m in="0">
        <tpls c="3">
          <tpl fld="0" item="0"/>
          <tpl fld="1" item="169"/>
          <tpl fld="4" item="26"/>
        </tpls>
      </m>
      <m in="0">
        <tpls c="3">
          <tpl fld="0" item="0"/>
          <tpl fld="1" item="247"/>
          <tpl fld="4" item="26"/>
        </tpls>
      </m>
      <m in="0">
        <tpls c="3">
          <tpl fld="0" item="0"/>
          <tpl fld="1" item="70"/>
          <tpl fld="4" item="21"/>
        </tpls>
      </m>
      <n v="13" in="0">
        <tpls c="3">
          <tpl fld="0" item="0"/>
          <tpl fld="1" item="179"/>
          <tpl fld="4" item="28"/>
        </tpls>
      </n>
      <n v="36" in="0">
        <tpls c="3">
          <tpl fld="0" item="0"/>
          <tpl fld="1" item="114"/>
          <tpl fld="4" item="28"/>
        </tpls>
      </n>
      <n v="20" in="0">
        <tpls c="3">
          <tpl fld="0" item="0"/>
          <tpl fld="1" item="149"/>
          <tpl fld="4" item="19"/>
        </tpls>
      </n>
      <m in="0">
        <tpls c="3">
          <tpl fld="0" item="0"/>
          <tpl fld="1" item="308"/>
          <tpl fld="4" item="22"/>
        </tpls>
      </m>
      <n v="12" in="0">
        <tpls c="3">
          <tpl fld="0" item="0"/>
          <tpl fld="1" item="175"/>
          <tpl fld="4" item="28"/>
        </tpls>
      </n>
      <m in="0">
        <tpls c="3">
          <tpl fld="0" item="0"/>
          <tpl fld="1" item="218"/>
          <tpl fld="4" item="26"/>
        </tpls>
      </m>
      <n v="4" in="0">
        <tpls c="3">
          <tpl fld="0" item="0"/>
          <tpl fld="1" item="246"/>
          <tpl fld="4" item="26"/>
        </tpls>
      </n>
      <n v="144" in="0">
        <tpls c="3">
          <tpl fld="0" item="0"/>
          <tpl fld="1" item="103"/>
          <tpl fld="4" item="25"/>
        </tpls>
      </n>
      <n v="20" in="0">
        <tpls c="3">
          <tpl fld="0" item="0"/>
          <tpl fld="1" item="139"/>
          <tpl fld="4" item="21"/>
        </tpls>
      </n>
      <m in="0">
        <tpls c="3">
          <tpl fld="0" item="0"/>
          <tpl fld="1" item="278"/>
          <tpl fld="4" item="28"/>
        </tpls>
      </m>
      <n v="335" in="0">
        <tpls c="3">
          <tpl fld="0" item="0"/>
          <tpl fld="1" item="117"/>
          <tpl fld="4" item="23"/>
        </tpls>
      </n>
      <n v="1" in="0">
        <tpls c="3">
          <tpl fld="0" item="0"/>
          <tpl fld="1" item="37"/>
          <tpl fld="4" item="29"/>
        </tpls>
      </n>
      <n v="13" in="0">
        <tpls c="3">
          <tpl fld="0" item="0"/>
          <tpl fld="1" item="256"/>
          <tpl fld="4" item="22"/>
        </tpls>
      </n>
      <n v="8" in="0">
        <tpls c="3">
          <tpl fld="0" item="0"/>
          <tpl fld="1" item="182"/>
          <tpl fld="4" item="22"/>
        </tpls>
      </n>
      <m in="0">
        <tpls c="3">
          <tpl fld="0" item="0"/>
          <tpl fld="1" item="143"/>
          <tpl fld="4" item="22"/>
        </tpls>
      </m>
      <m in="0">
        <tpls c="3">
          <tpl fld="0" item="0"/>
          <tpl fld="1" item="283"/>
          <tpl fld="4" item="1"/>
        </tpls>
      </m>
      <m in="0">
        <tpls c="3">
          <tpl fld="0" item="0"/>
          <tpl fld="1" item="300"/>
          <tpl fld="4" item="20"/>
        </tpls>
      </m>
      <m in="0">
        <tpls c="3">
          <tpl fld="0" item="0"/>
          <tpl fld="1" item="413"/>
          <tpl fld="4" item="23"/>
        </tpls>
      </m>
      <m in="0">
        <tpls c="3">
          <tpl fld="0" item="0"/>
          <tpl fld="1" item="396"/>
          <tpl fld="4" item="23"/>
        </tpls>
      </m>
      <n v="379" in="0">
        <tpls c="3">
          <tpl fld="0" item="0"/>
          <tpl fld="1" item="230"/>
          <tpl fld="4" item="27"/>
        </tpls>
      </n>
      <m in="0">
        <tpls c="3">
          <tpl fld="0" item="0"/>
          <tpl fld="1" item="223"/>
          <tpl fld="4" item="22"/>
        </tpls>
      </m>
      <m in="0">
        <tpls c="3">
          <tpl fld="0" item="0"/>
          <tpl fld="1" item="129"/>
          <tpl fld="4" item="22"/>
        </tpls>
      </m>
      <n v="2" in="0">
        <tpls c="3">
          <tpl fld="0" item="0"/>
          <tpl fld="1" item="94"/>
          <tpl fld="4" item="26"/>
        </tpls>
      </n>
      <m in="0">
        <tpls c="3">
          <tpl fld="0" item="0"/>
          <tpl fld="1" item="298"/>
          <tpl fld="4" item="18"/>
        </tpls>
      </m>
      <m in="0">
        <tpls c="3">
          <tpl fld="0" item="0"/>
          <tpl fld="1" item="349"/>
          <tpl fld="4" item="21"/>
        </tpls>
      </m>
      <n v="36" in="0">
        <tpls c="3">
          <tpl fld="0" item="0"/>
          <tpl fld="1" item="103"/>
          <tpl fld="4" item="27"/>
        </tpls>
      </n>
      <m in="0">
        <tpls c="3">
          <tpl fld="0" item="0"/>
          <tpl fld="1" item="440"/>
          <tpl fld="4" item="27"/>
        </tpls>
      </m>
      <m in="0">
        <tpls c="3">
          <tpl fld="0" item="0"/>
          <tpl fld="1" item="13"/>
          <tpl fld="4" item="26"/>
        </tpls>
      </m>
      <n v="89" in="0">
        <tpls c="3">
          <tpl fld="0" item="0"/>
          <tpl fld="1" item="275"/>
          <tpl fld="4" item="25"/>
        </tpls>
      </n>
      <n v="449" in="0">
        <tpls c="3">
          <tpl fld="0" item="0"/>
          <tpl fld="1" item="409"/>
          <tpl fld="4" item="25"/>
        </tpls>
      </n>
      <n v="27" in="0">
        <tpls c="3">
          <tpl fld="0" item="0"/>
          <tpl fld="1" item="8"/>
          <tpl fld="4" item="24"/>
        </tpls>
      </n>
      <n v="8" in="0">
        <tpls c="3">
          <tpl fld="0" item="0"/>
          <tpl fld="1" item="138"/>
          <tpl fld="4" item="13"/>
        </tpls>
      </n>
      <m in="0">
        <tpls c="3">
          <tpl fld="0" item="0"/>
          <tpl fld="1" item="119"/>
          <tpl fld="4" item="21"/>
        </tpls>
      </m>
      <n v="15" in="0">
        <tpls c="3">
          <tpl fld="0" item="0"/>
          <tpl fld="1" item="17"/>
          <tpl fld="4" item="27"/>
        </tpls>
      </n>
      <n v="1" in="0">
        <tpls c="3">
          <tpl fld="0" item="0"/>
          <tpl fld="1" item="296"/>
          <tpl fld="4" item="22"/>
        </tpls>
      </n>
      <n v="12" in="0">
        <tpls c="3">
          <tpl fld="0" item="0"/>
          <tpl fld="1" item="139"/>
          <tpl fld="4" item="26"/>
        </tpls>
      </n>
      <m in="0">
        <tpls c="3">
          <tpl fld="0" item="0"/>
          <tpl fld="1" item="399"/>
          <tpl fld="4" item="25"/>
        </tpls>
      </m>
      <n v="88" in="0">
        <tpls c="3">
          <tpl fld="0" item="0"/>
          <tpl fld="1" item="199"/>
          <tpl fld="4" item="25"/>
        </tpls>
      </n>
      <n v="549" in="0">
        <tpls c="3">
          <tpl fld="0" item="0"/>
          <tpl fld="1" item="331"/>
          <tpl fld="4" item="24"/>
        </tpls>
      </n>
      <m in="0">
        <tpls c="3">
          <tpl fld="0" item="0"/>
          <tpl fld="1" item="34"/>
          <tpl fld="4" item="18"/>
        </tpls>
      </m>
      <n v="15" in="0">
        <tpls c="3">
          <tpl fld="0" item="0"/>
          <tpl fld="1" item="27"/>
          <tpl fld="4" item="23"/>
        </tpls>
      </n>
      <n v="23" in="0">
        <tpls c="3">
          <tpl fld="0" item="0"/>
          <tpl fld="1" item="377"/>
          <tpl fld="4" item="26"/>
        </tpls>
      </n>
      <n v="4" in="0">
        <tpls c="3">
          <tpl fld="0" item="0"/>
          <tpl fld="1" item="395"/>
          <tpl fld="4" item="28"/>
        </tpls>
      </n>
      <n v="1" in="0">
        <tpls c="3">
          <tpl fld="0" item="0"/>
          <tpl fld="1" item="16"/>
          <tpl fld="4" item="28"/>
        </tpls>
      </n>
      <n v="303" in="0">
        <tpls c="3">
          <tpl fld="0" item="0"/>
          <tpl fld="1" item="288"/>
          <tpl fld="4" item="14"/>
        </tpls>
      </n>
      <n v="3" in="0">
        <tpls c="3">
          <tpl fld="0" item="0"/>
          <tpl fld="1" item="365"/>
          <tpl fld="4" item="18"/>
        </tpls>
      </n>
      <n v="3" in="0">
        <tpls c="3">
          <tpl fld="0" item="0"/>
          <tpl fld="1" item="258"/>
          <tpl fld="4" item="22"/>
        </tpls>
      </n>
      <n v="6" in="0">
        <tpls c="3">
          <tpl fld="0" item="0"/>
          <tpl fld="1" item="337"/>
          <tpl fld="4" item="22"/>
        </tpls>
      </n>
      <m in="0">
        <tpls c="3">
          <tpl fld="0" item="0"/>
          <tpl fld="1" item="30"/>
          <tpl fld="4" item="25"/>
        </tpls>
      </m>
      <n v="83" in="0">
        <tpls c="3">
          <tpl fld="0" item="0"/>
          <tpl fld="1" item="262"/>
          <tpl fld="4" item="24"/>
        </tpls>
      </n>
      <n v="49" in="0">
        <tpls c="3">
          <tpl fld="0" item="0"/>
          <tpl fld="1" item="27"/>
          <tpl fld="4" item="15"/>
        </tpls>
      </n>
      <m in="0">
        <tpls c="3">
          <tpl fld="0" item="0"/>
          <tpl fld="1" item="37"/>
          <tpl fld="4" item="28"/>
        </tpls>
      </m>
      <n v="1" in="0">
        <tpls c="3">
          <tpl fld="0" item="0"/>
          <tpl fld="1" item="427"/>
          <tpl fld="4" item="18"/>
        </tpls>
      </n>
      <m in="0">
        <tpls c="3">
          <tpl fld="0" item="0"/>
          <tpl fld="1" item="373"/>
          <tpl fld="4" item="20"/>
        </tpls>
      </m>
      <n v="2" in="0">
        <tpls c="3">
          <tpl fld="0" item="0"/>
          <tpl fld="1" item="214"/>
          <tpl fld="4" item="22"/>
        </tpls>
      </n>
      <m in="0">
        <tpls c="3">
          <tpl fld="0" item="0"/>
          <tpl fld="1" item="211"/>
          <tpl fld="4" item="26"/>
        </tpls>
      </m>
      <n v="45" in="0">
        <tpls c="3">
          <tpl fld="0" item="0"/>
          <tpl fld="1" item="308"/>
          <tpl fld="4" item="20"/>
        </tpls>
      </n>
      <m in="0">
        <tpls c="3">
          <tpl fld="0" item="0"/>
          <tpl fld="1" item="265"/>
          <tpl fld="4" item="20"/>
        </tpls>
      </m>
      <n v="7" in="0">
        <tpls c="3">
          <tpl fld="0" item="0"/>
          <tpl fld="1" item="28"/>
          <tpl fld="4" item="21"/>
        </tpls>
      </n>
      <m in="0">
        <tpls c="3">
          <tpl fld="0" item="0"/>
          <tpl fld="1" item="232"/>
          <tpl fld="4" item="28"/>
        </tpls>
      </m>
      <m in="0">
        <tpls c="3">
          <tpl fld="0" item="0"/>
          <tpl fld="1" item="282"/>
          <tpl fld="4" item="16"/>
        </tpls>
      </m>
      <n v="3" in="0">
        <tpls c="3">
          <tpl fld="0" item="0"/>
          <tpl fld="1" item="126"/>
          <tpl fld="4" item="17"/>
        </tpls>
      </n>
      <m in="0">
        <tpls c="3">
          <tpl fld="0" item="0"/>
          <tpl fld="1" item="421"/>
          <tpl fld="4" item="25"/>
        </tpls>
      </m>
      <m in="0">
        <tpls c="3">
          <tpl fld="0" item="0"/>
          <tpl fld="1" item="352"/>
          <tpl fld="4" item="21"/>
        </tpls>
      </m>
      <n v="281" in="0">
        <tpls c="3">
          <tpl fld="0" item="0"/>
          <tpl fld="1" item="279"/>
          <tpl fld="4" item="23"/>
        </tpls>
      </n>
      <n v="223" in="0">
        <tpls c="3">
          <tpl fld="0" item="0"/>
          <tpl fld="1" item="182"/>
          <tpl fld="4" item="23"/>
        </tpls>
      </n>
      <m in="0">
        <tpls c="3">
          <tpl fld="0" item="0"/>
          <tpl fld="1" item="34"/>
          <tpl fld="4" item="23"/>
        </tpls>
      </m>
      <m in="0">
        <tpls c="3">
          <tpl fld="0" item="0"/>
          <tpl fld="1" item="376"/>
          <tpl fld="4" item="29"/>
        </tpls>
      </m>
      <n v="143" in="0">
        <tpls c="3">
          <tpl fld="0" item="0"/>
          <tpl fld="1" item="67"/>
          <tpl fld="4" item="15"/>
        </tpls>
      </n>
      <m in="0">
        <tpls c="3">
          <tpl fld="0" item="0"/>
          <tpl fld="1" item="228"/>
          <tpl fld="4" item="15"/>
        </tpls>
      </m>
      <n v="1160" in="0">
        <tpls c="3">
          <tpl fld="0" item="0"/>
          <tpl fld="1" item="331"/>
          <tpl fld="4" item="25"/>
        </tpls>
      </n>
      <n v="11" in="0">
        <tpls c="3">
          <tpl fld="0" item="0"/>
          <tpl fld="1" item="271"/>
          <tpl fld="4" item="29"/>
        </tpls>
      </n>
      <n v="279" in="0">
        <tpls c="3">
          <tpl fld="0" item="0"/>
          <tpl fld="1" item="400"/>
          <tpl fld="4" item="24"/>
        </tpls>
      </n>
      <n v="41" in="0">
        <tpls c="3">
          <tpl fld="0" item="0"/>
          <tpl fld="1" item="163"/>
          <tpl fld="4" item="24"/>
        </tpls>
      </n>
      <m in="0">
        <tpls c="3">
          <tpl fld="0" item="0"/>
          <tpl fld="1" item="1"/>
          <tpl fld="4" item="14"/>
        </tpls>
      </m>
      <n v="1" in="0">
        <tpls c="3">
          <tpl fld="0" item="0"/>
          <tpl fld="1" item="150"/>
          <tpl fld="4" item="17"/>
        </tpls>
      </n>
      <n v="63" in="0">
        <tpls c="3">
          <tpl fld="0" item="0"/>
          <tpl fld="1" item="219"/>
          <tpl fld="4" item="29"/>
        </tpls>
      </n>
      <n v="53" in="0">
        <tpls c="3">
          <tpl fld="0" item="0"/>
          <tpl fld="1" item="296"/>
          <tpl fld="4" item="29"/>
        </tpls>
      </n>
      <m in="0">
        <tpls c="3">
          <tpl fld="0" item="0"/>
          <tpl fld="1" item="349"/>
          <tpl fld="4" item="22"/>
        </tpls>
      </m>
      <n v="3" in="0">
        <tpls c="3">
          <tpl fld="0" item="0"/>
          <tpl fld="1" item="382"/>
          <tpl fld="4" item="26"/>
        </tpls>
      </n>
      <m in="0">
        <tpls c="3">
          <tpl fld="0" item="0"/>
          <tpl fld="1" item="236"/>
          <tpl fld="4" item="26"/>
        </tpls>
      </m>
      <n v="32" in="0">
        <tpls c="3">
          <tpl fld="0" item="0"/>
          <tpl fld="1" item="227"/>
          <tpl fld="4" item="25"/>
        </tpls>
      </n>
      <n v="19" in="0">
        <tpls c="3">
          <tpl fld="0" item="0"/>
          <tpl fld="1" item="417"/>
          <tpl fld="4" item="14"/>
        </tpls>
      </n>
      <m in="0">
        <tpls c="3">
          <tpl fld="0" item="0"/>
          <tpl fld="1" item="293"/>
          <tpl fld="4" item="17"/>
        </tpls>
      </m>
      <n v="5" in="0">
        <tpls c="3">
          <tpl fld="0" item="0"/>
          <tpl fld="1" item="81"/>
          <tpl fld="4" item="29"/>
        </tpls>
      </n>
      <m in="0">
        <tpls c="3">
          <tpl fld="0" item="0"/>
          <tpl fld="1" item="413"/>
          <tpl fld="4" item="27"/>
        </tpls>
      </m>
      <n v="3" in="0">
        <tpls c="3">
          <tpl fld="0" item="0"/>
          <tpl fld="1" item="101"/>
          <tpl fld="4" item="22"/>
        </tpls>
      </n>
      <m in="0">
        <tpls c="3">
          <tpl fld="0" item="0"/>
          <tpl fld="1" item="23"/>
          <tpl fld="4" item="25"/>
        </tpls>
      </m>
      <n v="230" in="0">
        <tpls c="3">
          <tpl fld="0" item="0"/>
          <tpl fld="1" item="174"/>
          <tpl fld="4" item="25"/>
        </tpls>
      </n>
      <n v="223" in="0">
        <tpls c="3">
          <tpl fld="0" item="0"/>
          <tpl fld="1" item="175"/>
          <tpl fld="4" item="25"/>
        </tpls>
      </n>
      <n v="1" in="0">
        <tpls c="3">
          <tpl fld="0" item="0"/>
          <tpl fld="1" item="225"/>
          <tpl fld="4" item="16"/>
        </tpls>
      </n>
      <m in="0">
        <tpls c="3">
          <tpl fld="0" item="0"/>
          <tpl fld="1" item="318"/>
          <tpl fld="4" item="20"/>
        </tpls>
      </m>
      <m in="0">
        <tpls c="3">
          <tpl fld="0" item="0"/>
          <tpl fld="1" item="109"/>
          <tpl fld="4" item="22"/>
        </tpls>
      </m>
      <n v="35" in="0">
        <tpls c="3">
          <tpl fld="0" item="0"/>
          <tpl fld="1" item="177"/>
          <tpl fld="4" item="26"/>
        </tpls>
      </n>
      <m in="0">
        <tpls c="3">
          <tpl fld="0" item="0"/>
          <tpl fld="1" item="131"/>
          <tpl fld="4" item="19"/>
        </tpls>
      </m>
      <m in="0">
        <tpls c="3">
          <tpl fld="0" item="0"/>
          <tpl fld="1" item="167"/>
          <tpl fld="4" item="16"/>
        </tpls>
      </m>
      <m in="0">
        <tpls c="3">
          <tpl fld="0" item="0"/>
          <tpl fld="1" item="340"/>
          <tpl fld="4" item="21"/>
        </tpls>
      </m>
      <m in="0">
        <tpls c="3">
          <tpl fld="0" item="0"/>
          <tpl fld="1" item="159"/>
          <tpl fld="4" item="28"/>
        </tpls>
      </m>
      <m in="0">
        <tpls c="3">
          <tpl fld="0" item="0"/>
          <tpl fld="1" item="5"/>
          <tpl fld="4" item="18"/>
        </tpls>
      </m>
      <n v="92" in="0">
        <tpls c="3">
          <tpl fld="0" item="0"/>
          <tpl fld="1" item="242"/>
          <tpl fld="4" item="20"/>
        </tpls>
      </n>
      <m in="0">
        <tpls c="3">
          <tpl fld="0" item="0"/>
          <tpl fld="1" item="6"/>
          <tpl fld="4" item="22"/>
        </tpls>
      </m>
      <n v="3" in="0">
        <tpls c="3">
          <tpl fld="0" item="0"/>
          <tpl fld="1" item="402"/>
          <tpl fld="4" item="17"/>
        </tpls>
      </n>
      <n v="10" in="0">
        <tpls c="3">
          <tpl fld="0" item="0"/>
          <tpl fld="1" item="354"/>
          <tpl fld="4" item="21"/>
        </tpls>
      </n>
      <m in="0">
        <tpls c="3">
          <tpl fld="0" item="0"/>
          <tpl fld="1" item="25"/>
          <tpl fld="4" item="22"/>
        </tpls>
      </m>
      <m in="0">
        <tpls c="3">
          <tpl fld="0" item="0"/>
          <tpl fld="1" item="358"/>
          <tpl fld="4" item="15"/>
        </tpls>
      </m>
      <m in="0">
        <tpls c="3">
          <tpl fld="0" item="0"/>
          <tpl fld="1" item="293"/>
          <tpl fld="4" item="28"/>
        </tpls>
      </m>
      <m in="0">
        <tpls c="3">
          <tpl fld="0" item="0"/>
          <tpl fld="1" item="163"/>
          <tpl fld="4" item="19"/>
        </tpls>
      </m>
      <m in="0">
        <tpls c="3">
          <tpl fld="0" item="0"/>
          <tpl fld="1" item="100"/>
          <tpl fld="4" item="21"/>
        </tpls>
      </m>
      <m in="0">
        <tpls c="3">
          <tpl fld="0" item="0"/>
          <tpl fld="1" item="78"/>
          <tpl fld="4" item="27"/>
        </tpls>
      </m>
      <n v="50" in="0">
        <tpls c="3">
          <tpl fld="0" item="0"/>
          <tpl fld="1" item="390"/>
          <tpl fld="4" item="22"/>
        </tpls>
      </n>
      <n v="3" in="0">
        <tpls c="3">
          <tpl fld="0" item="0"/>
          <tpl fld="1" item="274"/>
          <tpl fld="4" item="26"/>
        </tpls>
      </n>
      <n v="52" in="0">
        <tpls c="3">
          <tpl fld="0" item="0"/>
          <tpl fld="1" item="411"/>
          <tpl fld="4" item="24"/>
        </tpls>
      </n>
      <m in="0">
        <tpls c="3">
          <tpl fld="0" item="0"/>
          <tpl fld="1" item="315"/>
          <tpl fld="4" item="24"/>
        </tpls>
      </m>
      <m in="0">
        <tpls c="3">
          <tpl fld="0" item="0"/>
          <tpl fld="1" item="404"/>
          <tpl fld="4" item="13"/>
        </tpls>
      </m>
      <n v="242" in="0">
        <tpls c="3">
          <tpl fld="0" item="0"/>
          <tpl fld="1" item="266"/>
          <tpl fld="4" item="13"/>
        </tpls>
      </n>
      <m in="0">
        <tpls c="3">
          <tpl fld="0" item="0"/>
          <tpl fld="1" item="216"/>
          <tpl fld="4" item="13"/>
        </tpls>
      </m>
      <n v="6" in="0">
        <tpls c="3">
          <tpl fld="0" item="0"/>
          <tpl fld="1" item="302"/>
          <tpl fld="4" item="27"/>
        </tpls>
      </n>
      <n v="18" in="0">
        <tpls c="3">
          <tpl fld="0" item="0"/>
          <tpl fld="1" item="230"/>
          <tpl fld="4" item="22"/>
        </tpls>
      </n>
      <m in="0">
        <tpls c="3">
          <tpl fld="0" item="0"/>
          <tpl fld="1" item="260"/>
          <tpl fld="4" item="25"/>
        </tpls>
      </m>
      <n v="20" in="0">
        <tpls c="3">
          <tpl fld="0" item="0"/>
          <tpl fld="1" item="419"/>
          <tpl fld="4" item="24"/>
        </tpls>
      </n>
      <m in="0">
        <tpls c="3">
          <tpl fld="0" item="0"/>
          <tpl fld="1" item="371"/>
          <tpl fld="4" item="24"/>
        </tpls>
      </m>
      <n v="3" in="0">
        <tpls c="3">
          <tpl fld="0" item="0"/>
          <tpl fld="1" item="326"/>
          <tpl fld="4" item="21"/>
        </tpls>
      </n>
      <n v="17" in="0">
        <tpls c="3">
          <tpl fld="0" item="0"/>
          <tpl fld="1" item="65"/>
          <tpl fld="4" item="16"/>
        </tpls>
      </n>
      <n v="25" in="0">
        <tpls c="3">
          <tpl fld="0" item="0"/>
          <tpl fld="1" item="427"/>
          <tpl fld="4" item="15"/>
        </tpls>
      </n>
      <m in="0">
        <tpls c="3">
          <tpl fld="0" item="0"/>
          <tpl fld="1" item="315"/>
          <tpl fld="4" item="26"/>
        </tpls>
      </m>
      <m in="0">
        <tpls c="3">
          <tpl fld="0" item="0"/>
          <tpl fld="1" item="119"/>
          <tpl fld="4" item="25"/>
        </tpls>
      </m>
      <n v="8" in="0">
        <tpls c="3">
          <tpl fld="0" item="0"/>
          <tpl fld="1" item="442"/>
          <tpl fld="4" item="28"/>
        </tpls>
      </n>
      <m in="0">
        <tpls c="3">
          <tpl fld="0" item="0"/>
          <tpl fld="1" item="439"/>
          <tpl fld="4" item="28"/>
        </tpls>
      </m>
      <n v="4" in="0">
        <tpls c="3">
          <tpl fld="0" item="0"/>
          <tpl fld="1" item="136"/>
          <tpl fld="4" item="23"/>
        </tpls>
      </n>
      <m in="0">
        <tpls c="3">
          <tpl fld="0" item="0"/>
          <tpl fld="1" item="131"/>
          <tpl fld="4" item="21"/>
        </tpls>
      </m>
      <n v="8" in="0">
        <tpls c="3">
          <tpl fld="0" item="0"/>
          <tpl fld="1" item="391"/>
          <tpl fld="4" item="25"/>
        </tpls>
      </n>
      <n v="10" in="0">
        <tpls c="3">
          <tpl fld="0" item="0"/>
          <tpl fld="1" item="52"/>
          <tpl fld="4" item="27"/>
        </tpls>
      </n>
      <m in="0">
        <tpls c="3">
          <tpl fld="0" item="0"/>
          <tpl fld="1" item="26"/>
          <tpl fld="4" item="24"/>
        </tpls>
      </m>
      <n v="183" in="0">
        <tpls c="3">
          <tpl fld="0" item="0"/>
          <tpl fld="1" item="333"/>
          <tpl fld="4" item="24"/>
        </tpls>
      </n>
      <m in="0">
        <tpls c="3">
          <tpl fld="0" item="0"/>
          <tpl fld="1" item="293"/>
          <tpl fld="4" item="1"/>
        </tpls>
      </m>
      <n v="6" in="0">
        <tpls c="3">
          <tpl fld="0" item="0"/>
          <tpl fld="1" item="179"/>
          <tpl fld="4" item="22"/>
        </tpls>
      </n>
      <n v="1" in="0">
        <tpls c="3">
          <tpl fld="0" item="0"/>
          <tpl fld="1" item="289"/>
          <tpl fld="4" item="24"/>
        </tpls>
      </n>
      <m in="0">
        <tpls c="3">
          <tpl fld="0" item="0"/>
          <tpl fld="1" item="378"/>
          <tpl fld="4" item="22"/>
        </tpls>
      </m>
      <n v="13" in="0">
        <tpls c="3">
          <tpl fld="0" item="0"/>
          <tpl fld="1" item="150"/>
          <tpl fld="4" item="14"/>
        </tpls>
      </n>
      <n v="3" in="0">
        <tpls c="3">
          <tpl fld="0" item="0"/>
          <tpl fld="1" item="179"/>
          <tpl fld="4" item="16"/>
        </tpls>
      </n>
      <n v="3" in="0">
        <tpls c="3">
          <tpl fld="0" item="0"/>
          <tpl fld="1" item="45"/>
          <tpl fld="4" item="13"/>
        </tpls>
      </n>
      <m in="0">
        <tpls c="3">
          <tpl fld="0" item="0"/>
          <tpl fld="1" item="286"/>
          <tpl fld="4" item="21"/>
        </tpls>
      </m>
      <m in="0">
        <tpls c="3">
          <tpl fld="0" item="0"/>
          <tpl fld="1" item="362"/>
          <tpl fld="4" item="15"/>
        </tpls>
      </m>
      <m in="1">
        <tpls c="3">
          <tpl fld="0" item="0"/>
          <tpl fld="1" item="448"/>
          <tpl fld="4" item="7"/>
        </tpls>
      </m>
      <m in="0">
        <tpls c="3">
          <tpl fld="0" item="0"/>
          <tpl fld="1" item="398"/>
          <tpl fld="4" item="16"/>
        </tpls>
      </m>
      <n v="1" in="0">
        <tpls c="3">
          <tpl fld="0" item="0"/>
          <tpl fld="1" item="350"/>
          <tpl fld="4" item="13"/>
        </tpls>
      </n>
      <m in="0">
        <tpls c="3">
          <tpl fld="0" item="0"/>
          <tpl fld="1" item="169"/>
          <tpl fld="4" item="18"/>
        </tpls>
      </m>
      <n v="12" in="0">
        <tpls c="3">
          <tpl fld="0" item="0"/>
          <tpl fld="1" item="137"/>
          <tpl fld="4" item="15"/>
        </tpls>
      </n>
      <m in="0">
        <tpls c="3">
          <tpl fld="0" item="0"/>
          <tpl fld="1" item="268"/>
          <tpl fld="4" item="18"/>
        </tpls>
      </m>
      <m in="0">
        <tpls c="3">
          <tpl fld="0" item="0"/>
          <tpl fld="1" item="191"/>
          <tpl fld="4" item="19"/>
        </tpls>
      </m>
      <n v="2" in="0">
        <tpls c="3">
          <tpl fld="0" item="0"/>
          <tpl fld="1" item="99"/>
          <tpl fld="4" item="18"/>
        </tpls>
      </n>
      <m in="0">
        <tpls c="3">
          <tpl fld="0" item="0"/>
          <tpl fld="1" item="286"/>
          <tpl fld="4" item="15"/>
        </tpls>
      </m>
      <n v="22" in="0">
        <tpls c="3">
          <tpl fld="0" item="0"/>
          <tpl fld="1" item="372"/>
          <tpl fld="4" item="20"/>
        </tpls>
      </n>
      <m in="0">
        <tpls c="3">
          <tpl fld="0" item="0"/>
          <tpl fld="1" item="355"/>
          <tpl fld="4" item="18"/>
        </tpls>
      </m>
      <n v="53" in="0">
        <tpls c="3">
          <tpl fld="0" item="0"/>
          <tpl fld="1" item="194"/>
          <tpl fld="4" item="20"/>
        </tpls>
      </n>
      <m in="0">
        <tpls c="3">
          <tpl fld="0" item="0"/>
          <tpl fld="1" item="245"/>
          <tpl fld="4" item="27"/>
        </tpls>
      </m>
      <n v="18" in="0">
        <tpls c="3">
          <tpl fld="0" item="0"/>
          <tpl fld="1" item="429"/>
          <tpl fld="4" item="25"/>
        </tpls>
      </n>
      <n v="78" in="0">
        <tpls c="3">
          <tpl fld="0" item="0"/>
          <tpl fld="1" item="431"/>
          <tpl fld="4" item="25"/>
        </tpls>
      </n>
      <n v="111" in="0">
        <tpls c="3">
          <tpl fld="0" item="0"/>
          <tpl fld="1" item="319"/>
          <tpl fld="4" item="24"/>
        </tpls>
      </n>
      <m in="0">
        <tpls c="3">
          <tpl fld="0" item="0"/>
          <tpl fld="1" item="284"/>
          <tpl fld="4" item="19"/>
        </tpls>
      </m>
      <m in="0">
        <tpls c="3">
          <tpl fld="0" item="0"/>
          <tpl fld="1" item="361"/>
          <tpl fld="4" item="21"/>
        </tpls>
      </m>
      <n v="30" in="0">
        <tpls c="3">
          <tpl fld="0" item="0"/>
          <tpl fld="1" item="335"/>
          <tpl fld="4" item="27"/>
        </tpls>
      </n>
      <n v="3" in="0">
        <tpls c="3">
          <tpl fld="0" item="0"/>
          <tpl fld="1" item="326"/>
          <tpl fld="4" item="22"/>
        </tpls>
      </n>
      <n v="8" in="0">
        <tpls c="3">
          <tpl fld="0" item="0"/>
          <tpl fld="1" item="424"/>
          <tpl fld="4" item="26"/>
        </tpls>
      </n>
      <m in="0">
        <tpls c="3">
          <tpl fld="0" item="0"/>
          <tpl fld="1" item="12"/>
          <tpl fld="4" item="24"/>
        </tpls>
      </m>
      <n v="19" in="0">
        <tpls c="3">
          <tpl fld="0" item="0"/>
          <tpl fld="1" item="125"/>
          <tpl fld="4" item="21"/>
        </tpls>
      </n>
      <m in="0">
        <tpls c="3">
          <tpl fld="0" item="0"/>
          <tpl fld="1" item="451"/>
          <tpl fld="4" item="27"/>
        </tpls>
      </m>
      <m in="0">
        <tpls c="3">
          <tpl fld="0" item="0"/>
          <tpl fld="1" item="338"/>
          <tpl fld="4" item="28"/>
        </tpls>
      </m>
      <n v="5" in="0">
        <tpls c="3">
          <tpl fld="0" item="0"/>
          <tpl fld="1" item="195"/>
          <tpl fld="4" item="29"/>
        </tpls>
      </n>
      <n v="434" in="0">
        <tpls c="3">
          <tpl fld="0" item="0"/>
          <tpl fld="1" item="333"/>
          <tpl fld="4" item="29"/>
        </tpls>
      </n>
      <n v="4" in="0">
        <tpls c="3">
          <tpl fld="0" item="0"/>
          <tpl fld="1" item="117"/>
          <tpl fld="4" item="18"/>
        </tpls>
      </n>
      <n v="13" in="0">
        <tpls c="3">
          <tpl fld="0" item="0"/>
          <tpl fld="1" item="167"/>
          <tpl fld="4" item="15"/>
        </tpls>
      </n>
      <m in="0">
        <tpls c="3">
          <tpl fld="0" item="0"/>
          <tpl fld="1" item="69"/>
          <tpl fld="4" item="25"/>
        </tpls>
      </m>
      <n v="92" in="0">
        <tpls c="3">
          <tpl fld="0" item="0"/>
          <tpl fld="1" item="418"/>
          <tpl fld="4" item="25"/>
        </tpls>
      </n>
      <m in="0">
        <tpls c="3">
          <tpl fld="0" item="0"/>
          <tpl fld="1" item="74"/>
          <tpl fld="4" item="28"/>
        </tpls>
      </m>
      <m in="0">
        <tpls c="3">
          <tpl fld="0" item="0"/>
          <tpl fld="1" item="276"/>
          <tpl fld="4" item="28"/>
        </tpls>
      </m>
      <n v="42" in="0">
        <tpls c="3">
          <tpl fld="0" item="0"/>
          <tpl fld="1" item="52"/>
          <tpl fld="4" item="23"/>
        </tpls>
      </n>
      <n v="5" in="0">
        <tpls c="3">
          <tpl fld="0" item="0"/>
          <tpl fld="1" item="66"/>
          <tpl fld="4" item="23"/>
        </tpls>
      </n>
      <n v="15" in="0">
        <tpls c="3">
          <tpl fld="0" item="0"/>
          <tpl fld="1" item="262"/>
          <tpl fld="4" item="16"/>
        </tpls>
      </n>
      <m in="0">
        <tpls c="3">
          <tpl fld="0" item="0"/>
          <tpl fld="1" item="235"/>
          <tpl fld="4" item="17"/>
        </tpls>
      </m>
      <m in="0">
        <tpls c="3">
          <tpl fld="0" item="0"/>
          <tpl fld="1" item="1"/>
          <tpl fld="4" item="25"/>
        </tpls>
      </m>
      <n v="3" in="0">
        <tpls c="3">
          <tpl fld="0" item="0"/>
          <tpl fld="1" item="418"/>
          <tpl fld="4" item="17"/>
        </tpls>
      </n>
      <n v="13" in="0">
        <tpls c="3">
          <tpl fld="0" item="0"/>
          <tpl fld="1" item="162"/>
          <tpl fld="4" item="23"/>
        </tpls>
      </n>
      <m in="0">
        <tpls c="3">
          <tpl fld="0" item="0"/>
          <tpl fld="1" item="192"/>
          <tpl fld="4" item="23"/>
        </tpls>
      </m>
      <m in="0">
        <tpls c="3">
          <tpl fld="0" item="0"/>
          <tpl fld="1" item="145"/>
          <tpl fld="4" item="23"/>
        </tpls>
      </m>
      <m in="0">
        <tpls c="3">
          <tpl fld="0" item="0"/>
          <tpl fld="1" item="128"/>
          <tpl fld="4" item="29"/>
        </tpls>
      </m>
      <m in="0">
        <tpls c="3">
          <tpl fld="0" item="0"/>
          <tpl fld="1" item="285"/>
          <tpl fld="4" item="18"/>
        </tpls>
      </m>
      <m in="0">
        <tpls c="3">
          <tpl fld="0" item="0"/>
          <tpl fld="1" item="119"/>
          <tpl fld="4" item="15"/>
        </tpls>
      </m>
      <m in="0">
        <tpls c="3">
          <tpl fld="0" item="0"/>
          <tpl fld="1" item="2"/>
          <tpl fld="4" item="28"/>
        </tpls>
      </m>
      <n v="5" in="0">
        <tpls c="3">
          <tpl fld="0" item="0"/>
          <tpl fld="1" item="298"/>
          <tpl fld="4" item="23"/>
        </tpls>
      </n>
      <m in="0">
        <tpls c="3">
          <tpl fld="0" item="0"/>
          <tpl fld="1" item="211"/>
          <tpl fld="4" item="27"/>
        </tpls>
      </m>
      <m in="0">
        <tpls c="3">
          <tpl fld="0" item="0"/>
          <tpl fld="1" item="60"/>
          <tpl fld="4" item="27"/>
        </tpls>
      </m>
      <n v="245" in="0">
        <tpls c="3">
          <tpl fld="0" item="0"/>
          <tpl fld="1" item="49"/>
          <tpl fld="4" item="27"/>
        </tpls>
      </n>
      <n v="6" in="0">
        <tpls c="3">
          <tpl fld="0" item="0"/>
          <tpl fld="1" item="163"/>
          <tpl fld="4" item="22"/>
        </tpls>
      </n>
      <m in="0">
        <tpls c="3">
          <tpl fld="0" item="0"/>
          <tpl fld="1" item="78"/>
          <tpl fld="4" item="15"/>
        </tpls>
      </m>
      <m in="0">
        <tpls c="3">
          <tpl fld="0" item="0"/>
          <tpl fld="1" item="224"/>
          <tpl fld="4" item="21"/>
        </tpls>
      </m>
      <m in="0">
        <tpls c="3">
          <tpl fld="0" item="0"/>
          <tpl fld="1" item="435"/>
          <tpl fld="4" item="28"/>
        </tpls>
      </m>
      <m in="0">
        <tpls c="3">
          <tpl fld="0" item="0"/>
          <tpl fld="1" item="433"/>
          <tpl fld="4" item="22"/>
        </tpls>
      </m>
      <m in="0">
        <tpls c="3">
          <tpl fld="0" item="0"/>
          <tpl fld="1" item="259"/>
          <tpl fld="4" item="21"/>
        </tpls>
      </m>
      <m in="0">
        <tpls c="3">
          <tpl fld="0" item="0"/>
          <tpl fld="1" item="50"/>
          <tpl fld="4" item="28"/>
        </tpls>
      </m>
      <m in="0">
        <tpls c="3">
          <tpl fld="0" item="0"/>
          <tpl fld="1" item="36"/>
          <tpl fld="4" item="13"/>
        </tpls>
      </m>
      <n v="1" in="0">
        <tpls c="3">
          <tpl fld="0" item="0"/>
          <tpl fld="1" item="18"/>
          <tpl fld="4" item="13"/>
        </tpls>
      </n>
      <n v="66" in="0">
        <tpls c="3">
          <tpl fld="0" item="0"/>
          <tpl fld="1" item="148"/>
          <tpl fld="4" item="27"/>
        </tpls>
      </n>
      <m in="0">
        <tpls c="3">
          <tpl fld="0" item="0"/>
          <tpl fld="1" item="408"/>
          <tpl fld="4" item="22"/>
        </tpls>
      </m>
      <m in="0">
        <tpls c="3">
          <tpl fld="0" item="0"/>
          <tpl fld="1" item="164"/>
          <tpl fld="4" item="25"/>
        </tpls>
      </m>
      <n v="7" in="0">
        <tpls c="3">
          <tpl fld="0" item="0"/>
          <tpl fld="2" item="0"/>
          <tpl fld="4" item="24"/>
        </tpls>
      </n>
      <m in="0">
        <tpls c="3">
          <tpl fld="0" item="0"/>
          <tpl fld="1" item="74"/>
          <tpl fld="4" item="24"/>
        </tpls>
      </m>
      <m in="0">
        <tpls c="3">
          <tpl fld="0" item="0"/>
          <tpl fld="1" item="346"/>
          <tpl fld="4" item="17"/>
        </tpls>
      </m>
      <m in="0">
        <tpls c="3">
          <tpl fld="0" item="0"/>
          <tpl fld="1" item="238"/>
          <tpl fld="4" item="14"/>
        </tpls>
      </m>
      <m in="0">
        <tpls c="3">
          <tpl fld="0" item="0"/>
          <tpl fld="1" item="350"/>
          <tpl fld="4" item="18"/>
        </tpls>
      </m>
      <n v="4" in="0">
        <tpls c="3">
          <tpl fld="0" item="0"/>
          <tpl fld="1" item="334"/>
          <tpl fld="4" item="22"/>
        </tpls>
      </n>
      <m in="0">
        <tpls c="3">
          <tpl fld="0" item="0"/>
          <tpl fld="1" item="203"/>
          <tpl fld="4" item="22"/>
        </tpls>
      </m>
      <n v="36" in="0">
        <tpls c="3">
          <tpl fld="0" item="0"/>
          <tpl fld="1" item="335"/>
          <tpl fld="4" item="25"/>
        </tpls>
      </n>
      <m in="0">
        <tpls c="3">
          <tpl fld="0" item="0"/>
          <tpl fld="1" item="379"/>
          <tpl fld="4" item="24"/>
        </tpls>
      </m>
      <n v="117" in="0">
        <tpls c="3">
          <tpl fld="0" item="0"/>
          <tpl fld="1" item="41"/>
          <tpl fld="4" item="15"/>
        </tpls>
      </n>
      <m in="0">
        <tpls c="3">
          <tpl fld="0" item="0"/>
          <tpl fld="1" item="92"/>
          <tpl fld="4" item="28"/>
        </tpls>
      </m>
      <m in="0">
        <tpls c="3">
          <tpl fld="0" item="0"/>
          <tpl fld="1" item="172"/>
          <tpl fld="4" item="19"/>
        </tpls>
      </m>
      <n v="25" in="0">
        <tpls c="3">
          <tpl fld="0" item="0"/>
          <tpl fld="1" item="148"/>
          <tpl fld="4" item="15"/>
        </tpls>
      </n>
      <n v="3" in="0">
        <tpls c="3">
          <tpl fld="0" item="0"/>
          <tpl fld="1" item="35"/>
          <tpl fld="4" item="25"/>
        </tpls>
      </n>
      <n v="104" in="0">
        <tpls c="3">
          <tpl fld="0" item="0"/>
          <tpl fld="1" item="179"/>
          <tpl fld="4" item="15"/>
        </tpls>
      </n>
      <m in="0">
        <tpls c="3">
          <tpl fld="0" item="0"/>
          <tpl fld="1" item="164"/>
          <tpl fld="4" item="28"/>
        </tpls>
      </m>
      <m in="0">
        <tpls c="3">
          <tpl fld="0" item="0"/>
          <tpl fld="1" item="416"/>
          <tpl fld="4" item="28"/>
        </tpls>
      </m>
      <n v="131" in="0">
        <tpls c="3">
          <tpl fld="0" item="0"/>
          <tpl fld="1" item="397"/>
          <tpl fld="4" item="23"/>
        </tpls>
      </n>
      <m in="0">
        <tpls c="3">
          <tpl fld="0" item="0"/>
          <tpl fld="1" item="363"/>
          <tpl fld="4" item="29"/>
        </tpls>
      </m>
      <m in="0">
        <tpls c="3">
          <tpl fld="0" item="0"/>
          <tpl fld="1" item="246"/>
          <tpl fld="4" item="16"/>
        </tpls>
      </m>
      <n v="9" in="0">
        <tpls c="3">
          <tpl fld="0" item="0"/>
          <tpl fld="1" item="199"/>
          <tpl fld="4" item="17"/>
        </tpls>
      </n>
      <m in="0">
        <tpls c="3">
          <tpl fld="0" item="0"/>
          <tpl fld="1" item="74"/>
          <tpl fld="4" item="25"/>
        </tpls>
      </m>
      <n v="3" in="0">
        <tpls c="3">
          <tpl fld="0" item="0"/>
          <tpl fld="1" item="80"/>
          <tpl fld="4" item="13"/>
        </tpls>
      </n>
      <m in="0">
        <tpls c="3">
          <tpl fld="0" item="0"/>
          <tpl fld="1" item="361"/>
          <tpl fld="4" item="28"/>
        </tpls>
      </m>
      <m in="0">
        <tpls c="3">
          <tpl fld="0" item="0"/>
          <tpl fld="1" item="43"/>
          <tpl fld="4" item="26"/>
        </tpls>
      </m>
      <n v="4" in="0">
        <tpls c="3">
          <tpl fld="0" item="0"/>
          <tpl fld="1" item="360"/>
          <tpl fld="4" item="28"/>
        </tpls>
      </n>
      <m in="0">
        <tpls c="3">
          <tpl fld="0" item="0"/>
          <tpl fld="1" item="194"/>
          <tpl fld="4" item="28"/>
        </tpls>
      </m>
      <m in="0">
        <tpls c="3">
          <tpl fld="0" item="0"/>
          <tpl fld="1" item="398"/>
          <tpl fld="4" item="19"/>
        </tpls>
      </m>
      <n v="3" in="0">
        <tpls c="3">
          <tpl fld="0" item="0"/>
          <tpl fld="1" item="194"/>
          <tpl fld="4" item="19"/>
        </tpls>
      </n>
      <n v="33" in="0">
        <tpls c="3">
          <tpl fld="0" item="0"/>
          <tpl fld="1" item="447"/>
          <tpl fld="4" item="22"/>
        </tpls>
      </n>
      <n v="56" in="0">
        <tpls c="3">
          <tpl fld="0" item="0"/>
          <tpl fld="1" item="266"/>
          <tpl fld="4" item="22"/>
        </tpls>
      </n>
      <n v="70" in="0">
        <tpls c="3">
          <tpl fld="0" item="0"/>
          <tpl fld="1" item="334"/>
          <tpl fld="4" item="25"/>
        </tpls>
      </n>
      <n v="24" in="0">
        <tpls c="3">
          <tpl fld="0" item="0"/>
          <tpl fld="1" item="84"/>
          <tpl fld="4" item="24"/>
        </tpls>
      </n>
      <m in="0">
        <tpls c="3">
          <tpl fld="0" item="0"/>
          <tpl fld="1" item="145"/>
          <tpl fld="4" item="24"/>
        </tpls>
      </m>
      <m in="0">
        <tpls c="3">
          <tpl fld="0" item="0"/>
          <tpl fld="1" item="75"/>
          <tpl fld="4" item="21"/>
        </tpls>
      </m>
      <m in="0">
        <tpls c="3">
          <tpl fld="0" item="0"/>
          <tpl fld="1" item="257"/>
          <tpl fld="4" item="19"/>
        </tpls>
      </m>
      <m in="0">
        <tpls c="3">
          <tpl fld="0" item="0"/>
          <tpl fld="1" item="433"/>
          <tpl fld="4" item="18"/>
        </tpls>
      </m>
      <m in="0">
        <tpls c="3">
          <tpl fld="0" item="0"/>
          <tpl fld="1" item="100"/>
          <tpl fld="4" item="22"/>
        </tpls>
      </m>
      <n v="8" in="0">
        <tpls c="3">
          <tpl fld="0" item="0"/>
          <tpl fld="1" item="125"/>
          <tpl fld="4" item="26"/>
        </tpls>
      </n>
      <n v="34" in="0">
        <tpls c="3">
          <tpl fld="0" item="0"/>
          <tpl fld="1" item="369"/>
          <tpl fld="4" item="25"/>
        </tpls>
      </n>
      <m in="0">
        <tpls c="3">
          <tpl fld="0" item="0"/>
          <tpl fld="1" item="113"/>
          <tpl fld="4" item="32"/>
        </tpls>
      </m>
      <m in="0">
        <tpls c="3">
          <tpl fld="0" item="0"/>
          <tpl fld="1" item="43"/>
          <tpl fld="4" item="17"/>
        </tpls>
      </m>
      <m in="0">
        <tpls c="3">
          <tpl fld="0" item="0"/>
          <tpl fld="1" item="3"/>
          <tpl fld="4" item="28"/>
        </tpls>
      </m>
      <m in="0">
        <tpls c="3">
          <tpl fld="0" item="0"/>
          <tpl fld="2" item="0"/>
          <tpl fld="4" item="16"/>
        </tpls>
      </m>
      <m in="0">
        <tpls c="3">
          <tpl fld="0" item="0"/>
          <tpl fld="1" item="51"/>
          <tpl fld="4" item="17"/>
        </tpls>
      </m>
      <n v="399" in="0">
        <tpls c="3">
          <tpl fld="0" item="0"/>
          <tpl fld="1" item="333"/>
          <tpl fld="4" item="25"/>
        </tpls>
      </n>
      <m in="0">
        <tpls c="3">
          <tpl fld="0" item="0"/>
          <tpl fld="1" item="407"/>
          <tpl fld="4" item="17"/>
        </tpls>
      </m>
      <m in="0">
        <tpls c="3">
          <tpl fld="0" item="0"/>
          <tpl fld="1" item="46"/>
          <tpl fld="4" item="23"/>
        </tpls>
      </m>
      <m in="0">
        <tpls c="3">
          <tpl fld="0" item="0"/>
          <tpl fld="1" item="457"/>
          <tpl fld="4" item="23"/>
        </tpls>
      </m>
      <n v="121" in="0">
        <tpls c="3">
          <tpl fld="0" item="0"/>
          <tpl fld="1" item="94"/>
          <tpl fld="4" item="23"/>
        </tpls>
      </n>
      <m in="0">
        <tpls c="3">
          <tpl fld="0" item="0"/>
          <tpl fld="1" item="414"/>
          <tpl fld="4" item="20"/>
        </tpls>
      </m>
      <n v="30" in="0">
        <tpls c="3">
          <tpl fld="0" item="0"/>
          <tpl fld="1" item="150"/>
          <tpl fld="4" item="25"/>
        </tpls>
      </n>
      <m in="0">
        <tpls c="3">
          <tpl fld="0" item="0"/>
          <tpl fld="1" item="243"/>
          <tpl fld="4" item="29"/>
        </tpls>
      </m>
      <n v="281" in="0">
        <tpls c="3">
          <tpl fld="0" item="0"/>
          <tpl fld="1" item="104"/>
          <tpl fld="4" item="25"/>
        </tpls>
      </n>
      <m in="0">
        <tpls c="3">
          <tpl fld="0" item="0"/>
          <tpl fld="1" item="238"/>
          <tpl fld="4" item="25"/>
        </tpls>
      </m>
      <n v="58" in="0">
        <tpls c="3">
          <tpl fld="0" item="0"/>
          <tpl fld="1" item="454"/>
          <tpl fld="4" item="14"/>
        </tpls>
      </n>
      <n v="174" in="0">
        <tpls c="3">
          <tpl fld="0" item="0"/>
          <tpl fld="1" item="187"/>
          <tpl fld="4" item="15"/>
        </tpls>
      </n>
      <n v="107" in="0">
        <tpls c="3">
          <tpl fld="0" item="0"/>
          <tpl fld="1" item="199"/>
          <tpl fld="4" item="23"/>
        </tpls>
      </n>
      <n v="6" in="0">
        <tpls c="3">
          <tpl fld="0" item="0"/>
          <tpl fld="1" item="169"/>
          <tpl fld="4" item="29"/>
        </tpls>
      </n>
      <m in="0">
        <tpls c="3">
          <tpl fld="0" item="0"/>
          <tpl fld="1" item="113"/>
          <tpl fld="4" item="22"/>
        </tpls>
      </m>
      <n v="15" in="0">
        <tpls c="3">
          <tpl fld="0" item="0"/>
          <tpl fld="1" item="105"/>
          <tpl fld="4" item="26"/>
        </tpls>
      </n>
      <m in="0">
        <tpls c="3">
          <tpl fld="0" item="0"/>
          <tpl fld="1" item="387"/>
          <tpl fld="4" item="26"/>
        </tpls>
      </m>
      <m in="0">
        <tpls c="3">
          <tpl fld="0" item="0"/>
          <tpl fld="1" item="293"/>
          <tpl fld="4" item="25"/>
        </tpls>
      </m>
      <m in="0">
        <tpls c="3">
          <tpl fld="0" item="0"/>
          <tpl fld="1" item="406"/>
          <tpl fld="4" item="17"/>
        </tpls>
      </m>
      <n v="20" in="0">
        <tpls c="3">
          <tpl fld="0" item="0"/>
          <tpl fld="1" item="332"/>
          <tpl fld="4" item="29"/>
        </tpls>
      </n>
      <m in="0">
        <tpls c="3">
          <tpl fld="0" item="0"/>
          <tpl fld="1" item="261"/>
          <tpl fld="4" item="27"/>
        </tpls>
      </m>
      <n v="10" in="0">
        <tpls c="3">
          <tpl fld="0" item="0"/>
          <tpl fld="1" item="125"/>
          <tpl fld="4" item="22"/>
        </tpls>
      </n>
      <m in="0">
        <tpls c="3">
          <tpl fld="0" item="0"/>
          <tpl fld="1" item="51"/>
          <tpl fld="4" item="26"/>
        </tpls>
      </m>
      <m in="0">
        <tpls c="3">
          <tpl fld="0" item="0"/>
          <tpl fld="1" item="391"/>
          <tpl fld="4" item="26"/>
        </tpls>
      </m>
      <m in="0">
        <tpls c="3">
          <tpl fld="0" item="0"/>
          <tpl fld="1" item="26"/>
          <tpl fld="4" item="25"/>
        </tpls>
      </m>
      <m in="0">
        <tpls c="3">
          <tpl fld="0" item="0"/>
          <tpl fld="1" item="375"/>
          <tpl fld="4" item="13"/>
        </tpls>
      </m>
      <m in="0">
        <tpls c="3">
          <tpl fld="0" item="0"/>
          <tpl fld="1" item="455"/>
          <tpl fld="4" item="18"/>
        </tpls>
      </m>
      <m in="0">
        <tpls c="3">
          <tpl fld="0" item="0"/>
          <tpl fld="1" item="327"/>
          <tpl fld="4" item="22"/>
        </tpls>
      </m>
      <m in="0">
        <tpls c="3">
          <tpl fld="0" item="0"/>
          <tpl fld="1" item="412"/>
          <tpl fld="4" item="26"/>
        </tpls>
      </m>
      <n v="18" in="0">
        <tpls c="3">
          <tpl fld="0" item="0"/>
          <tpl fld="1" item="133"/>
          <tpl fld="4" item="25"/>
        </tpls>
      </n>
      <m in="0">
        <tpls c="3">
          <tpl fld="0" item="0"/>
          <tpl fld="1" item="223"/>
          <tpl fld="4" item="24"/>
        </tpls>
      </m>
      <m in="0">
        <tpls c="3">
          <tpl fld="0" item="0"/>
          <tpl fld="1" item="414"/>
          <tpl fld="4" item="15"/>
        </tpls>
      </m>
      <m in="0">
        <tpls c="3">
          <tpl fld="0" item="0"/>
          <tpl fld="1" item="218"/>
          <tpl fld="4" item="28"/>
        </tpls>
      </m>
      <n v="4" in="0">
        <tpls c="3">
          <tpl fld="0" item="0"/>
          <tpl fld="1" item="207"/>
          <tpl fld="4" item="19"/>
        </tpls>
      </n>
      <m in="0">
        <tpls c="3">
          <tpl fld="0" item="0"/>
          <tpl fld="1" item="352"/>
          <tpl fld="4" item="18"/>
        </tpls>
      </m>
      <m in="0">
        <tpls c="3">
          <tpl fld="0" item="0"/>
          <tpl fld="1" item="220"/>
          <tpl fld="4" item="22"/>
        </tpls>
      </m>
      <m in="0">
        <tpls c="3">
          <tpl fld="0" item="0"/>
          <tpl fld="1" item="1"/>
          <tpl fld="4" item="26"/>
        </tpls>
      </m>
      <n v="118" in="0">
        <tpls c="3">
          <tpl fld="0" item="0"/>
          <tpl fld="1" item="330"/>
          <tpl fld="4" item="25"/>
        </tpls>
      </n>
      <m in="0">
        <tpls c="3">
          <tpl fld="0" item="0"/>
          <tpl fld="1" item="412"/>
          <tpl fld="4" item="32"/>
        </tpls>
      </m>
      <m in="0">
        <tpls c="3">
          <tpl fld="0" item="0"/>
          <tpl fld="1" item="100"/>
          <tpl fld="4" item="17"/>
        </tpls>
      </m>
      <m in="0">
        <tpls c="3">
          <tpl fld="0" item="0"/>
          <tpl fld="1" item="5"/>
          <tpl fld="4" item="28"/>
        </tpls>
      </m>
      <m in="0">
        <tpls c="3">
          <tpl fld="0" item="0"/>
          <tpl fld="1" item="375"/>
          <tpl fld="4" item="17"/>
        </tpls>
      </m>
      <m in="0">
        <tpls c="3">
          <tpl fld="0" item="0"/>
          <tpl fld="1" item="353"/>
          <tpl fld="4" item="29"/>
        </tpls>
      </m>
      <n v="43" in="0">
        <tpls c="3">
          <tpl fld="0" item="0"/>
          <tpl fld="1" item="151"/>
          <tpl fld="4" item="15"/>
        </tpls>
      </n>
      <n v="6" in="0">
        <tpls c="3">
          <tpl fld="0" item="0"/>
          <tpl fld="1" item="419"/>
          <tpl fld="4" item="23"/>
        </tpls>
      </n>
      <n v="9" in="0">
        <tpls c="3">
          <tpl fld="0" item="0"/>
          <tpl fld="1" item="137"/>
          <tpl fld="4" item="23"/>
        </tpls>
      </n>
      <m in="0">
        <tpls c="3">
          <tpl fld="0" item="0"/>
          <tpl fld="1" item="378"/>
          <tpl fld="4" item="18"/>
        </tpls>
      </m>
      <n v="17" in="0">
        <tpls c="3">
          <tpl fld="0" item="0"/>
          <tpl fld="1" item="115"/>
          <tpl fld="4" item="15"/>
        </tpls>
      </n>
      <m in="0">
        <tpls c="3">
          <tpl fld="0" item="0"/>
          <tpl fld="1" item="435"/>
          <tpl fld="4" item="26"/>
        </tpls>
      </m>
      <n v="10" in="0">
        <tpls c="3">
          <tpl fld="0" item="0"/>
          <tpl fld="1" item="115"/>
          <tpl fld="4" item="25"/>
        </tpls>
      </n>
      <m in="0">
        <tpls c="3">
          <tpl fld="0" item="0"/>
          <tpl fld="1" item="302"/>
          <tpl fld="4" item="28"/>
        </tpls>
      </m>
      <m in="0">
        <tpls c="3">
          <tpl fld="0" item="0"/>
          <tpl fld="1" item="405"/>
          <tpl fld="4" item="28"/>
        </tpls>
      </m>
      <m in="0">
        <tpls c="3">
          <tpl fld="0" item="0"/>
          <tpl fld="1" item="17"/>
          <tpl fld="4" item="28"/>
        </tpls>
      </m>
      <m in="0">
        <tpls c="3">
          <tpl fld="0" item="0"/>
          <tpl fld="1" item="414"/>
          <tpl fld="4" item="23"/>
        </tpls>
      </m>
      <m in="0">
        <tpls c="3">
          <tpl fld="0" item="0"/>
          <tpl fld="1" item="50"/>
          <tpl fld="4" item="16"/>
        </tpls>
      </m>
      <n v="13" in="0">
        <tpls c="3">
          <tpl fld="0" item="0"/>
          <tpl fld="1" item="79"/>
          <tpl fld="4" item="15"/>
        </tpls>
      </n>
      <n v="1" in="0">
        <tpls c="3">
          <tpl fld="0" item="0"/>
          <tpl fld="1" item="433"/>
          <tpl fld="4" item="26"/>
        </tpls>
      </n>
      <n v="54" in="0">
        <tpls c="3">
          <tpl fld="0" item="0"/>
          <tpl fld="1" item="126"/>
          <tpl fld="4" item="25"/>
        </tpls>
      </n>
      <m in="0">
        <tpls c="3">
          <tpl fld="0" item="0"/>
          <tpl fld="1" item="406"/>
          <tpl fld="4" item="28"/>
        </tpls>
      </m>
      <m in="0">
        <tpls c="3">
          <tpl fld="0" item="0"/>
          <tpl fld="1" item="124"/>
          <tpl fld="4" item="28"/>
        </tpls>
      </m>
      <n v="37" in="0">
        <tpls c="3">
          <tpl fld="0" item="0"/>
          <tpl fld="1" item="325"/>
          <tpl fld="4" item="23"/>
        </tpls>
      </n>
      <n v="122" in="0">
        <tpls c="3">
          <tpl fld="0" item="0"/>
          <tpl fld="1" item="28"/>
          <tpl fld="4" item="23"/>
        </tpls>
      </n>
      <m in="0">
        <tpls c="3">
          <tpl fld="0" item="0"/>
          <tpl fld="1" item="423"/>
          <tpl fld="4" item="18"/>
        </tpls>
      </m>
      <m in="0">
        <tpls c="3">
          <tpl fld="0" item="0"/>
          <tpl fld="3" item="0"/>
          <tpl fld="4" item="21"/>
        </tpls>
      </m>
      <n v="4" in="0">
        <tpls c="3">
          <tpl fld="0" item="0"/>
          <tpl fld="1" item="352"/>
          <tpl fld="4" item="15"/>
        </tpls>
      </n>
      <m in="0">
        <tpls c="3">
          <tpl fld="0" item="0"/>
          <tpl fld="1" item="166"/>
          <tpl fld="4" item="23"/>
        </tpls>
      </m>
      <n v="7" in="0">
        <tpls c="3">
          <tpl fld="0" item="0"/>
          <tpl fld="1" item="207"/>
          <tpl fld="4" item="29"/>
        </tpls>
      </n>
      <n v="12" in="0">
        <tpls c="3">
          <tpl fld="0" item="0"/>
          <tpl fld="2" item="0"/>
          <tpl fld="4" item="29"/>
        </tpls>
      </n>
      <m in="0">
        <tpls c="3">
          <tpl fld="0" item="0"/>
          <tpl fld="1" item="247"/>
          <tpl fld="4" item="29"/>
        </tpls>
      </m>
      <n v="540" in="0">
        <tpls c="3">
          <tpl fld="0" item="0"/>
          <tpl fld="1" item="144"/>
          <tpl fld="4" item="27"/>
        </tpls>
      </n>
      <m in="0">
        <tpls c="3">
          <tpl fld="0" item="0"/>
          <tpl fld="1" item="257"/>
          <tpl fld="4" item="15"/>
        </tpls>
      </m>
      <m in="0">
        <tpls c="3">
          <tpl fld="0" item="0"/>
          <tpl fld="1" item="167"/>
          <tpl fld="4" item="17"/>
        </tpls>
      </m>
      <m in="0">
        <tpls c="3">
          <tpl fld="0" item="0"/>
          <tpl fld="1" item="300"/>
          <tpl fld="4" item="21"/>
        </tpls>
      </m>
      <n v="21" in="0">
        <tpls c="3">
          <tpl fld="0" item="0"/>
          <tpl fld="1" item="11"/>
          <tpl fld="4" item="22"/>
        </tpls>
      </n>
      <m in="0">
        <tpls c="3">
          <tpl fld="0" item="0"/>
          <tpl fld="1" item="46"/>
          <tpl fld="4" item="20"/>
        </tpls>
      </m>
      <n v="12" in="0">
        <tpls c="3">
          <tpl fld="0" item="0"/>
          <tpl fld="1" item="140"/>
          <tpl fld="4" item="21"/>
        </tpls>
      </n>
      <m in="0">
        <tpls c="3">
          <tpl fld="0" item="0"/>
          <tpl fld="1" item="244"/>
          <tpl fld="4" item="14"/>
        </tpls>
      </m>
      <n v="80" in="0">
        <tpls c="3">
          <tpl fld="0" item="0"/>
          <tpl fld="1" item="47"/>
          <tpl fld="4" item="21"/>
        </tpls>
      </n>
      <m in="0">
        <tpls c="3">
          <tpl fld="0" item="0"/>
          <tpl fld="1" item="243"/>
          <tpl fld="4" item="27"/>
        </tpls>
      </m>
      <m in="0">
        <tpls c="3">
          <tpl fld="0" item="0"/>
          <tpl fld="1" item="185"/>
          <tpl fld="4" item="22"/>
        </tpls>
      </m>
      <m in="0">
        <tpls c="3">
          <tpl fld="0" item="0"/>
          <tpl fld="1" item="316"/>
          <tpl fld="4" item="26"/>
        </tpls>
      </m>
      <n v="487" in="0">
        <tpls c="3">
          <tpl fld="0" item="0"/>
          <tpl fld="1" item="347"/>
          <tpl fld="4" item="25"/>
        </tpls>
      </n>
      <n v="1023" in="0">
        <tpls c="3">
          <tpl fld="0" item="0"/>
          <tpl fld="1" item="447"/>
          <tpl fld="4" item="25"/>
        </tpls>
      </n>
      <n v="2" in="0">
        <tpls c="3">
          <tpl fld="0" item="0"/>
          <tpl fld="1" item="35"/>
          <tpl fld="4" item="24"/>
        </tpls>
      </n>
      <m in="0">
        <tpls c="3">
          <tpl fld="0" item="0"/>
          <tpl fld="1" item="244"/>
          <tpl fld="4" item="12"/>
        </tpls>
      </m>
      <m in="0">
        <tpls c="3">
          <tpl fld="0" item="0"/>
          <tpl fld="1" item="143"/>
          <tpl fld="4" item="21"/>
        </tpls>
      </m>
      <m in="0">
        <tpls c="3">
          <tpl fld="0" item="0"/>
          <tpl fld="1" item="143"/>
          <tpl fld="4" item="27"/>
        </tpls>
      </m>
      <n v="1" in="0">
        <tpls c="3">
          <tpl fld="0" item="0"/>
          <tpl fld="1" item="386"/>
          <tpl fld="4" item="22"/>
        </tpls>
      </n>
      <n v="6" in="0">
        <tpls c="3">
          <tpl fld="0" item="0"/>
          <tpl fld="1" item="64"/>
          <tpl fld="4" item="26"/>
        </tpls>
      </n>
      <m in="0">
        <tpls c="3">
          <tpl fld="0" item="0"/>
          <tpl fld="1" item="450"/>
          <tpl fld="4" item="24"/>
        </tpls>
      </m>
      <m in="0">
        <tpls c="3">
          <tpl fld="0" item="0"/>
          <tpl fld="1" item="191"/>
          <tpl fld="4" item="24"/>
        </tpls>
      </m>
      <m in="0">
        <tpls c="3">
          <tpl fld="0" item="0"/>
          <tpl fld="1" item="341"/>
          <tpl fld="4" item="15"/>
        </tpls>
      </m>
      <n v="63" in="0">
        <tpls c="3">
          <tpl fld="0" item="0"/>
          <tpl fld="1" item="202"/>
          <tpl fld="4" item="19"/>
        </tpls>
      </n>
      <n v="917" in="0">
        <tpls c="3">
          <tpl fld="0" item="0"/>
          <tpl fld="1" item="288"/>
          <tpl fld="4" item="15"/>
        </tpls>
      </n>
      <m in="0">
        <tpls c="3">
          <tpl fld="0" item="0"/>
          <tpl fld="1" item="346"/>
          <tpl fld="4" item="26"/>
        </tpls>
      </m>
      <m in="0">
        <tpls c="3">
          <tpl fld="0" item="0"/>
          <tpl fld="1" item="78"/>
          <tpl fld="4" item="25"/>
        </tpls>
      </m>
      <n v="3" in="0">
        <tpls c="3">
          <tpl fld="0" item="0"/>
          <tpl fld="1" item="233"/>
          <tpl fld="4" item="28"/>
        </tpls>
      </n>
      <m in="0">
        <tpls c="3">
          <tpl fld="0" item="0"/>
          <tpl fld="1" item="221"/>
          <tpl fld="4" item="28"/>
        </tpls>
      </m>
      <n v="2" in="0">
        <tpls c="3">
          <tpl fld="0" item="0"/>
          <tpl fld="1" item="184"/>
          <tpl fld="4" item="28"/>
        </tpls>
      </n>
      <m in="0">
        <tpls c="3">
          <tpl fld="0" item="0"/>
          <tpl fld="1" item="193"/>
          <tpl fld="4" item="23"/>
        </tpls>
      </m>
      <m in="0">
        <tpls c="3">
          <tpl fld="0" item="0"/>
          <tpl fld="1" item="328"/>
          <tpl fld="4" item="16"/>
        </tpls>
      </m>
      <n v="41" in="0">
        <tpls c="3">
          <tpl fld="0" item="0"/>
          <tpl fld="1" item="350"/>
          <tpl fld="4" item="15"/>
        </tpls>
      </n>
      <n v="8" in="0">
        <tpls c="3">
          <tpl fld="0" item="0"/>
          <tpl fld="1" item="148"/>
          <tpl fld="4" item="26"/>
        </tpls>
      </n>
      <n v="26" in="0">
        <tpls c="3">
          <tpl fld="0" item="0"/>
          <tpl fld="1" item="169"/>
          <tpl fld="4" item="20"/>
        </tpls>
      </n>
      <n v="75" in="0">
        <tpls c="3">
          <tpl fld="0" item="0"/>
          <tpl fld="1" item="121"/>
          <tpl fld="4" item="23"/>
        </tpls>
      </n>
      <m in="0">
        <tpls c="3">
          <tpl fld="0" item="0"/>
          <tpl fld="1" item="62"/>
          <tpl fld="4" item="26"/>
        </tpls>
      </m>
      <n v="2" in="0">
        <tpls c="3">
          <tpl fld="0" item="0"/>
          <tpl fld="1" item="356"/>
          <tpl fld="4" item="28"/>
        </tpls>
      </n>
      <n v="10" in="0">
        <tpls c="3">
          <tpl fld="0" item="0"/>
          <tpl fld="1" item="245"/>
          <tpl fld="4" item="23"/>
        </tpls>
      </n>
      <m in="0">
        <tpls c="3">
          <tpl fld="0" item="0"/>
          <tpl fld="1" item="212"/>
          <tpl fld="4" item="16"/>
        </tpls>
      </m>
      <n v="218" in="0">
        <tpls c="3">
          <tpl fld="0" item="0"/>
          <tpl fld="1" item="179"/>
          <tpl fld="4" item="20"/>
        </tpls>
      </n>
      <n v="14" in="0">
        <tpls c="3">
          <tpl fld="0" item="0"/>
          <tpl fld="1" item="287"/>
          <tpl fld="4" item="22"/>
        </tpls>
      </n>
      <m in="0">
        <tpls c="3">
          <tpl fld="0" item="0"/>
          <tpl fld="1" item="44"/>
          <tpl fld="4" item="26"/>
        </tpls>
      </m>
      <n v="20" in="0">
        <tpls c="3">
          <tpl fld="0" item="0"/>
          <tpl fld="1" item="168"/>
          <tpl fld="4" item="25"/>
        </tpls>
      </n>
      <m in="0">
        <tpls c="3">
          <tpl fld="0" item="0"/>
          <tpl fld="1" item="257"/>
          <tpl fld="4" item="13"/>
        </tpls>
      </m>
      <m in="0">
        <tpls c="3">
          <tpl fld="0" item="0"/>
          <tpl fld="1" item="217"/>
          <tpl fld="4" item="21"/>
        </tpls>
      </m>
      <n v="14" in="0">
        <tpls c="3">
          <tpl fld="0" item="0"/>
          <tpl fld="1" item="99"/>
          <tpl fld="4" item="28"/>
        </tpls>
      </n>
      <m in="0">
        <tpls c="3">
          <tpl fld="0" item="0"/>
          <tpl fld="1" item="446"/>
          <tpl fld="4" item="13"/>
        </tpls>
      </m>
      <m in="0">
        <tpls c="3">
          <tpl fld="0" item="0"/>
          <tpl fld="1" item="358"/>
          <tpl fld="4" item="20"/>
        </tpls>
      </m>
      <n v="8" in="0">
        <tpls c="3">
          <tpl fld="0" item="0"/>
          <tpl fld="1" item="41"/>
          <tpl fld="4" item="26"/>
        </tpls>
      </n>
      <n v="2" in="0">
        <tpls c="3">
          <tpl fld="0" item="0"/>
          <tpl fld="1" item="285"/>
          <tpl fld="4" item="26"/>
        </tpls>
      </n>
      <n v="1" in="0">
        <tpls c="3">
          <tpl fld="0" item="0"/>
          <tpl fld="1" item="425"/>
          <tpl fld="4" item="17"/>
        </tpls>
      </n>
      <m in="0">
        <tpls c="3">
          <tpl fld="0" item="0"/>
          <tpl fld="1" item="352"/>
          <tpl fld="4" item="17"/>
        </tpls>
      </m>
      <m in="0">
        <tpls c="3">
          <tpl fld="0" item="0"/>
          <tpl fld="1" item="394"/>
          <tpl fld="4" item="28"/>
        </tpls>
      </m>
      <m in="0">
        <tpls c="3">
          <tpl fld="0" item="0"/>
          <tpl fld="1" item="357"/>
          <tpl fld="4" item="28"/>
        </tpls>
      </m>
      <m in="0">
        <tpls c="3">
          <tpl fld="0" item="0"/>
          <tpl fld="1" item="373"/>
          <tpl fld="4" item="17"/>
        </tpls>
      </m>
      <n v="1" in="0">
        <tpls c="3">
          <tpl fld="0" item="0"/>
          <tpl fld="1" item="437"/>
          <tpl fld="4" item="17"/>
        </tpls>
      </n>
      <n v="30" in="0">
        <tpls c="3">
          <tpl fld="0" item="0"/>
          <tpl fld="1" item="54"/>
          <tpl fld="4" item="24"/>
        </tpls>
      </n>
      <n v="1" in="0">
        <tpls c="3">
          <tpl fld="0" item="0"/>
          <tpl fld="1" item="242"/>
          <tpl fld="4" item="28"/>
        </tpls>
      </n>
      <m in="0">
        <tpls c="3">
          <tpl fld="0" item="0"/>
          <tpl fld="1" item="112"/>
          <tpl fld="4" item="23"/>
        </tpls>
      </m>
      <n v="17" in="0">
        <tpls c="3">
          <tpl fld="0" item="0"/>
          <tpl fld="1" item="271"/>
          <tpl fld="4" item="23"/>
        </tpls>
      </n>
      <m in="0">
        <tpls c="3">
          <tpl fld="0" item="0"/>
          <tpl fld="1" item="306"/>
          <tpl fld="4" item="26"/>
        </tpls>
      </m>
      <n v="2" in="0">
        <tpls c="3">
          <tpl fld="0" item="0"/>
          <tpl fld="1" item="205"/>
          <tpl fld="4" item="21"/>
        </tpls>
      </n>
      <n v="14" in="0">
        <tpls c="3">
          <tpl fld="0" item="0"/>
          <tpl fld="1" item="337"/>
          <tpl fld="4" item="26"/>
        </tpls>
      </n>
      <n v="1" in="0">
        <tpls c="3">
          <tpl fld="0" item="0"/>
          <tpl fld="1" item="327"/>
          <tpl fld="4" item="19"/>
        </tpls>
      </n>
      <m in="0">
        <tpls c="3">
          <tpl fld="0" item="0"/>
          <tpl fld="1" item="222"/>
          <tpl fld="4" item="19"/>
        </tpls>
      </m>
      <m in="0">
        <tpls c="3">
          <tpl fld="0" item="0"/>
          <tpl fld="1" item="303"/>
          <tpl fld="4" item="18"/>
        </tpls>
      </m>
      <m in="0">
        <tpls c="3">
          <tpl fld="0" item="0"/>
          <tpl fld="1" item="292"/>
          <tpl fld="4" item="21"/>
        </tpls>
      </m>
      <n v="293" in="0">
        <tpls c="3">
          <tpl fld="0" item="0"/>
          <tpl fld="1" item="266"/>
          <tpl fld="4" item="14"/>
        </tpls>
      </n>
      <m in="0">
        <tpls c="3">
          <tpl fld="0" item="0"/>
          <tpl fld="1" item="169"/>
          <tpl fld="4" item="8"/>
        </tpls>
      </m>
      <n v="3" in="0">
        <tpls c="3">
          <tpl fld="0" item="0"/>
          <tpl fld="1" item="366"/>
          <tpl fld="4" item="16"/>
        </tpls>
      </n>
      <m in="0">
        <tpls c="3">
          <tpl fld="0" item="0"/>
          <tpl fld="1" item="76"/>
          <tpl fld="4" item="19"/>
        </tpls>
      </m>
      <n v="57" in="0">
        <tpls c="3">
          <tpl fld="0" item="0"/>
          <tpl fld="1" item="160"/>
          <tpl fld="4" item="21"/>
        </tpls>
      </n>
      <m in="0">
        <tpls c="3">
          <tpl fld="0" item="0"/>
          <tpl fld="1" item="257"/>
          <tpl fld="4" item="14"/>
        </tpls>
      </m>
      <m in="0">
        <tpls c="3">
          <tpl fld="0" item="0"/>
          <tpl fld="1" item="299"/>
          <tpl fld="4" item="16"/>
        </tpls>
      </m>
      <m in="0">
        <tpls c="3">
          <tpl fld="0" item="0"/>
          <tpl fld="1" item="129"/>
          <tpl fld="4" item="13"/>
        </tpls>
      </m>
      <m in="0">
        <tpls c="3">
          <tpl fld="0" item="0"/>
          <tpl fld="1" item="40"/>
          <tpl fld="4" item="17"/>
        </tpls>
      </m>
      <n v="559" in="0">
        <tpls c="3">
          <tpl fld="0" item="0"/>
          <tpl fld="1" item="385"/>
          <tpl fld="4" item="15"/>
        </tpls>
      </n>
      <m in="0">
        <tpls c="3">
          <tpl fld="0" item="0"/>
          <tpl fld="1" item="389"/>
          <tpl fld="4" item="18"/>
        </tpls>
      </m>
      <m in="0">
        <tpls c="3">
          <tpl fld="0" item="0"/>
          <tpl fld="1" item="440"/>
          <tpl fld="4" item="15"/>
        </tpls>
      </m>
      <m in="0">
        <tpls c="3">
          <tpl fld="0" item="0"/>
          <tpl fld="1" item="340"/>
          <tpl fld="4" item="28"/>
        </tpls>
      </m>
      <n v="1" in="0">
        <tpls c="3">
          <tpl fld="0" item="0"/>
          <tpl fld="1" item="242"/>
          <tpl fld="4" item="26"/>
        </tpls>
      </n>
      <n v="131" in="0">
        <tpls c="3">
          <tpl fld="0" item="0"/>
          <tpl fld="1" item="140"/>
          <tpl fld="4" item="24"/>
        </tpls>
      </n>
      <m in="0">
        <tpls c="3">
          <tpl fld="0" item="0"/>
          <tpl fld="1" item="76"/>
          <tpl fld="4" item="20"/>
        </tpls>
      </m>
      <m in="0">
        <tpls c="3">
          <tpl fld="0" item="0"/>
          <tpl fld="1" item="388"/>
          <tpl fld="4" item="28"/>
        </tpls>
      </m>
      <m in="0">
        <tpls c="3">
          <tpl fld="0" item="0"/>
          <tpl fld="1" item="24"/>
          <tpl fld="4" item="16"/>
        </tpls>
      </m>
      <m in="0">
        <tpls c="3">
          <tpl fld="0" item="0"/>
          <tpl fld="1" item="185"/>
          <tpl fld="4" item="20"/>
        </tpls>
      </m>
      <m in="0">
        <tpls c="3">
          <tpl fld="0" item="0"/>
          <tpl fld="1" item="374"/>
          <tpl fld="4" item="22"/>
        </tpls>
      </m>
      <n v="7" in="0">
        <tpls c="3">
          <tpl fld="0" item="0"/>
          <tpl fld="1" item="277"/>
          <tpl fld="4" item="26"/>
        </tpls>
      </n>
      <n v="191" in="0">
        <tpls c="3">
          <tpl fld="0" item="0"/>
          <tpl fld="1" item="368"/>
          <tpl fld="4" item="25"/>
        </tpls>
      </n>
      <m in="0">
        <tpls c="3">
          <tpl fld="0" item="0"/>
          <tpl fld="1" item="435"/>
          <tpl fld="4" item="22"/>
        </tpls>
      </m>
      <m in="0">
        <tpls c="3">
          <tpl fld="0" item="0"/>
          <tpl fld="1" item="131"/>
          <tpl fld="4" item="23"/>
        </tpls>
      </m>
      <m in="0">
        <tpls c="3">
          <tpl fld="0" item="0"/>
          <tpl fld="1" item="222"/>
          <tpl fld="4" item="22"/>
        </tpls>
      </m>
      <m in="0">
        <tpls c="3">
          <tpl fld="0" item="0"/>
          <tpl fld="1" item="122"/>
          <tpl fld="4" item="23"/>
        </tpls>
      </m>
      <m in="0">
        <tpls c="3">
          <tpl fld="0" item="0"/>
          <tpl fld="1" item="12"/>
          <tpl fld="4" item="27"/>
        </tpls>
      </m>
      <n v="2809" in="0">
        <tpls c="3">
          <tpl fld="0" item="0"/>
          <tpl fld="1" item="266"/>
          <tpl fld="4" item="27"/>
        </tpls>
      </n>
      <m in="0">
        <tpls c="3">
          <tpl fld="0" item="0"/>
          <tpl fld="1" item="238"/>
          <tpl fld="4" item="17"/>
        </tpls>
      </m>
      <n v="2" in="0">
        <tpls c="3">
          <tpl fld="0" item="0"/>
          <tpl fld="1" item="357"/>
          <tpl fld="4" item="17"/>
        </tpls>
      </n>
      <m in="0">
        <tpls c="3">
          <tpl fld="0" item="0"/>
          <tpl fld="1" item="211"/>
          <tpl fld="4" item="24"/>
        </tpls>
      </m>
      <m in="0">
        <tpls c="3">
          <tpl fld="0" item="0"/>
          <tpl fld="1" item="43"/>
          <tpl fld="4" item="28"/>
        </tpls>
      </m>
      <n v="460" in="0">
        <tpls c="3">
          <tpl fld="0" item="0"/>
          <tpl fld="1" item="424"/>
          <tpl fld="4" item="23"/>
        </tpls>
      </n>
      <n v="109" in="0">
        <tpls c="3">
          <tpl fld="0" item="0"/>
          <tpl fld="1" item="54"/>
          <tpl fld="4" item="23"/>
        </tpls>
      </n>
      <n v="1" in="0">
        <tpls c="3">
          <tpl fld="0" item="0"/>
          <tpl fld="1" item="213"/>
          <tpl fld="4" item="29"/>
        </tpls>
      </n>
      <n v="47" in="0">
        <tpls c="3">
          <tpl fld="0" item="0"/>
          <tpl fld="1" item="84"/>
          <tpl fld="4" item="29"/>
        </tpls>
      </n>
      <m in="0">
        <tpls c="3">
          <tpl fld="0" item="0"/>
          <tpl fld="1" item="105"/>
          <tpl fld="4" item="17"/>
        </tpls>
      </m>
      <m in="0">
        <tpls c="3">
          <tpl fld="0" item="0"/>
          <tpl fld="1" item="185"/>
          <tpl fld="4" item="21"/>
        </tpls>
      </m>
      <n v="4" in="0">
        <tpls c="3">
          <tpl fld="0" item="0"/>
          <tpl fld="1" item="322"/>
          <tpl fld="4" item="13"/>
        </tpls>
      </n>
      <m in="0">
        <tpls c="3">
          <tpl fld="0" item="0"/>
          <tpl fld="1" item="95"/>
          <tpl fld="4" item="28"/>
        </tpls>
      </m>
      <n v="377" in="0">
        <tpls c="3">
          <tpl fld="0" item="0"/>
          <tpl fld="1" item="438"/>
          <tpl fld="4" item="29"/>
        </tpls>
      </n>
      <m in="0">
        <tpls c="3">
          <tpl fld="0" item="0"/>
          <tpl fld="1" item="204"/>
          <tpl fld="4" item="29"/>
        </tpls>
      </m>
      <n v="3" in="0">
        <tpls c="3">
          <tpl fld="0" item="0"/>
          <tpl fld="1" item="357"/>
          <tpl fld="4" item="29"/>
        </tpls>
      </n>
      <n v="67" in="0">
        <tpls c="3">
          <tpl fld="0" item="0"/>
          <tpl fld="1" item="258"/>
          <tpl fld="4" item="27"/>
        </tpls>
      </n>
      <m in="0">
        <tpls c="3">
          <tpl fld="0" item="0"/>
          <tpl fld="1" item="263"/>
          <tpl fld="4" item="17"/>
        </tpls>
      </m>
      <m in="0">
        <tpls c="3">
          <tpl fld="0" item="0"/>
          <tpl fld="1" item="336"/>
          <tpl fld="4" item="28"/>
        </tpls>
      </m>
      <n v="40" in="0">
        <tpls c="3">
          <tpl fld="0" item="0"/>
          <tpl fld="1" item="227"/>
          <tpl fld="4" item="23"/>
        </tpls>
      </n>
      <m in="0">
        <tpls c="3">
          <tpl fld="0" item="0"/>
          <tpl fld="1" item="95"/>
          <tpl fld="4" item="29"/>
        </tpls>
      </m>
      <n v="1" in="0">
        <tpls c="3">
          <tpl fld="0" item="0"/>
          <tpl fld="1" item="150"/>
          <tpl fld="4" item="22"/>
        </tpls>
      </n>
      <m in="0">
        <tpls c="3">
          <tpl fld="0" item="0"/>
          <tpl fld="1" item="131"/>
          <tpl fld="4" item="22"/>
        </tpls>
      </m>
      <m in="0">
        <tpls c="3">
          <tpl fld="0" item="0"/>
          <tpl fld="1" item="398"/>
          <tpl fld="4" item="22"/>
        </tpls>
      </m>
      <m in="0">
        <tpls c="3">
          <tpl fld="0" item="0"/>
          <tpl fld="1" item="374"/>
          <tpl fld="4" item="26"/>
        </tpls>
      </m>
      <n v="19" in="0">
        <tpls c="3">
          <tpl fld="0" item="0"/>
          <tpl fld="1" item="264"/>
          <tpl fld="4" item="21"/>
        </tpls>
      </n>
      <m in="0">
        <tpls c="3">
          <tpl fld="0" item="0"/>
          <tpl fld="1" item="303"/>
          <tpl fld="4" item="15"/>
        </tpls>
      </m>
      <m in="0">
        <tpls c="3">
          <tpl fld="0" item="0"/>
          <tpl fld="1" item="164"/>
          <tpl fld="4" item="29"/>
        </tpls>
      </m>
      <m in="0">
        <tpls c="3">
          <tpl fld="0" item="0"/>
          <tpl fld="1" item="19"/>
          <tpl fld="4" item="25"/>
        </tpls>
      </m>
      <m in="0">
        <tpls c="3">
          <tpl fld="0" item="0"/>
          <tpl fld="1" item="261"/>
          <tpl fld="4" item="23"/>
        </tpls>
      </m>
      <n v="1422" in="0">
        <tpls c="3">
          <tpl fld="0" item="0"/>
          <tpl fld="1" item="177"/>
          <tpl fld="4" item="23"/>
        </tpls>
      </n>
      <m in="0">
        <tpls c="3">
          <tpl fld="0" item="0"/>
          <tpl fld="1" item="207"/>
          <tpl fld="4" item="13"/>
        </tpls>
      </m>
      <m in="0">
        <tpls c="3">
          <tpl fld="0" item="0"/>
          <tpl fld="1" item="303"/>
          <tpl fld="4" item="20"/>
        </tpls>
      </m>
      <n v="7" in="0">
        <tpls c="3">
          <tpl fld="0" item="0"/>
          <tpl fld="1" item="174"/>
          <tpl fld="4" item="26"/>
        </tpls>
      </n>
      <n v="5" in="0">
        <tpls c="3">
          <tpl fld="0" item="0"/>
          <tpl fld="1" item="194"/>
          <tpl fld="4" item="26"/>
        </tpls>
      </n>
      <n v="3" in="0">
        <tpls c="3">
          <tpl fld="0" item="0"/>
          <tpl fld="1" item="4"/>
          <tpl fld="4" item="17"/>
        </tpls>
      </n>
      <m in="0">
        <tpls c="3">
          <tpl fld="0" item="0"/>
          <tpl fld="1" item="34"/>
          <tpl fld="4" item="17"/>
        </tpls>
      </m>
      <m in="0">
        <tpls c="3">
          <tpl fld="0" item="0"/>
          <tpl fld="1" item="412"/>
          <tpl fld="4" item="28"/>
        </tpls>
      </m>
      <m in="0">
        <tpls c="3">
          <tpl fld="0" item="0"/>
          <tpl fld="1" item="407"/>
          <tpl fld="4" item="28"/>
        </tpls>
      </m>
      <m in="0">
        <tpls c="3">
          <tpl fld="0" item="0"/>
          <tpl fld="1" item="315"/>
          <tpl fld="4" item="18"/>
        </tpls>
      </m>
      <n v="28" in="0">
        <tpls c="3">
          <tpl fld="0" item="0"/>
          <tpl fld="1" item="200"/>
          <tpl fld="4" item="15"/>
        </tpls>
      </n>
      <m in="0">
        <tpls c="3">
          <tpl fld="0" item="0"/>
          <tpl fld="1" item="353"/>
          <tpl fld="4" item="26"/>
        </tpls>
      </m>
      <n v="42" in="0">
        <tpls c="3">
          <tpl fld="0" item="0"/>
          <tpl fld="1" item="200"/>
          <tpl fld="4" item="25"/>
        </tpls>
      </n>
      <n v="2" in="0">
        <tpls c="3">
          <tpl fld="0" item="0"/>
          <tpl fld="1" item="199"/>
          <tpl fld="4" item="28"/>
        </tpls>
      </n>
      <m in="0">
        <tpls c="3">
          <tpl fld="0" item="0"/>
          <tpl fld="1" item="118"/>
          <tpl fld="4" item="28"/>
        </tpls>
      </m>
      <m in="0">
        <tpls c="3">
          <tpl fld="0" item="0"/>
          <tpl fld="1" item="26"/>
          <tpl fld="4" item="28"/>
        </tpls>
      </m>
      <m in="0">
        <tpls c="3">
          <tpl fld="0" item="0"/>
          <tpl fld="1" item="43"/>
          <tpl fld="4" item="23"/>
        </tpls>
      </m>
      <n v="14" in="0">
        <tpls c="3">
          <tpl fld="0" item="0"/>
          <tpl fld="1" item="315"/>
          <tpl fld="4" item="15"/>
        </tpls>
      </n>
      <m in="0">
        <tpls c="3">
          <tpl fld="0" item="0"/>
          <tpl fld="1" item="192"/>
          <tpl fld="4" item="21"/>
        </tpls>
      </m>
      <n v="154" in="0">
        <tpls c="3">
          <tpl fld="0" item="0"/>
          <tpl fld="1" item="230"/>
          <tpl fld="4" item="24"/>
        </tpls>
      </n>
      <m in="0">
        <tpls c="3">
          <tpl fld="0" item="0"/>
          <tpl fld="1" item="193"/>
          <tpl fld="4" item="28"/>
        </tpls>
      </m>
      <m in="0">
        <tpls c="3">
          <tpl fld="0" item="0"/>
          <tpl fld="1" item="211"/>
          <tpl fld="4" item="29"/>
        </tpls>
      </m>
      <m in="0">
        <tpls c="3">
          <tpl fld="0" item="0"/>
          <tpl fld="1" item="60"/>
          <tpl fld="4" item="29"/>
        </tpls>
      </m>
      <n v="147" in="0">
        <tpls c="3">
          <tpl fld="0" item="0"/>
          <tpl fld="1" item="430"/>
          <tpl fld="4" item="29"/>
        </tpls>
      </n>
      <m in="0">
        <tpls c="3">
          <tpl fld="0" item="0"/>
          <tpl fld="1" item="36"/>
          <tpl fld="4" item="27"/>
        </tpls>
      </m>
      <n v="12" in="0">
        <tpls c="3">
          <tpl fld="0" item="0"/>
          <tpl fld="1" item="174"/>
          <tpl fld="4" item="17"/>
        </tpls>
      </n>
      <n v="25" in="0">
        <tpls c="3">
          <tpl fld="0" item="0"/>
          <tpl fld="1" item="438"/>
          <tpl fld="4" item="21"/>
        </tpls>
      </n>
      <m in="0">
        <tpls c="3">
          <tpl fld="0" item="0"/>
          <tpl fld="1" item="123"/>
          <tpl fld="4" item="18"/>
        </tpls>
      </m>
      <n v="4" in="0">
        <tpls c="3">
          <tpl fld="0" item="0"/>
          <tpl fld="1" item="252"/>
          <tpl fld="4" item="15"/>
        </tpls>
      </n>
      <n v="29" in="0">
        <tpls c="3">
          <tpl fld="0" item="0"/>
          <tpl fld="1" item="334"/>
          <tpl fld="4" item="29"/>
        </tpls>
      </n>
      <n v="169" in="0">
        <tpls c="3">
          <tpl fld="0" item="0"/>
          <tpl fld="1" item="430"/>
          <tpl fld="4" item="25"/>
        </tpls>
      </n>
      <m in="0">
        <tpls c="3">
          <tpl fld="0" item="0"/>
          <tpl fld="1" item="197"/>
          <tpl fld="4" item="23"/>
        </tpls>
      </m>
      <m in="0">
        <tpls c="3">
          <tpl fld="0" item="0"/>
          <tpl fld="1" item="387"/>
          <tpl fld="4" item="23"/>
        </tpls>
      </m>
      <n v="42" in="0">
        <tpls c="3">
          <tpl fld="0" item="0"/>
          <tpl fld="1" item="177"/>
          <tpl fld="4" item="19"/>
        </tpls>
      </n>
      <n v="2" in="0">
        <tpls c="3">
          <tpl fld="0" item="0"/>
          <tpl fld="1" item="167"/>
          <tpl fld="4" item="20"/>
        </tpls>
      </n>
      <n v="3" in="0">
        <tpls c="3">
          <tpl fld="0" item="0"/>
          <tpl fld="1" item="151"/>
          <tpl fld="4" item="26"/>
        </tpls>
      </n>
      <m in="0">
        <tpls c="3">
          <tpl fld="0" item="0"/>
          <tpl fld="1" item="162"/>
          <tpl fld="4" item="26"/>
        </tpls>
      </m>
      <n v="19" in="0">
        <tpls c="3">
          <tpl fld="0" item="0"/>
          <tpl fld="1" item="368"/>
          <tpl fld="4" item="21"/>
        </tpls>
      </n>
      <n v="15" in="0">
        <tpls c="3">
          <tpl fld="0" item="0"/>
          <tpl fld="1" item="187"/>
          <tpl fld="4" item="21"/>
        </tpls>
      </n>
      <m in="0">
        <tpls c="3">
          <tpl fld="0" item="0"/>
          <tpl fld="1" item="316"/>
          <tpl fld="4" item="28"/>
        </tpls>
      </m>
      <m in="0">
        <tpls c="3">
          <tpl fld="0" item="0"/>
          <tpl fld="1" item="280"/>
          <tpl fld="4" item="28"/>
        </tpls>
      </m>
      <n v="4" in="0">
        <tpls c="3">
          <tpl fld="0" item="0"/>
          <tpl fld="1" item="99"/>
          <tpl fld="4" item="13"/>
        </tpls>
      </n>
      <n v="98" in="0">
        <tpls c="3">
          <tpl fld="0" item="0"/>
          <tpl fld="1" item="275"/>
          <tpl fld="4" item="15"/>
        </tpls>
      </n>
      <m in="0">
        <tpls c="3">
          <tpl fld="0" item="0"/>
          <tpl fld="1" item="75"/>
          <tpl fld="4" item="26"/>
        </tpls>
      </m>
      <m in="0">
        <tpls c="3">
          <tpl fld="0" item="0"/>
          <tpl fld="1" item="239"/>
          <tpl fld="4" item="25"/>
        </tpls>
      </m>
      <n v="5" in="0">
        <tpls c="3">
          <tpl fld="0" item="0"/>
          <tpl fld="1" item="28"/>
          <tpl fld="4" item="28"/>
        </tpls>
      </n>
      <n v="1" in="0">
        <tpls c="3">
          <tpl fld="0" item="0"/>
          <tpl fld="1" item="161"/>
          <tpl fld="4" item="28"/>
        </tpls>
      </n>
      <m in="0">
        <tpls c="3">
          <tpl fld="0" item="0"/>
          <tpl fld="1" item="289"/>
          <tpl fld="4" item="28"/>
        </tpls>
      </m>
      <n v="25" in="0">
        <tpls c="3">
          <tpl fld="0" item="0"/>
          <tpl fld="1" item="124"/>
          <tpl fld="4" item="23"/>
        </tpls>
      </n>
      <m in="0">
        <tpls c="3">
          <tpl fld="0" item="0"/>
          <tpl fld="1" item="162"/>
          <tpl fld="4" item="17"/>
        </tpls>
      </m>
      <n v="7" in="0">
        <tpls c="3">
          <tpl fld="0" item="0"/>
          <tpl fld="1" item="121"/>
          <tpl fld="4" item="21"/>
        </tpls>
      </n>
      <n v="12" in="0">
        <tpls c="3">
          <tpl fld="0" item="0"/>
          <tpl fld="1" item="199"/>
          <tpl fld="4" item="19"/>
        </tpls>
      </n>
      <m in="0">
        <tpls c="3">
          <tpl fld="0" item="0"/>
          <tpl fld="1" item="444"/>
          <tpl fld="4" item="28"/>
        </tpls>
      </m>
      <n v="2913" in="0">
        <tpls c="3">
          <tpl fld="0" item="0"/>
          <tpl fld="1" item="107"/>
          <tpl fld="4" item="29"/>
        </tpls>
      </n>
      <n v="660" in="0">
        <tpls c="3">
          <tpl fld="0" item="0"/>
          <tpl fld="1" item="7"/>
          <tpl fld="4" item="29"/>
        </tpls>
      </n>
      <n v="3" in="0">
        <tpls c="3">
          <tpl fld="0" item="0"/>
          <tpl fld="1" item="252"/>
          <tpl fld="4" item="29"/>
        </tpls>
      </n>
      <n v="57" in="0">
        <tpls c="3">
          <tpl fld="0" item="0"/>
          <tpl fld="1" item="121"/>
          <tpl fld="4" item="15"/>
        </tpls>
      </n>
      <m in="0">
        <tpls c="3">
          <tpl fld="0" item="0"/>
          <tpl fld="1" item="60"/>
          <tpl fld="4" item="20"/>
        </tpls>
      </m>
      <m in="0">
        <tpls c="3">
          <tpl fld="0" item="0"/>
          <tpl fld="1" item="157"/>
          <tpl fld="4" item="27"/>
        </tpls>
      </m>
      <m in="0">
        <tpls c="3">
          <tpl fld="0" item="0"/>
          <tpl fld="1" item="395"/>
          <tpl fld="4" item="32"/>
        </tpls>
      </m>
      <m in="0">
        <tpls c="3">
          <tpl fld="0" item="0"/>
          <tpl fld="1" item="248"/>
          <tpl fld="4" item="17"/>
        </tpls>
      </m>
      <m in="0">
        <tpls c="3">
          <tpl fld="0" item="0"/>
          <tpl fld="1" item="227"/>
          <tpl fld="4" item="16"/>
        </tpls>
      </m>
      <m in="0">
        <tpls c="3">
          <tpl fld="0" item="0"/>
          <tpl fld="1" item="166"/>
          <tpl fld="4" item="21"/>
        </tpls>
      </m>
      <n v="1" in="0">
        <tpls c="3">
          <tpl fld="0" item="0"/>
          <tpl fld="1" item="236"/>
          <tpl fld="4" item="27"/>
        </tpls>
      </n>
      <n v="152" in="0">
        <tpls c="3">
          <tpl fld="0" item="0"/>
          <tpl fld="1" item="175"/>
          <tpl fld="4" item="27"/>
        </tpls>
      </n>
      <m in="0">
        <tpls c="3">
          <tpl fld="0" item="0"/>
          <tpl fld="1" item="27"/>
          <tpl fld="4" item="26"/>
        </tpls>
      </m>
      <m in="0">
        <tpls c="3">
          <tpl fld="0" item="0"/>
          <tpl fld="1" item="250"/>
          <tpl fld="4" item="25"/>
        </tpls>
      </m>
      <n v="1138" in="0">
        <tpls c="3">
          <tpl fld="0" item="0"/>
          <tpl fld="1" item="385"/>
          <tpl fld="4" item="25"/>
        </tpls>
      </n>
      <m in="0">
        <tpls c="3">
          <tpl fld="0" item="0"/>
          <tpl fld="1" item="241"/>
          <tpl fld="4" item="24"/>
        </tpls>
      </m>
      <n v="6" in="0">
        <tpls c="3">
          <tpl fld="0" item="0"/>
          <tpl fld="1" item="99"/>
          <tpl fld="4" item="19"/>
        </tpls>
      </n>
      <n v="37" in="0">
        <tpls c="3">
          <tpl fld="0" item="0"/>
          <tpl fld="1" item="114"/>
          <tpl fld="4" item="21"/>
        </tpls>
      </n>
      <n v="136" in="0">
        <tpls c="3">
          <tpl fld="0" item="0"/>
          <tpl fld="1" item="422"/>
          <tpl fld="4" item="27"/>
        </tpls>
      </n>
      <m in="0">
        <tpls c="3">
          <tpl fld="0" item="0"/>
          <tpl fld="1" item="108"/>
          <tpl fld="4" item="22"/>
        </tpls>
      </m>
      <m in="0">
        <tpls c="3">
          <tpl fld="0" item="0"/>
          <tpl fld="1" item="130"/>
          <tpl fld="4" item="26"/>
        </tpls>
      </m>
      <n v="157" in="0">
        <tpls c="3">
          <tpl fld="0" item="0"/>
          <tpl fld="1" item="20"/>
          <tpl fld="4" item="24"/>
        </tpls>
      </n>
      <m in="0">
        <tpls c="3">
          <tpl fld="0" item="0"/>
          <tpl fld="1" item="228"/>
          <tpl fld="4" item="24"/>
        </tpls>
      </m>
      <n v="35" in="0">
        <tpls c="3">
          <tpl fld="0" item="0"/>
          <tpl fld="1" item="309"/>
          <tpl fld="4" item="19"/>
        </tpls>
      </n>
      <n v="35" in="0">
        <tpls c="3">
          <tpl fld="0" item="0"/>
          <tpl fld="1" item="63"/>
          <tpl fld="4" item="20"/>
        </tpls>
      </n>
      <m in="0">
        <tpls c="3">
          <tpl fld="0" item="0"/>
          <tpl fld="1" item="123"/>
          <tpl fld="4" item="15"/>
        </tpls>
      </m>
      <n v="1" in="0">
        <tpls c="3">
          <tpl fld="0" item="0"/>
          <tpl fld="1" item="84"/>
          <tpl fld="4" item="26"/>
        </tpls>
      </n>
      <m in="0">
        <tpls c="3">
          <tpl fld="0" item="0"/>
          <tpl fld="1" item="123"/>
          <tpl fld="4" item="25"/>
        </tpls>
      </m>
      <m in="0">
        <tpls c="3">
          <tpl fld="0" item="0"/>
          <tpl fld="1" item="24"/>
          <tpl fld="4" item="28"/>
        </tpls>
      </m>
      <n v="3" in="0">
        <tpls c="3">
          <tpl fld="0" item="0"/>
          <tpl fld="1" item="326"/>
          <tpl fld="4" item="28"/>
        </tpls>
      </n>
      <m in="0">
        <tpls c="3">
          <tpl fld="0" item="0"/>
          <tpl fld="1" item="19"/>
          <tpl fld="4" item="28"/>
        </tpls>
      </m>
      <n v="1" in="0">
        <tpls c="3">
          <tpl fld="0" item="0"/>
          <tpl fld="1" item="3"/>
          <tpl fld="4" item="23"/>
        </tpls>
      </n>
      <n v="2" in="0">
        <tpls c="3">
          <tpl fld="0" item="0"/>
          <tpl fld="1" item="437"/>
          <tpl fld="4" item="13"/>
        </tpls>
      </n>
      <m in="0">
        <tpls c="3">
          <tpl fld="0" item="0"/>
          <tpl fld="1" item="435"/>
          <tpl fld="4" item="15"/>
        </tpls>
      </m>
      <m in="0">
        <tpls c="3">
          <tpl fld="0" item="0"/>
          <tpl fld="1" item="220"/>
          <tpl fld="4" item="26"/>
        </tpls>
      </m>
      <n v="15" in="0">
        <tpls c="3">
          <tpl fld="0" item="0"/>
          <tpl fld="1" item="294"/>
          <tpl fld="4" item="25"/>
        </tpls>
      </n>
      <n v="25" in="0">
        <tpls c="3">
          <tpl fld="0" item="0"/>
          <tpl fld="1" item="7"/>
          <tpl fld="4" item="28"/>
        </tpls>
      </n>
      <m in="0">
        <tpls c="3">
          <tpl fld="0" item="0"/>
          <tpl fld="1" item="153"/>
          <tpl fld="4" item="28"/>
        </tpls>
      </m>
      <m in="0">
        <tpls c="3">
          <tpl fld="0" item="0"/>
          <tpl fld="1" item="421"/>
          <tpl fld="4" item="28"/>
        </tpls>
      </m>
      <n v="60" in="0">
        <tpls c="3">
          <tpl fld="0" item="0"/>
          <tpl fld="1" item="386"/>
          <tpl fld="4" item="23"/>
        </tpls>
      </n>
      <m in="0">
        <tpls c="3">
          <tpl fld="0" item="0"/>
          <tpl fld="1" item="451"/>
          <tpl fld="4" item="28"/>
        </tpls>
      </m>
      <m in="0">
        <tpls c="3">
          <tpl fld="0" item="0"/>
          <tpl fld="1" item="247"/>
          <tpl fld="4" item="27"/>
        </tpls>
      </m>
      <m in="0">
        <tpls c="3">
          <tpl fld="0" item="0"/>
          <tpl fld="1" item="91"/>
          <tpl fld="4" item="28"/>
        </tpls>
      </m>
      <m in="0">
        <tpls c="3">
          <tpl fld="0" item="0"/>
          <tpl fld="1" item="398"/>
          <tpl fld="4" item="29"/>
        </tpls>
      </m>
      <m in="0">
        <tpls c="3">
          <tpl fld="0" item="0"/>
          <tpl fld="1" item="123"/>
          <tpl fld="4" item="27"/>
        </tpls>
      </m>
      <n v="2" in="0">
        <tpls c="3">
          <tpl fld="0" item="0"/>
          <tpl fld="1" item="124"/>
          <tpl fld="4" item="18"/>
        </tpls>
      </n>
      <n v="1" in="0">
        <tpls c="3">
          <tpl fld="0" item="0"/>
          <tpl fld="1" item="165"/>
          <tpl fld="4" item="17"/>
        </tpls>
      </n>
      <n v="112" in="0">
        <tpls c="3">
          <tpl fld="0" item="0"/>
          <tpl fld="1" item="422"/>
          <tpl fld="4" item="25"/>
        </tpls>
      </n>
      <m in="0">
        <tpls c="3">
          <tpl fld="0" item="0"/>
          <tpl fld="1" item="358"/>
          <tpl fld="4" item="21"/>
        </tpls>
      </m>
      <n v="341" in="0">
        <tpls c="3">
          <tpl fld="0" item="0"/>
          <tpl fld="1" item="215"/>
          <tpl fld="4" item="23"/>
        </tpls>
      </n>
      <m in="0">
        <tpls c="3">
          <tpl fld="0" item="0"/>
          <tpl fld="1" item="198"/>
          <tpl fld="4" item="23"/>
        </tpls>
      </m>
      <n v="8" in="0">
        <tpls c="3">
          <tpl fld="0" item="0"/>
          <tpl fld="1" item="263"/>
          <tpl fld="4" item="23"/>
        </tpls>
      </n>
      <m in="0">
        <tpls c="3">
          <tpl fld="0" item="0"/>
          <tpl fld="1" item="355"/>
          <tpl fld="4" item="29"/>
        </tpls>
      </m>
      <n v="36" in="0">
        <tpls c="3">
          <tpl fld="0" item="0"/>
          <tpl fld="1" item="129"/>
          <tpl fld="4" item="15"/>
        </tpls>
      </n>
      <n v="7" in="0">
        <tpls c="3">
          <tpl fld="0" item="0"/>
          <tpl fld="1" item="422"/>
          <tpl fld="4" item="17"/>
        </tpls>
      </n>
      <m in="0">
        <tpls c="3">
          <tpl fld="0" item="0"/>
          <tpl fld="1" item="31"/>
          <tpl fld="4" item="24"/>
        </tpls>
      </m>
      <n v="27" in="0">
        <tpls c="3">
          <tpl fld="0" item="0"/>
          <tpl fld="1" item="85"/>
          <tpl fld="4" item="28"/>
        </tpls>
      </n>
      <n v="60" in="0">
        <tpls c="3">
          <tpl fld="0" item="0"/>
          <tpl fld="1" item="4"/>
          <tpl fld="4" item="23"/>
        </tpls>
      </n>
      <m in="0">
        <tpls c="3">
          <tpl fld="0" item="0"/>
          <tpl fld="1" item="289"/>
          <tpl fld="4" item="23"/>
        </tpls>
      </m>
      <n v="13" in="0">
        <tpls c="3">
          <tpl fld="0" item="0"/>
          <tpl fld="1" item="131"/>
          <tpl fld="4" item="29"/>
        </tpls>
      </n>
      <m in="0">
        <tpls c="3">
          <tpl fld="0" item="0"/>
          <tpl fld="1" item="407"/>
          <tpl fld="4" item="29"/>
        </tpls>
      </m>
      <m in="0">
        <tpls c="3">
          <tpl fld="0" item="0"/>
          <tpl fld="1" item="396"/>
          <tpl fld="4" item="18"/>
        </tpls>
      </m>
      <m in="0">
        <tpls c="3">
          <tpl fld="0" item="0"/>
          <tpl fld="1" item="341"/>
          <tpl fld="4" item="28"/>
        </tpls>
      </m>
      <m in="0">
        <tpls c="3">
          <tpl fld="0" item="0"/>
          <tpl fld="1" item="169"/>
          <tpl fld="4" item="28"/>
        </tpls>
      </m>
      <m in="0">
        <tpls c="3">
          <tpl fld="0" item="0"/>
          <tpl fld="1" item="181"/>
          <tpl fld="4" item="29"/>
        </tpls>
      </m>
      <n v="2060" in="0">
        <tpls c="3">
          <tpl fld="0" item="0"/>
          <tpl fld="1" item="324"/>
          <tpl fld="4" item="27"/>
        </tpls>
      </n>
      <m in="0">
        <tpls c="3">
          <tpl fld="0" item="0"/>
          <tpl fld="1" item="86"/>
          <tpl fld="4" item="27"/>
        </tpls>
      </m>
      <m in="0">
        <tpls c="3">
          <tpl fld="0" item="0"/>
          <tpl fld="1" item="260"/>
          <tpl fld="4" item="22"/>
        </tpls>
      </m>
      <n v="11" in="0">
        <tpls c="3">
          <tpl fld="0" item="0"/>
          <tpl fld="1" item="57"/>
          <tpl fld="4" item="22"/>
        </tpls>
      </n>
      <n v="28" in="0">
        <tpls c="3">
          <tpl fld="0" item="0"/>
          <tpl fld="1" item="394"/>
          <tpl fld="4" item="15"/>
        </tpls>
      </n>
      <m in="0">
        <tpls c="3">
          <tpl fld="0" item="0"/>
          <tpl fld="1" item="238"/>
          <tpl fld="4" item="20"/>
        </tpls>
      </m>
      <n v="34" in="0">
        <tpls c="3">
          <tpl fld="0" item="0"/>
          <tpl fld="1" item="56"/>
          <tpl fld="4" item="23"/>
        </tpls>
      </n>
      <n v="4" in="0">
        <tpls c="3">
          <tpl fld="0" item="0"/>
          <tpl fld="1" item="366"/>
          <tpl fld="4" item="26"/>
        </tpls>
      </n>
      <m in="0">
        <tpls c="3">
          <tpl fld="0" item="0"/>
          <tpl fld="1" item="243"/>
          <tpl fld="4" item="28"/>
        </tpls>
      </m>
      <m in="0">
        <tpls c="3">
          <tpl fld="0" item="0"/>
          <tpl fld="1" item="307"/>
          <tpl fld="4" item="28"/>
        </tpls>
      </m>
      <m in="0">
        <tpls c="3">
          <tpl fld="0" item="0"/>
          <tpl fld="1" item="325"/>
          <tpl fld="4" item="19"/>
        </tpls>
      </m>
      <m in="0">
        <tpls c="3">
          <tpl fld="0" item="0"/>
          <tpl fld="1" item="155"/>
          <tpl fld="4" item="18"/>
        </tpls>
      </m>
      <m in="0">
        <tpls c="3">
          <tpl fld="0" item="0"/>
          <tpl fld="1" item="361"/>
          <tpl fld="4" item="22"/>
        </tpls>
      </m>
      <n v="20" in="0">
        <tpls c="3">
          <tpl fld="0" item="0"/>
          <tpl fld="1" item="365"/>
          <tpl fld="4" item="26"/>
        </tpls>
      </n>
      <n v="41" in="0">
        <tpls c="3">
          <tpl fld="0" item="0"/>
          <tpl fld="1" item="455"/>
          <tpl fld="4" item="25"/>
        </tpls>
      </n>
      <m in="0">
        <tpls c="3">
          <tpl fld="0" item="0"/>
          <tpl fld="1" item="62"/>
          <tpl fld="4" item="32"/>
        </tpls>
      </m>
      <n v="59" in="0">
        <tpls c="3">
          <tpl fld="0" item="0"/>
          <tpl fld="1" item="400"/>
          <tpl fld="4" item="17"/>
        </tpls>
      </n>
      <n v="1" in="0">
        <tpls c="3">
          <tpl fld="0" item="0"/>
          <tpl fld="1" item="55"/>
          <tpl fld="4" item="28"/>
        </tpls>
      </n>
      <n v="76" in="0">
        <tpls c="3">
          <tpl fld="0" item="0"/>
          <tpl fld="1" item="205"/>
          <tpl fld="4" item="20"/>
        </tpls>
      </n>
      <n v="420" in="0">
        <tpls c="3">
          <tpl fld="0" item="0"/>
          <tpl fld="1" item="141"/>
          <tpl fld="4" item="20"/>
        </tpls>
      </n>
      <m in="0">
        <tpls c="3">
          <tpl fld="0" item="0"/>
          <tpl fld="1" item="152"/>
          <tpl fld="4" item="22"/>
        </tpls>
      </m>
      <m in="0">
        <tpls c="3">
          <tpl fld="0" item="0"/>
          <tpl fld="1" item="284"/>
          <tpl fld="4" item="26"/>
        </tpls>
      </m>
      <m in="0">
        <tpls c="3">
          <tpl fld="0" item="0"/>
          <tpl fld="1" item="31"/>
          <tpl fld="4" item="15"/>
        </tpls>
      </m>
      <n v="36" in="0">
        <tpls c="3">
          <tpl fld="0" item="0"/>
          <tpl fld="1" item="246"/>
          <tpl fld="4" item="15"/>
        </tpls>
      </n>
      <n v="10" in="0">
        <tpls c="3">
          <tpl fld="0" item="0"/>
          <tpl fld="1" item="140"/>
          <tpl fld="4" item="28"/>
        </tpls>
      </n>
      <m in="0">
        <tpls c="3">
          <tpl fld="0" item="0"/>
          <tpl fld="1" item="250"/>
          <tpl fld="4" item="28"/>
        </tpls>
      </m>
      <m in="0">
        <tpls c="3">
          <tpl fld="0" item="0"/>
          <tpl fld="1" item="251"/>
          <tpl fld="4" item="20"/>
        </tpls>
      </m>
      <n v="49" in="0">
        <tpls c="3">
          <tpl fld="0" item="0"/>
          <tpl fld="1" item="381"/>
          <tpl fld="4" item="17"/>
        </tpls>
      </n>
      <m in="0">
        <tpls c="3">
          <tpl fld="0" item="0"/>
          <tpl fld="1" item="185"/>
          <tpl fld="4" item="25"/>
        </tpls>
      </m>
      <n v="10" in="0">
        <tpls c="3">
          <tpl fld="0" item="0"/>
          <tpl fld="1" item="453"/>
          <tpl fld="4" item="28"/>
        </tpls>
      </n>
      <m in="0">
        <tpls c="3">
          <tpl fld="0" item="0"/>
          <tpl fld="1" item="40"/>
          <tpl fld="4" item="23"/>
        </tpls>
      </m>
      <m in="0">
        <tpls c="3">
          <tpl fld="0" item="0"/>
          <tpl fld="1" item="268"/>
          <tpl fld="4" item="23"/>
        </tpls>
      </m>
      <n v="26" in="0">
        <tpls c="3">
          <tpl fld="0" item="0"/>
          <tpl fld="1" item="325"/>
          <tpl fld="4" item="29"/>
        </tpls>
      </n>
      <n v="1444" in="0">
        <tpls c="3">
          <tpl fld="0" item="0"/>
          <tpl fld="1" item="225"/>
          <tpl fld="4" item="29"/>
        </tpls>
      </n>
      <n v="15" in="0">
        <tpls c="3">
          <tpl fld="0" item="0"/>
          <tpl fld="1" item="367"/>
          <tpl fld="4" item="17"/>
        </tpls>
      </n>
      <n v="2" in="0">
        <tpls c="3">
          <tpl fld="0" item="0"/>
          <tpl fld="1" item="242"/>
          <tpl fld="4" item="17"/>
        </tpls>
      </n>
      <m in="0">
        <tpls c="3">
          <tpl fld="0" item="0"/>
          <tpl fld="1" item="98"/>
          <tpl fld="4" item="24"/>
        </tpls>
      </m>
      <m in="0">
        <tpls c="3">
          <tpl fld="0" item="0"/>
          <tpl fld="1" item="12"/>
          <tpl fld="4" item="17"/>
        </tpls>
      </m>
      <n v="2" in="0">
        <tpls c="3">
          <tpl fld="0" item="0"/>
          <tpl fld="1" item="155"/>
          <tpl fld="4" item="29"/>
        </tpls>
      </n>
      <m in="0">
        <tpls c="3">
          <tpl fld="0" item="0"/>
          <tpl fld="1" item="298"/>
          <tpl fld="4" item="21"/>
        </tpls>
      </m>
      <m in="0">
        <tpls c="3">
          <tpl fld="0" item="0"/>
          <tpl fld="1" item="221"/>
          <tpl fld="4" item="23"/>
        </tpls>
      </m>
      <n v="24" in="0">
        <tpls c="3">
          <tpl fld="0" item="0"/>
          <tpl fld="1" item="454"/>
          <tpl fld="4" item="29"/>
        </tpls>
      </n>
      <m in="0">
        <tpls c="3">
          <tpl fld="0" item="0"/>
          <tpl fld="1" item="427"/>
          <tpl fld="4" item="19"/>
        </tpls>
      </m>
      <m in="0">
        <tpls c="3">
          <tpl fld="0" item="0"/>
          <tpl fld="1" item="197"/>
          <tpl fld="4" item="15"/>
        </tpls>
      </m>
      <m in="0">
        <tpls c="3">
          <tpl fld="0" item="0"/>
          <tpl fld="1" item="48"/>
          <tpl fld="4" item="26"/>
        </tpls>
      </m>
      <n v="114" in="0">
        <tpls c="3">
          <tpl fld="0" item="0"/>
          <tpl fld="1" item="233"/>
          <tpl fld="4" item="25"/>
        </tpls>
      </n>
      <n v="13" in="0">
        <tpls c="3">
          <tpl fld="0" item="0"/>
          <tpl fld="1" item="32"/>
          <tpl fld="4" item="28"/>
        </tpls>
      </n>
      <m in="0">
        <tpls c="3">
          <tpl fld="0" item="0"/>
          <tpl fld="1" item="301"/>
          <tpl fld="4" item="28"/>
        </tpls>
      </m>
      <m in="0">
        <tpls c="3">
          <tpl fld="0" item="0"/>
          <tpl fld="1" item="136"/>
          <tpl fld="4" item="28"/>
        </tpls>
      </m>
      <m in="0">
        <tpls c="3">
          <tpl fld="0" item="0"/>
          <tpl fld="1" item="371"/>
          <tpl fld="4" item="23"/>
        </tpls>
      </m>
      <n v="34" in="0">
        <tpls c="3">
          <tpl fld="0" item="0"/>
          <tpl fld="1" item="258"/>
          <tpl fld="4" item="13"/>
        </tpls>
      </n>
      <m in="0">
        <tpls c="3">
          <tpl fld="0" item="0"/>
          <tpl fld="1" item="421"/>
          <tpl fld="4" item="15"/>
        </tpls>
      </m>
      <n v="1072" in="0">
        <tpls c="3">
          <tpl fld="0" item="0"/>
          <tpl fld="1" item="160"/>
          <tpl fld="4" item="25"/>
        </tpls>
      </n>
      <n v="1143" in="0">
        <tpls c="3">
          <tpl fld="0" item="0"/>
          <tpl fld="1" item="377"/>
          <tpl fld="4" item="20"/>
        </tpls>
      </n>
      <n v="4" in="0">
        <tpls c="3">
          <tpl fld="0" item="0"/>
          <tpl fld="1" item="214"/>
          <tpl fld="4" item="28"/>
        </tpls>
      </n>
      <n v="2" in="0">
        <tpls c="3">
          <tpl fld="0" item="0"/>
          <tpl fld="1" item="455"/>
          <tpl fld="4" item="28"/>
        </tpls>
      </n>
      <n v="757" in="0">
        <tpls c="3">
          <tpl fld="0" item="0"/>
          <tpl fld="1" item="99"/>
          <tpl fld="4" item="23"/>
        </tpls>
      </n>
      <n v="64" in="0">
        <tpls c="3">
          <tpl fld="0" item="0"/>
          <tpl fld="1" item="417"/>
          <tpl fld="4" item="23"/>
        </tpls>
      </n>
      <m in="0">
        <tpls c="3">
          <tpl fld="0" item="0"/>
          <tpl fld="1" item="261"/>
          <tpl fld="4" item="17"/>
        </tpls>
      </m>
      <m in="0">
        <tpls c="3">
          <tpl fld="0" item="0"/>
          <tpl fld="1" item="263"/>
          <tpl fld="4" item="21"/>
        </tpls>
      </m>
      <m in="0">
        <tpls c="3">
          <tpl fld="0" item="0"/>
          <tpl fld="1" item="157"/>
          <tpl fld="4" item="21"/>
        </tpls>
      </m>
      <m in="0">
        <tpls c="3">
          <tpl fld="0" item="0"/>
          <tpl fld="1" item="190"/>
          <tpl fld="4" item="23"/>
        </tpls>
      </m>
      <n v="83" in="0">
        <tpls c="3">
          <tpl fld="0" item="0"/>
          <tpl fld="1" item="224"/>
          <tpl fld="4" item="23"/>
        </tpls>
      </n>
      <m in="0">
        <tpls c="3">
          <tpl fld="0" item="0"/>
          <tpl fld="1" item="294"/>
          <tpl fld="4" item="27"/>
        </tpls>
      </m>
      <n v="7" in="0">
        <tpls c="3">
          <tpl fld="0" item="0"/>
          <tpl fld="1" item="417"/>
          <tpl fld="4" item="21"/>
        </tpls>
      </n>
      <m in="0">
        <tpls c="3">
          <tpl fld="0" item="0"/>
          <tpl fld="1" item="1"/>
          <tpl fld="4" item="18"/>
        </tpls>
      </m>
      <m in="0">
        <tpls c="3">
          <tpl fld="0" item="0"/>
          <tpl fld="1" item="278"/>
          <tpl fld="4" item="13"/>
        </tpls>
      </m>
      <n v="1" in="0">
        <tpls c="3">
          <tpl fld="0" item="0"/>
          <tpl fld="1" item="311"/>
          <tpl fld="4" item="18"/>
        </tpls>
      </n>
      <m in="0">
        <tpls c="3">
          <tpl fld="0" item="0"/>
          <tpl fld="1" item="192"/>
          <tpl fld="4" item="15"/>
        </tpls>
      </m>
      <n v="1" in="0">
        <tpls c="3">
          <tpl fld="0" item="0"/>
          <tpl fld="1" item="142"/>
          <tpl fld="4" item="13"/>
        </tpls>
      </n>
      <m in="0">
        <tpls c="3">
          <tpl fld="0" item="0"/>
          <tpl fld="1" item="382"/>
          <tpl fld="4" item="18"/>
        </tpls>
      </m>
      <m in="0">
        <tpls c="3">
          <tpl fld="0" item="0"/>
          <tpl fld="1" item="98"/>
          <tpl fld="4" item="15"/>
        </tpls>
      </m>
      <m in="0">
        <tpls c="3">
          <tpl fld="0" item="0"/>
          <tpl fld="1" item="393"/>
          <tpl fld="4" item="18"/>
        </tpls>
      </m>
      <m in="0">
        <tpls c="3">
          <tpl fld="0" item="0"/>
          <tpl fld="1" item="90"/>
          <tpl fld="4" item="13"/>
        </tpls>
      </m>
      <n v="2" in="0">
        <tpls c="3">
          <tpl fld="0" item="0"/>
          <tpl fld="1" item="417"/>
          <tpl fld="4" item="19"/>
        </tpls>
      </n>
      <m in="0">
        <tpls c="3">
          <tpl fld="0" item="0"/>
          <tpl fld="1" item="211"/>
          <tpl fld="4" item="20"/>
        </tpls>
      </m>
      <n v="5" in="0">
        <tpls c="3">
          <tpl fld="0" item="0"/>
          <tpl fld="1" item="224"/>
          <tpl fld="4" item="17"/>
        </tpls>
      </n>
      <m in="0">
        <tpls c="3">
          <tpl fld="0" item="0"/>
          <tpl fld="1" item="375"/>
          <tpl fld="4" item="21"/>
        </tpls>
      </m>
      <m in="0">
        <tpls c="3">
          <tpl fld="0" item="0"/>
          <tpl fld="1" item="154"/>
          <tpl fld="4" item="23"/>
        </tpls>
      </m>
      <m in="0">
        <tpls c="3">
          <tpl fld="0" item="0"/>
          <tpl fld="1" item="147"/>
          <tpl fld="4" item="25"/>
        </tpls>
      </m>
      <m in="0">
        <tpls c="3">
          <tpl fld="0" item="0"/>
          <tpl fld="1" item="235"/>
          <tpl fld="4" item="28"/>
        </tpls>
      </m>
      <m in="0">
        <tpls c="3">
          <tpl fld="0" item="0"/>
          <tpl fld="1" item="229"/>
          <tpl fld="4" item="28"/>
        </tpls>
      </m>
      <n v="8" in="0">
        <tpls c="3">
          <tpl fld="0" item="0"/>
          <tpl fld="1" item="204"/>
          <tpl fld="4" item="23"/>
        </tpls>
      </n>
      <m in="0">
        <tpls c="3">
          <tpl fld="0" item="0"/>
          <tpl fld="1" item="394"/>
          <tpl fld="4" item="19"/>
        </tpls>
      </m>
      <n v="13" in="0">
        <tpls c="3">
          <tpl fld="0" item="0"/>
          <tpl fld="1" item="180"/>
          <tpl fld="4" item="15"/>
        </tpls>
      </n>
      <m in="0">
        <tpls c="3">
          <tpl fld="0" item="0"/>
          <tpl fld="1" item="379"/>
          <tpl fld="4" item="26"/>
        </tpls>
      </m>
      <n v="50" in="0">
        <tpls c="3">
          <tpl fld="0" item="0"/>
          <tpl fld="1" item="18"/>
          <tpl fld="4" item="25"/>
        </tpls>
      </n>
      <n v="1" in="0">
        <tpls c="3">
          <tpl fld="0" item="0"/>
          <tpl fld="1" item="8"/>
          <tpl fld="4" item="28"/>
        </tpls>
      </n>
      <m in="0">
        <tpls c="3">
          <tpl fld="0" item="0"/>
          <tpl fld="1" item="170"/>
          <tpl fld="4" item="14"/>
        </tpls>
      </m>
      <m in="0">
        <tpls c="3">
          <tpl fld="0" item="0"/>
          <tpl fld="1" item="378"/>
          <tpl fld="4" item="29"/>
        </tpls>
      </m>
      <n v="442" in="0">
        <tpls c="3">
          <tpl fld="0" item="0"/>
          <tpl fld="1" item="438"/>
          <tpl fld="4" item="25"/>
        </tpls>
      </n>
      <n v="70" in="0">
        <tpls c="3">
          <tpl fld="0" item="0"/>
          <tpl fld="1" item="106"/>
          <tpl fld="4" item="27"/>
        </tpls>
      </n>
      <m in="0">
        <tpls c="3">
          <tpl fld="0" item="0"/>
          <tpl fld="1" item="375"/>
          <tpl fld="4" item="22"/>
        </tpls>
      </m>
      <m in="0">
        <tpls c="3">
          <tpl fld="0" item="0"/>
          <tpl fld="1" item="429"/>
          <tpl fld="4" item="22"/>
        </tpls>
      </m>
      <m in="0">
        <tpls c="3">
          <tpl fld="0" item="0"/>
          <tpl fld="1" item="315"/>
          <tpl fld="4" item="17"/>
        </tpls>
      </m>
      <m in="0">
        <tpls c="3">
          <tpl fld="0" item="0"/>
          <tpl fld="1" item="330"/>
          <tpl fld="4" item="18"/>
        </tpls>
      </m>
      <m in="0">
        <tpls c="3">
          <tpl fld="0" item="0"/>
          <tpl fld="1" item="416"/>
          <tpl fld="4" item="21"/>
        </tpls>
      </m>
      <m in="0">
        <tpls c="3">
          <tpl fld="0" item="0"/>
          <tpl fld="1" item="336"/>
          <tpl fld="4" item="23"/>
        </tpls>
      </m>
      <m in="0">
        <tpls c="3">
          <tpl fld="0" item="0"/>
          <tpl fld="1" item="328"/>
          <tpl fld="4" item="29"/>
        </tpls>
      </m>
      <n v="31" in="0">
        <tpls c="3">
          <tpl fld="0" item="0"/>
          <tpl fld="1" item="246"/>
          <tpl fld="4" item="29"/>
        </tpls>
      </n>
      <m in="0">
        <tpls c="3">
          <tpl fld="0" item="0"/>
          <tpl fld="1" item="196"/>
          <tpl fld="4" item="27"/>
        </tpls>
      </m>
      <n v="3" in="0">
        <tpls c="3">
          <tpl fld="0" item="0"/>
          <tpl fld="1" item="271"/>
          <tpl fld="4" item="22"/>
        </tpls>
      </n>
      <m in="0">
        <tpls c="3">
          <tpl fld="0" item="0"/>
          <tpl fld="1" item="245"/>
          <tpl fld="4" item="17"/>
        </tpls>
      </m>
      <m in="0">
        <tpls c="3">
          <tpl fld="0" item="0"/>
          <tpl fld="1" item="401"/>
          <tpl fld="4" item="21"/>
        </tpls>
      </m>
      <n v="24" in="0">
        <tpls c="3">
          <tpl fld="0" item="0"/>
          <tpl fld="1" item="183"/>
          <tpl fld="4" item="28"/>
        </tpls>
      </n>
      <n v="27" in="0">
        <tpls c="3">
          <tpl fld="0" item="0"/>
          <tpl fld="1" item="62"/>
          <tpl fld="4" item="23"/>
        </tpls>
      </n>
      <n v="1138" in="0">
        <tpls c="3">
          <tpl fld="0" item="0"/>
          <tpl fld="1" item="47"/>
          <tpl fld="4" item="27"/>
        </tpls>
      </n>
      <n v="308" in="0">
        <tpls c="3">
          <tpl fld="0" item="0"/>
          <tpl fld="1" item="264"/>
          <tpl fld="4" item="27"/>
        </tpls>
      </n>
      <m in="0">
        <tpls c="3">
          <tpl fld="0" item="0"/>
          <tpl fld="1" item="379"/>
          <tpl fld="4" item="27"/>
        </tpls>
      </m>
      <n v="4" in="0">
        <tpls c="3">
          <tpl fld="0" item="0"/>
          <tpl fld="1" item="204"/>
          <tpl fld="4" item="15"/>
        </tpls>
      </n>
      <m in="0">
        <tpls c="3">
          <tpl fld="0" item="0"/>
          <tpl fld="1" item="384"/>
          <tpl fld="4" item="23"/>
        </tpls>
      </m>
      <m in="0">
        <tpls c="3">
          <tpl fld="0" item="0"/>
          <tpl fld="1" item="127"/>
          <tpl fld="4" item="29"/>
        </tpls>
      </m>
      <m in="0">
        <tpls c="3">
          <tpl fld="0" item="0"/>
          <tpl fld="1" item="6"/>
          <tpl fld="4" item="27"/>
        </tpls>
      </m>
      <m in="0">
        <tpls c="3">
          <tpl fld="0" item="0"/>
          <tpl fld="1" item="158"/>
          <tpl fld="4" item="26"/>
        </tpls>
      </m>
      <n v="29" in="0">
        <tpls c="3">
          <tpl fld="0" item="0"/>
          <tpl fld="1" item="269"/>
          <tpl fld="4" item="26"/>
        </tpls>
      </n>
      <m in="0">
        <tpls c="3">
          <tpl fld="0" item="0"/>
          <tpl fld="1" item="98"/>
          <tpl fld="4" item="26"/>
        </tpls>
      </m>
      <m in="0">
        <tpls c="3">
          <tpl fld="0" item="0"/>
          <tpl fld="1" item="237"/>
          <tpl fld="4" item="14"/>
        </tpls>
      </m>
      <n v="172" in="0">
        <tpls c="3">
          <tpl fld="0" item="0"/>
          <tpl fld="1" item="144"/>
          <tpl fld="4" item="15"/>
        </tpls>
      </n>
      <m in="0">
        <tpls c="3">
          <tpl fld="0" item="0"/>
          <tpl fld="1" item="259"/>
          <tpl fld="4" item="16"/>
        </tpls>
      </m>
      <n v="4" in="0">
        <tpls c="3">
          <tpl fld="0" item="0"/>
          <tpl fld="1" item="393"/>
          <tpl fld="4" item="27"/>
        </tpls>
      </n>
      <m in="0">
        <tpls c="3">
          <tpl fld="0" item="0"/>
          <tpl fld="1" item="78"/>
          <tpl fld="4" item="28"/>
        </tpls>
      </m>
      <n v="103" in="0">
        <tpls c="3">
          <tpl fld="0" item="0"/>
          <tpl fld="1" item="121"/>
          <tpl fld="4" item="29"/>
        </tpls>
      </n>
      <m in="0">
        <tpls c="3">
          <tpl fld="0" item="0"/>
          <tpl fld="1" item="289"/>
          <tpl fld="4" item="29"/>
        </tpls>
      </m>
      <m in="0">
        <tpls c="3">
          <tpl fld="0" item="0"/>
          <tpl fld="1" item="21"/>
          <tpl fld="4" item="13"/>
        </tpls>
      </m>
      <n v="19" in="0">
        <tpls c="3">
          <tpl fld="0" item="0"/>
          <tpl fld="1" item="55"/>
          <tpl fld="4" item="15"/>
        </tpls>
      </n>
      <n v="508" in="0">
        <tpls c="3">
          <tpl fld="0" item="0"/>
          <tpl fld="1" item="149"/>
          <tpl fld="4" item="25"/>
        </tpls>
      </n>
      <m in="0">
        <tpls c="3">
          <tpl fld="0" item="0"/>
          <tpl fld="1" item="31"/>
          <tpl fld="4" item="20"/>
        </tpls>
      </m>
      <m in="0">
        <tpls c="3">
          <tpl fld="0" item="0"/>
          <tpl fld="1" item="90"/>
          <tpl fld="4" item="28"/>
        </tpls>
      </m>
      <n v="10" in="0">
        <tpls c="3">
          <tpl fld="0" item="0"/>
          <tpl fld="1" item="187"/>
          <tpl fld="4" item="28"/>
        </tpls>
      </n>
      <n v="6" in="0">
        <tpls c="3">
          <tpl fld="0" item="0"/>
          <tpl fld="1" item="196"/>
          <tpl fld="4" item="23"/>
        </tpls>
      </n>
      <m in="0">
        <tpls c="3">
          <tpl fld="0" item="0"/>
          <tpl fld="1" item="164"/>
          <tpl fld="4" item="23"/>
        </tpls>
      </m>
      <n v="2" in="0">
        <tpls c="3">
          <tpl fld="0" item="0"/>
          <tpl fld="1" item="144"/>
          <tpl fld="4" item="18"/>
        </tpls>
      </n>
      <m in="0">
        <tpls c="3">
          <tpl fld="0" item="0"/>
          <tpl fld="1" item="131"/>
          <tpl fld="4" item="17"/>
        </tpls>
      </m>
      <n v="30" in="0">
        <tpls c="3">
          <tpl fld="0" item="0"/>
          <tpl fld="1" item="437"/>
          <tpl fld="4" item="25"/>
        </tpls>
      </n>
      <n v="1" in="0">
        <tpls c="3">
          <tpl fld="0" item="0"/>
          <tpl fld="1" item="372"/>
          <tpl fld="4" item="21"/>
        </tpls>
      </n>
      <n v="35" in="0">
        <tpls c="3">
          <tpl fld="0" item="0"/>
          <tpl fld="1" item="44"/>
          <tpl fld="4" item="23"/>
        </tpls>
      </n>
      <n v="382" in="0">
        <tpls c="3">
          <tpl fld="0" item="0"/>
          <tpl fld="1" item="41"/>
          <tpl fld="4" item="23"/>
        </tpls>
      </n>
      <n v="54" in="0">
        <tpls c="3">
          <tpl fld="0" item="0"/>
          <tpl fld="1" item="308"/>
          <tpl fld="4" item="23"/>
        </tpls>
      </n>
      <n v="43" in="0">
        <tpls c="3">
          <tpl fld="0" item="0"/>
          <tpl fld="1" item="14"/>
          <tpl fld="4" item="29"/>
        </tpls>
      </n>
      <n v="86" in="0">
        <tpls c="3">
          <tpl fld="0" item="0"/>
          <tpl fld="1" item="8"/>
          <tpl fld="4" item="15"/>
        </tpls>
      </n>
      <m in="0">
        <tpls c="3">
          <tpl fld="0" item="0"/>
          <tpl fld="1" item="327"/>
          <tpl fld="4" item="17"/>
        </tpls>
      </m>
      <m in="0">
        <tpls c="3">
          <tpl fld="0" item="0"/>
          <tpl fld="1" item="23"/>
          <tpl fld="4" item="28"/>
        </tpls>
      </m>
      <m in="0">
        <tpls c="3">
          <tpl fld="0" item="0"/>
          <tpl fld="1" item="318"/>
          <tpl fld="4" item="23"/>
        </tpls>
      </m>
      <n v="73" in="0">
        <tpls c="3">
          <tpl fld="0" item="0"/>
          <tpl fld="1" item="212"/>
          <tpl fld="4" item="27"/>
        </tpls>
      </n>
      <n v="317" in="0">
        <tpls c="3">
          <tpl fld="0" item="0"/>
          <tpl fld="1" item="438"/>
          <tpl fld="4" item="27"/>
        </tpls>
      </n>
      <n v="225" in="0">
        <tpls c="3">
          <tpl fld="0" item="0"/>
          <tpl fld="1" item="179"/>
          <tpl fld="4" item="27"/>
        </tpls>
      </n>
      <m in="0">
        <tpls c="3">
          <tpl fld="0" item="0"/>
          <tpl fld="1" item="196"/>
          <tpl fld="4" item="22"/>
        </tpls>
      </m>
      <m in="0">
        <tpls c="3">
          <tpl fld="0" item="0"/>
          <tpl fld="1" item="393"/>
          <tpl fld="4" item="17"/>
        </tpls>
      </m>
      <n v="1" in="0">
        <tpls c="3">
          <tpl fld="0" item="0"/>
          <tpl fld="1" item="305"/>
          <tpl fld="4" item="21"/>
        </tpls>
      </n>
      <m in="0">
        <tpls c="3">
          <tpl fld="0" item="0"/>
          <tpl fld="1" item="22"/>
          <tpl fld="4" item="28"/>
        </tpls>
      </m>
      <n v="323" in="0">
        <tpls c="3">
          <tpl fld="0" item="0"/>
          <tpl fld="1" item="39"/>
          <tpl fld="4" item="20"/>
        </tpls>
      </n>
      <m in="0">
        <tpls c="3">
          <tpl fld="0" item="0"/>
          <tpl fld="1" item="443"/>
          <tpl fld="4" item="27"/>
        </tpls>
      </m>
      <n v="17" in="0">
        <tpls c="3">
          <tpl fld="0" item="0"/>
          <tpl fld="1" item="333"/>
          <tpl fld="4" item="28"/>
        </tpls>
      </n>
      <m in="0">
        <tpls c="3">
          <tpl fld="0" item="0"/>
          <tpl fld="1" item="35"/>
          <tpl fld="4" item="29"/>
        </tpls>
      </m>
      <m in="0">
        <tpls c="3">
          <tpl fld="0" item="0"/>
          <tpl fld="1" item="285"/>
          <tpl fld="4" item="29"/>
        </tpls>
      </m>
      <m in="0">
        <tpls c="3">
          <tpl fld="0" item="0"/>
          <tpl fld="1" item="301"/>
          <tpl fld="4" item="19"/>
        </tpls>
      </m>
      <n v="14" in="0">
        <tpls c="3">
          <tpl fld="0" item="0"/>
          <tpl fld="1" item="48"/>
          <tpl fld="4" item="15"/>
        </tpls>
      </n>
      <n v="264" in="0">
        <tpls c="3">
          <tpl fld="0" item="0"/>
          <tpl fld="1" item="319"/>
          <tpl fld="4" item="25"/>
        </tpls>
      </n>
      <n v="18" in="0">
        <tpls c="3">
          <tpl fld="0" item="0"/>
          <tpl fld="1" item="207"/>
          <tpl fld="4" item="15"/>
        </tpls>
      </n>
      <m in="0">
        <tpls c="3">
          <tpl fld="0" item="0"/>
          <tpl fld="1" item="328"/>
          <tpl fld="4" item="28"/>
        </tpls>
      </m>
      <m in="0">
        <tpls c="3">
          <tpl fld="0" item="0"/>
          <tpl fld="1" item="433"/>
          <tpl fld="4" item="28"/>
        </tpls>
      </m>
      <n v="271" in="0">
        <tpls c="3">
          <tpl fld="0" item="0"/>
          <tpl fld="1" item="348"/>
          <tpl fld="4" item="23"/>
        </tpls>
      </n>
      <n v="7" in="0">
        <tpls c="3">
          <tpl fld="0" item="0"/>
          <tpl fld="1" item="27"/>
          <tpl fld="4" item="29"/>
        </tpls>
      </n>
      <n v="15" in="0">
        <tpls c="3">
          <tpl fld="0" item="0"/>
          <tpl fld="1" item="264"/>
          <tpl fld="4" item="19"/>
        </tpls>
      </n>
      <m in="0">
        <tpls c="3">
          <tpl fld="0" item="0"/>
          <tpl fld="1" item="432"/>
          <tpl fld="4" item="17"/>
        </tpls>
      </m>
      <n v="29" in="0">
        <tpls c="3">
          <tpl fld="0" item="0"/>
          <tpl fld="1" item="55"/>
          <tpl fld="4" item="25"/>
        </tpls>
      </n>
      <n v="4" in="0">
        <tpls c="3">
          <tpl fld="0" item="0"/>
          <tpl fld="1" item="360"/>
          <tpl fld="4" item="21"/>
        </tpls>
      </n>
      <n v="235" in="0">
        <tpls c="3">
          <tpl fld="0" item="0"/>
          <tpl fld="1" item="410"/>
          <tpl fld="4" item="23"/>
        </tpls>
      </n>
      <m in="0">
        <tpls c="3">
          <tpl fld="0" item="0"/>
          <tpl fld="1" item="158"/>
          <tpl fld="4" item="23"/>
        </tpls>
      </m>
      <n v="38" in="0">
        <tpls c="3">
          <tpl fld="0" item="0"/>
          <tpl fld="1" item="425"/>
          <tpl fld="4" item="23"/>
        </tpls>
      </n>
      <m in="0">
        <tpls c="3">
          <tpl fld="0" item="0"/>
          <tpl fld="1" item="404"/>
          <tpl fld="4" item="29"/>
        </tpls>
      </m>
      <m in="0">
        <tpls c="3">
          <tpl fld="0" item="0"/>
          <tpl fld="1" item="448"/>
          <tpl fld="4" item="17"/>
        </tpls>
      </m>
      <n v="1" in="0">
        <tpls c="3">
          <tpl fld="0" item="0"/>
          <tpl fld="1" item="242"/>
          <tpl fld="4" item="21"/>
        </tpls>
      </n>
      <n v="20" in="0">
        <tpls c="3">
          <tpl fld="0" item="0"/>
          <tpl fld="1" item="269"/>
          <tpl fld="4" item="28"/>
        </tpls>
      </n>
      <m in="0">
        <tpls c="3">
          <tpl fld="0" item="0"/>
          <tpl fld="1" item="83"/>
          <tpl fld="4" item="23"/>
        </tpls>
      </m>
      <n v="509" in="0">
        <tpls c="3">
          <tpl fld="0" item="0"/>
          <tpl fld="1" item="183"/>
          <tpl fld="4" item="27"/>
        </tpls>
      </n>
      <n v="62" in="0">
        <tpls c="3">
          <tpl fld="0" item="0"/>
          <tpl fld="1" item="38"/>
          <tpl fld="4" item="27"/>
        </tpls>
      </n>
      <n v="46" in="0">
        <tpls c="3">
          <tpl fld="0" item="0"/>
          <tpl fld="1" item="366"/>
          <tpl fld="4" item="27"/>
        </tpls>
      </n>
      <m in="0">
        <tpls c="3">
          <tpl fld="0" item="0"/>
          <tpl fld="1" item="29"/>
          <tpl fld="4" item="19"/>
        </tpls>
      </m>
      <m in="0">
        <tpls c="3">
          <tpl fld="0" item="0"/>
          <tpl fld="1" item="98"/>
          <tpl fld="4" item="28"/>
        </tpls>
      </m>
      <n v="25" in="0">
        <tpls c="3">
          <tpl fld="0" item="0"/>
          <tpl fld="1" item="141"/>
          <tpl fld="4" item="26"/>
        </tpls>
      </n>
      <n v="34" in="0">
        <tpls c="3">
          <tpl fld="0" item="0"/>
          <tpl fld="1" item="312"/>
          <tpl fld="4" item="28"/>
        </tpls>
      </n>
      <n v="38" in="0">
        <tpls c="3">
          <tpl fld="0" item="0"/>
          <tpl fld="1" item="351"/>
          <tpl fld="4" item="28"/>
        </tpls>
      </n>
      <m in="0">
        <tpls c="3">
          <tpl fld="0" item="0"/>
          <tpl fld="1" item="379"/>
          <tpl fld="4" item="16"/>
        </tpls>
      </m>
      <m in="0">
        <tpls c="3">
          <tpl fld="0" item="0"/>
          <tpl fld="1" item="105"/>
          <tpl fld="4" item="16"/>
        </tpls>
      </m>
      <m in="0">
        <tpls c="3">
          <tpl fld="0" item="0"/>
          <tpl fld="1" item="257"/>
          <tpl fld="4" item="22"/>
        </tpls>
      </m>
      <m in="0">
        <tpls c="3">
          <tpl fld="0" item="0"/>
          <tpl fld="1" item="441"/>
          <tpl fld="4" item="22"/>
        </tpls>
      </m>
      <n v="306" in="0">
        <tpls c="3">
          <tpl fld="0" item="0"/>
          <tpl fld="1" item="125"/>
          <tpl fld="4" item="25"/>
        </tpls>
      </n>
      <n v="31" in="0">
        <tpls c="3">
          <tpl fld="0" item="0"/>
          <tpl fld="1" item="120"/>
          <tpl fld="4" item="24"/>
        </tpls>
      </n>
      <m in="0">
        <tpls c="3">
          <tpl fld="0" item="0"/>
          <tpl fld="1" item="432"/>
          <tpl fld="4" item="18"/>
        </tpls>
      </m>
      <n v="13" in="0">
        <tpls c="3">
          <tpl fld="0" item="0"/>
          <tpl fld="1" item="453"/>
          <tpl fld="4" item="21"/>
        </tpls>
      </n>
      <m in="0">
        <tpls c="3">
          <tpl fld="0" item="0"/>
          <tpl fld="1" item="348"/>
          <tpl fld="4" item="16"/>
        </tpls>
      </m>
      <n v="1266" in="0">
        <tpls c="3">
          <tpl fld="0" item="0"/>
          <tpl fld="1" item="288"/>
          <tpl fld="4" item="20"/>
        </tpls>
      </n>
      <n v="13" in="0">
        <tpls c="3">
          <tpl fld="0" item="0"/>
          <tpl fld="1" item="42"/>
          <tpl fld="4" item="22"/>
        </tpls>
      </n>
      <m in="0">
        <tpls c="3">
          <tpl fld="0" item="0"/>
          <tpl fld="1" item="450"/>
          <tpl fld="4" item="26"/>
        </tpls>
      </m>
      <n v="32" in="0">
        <tpls c="3">
          <tpl fld="0" item="0"/>
          <tpl fld="1" item="350"/>
          <tpl fld="4" item="14"/>
        </tpls>
      </n>
      <m in="0">
        <tpls c="3">
          <tpl fld="0" item="0"/>
          <tpl fld="1" item="71"/>
          <tpl fld="4" item="19"/>
        </tpls>
      </m>
      <n v="11" in="0">
        <tpls c="3">
          <tpl fld="0" item="0"/>
          <tpl fld="1" item="442"/>
          <tpl fld="4" item="21"/>
        </tpls>
      </n>
      <m in="0">
        <tpls c="3">
          <tpl fld="0" item="0"/>
          <tpl fld="1" item="323"/>
          <tpl fld="4" item="28"/>
        </tpls>
      </m>
      <m in="0">
        <tpls c="3">
          <tpl fld="0" item="0"/>
          <tpl fld="1" item="273"/>
          <tpl fld="4" item="18"/>
        </tpls>
      </m>
      <n v="13" in="0">
        <tpls c="3">
          <tpl fld="0" item="0"/>
          <tpl fld="1" item="206"/>
          <tpl fld="4" item="17"/>
        </tpls>
      </n>
      <n v="126" in="0">
        <tpls c="3">
          <tpl fld="0" item="0"/>
          <tpl fld="1" item="242"/>
          <tpl fld="4" item="25"/>
        </tpls>
      </n>
      <n v="13" in="0">
        <tpls c="3">
          <tpl fld="0" item="0"/>
          <tpl fld="1" item="255"/>
          <tpl fld="4" item="21"/>
        </tpls>
      </n>
      <n v="85" in="0">
        <tpls c="3">
          <tpl fld="0" item="0"/>
          <tpl fld="1" item="317"/>
          <tpl fld="4" item="23"/>
        </tpls>
      </n>
      <n v="37" in="0">
        <tpls c="3">
          <tpl fld="0" item="0"/>
          <tpl fld="1" item="212"/>
          <tpl fld="4" item="23"/>
        </tpls>
      </n>
      <m in="0">
        <tpls c="3">
          <tpl fld="0" item="0"/>
          <tpl fld="1" item="90"/>
          <tpl fld="4" item="23"/>
        </tpls>
      </m>
      <n v="159" in="0">
        <tpls c="3">
          <tpl fld="0" item="0"/>
          <tpl fld="1" item="420"/>
          <tpl fld="4" item="29"/>
        </tpls>
      </n>
      <n v="5" in="0">
        <tpls c="3">
          <tpl fld="0" item="0"/>
          <tpl fld="1" item="333"/>
          <tpl fld="4" item="18"/>
        </tpls>
      </n>
      <m in="0">
        <tpls c="3">
          <tpl fld="0" item="0"/>
          <tpl fld="1" item="71"/>
          <tpl fld="4" item="17"/>
        </tpls>
      </m>
      <m in="0">
        <tpls c="3">
          <tpl fld="0" item="0"/>
          <tpl fld="1" item="76"/>
          <tpl fld="4" item="25"/>
        </tpls>
      </m>
      <m in="0">
        <tpls c="3">
          <tpl fld="0" item="0"/>
          <tpl fld="1" item="405"/>
          <tpl fld="4" item="21"/>
        </tpls>
      </m>
      <n v="331" in="0">
        <tpls c="3">
          <tpl fld="0" item="0"/>
          <tpl fld="1" item="65"/>
          <tpl fld="4" item="23"/>
        </tpls>
      </n>
      <m in="0">
        <tpls c="3">
          <tpl fld="0" item="0"/>
          <tpl fld="3" item="0"/>
          <tpl fld="4" item="23"/>
        </tpls>
      </m>
      <n v="60" in="0">
        <tpls c="3">
          <tpl fld="0" item="0"/>
          <tpl fld="1" item="403"/>
          <tpl fld="4" item="23"/>
        </tpls>
      </n>
      <n v="48" in="0">
        <tpls c="3">
          <tpl fld="0" item="0"/>
          <tpl fld="1" item="179"/>
          <tpl fld="4" item="14"/>
        </tpls>
      </n>
      <n v="27" in="0">
        <tpls c="3">
          <tpl fld="0" item="0"/>
          <tpl fld="1" item="311"/>
          <tpl fld="4" item="23"/>
        </tpls>
      </n>
      <m in="0">
        <tpls c="3">
          <tpl fld="0" item="0"/>
          <tpl fld="1" item="50"/>
          <tpl fld="4" item="26"/>
        </tpls>
      </m>
      <n v="42" in="0">
        <tpls c="3">
          <tpl fld="0" item="0"/>
          <tpl fld="1" item="65"/>
          <tpl fld="4" item="29"/>
        </tpls>
      </n>
      <n v="2" in="0">
        <tpls c="3">
          <tpl fld="0" item="0"/>
          <tpl fld="1" item="252"/>
          <tpl fld="4" item="27"/>
        </tpls>
      </n>
      <n v="8" in="0">
        <tpls c="3">
          <tpl fld="0" item="0"/>
          <tpl fld="1" item="415"/>
          <tpl fld="4" item="22"/>
        </tpls>
      </n>
      <n v="11" in="0">
        <tpls c="3">
          <tpl fld="0" item="0"/>
          <tpl fld="1" item="417"/>
          <tpl fld="4" item="17"/>
        </tpls>
      </n>
      <m in="0">
        <tpls c="3">
          <tpl fld="0" item="0"/>
          <tpl fld="1" item="53"/>
          <tpl fld="4" item="21"/>
        </tpls>
      </m>
      <n v="134" in="0">
        <tpls c="3">
          <tpl fld="0" item="0"/>
          <tpl fld="1" item="57"/>
          <tpl fld="4" item="20"/>
        </tpls>
      </n>
      <m in="0">
        <tpls c="3">
          <tpl fld="0" item="0"/>
          <tpl fld="1" item="379"/>
          <tpl fld="4" item="28"/>
        </tpls>
      </m>
      <m in="0">
        <tpls c="3">
          <tpl fld="0" item="0"/>
          <tpl fld="1" item="146"/>
          <tpl fld="4" item="29"/>
        </tpls>
      </m>
      <n v="416" in="0">
        <tpls c="3">
          <tpl fld="0" item="0"/>
          <tpl fld="1" item="256"/>
          <tpl fld="4" item="29"/>
        </tpls>
      </n>
      <n v="16" in="0">
        <tpls c="3">
          <tpl fld="0" item="0"/>
          <tpl fld="1" item="180"/>
          <tpl fld="4" item="29"/>
        </tpls>
      </n>
      <n v="127" in="0">
        <tpls c="3">
          <tpl fld="0" item="0"/>
          <tpl fld="1" item="397"/>
          <tpl fld="4" item="27"/>
        </tpls>
      </n>
      <n v="14" in="0">
        <tpls c="3">
          <tpl fld="0" item="0"/>
          <tpl fld="1" item="203"/>
          <tpl fld="4" item="15"/>
        </tpls>
      </n>
      <m in="0">
        <tpls c="3">
          <tpl fld="0" item="0"/>
          <tpl fld="1" item="387"/>
          <tpl fld="4" item="21"/>
        </tpls>
      </m>
      <m in="0">
        <tpls c="3">
          <tpl fld="0" item="0"/>
          <tpl fld="1" item="72"/>
          <tpl fld="4" item="21"/>
        </tpls>
      </m>
      <n v="77" in="0">
        <tpls c="3">
          <tpl fld="0" item="0"/>
          <tpl fld="1" item="161"/>
          <tpl fld="4" item="23"/>
        </tpls>
      </n>
      <m in="0">
        <tpls c="3">
          <tpl fld="0" item="0"/>
          <tpl fld="1" item="90"/>
          <tpl fld="4" item="29"/>
        </tpls>
      </m>
      <n v="206" in="0">
        <tpls c="3">
          <tpl fld="0" item="0"/>
          <tpl fld="1" item="187"/>
          <tpl fld="4" item="29"/>
        </tpls>
      </n>
      <n v="628" in="0">
        <tpls c="3">
          <tpl fld="0" item="0"/>
          <tpl fld="1" item="7"/>
          <tpl fld="4" item="27"/>
        </tpls>
      </n>
      <n v="642" in="1">
        <tpls c="3">
          <tpl fld="0" item="0"/>
          <tpl fld="1" item="20"/>
          <tpl fld="4" item="7"/>
        </tpls>
      </n>
      <n v="116" in="0">
        <tpls c="3">
          <tpl fld="0" item="0"/>
          <tpl fld="1" item="422"/>
          <tpl fld="4" item="20"/>
        </tpls>
      </n>
      <n v="719" in="0">
        <tpls c="3">
          <tpl fld="0" item="0"/>
          <tpl fld="1" item="11"/>
          <tpl fld="4" item="23"/>
        </tpls>
      </n>
      <m in="0">
        <tpls c="3">
          <tpl fld="0" item="0"/>
          <tpl fld="1" item="15"/>
          <tpl fld="4" item="23"/>
        </tpls>
      </m>
      <m in="0">
        <tpls c="3">
          <tpl fld="0" item="0"/>
          <tpl fld="1" item="146"/>
          <tpl fld="4" item="27"/>
        </tpls>
      </m>
      <n v="1" in="0">
        <tpls c="3">
          <tpl fld="0" item="0"/>
          <tpl fld="1" item="357"/>
          <tpl fld="4" item="22"/>
        </tpls>
      </n>
      <n v="11" in="0">
        <tpls c="3">
          <tpl fld="0" item="0"/>
          <tpl fld="1" item="368"/>
          <tpl fld="4" item="22"/>
        </tpls>
      </n>
      <m in="0">
        <tpls c="3">
          <tpl fld="0" item="0"/>
          <tpl fld="1" item="61"/>
          <tpl fld="4" item="26"/>
        </tpls>
      </m>
      <n v="29" in="0">
        <tpls c="3">
          <tpl fld="0" item="0"/>
          <tpl fld="1" item="208"/>
          <tpl fld="4" item="20"/>
        </tpls>
      </n>
      <m in="0">
        <tpls c="3">
          <tpl fld="0" item="0"/>
          <tpl fld="1" item="13"/>
          <tpl fld="4" item="17"/>
        </tpls>
      </m>
      <n v="121" in="0">
        <tpls c="3">
          <tpl fld="0" item="0"/>
          <tpl fld="1" item="57"/>
          <tpl fld="4" item="29"/>
        </tpls>
      </n>
      <m in="0">
        <tpls c="3">
          <tpl fld="0" item="0"/>
          <tpl fld="1" item="1"/>
          <tpl fld="4" item="17"/>
        </tpls>
      </m>
      <n v="985" in="0">
        <tpls c="3">
          <tpl fld="0" item="0"/>
          <tpl fld="1" item="351"/>
          <tpl fld="4" item="23"/>
        </tpls>
      </n>
      <m in="0">
        <tpls c="3">
          <tpl fld="0" item="0"/>
          <tpl fld="1" item="123"/>
          <tpl fld="4" item="29"/>
        </tpls>
      </m>
      <m in="0">
        <tpls c="3">
          <tpl fld="0" item="0"/>
          <tpl fld="1" item="192"/>
          <tpl fld="4" item="13"/>
        </tpls>
      </m>
      <n v="65" in="0">
        <tpls c="3">
          <tpl fld="0" item="0"/>
          <tpl fld="1" item="317"/>
          <tpl fld="4" item="15"/>
        </tpls>
      </n>
      <n v="13" in="0">
        <tpls c="3">
          <tpl fld="0" item="0"/>
          <tpl fld="1" item="255"/>
          <tpl fld="4" item="26"/>
        </tpls>
      </n>
      <n v="2765" in="0">
        <tpls c="3">
          <tpl fld="0" item="0"/>
          <tpl fld="1" item="107"/>
          <tpl fld="4" item="25"/>
        </tpls>
      </n>
      <m in="0">
        <tpls c="3">
          <tpl fld="0" item="0"/>
          <tpl fld="1" item="257"/>
          <tpl fld="4" item="28"/>
        </tpls>
      </m>
      <m in="0">
        <tpls c="3">
          <tpl fld="0" item="0"/>
          <tpl fld="1" item="189"/>
          <tpl fld="4" item="28"/>
        </tpls>
      </m>
      <n v="12" in="0">
        <tpls c="3">
          <tpl fld="0" item="0"/>
          <tpl fld="1" item="330"/>
          <tpl fld="4" item="28"/>
        </tpls>
      </n>
      <n v="1107" in="0">
        <tpls c="3">
          <tpl fld="0" item="0"/>
          <tpl fld="1" item="132"/>
          <tpl fld="4" item="23"/>
        </tpls>
      </n>
      <m in="0">
        <tpls c="3">
          <tpl fld="0" item="0"/>
          <tpl fld="1" item="222"/>
          <tpl fld="4" item="18"/>
        </tpls>
      </m>
      <n v="26" in="0">
        <tpls c="3">
          <tpl fld="0" item="0"/>
          <tpl fld="1" item="282"/>
          <tpl fld="4" item="15"/>
        </tpls>
      </n>
      <m in="0">
        <tpls c="3">
          <tpl fld="0" item="0"/>
          <tpl fld="1" item="73"/>
          <tpl fld="4" item="25"/>
        </tpls>
      </m>
      <n v="44" in="0">
        <tpls c="3">
          <tpl fld="0" item="0"/>
          <tpl fld="1" item="4"/>
          <tpl fld="4" item="25"/>
        </tpls>
      </n>
      <n v="1" in="0">
        <tpls c="3">
          <tpl fld="0" item="0"/>
          <tpl fld="1" item="84"/>
          <tpl fld="4" item="28"/>
        </tpls>
      </n>
      <m in="0">
        <tpls c="3">
          <tpl fld="0" item="0"/>
          <tpl fld="1" item="398"/>
          <tpl fld="4" item="28"/>
        </tpls>
      </m>
      <n v="857" in="0">
        <tpls c="3">
          <tpl fld="0" item="0"/>
          <tpl fld="1" item="312"/>
          <tpl fld="4" item="23"/>
        </tpls>
      </n>
      <n v="66" in="0">
        <tpls c="3">
          <tpl fld="0" item="0"/>
          <tpl fld="1" item="366"/>
          <tpl fld="4" item="23"/>
        </tpls>
      </n>
      <n v="52" in="0">
        <tpls c="3">
          <tpl fld="0" item="0"/>
          <tpl fld="1" item="226"/>
          <tpl fld="4" item="15"/>
        </tpls>
      </n>
      <m in="0">
        <tpls c="3">
          <tpl fld="0" item="0"/>
          <tpl fld="1" item="97"/>
          <tpl fld="4" item="21"/>
        </tpls>
      </m>
      <m in="0">
        <tpls c="3">
          <tpl fld="0" item="0"/>
          <tpl fld="1" item="257"/>
          <tpl fld="4" item="21"/>
        </tpls>
      </m>
      <n v="674" in="0">
        <tpls c="3">
          <tpl fld="0" item="0"/>
          <tpl fld="1" item="281"/>
          <tpl fld="4" item="23"/>
        </tpls>
      </n>
      <m in="0">
        <tpls c="3">
          <tpl fld="0" item="0"/>
          <tpl fld="1" item="298"/>
          <tpl fld="4" item="29"/>
        </tpls>
      </m>
      <m in="0">
        <tpls c="3">
          <tpl fld="0" item="0"/>
          <tpl fld="1" item="112"/>
          <tpl fld="4" item="29"/>
        </tpls>
      </m>
      <n v="120" in="0">
        <tpls c="3">
          <tpl fld="0" item="0"/>
          <tpl fld="1" item="206"/>
          <tpl fld="4" item="27"/>
        </tpls>
      </n>
      <n v="176" in="0">
        <tpls c="3">
          <tpl fld="0" item="0"/>
          <tpl fld="1" item="255"/>
          <tpl fld="4" item="27"/>
        </tpls>
      </n>
      <n v="1" in="0">
        <tpls c="3">
          <tpl fld="0" item="0"/>
          <tpl fld="1" item="56"/>
          <tpl fld="4" item="17"/>
        </tpls>
      </n>
      <n v="1" in="0">
        <tpls c="3">
          <tpl fld="0" item="0"/>
          <tpl fld="1" item="308"/>
          <tpl fld="4" item="21"/>
        </tpls>
      </n>
      <m in="0">
        <tpls c="3">
          <tpl fld="0" item="0"/>
          <tpl fld="1" item="155"/>
          <tpl fld="4" item="21"/>
        </tpls>
      </m>
      <m in="0">
        <tpls c="3">
          <tpl fld="0" item="0"/>
          <tpl fld="1" item="170"/>
          <tpl fld="4" item="28"/>
        </tpls>
      </m>
      <n v="51" in="0">
        <tpls c="3">
          <tpl fld="0" item="0"/>
          <tpl fld="1" item="47"/>
          <tpl fld="4" item="22"/>
        </tpls>
      </n>
      <n v="119" in="0">
        <tpls c="3">
          <tpl fld="0" item="0"/>
          <tpl fld="1" item="38"/>
          <tpl fld="4" item="23"/>
        </tpls>
      </n>
      <m in="0">
        <tpls c="3">
          <tpl fld="0" item="0"/>
          <tpl fld="1" item="278"/>
          <tpl fld="4" item="29"/>
        </tpls>
      </m>
      <n v="13" in="0">
        <tpls c="3">
          <tpl fld="0" item="0"/>
          <tpl fld="1" item="323"/>
          <tpl fld="4" item="27"/>
        </tpls>
      </n>
      <m in="0">
        <tpls c="3">
          <tpl fld="0" item="0"/>
          <tpl fld="1" item="321"/>
          <tpl fld="4" item="20"/>
        </tpls>
      </m>
      <n v="9" in="0">
        <tpls c="3">
          <tpl fld="0" item="0"/>
          <tpl fld="1" item="194"/>
          <tpl fld="4" item="17"/>
        </tpls>
      </n>
      <m in="0">
        <tpls c="3">
          <tpl fld="0" item="0"/>
          <tpl fld="1" item="15"/>
          <tpl fld="4" item="25"/>
        </tpls>
      </m>
      <m in="0">
        <tpls c="3">
          <tpl fld="0" item="0"/>
          <tpl fld="1" item="283"/>
          <tpl fld="4" item="28"/>
        </tpls>
      </m>
      <m in="0">
        <tpls c="3">
          <tpl fld="0" item="0"/>
          <tpl fld="1" item="361"/>
          <tpl fld="4" item="23"/>
        </tpls>
      </m>
      <n v="286" in="0">
        <tpls c="3">
          <tpl fld="0" item="0"/>
          <tpl fld="1" item="420"/>
          <tpl fld="4" item="23"/>
        </tpls>
      </n>
      <n v="285" in="0">
        <tpls c="3">
          <tpl fld="0" item="0"/>
          <tpl fld="1" item="337"/>
          <tpl fld="4" item="23"/>
        </tpls>
      </n>
      <n v="2113" in="0">
        <tpls c="3">
          <tpl fld="0" item="0"/>
          <tpl fld="1" item="324"/>
          <tpl fld="4" item="29"/>
        </tpls>
      </n>
      <m in="0">
        <tpls c="3">
          <tpl fld="0" item="0"/>
          <tpl fld="1" item="404"/>
          <tpl fld="4" item="16"/>
        </tpls>
      </m>
      <m in="0">
        <tpls c="3">
          <tpl fld="0" item="0"/>
          <tpl fld="1" item="223"/>
          <tpl fld="4" item="17"/>
        </tpls>
      </m>
      <n v="38" in="0">
        <tpls c="3">
          <tpl fld="0" item="0"/>
          <tpl fld="1" item="317"/>
          <tpl fld="4" item="24"/>
        </tpls>
      </n>
      <n v="1" in="0">
        <tpls c="3">
          <tpl fld="0" item="0"/>
          <tpl fld="1" item="332"/>
          <tpl fld="4" item="28"/>
        </tpls>
      </n>
      <m in="0">
        <tpls c="3">
          <tpl fld="0" item="0"/>
          <tpl fld="1" item="235"/>
          <tpl fld="4" item="23"/>
        </tpls>
      </m>
      <n v="67" in="0">
        <tpls c="3">
          <tpl fld="0" item="0"/>
          <tpl fld="1" item="205"/>
          <tpl fld="4" item="23"/>
        </tpls>
      </n>
      <n v="1074" in="0">
        <tpls c="3">
          <tpl fld="0" item="0"/>
          <tpl fld="1" item="68"/>
          <tpl fld="4" item="29"/>
        </tpls>
      </n>
      <m in="0">
        <tpls c="3">
          <tpl fld="0" item="0"/>
          <tpl fld="1" item="389"/>
          <tpl fld="4" item="27"/>
        </tpls>
      </m>
      <m in="0">
        <tpls c="3">
          <tpl fld="0" item="0"/>
          <tpl fld="1" item="318"/>
          <tpl fld="4" item="15"/>
        </tpls>
      </m>
      <n v="3" in="0">
        <tpls c="3">
          <tpl fld="0" item="0"/>
          <tpl fld="1" item="219"/>
          <tpl fld="4" item="28"/>
        </tpls>
      </n>
      <m in="0">
        <tpls c="3">
          <tpl fld="0" item="0"/>
          <tpl fld="1" item="51"/>
          <tpl fld="4" item="28"/>
        </tpls>
      </m>
      <m in="0">
        <tpls c="3">
          <tpl fld="0" item="0"/>
          <tpl fld="1" item="147"/>
          <tpl fld="4" item="29"/>
        </tpls>
      </m>
      <m in="0">
        <tpls c="3">
          <tpl fld="0" item="0"/>
          <tpl fld="1" item="392"/>
          <tpl fld="4" item="29"/>
        </tpls>
      </m>
      <n v="11" in="0">
        <tpls c="3">
          <tpl fld="0" item="0"/>
          <tpl fld="1" item="395"/>
          <tpl fld="4" item="22"/>
        </tpls>
      </n>
      <n v="10" in="0">
        <tpls c="3">
          <tpl fld="0" item="0"/>
          <tpl fld="1" item="113"/>
          <tpl fld="4" item="23"/>
        </tpls>
      </n>
      <n v="15" in="0">
        <tpls c="3">
          <tpl fld="0" item="0"/>
          <tpl fld="1" item="64"/>
          <tpl fld="4" item="19"/>
        </tpls>
      </n>
      <n v="37" in="0">
        <tpls c="3">
          <tpl fld="0" item="0"/>
          <tpl fld="1" item="82"/>
          <tpl fld="4" item="19"/>
        </tpls>
      </n>
      <m in="0">
        <tpls c="3">
          <tpl fld="0" item="0"/>
          <tpl fld="1" item="165"/>
          <tpl fld="4" item="18"/>
        </tpls>
      </m>
      <m in="0">
        <tpls c="3">
          <tpl fld="0" item="0"/>
          <tpl fld="1" item="406"/>
          <tpl fld="4" item="21"/>
        </tpls>
      </m>
      <n v="137" in="0">
        <tpls c="3">
          <tpl fld="0" item="0"/>
          <tpl fld="1" item="82"/>
          <tpl fld="4" item="14"/>
        </tpls>
      </n>
      <m in="0">
        <tpls c="3">
          <tpl fld="0" item="0"/>
          <tpl fld="1" item="130"/>
          <tpl fld="4" item="16"/>
        </tpls>
      </m>
      <n v="1" in="0">
        <tpls c="3">
          <tpl fld="0" item="0"/>
          <tpl fld="1" item="29"/>
          <tpl fld="4" item="13"/>
        </tpls>
      </n>
      <n v="7" in="0">
        <tpls c="3">
          <tpl fld="0" item="0"/>
          <tpl fld="1" item="280"/>
          <tpl fld="4" item="17"/>
        </tpls>
      </n>
      <n v="86" in="0">
        <tpls c="3">
          <tpl fld="0" item="0"/>
          <tpl fld="1" item="390"/>
          <tpl fld="4" item="17"/>
        </tpls>
      </n>
      <m in="0">
        <tpls c="3">
          <tpl fld="0" item="0"/>
          <tpl fld="1" item="343"/>
          <tpl fld="4" item="19"/>
        </tpls>
      </m>
      <m in="0">
        <tpls c="3">
          <tpl fld="0" item="0"/>
          <tpl fld="1" item="265"/>
          <tpl fld="4" item="19"/>
        </tpls>
      </m>
      <m in="0">
        <tpls c="3">
          <tpl fld="0" item="0"/>
          <tpl fld="1" item="113"/>
          <tpl fld="4" item="18"/>
        </tpls>
      </m>
      <n v="127" in="0">
        <tpls c="3">
          <tpl fld="0" item="0"/>
          <tpl fld="1" item="397"/>
          <tpl fld="4" item="15"/>
        </tpls>
      </n>
      <n v="2" in="0">
        <tpls c="3">
          <tpl fld="0" item="0"/>
          <tpl fld="1" item="204"/>
          <tpl fld="4" item="20"/>
        </tpls>
      </n>
      <m in="0">
        <tpls c="3">
          <tpl fld="0" item="0"/>
          <tpl fld="1" item="436"/>
          <tpl fld="4" item="18"/>
        </tpls>
      </m>
      <m in="0">
        <tpls c="3">
          <tpl fld="0" item="0"/>
          <tpl fld="1" item="234"/>
          <tpl fld="4" item="21"/>
        </tpls>
      </m>
      <m in="0">
        <tpls c="3">
          <tpl fld="0" item="0"/>
          <tpl fld="1" item="15"/>
          <tpl fld="4" item="27"/>
        </tpls>
      </m>
      <n v="3" in="0">
        <tpls c="3">
          <tpl fld="0" item="0"/>
          <tpl fld="1" item="226"/>
          <tpl fld="4" item="28"/>
        </tpls>
      </n>
      <n v="61" in="0">
        <tpls c="3">
          <tpl fld="0" item="0"/>
          <tpl fld="1" item="89"/>
          <tpl fld="4" item="23"/>
        </tpls>
      </n>
      <n v="1922" in="0">
        <tpls c="3">
          <tpl fld="0" item="0"/>
          <tpl fld="1" item="225"/>
          <tpl fld="4" item="23"/>
        </tpls>
      </n>
      <n v="221" in="0">
        <tpls c="3">
          <tpl fld="0" item="0"/>
          <tpl fld="1" item="410"/>
          <tpl fld="4" item="29"/>
        </tpls>
      </n>
      <n v="35" in="0">
        <tpls c="3">
          <tpl fld="0" item="0"/>
          <tpl fld="1" item="89"/>
          <tpl fld="4" item="20"/>
        </tpls>
      </n>
      <n v="26" in="0">
        <tpls c="3">
          <tpl fld="0" item="0"/>
          <tpl fld="1" item="45"/>
          <tpl fld="4" item="17"/>
        </tpls>
      </n>
      <n v="47" in="0">
        <tpls c="3">
          <tpl fld="0" item="0"/>
          <tpl fld="1" item="342"/>
          <tpl fld="4" item="25"/>
        </tpls>
      </n>
      <n v="4" in="0">
        <tpls c="3">
          <tpl fld="0" item="0"/>
          <tpl fld="1" item="411"/>
          <tpl fld="4" item="28"/>
        </tpls>
      </n>
      <n v="18" in="0">
        <tpls c="3">
          <tpl fld="0" item="0"/>
          <tpl fld="1" item="151"/>
          <tpl fld="4" item="23"/>
        </tpls>
      </n>
      <n v="10" in="0">
        <tpls c="3">
          <tpl fld="0" item="0"/>
          <tpl fld="1" item="127"/>
          <tpl fld="4" item="14"/>
        </tpls>
      </n>
      <m in="0">
        <tpls c="3">
          <tpl fld="0" item="0"/>
          <tpl fld="1" item="328"/>
          <tpl fld="4" item="22"/>
        </tpls>
      </m>
      <m in="0">
        <tpls c="3">
          <tpl fld="0" item="0"/>
          <tpl fld="1" item="56"/>
          <tpl fld="4" item="28"/>
        </tpls>
      </m>
      <m in="0">
        <tpls c="3">
          <tpl fld="0" item="0"/>
          <tpl fld="1" item="303"/>
          <tpl fld="4" item="22"/>
        </tpls>
      </m>
      <n v="9" in="0">
        <tpls c="3">
          <tpl fld="0" item="0"/>
          <tpl fld="1" item="330"/>
          <tpl fld="4" item="26"/>
        </tpls>
      </n>
      <m in="0">
        <tpls c="3">
          <tpl fld="0" item="0"/>
          <tpl fld="1" item="301"/>
          <tpl fld="4" item="26"/>
        </tpls>
      </m>
      <m in="0">
        <tpls c="3">
          <tpl fld="0" item="0"/>
          <tpl fld="1" item="228"/>
          <tpl fld="4" item="17"/>
        </tpls>
      </m>
      <n v="18" in="0">
        <tpls c="3">
          <tpl fld="0" item="0"/>
          <tpl fld="1" item="438"/>
          <tpl fld="4" item="28"/>
        </tpls>
      </n>
      <m in="0">
        <tpls c="3">
          <tpl fld="0" item="0"/>
          <tpl fld="1" item="389"/>
          <tpl fld="4" item="23"/>
        </tpls>
      </m>
      <m in="0">
        <tpls c="3">
          <tpl fld="0" item="0"/>
          <tpl fld="1" item="446"/>
          <tpl fld="4" item="29"/>
        </tpls>
      </m>
      <m in="0">
        <tpls c="3">
          <tpl fld="0" item="0"/>
          <tpl fld="1" item="70"/>
          <tpl fld="4" item="27"/>
        </tpls>
      </m>
      <m in="0">
        <tpls c="3">
          <tpl fld="0" item="0"/>
          <tpl fld="1" item="189"/>
          <tpl fld="4" item="22"/>
        </tpls>
      </m>
      <n v="23" in="0">
        <tpls c="3">
          <tpl fld="0" item="0"/>
          <tpl fld="1" item="381"/>
          <tpl fld="4" item="22"/>
        </tpls>
      </n>
      <n v="4" in="0">
        <tpls c="3">
          <tpl fld="0" item="0"/>
          <tpl fld="1" item="410"/>
          <tpl fld="4" item="26"/>
        </tpls>
      </n>
      <n v="12" in="0">
        <tpls c="3">
          <tpl fld="0" item="0"/>
          <tpl fld="1" item="57"/>
          <tpl fld="4" item="21"/>
        </tpls>
      </n>
      <m in="0">
        <tpls c="3">
          <tpl fld="0" item="0"/>
          <tpl fld="1" item="31"/>
          <tpl fld="4" item="28"/>
        </tpls>
      </m>
      <n v="455" in="0">
        <tpls c="3">
          <tpl fld="0" item="0"/>
          <tpl fld="1" item="365"/>
          <tpl fld="4" item="23"/>
        </tpls>
      </n>
      <m in="0">
        <tpls c="3">
          <tpl fld="0" item="0"/>
          <tpl fld="1" item="34"/>
          <tpl fld="4" item="27"/>
        </tpls>
      </m>
      <n v="31" in="0">
        <tpls c="3">
          <tpl fld="0" item="0"/>
          <tpl fld="1" item="288"/>
          <tpl fld="4" item="22"/>
        </tpls>
      </n>
      <n v="45" in="0">
        <tpls c="3">
          <tpl fld="0" item="0"/>
          <tpl fld="1" item="380"/>
          <tpl fld="4" item="22"/>
        </tpls>
      </n>
      <n v="5" in="0">
        <tpls c="3">
          <tpl fld="0" item="0"/>
          <tpl fld="1" item="411"/>
          <tpl fld="4" item="22"/>
        </tpls>
      </n>
      <m in="0">
        <tpls c="3">
          <tpl fld="0" item="0"/>
          <tpl fld="1" item="355"/>
          <tpl fld="4" item="13"/>
        </tpls>
      </m>
      <m in="0">
        <tpls c="3">
          <tpl fld="0" item="0"/>
          <tpl fld="1" item="15"/>
          <tpl fld="4" item="17"/>
        </tpls>
      </m>
      <m in="0">
        <tpls c="3">
          <tpl fld="0" item="0"/>
          <tpl fld="1" item="321"/>
          <tpl fld="4" item="29"/>
        </tpls>
      </m>
      <n v="880" in="0">
        <tpls c="3">
          <tpl fld="0" item="0"/>
          <tpl fld="1" item="381"/>
          <tpl fld="4" item="27"/>
        </tpls>
      </n>
      <n v="13" in="0">
        <tpls c="3">
          <tpl fld="0" item="0"/>
          <tpl fld="1" item="453"/>
          <tpl fld="4" item="22"/>
        </tpls>
      </n>
      <n v="26" in="0">
        <tpls c="3">
          <tpl fld="0" item="0"/>
          <tpl fld="1" item="212"/>
          <tpl fld="4" item="25"/>
        </tpls>
      </n>
      <n v="6" in="0">
        <tpls c="3">
          <tpl fld="0" item="0"/>
          <tpl fld="1" item="196"/>
          <tpl fld="4" item="25"/>
        </tpls>
      </n>
      <n v="83" in="0">
        <tpls c="3">
          <tpl fld="0" item="0"/>
          <tpl fld="1" item="382"/>
          <tpl fld="4" item="25"/>
        </tpls>
      </n>
      <n v="3" in="0">
        <tpls c="3">
          <tpl fld="0" item="0"/>
          <tpl fld="1" item="332"/>
          <tpl fld="4" item="19"/>
        </tpls>
      </n>
      <m in="0">
        <tpls c="3">
          <tpl fld="0" item="0"/>
          <tpl fld="1" item="451"/>
          <tpl fld="4" item="22"/>
        </tpls>
      </m>
      <n v="11" in="0">
        <tpls c="3">
          <tpl fld="0" item="0"/>
          <tpl fld="1" item="59"/>
          <tpl fld="4" item="23"/>
        </tpls>
      </n>
      <m in="0">
        <tpls c="3">
          <tpl fld="0" item="0"/>
          <tpl fld="1" item="137"/>
          <tpl fld="4" item="22"/>
        </tpls>
      </m>
      <n v="3074" in="0">
        <tpls c="3">
          <tpl fld="0" item="0"/>
          <tpl fld="1" item="313"/>
          <tpl fld="4" item="23"/>
        </tpls>
      </n>
      <n v="50" in="0">
        <tpls c="3">
          <tpl fld="0" item="0"/>
          <tpl fld="1" item="427"/>
          <tpl fld="4" item="27"/>
        </tpls>
      </n>
      <m in="0">
        <tpls c="3">
          <tpl fld="0" item="0"/>
          <tpl fld="1" item="384"/>
          <tpl fld="4" item="27"/>
        </tpls>
      </m>
      <n v="2" in="0">
        <tpls c="3">
          <tpl fld="0" item="0"/>
          <tpl fld="1" item="156"/>
          <tpl fld="4" item="19"/>
        </tpls>
      </n>
      <m in="0">
        <tpls c="3">
          <tpl fld="0" item="0"/>
          <tpl fld="1" item="441"/>
          <tpl fld="4" item="17"/>
        </tpls>
      </m>
      <n v="13" in="0">
        <tpls c="3">
          <tpl fld="0" item="0"/>
          <tpl fld="1" item="44"/>
          <tpl fld="4" item="24"/>
        </tpls>
      </n>
      <m in="0">
        <tpls c="3">
          <tpl fld="0" item="0"/>
          <tpl fld="1" item="436"/>
          <tpl fld="4" item="28"/>
        </tpls>
      </m>
      <m in="0">
        <tpls c="3">
          <tpl fld="0" item="0"/>
          <tpl fld="1" item="341"/>
          <tpl fld="4" item="23"/>
        </tpls>
      </m>
      <m in="0">
        <tpls c="3">
          <tpl fld="0" item="0"/>
          <tpl fld="1" item="188"/>
          <tpl fld="4" item="23"/>
        </tpls>
      </m>
      <m in="0">
        <tpls c="3">
          <tpl fld="0" item="0"/>
          <tpl fld="1" item="96"/>
          <tpl fld="4" item="29"/>
        </tpls>
      </m>
      <n v="6" in="0">
        <tpls c="3">
          <tpl fld="0" item="0"/>
          <tpl fld="1" item="27"/>
          <tpl fld="4" item="27"/>
        </tpls>
      </n>
      <m in="0">
        <tpls c="3">
          <tpl fld="0" item="0"/>
          <tpl fld="1" item="2"/>
          <tpl fld="4" item="21"/>
        </tpls>
      </m>
      <n v="15" in="0">
        <tpls c="3">
          <tpl fld="0" item="0"/>
          <tpl fld="1" item="32"/>
          <tpl fld="4" item="21"/>
        </tpls>
      </n>
      <n v="43" in="0">
        <tpls c="3">
          <tpl fld="0" item="0"/>
          <tpl fld="1" item="431"/>
          <tpl fld="4" item="20"/>
        </tpls>
      </n>
      <m in="0">
        <tpls c="3">
          <tpl fld="0" item="0"/>
          <tpl fld="1" item="346"/>
          <tpl fld="4" item="28"/>
        </tpls>
      </m>
      <n v="721" in="0">
        <tpls c="3">
          <tpl fld="0" item="0"/>
          <tpl fld="1" item="99"/>
          <tpl fld="4" item="29"/>
        </tpls>
      </n>
      <n v="68" in="0">
        <tpls c="3">
          <tpl fld="0" item="0"/>
          <tpl fld="1" item="258"/>
          <tpl fld="4" item="29"/>
        </tpls>
      </n>
      <n v="113" in="0">
        <tpls c="3">
          <tpl fld="0" item="0"/>
          <tpl fld="1" item="322"/>
          <tpl fld="4" item="29"/>
        </tpls>
      </n>
      <n v="422" in="0">
        <tpls c="3">
          <tpl fld="0" item="0"/>
          <tpl fld="1" item="333"/>
          <tpl fld="4" item="27"/>
        </tpls>
      </n>
      <m in="0">
        <tpls c="3">
          <tpl fld="0" item="0"/>
          <tpl fld="1" item="243"/>
          <tpl fld="4" item="21"/>
        </tpls>
      </m>
      <m in="0">
        <tpls c="3">
          <tpl fld="0" item="0"/>
          <tpl fld="1" item="429"/>
          <tpl fld="4" item="28"/>
        </tpls>
      </m>
      <m in="0">
        <tpls c="3">
          <tpl fld="0" item="0"/>
          <tpl fld="1" item="408"/>
          <tpl fld="4" item="23"/>
        </tpls>
      </m>
      <n v="111" in="0">
        <tpls c="3">
          <tpl fld="0" item="0"/>
          <tpl fld="1" item="304"/>
          <tpl fld="4" item="29"/>
        </tpls>
      </n>
      <n v="8" in="0">
        <tpls c="3">
          <tpl fld="0" item="0"/>
          <tpl fld="1" item="319"/>
          <tpl fld="4" item="22"/>
        </tpls>
      </n>
      <m in="0">
        <tpls c="3">
          <tpl fld="0" item="0"/>
          <tpl fld="1" item="29"/>
          <tpl fld="4" item="22"/>
        </tpls>
      </m>
      <n v="11" in="0">
        <tpls c="3">
          <tpl fld="0" item="0"/>
          <tpl fld="1" item="39"/>
          <tpl fld="4" item="22"/>
        </tpls>
      </n>
      <m in="0">
        <tpls c="3">
          <tpl fld="0" item="0"/>
          <tpl fld="1" item="344"/>
          <tpl fld="4" item="26"/>
        </tpls>
      </m>
      <n v="2" in="0">
        <tpls c="3">
          <tpl fld="0" item="0"/>
          <tpl fld="1" item="366"/>
          <tpl fld="4" item="28"/>
        </tpls>
      </n>
      <n v="454" in="0">
        <tpls c="3">
          <tpl fld="0" item="0"/>
          <tpl fld="1" item="309"/>
          <tpl fld="4" item="23"/>
        </tpls>
      </n>
      <m in="0">
        <tpls c="3">
          <tpl fld="0" item="0"/>
          <tpl fld="1" item="257"/>
          <tpl fld="4" item="26"/>
        </tpls>
      </m>
      <m in="0">
        <tpls c="3">
          <tpl fld="0" item="0"/>
          <tpl fld="1" item="62"/>
          <tpl fld="4" item="29"/>
        </tpls>
      </m>
      <n v="1087" in="0">
        <tpls c="3">
          <tpl fld="0" item="0"/>
          <tpl fld="1" item="377"/>
          <tpl fld="4" item="27"/>
        </tpls>
      </n>
      <n v="832" in="0">
        <tpls c="3">
          <tpl fld="0" item="0"/>
          <tpl fld="1" item="447"/>
          <tpl fld="4" item="27"/>
        </tpls>
      </n>
      <m in="0">
        <tpls c="3">
          <tpl fld="0" item="0"/>
          <tpl fld="1" item="352"/>
          <tpl fld="4" item="20"/>
        </tpls>
      </m>
      <m in="0">
        <tpls c="3">
          <tpl fld="0" item="0"/>
          <tpl fld="1" item="248"/>
          <tpl fld="4" item="21"/>
        </tpls>
      </m>
      <n v="162" in="0">
        <tpls c="3">
          <tpl fld="0" item="0"/>
          <tpl fld="1" item="256"/>
          <tpl fld="4" item="24"/>
        </tpls>
      </n>
      <m in="0">
        <tpls c="3">
          <tpl fld="0" item="0"/>
          <tpl fld="2" item="0"/>
          <tpl fld="4" item="28"/>
        </tpls>
      </m>
      <n v="158" in="0">
        <tpls c="3">
          <tpl fld="0" item="0"/>
          <tpl fld="1" item="64"/>
          <tpl fld="4" item="29"/>
        </tpls>
      </n>
      <m in="0">
        <tpls c="3">
          <tpl fld="0" item="0"/>
          <tpl fld="1" item="92"/>
          <tpl fld="4" item="29"/>
        </tpls>
      </m>
      <m in="0">
        <tpls c="3">
          <tpl fld="0" item="0"/>
          <tpl fld="1" item="74"/>
          <tpl fld="4" item="29"/>
        </tpls>
      </m>
      <n v="27" in="0">
        <tpls c="3">
          <tpl fld="0" item="0"/>
          <tpl fld="1" item="334"/>
          <tpl fld="4" item="27"/>
        </tpls>
      </n>
      <n v="27" in="0">
        <tpls c="3">
          <tpl fld="0" item="0"/>
          <tpl fld="1" item="11"/>
          <tpl fld="4" item="16"/>
        </tpls>
      </n>
      <n v="8" in="0">
        <tpls c="3">
          <tpl fld="0" item="0"/>
          <tpl fld="1" item="182"/>
          <tpl fld="4" item="21"/>
        </tpls>
      </n>
      <m in="0">
        <tpls c="3">
          <tpl fld="0" item="0"/>
          <tpl fld="1" item="34"/>
          <tpl fld="4" item="15"/>
        </tpls>
      </m>
      <n v="14" in="0">
        <tpls c="3">
          <tpl fld="0" item="0"/>
          <tpl fld="1" item="2"/>
          <tpl fld="4" item="23"/>
        </tpls>
      </n>
      <n v="1117" in="0">
        <tpls c="3">
          <tpl fld="0" item="0"/>
          <tpl fld="1" item="377"/>
          <tpl fld="4" item="29"/>
        </tpls>
      </n>
      <m in="0">
        <tpls c="3">
          <tpl fld="0" item="0"/>
          <tpl fld="1" item="1"/>
          <tpl fld="4" item="29"/>
        </tpls>
      </m>
      <m in="0">
        <tpls c="3">
          <tpl fld="0" item="0"/>
          <tpl fld="1" item="416"/>
          <tpl fld="4" item="29"/>
        </tpls>
      </m>
      <m in="0">
        <tpls c="3">
          <tpl fld="0" item="0"/>
          <tpl fld="1" item="110"/>
          <tpl fld="4" item="27"/>
        </tpls>
      </m>
      <n v="1" in="0">
        <tpls c="3">
          <tpl fld="0" item="0"/>
          <tpl fld="1" item="54"/>
          <tpl fld="4" item="28"/>
        </tpls>
      </n>
      <n v="1302" in="0">
        <tpls c="3">
          <tpl fld="0" item="0"/>
          <tpl fld="1" item="45"/>
          <tpl fld="4" item="23"/>
        </tpls>
      </n>
      <m in="0">
        <tpls c="3">
          <tpl fld="0" item="0"/>
          <tpl fld="1" item="118"/>
          <tpl fld="4" item="27"/>
        </tpls>
      </m>
      <m in="0">
        <tpls c="3">
          <tpl fld="0" item="0"/>
          <tpl fld="1" item="147"/>
          <tpl fld="4" item="22"/>
        </tpls>
      </m>
      <m in="0">
        <tpls c="3">
          <tpl fld="0" item="0"/>
          <tpl fld="1" item="19"/>
          <tpl fld="4" item="22"/>
        </tpls>
      </m>
      <n v="13" in="0">
        <tpls c="3">
          <tpl fld="0" item="0"/>
          <tpl fld="1" item="20"/>
          <tpl fld="4" item="22"/>
        </tpls>
      </n>
      <n v="68" in="0">
        <tpls c="3">
          <tpl fld="0" item="0"/>
          <tpl fld="1" item="382"/>
          <tpl fld="4" item="15"/>
        </tpls>
      </n>
      <n v="23" in="0">
        <tpls c="3">
          <tpl fld="0" item="0"/>
          <tpl fld="1" item="126"/>
          <tpl fld="4" item="29"/>
        </tpls>
      </n>
      <m in="0">
        <tpls c="3">
          <tpl fld="0" item="0"/>
          <tpl fld="1" item="218"/>
          <tpl fld="4" item="20"/>
        </tpls>
      </m>
      <n v="582" in="0">
        <tpls c="3">
          <tpl fld="0" item="0"/>
          <tpl fld="1" item="114"/>
          <tpl fld="4" item="23"/>
        </tpls>
      </n>
      <n v="5" in="0">
        <tpls c="3">
          <tpl fld="0" item="0"/>
          <tpl fld="1" item="359"/>
          <tpl fld="4" item="23"/>
        </tpls>
      </n>
      <n v="1" in="0">
        <tpls c="3">
          <tpl fld="0" item="0"/>
          <tpl fld="1" item="397"/>
          <tpl fld="4" item="16"/>
        </tpls>
      </n>
      <n v="54" in="0">
        <tpls c="3">
          <tpl fld="0" item="0"/>
          <tpl fld="1" item="282"/>
          <tpl fld="4" item="20"/>
        </tpls>
      </n>
      <m in="0">
        <tpls c="3">
          <tpl fld="0" item="0"/>
          <tpl fld="1" item="153"/>
          <tpl fld="4" item="26"/>
        </tpls>
      </m>
      <n v="8" in="0">
        <tpls c="3">
          <tpl fld="0" item="0"/>
          <tpl fld="1" item="354"/>
          <tpl fld="4" item="26"/>
        </tpls>
      </n>
      <m in="0">
        <tpls c="3">
          <tpl fld="0" item="0"/>
          <tpl fld="1" item="51"/>
          <tpl fld="4" item="21"/>
        </tpls>
      </m>
      <m in="0">
        <tpls c="3">
          <tpl fld="0" item="0"/>
          <tpl fld="1" item="391"/>
          <tpl fld="4" item="21"/>
        </tpls>
      </m>
      <n v="4" in="0">
        <tpls c="3">
          <tpl fld="0" item="0"/>
          <tpl fld="1" item="212"/>
          <tpl fld="4" item="28"/>
        </tpls>
      </n>
      <n v="16" in="0">
        <tpls c="3">
          <tpl fld="0" item="0"/>
          <tpl fld="1" item="412"/>
          <tpl fld="4" item="23"/>
        </tpls>
      </n>
      <n v="10" in="0">
        <tpls c="3">
          <tpl fld="0" item="0"/>
          <tpl fld="1" item="290"/>
          <tpl fld="4" item="19"/>
        </tpls>
      </n>
      <n v="28" in="0">
        <tpls c="3">
          <tpl fld="0" item="0"/>
          <tpl fld="1" item="126"/>
          <tpl fld="4" item="15"/>
        </tpls>
      </n>
      <m in="0">
        <tpls c="3">
          <tpl fld="0" item="0"/>
          <tpl fld="1" item="321"/>
          <tpl fld="4" item="26"/>
        </tpls>
      </m>
      <m in="0">
        <tpls c="3">
          <tpl fld="0" item="0"/>
          <tpl fld="1" item="22"/>
          <tpl fld="4" item="25"/>
        </tpls>
      </m>
      <n v="74" in="0">
        <tpls c="3">
          <tpl fld="0" item="0"/>
          <tpl fld="1" item="47"/>
          <tpl fld="4" item="28"/>
        </tpls>
      </n>
      <n v="2" in="0">
        <tpls c="3">
          <tpl fld="0" item="0"/>
          <tpl fld="1" item="267"/>
          <tpl fld="4" item="28"/>
        </tpls>
      </n>
      <m in="0">
        <tpls c="3">
          <tpl fld="0" item="0"/>
          <tpl fld="1" item="443"/>
          <tpl fld="4" item="28"/>
        </tpls>
      </m>
      <m in="0">
        <tpls c="3">
          <tpl fld="0" item="0"/>
          <tpl fld="1" item="349"/>
          <tpl fld="4" item="23"/>
        </tpls>
      </m>
      <m in="0">
        <tpls c="3">
          <tpl fld="0" item="0"/>
          <tpl fld="1" item="58"/>
          <tpl fld="4" item="21"/>
        </tpls>
      </m>
      <m in="0">
        <tpls c="3">
          <tpl fld="0" item="0"/>
          <tpl fld="1" item="301"/>
          <tpl fld="4" item="21"/>
        </tpls>
      </m>
      <m in="0">
        <tpls c="3">
          <tpl fld="0" item="0"/>
          <tpl fld="1" item="122"/>
          <tpl fld="4" item="20"/>
        </tpls>
      </m>
      <m in="0">
        <tpls c="3">
          <tpl fld="0" item="0"/>
          <tpl fld="1" item="152"/>
          <tpl fld="4" item="28"/>
        </tpls>
      </m>
      <m in="0">
        <tpls c="3">
          <tpl fld="0" item="0"/>
          <tpl fld="1" item="450"/>
          <tpl fld="4" item="29"/>
        </tpls>
      </m>
      <m in="0">
        <tpls c="3">
          <tpl fld="0" item="0"/>
          <tpl fld="1" item="362"/>
          <tpl fld="4" item="29"/>
        </tpls>
      </m>
      <m in="0">
        <tpls c="3">
          <tpl fld="0" item="0"/>
          <tpl fld="1" item="297"/>
          <tpl fld="4" item="29"/>
        </tpls>
      </m>
      <m in="0">
        <tpls c="3">
          <tpl fld="0" item="0"/>
          <tpl fld="1" item="74"/>
          <tpl fld="4" item="27"/>
        </tpls>
      </m>
      <m in="0">
        <tpls c="3">
          <tpl fld="0" item="0"/>
          <tpl fld="1" item="76"/>
          <tpl fld="4" item="18"/>
        </tpls>
      </m>
      <n v="104" in="0">
        <tpls c="3">
          <tpl fld="0" item="0"/>
          <tpl fld="1" item="380"/>
          <tpl fld="4" item="21"/>
        </tpls>
      </n>
      <m in="0">
        <tpls c="3">
          <tpl fld="0" item="0"/>
          <tpl fld="1" item="260"/>
          <tpl fld="4" item="17"/>
        </tpls>
      </m>
      <n v="194" in="0">
        <tpls c="3">
          <tpl fld="0" item="0"/>
          <tpl fld="1" item="367"/>
          <tpl fld="4" item="23"/>
        </tpls>
      </n>
      <n v="30" in="0">
        <tpls c="3">
          <tpl fld="0" item="0"/>
          <tpl fld="1" item="151"/>
          <tpl fld="4" item="29"/>
        </tpls>
      </n>
      <n v="13" in="0">
        <tpls c="3">
          <tpl fld="0" item="0"/>
          <tpl fld="1" item="419"/>
          <tpl fld="4" item="29"/>
        </tpls>
      </n>
      <m in="0">
        <tpls c="3">
          <tpl fld="0" item="0"/>
          <tpl fld="1" item="285"/>
          <tpl fld="4" item="27"/>
        </tpls>
      </m>
      <n v="1" in="0">
        <tpls c="3">
          <tpl fld="0" item="0"/>
          <tpl fld="1" item="433"/>
          <tpl fld="4" item="13"/>
        </tpls>
      </n>
      <m in="0">
        <tpls c="3">
          <tpl fld="0" item="0"/>
          <tpl fld="1" item="291"/>
          <tpl fld="4" item="27"/>
        </tpls>
      </m>
      <m in="0">
        <tpls c="3">
          <tpl fld="0" item="0"/>
          <tpl fld="1" item="413"/>
          <tpl fld="4" item="15"/>
        </tpls>
      </m>
      <m in="0">
        <tpls c="3">
          <tpl fld="0" item="0"/>
          <tpl fld="1" item="307"/>
          <tpl fld="4" item="27"/>
        </tpls>
      </m>
      <m in="0">
        <tpls c="3">
          <tpl fld="0" item="0"/>
          <tpl fld="1" item="373"/>
          <tpl fld="4" item="22"/>
        </tpls>
      </m>
      <m in="0">
        <tpls c="3">
          <tpl fld="0" item="0"/>
          <tpl fld="1" item="314"/>
          <tpl fld="4" item="26"/>
        </tpls>
      </m>
      <n v="11" in="0">
        <tpls c="3">
          <tpl fld="0" item="0"/>
          <tpl fld="1" item="420"/>
          <tpl fld="4" item="21"/>
        </tpls>
      </n>
      <n v="3" in="0">
        <tpls c="3">
          <tpl fld="0" item="0"/>
          <tpl fld="1" item="296"/>
          <tpl fld="4" item="21"/>
        </tpls>
      </n>
      <n v="22" in="0">
        <tpls c="3">
          <tpl fld="0" item="0"/>
          <tpl fld="1" item="256"/>
          <tpl fld="4" item="28"/>
        </tpls>
      </n>
      <n v="24" in="0">
        <tpls c="3">
          <tpl fld="0" item="0"/>
          <tpl fld="1" item="433"/>
          <tpl fld="4" item="29"/>
        </tpls>
      </n>
      <m in="0">
        <tpls c="3">
          <tpl fld="0" item="0"/>
          <tpl fld="1" item="147"/>
          <tpl fld="4" item="27"/>
        </tpls>
      </m>
      <n v="7" in="0">
        <tpls c="3">
          <tpl fld="0" item="0"/>
          <tpl fld="1" item="207"/>
          <tpl fld="4" item="27"/>
        </tpls>
      </n>
      <n v="391" in="0">
        <tpls c="3">
          <tpl fld="0" item="0"/>
          <tpl fld="1" item="82"/>
          <tpl fld="4" item="27"/>
        </tpls>
      </n>
      <m in="0">
        <tpls c="3">
          <tpl fld="0" item="0"/>
          <tpl fld="1" item="119"/>
          <tpl fld="4" item="22"/>
        </tpls>
      </m>
      <n v="29" in="0">
        <tpls c="3">
          <tpl fld="0" item="0"/>
          <tpl fld="1" item="172"/>
          <tpl fld="4" item="15"/>
        </tpls>
      </n>
      <m in="0">
        <tpls c="3">
          <tpl fld="0" item="0"/>
          <tpl fld="1" item="178"/>
          <tpl fld="4" item="28"/>
        </tpls>
      </m>
      <m in="0">
        <tpls c="3">
          <tpl fld="0" item="0"/>
          <tpl fld="1" item="83"/>
          <tpl fld="4" item="28"/>
        </tpls>
      </m>
      <m in="0">
        <tpls c="3">
          <tpl fld="0" item="0"/>
          <tpl fld="1" item="170"/>
          <tpl fld="4" item="29"/>
        </tpls>
      </m>
      <n v="24" in="0">
        <tpls c="3">
          <tpl fld="0" item="0"/>
          <tpl fld="1" item="325"/>
          <tpl fld="4" item="27"/>
        </tpls>
      </n>
      <n v="8" in="0">
        <tpls c="3">
          <tpl fld="0" item="0"/>
          <tpl fld="1" item="152"/>
          <tpl fld="4" item="27"/>
        </tpls>
      </n>
      <n v="1" in="0">
        <tpls c="3">
          <tpl fld="0" item="0"/>
          <tpl fld="1" item="323"/>
          <tpl fld="4" item="22"/>
        </tpls>
      </n>
      <n v="5" in="0">
        <tpls c="3">
          <tpl fld="0" item="0"/>
          <tpl fld="1" item="209"/>
          <tpl fld="4" item="17"/>
        </tpls>
      </n>
      <n v="40" in="0">
        <tpls c="3">
          <tpl fld="0" item="0"/>
          <tpl fld="1" item="327"/>
          <tpl fld="4" item="29"/>
        </tpls>
      </n>
      <n v="885" in="0">
        <tpls c="3">
          <tpl fld="0" item="0"/>
          <tpl fld="1" item="447"/>
          <tpl fld="4" item="29"/>
        </tpls>
      </n>
      <m in="0">
        <tpls c="3">
          <tpl fld="0" item="0"/>
          <tpl fld="1" item="232"/>
          <tpl fld="4" item="22"/>
        </tpls>
      </m>
      <m in="0">
        <tpls c="3">
          <tpl fld="0" item="0"/>
          <tpl fld="1" item="178"/>
          <tpl fld="4" item="26"/>
        </tpls>
      </m>
      <m in="0">
        <tpls c="3">
          <tpl fld="0" item="0"/>
          <tpl fld="1" item="146"/>
          <tpl fld="4" item="26"/>
        </tpls>
      </m>
      <n v="893" in="0">
        <tpls c="3">
          <tpl fld="0" item="0"/>
          <tpl fld="1" item="132"/>
          <tpl fld="4" item="25"/>
        </tpls>
      </n>
      <n v="4" in="0">
        <tpls c="3">
          <tpl fld="0" item="0"/>
          <tpl fld="1" item="161"/>
          <tpl fld="4" item="17"/>
        </tpls>
      </n>
      <n v="17" in="0">
        <tpls c="3">
          <tpl fld="0" item="0"/>
          <tpl fld="1" item="139"/>
          <tpl fld="4" item="28"/>
        </tpls>
      </n>
      <n v="18" in="0">
        <tpls c="3">
          <tpl fld="0" item="0"/>
          <tpl fld="1" item="281"/>
          <tpl fld="4" item="22"/>
        </tpls>
      </n>
      <m in="0">
        <tpls c="3">
          <tpl fld="0" item="0"/>
          <tpl fld="1" item="428"/>
          <tpl fld="4" item="23"/>
        </tpls>
      </m>
      <m in="0">
        <tpls c="3">
          <tpl fld="0" item="0"/>
          <tpl fld="1" item="88"/>
          <tpl fld="4" item="29"/>
        </tpls>
      </m>
      <n v="18" in="0">
        <tpls c="3">
          <tpl fld="0" item="0"/>
          <tpl fld="1" item="3"/>
          <tpl fld="4" item="27"/>
        </tpls>
      </n>
      <m in="0">
        <tpls c="3">
          <tpl fld="0" item="0"/>
          <tpl fld="1" item="197"/>
          <tpl fld="4" item="13"/>
        </tpls>
      </m>
      <m in="0">
        <tpls c="3">
          <tpl fld="0" item="0"/>
          <tpl fld="1" item="294"/>
          <tpl fld="4" item="17"/>
        </tpls>
      </m>
      <n v="14" in="0">
        <tpls c="3">
          <tpl fld="0" item="0"/>
          <tpl fld="1" item="252"/>
          <tpl fld="4" item="25"/>
        </tpls>
      </n>
      <n v="6" in="0">
        <tpls c="3">
          <tpl fld="0" item="0"/>
          <tpl fld="1" item="64"/>
          <tpl fld="4" item="21"/>
        </tpls>
      </n>
      <m in="0">
        <tpls c="3">
          <tpl fld="0" item="0"/>
          <tpl fld="1" item="36"/>
          <tpl fld="4" item="23"/>
        </tpls>
      </m>
      <m in="0">
        <tpls c="3">
          <tpl fld="0" item="0"/>
          <tpl fld="1" item="435"/>
          <tpl fld="4" item="23"/>
        </tpls>
      </m>
      <m in="0">
        <tpls c="3">
          <tpl fld="0" item="0"/>
          <tpl fld="1" item="304"/>
          <tpl fld="4" item="23"/>
        </tpls>
      </m>
      <m in="0">
        <tpls c="3">
          <tpl fld="0" item="0"/>
          <tpl fld="1" item="216"/>
          <tpl fld="4" item="29"/>
        </tpls>
      </m>
      <n v="18" in="0">
        <tpls c="3">
          <tpl fld="0" item="0"/>
          <tpl fld="1" item="337"/>
          <tpl fld="4" item="17"/>
        </tpls>
      </n>
      <m in="0">
        <tpls c="3">
          <tpl fld="0" item="0"/>
          <tpl fld="1" item="252"/>
          <tpl fld="4" item="17"/>
        </tpls>
      </m>
      <n v="8" in="0">
        <tpls c="3">
          <tpl fld="0" item="0"/>
          <tpl fld="1" item="412"/>
          <tpl fld="4" item="24"/>
        </tpls>
      </n>
      <m in="0">
        <tpls c="3">
          <tpl fld="0" item="0"/>
          <tpl fld="1" item="349"/>
          <tpl fld="4" item="28"/>
        </tpls>
      </m>
      <m in="0">
        <tpls c="3">
          <tpl fld="0" item="0"/>
          <tpl fld="1" item="135"/>
          <tpl fld="4" item="23"/>
        </tpls>
      </m>
      <n v="7" in="0">
        <tpls c="3">
          <tpl fld="0" item="0"/>
          <tpl fld="1" item="441"/>
          <tpl fld="4" item="23"/>
        </tpls>
      </n>
      <m in="0">
        <tpls c="3">
          <tpl fld="0" item="0"/>
          <tpl fld="1" item="445"/>
          <tpl fld="4" item="29"/>
        </tpls>
      </m>
      <m in="0">
        <tpls c="3">
          <tpl fld="0" item="0"/>
          <tpl fld="1" item="217"/>
          <tpl fld="4" item="29"/>
        </tpls>
      </m>
      <n v="8" in="0">
        <tpls c="3">
          <tpl fld="0" item="0"/>
          <tpl fld="1" item="412"/>
          <tpl fld="4" item="15"/>
        </tpls>
      </n>
      <n v="7" in="0">
        <tpls c="3">
          <tpl fld="0" item="0"/>
          <tpl fld="1" item="415"/>
          <tpl fld="4" item="28"/>
        </tpls>
      </n>
      <n v="2" in="0">
        <tpls c="3">
          <tpl fld="0" item="0"/>
          <tpl fld="1" item="425"/>
          <tpl fld="4" item="28"/>
        </tpls>
      </n>
      <m in="0">
        <tpls c="3">
          <tpl fld="0" item="0"/>
          <tpl fld="1" item="130"/>
          <tpl fld="4" item="29"/>
        </tpls>
      </m>
      <m in="0">
        <tpls c="3">
          <tpl fld="0" item="0"/>
          <tpl fld="1" item="88"/>
          <tpl fld="4" item="27"/>
        </tpls>
      </m>
      <m in="0">
        <tpls c="3">
          <tpl fld="0" item="0"/>
          <tpl fld="1" item="76"/>
          <tpl fld="4" item="27"/>
        </tpls>
      </m>
      <n v="2" in="0">
        <tpls c="3">
          <tpl fld="0" item="0"/>
          <tpl fld="1" item="89"/>
          <tpl fld="4" item="22"/>
        </tpls>
      </n>
      <m in="0">
        <tpls c="3">
          <tpl fld="0" item="0"/>
          <tpl fld="1" item="318"/>
          <tpl fld="4" item="22"/>
        </tpls>
      </m>
      <n v="6" in="0">
        <tpls c="3">
          <tpl fld="0" item="0"/>
          <tpl fld="1" item="89"/>
          <tpl fld="4" item="15"/>
        </tpls>
      </n>
      <n v="4" in="0">
        <tpls c="3">
          <tpl fld="0" item="0"/>
          <tpl fld="1" item="427"/>
          <tpl fld="4" item="28"/>
        </tpls>
      </n>
      <m in="0">
        <tpls c="3">
          <tpl fld="0" item="0"/>
          <tpl fld="1" item="363"/>
          <tpl fld="4" item="14"/>
        </tpls>
      </m>
      <n v="510" in="0">
        <tpls c="3">
          <tpl fld="0" item="0"/>
          <tpl fld="1" item="281"/>
          <tpl fld="4" item="29"/>
        </tpls>
      </n>
      <n v="8" in="0">
        <tpls c="3">
          <tpl fld="0" item="0"/>
          <tpl fld="1" item="296"/>
          <tpl fld="4" item="26"/>
        </tpls>
      </n>
      <m in="0">
        <tpls c="3">
          <tpl fld="0" item="0"/>
          <tpl fld="1" item="136"/>
          <tpl fld="4" item="29"/>
        </tpls>
      </m>
      <m in="0">
        <tpls c="3">
          <tpl fld="0" item="0"/>
          <tpl fld="1" item="176"/>
          <tpl fld="4" item="27"/>
        </tpls>
      </m>
      <n v="1" in="0">
        <tpls c="3">
          <tpl fld="0" item="0"/>
          <tpl fld="1" item="138"/>
          <tpl fld="4" item="22"/>
        </tpls>
      </n>
      <n v="142" in="0">
        <tpls c="3">
          <tpl fld="0" item="0"/>
          <tpl fld="1" item="163"/>
          <tpl fld="4" item="20"/>
        </tpls>
      </n>
      <m in="0">
        <tpls c="3">
          <tpl fld="0" item="0"/>
          <tpl fld="1" item="40"/>
          <tpl fld="4" item="21"/>
        </tpls>
      </m>
      <m in="0">
        <tpls c="3">
          <tpl fld="0" item="0"/>
          <tpl fld="1" item="384"/>
          <tpl fld="4" item="17"/>
        </tpls>
      </m>
      <n v="8" in="0">
        <tpls c="3">
          <tpl fld="0" item="0"/>
          <tpl fld="1" item="178"/>
          <tpl fld="4" item="23"/>
        </tpls>
      </n>
      <n v="358" in="0">
        <tpls c="3">
          <tpl fld="0" item="0"/>
          <tpl fld="1" item="141"/>
          <tpl fld="4" item="29"/>
        </tpls>
      </n>
      <n v="150" in="0">
        <tpls c="3">
          <tpl fld="0" item="0"/>
          <tpl fld="1" item="418"/>
          <tpl fld="4" item="29"/>
        </tpls>
      </n>
      <m in="0">
        <tpls c="3">
          <tpl fld="0" item="0"/>
          <tpl fld="1" item="165"/>
          <tpl fld="4" item="27"/>
        </tpls>
      </m>
      <n v="141" in="0">
        <tpls c="3">
          <tpl fld="0" item="0"/>
          <tpl fld="1" item="368"/>
          <tpl fld="4" item="27"/>
        </tpls>
      </n>
      <n v="3" in="0">
        <tpls c="3">
          <tpl fld="0" item="0"/>
          <tpl fld="1" item="230"/>
          <tpl fld="4" item="18"/>
        </tpls>
      </n>
      <n v="34" in="0">
        <tpls c="3">
          <tpl fld="0" item="0"/>
          <tpl fld="1" item="332"/>
          <tpl fld="4" item="15"/>
        </tpls>
      </n>
      <n v="25" in="0">
        <tpls c="3">
          <tpl fld="0" item="0"/>
          <tpl fld="1" item="67"/>
          <tpl fld="4" item="28"/>
        </tpls>
      </n>
      <m in="0">
        <tpls c="3">
          <tpl fld="0" item="0"/>
          <tpl fld="1" item="358"/>
          <tpl fld="4" item="23"/>
        </tpls>
      </m>
      <m in="0">
        <tpls c="3">
          <tpl fld="0" item="0"/>
          <tpl fld="1" item="113"/>
          <tpl fld="4" item="27"/>
        </tpls>
      </m>
      <m in="0">
        <tpls c="3">
          <tpl fld="0" item="0"/>
          <tpl fld="1" item="218"/>
          <tpl fld="4" item="27"/>
        </tpls>
      </m>
      <m in="0">
        <tpls c="3">
          <tpl fld="0" item="0"/>
          <tpl fld="1" item="193"/>
          <tpl fld="4" item="27"/>
        </tpls>
      </m>
      <m in="0">
        <tpls c="3">
          <tpl fld="0" item="0"/>
          <tpl fld="1" item="30"/>
          <tpl fld="4" item="20"/>
        </tpls>
      </m>
      <n v="128" in="0">
        <tpls c="3">
          <tpl fld="0" item="0"/>
          <tpl fld="1" item="138"/>
          <tpl fld="4" item="23"/>
        </tpls>
      </n>
      <n v="119" in="0">
        <tpls c="3">
          <tpl fld="0" item="0"/>
          <tpl fld="1" item="77"/>
          <tpl fld="4" item="29"/>
        </tpls>
      </n>
      <n v="31" in="0">
        <tpls c="3">
          <tpl fld="0" item="0"/>
          <tpl fld="1" item="369"/>
          <tpl fld="4" item="27"/>
        </tpls>
      </n>
      <n v="44" in="0">
        <tpls c="3">
          <tpl fld="0" item="0"/>
          <tpl fld="1" item="452"/>
          <tpl fld="4" item="22"/>
        </tpls>
      </n>
      <n v="17" in="0">
        <tpls c="3">
          <tpl fld="0" item="0"/>
          <tpl fld="1" item="149"/>
          <tpl fld="4" item="26"/>
        </tpls>
      </n>
      <m in="0">
        <tpls c="3">
          <tpl fld="0" item="0"/>
          <tpl fld="1" item="193"/>
          <tpl fld="4" item="26"/>
        </tpls>
      </m>
      <m in="0">
        <tpls c="3">
          <tpl fld="0" item="0"/>
          <tpl fld="1" item="222"/>
          <tpl fld="4" item="28"/>
        </tpls>
      </m>
      <m in="0">
        <tpls c="3">
          <tpl fld="0" item="0"/>
          <tpl fld="1" item="146"/>
          <tpl fld="4" item="22"/>
        </tpls>
      </m>
      <m in="0">
        <tpls c="3">
          <tpl fld="0" item="0"/>
          <tpl fld="1" item="398"/>
          <tpl fld="4" item="23"/>
        </tpls>
      </m>
      <n v="61" in="0">
        <tpls c="3">
          <tpl fld="0" item="0"/>
          <tpl fld="1" item="411"/>
          <tpl fld="4" item="27"/>
        </tpls>
      </n>
      <n v="12" in="0">
        <tpls c="3">
          <tpl fld="0" item="0"/>
          <tpl fld="1" item="419"/>
          <tpl fld="4" item="27"/>
        </tpls>
      </n>
      <m in="0">
        <tpls c="3">
          <tpl fld="0" item="0"/>
          <tpl fld="1" item="300"/>
          <tpl fld="4" item="15"/>
        </tpls>
      </m>
      <n v="35" in="0">
        <tpls c="3">
          <tpl fld="0" item="0"/>
          <tpl fld="1" item="432"/>
          <tpl fld="4" item="25"/>
        </tpls>
      </n>
      <m in="0">
        <tpls c="3">
          <tpl fld="0" item="0"/>
          <tpl fld="1" item="17"/>
          <tpl fld="4" item="19"/>
        </tpls>
      </m>
      <n v="1091" in="0">
        <tpls c="3">
          <tpl fld="0" item="0"/>
          <tpl fld="1" item="177"/>
          <tpl fld="4" item="29"/>
        </tpls>
      </n>
      <m in="0">
        <tpls c="3">
          <tpl fld="0" item="0"/>
          <tpl fld="1" item="184"/>
          <tpl fld="4" item="8"/>
        </tpls>
      </m>
      <n v="3" in="0">
        <tpls c="3">
          <tpl fld="0" item="0"/>
          <tpl fld="1" item="115"/>
          <tpl fld="4" item="20"/>
        </tpls>
      </n>
      <n v="5" in="0">
        <tpls c="3">
          <tpl fld="0" item="0"/>
          <tpl fld="1" item="129"/>
          <tpl fld="4" item="20"/>
        </tpls>
      </n>
      <n v="21" in="0">
        <tpls c="3">
          <tpl fld="0" item="0"/>
          <tpl fld="1" item="425"/>
          <tpl fld="4" item="20"/>
        </tpls>
      </n>
      <m in="0">
        <tpls c="3">
          <tpl fld="0" item="0"/>
          <tpl fld="1" item="135"/>
          <tpl fld="4" item="13"/>
        </tpls>
      </m>
      <m in="0">
        <tpls c="3">
          <tpl fld="0" item="0"/>
          <tpl fld="1" item="147"/>
          <tpl fld="4" item="14"/>
        </tpls>
      </m>
      <m in="0">
        <tpls c="3">
          <tpl fld="0" item="0"/>
          <tpl fld="1" item="19"/>
          <tpl fld="4" item="16"/>
        </tpls>
      </m>
      <m in="0">
        <tpls c="3">
          <tpl fld="0" item="0"/>
          <tpl fld="1" item="115"/>
          <tpl fld="4" item="16"/>
        </tpls>
      </m>
      <n v="3" in="0">
        <tpls c="3">
          <tpl fld="0" item="0"/>
          <tpl fld="1" item="219"/>
          <tpl fld="4" item="21"/>
        </tpls>
      </n>
      <n v="32" in="0">
        <tpls c="3">
          <tpl fld="0" item="0"/>
          <tpl fld="1" item="82"/>
          <tpl fld="4" item="16"/>
        </tpls>
      </n>
      <m in="0">
        <tpls c="3">
          <tpl fld="0" item="0"/>
          <tpl fld="1" item="78"/>
          <tpl fld="4" item="16"/>
        </tpls>
      </m>
      <m in="0">
        <tpls c="3">
          <tpl fld="0" item="0"/>
          <tpl fld="1" item="88"/>
          <tpl fld="4" item="13"/>
        </tpls>
      </m>
      <n v="27" in="0">
        <tpls c="3">
          <tpl fld="0" item="0"/>
          <tpl fld="1" item="230"/>
          <tpl fld="4" item="17"/>
        </tpls>
      </n>
      <n v="692" in="0">
        <tpls c="3">
          <tpl fld="0" item="0"/>
          <tpl fld="1" item="266"/>
          <tpl fld="4" item="15"/>
        </tpls>
      </n>
      <n v="12" in="0">
        <tpls c="3">
          <tpl fld="0" item="0"/>
          <tpl fld="1" item="201"/>
          <tpl fld="4" item="17"/>
        </tpls>
      </n>
      <n v="8" in="0">
        <tpls c="3">
          <tpl fld="0" item="0"/>
          <tpl fld="1" item="354"/>
          <tpl fld="4" item="28"/>
        </tpls>
      </n>
      <m in="0">
        <tpls c="3">
          <tpl fld="0" item="0"/>
          <tpl fld="1" item="388"/>
          <tpl fld="4" item="22"/>
        </tpls>
      </m>
      <m in="0">
        <tpls c="3">
          <tpl fld="0" item="0"/>
          <tpl fld="1" item="240"/>
          <tpl fld="4" item="29"/>
        </tpls>
      </m>
      <n v="865" in="0">
        <tpls c="3">
          <tpl fld="0" item="0"/>
          <tpl fld="1" item="202"/>
          <tpl fld="4" item="29"/>
        </tpls>
      </n>
      <n v="35" in="0">
        <tpls c="3">
          <tpl fld="0" item="0"/>
          <tpl fld="1" item="456"/>
          <tpl fld="4" item="29"/>
        </tpls>
      </n>
      <n v="247" in="0">
        <tpls c="3">
          <tpl fld="0" item="0"/>
          <tpl fld="1" item="348"/>
          <tpl fld="4" item="27"/>
        </tpls>
      </n>
      <n v="468" in="0">
        <tpls c="3">
          <tpl fld="0" item="0"/>
          <tpl fld="1" item="80"/>
          <tpl fld="4" item="20"/>
        </tpls>
      </n>
      <m in="0">
        <tpls c="3">
          <tpl fld="0" item="0"/>
          <tpl fld="1" item="316"/>
          <tpl fld="4" item="21"/>
        </tpls>
      </m>
      <m in="0">
        <tpls c="3">
          <tpl fld="0" item="0"/>
          <tpl fld="1" item="398"/>
          <tpl fld="4" item="17"/>
        </tpls>
      </m>
      <n v="102" in="0">
        <tpls c="3">
          <tpl fld="0" item="0"/>
          <tpl fld="1" item="334"/>
          <tpl fld="4" item="23"/>
        </tpls>
      </n>
      <n v="65" in="0">
        <tpls c="3">
          <tpl fld="0" item="0"/>
          <tpl fld="1" item="242"/>
          <tpl fld="4" item="29"/>
        </tpls>
      </n>
      <n v="64" in="0">
        <tpls c="3">
          <tpl fld="0" item="0"/>
          <tpl fld="1" item="382"/>
          <tpl fld="4" item="14"/>
        </tpls>
      </n>
      <m in="0">
        <tpls c="3">
          <tpl fld="0" item="0"/>
          <tpl fld="1" item="168"/>
          <tpl fld="4" item="26"/>
        </tpls>
      </m>
      <n v="350" in="0">
        <tpls c="3">
          <tpl fld="0" item="0"/>
          <tpl fld="1" item="104"/>
          <tpl fld="4" item="23"/>
        </tpls>
      </n>
      <m in="0">
        <tpls c="3">
          <tpl fld="0" item="0"/>
          <tpl fld="1" item="191"/>
          <tpl fld="4" item="25"/>
        </tpls>
      </m>
      <n v="296" in="0">
        <tpls c="3">
          <tpl fld="0" item="0"/>
          <tpl fld="1" item="117"/>
          <tpl fld="4" item="25"/>
        </tpls>
      </n>
      <m in="0">
        <tpls c="3">
          <tpl fld="0" item="0"/>
          <tpl fld="1" item="292"/>
          <tpl fld="4" item="20"/>
        </tpls>
      </m>
      <m in="0">
        <tpls c="3">
          <tpl fld="0" item="0"/>
          <tpl fld="1" item="237"/>
          <tpl fld="4" item="23"/>
        </tpls>
      </m>
      <n v="3" in="0">
        <tpls c="3">
          <tpl fld="0" item="0"/>
          <tpl fld="1" item="344"/>
          <tpl fld="4" item="29"/>
        </tpls>
      </n>
      <n v="9" in="0">
        <tpls c="3">
          <tpl fld="0" item="0"/>
          <tpl fld="1" item="189"/>
          <tpl fld="4" item="27"/>
        </tpls>
      </n>
      <m in="0">
        <tpls c="3">
          <tpl fld="0" item="0"/>
          <tpl fld="1" item="448"/>
          <tpl fld="4" item="26"/>
        </tpls>
      </m>
      <m in="0">
        <tpls c="3">
          <tpl fld="0" item="0"/>
          <tpl fld="1" item="78"/>
          <tpl fld="4" item="26"/>
        </tpls>
      </m>
      <m in="0">
        <tpls c="3">
          <tpl fld="0" item="0"/>
          <tpl fld="1" item="265"/>
          <tpl fld="4" item="26"/>
        </tpls>
      </m>
      <n v="4" in="0">
        <tpls c="3">
          <tpl fld="0" item="0"/>
          <tpl fld="1" item="418"/>
          <tpl fld="4" item="14"/>
        </tpls>
      </n>
      <n v="12" in="0">
        <tpls c="3">
          <tpl fld="0" item="0"/>
          <tpl fld="1" item="72"/>
          <tpl fld="4" item="15"/>
        </tpls>
      </n>
      <n v="52" in="0">
        <tpls c="3">
          <tpl fld="0" item="0"/>
          <tpl fld="1" item="0"/>
          <tpl fld="4" item="23"/>
        </tpls>
      </n>
      <m in="0">
        <tpls c="3">
          <tpl fld="0" item="0"/>
          <tpl fld="1" item="110"/>
          <tpl fld="4" item="29"/>
        </tpls>
      </m>
      <m in="0">
        <tpls c="3">
          <tpl fld="0" item="0"/>
          <tpl fld="1" item="211"/>
          <tpl fld="4" item="22"/>
        </tpls>
      </m>
      <n v="2" in="0">
        <tpls c="3">
          <tpl fld="0" item="0"/>
          <tpl fld="1" item="271"/>
          <tpl fld="4" item="26"/>
        </tpls>
      </n>
      <m in="0">
        <tpls c="3">
          <tpl fld="0" item="0"/>
          <tpl fld="1" item="263"/>
          <tpl fld="4" item="26"/>
        </tpls>
      </m>
      <m in="0">
        <tpls c="3">
          <tpl fld="0" item="0"/>
          <tpl fld="1" item="91"/>
          <tpl fld="4" item="25"/>
        </tpls>
      </m>
      <n v="3" in="0">
        <tpls c="3">
          <tpl fld="0" item="0"/>
          <tpl fld="1" item="366"/>
          <tpl fld="4" item="13"/>
        </tpls>
      </n>
      <n v="4" in="0">
        <tpls c="3">
          <tpl fld="0" item="0"/>
          <tpl fld="1" item="430"/>
          <tpl fld="4" item="13"/>
        </tpls>
      </n>
      <n v="393" in="0">
        <tpls c="3">
          <tpl fld="0" item="0"/>
          <tpl fld="1" item="320"/>
          <tpl fld="4" item="27"/>
        </tpls>
      </n>
      <m in="0">
        <tpls c="3">
          <tpl fld="0" item="0"/>
          <tpl fld="1" item="172"/>
          <tpl fld="4" item="22"/>
        </tpls>
      </m>
      <n v="40" in="0">
        <tpls c="3">
          <tpl fld="0" item="0"/>
          <tpl fld="1" item="27"/>
          <tpl fld="4" item="25"/>
        </tpls>
      </n>
      <n v="37" in="0">
        <tpls c="3">
          <tpl fld="0" item="0"/>
          <tpl fld="1" item="334"/>
          <tpl fld="4" item="24"/>
        </tpls>
      </n>
      <n v="31" in="0">
        <tpls c="3">
          <tpl fld="0" item="0"/>
          <tpl fld="1" item="427"/>
          <tpl fld="4" item="24"/>
        </tpls>
      </n>
      <m in="0">
        <tpls c="3">
          <tpl fld="0" item="0"/>
          <tpl fld="1" item="448"/>
          <tpl fld="4" item="21"/>
        </tpls>
      </m>
      <m in="0">
        <tpls c="3">
          <tpl fld="0" item="0"/>
          <tpl fld="1" item="162"/>
          <tpl fld="4" item="16"/>
        </tpls>
      </m>
      <n v="8" in="0">
        <tpls c="3">
          <tpl fld="0" item="0"/>
          <tpl fld="1" item="174"/>
          <tpl fld="4" item="18"/>
        </tpls>
      </n>
      <m in="0">
        <tpls c="3">
          <tpl fld="0" item="0"/>
          <tpl fld="1" item="135"/>
          <tpl fld="4" item="29"/>
        </tpls>
      </m>
      <n v="31" in="0">
        <tpls c="3">
          <tpl fld="0" item="0"/>
          <tpl fld="1" item="356"/>
          <tpl fld="4" item="25"/>
        </tpls>
      </n>
      <m in="0">
        <tpls c="3">
          <tpl fld="0" item="0"/>
          <tpl fld="1" item="170"/>
          <tpl fld="4" item="27"/>
        </tpls>
      </m>
      <m in="0">
        <tpls c="3">
          <tpl fld="0" item="0"/>
          <tpl fld="1" item="355"/>
          <tpl fld="4" item="22"/>
        </tpls>
      </m>
      <n v="2" in="0">
        <tpls c="3">
          <tpl fld="0" item="0"/>
          <tpl fld="1" item="184"/>
          <tpl fld="4" item="22"/>
        </tpls>
      </n>
      <n v="1" in="0">
        <tpls c="3">
          <tpl fld="0" item="0"/>
          <tpl fld="1" item="444"/>
          <tpl fld="4" item="16"/>
        </tpls>
      </n>
      <n v="338" in="0">
        <tpls c="3">
          <tpl fld="0" item="0"/>
          <tpl fld="1" item="400"/>
          <tpl fld="4" item="15"/>
        </tpls>
      </n>
      <m in="0">
        <tpls c="3">
          <tpl fld="0" item="0"/>
          <tpl fld="1" item="391"/>
          <tpl fld="4" item="28"/>
        </tpls>
      </m>
      <n v="544" in="0">
        <tpls c="3">
          <tpl fld="0" item="0"/>
          <tpl fld="1" item="141"/>
          <tpl fld="4" item="23"/>
        </tpls>
      </n>
      <m in="0">
        <tpls c="3">
          <tpl fld="0" item="0"/>
          <tpl fld="1" item="297"/>
          <tpl fld="4" item="27"/>
        </tpls>
      </m>
      <m in="0">
        <tpls c="3">
          <tpl fld="0" item="0"/>
          <tpl fld="1" item="92"/>
          <tpl fld="4" item="27"/>
        </tpls>
      </m>
      <m in="0">
        <tpls c="3">
          <tpl fld="0" item="0"/>
          <tpl fld="1" item="133"/>
          <tpl fld="4" item="27"/>
        </tpls>
      </m>
      <n v="8" in="0">
        <tpls c="3">
          <tpl fld="0" item="0"/>
          <tpl fld="1" item="367"/>
          <tpl fld="4" item="22"/>
        </tpls>
      </n>
      <m in="0">
        <tpls c="3">
          <tpl fld="0" item="0"/>
          <tpl fld="1" item="423"/>
          <tpl fld="4" item="21"/>
        </tpls>
      </m>
      <m in="0">
        <tpls c="3">
          <tpl fld="0" item="0"/>
          <tpl fld="1" item="318"/>
          <tpl fld="4" item="21"/>
        </tpls>
      </m>
      <n v="12" in="0">
        <tpls c="3">
          <tpl fld="0" item="0"/>
          <tpl fld="1" item="279"/>
          <tpl fld="4" item="28"/>
        </tpls>
      </n>
      <n v="67" in="0">
        <tpls c="3">
          <tpl fld="0" item="0"/>
          <tpl fld="1" item="148"/>
          <tpl fld="4" item="29"/>
        </tpls>
      </n>
      <n v="1180" in="0">
        <tpls c="3">
          <tpl fld="0" item="0"/>
          <tpl fld="1" item="331"/>
          <tpl fld="4" item="27"/>
        </tpls>
      </n>
      <n v="30" in="0">
        <tpls c="3">
          <tpl fld="0" item="0"/>
          <tpl fld="1" item="151"/>
          <tpl fld="4" item="27"/>
        </tpls>
      </n>
      <n v="5" in="0">
        <tpls c="3">
          <tpl fld="0" item="0"/>
          <tpl fld="1" item="195"/>
          <tpl fld="4" item="27"/>
        </tpls>
      </n>
      <n v="8" in="0">
        <tpls c="3">
          <tpl fld="0" item="0"/>
          <tpl fld="1" item="110"/>
          <tpl fld="4" item="15"/>
        </tpls>
      </n>
      <m in="0">
        <tpls c="3">
          <tpl fld="0" item="0"/>
          <tpl fld="1" item="295"/>
          <tpl fld="4" item="23"/>
        </tpls>
      </m>
      <n v="39" in="0">
        <tpls c="3">
          <tpl fld="0" item="0"/>
          <tpl fld="1" item="173"/>
          <tpl fld="4" item="29"/>
        </tpls>
      </n>
      <n v="7" in="0">
        <tpls c="3">
          <tpl fld="0" item="0"/>
          <tpl fld="1" item="28"/>
          <tpl fld="4" item="22"/>
        </tpls>
      </n>
      <m in="0">
        <tpls c="3">
          <tpl fld="0" item="0"/>
          <tpl fld="1" item="60"/>
          <tpl fld="4" item="26"/>
        </tpls>
      </m>
      <m in="0">
        <tpls c="3">
          <tpl fld="0" item="0"/>
          <tpl fld="1" item="240"/>
          <tpl fld="4" item="26"/>
        </tpls>
      </m>
      <n v="26" in="0">
        <tpls c="3">
          <tpl fld="0" item="0"/>
          <tpl fld="1" item="447"/>
          <tpl fld="4" item="26"/>
        </tpls>
      </n>
      <n v="8" in="0">
        <tpls c="3">
          <tpl fld="0" item="0"/>
          <tpl fld="1" item="359"/>
          <tpl fld="4" item="15"/>
        </tpls>
      </n>
      <m in="0">
        <tpls c="3">
          <tpl fld="0" item="0"/>
          <tpl fld="1" item="188"/>
          <tpl fld="4" item="29"/>
        </tpls>
      </m>
      <m in="0">
        <tpls c="3">
          <tpl fld="0" item="0"/>
          <tpl fld="1" item="244"/>
          <tpl fld="4" item="13"/>
        </tpls>
      </m>
      <m in="0">
        <tpls c="3">
          <tpl fld="0" item="0"/>
          <tpl fld="1" item="254"/>
          <tpl fld="4" item="29"/>
        </tpls>
      </m>
      <m in="0">
        <tpls c="3">
          <tpl fld="0" item="0"/>
          <tpl fld="1" item="398"/>
          <tpl fld="4" item="25"/>
        </tpls>
      </m>
      <m in="0">
        <tpls c="3">
          <tpl fld="0" item="0"/>
          <tpl fld="1" item="145"/>
          <tpl fld="4" item="27"/>
        </tpls>
      </m>
      <n v="7" in="0">
        <tpls c="3">
          <tpl fld="0" item="0"/>
          <tpl fld="1" item="264"/>
          <tpl fld="4" item="22"/>
        </tpls>
      </n>
      <m in="0">
        <tpls c="3">
          <tpl fld="0" item="0"/>
          <tpl fld="1" item="52"/>
          <tpl fld="4" item="26"/>
        </tpls>
      </m>
      <m in="0">
        <tpls c="3">
          <tpl fld="0" item="0"/>
          <tpl fld="1" item="43"/>
          <tpl fld="4" item="20"/>
        </tpls>
      </m>
      <n v="2" in="0">
        <tpls c="3">
          <tpl fld="0" item="0"/>
          <tpl fld="1" item="449"/>
          <tpl fld="4" item="17"/>
        </tpls>
      </n>
      <m in="0">
        <tpls c="3">
          <tpl fld="0" item="0"/>
          <tpl fld="1" item="97"/>
          <tpl fld="4" item="28"/>
        </tpls>
      </m>
      <n v="35" in="0">
        <tpls c="3">
          <tpl fld="0" item="0"/>
          <tpl fld="1" item="186"/>
          <tpl fld="4" item="23"/>
        </tpls>
      </n>
      <m in="0">
        <tpls c="3">
          <tpl fld="0" item="0"/>
          <tpl fld="1" item="66"/>
          <tpl fld="4" item="27"/>
        </tpls>
      </m>
      <m in="0">
        <tpls c="3">
          <tpl fld="0" item="0"/>
          <tpl fld="1" item="185"/>
          <tpl fld="4" item="27"/>
        </tpls>
      </m>
      <n v="4" in="0">
        <tpls c="3">
          <tpl fld="0" item="0"/>
          <tpl fld="1" item="432"/>
          <tpl fld="4" item="27"/>
        </tpls>
      </n>
      <m in="0">
        <tpls c="3">
          <tpl fld="0" item="0"/>
          <tpl fld="1" item="445"/>
          <tpl fld="4" item="22"/>
        </tpls>
      </m>
      <m in="0">
        <tpls c="3">
          <tpl fld="0" item="0"/>
          <tpl fld="1" item="446"/>
          <tpl fld="4" item="18"/>
        </tpls>
      </m>
      <n v="2" in="0">
        <tpls c="3">
          <tpl fld="0" item="0"/>
          <tpl fld="1" item="311"/>
          <tpl fld="4" item="28"/>
        </tpls>
      </n>
      <m in="0">
        <tpls c="3">
          <tpl fld="0" item="0"/>
          <tpl fld="1" item="134"/>
          <tpl fld="4" item="28"/>
        </tpls>
      </m>
      <m in="0">
        <tpls c="3">
          <tpl fld="0" item="0"/>
          <tpl fld="1" item="371"/>
          <tpl fld="4" item="29"/>
        </tpls>
      </m>
      <m in="0">
        <tpls c="3">
          <tpl fld="0" item="0"/>
          <tpl fld="1" item="250"/>
          <tpl fld="4" item="27"/>
        </tpls>
      </m>
      <n v="754" in="0">
        <tpls c="3">
          <tpl fld="0" item="0"/>
          <tpl fld="1" item="385"/>
          <tpl fld="4" item="27"/>
        </tpls>
      </n>
      <m in="0">
        <tpls c="3">
          <tpl fld="0" item="0"/>
          <tpl fld="1" item="164"/>
          <tpl fld="4" item="22"/>
        </tpls>
      </m>
      <m in="0">
        <tpls c="3">
          <tpl fld="0" item="0"/>
          <tpl fld="1" item="321"/>
          <tpl fld="4" item="15"/>
        </tpls>
      </m>
      <n v="8" in="0">
        <tpls c="3">
          <tpl fld="0" item="0"/>
          <tpl fld="1" item="152"/>
          <tpl fld="4" item="29"/>
        </tpls>
      </n>
      <n v="545" in="0">
        <tpls c="3">
          <tpl fld="0" item="0"/>
          <tpl fld="1" item="144"/>
          <tpl fld="4" item="29"/>
        </tpls>
      </n>
      <m in="0">
        <tpls c="3">
          <tpl fld="0" item="0"/>
          <tpl fld="1" item="412"/>
          <tpl fld="4" item="22"/>
        </tpls>
      </m>
      <n v="14" in="0">
        <tpls c="3">
          <tpl fld="0" item="0"/>
          <tpl fld="1" item="175"/>
          <tpl fld="4" item="26"/>
        </tpls>
      </n>
      <n v="1" in="0">
        <tpls c="3">
          <tpl fld="0" item="0"/>
          <tpl fld="1" item="308"/>
          <tpl fld="4" item="26"/>
        </tpls>
      </n>
      <n v="115" in="0">
        <tpls c="3">
          <tpl fld="0" item="0"/>
          <tpl fld="1" item="280"/>
          <tpl fld="4" item="25"/>
        </tpls>
      </n>
      <m in="0">
        <tpls c="3">
          <tpl fld="0" item="0"/>
          <tpl fld="1" item="247"/>
          <tpl fld="4" item="17"/>
        </tpls>
      </m>
      <m in="0">
        <tpls c="3">
          <tpl fld="0" item="0"/>
          <tpl fld="1" item="426"/>
          <tpl fld="4" item="27"/>
        </tpls>
      </m>
      <n v="1" in="0">
        <tpls c="3">
          <tpl fld="0" item="0"/>
          <tpl fld="1" item="308"/>
          <tpl fld="4" item="28"/>
        </tpls>
      </n>
      <m in="0">
        <tpls c="3">
          <tpl fld="0" item="0"/>
          <tpl fld="3" item="0"/>
          <tpl fld="4" item="29"/>
        </tpls>
      </m>
      <n v="404" in="0">
        <tpls c="3">
          <tpl fld="0" item="0"/>
          <tpl fld="1" item="82"/>
          <tpl fld="4" item="29"/>
        </tpls>
      </n>
      <m in="0">
        <tpls c="3">
          <tpl fld="0" item="0"/>
          <tpl fld="1" item="110"/>
          <tpl fld="4" item="16"/>
        </tpls>
      </m>
      <m in="0">
        <tpls c="3">
          <tpl fld="0" item="0"/>
          <tpl fld="1" item="152"/>
          <tpl fld="4" item="17"/>
        </tpls>
      </m>
      <n v="48" in="0">
        <tpls c="3">
          <tpl fld="0" item="0"/>
          <tpl fld="1" item="386"/>
          <tpl fld="4" item="25"/>
        </tpls>
      </n>
      <m in="0">
        <tpls c="3">
          <tpl fld="0" item="0"/>
          <tpl fld="3" item="0"/>
          <tpl fld="4" item="17"/>
        </tpls>
      </m>
      <m in="0">
        <tpls c="3">
          <tpl fld="0" item="0"/>
          <tpl fld="1" item="241"/>
          <tpl fld="4" item="23"/>
        </tpls>
      </m>
      <n v="154" in="0">
        <tpls c="3">
          <tpl fld="0" item="0"/>
          <tpl fld="1" item="77"/>
          <tpl fld="4" item="23"/>
        </tpls>
      </n>
      <n v="16" in="0">
        <tpls c="3">
          <tpl fld="0" item="0"/>
          <tpl fld="1" item="314"/>
          <tpl fld="4" item="23"/>
        </tpls>
      </n>
      <n v="460" in="0">
        <tpls c="3">
          <tpl fld="0" item="0"/>
          <tpl fld="1" item="11"/>
          <tpl fld="4" item="29"/>
        </tpls>
      </n>
      <m in="0">
        <tpls c="3">
          <tpl fld="0" item="0"/>
          <tpl fld="1" item="346"/>
          <tpl fld="4" item="20"/>
        </tpls>
      </m>
      <m in="0">
        <tpls c="3">
          <tpl fld="0" item="0"/>
          <tpl fld="1" item="216"/>
          <tpl fld="4" item="17"/>
        </tpls>
      </m>
      <m in="0">
        <tpls c="3">
          <tpl fld="0" item="0"/>
          <tpl fld="1" item="426"/>
          <tpl fld="4" item="25"/>
        </tpls>
      </m>
      <n v="4" in="0">
        <tpls c="3">
          <tpl fld="0" item="0"/>
          <tpl fld="1" item="417"/>
          <tpl fld="4" item="28"/>
        </tpls>
      </n>
      <m in="0">
        <tpls c="3">
          <tpl fld="0" item="0"/>
          <tpl fld="1" item="100"/>
          <tpl fld="4" item="23"/>
        </tpls>
      </m>
      <m in="0">
        <tpls c="3">
          <tpl fld="0" item="0"/>
          <tpl fld="1" item="340"/>
          <tpl fld="4" item="23"/>
        </tpls>
      </m>
      <n v="11" in="0">
        <tpls c="3">
          <tpl fld="0" item="0"/>
          <tpl fld="1" item="203"/>
          <tpl fld="4" item="23"/>
        </tpls>
      </n>
      <n v="146" in="0">
        <tpls c="3">
          <tpl fld="0" item="0"/>
          <tpl fld="1" item="201"/>
          <tpl fld="4" item="29"/>
        </tpls>
      </n>
      <m in="0">
        <tpls c="3">
          <tpl fld="0" item="0"/>
          <tpl fld="1" item="408"/>
          <tpl fld="4" item="21"/>
        </tpls>
      </m>
      <n v="7" in="0">
        <tpls c="3">
          <tpl fld="0" item="0"/>
          <tpl fld="1" item="148"/>
          <tpl fld="4" item="21"/>
        </tpls>
      </n>
      <n v="1" in="0">
        <tpls c="3">
          <tpl fld="0" item="0"/>
          <tpl fld="1" item="65"/>
          <tpl fld="4" item="28"/>
        </tpls>
      </n>
      <m in="0">
        <tpls c="3">
          <tpl fld="0" item="0"/>
          <tpl fld="1" item="118"/>
          <tpl fld="4" item="29"/>
        </tpls>
      </m>
      <m in="0">
        <tpls c="3">
          <tpl fld="0" item="0"/>
          <tpl fld="1" item="336"/>
          <tpl fld="4" item="27"/>
        </tpls>
      </m>
      <n v="1" in="0">
        <tpls c="3">
          <tpl fld="0" item="0"/>
          <tpl fld="1" item="361"/>
          <tpl fld="4" item="27"/>
        </tpls>
      </n>
      <m in="0">
        <tpls c="3">
          <tpl fld="0" item="0"/>
          <tpl fld="1" item="137"/>
          <tpl fld="4" item="27"/>
        </tpls>
      </m>
      <m in="0">
        <tpls c="3">
          <tpl fld="0" item="0"/>
          <tpl fld="1" item="84"/>
          <tpl fld="4" item="22"/>
        </tpls>
      </m>
      <n v="16" in="0">
        <tpls c="3">
          <tpl fld="0" item="0"/>
          <tpl fld="1" item="314"/>
          <tpl fld="4" item="20"/>
        </tpls>
      </n>
      <m in="0">
        <tpls c="3">
          <tpl fld="0" item="0"/>
          <tpl fld="1" item="254"/>
          <tpl fld="4" item="28"/>
        </tpls>
      </m>
      <m in="0">
        <tpls c="3">
          <tpl fld="0" item="0"/>
          <tpl fld="1" item="110"/>
          <tpl fld="4" item="28"/>
        </tpls>
      </m>
      <n v="12" in="0">
        <tpls c="3">
          <tpl fld="0" item="0"/>
          <tpl fld="1" item="89"/>
          <tpl fld="4" item="29"/>
        </tpls>
      </n>
      <n v="140" in="0">
        <tpls c="3">
          <tpl fld="0" item="0"/>
          <tpl fld="1" item="201"/>
          <tpl fld="4" item="27"/>
        </tpls>
      </n>
      <n v="37" in="0">
        <tpls c="3">
          <tpl fld="0" item="0"/>
          <tpl fld="1" item="425"/>
          <tpl fld="4" item="27"/>
        </tpls>
      </n>
      <m in="0">
        <tpls c="3">
          <tpl fld="0" item="0"/>
          <tpl fld="1" item="27"/>
          <tpl fld="4" item="22"/>
        </tpls>
      </m>
      <n v="59" in="0">
        <tpls c="3">
          <tpl fld="0" item="0"/>
          <tpl fld="1" item="126"/>
          <tpl fld="4" item="20"/>
        </tpls>
      </n>
      <m in="0">
        <tpls c="3">
          <tpl fld="0" item="0"/>
          <tpl fld="1" item="16"/>
          <tpl fld="4" item="22"/>
        </tpls>
      </m>
      <n v="160" in="0">
        <tpls c="3">
          <tpl fld="0" item="0"/>
          <tpl fld="1" item="322"/>
          <tpl fld="4" item="23"/>
        </tpls>
      </n>
      <n v="2" in="0">
        <tpls c="3">
          <tpl fld="0" item="0"/>
          <tpl fld="1" item="418"/>
          <tpl fld="4" item="26"/>
        </tpls>
      </n>
      <n v="2" in="0">
        <tpls c="3">
          <tpl fld="0" item="0"/>
          <tpl fld="1" item="205"/>
          <tpl fld="4" item="26"/>
        </tpls>
      </n>
      <m in="0">
        <tpls c="3">
          <tpl fld="0" item="0"/>
          <tpl fld="1" item="221"/>
          <tpl fld="4" item="16"/>
        </tpls>
      </m>
      <m in="0">
        <tpls c="3">
          <tpl fld="0" item="0"/>
          <tpl fld="1" item="31"/>
          <tpl fld="4" item="23"/>
        </tpls>
      </m>
      <n v="3" in="0">
        <tpls c="3">
          <tpl fld="0" item="0"/>
          <tpl fld="1" item="167"/>
          <tpl fld="4" item="23"/>
        </tpls>
      </n>
      <n v="654" in="0">
        <tpls c="3">
          <tpl fld="0" item="0"/>
          <tpl fld="1" item="312"/>
          <tpl fld="4" item="27"/>
        </tpls>
      </n>
      <m in="0">
        <tpls c="3">
          <tpl fld="0" item="0"/>
          <tpl fld="1" item="130"/>
          <tpl fld="4" item="22"/>
        </tpls>
      </m>
      <n v="5" in="0">
        <tpls c="3">
          <tpl fld="0" item="0"/>
          <tpl fld="1" item="194"/>
          <tpl fld="4" item="22"/>
        </tpls>
      </n>
      <m in="0">
        <tpls c="3">
          <tpl fld="0" item="0"/>
          <tpl fld="1" item="310"/>
          <tpl fld="4" item="26"/>
        </tpls>
      </m>
      <n v="24" in="0">
        <tpls c="3">
          <tpl fld="0" item="0"/>
          <tpl fld="1" item="151"/>
          <tpl fld="4" item="20"/>
        </tpls>
      </n>
      <m in="0">
        <tpls c="3">
          <tpl fld="0" item="0"/>
          <tpl fld="1" item="208"/>
          <tpl fld="4" item="23"/>
        </tpls>
      </m>
      <m in="0">
        <tpls c="3">
          <tpl fld="0" item="0"/>
          <tpl fld="1" item="261"/>
          <tpl fld="4" item="29"/>
        </tpls>
      </m>
      <n v="31" in="0">
        <tpls c="3">
          <tpl fld="0" item="0"/>
          <tpl fld="1" item="455"/>
          <tpl fld="4" item="27"/>
        </tpls>
      </n>
      <m in="0">
        <tpls c="3">
          <tpl fld="0" item="0"/>
          <tpl fld="1" item="253"/>
          <tpl fld="4" item="22"/>
        </tpls>
      </m>
      <n v="6" in="0">
        <tpls c="3">
          <tpl fld="0" item="0"/>
          <tpl fld="1" item="0"/>
          <tpl fld="4" item="22"/>
        </tpls>
      </n>
      <m in="0">
        <tpls c="3">
          <tpl fld="0" item="0"/>
          <tpl fld="1" item="323"/>
          <tpl fld="4" item="26"/>
        </tpls>
      </m>
      <n v="1" in="0">
        <tpls c="3">
          <tpl fld="0" item="0"/>
          <tpl fld="1" item="267"/>
          <tpl fld="4" item="13"/>
        </tpls>
      </n>
      <n v="2" in="0">
        <tpls c="3">
          <tpl fld="0" item="0"/>
          <tpl fld="1" item="65"/>
          <tpl fld="4" item="21"/>
        </tpls>
      </n>
      <m in="0">
        <tpls c="3">
          <tpl fld="0" item="0"/>
          <tpl fld="1" item="194"/>
          <tpl fld="4" item="27"/>
        </tpls>
      </m>
      <m in="0">
        <tpls c="3">
          <tpl fld="0" item="0"/>
          <tpl fld="1" item="238"/>
          <tpl fld="4" item="22"/>
        </tpls>
      </m>
      <n v="13" in="0">
        <tpls c="3">
          <tpl fld="0" item="0"/>
          <tpl fld="1" item="262"/>
          <tpl fld="4" item="26"/>
        </tpls>
      </n>
      <n v="79" in="0">
        <tpls c="3">
          <tpl fld="0" item="0"/>
          <tpl fld="1" item="254"/>
          <tpl fld="4" item="25"/>
        </tpls>
      </n>
      <n v="352" in="0">
        <tpls c="3">
          <tpl fld="0" item="0"/>
          <tpl fld="1" item="320"/>
          <tpl fld="4" item="25"/>
        </tpls>
      </n>
      <m in="0">
        <tpls c="3">
          <tpl fld="0" item="0"/>
          <tpl fld="1" item="119"/>
          <tpl fld="4" item="24"/>
        </tpls>
      </m>
      <n v="4" in="0">
        <tpls c="3">
          <tpl fld="0" item="0"/>
          <tpl fld="1" item="422"/>
          <tpl fld="4" item="19"/>
        </tpls>
      </n>
      <n v="1" in="0">
        <tpls c="3">
          <tpl fld="0" item="0"/>
          <tpl fld="1" item="401"/>
          <tpl fld="4" item="14"/>
        </tpls>
      </n>
      <m in="0">
        <tpls c="3">
          <tpl fld="0" item="0"/>
          <tpl fld="1" item="46"/>
          <tpl fld="4" item="29"/>
        </tpls>
      </m>
      <n v="32" in="0">
        <tpls c="3">
          <tpl fld="0" item="0"/>
          <tpl fld="1" item="47"/>
          <tpl fld="4" item="26"/>
        </tpls>
      </n>
      <m in="0">
        <tpls c="3">
          <tpl fld="0" item="0"/>
          <tpl fld="1" item="263"/>
          <tpl fld="4" item="29"/>
        </tpls>
      </m>
      <n v="48" in="0">
        <tpls c="3">
          <tpl fld="0" item="0"/>
          <tpl fld="1" item="296"/>
          <tpl fld="4" item="27"/>
        </tpls>
      </n>
      <m in="0">
        <tpls c="3">
          <tpl fld="0" item="0"/>
          <tpl fld="1" item="190"/>
          <tpl fld="4" item="22"/>
        </tpls>
      </m>
      <n v="8" in="0">
        <tpls c="3">
          <tpl fld="0" item="0"/>
          <tpl fld="1" item="33"/>
          <tpl fld="4" item="19"/>
        </tpls>
      </n>
      <m in="0">
        <tpls c="3">
          <tpl fld="0" item="0"/>
          <tpl fld="1" item="158"/>
          <tpl fld="4" item="21"/>
        </tpls>
      </m>
      <m in="0">
        <tpls c="3">
          <tpl fld="0" item="0"/>
          <tpl fld="1" item="244"/>
          <tpl fld="4" item="15"/>
        </tpls>
      </m>
      <n v="515" in="0">
        <tpls c="3">
          <tpl fld="0" item="0"/>
          <tpl fld="1" item="67"/>
          <tpl fld="4" item="23"/>
        </tpls>
      </n>
      <m in="0">
        <tpls c="3">
          <tpl fld="0" item="0"/>
          <tpl fld="1" item="119"/>
          <tpl fld="4" item="29"/>
        </tpls>
      </m>
      <n v="2875" in="0">
        <tpls c="3">
          <tpl fld="0" item="0"/>
          <tpl fld="1" item="380"/>
          <tpl fld="4" item="29"/>
        </tpls>
      </n>
      <n v="116" in="0">
        <tpls c="3">
          <tpl fld="0" item="0"/>
          <tpl fld="1" item="354"/>
          <tpl fld="4" item="29"/>
        </tpls>
      </n>
      <n v="5" in="0">
        <tpls c="3">
          <tpl fld="0" item="0"/>
          <tpl fld="1" item="169"/>
          <tpl fld="4" item="27"/>
        </tpls>
      </n>
      <m in="0">
        <tpls c="3">
          <tpl fld="0" item="0"/>
          <tpl fld="1" item="283"/>
          <tpl fld="4" item="21"/>
        </tpls>
      </m>
      <m in="0">
        <tpls c="3">
          <tpl fld="0" item="0"/>
          <tpl fld="1" item="307"/>
          <tpl fld="4" item="18"/>
        </tpls>
      </m>
      <m in="0">
        <tpls c="3">
          <tpl fld="0" item="0"/>
          <tpl fld="1" item="247"/>
          <tpl fld="4" item="21"/>
        </tpls>
      </m>
      <m in="0">
        <tpls c="3">
          <tpl fld="0" item="0"/>
          <tpl fld="1" item="210"/>
          <tpl fld="4" item="23"/>
        </tpls>
      </m>
      <n v="75" in="0">
        <tpls c="3">
          <tpl fld="0" item="0"/>
          <tpl fld="1" item="382"/>
          <tpl fld="4" item="29"/>
        </tpls>
      </n>
      <n v="2047" in="0">
        <tpls c="3">
          <tpl fld="0" item="0"/>
          <tpl fld="1" item="313"/>
          <tpl fld="4" item="29"/>
        </tpls>
      </n>
      <m in="0">
        <tpls c="3">
          <tpl fld="0" item="0"/>
          <tpl fld="1" item="158"/>
          <tpl fld="4" item="27"/>
        </tpls>
      </m>
      <m in="0">
        <tpls c="3">
          <tpl fld="0" item="0"/>
          <tpl fld="1" item="192"/>
          <tpl fld="4" item="20"/>
        </tpls>
      </m>
      <n v="35" in="0">
        <tpls c="3">
          <tpl fld="0" item="0"/>
          <tpl fld="1" item="267"/>
          <tpl fld="4" item="23"/>
        </tpls>
      </n>
      <n v="169" in="0">
        <tpls c="3">
          <tpl fld="0" item="0"/>
          <tpl fld="1" item="354"/>
          <tpl fld="4" item="23"/>
        </tpls>
      </n>
      <n v="119" in="0">
        <tpls c="3">
          <tpl fld="0" item="0"/>
          <tpl fld="1" item="10"/>
          <tpl fld="4" item="27"/>
        </tpls>
      </n>
      <n v="5" in="0">
        <tpls c="3">
          <tpl fld="0" item="0"/>
          <tpl fld="1" item="246"/>
          <tpl fld="4" item="22"/>
        </tpls>
      </n>
      <n v="6" in="0">
        <tpls c="3">
          <tpl fld="0" item="0"/>
          <tpl fld="1" item="273"/>
          <tpl fld="4" item="22"/>
        </tpls>
      </n>
      <m in="0">
        <tpls c="3">
          <tpl fld="0" item="0"/>
          <tpl fld="1" item="250"/>
          <tpl fld="4" item="26"/>
        </tpls>
      </m>
      <n v="894" in="0">
        <tpls c="3">
          <tpl fld="0" item="0"/>
          <tpl fld="1" item="381"/>
          <tpl fld="4" item="20"/>
        </tpls>
      </n>
      <n v="911" in="0">
        <tpls c="3">
          <tpl fld="0" item="0"/>
          <tpl fld="1" item="381"/>
          <tpl fld="4" item="23"/>
        </tpls>
      </n>
      <n v="3" in="0">
        <tpls c="3">
          <tpl fld="0" item="0"/>
          <tpl fld="1" item="264"/>
          <tpl fld="4" item="13"/>
        </tpls>
      </n>
      <m in="0">
        <tpls c="3">
          <tpl fld="0" item="0"/>
          <tpl fld="1" item="122"/>
          <tpl fld="4" item="27"/>
        </tpls>
      </m>
      <n v="2" in="0">
        <tpls c="3">
          <tpl fld="0" item="0"/>
          <tpl fld="1" item="403"/>
          <tpl fld="4" item="21"/>
        </tpls>
      </n>
      <m in="0">
        <tpls c="3">
          <tpl fld="0" item="0"/>
          <tpl fld="1" item="197"/>
          <tpl fld="4" item="22"/>
        </tpls>
      </m>
      <m in="0">
        <tpls c="3">
          <tpl fld="0" item="0"/>
          <tpl fld="1" item="212"/>
          <tpl fld="4" item="26"/>
        </tpls>
      </m>
      <m in="0">
        <tpls c="3">
          <tpl fld="0" item="0"/>
          <tpl fld="1" item="88"/>
          <tpl fld="4" item="26"/>
        </tpls>
      </m>
      <n v="91" in="0">
        <tpls c="3">
          <tpl fld="0" item="0"/>
          <tpl fld="1" item="38"/>
          <tpl fld="4" item="20"/>
        </tpls>
      </n>
      <m in="0">
        <tpls c="3">
          <tpl fld="0" item="0"/>
          <tpl fld="1" item="363"/>
          <tpl fld="4" item="28"/>
        </tpls>
      </m>
      <m in="0">
        <tpls c="3">
          <tpl fld="0" item="0"/>
          <tpl fld="1" item="122"/>
          <tpl fld="4" item="28"/>
        </tpls>
      </m>
      <n v="3" in="0">
        <tpls c="3">
          <tpl fld="0" item="0"/>
          <tpl fld="1" item="171"/>
          <tpl fld="4" item="29"/>
        </tpls>
      </n>
      <n v="31" in="0">
        <tpls c="3">
          <tpl fld="0" item="0"/>
          <tpl fld="1" item="305"/>
          <tpl fld="4" item="27"/>
        </tpls>
      </n>
      <n v="5" in="0">
        <tpls c="3">
          <tpl fld="0" item="0"/>
          <tpl fld="1" item="55"/>
          <tpl fld="4" item="27"/>
        </tpls>
      </n>
      <n v="5" in="0">
        <tpls c="3">
          <tpl fld="0" item="0"/>
          <tpl fld="1" item="277"/>
          <tpl fld="4" item="22"/>
        </tpls>
      </n>
      <n v="2" in="0">
        <tpls c="3">
          <tpl fld="0" item="0"/>
          <tpl fld="1" item="311"/>
          <tpl fld="4" item="22"/>
        </tpls>
      </n>
      <m in="0">
        <tpls c="3">
          <tpl fld="0" item="0"/>
          <tpl fld="1" item="153"/>
          <tpl fld="4" item="17"/>
        </tpls>
      </m>
      <n v="49" in="0">
        <tpls c="3">
          <tpl fld="0" item="0"/>
          <tpl fld="1" item="331"/>
          <tpl fld="4" item="28"/>
        </tpls>
      </n>
      <n v="134" in="0">
        <tpls c="3">
          <tpl fld="0" item="0"/>
          <tpl fld="1" item="103"/>
          <tpl fld="4" item="23"/>
        </tpls>
      </n>
      <n v="54" in="0">
        <tpls c="3">
          <tpl fld="0" item="0"/>
          <tpl fld="1" item="9"/>
          <tpl fld="4" item="29"/>
        </tpls>
      </n>
      <m in="0">
        <tpls c="3">
          <tpl fld="0" item="0"/>
          <tpl fld="1" item="60"/>
          <tpl fld="4" item="22"/>
        </tpls>
      </m>
      <n v="1" in="0">
        <tpls c="3">
          <tpl fld="0" item="0"/>
          <tpl fld="1" item="165"/>
          <tpl fld="4" item="22"/>
        </tpls>
      </n>
      <m in="0">
        <tpls c="3">
          <tpl fld="0" item="0"/>
          <tpl fld="1" item="443"/>
          <tpl fld="4" item="22"/>
        </tpls>
      </m>
      <n v="6" in="0">
        <tpls c="3">
          <tpl fld="0" item="0"/>
          <tpl fld="1" item="117"/>
          <tpl fld="4" item="17"/>
        </tpls>
      </n>
      <m in="0">
        <tpls c="3">
          <tpl fld="0" item="0"/>
          <tpl fld="1" item="270"/>
          <tpl fld="4" item="29"/>
        </tpls>
      </m>
      <n v="8" in="0">
        <tpls c="3">
          <tpl fld="0" item="0"/>
          <tpl fld="1" item="79"/>
          <tpl fld="4" item="27"/>
        </tpls>
      </n>
      <n v="16" in="0">
        <tpls c="3">
          <tpl fld="0" item="0"/>
          <tpl fld="1" item="144"/>
          <tpl fld="4" item="22"/>
        </tpls>
      </n>
      <m in="0">
        <tpls c="3">
          <tpl fld="0" item="0"/>
          <tpl fld="1" item="166"/>
          <tpl fld="4" item="25"/>
        </tpls>
      </m>
      <m in="0">
        <tpls c="3">
          <tpl fld="0" item="0"/>
          <tpl fld="1" item="46"/>
          <tpl fld="4" item="25"/>
        </tpls>
      </m>
      <m in="0">
        <tpls c="3">
          <tpl fld="0" item="0"/>
          <tpl fld="1" item="203"/>
          <tpl fld="4" item="13"/>
        </tpls>
      </m>
      <n v="901" in="0">
        <tpls c="3">
          <tpl fld="0" item="0"/>
          <tpl fld="1" item="381"/>
          <tpl fld="4" item="29"/>
        </tpls>
      </n>
      <n v="1134" in="0">
        <tpls c="3">
          <tpl fld="0" item="0"/>
          <tpl fld="1" item="33"/>
          <tpl fld="4" item="25"/>
        </tpls>
      </n>
      <n v="765" in="0">
        <tpls c="3">
          <tpl fld="0" item="0"/>
          <tpl fld="1" item="452"/>
          <tpl fld="4" item="29"/>
        </tpls>
      </n>
      <n v="1" in="0">
        <tpls c="3">
          <tpl fld="0" item="0"/>
          <tpl fld="1" item="200"/>
          <tpl fld="4" item="22"/>
        </tpls>
      </n>
      <n v="37" in="0">
        <tpls c="3">
          <tpl fld="0" item="0"/>
          <tpl fld="1" item="269"/>
          <tpl fld="4" item="22"/>
        </tpls>
      </n>
      <m in="0">
        <tpls c="3">
          <tpl fld="0" item="0"/>
          <tpl fld="1" item="223"/>
          <tpl fld="4" item="15"/>
        </tpls>
      </m>
      <m in="0">
        <tpls c="3">
          <tpl fld="0" item="0"/>
          <tpl fld="1" item="189"/>
          <tpl fld="4" item="21"/>
        </tpls>
      </m>
      <m in="0">
        <tpls c="3">
          <tpl fld="0" item="0"/>
          <tpl fld="1" item="76"/>
          <tpl fld="4" item="21"/>
        </tpls>
      </m>
      <n v="8" in="0">
        <tpls c="3">
          <tpl fld="0" item="0"/>
          <tpl fld="1" item="127"/>
          <tpl fld="4" item="23"/>
        </tpls>
      </n>
      <n v="35" in="0">
        <tpls c="3">
          <tpl fld="0" item="0"/>
          <tpl fld="1" item="308"/>
          <tpl fld="4" item="29"/>
        </tpls>
      </n>
      <m in="0">
        <tpls c="3">
          <tpl fld="0" item="0"/>
          <tpl fld="1" item="265"/>
          <tpl fld="4" item="29"/>
        </tpls>
      </m>
      <m in="0">
        <tpls c="3">
          <tpl fld="0" item="0"/>
          <tpl fld="1" item="204"/>
          <tpl fld="4" item="27"/>
        </tpls>
      </m>
      <n v="107" in="0">
        <tpls c="3">
          <tpl fld="0" item="0"/>
          <tpl fld="1" item="322"/>
          <tpl fld="4" item="27"/>
        </tpls>
      </n>
      <n v="91" in="0">
        <tpls c="3">
          <tpl fld="0" item="0"/>
          <tpl fld="1" item="326"/>
          <tpl fld="4" item="15"/>
        </tpls>
      </n>
      <m in="0">
        <tpls c="3">
          <tpl fld="0" item="0"/>
          <tpl fld="1" item="130"/>
          <tpl fld="4" item="17"/>
        </tpls>
      </m>
      <m in="0">
        <tpls c="3">
          <tpl fld="0" item="0"/>
          <tpl fld="1" item="345"/>
          <tpl fld="4" item="28"/>
        </tpls>
      </m>
      <m in="0">
        <tpls c="3">
          <tpl fld="0" item="0"/>
          <tpl fld="1" item="341"/>
          <tpl fld="4" item="21"/>
        </tpls>
      </m>
      <m in="0">
        <tpls c="3">
          <tpl fld="0" item="0"/>
          <tpl fld="1" item="127"/>
          <tpl fld="4" item="28"/>
        </tpls>
      </m>
      <n v="66" in="0">
        <tpls c="3">
          <tpl fld="0" item="0"/>
          <tpl fld="1" item="68"/>
          <tpl fld="4" item="17"/>
        </tpls>
      </n>
      <n v="23" in="0">
        <tpls c="3">
          <tpl fld="0" item="0"/>
          <tpl fld="1" item="411"/>
          <tpl fld="4" item="13"/>
        </tpls>
      </n>
      <n v="3" in="0">
        <tpls c="3">
          <tpl fld="0" item="0"/>
          <tpl fld="1" item="215"/>
          <tpl fld="4" item="13"/>
        </tpls>
      </n>
      <m in="0">
        <tpls c="3">
          <tpl fld="0" item="0"/>
          <tpl fld="1" item="23"/>
          <tpl fld="4" item="21"/>
        </tpls>
      </m>
      <m in="0">
        <tpls c="3">
          <tpl fld="0" item="0"/>
          <tpl fld="1" item="450"/>
          <tpl fld="4" item="15"/>
        </tpls>
      </m>
      <n v="3" in="0">
        <tpls c="3">
          <tpl fld="0" item="0"/>
          <tpl fld="1" item="242"/>
          <tpl fld="4" item="16"/>
        </tpls>
      </n>
      <m in="0">
        <tpls c="3">
          <tpl fld="0" item="0"/>
          <tpl fld="1" item="457"/>
          <tpl fld="4" item="19"/>
        </tpls>
      </m>
      <n v="2" in="0">
        <tpls c="3">
          <tpl fld="0" item="0"/>
          <tpl fld="1" item="111"/>
          <tpl fld="4" item="18"/>
        </tpls>
      </n>
      <n v="7" in="0">
        <tpls c="3">
          <tpl fld="0" item="0"/>
          <tpl fld="1" item="391"/>
          <tpl fld="4" item="15"/>
        </tpls>
      </n>
      <m in="0">
        <tpls c="3">
          <tpl fld="0" item="0"/>
          <tpl fld="1" item="356"/>
          <tpl fld="4" item="18"/>
        </tpls>
      </m>
      <m in="0">
        <tpls c="3">
          <tpl fld="0" item="0"/>
          <tpl fld="1" item="187"/>
          <tpl fld="4" item="13"/>
        </tpls>
      </m>
      <m in="0">
        <tpls c="3">
          <tpl fld="0" item="0"/>
          <tpl fld="1" item="205"/>
          <tpl fld="4" item="18"/>
        </tpls>
      </m>
      <m in="0">
        <tpls c="3">
          <tpl fld="0" item="0"/>
          <tpl fld="1" item="399"/>
          <tpl fld="4" item="19"/>
        </tpls>
      </m>
      <n v="212" in="0">
        <tpls c="3">
          <tpl fld="0" item="0"/>
          <tpl fld="1" item="101"/>
          <tpl fld="4" item="20"/>
        </tpls>
      </n>
      <m in="0">
        <tpls c="3">
          <tpl fld="0" item="0"/>
          <tpl fld="1" item="387"/>
          <tpl fld="4" item="17"/>
        </tpls>
      </m>
      <n v="15" in="0">
        <tpls c="3">
          <tpl fld="0" item="0"/>
          <tpl fld="1" item="140"/>
          <tpl fld="4" item="17"/>
        </tpls>
      </n>
      <n v="68" in="0">
        <tpls c="3">
          <tpl fld="0" item="0"/>
          <tpl fld="1" item="161"/>
          <tpl fld="4" item="27"/>
        </tpls>
      </n>
      <m in="0">
        <tpls c="3">
          <tpl fld="0" item="0"/>
          <tpl fld="1" item="188"/>
          <tpl fld="4" item="25"/>
        </tpls>
      </m>
      <n v="1086" in="0">
        <tpls c="3">
          <tpl fld="0" item="0"/>
          <tpl fld="1" item="288"/>
          <tpl fld="4" item="27"/>
        </tpls>
      </n>
      <m in="0">
        <tpls c="3">
          <tpl fld="0" item="0"/>
          <tpl fld="1" item="119"/>
          <tpl fld="4" item="27"/>
        </tpls>
      </m>
      <n v="46" in="0">
        <tpls c="3">
          <tpl fld="0" item="0"/>
          <tpl fld="1" item="403"/>
          <tpl fld="4" item="27"/>
        </tpls>
      </n>
      <n v="15" in="0">
        <tpls c="3">
          <tpl fld="0" item="0"/>
          <tpl fld="1" item="45"/>
          <tpl fld="4" item="22"/>
        </tpls>
      </n>
      <n v="289" in="0">
        <tpls c="3">
          <tpl fld="0" item="0"/>
          <tpl fld="1" item="264"/>
          <tpl fld="4" item="20"/>
        </tpls>
      </n>
      <m in="0">
        <tpls c="3">
          <tpl fld="0" item="0"/>
          <tpl fld="1" item="389"/>
          <tpl fld="4" item="28"/>
        </tpls>
      </m>
      <m in="0">
        <tpls c="3">
          <tpl fld="0" item="0"/>
          <tpl fld="1" item="431"/>
          <tpl fld="4" item="28"/>
        </tpls>
      </m>
      <m in="0">
        <tpls c="3">
          <tpl fld="0" item="0"/>
          <tpl fld="1" item="448"/>
          <tpl fld="4" item="29"/>
        </tpls>
      </m>
      <m in="0">
        <tpls c="3">
          <tpl fld="0" item="0"/>
          <tpl fld="1" item="293"/>
          <tpl fld="4" item="27"/>
        </tpls>
      </m>
      <m in="0">
        <tpls c="3">
          <tpl fld="0" item="0"/>
          <tpl fld="1" item="248"/>
          <tpl fld="4" item="18"/>
        </tpls>
      </m>
      <n v="2" in="0">
        <tpls c="3">
          <tpl fld="0" item="0"/>
          <tpl fld="1" item="113"/>
          <tpl fld="4" item="24"/>
        </tpls>
      </n>
      <n v="18" in="0">
        <tpls c="3">
          <tpl fld="0" item="0"/>
          <tpl fld="1" item="44"/>
          <tpl fld="4" item="27"/>
        </tpls>
      </n>
      <m in="0">
        <tpls c="3">
          <tpl fld="0" item="0"/>
          <tpl fld="1" item="268"/>
          <tpl fld="4" item="24"/>
        </tpls>
      </m>
      <n v="7" in="0">
        <tpls c="3">
          <tpl fld="0" item="0"/>
          <tpl fld="1" item="314"/>
          <tpl fld="4" item="24"/>
        </tpls>
      </n>
      <n v="48" in="0">
        <tpls c="3">
          <tpl fld="0" item="0"/>
          <tpl fld="1" item="124"/>
          <tpl fld="4" item="14"/>
        </tpls>
      </n>
      <m in="0">
        <tpls c="3">
          <tpl fld="0" item="0"/>
          <tpl fld="1" item="282"/>
          <tpl fld="4" item="17"/>
        </tpls>
      </m>
      <n v="1" in="0">
        <tpls c="3">
          <tpl fld="0" item="0"/>
          <tpl fld="1" item="50"/>
          <tpl fld="4" item="29"/>
        </tpls>
      </n>
      <n v="935" in="0">
        <tpls c="3">
          <tpl fld="0" item="0"/>
          <tpl fld="1" item="132"/>
          <tpl fld="4" item="27"/>
        </tpls>
      </n>
      <m in="0">
        <tpls c="3">
          <tpl fld="0" item="0"/>
          <tpl fld="1" item="50"/>
          <tpl fld="4" item="22"/>
        </tpls>
      </m>
      <m in="0">
        <tpls c="3">
          <tpl fld="0" item="0"/>
          <tpl fld="1" item="36"/>
          <tpl fld="4" item="25"/>
        </tpls>
      </m>
      <m in="0">
        <tpls c="3">
          <tpl fld="0" item="0"/>
          <tpl fld="1" item="128"/>
          <tpl fld="4" item="25"/>
        </tpls>
      </m>
      <n v="24" in="0">
        <tpls c="3">
          <tpl fld="0" item="0"/>
          <tpl fld="1" item="271"/>
          <tpl fld="4" item="25"/>
        </tpls>
      </n>
      <m in="0">
        <tpls c="3">
          <tpl fld="0" item="0"/>
          <tpl fld="1" item="358"/>
          <tpl fld="4" item="16"/>
        </tpls>
      </m>
      <n v="54" in="0">
        <tpls c="3">
          <tpl fld="0" item="0"/>
          <tpl fld="1" item="400"/>
          <tpl fld="4" item="21"/>
        </tpls>
      </n>
      <m in="0">
        <tpls c="3">
          <tpl fld="0" item="0"/>
          <tpl fld="1" item="116"/>
          <tpl fld="4" item="27"/>
        </tpls>
      </m>
      <n v="44" in="0">
        <tpls c="3">
          <tpl fld="0" item="0"/>
          <tpl fld="1" item="9"/>
          <tpl fld="4" item="27"/>
        </tpls>
      </n>
      <n v="6" in="0">
        <tpls c="3">
          <tpl fld="0" item="0"/>
          <tpl fld="1" item="106"/>
          <tpl fld="4" item="26"/>
        </tpls>
      </n>
      <n v="1666" in="0">
        <tpls c="3">
          <tpl fld="0" item="0"/>
          <tpl fld="1" item="324"/>
          <tpl fld="4" item="25"/>
        </tpls>
      </n>
      <m in="0">
        <tpls c="3">
          <tpl fld="0" item="0"/>
          <tpl fld="1" item="86"/>
          <tpl fld="4" item="25"/>
        </tpls>
      </m>
      <n v="1" in="0">
        <tpls c="3">
          <tpl fld="0" item="0"/>
          <tpl fld="1" item="162"/>
          <tpl fld="4" item="24"/>
        </tpls>
      </n>
      <m in="0">
        <tpls c="3">
          <tpl fld="0" item="0"/>
          <tpl fld="1" item="75"/>
          <tpl fld="4" item="13"/>
        </tpls>
      </m>
      <n v="150" in="0">
        <tpls c="3">
          <tpl fld="0" item="0"/>
          <tpl fld="1" item="418"/>
          <tpl fld="4" item="20"/>
        </tpls>
      </n>
      <m in="0">
        <tpls c="3">
          <tpl fld="0" item="0"/>
          <tpl fld="1" item="241"/>
          <tpl fld="4" item="26"/>
        </tpls>
      </m>
      <n v="6" in="0">
        <tpls c="3">
          <tpl fld="0" item="0"/>
          <tpl fld="1" item="101"/>
          <tpl fld="4" item="26"/>
        </tpls>
      </n>
      <n v="10" in="0">
        <tpls c="3">
          <tpl fld="0" item="0"/>
          <tpl fld="1" item="64"/>
          <tpl fld="4" item="17"/>
        </tpls>
      </n>
      <m in="0">
        <tpls c="3">
          <tpl fld="0" item="0"/>
          <tpl fld="1" item="412"/>
          <tpl fld="4" item="21"/>
        </tpls>
      </m>
      <n v="2" in="0">
        <tpls c="3">
          <tpl fld="0" item="0"/>
          <tpl fld="1" item="231"/>
          <tpl fld="4" item="28"/>
        </tpls>
      </n>
      <m in="0">
        <tpls c="3">
          <tpl fld="0" item="0"/>
          <tpl fld="1" item="180"/>
          <tpl fld="4" item="28"/>
        </tpls>
      </m>
      <n v="19" in="0">
        <tpls c="3">
          <tpl fld="0" item="0"/>
          <tpl fld="1" item="337"/>
          <tpl fld="4" item="19"/>
        </tpls>
      </n>
      <m in="0">
        <tpls c="3">
          <tpl fld="0" item="0"/>
          <tpl fld="1" item="256"/>
          <tpl fld="4" item="18"/>
        </tpls>
      </m>
      <n v="19" in="0">
        <tpls c="3">
          <tpl fld="0" item="0"/>
          <tpl fld="1" item="132"/>
          <tpl fld="4" item="22"/>
        </tpls>
      </n>
      <m in="0">
        <tpls c="3">
          <tpl fld="0" item="0"/>
          <tpl fld="1" item="103"/>
          <tpl fld="4" item="28"/>
        </tpls>
      </m>
      <n v="1" in="0">
        <tpls c="3">
          <tpl fld="0" item="0"/>
          <tpl fld="1" item="254"/>
          <tpl fld="4" item="22"/>
        </tpls>
      </n>
      <m in="0">
        <tpls c="3">
          <tpl fld="0" item="0"/>
          <tpl fld="1" item="189"/>
          <tpl fld="4" item="26"/>
        </tpls>
      </m>
      <m in="0">
        <tpls c="3">
          <tpl fld="0" item="0"/>
          <tpl fld="1" item="203"/>
          <tpl fld="4" item="26"/>
        </tpls>
      </m>
      <m in="0">
        <tpls c="3">
          <tpl fld="0" item="0"/>
          <tpl fld="1" item="237"/>
          <tpl fld="4" item="17"/>
        </tpls>
      </m>
      <m in="0">
        <tpls c="3">
          <tpl fld="0" item="0"/>
          <tpl fld="1" item="147"/>
          <tpl fld="4" item="28"/>
        </tpls>
      </m>
      <n v="45" in="0">
        <tpls c="3">
          <tpl fld="0" item="0"/>
          <tpl fld="1" item="274"/>
          <tpl fld="4" item="23"/>
        </tpls>
      </n>
      <n v="163" in="0">
        <tpls c="3">
          <tpl fld="0" item="0"/>
          <tpl fld="1" item="175"/>
          <tpl fld="4" item="29"/>
        </tpls>
      </n>
      <m in="0">
        <tpls c="3">
          <tpl fld="0" item="0"/>
          <tpl fld="1" item="218"/>
          <tpl fld="4" item="22"/>
        </tpls>
      </m>
      <m in="0">
        <tpls c="3">
          <tpl fld="0" item="0"/>
          <tpl fld="1" item="123"/>
          <tpl fld="4" item="22"/>
        </tpls>
      </m>
      <n v="1" in="0">
        <tpls c="3">
          <tpl fld="0" item="0"/>
          <tpl fld="1" item="276"/>
          <tpl fld="4" item="22"/>
        </tpls>
      </n>
      <m in="0">
        <tpls c="3">
          <tpl fld="0" item="0"/>
          <tpl fld="1" item="188"/>
          <tpl fld="4" item="16"/>
        </tpls>
      </m>
      <m in="0">
        <tpls c="3">
          <tpl fld="0" item="0"/>
          <tpl fld="1" item="379"/>
          <tpl fld="4" item="23"/>
        </tpls>
      </m>
      <n v="38" in="0">
        <tpls c="3">
          <tpl fld="0" item="0"/>
          <tpl fld="1" item="282"/>
          <tpl fld="4" item="23"/>
        </tpls>
      </n>
      <m in="0">
        <tpls c="3">
          <tpl fld="0" item="0"/>
          <tpl fld="1" item="93"/>
          <tpl fld="4" item="27"/>
        </tpls>
      </m>
      <n v="2" in="0">
        <tpls c="3">
          <tpl fld="0" item="0"/>
          <tpl fld="1" item="290"/>
          <tpl fld="4" item="22"/>
        </tpls>
      </n>
      <m in="0">
        <tpls c="3">
          <tpl fld="0" item="0"/>
          <tpl fld="1" item="26"/>
          <tpl fld="4" item="22"/>
        </tpls>
      </m>
      <m in="0">
        <tpls c="3">
          <tpl fld="0" item="0"/>
          <tpl fld="1" item="103"/>
          <tpl fld="4" item="26"/>
        </tpls>
      </m>
      <n v="1" in="0">
        <tpls c="3">
          <tpl fld="0" item="0"/>
          <tpl fld="1" item="59"/>
          <tpl fld="4" item="19"/>
        </tpls>
      </n>
      <m in="0">
        <tpls c="3">
          <tpl fld="0" item="0"/>
          <tpl fld="1" item="27"/>
          <tpl fld="4" item="21"/>
        </tpls>
      </m>
      <m in="0">
        <tpls c="3">
          <tpl fld="0" item="0"/>
          <tpl fld="1" item="176"/>
          <tpl fld="4" item="29"/>
        </tpls>
      </m>
      <n v="38" in="0">
        <tpls c="3">
          <tpl fld="0" item="0"/>
          <tpl fld="1" item="4"/>
          <tpl fld="4" item="27"/>
        </tpls>
      </n>
      <n v="6" in="0">
        <tpls c="3">
          <tpl fld="0" item="0"/>
          <tpl fld="1" item="291"/>
          <tpl fld="4" item="26"/>
        </tpls>
      </n>
      <n v="48" in="0">
        <tpls c="3">
          <tpl fld="0" item="0"/>
          <tpl fld="1" item="124"/>
          <tpl fld="4" item="25"/>
        </tpls>
      </n>
      <n v="439" in="0">
        <tpls c="3">
          <tpl fld="0" item="0"/>
          <tpl fld="1" item="230"/>
          <tpl fld="4" item="25"/>
        </tpls>
      </n>
      <m in="0">
        <tpls c="3">
          <tpl fld="0" item="0"/>
          <tpl fld="1" item="6"/>
          <tpl fld="4" item="24"/>
        </tpls>
      </m>
      <m in="0">
        <tpls c="3">
          <tpl fld="0" item="0"/>
          <tpl fld="1" item="393"/>
          <tpl fld="4" item="16"/>
        </tpls>
      </m>
      <n v="4" in="0">
        <tpls c="3">
          <tpl fld="0" item="0"/>
          <tpl fld="1" item="212"/>
          <tpl fld="4" item="21"/>
        </tpls>
      </n>
      <n v="43" in="0">
        <tpls c="3">
          <tpl fld="0" item="0"/>
          <tpl fld="1" item="275"/>
          <tpl fld="4" item="27"/>
        </tpls>
      </n>
      <m in="0">
        <tpls c="3">
          <tpl fld="0" item="0"/>
          <tpl fld="1" item="304"/>
          <tpl fld="4" item="14"/>
        </tpls>
      </m>
      <n v="3" in="0">
        <tpls c="3">
          <tpl fld="0" item="0"/>
          <tpl fld="1" item="151"/>
          <tpl fld="4" item="22"/>
        </tpls>
      </n>
      <m in="0">
        <tpls c="3">
          <tpl fld="0" item="0"/>
          <tpl fld="1" item="1"/>
          <tpl fld="4" item="28"/>
        </tpls>
      </m>
      <m in="0">
        <tpls c="3">
          <tpl fld="0" item="0"/>
          <tpl fld="1" item="123"/>
          <tpl fld="4" item="26"/>
        </tpls>
      </m>
      <n v="8" in="0">
        <tpls c="3">
          <tpl fld="0" item="0"/>
          <tpl fld="1" item="258"/>
          <tpl fld="4" item="26"/>
        </tpls>
      </n>
      <m in="0">
        <tpls c="3">
          <tpl fld="0" item="0"/>
          <tpl fld="1" item="192"/>
          <tpl fld="4" item="25"/>
        </tpls>
      </m>
      <m in="0">
        <tpls c="3">
          <tpl fld="0" item="0"/>
          <tpl fld="1" item="191"/>
          <tpl fld="4" item="21"/>
        </tpls>
      </m>
      <n v="112" in="0">
        <tpls c="3">
          <tpl fld="0" item="0"/>
          <tpl fld="1" item="266"/>
          <tpl fld="4" item="28"/>
        </tpls>
      </n>
      <n v="331" in="0">
        <tpls c="3">
          <tpl fld="0" item="0"/>
          <tpl fld="1" item="32"/>
          <tpl fld="4" item="23"/>
        </tpls>
      </n>
      <n v="48" in="0">
        <tpls c="3">
          <tpl fld="0" item="0"/>
          <tpl fld="1" item="366"/>
          <tpl fld="4" item="29"/>
        </tpls>
      </n>
      <m in="0">
        <tpls c="3">
          <tpl fld="0" item="0"/>
          <tpl fld="1" item="198"/>
          <tpl fld="4" item="22"/>
        </tpls>
      </m>
      <m in="0">
        <tpls c="3">
          <tpl fld="0" item="0"/>
          <tpl fld="1" item="294"/>
          <tpl fld="4" item="22"/>
        </tpls>
      </m>
      <n v="18" in="0">
        <tpls c="3">
          <tpl fld="0" item="0"/>
          <tpl fld="1" item="104"/>
          <tpl fld="4" item="22"/>
        </tpls>
      </n>
      <n v="2" in="0">
        <tpls c="3">
          <tpl fld="0" item="0"/>
          <tpl fld="1" item="37"/>
          <tpl fld="4" item="18"/>
        </tpls>
      </n>
      <n v="20" in="0">
        <tpls c="3">
          <tpl fld="0" item="0"/>
          <tpl fld="1" item="156"/>
          <tpl fld="4" item="23"/>
        </tpls>
      </n>
      <n v="642" in="0">
        <tpls c="3">
          <tpl fld="0" item="0"/>
          <tpl fld="1" item="409"/>
          <tpl fld="4" item="23"/>
        </tpls>
      </n>
      <n v="479" in="0">
        <tpls c="3">
          <tpl fld="0" item="0"/>
          <tpl fld="1" item="114"/>
          <tpl fld="4" item="27"/>
        </tpls>
      </n>
      <m in="0">
        <tpls c="3">
          <tpl fld="0" item="0"/>
          <tpl fld="1" item="282"/>
          <tpl fld="4" item="22"/>
        </tpls>
      </m>
      <m in="0">
        <tpls c="3">
          <tpl fld="0" item="0"/>
          <tpl fld="1" item="81"/>
          <tpl fld="4" item="22"/>
        </tpls>
      </m>
      <n v="28" in="0">
        <tpls c="3">
          <tpl fld="0" item="0"/>
          <tpl fld="1" item="381"/>
          <tpl fld="4" item="26"/>
        </tpls>
      </n>
      <n v="2" in="0">
        <tpls c="3">
          <tpl fld="0" item="0"/>
          <tpl fld="1" item="189"/>
          <tpl fld="4" item="16"/>
        </tpls>
      </n>
      <m in="0">
        <tpls c="3">
          <tpl fld="0" item="0"/>
          <tpl fld="1" item="434"/>
          <tpl fld="4" item="21"/>
        </tpls>
      </m>
      <n v="474" in="0">
        <tpls c="3">
          <tpl fld="0" item="0"/>
          <tpl fld="1" item="85"/>
          <tpl fld="4" item="27"/>
        </tpls>
      </n>
      <m in="0">
        <tpls c="3">
          <tpl fld="0" item="0"/>
          <tpl fld="1" item="95"/>
          <tpl fld="4" item="27"/>
        </tpls>
      </m>
      <m in="0">
        <tpls c="3">
          <tpl fld="0" item="0"/>
          <tpl fld="1" item="96"/>
          <tpl fld="4" item="26"/>
        </tpls>
      </m>
      <n v="200" in="0">
        <tpls c="3">
          <tpl fld="0" item="0"/>
          <tpl fld="1" item="201"/>
          <tpl fld="4" item="25"/>
        </tpls>
      </n>
      <n v="29" in="0">
        <tpls c="3">
          <tpl fld="0" item="0"/>
          <tpl fld="1" item="434"/>
          <tpl fld="4" item="25"/>
        </tpls>
      </n>
      <n v="209" in="0">
        <tpls c="3">
          <tpl fld="0" item="0"/>
          <tpl fld="1" item="339"/>
          <tpl fld="4" item="23"/>
        </tpls>
      </n>
      <m in="0">
        <tpls c="3">
          <tpl fld="0" item="0"/>
          <tpl fld="1" item="167"/>
          <tpl fld="4" item="26"/>
        </tpls>
      </m>
      <m in="0">
        <tpls c="3">
          <tpl fld="0" item="0"/>
          <tpl fld="1" item="349"/>
          <tpl fld="4" item="29"/>
        </tpls>
      </m>
      <n v="157" in="0">
        <tpls c="3">
          <tpl fld="0" item="0"/>
          <tpl fld="1" item="42"/>
          <tpl fld="4" item="27"/>
        </tpls>
      </n>
      <n v="3" in="0">
        <tpls c="3">
          <tpl fld="0" item="0"/>
          <tpl fld="1" item="366"/>
          <tpl fld="4" item="22"/>
        </tpls>
      </n>
      <m in="0">
        <tpls c="3">
          <tpl fld="0" item="0"/>
          <tpl fld="1" item="426"/>
          <tpl fld="4" item="15"/>
        </tpls>
      </m>
      <m in="0">
        <tpls c="3">
          <tpl fld="0" item="0"/>
          <tpl fld="1" item="236"/>
          <tpl fld="4" item="21"/>
        </tpls>
      </m>
      <m in="0">
        <tpls c="3">
          <tpl fld="0" item="0"/>
          <tpl fld="1" item="9"/>
          <tpl fld="4" item="28"/>
        </tpls>
      </m>
      <m in="0">
        <tpls c="3">
          <tpl fld="0" item="0"/>
          <tpl fld="1" item="191"/>
          <tpl fld="4" item="29"/>
        </tpls>
      </m>
      <n v="19" in="0">
        <tpls c="3">
          <tpl fld="0" item="0"/>
          <tpl fld="1" item="3"/>
          <tpl fld="4" item="29"/>
        </tpls>
      </n>
      <m in="0">
        <tpls c="3">
          <tpl fld="0" item="0"/>
          <tpl fld="1" item="224"/>
          <tpl fld="4" item="29"/>
        </tpls>
      </m>
      <n v="703" in="0">
        <tpls c="3">
          <tpl fld="0" item="0"/>
          <tpl fld="1" item="99"/>
          <tpl fld="4" item="27"/>
        </tpls>
      </n>
      <m in="0">
        <tpls c="3">
          <tpl fld="0" item="0"/>
          <tpl fld="1" item="21"/>
          <tpl fld="4" item="20"/>
        </tpls>
      </m>
      <m in="0">
        <tpls c="3">
          <tpl fld="0" item="0"/>
          <tpl fld="1" item="350"/>
          <tpl fld="4" item="21"/>
        </tpls>
      </m>
      <m in="0">
        <tpls c="3">
          <tpl fld="0" item="0"/>
          <tpl fld="1" item="379"/>
          <tpl fld="4" item="17"/>
        </tpls>
      </m>
      <n v="9" in="0">
        <tpls c="3">
          <tpl fld="0" item="0"/>
          <tpl fld="1" item="310"/>
          <tpl fld="4" item="23"/>
        </tpls>
      </n>
      <m in="0">
        <tpls c="3">
          <tpl fld="0" item="0"/>
          <tpl fld="1" item="358"/>
          <tpl fld="4" item="29"/>
        </tpls>
      </m>
      <n v="39" in="0">
        <tpls c="3">
          <tpl fld="0" item="0"/>
          <tpl fld="1" item="4"/>
          <tpl fld="4" item="29"/>
        </tpls>
      </n>
      <n v="12" in="0">
        <tpls c="3">
          <tpl fld="0" item="0"/>
          <tpl fld="1" item="131"/>
          <tpl fld="4" item="27"/>
        </tpls>
      </n>
      <m in="0">
        <tpls c="3">
          <tpl fld="0" item="0"/>
          <tpl fld="1" item="115"/>
          <tpl fld="4" item="18"/>
        </tpls>
      </m>
      <n v="1521" in="0">
        <tpls c="3">
          <tpl fld="0" item="0"/>
          <tpl fld="1" item="33"/>
          <tpl fld="4" item="23"/>
        </tpls>
      </n>
      <m in="0">
        <tpls c="3">
          <tpl fld="0" item="0"/>
          <tpl fld="1" item="293"/>
          <tpl fld="4" item="23"/>
        </tpls>
      </m>
      <n v="12" in="0">
        <tpls c="3">
          <tpl fld="0" item="0"/>
          <tpl fld="1" item="449"/>
          <tpl fld="4" item="27"/>
        </tpls>
      </n>
      <m in="0">
        <tpls c="3">
          <tpl fld="0" item="0"/>
          <tpl fld="1" item="401"/>
          <tpl fld="4" item="22"/>
        </tpls>
      </m>
      <n v="3" in="0">
        <tpls c="3">
          <tpl fld="0" item="0"/>
          <tpl fld="1" item="422"/>
          <tpl fld="4" item="22"/>
        </tpls>
      </n>
      <n v="4" in="0">
        <tpls c="3">
          <tpl fld="0" item="0"/>
          <tpl fld="1" item="227"/>
          <tpl fld="4" item="26"/>
        </tpls>
      </n>
      <m in="0">
        <tpls c="3">
          <tpl fld="0" item="0"/>
          <tpl fld="1" item="6"/>
          <tpl fld="4" item="9"/>
        </tpls>
      </m>
      <m in="0">
        <tpls c="3">
          <tpl fld="0" item="0"/>
          <tpl fld="1" item="345"/>
          <tpl fld="4" item="20"/>
        </tpls>
      </m>
      <m in="0">
        <tpls c="3">
          <tpl fld="0" item="0"/>
          <tpl fld="1" item="128"/>
          <tpl fld="4" item="23"/>
        </tpls>
      </m>
      <m in="0">
        <tpls c="3">
          <tpl fld="0" item="0"/>
          <tpl fld="1" item="426"/>
          <tpl fld="4" item="23"/>
        </tpls>
      </m>
      <m in="0">
        <tpls c="3">
          <tpl fld="0" item="0"/>
          <tpl fld="1" item="406"/>
          <tpl fld="4" item="27"/>
        </tpls>
      </m>
      <n v="6" in="0">
        <tpls c="3">
          <tpl fld="0" item="0"/>
          <tpl fld="1" item="120"/>
          <tpl fld="4" item="22"/>
        </tpls>
      </n>
      <m in="0">
        <tpls c="3">
          <tpl fld="0" item="0"/>
          <tpl fld="1" item="168"/>
          <tpl fld="4" item="22"/>
        </tpls>
      </m>
      <m in="0">
        <tpls c="3">
          <tpl fld="0" item="0"/>
          <tpl fld="1" item="192"/>
          <tpl fld="4" item="26"/>
        </tpls>
      </m>
      <m in="0">
        <tpls c="3">
          <tpl fld="0" item="0"/>
          <tpl fld="1" item="110"/>
          <tpl fld="4" item="19"/>
        </tpls>
      </m>
      <n v="361" in="0">
        <tpls c="3">
          <tpl fld="0" item="0"/>
          <tpl fld="1" item="41"/>
          <tpl fld="4" item="25"/>
        </tpls>
      </n>
      <m in="0">
        <tpls c="3">
          <tpl fld="0" item="0"/>
          <tpl fld="1" item="97"/>
          <tpl fld="4" item="29"/>
        </tpls>
      </m>
      <n v="38" in="0">
        <tpls c="3">
          <tpl fld="0" item="0"/>
          <tpl fld="1" item="189"/>
          <tpl fld="4" item="25"/>
        </tpls>
      </n>
      <n v="79" in="0">
        <tpls c="3">
          <tpl fld="0" item="0"/>
          <tpl fld="1" item="226"/>
          <tpl fld="4" item="24"/>
        </tpls>
      </n>
      <n v="47" in="0">
        <tpls c="3">
          <tpl fld="0" item="0"/>
          <tpl fld="1" item="199"/>
          <tpl fld="4" item="15"/>
        </tpls>
      </n>
      <n v="1" in="0">
        <tpls c="3">
          <tpl fld="0" item="0"/>
          <tpl fld="1" item="236"/>
          <tpl fld="4" item="29"/>
        </tpls>
      </n>
      <n v="31" in="0">
        <tpls c="3">
          <tpl fld="0" item="0"/>
          <tpl fld="1" item="431"/>
          <tpl fld="4" item="29"/>
        </tpls>
      </n>
      <n v="18" in="0">
        <tpls c="3">
          <tpl fld="0" item="0"/>
          <tpl fld="1" item="215"/>
          <tpl fld="4" item="22"/>
        </tpls>
      </n>
      <m in="0">
        <tpls c="3">
          <tpl fld="0" item="0"/>
          <tpl fld="1" item="413"/>
          <tpl fld="4" item="26"/>
        </tpls>
      </m>
      <m in="0">
        <tpls c="3">
          <tpl fld="0" item="0"/>
          <tpl fld="1" item="451"/>
          <tpl fld="4" item="26"/>
        </tpls>
      </m>
      <m in="0">
        <tpls c="3">
          <tpl fld="0" item="0"/>
          <tpl fld="1" item="457"/>
          <tpl fld="4" item="25"/>
        </tpls>
      </m>
      <m in="0">
        <tpls c="3">
          <tpl fld="0" item="0"/>
          <tpl fld="1" item="208"/>
          <tpl fld="4" item="17"/>
        </tpls>
      </m>
      <n v="252" in="0">
        <tpls c="3">
          <tpl fld="0" item="0"/>
          <tpl fld="1" item="49"/>
          <tpl fld="4" item="29"/>
        </tpls>
      </n>
      <m in="0">
        <tpls c="3">
          <tpl fld="0" item="0"/>
          <tpl fld="1" item="371"/>
          <tpl fld="4" item="27"/>
        </tpls>
      </m>
      <m in="0">
        <tpls c="3">
          <tpl fld="0" item="0"/>
          <tpl fld="1" item="110"/>
          <tpl fld="4" item="22"/>
        </tpls>
      </m>
      <n v="15" in="0">
        <tpls c="3">
          <tpl fld="0" item="0"/>
          <tpl fld="1" item="2"/>
          <tpl fld="4" item="25"/>
        </tpls>
      </n>
      <n v="16" in="0">
        <tpls c="3">
          <tpl fld="0" item="0"/>
          <tpl fld="1" item="162"/>
          <tpl fld="4" item="25"/>
        </tpls>
      </n>
      <n v="253" in="0">
        <tpls c="3">
          <tpl fld="0" item="0"/>
          <tpl fld="1" item="49"/>
          <tpl fld="4" item="25"/>
        </tpls>
      </n>
      <n v="5" in="0">
        <tpls c="3">
          <tpl fld="0" item="0"/>
          <tpl fld="1" item="14"/>
          <tpl fld="4" item="19"/>
        </tpls>
      </n>
      <m in="0">
        <tpls c="3">
          <tpl fld="0" item="0"/>
          <tpl fld="1" item="417"/>
          <tpl fld="4" item="18"/>
        </tpls>
      </m>
      <n v="3" in="0">
        <tpls c="3">
          <tpl fld="0" item="0"/>
          <tpl fld="1" item="291"/>
          <tpl fld="4" item="22"/>
        </tpls>
      </n>
      <m in="0">
        <tpls c="3">
          <tpl fld="0" item="0"/>
          <tpl fld="1" item="170"/>
          <tpl fld="4" item="26"/>
        </tpls>
      </m>
      <n v="775" in="0">
        <tpls c="3">
          <tpl fld="0" item="0"/>
          <tpl fld="1" item="351"/>
          <tpl fld="4" item="25"/>
        </tpls>
      </n>
      <m in="0">
        <tpls c="3">
          <tpl fld="0" item="0"/>
          <tpl fld="1" item="211"/>
          <tpl fld="4" item="32"/>
        </tpls>
      </m>
      <m in="0">
        <tpls c="3">
          <tpl fld="0" item="0"/>
          <tpl fld="1" item="353"/>
          <tpl fld="4" item="17"/>
        </tpls>
      </m>
      <m in="0">
        <tpls c="3">
          <tpl fld="0" item="0"/>
          <tpl fld="1" item="58"/>
          <tpl fld="4" item="28"/>
        </tpls>
      </m>
      <m in="0">
        <tpls c="3">
          <tpl fld="0" item="0"/>
          <tpl fld="1" item="120"/>
          <tpl fld="4" item="16"/>
        </tpls>
      </m>
      <n v="135" in="0">
        <tpls c="3">
          <tpl fld="0" item="0"/>
          <tpl fld="1" item="280"/>
          <tpl fld="4" item="20"/>
        </tpls>
      </n>
      <m in="0">
        <tpls c="3">
          <tpl fld="0" item="0"/>
          <tpl fld="1" item="13"/>
          <tpl fld="4" item="27"/>
        </tpls>
      </m>
      <n v="17" in="0">
        <tpls c="3">
          <tpl fld="0" item="0"/>
          <tpl fld="1" item="333"/>
          <tpl fld="4" item="21"/>
        </tpls>
      </n>
      <m in="0">
        <tpls c="3">
          <tpl fld="0" item="0"/>
          <tpl fld="1" item="92"/>
          <tpl fld="4" item="22"/>
        </tpls>
      </m>
      <n v="15" in="0">
        <tpls c="3">
          <tpl fld="0" item="0"/>
          <tpl fld="1" item="320"/>
          <tpl fld="4" item="22"/>
        </tpls>
      </n>
      <n v="1" in="0">
        <tpls c="3">
          <tpl fld="0" item="0"/>
          <tpl fld="1" item="25"/>
          <tpl fld="4" item="26"/>
        </tpls>
      </n>
      <m in="0">
        <tpls c="3">
          <tpl fld="0" item="0"/>
          <tpl fld="1" item="297"/>
          <tpl fld="4" item="16"/>
        </tpls>
      </m>
      <n v="4" in="0">
        <tpls c="3">
          <tpl fld="0" item="0"/>
          <tpl fld="1" item="322"/>
          <tpl fld="4" item="28"/>
        </tpls>
      </n>
      <m in="0">
        <tpls c="3">
          <tpl fld="0" item="0"/>
          <tpl fld="1" item="100"/>
          <tpl fld="4" item="28"/>
        </tpls>
      </m>
      <n v="698" in="0">
        <tpls c="3">
          <tpl fld="0" item="0"/>
          <tpl fld="1" item="312"/>
          <tpl fld="4" item="29"/>
        </tpls>
      </n>
      <n v="40" in="0">
        <tpls c="3">
          <tpl fld="0" item="0"/>
          <tpl fld="1" item="94"/>
          <tpl fld="4" item="27"/>
        </tpls>
      </n>
      <m in="0">
        <tpls c="3">
          <tpl fld="0" item="0"/>
          <tpl fld="1" item="109"/>
          <tpl fld="4" item="27"/>
        </tpls>
      </m>
      <m in="0">
        <tpls c="3">
          <tpl fld="0" item="0"/>
          <tpl fld="1" item="217"/>
          <tpl fld="4" item="22"/>
        </tpls>
      </m>
      <m in="0">
        <tpls c="3">
          <tpl fld="0" item="0"/>
          <tpl fld="1" item="289"/>
          <tpl fld="4" item="22"/>
        </tpls>
      </m>
      <n v="19" in="0">
        <tpls c="3">
          <tpl fld="0" item="0"/>
          <tpl fld="1" item="453"/>
          <tpl fld="4" item="17"/>
        </tpls>
      </n>
      <m in="0">
        <tpls c="3">
          <tpl fld="0" item="0"/>
          <tpl fld="1" item="44"/>
          <tpl fld="4" item="28"/>
        </tpls>
      </m>
      <m in="0">
        <tpls c="3">
          <tpl fld="0" item="0"/>
          <tpl fld="1" item="363"/>
          <tpl fld="4" item="23"/>
        </tpls>
      </m>
      <m in="0">
        <tpls c="3">
          <tpl fld="0" item="0"/>
          <tpl fld="1" item="154"/>
          <tpl fld="4" item="29"/>
        </tpls>
      </m>
      <n v="1" in="0">
        <tpls c="3">
          <tpl fld="0" item="0"/>
          <tpl fld="1" item="402"/>
          <tpl fld="4" item="22"/>
        </tpls>
      </n>
      <n v="1" in="0">
        <tpls c="3">
          <tpl fld="0" item="0"/>
          <tpl fld="1" item="325"/>
          <tpl fld="4" item="22"/>
        </tpls>
      </n>
      <m in="0">
        <tpls c="3">
          <tpl fld="0" item="0"/>
          <tpl fld="1" item="61"/>
          <tpl fld="4" item="22"/>
        </tpls>
      </m>
      <m in="0">
        <tpls c="3">
          <tpl fld="0" item="0"/>
          <tpl fld="1" item="286"/>
          <tpl fld="4" item="17"/>
        </tpls>
      </m>
      <n v="60" in="0">
        <tpls c="3">
          <tpl fld="0" item="0"/>
          <tpl fld="1" item="232"/>
          <tpl fld="4" item="29"/>
        </tpls>
      </n>
      <n v="108" in="0">
        <tpls c="3">
          <tpl fld="0" item="0"/>
          <tpl fld="1" item="77"/>
          <tpl fld="4" item="27"/>
        </tpls>
      </n>
      <n v="6" in="0">
        <tpls c="3">
          <tpl fld="0" item="0"/>
          <tpl fld="1" item="65"/>
          <tpl fld="4" item="22"/>
        </tpls>
      </n>
      <m in="0">
        <tpls c="3">
          <tpl fld="0" item="0"/>
          <tpl fld="1" item="307"/>
          <tpl fld="4" item="26"/>
        </tpls>
      </m>
      <m in="0">
        <tpls c="3">
          <tpl fld="0" item="0"/>
          <tpl fld="1" item="176"/>
          <tpl fld="4" item="26"/>
        </tpls>
      </m>
      <m in="0">
        <tpls c="3">
          <tpl fld="0" item="0"/>
          <tpl fld="1" item="336"/>
          <tpl fld="4" item="25"/>
        </tpls>
      </m>
      <m in="0">
        <tpls c="3">
          <tpl fld="0" item="0"/>
          <tpl fld="1" item="350"/>
          <tpl fld="4" item="17"/>
        </tpls>
      </m>
      <n v="651" in="0">
        <tpls c="3">
          <tpl fld="0" item="0"/>
          <tpl fld="1" item="111"/>
          <tpl fld="4" item="29"/>
        </tpls>
      </n>
      <m in="0">
        <tpls c="3">
          <tpl fld="0" item="0"/>
          <tpl fld="1" item="389"/>
          <tpl fld="4" item="14"/>
        </tpls>
      </m>
      <m in="0">
        <tpls c="3">
          <tpl fld="0" item="0"/>
          <tpl fld="1" item="207"/>
          <tpl fld="4" item="26"/>
        </tpls>
      </m>
      <n v="1502" in="0">
        <tpls c="3">
          <tpl fld="0" item="0"/>
          <tpl fld="1" item="331"/>
          <tpl fld="4" item="23"/>
        </tpls>
      </n>
      <m in="0">
        <tpls c="3">
          <tpl fld="0" item="0"/>
          <tpl fld="1" item="328"/>
          <tpl fld="4" item="26"/>
        </tpls>
      </m>
      <n v="509" in="0">
        <tpls c="3">
          <tpl fld="0" item="0"/>
          <tpl fld="1" item="11"/>
          <tpl fld="4" item="25"/>
        </tpls>
      </n>
      <m in="0">
        <tpls c="3">
          <tpl fld="0" item="0"/>
          <tpl fld="1" item="8"/>
          <tpl fld="4" item="11"/>
        </tpls>
      </m>
      <n v="3" in="0">
        <tpls c="3">
          <tpl fld="0" item="0"/>
          <tpl fld="1" item="393"/>
          <tpl fld="4" item="20"/>
        </tpls>
      </n>
      <m in="0">
        <tpls c="3">
          <tpl fld="0" item="0"/>
          <tpl fld="1" item="243"/>
          <tpl fld="4" item="23"/>
        </tpls>
      </m>
      <m in="0">
        <tpls c="3">
          <tpl fld="0" item="0"/>
          <tpl fld="1" item="306"/>
          <tpl fld="4" item="23"/>
        </tpls>
      </m>
      <m in="0">
        <tpls c="3">
          <tpl fld="0" item="0"/>
          <tpl fld="1" item="353"/>
          <tpl fld="4" item="27"/>
        </tpls>
      </m>
      <m in="0">
        <tpls c="3">
          <tpl fld="0" item="0"/>
          <tpl fld="1" item="72"/>
          <tpl fld="4" item="22"/>
        </tpls>
      </m>
      <n v="3" in="0">
        <tpls c="3">
          <tpl fld="0" item="0"/>
          <tpl fld="1" item="359"/>
          <tpl fld="4" item="22"/>
        </tpls>
      </n>
      <m in="0">
        <tpls c="3">
          <tpl fld="0" item="0"/>
          <tpl fld="1" item="145"/>
          <tpl fld="4" item="26"/>
        </tpls>
      </m>
      <n v="334" in="0">
        <tpls c="3">
          <tpl fld="0" item="0"/>
          <tpl fld="1" item="47"/>
          <tpl fld="4" item="15"/>
        </tpls>
      </n>
      <n v="140" in="0">
        <tpls c="3">
          <tpl fld="0" item="0"/>
          <tpl fld="1" item="329"/>
          <tpl fld="4" item="23"/>
        </tpls>
      </n>
      <n v="558" in="0">
        <tpls c="3">
          <tpl fld="0" item="0"/>
          <tpl fld="1" item="183"/>
          <tpl fld="4" item="29"/>
        </tpls>
      </n>
      <n v="19" in="0">
        <tpls c="3">
          <tpl fld="0" item="0"/>
          <tpl fld="1" item="343"/>
          <tpl fld="4" item="27"/>
        </tpls>
      </n>
      <m in="0">
        <tpls c="3">
          <tpl fld="0" item="0"/>
          <tpl fld="1" item="171"/>
          <tpl fld="4" item="26"/>
        </tpls>
      </m>
      <m in="0">
        <tpls c="3">
          <tpl fld="0" item="0"/>
          <tpl fld="1" item="232"/>
          <tpl fld="4" item="26"/>
        </tpls>
      </m>
      <m in="0">
        <tpls c="3">
          <tpl fld="0" item="0"/>
          <tpl fld="1" item="297"/>
          <tpl fld="4" item="26"/>
        </tpls>
      </m>
      <n v="3" in="0">
        <tpls c="3">
          <tpl fld="0" item="0"/>
          <tpl fld="1" item="305"/>
          <tpl fld="4" item="16"/>
        </tpls>
      </n>
      <m in="0">
        <tpls c="3">
          <tpl fld="0" item="0"/>
          <tpl fld="1" item="271"/>
          <tpl fld="4" item="21"/>
        </tpls>
      </m>
      <m in="0">
        <tpls c="3">
          <tpl fld="0" item="0"/>
          <tpl fld="1" item="5"/>
          <tpl fld="4" item="27"/>
        </tpls>
      </m>
      <m in="0">
        <tpls c="3">
          <tpl fld="0" item="0"/>
          <tpl fld="1" item="40"/>
          <tpl fld="4" item="22"/>
        </tpls>
      </m>
      <m in="0">
        <tpls c="3">
          <tpl fld="0" item="0"/>
          <tpl fld="1" item="363"/>
          <tpl fld="4" item="26"/>
        </tpls>
      </m>
      <n v="3" in="0">
        <tpls c="3">
          <tpl fld="0" item="0"/>
          <tpl fld="1" item="434"/>
          <tpl fld="4" item="24"/>
        </tpls>
      </n>
      <m in="0">
        <tpls c="3">
          <tpl fld="0" item="0"/>
          <tpl fld="1" item="23"/>
          <tpl fld="4" item="24"/>
        </tpls>
      </m>
      <m in="0">
        <tpls c="3">
          <tpl fld="0" item="0"/>
          <tpl fld="1" item="198"/>
          <tpl fld="4" item="27"/>
        </tpls>
      </m>
      <m in="0">
        <tpls c="3">
          <tpl fld="0" item="0"/>
          <tpl fld="1" item="436"/>
          <tpl fld="4" item="23"/>
        </tpls>
      </m>
      <m in="0">
        <tpls c="3">
          <tpl fld="0" item="0"/>
          <tpl fld="1" item="297"/>
          <tpl fld="4" item="14"/>
        </tpls>
      </m>
      <m in="0">
        <tpls c="3">
          <tpl fld="0" item="0"/>
          <tpl fld="1" item="109"/>
          <tpl fld="4" item="19"/>
        </tpls>
      </m>
      <m in="0">
        <tpls c="3">
          <tpl fld="0" item="0"/>
          <tpl fld="1" item="112"/>
          <tpl fld="4" item="18"/>
        </tpls>
      </m>
      <m in="0">
        <tpls c="3">
          <tpl fld="0" item="0"/>
          <tpl fld="1" item="299"/>
          <tpl fld="4" item="21"/>
        </tpls>
      </m>
      <m in="0">
        <tpls c="3">
          <tpl fld="0" item="0"/>
          <tpl fld="2" item="0"/>
          <tpl fld="4" item="18"/>
        </tpls>
      </m>
      <m in="0">
        <tpls c="3">
          <tpl fld="0" item="0"/>
          <tpl fld="1" item="264"/>
          <tpl fld="4" item="18"/>
        </tpls>
      </m>
      <m in="0">
        <tpls c="3">
          <tpl fld="0" item="0"/>
          <tpl fld="1" item="35"/>
          <tpl fld="4" item="13"/>
        </tpls>
      </m>
      <n v="9" in="0">
        <tpls c="3">
          <tpl fld="0" item="0"/>
          <tpl fld="1" item="106"/>
          <tpl fld="4" item="21"/>
        </tpls>
      </n>
      <m in="0">
        <tpls c="3">
          <tpl fld="0" item="0"/>
          <tpl fld="1" item="394"/>
          <tpl fld="4" item="17"/>
        </tpls>
      </m>
      <m in="0">
        <tpls c="3">
          <tpl fld="0" item="0"/>
          <tpl fld="1" item="256"/>
          <tpl fld="4" item="5"/>
        </tpls>
      </m>
      <m in="0">
        <tpls c="3">
          <tpl fld="0" item="0"/>
          <tpl fld="1" item="5"/>
          <tpl fld="4" item="19"/>
        </tpls>
      </m>
      <n v="1" in="0">
        <tpls c="3">
          <tpl fld="0" item="0"/>
          <tpl fld="1" item="108"/>
          <tpl fld="4" item="19"/>
        </tpls>
      </n>
      <m in="0">
        <tpls c="3">
          <tpl fld="0" item="0"/>
          <tpl fld="1" item="218"/>
          <tpl fld="4" item="18"/>
        </tpls>
      </m>
      <m in="0">
        <tpls c="3">
          <tpl fld="0" item="0"/>
          <tpl fld="1" item="216"/>
          <tpl fld="4" item="15"/>
        </tpls>
      </m>
      <n v="205" in="0">
        <tpls c="3">
          <tpl fld="0" item="0"/>
          <tpl fld="1" item="10"/>
          <tpl fld="4" item="20"/>
        </tpls>
      </n>
      <m in="0">
        <tpls c="3">
          <tpl fld="0" item="0"/>
          <tpl fld="1" item="426"/>
          <tpl fld="4" item="19"/>
        </tpls>
      </m>
      <m in="0">
        <tpls c="3">
          <tpl fld="0" item="0"/>
          <tpl fld="1" item="432"/>
          <tpl fld="4" item="22"/>
        </tpls>
      </m>
      <n v="2" in="0">
        <tpls c="3">
          <tpl fld="0" item="0"/>
          <tpl fld="1" item="296"/>
          <tpl fld="4" item="28"/>
        </tpls>
      </n>
      <m in="0">
        <tpls c="3">
          <tpl fld="0" item="0"/>
          <tpl fld="1" item="121"/>
          <tpl fld="4" item="22"/>
        </tpls>
      </m>
      <n v="30" in="0">
        <tpls c="3">
          <tpl fld="0" item="0"/>
          <tpl fld="1" item="202"/>
          <tpl fld="4" item="22"/>
        </tpls>
      </n>
      <n v="1" in="0">
        <tpls c="3">
          <tpl fld="0" item="0"/>
          <tpl fld="1" item="63"/>
          <tpl fld="4" item="26"/>
        </tpls>
      </n>
      <m in="0">
        <tpls c="3">
          <tpl fld="0" item="0"/>
          <tpl fld="1" item="387"/>
          <tpl fld="4" item="20"/>
        </tpls>
      </m>
      <m in="0">
        <tpls c="3">
          <tpl fld="0" item="0"/>
          <tpl fld="1" item="96"/>
          <tpl fld="4" item="23"/>
        </tpls>
      </m>
      <m in="0">
        <tpls c="3">
          <tpl fld="0" item="0"/>
          <tpl fld="1" item="440"/>
          <tpl fld="4" item="23"/>
        </tpls>
      </m>
      <m in="0">
        <tpls c="3">
          <tpl fld="0" item="0"/>
          <tpl fld="1" item="408"/>
          <tpl fld="4" item="27"/>
        </tpls>
      </m>
      <m in="0">
        <tpls c="3">
          <tpl fld="0" item="0"/>
          <tpl fld="1" item="293"/>
          <tpl fld="4" item="22"/>
        </tpls>
      </m>
      <m in="0">
        <tpls c="3">
          <tpl fld="0" item="0"/>
          <tpl fld="1" item="190"/>
          <tpl fld="4" item="21"/>
        </tpls>
      </m>
      <m in="0">
        <tpls c="3">
          <tpl fld="0" item="0"/>
          <tpl fld="1" item="21"/>
          <tpl fld="4" item="28"/>
        </tpls>
      </m>
      <m in="0">
        <tpls c="3">
          <tpl fld="0" item="0"/>
          <tpl fld="1" item="456"/>
          <tpl fld="4" item="22"/>
        </tpls>
      </m>
      <m in="0">
        <tpls c="3">
          <tpl fld="0" item="0"/>
          <tpl fld="1" item="88"/>
          <tpl fld="4" item="21"/>
        </tpls>
      </m>
      <m in="0">
        <tpls c="3">
          <tpl fld="0" item="0"/>
          <tpl fld="1" item="375"/>
          <tpl fld="4" item="28"/>
        </tpls>
      </m>
      <m in="0">
        <tpls c="3">
          <tpl fld="0" item="0"/>
          <tpl fld="1" item="286"/>
          <tpl fld="4" item="18"/>
        </tpls>
      </m>
      <m in="0">
        <tpls c="3">
          <tpl fld="0" item="0"/>
          <tpl fld="1" item="66"/>
          <tpl fld="4" item="21"/>
        </tpls>
      </m>
      <n v="203" in="0">
        <tpls c="3">
          <tpl fld="0" item="0"/>
          <tpl fld="1" item="424"/>
          <tpl fld="4" item="27"/>
        </tpls>
      </n>
      <m in="0">
        <tpls c="3">
          <tpl fld="0" item="0"/>
          <tpl fld="1" item="124"/>
          <tpl fld="4" item="22"/>
        </tpls>
      </m>
      <m in="0">
        <tpls c="3">
          <tpl fld="0" item="0"/>
          <tpl fld="1" item="83"/>
          <tpl fld="4" item="26"/>
        </tpls>
      </m>
      <n v="86" in="0">
        <tpls c="3">
          <tpl fld="0" item="0"/>
          <tpl fld="1" item="410"/>
          <tpl fld="4" item="24"/>
        </tpls>
      </n>
      <n v="36" in="0">
        <tpls c="3">
          <tpl fld="0" item="0"/>
          <tpl fld="1" item="258"/>
          <tpl fld="4" item="24"/>
        </tpls>
      </n>
      <n v="44" in="0">
        <tpls c="3">
          <tpl fld="0" item="0"/>
          <tpl fld="1" item="329"/>
          <tpl fld="4" item="15"/>
        </tpls>
      </n>
      <m in="0">
        <tpls c="3">
          <tpl fld="0" item="0"/>
          <tpl fld="1" item="411"/>
          <tpl fld="4" item="16"/>
        </tpls>
      </m>
      <m in="0">
        <tpls c="3">
          <tpl fld="0" item="0"/>
          <tpl fld="1" item="119"/>
          <tpl fld="4" item="16"/>
        </tpls>
      </m>
      <n v="3" in="0">
        <tpls c="3">
          <tpl fld="0" item="0"/>
          <tpl fld="1" item="370"/>
          <tpl fld="4" item="22"/>
        </tpls>
      </n>
      <m in="0">
        <tpls c="3">
          <tpl fld="0" item="0"/>
          <tpl fld="1" item="304"/>
          <tpl fld="4" item="22"/>
        </tpls>
      </m>
      <m in="0">
        <tpls c="3">
          <tpl fld="0" item="0"/>
          <tpl fld="1" item="355"/>
          <tpl fld="4" item="25"/>
        </tpls>
      </m>
      <n v="35" in="0">
        <tpls c="3">
          <tpl fld="0" item="0"/>
          <tpl fld="1" item="329"/>
          <tpl fld="4" item="24"/>
        </tpls>
      </n>
      <m in="0">
        <tpls c="3">
          <tpl fld="0" item="0"/>
          <tpl fld="1" item="426"/>
          <tpl fld="4" item="18"/>
        </tpls>
      </m>
      <m in="0">
        <tpls c="3">
          <tpl fld="0" item="0"/>
          <tpl fld="1" item="37"/>
          <tpl fld="4" item="21"/>
        </tpls>
      </m>
      <m in="0">
        <tpls c="3">
          <tpl fld="0" item="0"/>
          <tpl fld="1" item="397"/>
          <tpl fld="4" item="13"/>
        </tpls>
      </m>
      <m in="0">
        <tpls c="3">
          <tpl fld="0" item="0"/>
          <tpl fld="1" item="76"/>
          <tpl fld="4" item="15"/>
        </tpls>
      </m>
      <n v="86" in="0">
        <tpls c="3">
          <tpl fld="0" item="0"/>
          <tpl fld="1" item="209"/>
          <tpl fld="4" item="25"/>
        </tpls>
      </n>
      <n v="53" in="0">
        <tpls c="3">
          <tpl fld="0" item="0"/>
          <tpl fld="1" item="9"/>
          <tpl fld="4" item="20"/>
        </tpls>
      </n>
      <n v="3" in="0">
        <tpls c="3">
          <tpl fld="0" item="0"/>
          <tpl fld="1" item="237"/>
          <tpl fld="4" item="28"/>
        </tpls>
      </n>
      <n v="1" in="0">
        <tpls c="3">
          <tpl fld="0" item="0"/>
          <tpl fld="1" item="325"/>
          <tpl fld="4" item="28"/>
        </tpls>
      </n>
      <n v="109" in="0">
        <tpls c="3">
          <tpl fld="0" item="0"/>
          <tpl fld="1" item="258"/>
          <tpl fld="4" item="23"/>
        </tpls>
      </n>
      <m in="0">
        <tpls c="3">
          <tpl fld="0" item="0"/>
          <tpl fld="1" item="392"/>
          <tpl fld="4" item="23"/>
        </tpls>
      </m>
      <n v="3" in="0">
        <tpls c="3">
          <tpl fld="0" item="0"/>
          <tpl fld="1" item="57"/>
          <tpl fld="4" item="19"/>
        </tpls>
      </n>
      <n v="14" in="0">
        <tpls c="3">
          <tpl fld="0" item="0"/>
          <tpl fld="1" item="424"/>
          <tpl fld="4" item="17"/>
        </tpls>
      </n>
      <m in="0">
        <tpls c="3">
          <tpl fld="0" item="0"/>
          <tpl fld="1" item="14"/>
          <tpl fld="4" item="26"/>
        </tpls>
      </m>
      <n v="126" in="0">
        <tpls c="3">
          <tpl fld="0" item="0"/>
          <tpl fld="1" item="249"/>
          <tpl fld="4" item="29"/>
        </tpls>
      </n>
      <n v="23" in="0">
        <tpls c="3">
          <tpl fld="0" item="0"/>
          <tpl fld="1" item="301"/>
          <tpl fld="4" item="25"/>
        </tpls>
      </n>
      <m in="0">
        <tpls c="3">
          <tpl fld="0" item="0"/>
          <tpl fld="1" item="109"/>
          <tpl fld="4" item="25"/>
        </tpls>
      </m>
      <m in="0">
        <tpls c="3">
          <tpl fld="0" item="0"/>
          <tpl fld="1" item="421"/>
          <tpl fld="4" item="14"/>
        </tpls>
      </m>
      <n v="80" in="0">
        <tpls c="3">
          <tpl fld="0" item="0"/>
          <tpl fld="1" item="410"/>
          <tpl fld="4" item="15"/>
        </tpls>
      </n>
      <n v="79" in="0">
        <tpls c="3">
          <tpl fld="0" item="0"/>
          <tpl fld="1" item="120"/>
          <tpl fld="4" item="23"/>
        </tpls>
      </n>
      <m in="0">
        <tpls c="3">
          <tpl fld="0" item="0"/>
          <tpl fld="1" item="71"/>
          <tpl fld="4" item="29"/>
        </tpls>
      </m>
      <m in="0">
        <tpls c="3">
          <tpl fld="0" item="0"/>
          <tpl fld="1" item="223"/>
          <tpl fld="4" item="27"/>
        </tpls>
      </m>
      <m in="0">
        <tpls c="3">
          <tpl fld="0" item="0"/>
          <tpl fld="1" item="185"/>
          <tpl fld="4" item="26"/>
        </tpls>
      </m>
      <m in="0">
        <tpls c="3">
          <tpl fld="0" item="0"/>
          <tpl fld="1" item="190"/>
          <tpl fld="4" item="26"/>
        </tpls>
      </m>
      <n v="8" in="0">
        <tpls c="3">
          <tpl fld="0" item="0"/>
          <tpl fld="1" item="322"/>
          <tpl fld="4" item="26"/>
        </tpls>
      </n>
      <n v="39" in="0">
        <tpls c="3">
          <tpl fld="0" item="0"/>
          <tpl fld="1" item="0"/>
          <tpl fld="4" item="15"/>
        </tpls>
      </n>
      <m in="0">
        <tpls c="3">
          <tpl fld="0" item="0"/>
          <tpl fld="1" item="116"/>
          <tpl fld="4" item="29"/>
        </tpls>
      </m>
      <m in="0">
        <tpls c="3">
          <tpl fld="0" item="0"/>
          <tpl fld="1" item="122"/>
          <tpl fld="4" item="29"/>
        </tpls>
      </m>
      <m in="0">
        <tpls c="3">
          <tpl fld="0" item="0"/>
          <tpl fld="1" item="44"/>
          <tpl fld="4" item="22"/>
        </tpls>
      </m>
      <n v="55" in="0">
        <tpls c="3">
          <tpl fld="0" item="0"/>
          <tpl fld="1" item="380"/>
          <tpl fld="4" item="26"/>
        </tpls>
      </n>
      <m in="0">
        <tpls c="3">
          <tpl fld="0" item="0"/>
          <tpl fld="1" item="69"/>
          <tpl fld="4" item="26"/>
        </tpls>
      </m>
      <m in="0">
        <tpls c="3">
          <tpl fld="0" item="0"/>
          <tpl fld="1" item="338"/>
          <tpl fld="4" item="25"/>
        </tpls>
      </m>
      <m in="0">
        <tpls c="3">
          <tpl fld="0" item="0"/>
          <tpl fld="1" item="341"/>
          <tpl fld="4" item="19"/>
        </tpls>
      </m>
      <m in="0">
        <tpls c="3">
          <tpl fld="0" item="0"/>
          <tpl fld="1" item="50"/>
          <tpl fld="4" item="19"/>
        </tpls>
      </m>
      <m in="0">
        <tpls c="3">
          <tpl fld="0" item="0"/>
          <tpl fld="1" item="24"/>
          <tpl fld="4" item="22"/>
        </tpls>
      </m>
      <n v="2" in="0">
        <tpls c="3">
          <tpl fld="0" item="0"/>
          <tpl fld="1" item="372"/>
          <tpl fld="4" item="22"/>
        </tpls>
      </n>
      <n v="10" in="0">
        <tpls c="3">
          <tpl fld="0" item="0"/>
          <tpl fld="1" item="204"/>
          <tpl fld="4" item="25"/>
        </tpls>
      </n>
      <n v="21" in="0">
        <tpls c="3">
          <tpl fld="0" item="0"/>
          <tpl fld="1" item="455"/>
          <tpl fld="4" item="24"/>
        </tpls>
      </n>
      <m in="0">
        <tpls c="3">
          <tpl fld="0" item="0"/>
          <tpl fld="1" item="250"/>
          <tpl fld="4" item="24"/>
        </tpls>
      </m>
      <m in="0">
        <tpls c="3">
          <tpl fld="0" item="0"/>
          <tpl fld="1" item="15"/>
          <tpl fld="4" item="21"/>
        </tpls>
      </m>
      <n v="2" in="0">
        <tpls c="3">
          <tpl fld="0" item="0"/>
          <tpl fld="1" item="85"/>
          <tpl fld="4" item="18"/>
        </tpls>
      </n>
      <m in="0">
        <tpls c="3">
          <tpl fld="0" item="0"/>
          <tpl fld="1" item="205"/>
          <tpl fld="4" item="16"/>
        </tpls>
      </m>
      <n v="2" in="0">
        <tpls c="3">
          <tpl fld="0" item="0"/>
          <tpl fld="1" item="274"/>
          <tpl fld="4" item="22"/>
        </tpls>
      </n>
      <m in="0">
        <tpls c="3">
          <tpl fld="0" item="0"/>
          <tpl fld="1" item="335"/>
          <tpl fld="4" item="19"/>
        </tpls>
      </m>
      <n v="4" in="0">
        <tpls c="3">
          <tpl fld="0" item="0"/>
          <tpl fld="1" item="0"/>
          <tpl fld="4" item="26"/>
        </tpls>
      </n>
      <n v="12" in="0">
        <tpls c="3">
          <tpl fld="0" item="0"/>
          <tpl fld="1" item="52"/>
          <tpl fld="4" item="29"/>
        </tpls>
      </n>
      <n v="647" in="0">
        <tpls c="3">
          <tpl fld="0" item="0"/>
          <tpl fld="1" item="381"/>
          <tpl fld="4" item="25"/>
        </tpls>
      </n>
      <m in="0">
        <tpls c="3">
          <tpl fld="0" item="0"/>
          <tpl fld="1" item="122"/>
          <tpl fld="4" item="25"/>
        </tpls>
      </m>
      <n v="36" in="0">
        <tpls c="3">
          <tpl fld="0" item="0"/>
          <tpl fld="1" item="438"/>
          <tpl fld="4" item="13"/>
        </tpls>
      </n>
      <n v="228" in="0">
        <tpls c="3">
          <tpl fld="0" item="0"/>
          <tpl fld="1" item="309"/>
          <tpl fld="4" item="15"/>
        </tpls>
      </n>
      <n v="35" in="0">
        <tpls c="3">
          <tpl fld="0" item="0"/>
          <tpl fld="1" item="129"/>
          <tpl fld="4" item="23"/>
        </tpls>
      </n>
      <n v="400" in="0">
        <tpls c="3">
          <tpl fld="0" item="0"/>
          <tpl fld="1" item="230"/>
          <tpl fld="4" item="29"/>
        </tpls>
      </n>
      <n v="2" in="0">
        <tpls c="3">
          <tpl fld="0" item="0"/>
          <tpl fld="1" item="352"/>
          <tpl fld="4" item="27"/>
        </tpls>
      </n>
      <n v="1" in="0">
        <tpls c="3">
          <tpl fld="0" item="0"/>
          <tpl fld="1" item="4"/>
          <tpl fld="4" item="26"/>
        </tpls>
      </n>
      <m in="0">
        <tpls c="3">
          <tpl fld="0" item="0"/>
          <tpl fld="1" item="289"/>
          <tpl fld="4" item="26"/>
        </tpls>
      </m>
      <m in="0">
        <tpls c="3">
          <tpl fld="0" item="0"/>
          <tpl fld="3" item="0"/>
          <tpl fld="4" item="26"/>
        </tpls>
      </m>
      <n v="48" in="0">
        <tpls c="3">
          <tpl fld="0" item="0"/>
          <tpl fld="1" item="33"/>
          <tpl fld="4" item="13"/>
        </tpls>
      </n>
      <n v="37" in="0">
        <tpls c="3">
          <tpl fld="0" item="0"/>
          <tpl fld="1" item="149"/>
          <tpl fld="4" item="17"/>
        </tpls>
      </n>
      <n v="29" in="0">
        <tpls c="3">
          <tpl fld="0" item="0"/>
          <tpl fld="1" item="350"/>
          <tpl fld="4" item="29"/>
        </tpls>
      </n>
      <m in="0">
        <tpls c="3">
          <tpl fld="0" item="0"/>
          <tpl fld="1" item="318"/>
          <tpl fld="4" item="29"/>
        </tpls>
      </m>
      <n v="2" in="0">
        <tpls c="3">
          <tpl fld="0" item="0"/>
          <tpl fld="1" item="383"/>
          <tpl fld="4" item="22"/>
        </tpls>
      </n>
      <m in="0">
        <tpls c="3">
          <tpl fld="0" item="0"/>
          <tpl fld="1" item="394"/>
          <tpl fld="4" item="26"/>
        </tpls>
      </m>
      <m in="0">
        <tpls c="3">
          <tpl fld="0" item="0"/>
          <tpl fld="1" item="128"/>
          <tpl fld="4" item="26"/>
        </tpls>
      </m>
      <m in="0">
        <tpls c="3">
          <tpl fld="0" item="0"/>
          <tpl fld="1" item="436"/>
          <tpl fld="4" item="25"/>
        </tpls>
      </m>
      <m in="0">
        <tpls c="3">
          <tpl fld="0" item="0"/>
          <tpl fld="1" item="226"/>
          <tpl fld="4" item="18"/>
        </tpls>
      </m>
      <m in="0">
        <tpls c="3">
          <tpl fld="0" item="0"/>
          <tpl fld="1" item="311"/>
          <tpl fld="4" item="16"/>
        </tpls>
      </m>
      <n v="2" in="0">
        <tpls c="3">
          <tpl fld="0" item="0"/>
          <tpl fld="1" item="56"/>
          <tpl fld="4" item="22"/>
        </tpls>
      </n>
      <m in="0">
        <tpls c="3">
          <tpl fld="0" item="0"/>
          <tpl fld="1" item="387"/>
          <tpl fld="4" item="22"/>
        </tpls>
      </m>
      <n v="23" in="0">
        <tpls c="3">
          <tpl fld="0" item="0"/>
          <tpl fld="1" item="14"/>
          <tpl fld="4" item="25"/>
        </tpls>
      </n>
      <m in="0">
        <tpls c="3">
          <tpl fld="0" item="0"/>
          <tpl fld="1" item="384"/>
          <tpl fld="4" item="24"/>
        </tpls>
      </m>
      <n v="49" in="0">
        <tpls c="3">
          <tpl fld="0" item="0"/>
          <tpl fld="1" item="184"/>
          <tpl fld="4" item="20"/>
        </tpls>
      </n>
      <m in="0">
        <tpls c="3">
          <tpl fld="0" item="0"/>
          <tpl fld="1" item="210"/>
          <tpl fld="4" item="19"/>
        </tpls>
      </m>
      <m in="0">
        <tpls c="3">
          <tpl fld="0" item="0"/>
          <tpl fld="1" item="272"/>
          <tpl fld="4" item="27"/>
        </tpls>
      </m>
      <n v="225" in="0">
        <tpls c="3">
          <tpl fld="0" item="0"/>
          <tpl fld="1" item="420"/>
          <tpl fld="4" item="20"/>
        </tpls>
      </n>
      <m in="0">
        <tpls c="3">
          <tpl fld="0" item="0"/>
          <tpl fld="1" item="346"/>
          <tpl fld="4" item="27"/>
        </tpls>
      </m>
      <m in="0">
        <tpls c="3">
          <tpl fld="0" item="0"/>
          <tpl fld="1" item="298"/>
          <tpl fld="4" item="22"/>
        </tpls>
      </m>
      <m in="0">
        <tpls c="3">
          <tpl fld="0" item="0"/>
          <tpl fld="1" item="216"/>
          <tpl fld="4" item="26"/>
        </tpls>
      </m>
      <n v="51" in="0">
        <tpls c="3">
          <tpl fld="0" item="0"/>
          <tpl fld="1" item="447"/>
          <tpl fld="4" item="17"/>
        </tpls>
      </n>
      <n v="4" in="0">
        <tpls c="3">
          <tpl fld="0" item="0"/>
          <tpl fld="1" item="14"/>
          <tpl fld="4" item="21"/>
        </tpls>
      </n>
      <n v="29" in="0">
        <tpls c="3">
          <tpl fld="0" item="0"/>
          <tpl fld="1" item="132"/>
          <tpl fld="4" item="28"/>
        </tpls>
      </n>
      <n v="233" in="0">
        <tpls c="3">
          <tpl fld="0" item="0"/>
          <tpl fld="1" item="226"/>
          <tpl fld="4" item="23"/>
        </tpls>
      </n>
      <m in="0">
        <tpls c="3">
          <tpl fld="0" item="0"/>
          <tpl fld="1" item="40"/>
          <tpl fld="4" item="27"/>
        </tpls>
      </m>
      <n v="10" in="0">
        <tpls c="3">
          <tpl fld="0" item="0"/>
          <tpl fld="1" item="383"/>
          <tpl fld="4" item="27"/>
        </tpls>
      </n>
      <m in="0">
        <tpls c="3">
          <tpl fld="0" item="0"/>
          <tpl fld="1" item="407"/>
          <tpl fld="4" item="27"/>
        </tpls>
      </m>
      <m in="0">
        <tpls c="3">
          <tpl fld="0" item="0"/>
          <tpl fld="1" item="59"/>
          <tpl fld="4" item="22"/>
        </tpls>
      </m>
      <n v="22" in="0">
        <tpls c="3">
          <tpl fld="0" item="0"/>
          <tpl fld="1" item="323"/>
          <tpl fld="4" item="20"/>
        </tpls>
      </n>
      <n v="49" in="0">
        <tpls c="3">
          <tpl fld="0" item="0"/>
          <tpl fld="1" item="400"/>
          <tpl fld="4" item="28"/>
        </tpls>
      </n>
      <n v="6" in="0">
        <tpls c="3">
          <tpl fld="0" item="0"/>
          <tpl fld="1" item="424"/>
          <tpl fld="4" item="28"/>
        </tpls>
      </n>
      <n v="944" in="0">
        <tpls c="3">
          <tpl fld="0" item="0"/>
          <tpl fld="1" item="132"/>
          <tpl fld="4" item="29"/>
        </tpls>
      </n>
      <n v="11" in="0">
        <tpls c="3">
          <tpl fld="0" item="0"/>
          <tpl fld="1" item="372"/>
          <tpl fld="4" item="27"/>
        </tpls>
      </n>
      <m in="0">
        <tpls c="3">
          <tpl fld="0" item="0"/>
          <tpl fld="1" item="421"/>
          <tpl fld="4" item="27"/>
        </tpls>
      </m>
      <m in="0">
        <tpls c="3">
          <tpl fld="0" item="0"/>
          <tpl fld="1" item="22"/>
          <tpl fld="4" item="22"/>
        </tpls>
      </m>
      <m in="0">
        <tpls c="3">
          <tpl fld="0" item="0"/>
          <tpl fld="1" item="73"/>
          <tpl fld="4" item="17"/>
        </tpls>
      </m>
      <n v="493" in="0">
        <tpls c="3">
          <tpl fld="0" item="0"/>
          <tpl fld="1" item="85"/>
          <tpl fld="4" item="29"/>
        </tpls>
      </n>
      <n v="216" in="0">
        <tpls c="3">
          <tpl fld="0" item="0"/>
          <tpl fld="1" item="424"/>
          <tpl fld="4" item="29"/>
        </tpls>
      </n>
      <n v="2" in="0">
        <tpls c="3">
          <tpl fld="0" item="0"/>
          <tpl fld="1" item="317"/>
          <tpl fld="4" item="22"/>
        </tpls>
      </n>
      <m in="0">
        <tpls c="3">
          <tpl fld="0" item="0"/>
          <tpl fld="1" item="6"/>
          <tpl fld="4" item="26"/>
        </tpls>
      </m>
      <m in="0">
        <tpls c="3">
          <tpl fld="0" item="0"/>
          <tpl fld="1" item="72"/>
          <tpl fld="4" item="26"/>
        </tpls>
      </m>
      <m in="0">
        <tpls c="3">
          <tpl fld="0" item="0"/>
          <tpl fld="1" item="257"/>
          <tpl fld="4" item="25"/>
        </tpls>
      </m>
      <m in="0">
        <tpls c="3">
          <tpl fld="0" item="0"/>
          <tpl fld="1" item="181"/>
          <tpl fld="4" item="17"/>
        </tpls>
      </m>
      <m in="0">
        <tpls c="3">
          <tpl fld="0" item="0"/>
          <tpl fld="1" item="244"/>
          <tpl fld="4" item="29"/>
        </tpls>
      </m>
      <n v="36" in="0">
        <tpls c="3">
          <tpl fld="0" item="0"/>
          <tpl fld="1" item="205"/>
          <tpl fld="4" item="29"/>
        </tpls>
      </n>
      <m in="0">
        <tpls c="3">
          <tpl fld="0" item="0"/>
          <tpl fld="1" item="393"/>
          <tpl fld="4" item="22"/>
        </tpls>
      </m>
      <n v="1" in="0">
        <tpls c="3">
          <tpl fld="0" item="0"/>
          <tpl fld="1" item="126"/>
          <tpl fld="4" item="26"/>
        </tpls>
      </n>
      <m in="0">
        <tpls c="3">
          <tpl fld="0" item="0"/>
          <tpl fld="1" item="59"/>
          <tpl fld="4" item="26"/>
        </tpls>
      </m>
      <m in="0">
        <tpls c="3">
          <tpl fld="0" item="0"/>
          <tpl fld="1" item="71"/>
          <tpl fld="4" item="25"/>
        </tpls>
      </m>
      <m in="0">
        <tpls c="3">
          <tpl fld="0" item="0"/>
          <tpl fld="1" item="218"/>
          <tpl fld="4" item="17"/>
        </tpls>
      </m>
      <n v="20" in="0">
        <tpls c="3">
          <tpl fld="0" item="0"/>
          <tpl fld="1" item="437"/>
          <tpl fld="4" item="15"/>
        </tpls>
      </n>
      <n v="50" in="0">
        <tpls c="3">
          <tpl fld="0" item="0"/>
          <tpl fld="1" item="360"/>
          <tpl fld="4" item="27"/>
        </tpls>
      </n>
      <m in="0">
        <tpls c="3">
          <tpl fld="0" item="0"/>
          <tpl fld="1" item="106"/>
          <tpl fld="4" item="32"/>
        </tpls>
      </m>
      <m in="0">
        <tpls c="3">
          <tpl fld="0" item="0"/>
          <tpl fld="1" item="245"/>
          <tpl fld="4" item="21"/>
        </tpls>
      </m>
      <m in="0">
        <tpls c="3">
          <tpl fld="0" item="0"/>
          <tpl fld="1" item="413"/>
          <tpl fld="4" item="18"/>
        </tpls>
      </m>
      <n v="17" in="0">
        <tpls c="3">
          <tpl fld="0" item="0"/>
          <tpl fld="1" item="41"/>
          <tpl fld="4" item="21"/>
        </tpls>
      </n>
      <n v="23" in="0">
        <tpls c="3">
          <tpl fld="0" item="0"/>
          <tpl fld="1" item="56"/>
          <tpl fld="4" item="27"/>
        </tpls>
      </n>
      <m in="0">
        <tpls c="3">
          <tpl fld="0" item="0"/>
          <tpl fld="1" item="102"/>
          <tpl fld="4" item="27"/>
        </tpls>
      </m>
      <m in="0">
        <tpls c="3">
          <tpl fld="0" item="0"/>
          <tpl fld="1" item="358"/>
          <tpl fld="4" item="26"/>
        </tpls>
      </m>
      <n v="29" in="0">
        <tpls c="3">
          <tpl fld="0" item="0"/>
          <tpl fld="1" item="186"/>
          <tpl fld="4" item="25"/>
        </tpls>
      </n>
      <n v="346" in="0">
        <tpls c="3">
          <tpl fld="0" item="0"/>
          <tpl fld="1" item="424"/>
          <tpl fld="4" item="25"/>
        </tpls>
      </n>
      <n v="100" in="0">
        <tpls c="3">
          <tpl fld="0" item="0"/>
          <tpl fld="1" item="174"/>
          <tpl fld="4" item="24"/>
        </tpls>
      </n>
      <n v="1" in="0">
        <tpls c="3">
          <tpl fld="0" item="0"/>
          <tpl fld="1" item="4"/>
          <tpl fld="4" item="16"/>
        </tpls>
      </n>
      <m in="0">
        <tpls c="3">
          <tpl fld="0" item="0"/>
          <tpl fld="1" item="105"/>
          <tpl fld="4" item="21"/>
        </tpls>
      </m>
      <m in="0">
        <tpls c="3">
          <tpl fld="0" item="0"/>
          <tpl fld="1" item="316"/>
          <tpl fld="4" item="27"/>
        </tpls>
      </m>
      <m in="0">
        <tpls c="3">
          <tpl fld="0" item="0"/>
          <tpl fld="1" item="448"/>
          <tpl fld="4" item="22"/>
        </tpls>
      </m>
      <m in="0">
        <tpls c="3">
          <tpl fld="0" item="0"/>
          <tpl fld="1" item="304"/>
          <tpl fld="4" item="26"/>
        </tpls>
      </m>
      <n v="49" in="0">
        <tpls c="3">
          <tpl fld="0" item="0"/>
          <tpl fld="1" item="277"/>
          <tpl fld="4" item="24"/>
        </tpls>
      </n>
      <m in="0">
        <tpls c="3">
          <tpl fld="0" item="0"/>
          <tpl fld="1" item="240"/>
          <tpl fld="4" item="24"/>
        </tpls>
      </m>
      <m in="0">
        <tpls c="3">
          <tpl fld="0" item="0"/>
          <tpl fld="1" item="384"/>
          <tpl fld="4" item="20"/>
        </tpls>
      </m>
      <n v="70" in="0">
        <tpls c="3">
          <tpl fld="0" item="0"/>
          <tpl fld="1" item="380"/>
          <tpl fld="4" item="13"/>
        </tpls>
      </n>
      <n v="107" in="0">
        <tpls c="3">
          <tpl fld="0" item="0"/>
          <tpl fld="1" item="215"/>
          <tpl fld="4" item="15"/>
        </tpls>
      </n>
      <m in="0">
        <tpls c="3">
          <tpl fld="0" item="0"/>
          <tpl fld="1" item="428"/>
          <tpl fld="4" item="26"/>
        </tpls>
      </m>
      <m in="0">
        <tpls c="3">
          <tpl fld="0" item="0"/>
          <tpl fld="1" item="375"/>
          <tpl fld="4" item="25"/>
        </tpls>
      </m>
      <n v="8" in="0">
        <tpls c="3">
          <tpl fld="0" item="0"/>
          <tpl fld="1" item="319"/>
          <tpl fld="4" item="28"/>
        </tpls>
      </n>
      <n v="2" in="0">
        <tpls c="3">
          <tpl fld="0" item="0"/>
          <tpl fld="1" item="274"/>
          <tpl fld="4" item="28"/>
        </tpls>
      </n>
      <m in="0">
        <tpls c="3">
          <tpl fld="0" item="0"/>
          <tpl fld="1" item="300"/>
          <tpl fld="4" item="28"/>
        </tpls>
      </m>
      <m in="0">
        <tpls c="3">
          <tpl fld="0" item="0"/>
          <tpl fld="1" item="439"/>
          <tpl fld="4" item="23"/>
        </tpls>
      </m>
      <m in="0">
        <tpls c="3">
          <tpl fld="0" item="0"/>
          <tpl fld="1" item="378"/>
          <tpl fld="4" item="19"/>
        </tpls>
      </m>
      <m in="0">
        <tpls c="3">
          <tpl fld="0" item="0"/>
          <tpl fld="1" item="289"/>
          <tpl fld="4" item="17"/>
        </tpls>
      </m>
      <n v="1" in="0">
        <tpls c="3">
          <tpl fld="0" item="0"/>
          <tpl fld="1" item="434"/>
          <tpl fld="4" item="26"/>
        </tpls>
      </n>
      <n v="862" in="0">
        <tpls c="3">
          <tpl fld="0" item="0"/>
          <tpl fld="1" item="183"/>
          <tpl fld="4" item="23"/>
        </tpls>
      </n>
      <n v="20" in="0">
        <tpls c="3">
          <tpl fld="0" item="0"/>
          <tpl fld="1" item="114"/>
          <tpl fld="4" item="26"/>
        </tpls>
      </n>
      <n v="27" in="0">
        <tpls c="3">
          <tpl fld="0" item="0"/>
          <tpl fld="1" item="63"/>
          <tpl fld="4" item="25"/>
        </tpls>
      </n>
      <m in="0">
        <tpls c="3">
          <tpl fld="0" item="0"/>
          <tpl fld="1" item="416"/>
          <tpl fld="4" item="18"/>
        </tpls>
      </m>
      <n v="274" in="0">
        <tpls c="3">
          <tpl fld="0" item="0"/>
          <tpl fld="1" item="206"/>
          <tpl fld="4" item="23"/>
        </tpls>
      </n>
      <n v="60" in="0">
        <tpls c="3">
          <tpl fld="0" item="0"/>
          <tpl fld="1" item="184"/>
          <tpl fld="4" item="23"/>
        </tpls>
      </n>
      <n v="17" in="0">
        <tpls c="3">
          <tpl fld="0" item="0"/>
          <tpl fld="1" item="317"/>
          <tpl fld="4" item="27"/>
        </tpls>
      </n>
      <m in="0">
        <tpls c="3">
          <tpl fld="0" item="0"/>
          <tpl fld="1" item="167"/>
          <tpl fld="4" item="22"/>
        </tpls>
      </m>
      <m in="0">
        <tpls c="3">
          <tpl fld="0" item="0"/>
          <tpl fld="1" item="13"/>
          <tpl fld="4" item="22"/>
        </tpls>
      </m>
      <n v="1" in="0">
        <tpls c="3">
          <tpl fld="0" item="0"/>
          <tpl fld="1" item="138"/>
          <tpl fld="4" item="26"/>
        </tpls>
      </n>
      <m in="0">
        <tpls c="3">
          <tpl fld="0" item="0"/>
          <tpl fld="1" item="100"/>
          <tpl fld="4" item="20"/>
        </tpls>
      </m>
      <n v="4" in="0">
        <tpls c="3">
          <tpl fld="0" item="0"/>
          <tpl fld="1" item="153"/>
          <tpl fld="4" item="23"/>
        </tpls>
      </n>
      <m in="0">
        <tpls c="3">
          <tpl fld="0" item="0"/>
          <tpl fld="1" item="428"/>
          <tpl fld="4" item="29"/>
        </tpls>
      </m>
      <m in="0">
        <tpls c="3">
          <tpl fld="0" item="0"/>
          <tpl fld="1" item="387"/>
          <tpl fld="4" item="27"/>
        </tpls>
      </m>
      <m in="0">
        <tpls c="3">
          <tpl fld="0" item="0"/>
          <tpl fld="1" item="340"/>
          <tpl fld="4" item="26"/>
        </tpls>
      </m>
      <n v="10" in="0">
        <tpls c="3">
          <tpl fld="0" item="0"/>
          <tpl fld="1" item="233"/>
          <tpl fld="4" item="26"/>
        </tpls>
      </n>
      <n v="12" in="0">
        <tpls c="3">
          <tpl fld="0" item="0"/>
          <tpl fld="1" item="187"/>
          <tpl fld="4" item="26"/>
        </tpls>
      </n>
      <n v="34" in="0">
        <tpls c="3">
          <tpl fld="0" item="0"/>
          <tpl fld="1" item="230"/>
          <tpl fld="4" item="19"/>
        </tpls>
      </n>
      <n v="12" in="0">
        <tpls c="3">
          <tpl fld="0" item="0"/>
          <tpl fld="1" item="309"/>
          <tpl fld="4" item="21"/>
        </tpls>
      </n>
      <n v="16" in="0">
        <tpls c="3">
          <tpl fld="0" item="0"/>
          <tpl fld="1" item="437"/>
          <tpl fld="4" item="27"/>
        </tpls>
      </n>
      <m in="0">
        <tpls c="3">
          <tpl fld="0" item="0"/>
          <tpl fld="1" item="245"/>
          <tpl fld="4" item="22"/>
        </tpls>
      </m>
      <n v="17" in="0">
        <tpls c="3">
          <tpl fld="0" item="0"/>
          <tpl fld="1" item="348"/>
          <tpl fld="4" item="26"/>
        </tpls>
      </n>
      <m in="0">
        <tpls c="3">
          <tpl fld="0" item="0"/>
          <tpl fld="1" item="195"/>
          <tpl fld="4" item="24"/>
        </tpls>
      </m>
      <n v="174" in="0">
        <tpls c="3">
          <tpl fld="0" item="0"/>
          <tpl fld="1" item="67"/>
          <tpl fld="4" item="24"/>
        </tpls>
      </n>
      <m in="0">
        <tpls c="3">
          <tpl fld="0" item="0"/>
          <tpl fld="1" item="30"/>
          <tpl fld="4" item="16"/>
        </tpls>
      </m>
      <n v="1" in="0">
        <tpls c="3">
          <tpl fld="0" item="0"/>
          <tpl fld="1" item="356"/>
          <tpl fld="4" item="16"/>
        </tpls>
      </n>
      <n v="15" in="0">
        <tpls c="3">
          <tpl fld="0" item="0"/>
          <tpl fld="1" item="175"/>
          <tpl fld="4" item="21"/>
        </tpls>
      </n>
      <n v="253" in="0">
        <tpls c="3">
          <tpl fld="0" item="0"/>
          <tpl fld="1" item="262"/>
          <tpl fld="4" item="27"/>
        </tpls>
      </n>
      <n v="30" in="0">
        <tpls c="3">
          <tpl fld="0" item="0"/>
          <tpl fld="1" item="365"/>
          <tpl fld="4" item="17"/>
        </tpls>
      </n>
      <n v="27" in="0">
        <tpls c="3">
          <tpl fld="0" item="0"/>
          <tpl fld="1" item="357"/>
          <tpl fld="4" item="25"/>
        </tpls>
      </n>
      <n v="605" in="0">
        <tpls c="3">
          <tpl fld="0" item="0"/>
          <tpl fld="1" item="409"/>
          <tpl fld="4" item="29"/>
        </tpls>
      </n>
      <n v="2" in="0">
        <tpls c="3">
          <tpl fld="0" item="0"/>
          <tpl fld="1" item="181"/>
          <tpl fld="4" item="24"/>
        </tpls>
      </n>
      <m in="0">
        <tpls c="3">
          <tpl fld="0" item="0"/>
          <tpl fld="1" item="244"/>
          <tpl fld="4" item="24"/>
        </tpls>
      </m>
      <n v="5" in="0">
        <tpls c="3">
          <tpl fld="0" item="0"/>
          <tpl fld="1" item="383"/>
          <tpl fld="4" item="17"/>
        </tpls>
      </n>
      <m in="0">
        <tpls c="3">
          <tpl fld="0" item="0"/>
          <tpl fld="1" item="436"/>
          <tpl fld="4" item="29"/>
        </tpls>
      </m>
      <m in="0">
        <tpls c="3">
          <tpl fld="0" item="0"/>
          <tpl fld="1" item="24"/>
          <tpl fld="4" item="27"/>
        </tpls>
      </m>
      <n v="4" in="0">
        <tpls c="3">
          <tpl fld="0" item="0"/>
          <tpl fld="1" item="427"/>
          <tpl fld="4" item="22"/>
        </tpls>
      </n>
      <n v="4" in="0">
        <tpls c="3">
          <tpl fld="0" item="0"/>
          <tpl fld="1" item="254"/>
          <tpl fld="4" item="26"/>
        </tpls>
      </n>
      <m in="0">
        <tpls c="3">
          <tpl fld="0" item="0"/>
          <tpl fld="1" item="259"/>
          <tpl fld="4" item="26"/>
        </tpls>
      </m>
      <n v="14" in="0">
        <tpls c="3">
          <tpl fld="0" item="0"/>
          <tpl fld="1" item="59"/>
          <tpl fld="4" item="25"/>
        </tpls>
      </n>
      <m in="0">
        <tpls c="3">
          <tpl fld="0" item="0"/>
          <tpl fld="1" item="457"/>
          <tpl fld="4" item="13"/>
        </tpls>
      </m>
      <m in="0">
        <tpls c="3">
          <tpl fld="0" item="0"/>
          <tpl fld="1" item="342"/>
          <tpl fld="4" item="17"/>
        </tpls>
      </m>
      <m in="0">
        <tpls c="3">
          <tpl fld="0" item="0"/>
          <tpl fld="1" item="48"/>
          <tpl fld="4" item="29"/>
        </tpls>
      </m>
      <m in="0">
        <tpls c="3">
          <tpl fld="0" item="0"/>
          <tpl fld="1" item="138"/>
          <tpl fld="4" item="27"/>
        </tpls>
      </m>
      <m in="0">
        <tpls c="3">
          <tpl fld="0" item="0"/>
          <tpl fld="1" item="392"/>
          <tpl fld="4" item="22"/>
        </tpls>
      </m>
      <n v="48" in="0">
        <tpls c="3">
          <tpl fld="0" item="0"/>
          <tpl fld="1" item="267"/>
          <tpl fld="4" item="25"/>
        </tpls>
      </n>
      <n v="59" in="0">
        <tpls c="3">
          <tpl fld="0" item="0"/>
          <tpl fld="1" item="370"/>
          <tpl fld="4" item="25"/>
        </tpls>
      </n>
      <m in="0">
        <tpls c="3">
          <tpl fld="0" item="0"/>
          <tpl fld="1" item="328"/>
          <tpl fld="4" item="25"/>
        </tpls>
      </m>
      <n v="51" in="0">
        <tpls c="3">
          <tpl fld="0" item="0"/>
          <tpl fld="1" item="177"/>
          <tpl fld="4" item="18"/>
        </tpls>
      </n>
      <n v="363" in="0">
        <tpls c="3">
          <tpl fld="0" item="0"/>
          <tpl fld="1" item="438"/>
          <tpl fld="4" item="20"/>
        </tpls>
      </n>
      <m in="0">
        <tpls c="3">
          <tpl fld="0" item="0"/>
          <tpl fld="1" item="221"/>
          <tpl fld="4" item="22"/>
        </tpls>
      </m>
      <n v="33" in="0">
        <tpls c="3">
          <tpl fld="0" item="0"/>
          <tpl fld="1" item="160"/>
          <tpl fld="4" item="26"/>
        </tpls>
      </n>
      <m in="0">
        <tpls c="3">
          <tpl fld="0" item="0"/>
          <tpl fld="1" item="90"/>
          <tpl fld="4" item="20"/>
        </tpls>
      </m>
      <n v="279" in="0">
        <tpls c="3">
          <tpl fld="0" item="0"/>
          <tpl fld="1" item="187"/>
          <tpl fld="4" item="20"/>
        </tpls>
      </n>
      <m in="0">
        <tpls c="3">
          <tpl fld="0" item="0"/>
          <tpl fld="1" item="315"/>
          <tpl fld="4" item="21"/>
        </tpls>
      </m>
      <n v="96" in="0">
        <tpls c="3">
          <tpl fld="0" item="0"/>
          <tpl fld="1" item="360"/>
          <tpl fld="4" item="20"/>
        </tpls>
      </n>
      <n v="66" in="0">
        <tpls c="3">
          <tpl fld="0" item="0"/>
          <tpl fld="1" item="107"/>
          <tpl fld="4" item="26"/>
        </tpls>
      </n>
      <n v="136" in="0">
        <tpls c="3">
          <tpl fld="0" item="0"/>
          <tpl fld="1" item="242"/>
          <tpl fld="4" item="23"/>
        </tpls>
      </n>
      <n v="86" in="0">
        <tpls c="3">
          <tpl fld="0" item="0"/>
          <tpl fld="1" item="148"/>
          <tpl fld="4" item="25"/>
        </tpls>
      </n>
      <m in="0">
        <tpls c="3">
          <tpl fld="0" item="0"/>
          <tpl fld="1" item="406"/>
          <tpl fld="4" item="25"/>
        </tpls>
      </m>
      <m in="0">
        <tpls c="3">
          <tpl fld="0" item="0"/>
          <tpl fld="1" item="336"/>
          <tpl fld="4" item="20"/>
        </tpls>
      </m>
      <n v="6" in="0">
        <tpls c="3">
          <tpl fld="0" item="0"/>
          <tpl fld="1" item="393"/>
          <tpl fld="4" item="23"/>
        </tpls>
      </n>
      <m in="0">
        <tpls c="3">
          <tpl fld="0" item="0"/>
          <tpl fld="1" item="24"/>
          <tpl fld="4" item="29"/>
        </tpls>
      </m>
      <n v="135" in="0">
        <tpls c="3">
          <tpl fld="0" item="0"/>
          <tpl fld="1" item="430"/>
          <tpl fld="4" item="27"/>
        </tpls>
      </n>
      <m in="0">
        <tpls c="3">
          <tpl fld="0" item="0"/>
          <tpl fld="1" item="399"/>
          <tpl fld="4" item="22"/>
        </tpls>
      </m>
      <n v="4" in="0">
        <tpls c="3">
          <tpl fld="0" item="0"/>
          <tpl fld="1" item="199"/>
          <tpl fld="4" item="22"/>
        </tpls>
      </n>
      <n v="3" in="0">
        <tpls c="3">
          <tpl fld="0" item="0"/>
          <tpl fld="1" item="427"/>
          <tpl fld="4" item="26"/>
        </tpls>
      </n>
      <m in="0">
        <tpls c="3">
          <tpl fld="0" item="0"/>
          <tpl fld="1" item="237"/>
          <tpl fld="4" item="15"/>
        </tpls>
      </m>
      <n v="107" in="0">
        <tpls c="3">
          <tpl fld="0" item="0"/>
          <tpl fld="1" item="275"/>
          <tpl fld="4" item="23"/>
        </tpls>
      </n>
      <n v="121" in="0">
        <tpls c="3">
          <tpl fld="0" item="0"/>
          <tpl fld="1" item="10"/>
          <tpl fld="4" item="29"/>
        </tpls>
      </n>
      <n v="21" in="0">
        <tpls c="3">
          <tpl fld="0" item="0"/>
          <tpl fld="1" item="214"/>
          <tpl fld="4" item="29"/>
        </tpls>
      </n>
      <m in="0">
        <tpls c="3">
          <tpl fld="0" item="0"/>
          <tpl fld="1" item="164"/>
          <tpl fld="4" item="17"/>
        </tpls>
      </m>
      <m in="0">
        <tpls c="3">
          <tpl fld="0" item="0"/>
          <tpl fld="1" item="134"/>
          <tpl fld="4" item="22"/>
        </tpls>
      </m>
      <m in="0">
        <tpls c="3">
          <tpl fld="0" item="0"/>
          <tpl fld="1" item="211"/>
          <tpl fld="4" item="28"/>
        </tpls>
      </m>
      <m in="0">
        <tpls c="3">
          <tpl fld="0" item="0"/>
          <tpl fld="1" item="59"/>
          <tpl fld="4" item="17"/>
        </tpls>
      </m>
      <m in="0">
        <tpls c="3">
          <tpl fld="0" item="0"/>
          <tpl fld="1" item="90"/>
          <tpl fld="4" item="22"/>
        </tpls>
      </m>
      <m in="0">
        <tpls c="3">
          <tpl fld="0" item="0"/>
          <tpl fld="1" item="116"/>
          <tpl fld="4" item="28"/>
        </tpls>
      </m>
      <n v="400" in="0">
        <tpls c="3">
          <tpl fld="0" item="0"/>
          <tpl fld="1" item="67"/>
          <tpl fld="4" item="25"/>
        </tpls>
      </n>
      <m in="0">
        <tpls c="3">
          <tpl fld="0" item="0"/>
          <tpl fld="1" item="426"/>
          <tpl fld="4" item="21"/>
        </tpls>
      </m>
      <m in="0">
        <tpls c="3">
          <tpl fld="0" item="0"/>
          <tpl fld="1" item="384"/>
          <tpl fld="4" item="29"/>
        </tpls>
      </m>
      <n v="3" in="0">
        <tpls c="3">
          <tpl fld="0" item="0"/>
          <tpl fld="1" item="226"/>
          <tpl fld="4" item="21"/>
        </tpls>
      </n>
      <m in="0">
        <tpls c="3">
          <tpl fld="0" item="0"/>
          <tpl fld="1" item="361"/>
          <tpl fld="4" item="26"/>
        </tpls>
      </m>
      <m in="0">
        <tpls c="3">
          <tpl fld="0" item="0"/>
          <tpl fld="1" item="419"/>
          <tpl fld="4" item="28"/>
        </tpls>
      </m>
      <m in="0">
        <tpls c="3">
          <tpl fld="0" item="0"/>
          <tpl fld="1" item="113"/>
          <tpl fld="4" item="29"/>
        </tpls>
      </m>
      <m in="0">
        <tpls c="3">
          <tpl fld="0" item="0"/>
          <tpl fld="1" item="218"/>
          <tpl fld="4" item="29"/>
        </tpls>
      </m>
      <n v="145" in="0">
        <tpls c="3">
          <tpl fld="0" item="0"/>
          <tpl fld="1" item="422"/>
          <tpl fld="4" item="29"/>
        </tpls>
      </n>
      <n v="2" in="0">
        <tpls c="3">
          <tpl fld="0" item="0"/>
          <tpl fld="1" item="25"/>
          <tpl fld="4" item="27"/>
        </tpls>
      </n>
      <n v="20" in="0">
        <tpls c="3">
          <tpl fld="0" item="0"/>
          <tpl fld="1" item="364"/>
          <tpl fld="4" item="17"/>
        </tpls>
      </n>
      <m in="0">
        <tpls c="3">
          <tpl fld="0" item="0"/>
          <tpl fld="1" item="423"/>
          <tpl fld="4" item="28"/>
        </tpls>
      </m>
      <n v="828" in="0">
        <tpls c="3">
          <tpl fld="0" item="0"/>
          <tpl fld="1" item="400"/>
          <tpl fld="4" item="23"/>
        </tpls>
      </n>
      <m in="0">
        <tpls c="3">
          <tpl fld="0" item="0"/>
          <tpl fld="1" item="303"/>
          <tpl fld="4" item="29"/>
        </tpls>
      </m>
      <m in="0">
        <tpls c="3">
          <tpl fld="0" item="0"/>
          <tpl fld="1" item="69"/>
          <tpl fld="4" item="22"/>
        </tpls>
      </m>
      <m in="0">
        <tpls c="3">
          <tpl fld="0" item="0"/>
          <tpl fld="1" item="321"/>
          <tpl fld="4" item="22"/>
        </tpls>
      </m>
      <n v="2" in="0">
        <tpls c="3">
          <tpl fld="0" item="0"/>
          <tpl fld="1" item="3"/>
          <tpl fld="4" item="22"/>
        </tpls>
      </n>
      <m in="0">
        <tpls c="3">
          <tpl fld="0" item="0"/>
          <tpl fld="1" item="26"/>
          <tpl fld="4" item="26"/>
        </tpls>
      </m>
      <n v="1" in="0">
        <tpls c="3">
          <tpl fld="0" item="0"/>
          <tpl fld="1" item="308"/>
          <tpl fld="4" item="17"/>
        </tpls>
      </n>
      <m in="0">
        <tpls c="3">
          <tpl fld="0" item="0"/>
          <tpl fld="1" item="210"/>
          <tpl fld="4" item="28"/>
        </tpls>
      </m>
      <m in="0">
        <tpls c="3">
          <tpl fld="0" item="0"/>
          <tpl fld="1" item="327"/>
          <tpl fld="4" item="23"/>
        </tpls>
      </m>
      <n v="18" in="0">
        <tpls c="3">
          <tpl fld="0" item="0"/>
          <tpl fld="1" item="444"/>
          <tpl fld="4" item="29"/>
        </tpls>
      </n>
      <n v="21" in="0">
        <tpls c="3">
          <tpl fld="0" item="0"/>
          <tpl fld="1" item="149"/>
          <tpl fld="4" item="22"/>
        </tpls>
      </n>
      <n v="4" in="0">
        <tpls c="3">
          <tpl fld="0" item="0"/>
          <tpl fld="1" item="206"/>
          <tpl fld="4" item="22"/>
        </tpls>
      </n>
      <n v="1" in="0">
        <tpls c="3">
          <tpl fld="0" item="0"/>
          <tpl fld="1" item="418"/>
          <tpl fld="4" item="22"/>
        </tpls>
      </n>
      <m in="0">
        <tpls c="3">
          <tpl fld="0" item="0"/>
          <tpl fld="1" item="445"/>
          <tpl fld="4" item="21"/>
        </tpls>
      </m>
      <m in="0">
        <tpls c="3">
          <tpl fld="0" item="0"/>
          <tpl fld="1" item="70"/>
          <tpl fld="4" item="28"/>
        </tpls>
      </m>
      <m in="0">
        <tpls c="3">
          <tpl fld="0" item="0"/>
          <tpl fld="1" item="166"/>
          <tpl fld="4" item="26"/>
        </tpls>
      </m>
      <n v="5" in="0">
        <tpls c="3">
          <tpl fld="0" item="0"/>
          <tpl fld="1" item="0"/>
          <tpl fld="4" item="28"/>
        </tpls>
      </n>
      <n v="4" in="0">
        <tpls c="3">
          <tpl fld="0" item="0"/>
          <tpl fld="1" item="410"/>
          <tpl fld="4" item="22"/>
        </tpls>
      </n>
      <m in="0">
        <tpls c="3">
          <tpl fld="0" item="0"/>
          <tpl fld="1" item="40"/>
          <tpl fld="4" item="16"/>
        </tpls>
      </m>
      <n v="1" in="0">
        <tpls c="3">
          <tpl fld="0" item="0"/>
          <tpl fld="1" item="9"/>
          <tpl fld="4" item="21"/>
        </tpls>
      </n>
      <n v="180" in="0">
        <tpls c="3">
          <tpl fld="0" item="0"/>
          <tpl fld="1" item="139"/>
          <tpl fld="4" item="27"/>
        </tpls>
      </n>
      <n v="10" in="0">
        <tpls c="3">
          <tpl fld="0" item="0"/>
          <tpl fld="1" item="233"/>
          <tpl fld="4" item="22"/>
        </tpls>
      </n>
      <m in="0">
        <tpls c="3">
          <tpl fld="0" item="0"/>
          <tpl fld="1" item="196"/>
          <tpl fld="4" item="26"/>
        </tpls>
      </m>
      <n v="270" in="0">
        <tpls c="3">
          <tpl fld="0" item="0"/>
          <tpl fld="1" item="7"/>
          <tpl fld="4" item="24"/>
        </tpls>
      </n>
      <m in="0">
        <tpls c="3">
          <tpl fld="0" item="0"/>
          <tpl fld="1" item="213"/>
          <tpl fld="4" item="24"/>
        </tpls>
      </m>
      <n v="17" in="0">
        <tpls c="3">
          <tpl fld="0" item="0"/>
          <tpl fld="1" item="66"/>
          <tpl fld="4" item="15"/>
        </tpls>
      </n>
      <m in="0">
        <tpls c="3">
          <tpl fld="0" item="0"/>
          <tpl fld="1" item="300"/>
          <tpl fld="4" item="26"/>
        </tpls>
      </m>
      <n v="38" in="0">
        <tpls c="3">
          <tpl fld="0" item="0"/>
          <tpl fld="1" item="246"/>
          <tpl fld="4" item="25"/>
        </tpls>
      </n>
      <n v="34" in="0">
        <tpls c="3">
          <tpl fld="0" item="0"/>
          <tpl fld="1" item="274"/>
          <tpl fld="4" item="29"/>
        </tpls>
      </n>
      <n v="28" in="0">
        <tpls c="3">
          <tpl fld="0" item="0"/>
          <tpl fld="1" item="97"/>
          <tpl fld="4" item="25"/>
        </tpls>
      </n>
      <n v="65" in="0">
        <tpls c="3">
          <tpl fld="0" item="0"/>
          <tpl fld="1" item="242"/>
          <tpl fld="4" item="24"/>
        </tpls>
      </n>
      <n v="4" in="0">
        <tpls c="3">
          <tpl fld="0" item="0"/>
          <tpl fld="1" item="174"/>
          <tpl fld="4" item="33"/>
        </tpls>
      </n>
      <m in="0">
        <tpls c="3">
          <tpl fld="0" item="0"/>
          <tpl fld="1" item="44"/>
          <tpl fld="4" item="30"/>
        </tpls>
      </m>
      <m in="0">
        <tpls c="3">
          <tpl fld="0" item="0"/>
          <tpl fld="1" item="270"/>
          <tpl fld="4" item="28"/>
        </tpls>
      </m>
      <m in="0">
        <tpls c="3">
          <tpl fld="0" item="0"/>
          <tpl fld="1" item="96"/>
          <tpl fld="4" item="24"/>
        </tpls>
      </m>
      <m in="0">
        <tpls c="3">
          <tpl fld="0" item="0"/>
          <tpl fld="1" item="373"/>
          <tpl fld="4" item="26"/>
        </tpls>
      </m>
      <n v="647" in="0">
        <tpls c="3">
          <tpl fld="0" item="0"/>
          <tpl fld="1" item="225"/>
          <tpl fld="4" item="24"/>
        </tpls>
      </n>
      <m in="0">
        <tpls c="3">
          <tpl fld="0" item="0"/>
          <tpl fld="1" item="212"/>
          <tpl fld="4" item="32"/>
        </tpls>
      </m>
      <m in="0">
        <tpls c="3">
          <tpl fld="0" item="0"/>
          <tpl fld="1" item="392"/>
          <tpl fld="4" item="33"/>
        </tpls>
      </m>
      <m in="0">
        <tpls c="3">
          <tpl fld="0" item="0"/>
          <tpl fld="1" item="171"/>
          <tpl fld="4" item="30"/>
        </tpls>
      </m>
      <m in="0">
        <tpls c="3">
          <tpl fld="0" item="0"/>
          <tpl fld="1" item="181"/>
          <tpl fld="4" item="22"/>
        </tpls>
      </m>
      <n v="59" in="0">
        <tpls c="3">
          <tpl fld="0" item="0"/>
          <tpl fld="1" item="57"/>
          <tpl fld="4" item="24"/>
        </tpls>
      </n>
      <m in="0">
        <tpls c="3">
          <tpl fld="0" item="0"/>
          <tpl fld="1" item="130"/>
          <tpl fld="4" item="24"/>
        </tpls>
      </m>
      <m in="0">
        <tpls c="3">
          <tpl fld="0" item="0"/>
          <tpl fld="1" item="310"/>
          <tpl fld="4" item="32"/>
        </tpls>
      </m>
      <m in="0">
        <tpls c="3">
          <tpl fld="0" item="0"/>
          <tpl fld="1" item="159"/>
          <tpl fld="4" item="32"/>
        </tpls>
      </m>
      <m in="0">
        <tpls c="3">
          <tpl fld="0" item="0"/>
          <tpl fld="1" item="46"/>
          <tpl fld="4" item="24"/>
        </tpls>
      </m>
      <n v="10" in="0">
        <tpls c="3">
          <tpl fld="0" item="0"/>
          <tpl fld="1" item="180"/>
          <tpl fld="4" item="27"/>
        </tpls>
      </n>
      <n v="100" in="0">
        <tpls c="3">
          <tpl fld="0" item="0"/>
          <tpl fld="1" item="219"/>
          <tpl fld="4" item="23"/>
        </tpls>
      </n>
      <n v="4" in="0">
        <tpls c="3">
          <tpl fld="0" item="0"/>
          <tpl fld="1" item="9"/>
          <tpl fld="4" item="26"/>
        </tpls>
      </n>
      <n v="27" in="0">
        <tpls c="3">
          <tpl fld="0" item="0"/>
          <tpl fld="1" item="82"/>
          <tpl fld="4" item="28"/>
        </tpls>
      </n>
      <m in="0">
        <tpls c="3">
          <tpl fld="0" item="0"/>
          <tpl fld="1" item="23"/>
          <tpl fld="4" item="27"/>
        </tpls>
      </m>
      <m in="0">
        <tpls c="3">
          <tpl fld="0" item="0"/>
          <tpl fld="1" item="196"/>
          <tpl fld="4" item="17"/>
        </tpls>
      </m>
      <m in="0">
        <tpls c="3">
          <tpl fld="0" item="0"/>
          <tpl fld="1" item="130"/>
          <tpl fld="4" item="28"/>
        </tpls>
      </m>
      <n v="130" in="0">
        <tpls c="3">
          <tpl fld="0" item="0"/>
          <tpl fld="1" item="277"/>
          <tpl fld="4" item="23"/>
        </tpls>
      </n>
      <n v="16" in="0">
        <tpls c="3">
          <tpl fld="0" item="0"/>
          <tpl fld="1" item="282"/>
          <tpl fld="4" item="29"/>
        </tpls>
      </n>
      <n v="47" in="0">
        <tpls c="3">
          <tpl fld="0" item="0"/>
          <tpl fld="1" item="313"/>
          <tpl fld="4" item="22"/>
        </tpls>
      </n>
      <m in="0">
        <tpls c="3">
          <tpl fld="0" item="0"/>
          <tpl fld="1" item="188"/>
          <tpl fld="4" item="22"/>
        </tpls>
      </m>
      <n v="2" in="0">
        <tpls c="3">
          <tpl fld="0" item="0"/>
          <tpl fld="1" item="267"/>
          <tpl fld="4" item="22"/>
        </tpls>
      </n>
      <m in="0">
        <tpls c="3">
          <tpl fld="0" item="0"/>
          <tpl fld="1" item="299"/>
          <tpl fld="4" item="26"/>
        </tpls>
      </m>
      <m in="0">
        <tpls c="3">
          <tpl fld="0" item="0"/>
          <tpl fld="1" item="209"/>
          <tpl fld="4" item="28"/>
        </tpls>
      </m>
      <m in="0">
        <tpls c="3">
          <tpl fld="0" item="0"/>
          <tpl fld="3" item="0"/>
          <tpl fld="4" item="24"/>
        </tpls>
      </m>
      <m in="0">
        <tpls c="3">
          <tpl fld="0" item="0"/>
          <tpl fld="1" item="377"/>
          <tpl fld="4" item="32"/>
        </tpls>
      </m>
      <m in="0">
        <tpls c="3">
          <tpl fld="0" item="0"/>
          <tpl fld="1" item="384"/>
          <tpl fld="4" item="32"/>
        </tpls>
      </m>
      <m in="0">
        <tpls c="3">
          <tpl fld="0" item="0"/>
          <tpl fld="1" item="135"/>
          <tpl fld="4" item="33"/>
        </tpls>
      </m>
      <n v="1" in="0">
        <tpls c="3">
          <tpl fld="0" item="0"/>
          <tpl fld="1" item="53"/>
          <tpl fld="4" item="29"/>
        </tpls>
      </n>
      <m in="0">
        <tpls c="3">
          <tpl fld="0" item="0"/>
          <tpl fld="1" item="264"/>
          <tpl fld="4" item="32"/>
        </tpls>
      </m>
      <m in="0">
        <tpls c="3">
          <tpl fld="0" item="0"/>
          <tpl fld="1" item="143"/>
          <tpl fld="4" item="32"/>
        </tpls>
      </m>
      <m in="0">
        <tpls c="3">
          <tpl fld="0" item="0"/>
          <tpl fld="1" item="457"/>
          <tpl fld="4" item="31"/>
        </tpls>
      </m>
      <m in="0">
        <tpls c="3">
          <tpl fld="0" item="0"/>
          <tpl fld="1" item="295"/>
          <tpl fld="4" item="33"/>
        </tpls>
      </m>
      <m in="0">
        <tpls c="3">
          <tpl fld="0" item="0"/>
          <tpl fld="1" item="355"/>
          <tpl fld="4" item="16"/>
        </tpls>
      </m>
      <m in="0">
        <tpls c="3">
          <tpl fld="0" item="0"/>
          <tpl fld="1" item="300"/>
          <tpl fld="4" item="27"/>
        </tpls>
      </m>
      <m in="0">
        <tpls c="3">
          <tpl fld="0" item="0"/>
          <tpl fld="1" item="84"/>
          <tpl fld="4" item="32"/>
        </tpls>
      </m>
      <m in="0">
        <tpls c="3">
          <tpl fld="0" item="0"/>
          <tpl fld="1" item="213"/>
          <tpl fld="4" item="31"/>
        </tpls>
      </m>
      <m in="0">
        <tpls c="3">
          <tpl fld="0" item="0"/>
          <tpl fld="1" item="49"/>
          <tpl fld="4" item="31"/>
        </tpls>
      </m>
      <m in="0">
        <tpls c="3">
          <tpl fld="0" item="0"/>
          <tpl fld="1" item="35"/>
          <tpl fld="4" item="21"/>
        </tpls>
      </m>
      <n v="178" in="0">
        <tpls c="3">
          <tpl fld="0" item="0"/>
          <tpl fld="1" item="101"/>
          <tpl fld="4" item="29"/>
        </tpls>
      </n>
      <n v="3" in="0">
        <tpls c="3">
          <tpl fld="0" item="0"/>
          <tpl fld="1" item="366"/>
          <tpl fld="4" item="21"/>
        </tpls>
      </n>
      <m in="0">
        <tpls c="3">
          <tpl fld="0" item="0"/>
          <tpl fld="1" item="72"/>
          <tpl fld="4" item="29"/>
        </tpls>
      </m>
      <n v="59" in="0">
        <tpls c="3">
          <tpl fld="0" item="0"/>
          <tpl fld="1" item="161"/>
          <tpl fld="4" item="25"/>
        </tpls>
      </n>
      <m in="0">
        <tpls c="3">
          <tpl fld="0" item="0"/>
          <tpl fld="1" item="316"/>
          <tpl fld="4" item="19"/>
        </tpls>
      </m>
      <n v="2183" in="0">
        <tpls c="3">
          <tpl fld="0" item="0"/>
          <tpl fld="1" item="324"/>
          <tpl fld="4" item="20"/>
        </tpls>
      </n>
      <n v="2" in="0">
        <tpls c="3">
          <tpl fld="0" item="0"/>
          <tpl fld="1" item="454"/>
          <tpl fld="4" item="26"/>
        </tpls>
      </n>
      <m in="0">
        <tpls c="3">
          <tpl fld="0" item="0"/>
          <tpl fld="1" item="143"/>
          <tpl fld="4" item="26"/>
        </tpls>
      </m>
      <m in="0">
        <tpls c="3">
          <tpl fld="0" item="0"/>
          <tpl fld="1" item="414"/>
          <tpl fld="4" item="21"/>
        </tpls>
      </m>
      <n v="3" in="0">
        <tpls c="3">
          <tpl fld="0" item="0"/>
          <tpl fld="1" item="383"/>
          <tpl fld="4" item="21"/>
        </tpls>
      </n>
      <n v="7" in="0">
        <tpls c="3">
          <tpl fld="0" item="0"/>
          <tpl fld="1" item="106"/>
          <tpl fld="4" item="28"/>
        </tpls>
      </n>
      <m in="0">
        <tpls c="3">
          <tpl fld="0" item="0"/>
          <tpl fld="1" item="378"/>
          <tpl fld="4" item="28"/>
        </tpls>
      </m>
      <m in="0">
        <tpls c="3">
          <tpl fld="0" item="0"/>
          <tpl fld="1" item="203"/>
          <tpl fld="4" item="28"/>
        </tpls>
      </m>
      <n v="108" in="0">
        <tpls c="3">
          <tpl fld="0" item="0"/>
          <tpl fld="1" item="33"/>
          <tpl fld="4" item="28"/>
        </tpls>
      </n>
      <m in="0">
        <tpls c="3">
          <tpl fld="0" item="0"/>
          <tpl fld="1" item="11"/>
          <tpl fld="4" item="32"/>
        </tpls>
      </m>
      <m in="0">
        <tpls c="3">
          <tpl fld="0" item="0"/>
          <tpl fld="1" item="184"/>
          <tpl fld="4" item="32"/>
        </tpls>
      </m>
      <m in="0">
        <tpls c="3">
          <tpl fld="0" item="0"/>
          <tpl fld="1" item="52"/>
          <tpl fld="4" item="31"/>
        </tpls>
      </m>
      <m in="0">
        <tpls c="3">
          <tpl fld="0" item="0"/>
          <tpl fld="1" item="99"/>
          <tpl fld="4" item="33"/>
        </tpls>
      </m>
      <m in="0">
        <tpls c="3">
          <tpl fld="0" item="0"/>
          <tpl fld="1" item="59"/>
          <tpl fld="4" item="30"/>
        </tpls>
      </m>
      <n v="13" in="0">
        <tpls c="3">
          <tpl fld="0" item="0"/>
          <tpl fld="1" item="333"/>
          <tpl fld="4" item="22"/>
        </tpls>
      </n>
      <m in="0">
        <tpls c="3">
          <tpl fld="0" item="0"/>
          <tpl fld="1" item="303"/>
          <tpl fld="4" item="27"/>
        </tpls>
      </m>
      <m in="0">
        <tpls c="3">
          <tpl fld="0" item="0"/>
          <tpl fld="1" item="263"/>
          <tpl fld="4" item="32"/>
        </tpls>
      </m>
      <n v="2" in="0">
        <tpls c="3">
          <tpl fld="0" item="0"/>
          <tpl fld="1" item="11"/>
          <tpl fld="4" item="31"/>
        </tpls>
      </n>
      <m in="0">
        <tpls c="3">
          <tpl fld="0" item="0"/>
          <tpl fld="1" item="153"/>
          <tpl fld="4" item="31"/>
        </tpls>
      </m>
      <m in="0">
        <tpls c="3">
          <tpl fld="0" item="0"/>
          <tpl fld="1" item="352"/>
          <tpl fld="4" item="33"/>
        </tpls>
      </m>
      <m in="0">
        <tpls c="3">
          <tpl fld="0" item="0"/>
          <tpl fld="1" item="173"/>
          <tpl fld="4" item="30"/>
        </tpls>
      </m>
      <n v="106" in="0">
        <tpls c="3">
          <tpl fld="0" item="0"/>
          <tpl fld="1" item="107"/>
          <tpl fld="4" item="28"/>
        </tpls>
      </n>
      <n v="10" in="0">
        <tpls c="3">
          <tpl fld="0" item="0"/>
          <tpl fld="1" item="441"/>
          <tpl fld="4" item="25"/>
        </tpls>
      </n>
      <m in="0">
        <tpls c="3">
          <tpl fld="0" item="0"/>
          <tpl fld="1" item="389"/>
          <tpl fld="4" item="31"/>
        </tpls>
      </m>
      <n v="1" in="0">
        <tpls c="3">
          <tpl fld="0" item="0"/>
          <tpl fld="1" item="385"/>
          <tpl fld="4" item="31"/>
        </tpls>
      </n>
      <m in="0">
        <tpls c="3">
          <tpl fld="0" item="0"/>
          <tpl fld="1" item="204"/>
          <tpl fld="4" item="26"/>
        </tpls>
      </m>
      <m in="0">
        <tpls c="3">
          <tpl fld="0" item="0"/>
          <tpl fld="1" item="170"/>
          <tpl fld="4" item="15"/>
        </tpls>
      </m>
      <m in="0">
        <tpls c="3">
          <tpl fld="0" item="0"/>
          <tpl fld="2" item="0"/>
          <tpl fld="4" item="22"/>
        </tpls>
      </m>
      <n v="2" in="0">
        <tpls c="3">
          <tpl fld="0" item="0"/>
          <tpl fld="1" item="35"/>
          <tpl fld="4" item="23"/>
        </tpls>
      </n>
      <m in="0">
        <tpls c="3">
          <tpl fld="0" item="0"/>
          <tpl fld="1" item="30"/>
          <tpl fld="4" item="22"/>
        </tpls>
      </m>
      <n v="14" in="0">
        <tpls c="3">
          <tpl fld="0" item="0"/>
          <tpl fld="1" item="415"/>
          <tpl fld="4" item="17"/>
        </tpls>
      </n>
      <n v="3" in="0">
        <tpls c="3">
          <tpl fld="0" item="0"/>
          <tpl fld="1" item="55"/>
          <tpl fld="4" item="19"/>
        </tpls>
      </n>
      <m in="0">
        <tpls c="3">
          <tpl fld="0" item="0"/>
          <tpl fld="1" item="416"/>
          <tpl fld="4" item="15"/>
        </tpls>
      </m>
      <n v="87" in="0">
        <tpls c="3">
          <tpl fld="0" item="0"/>
          <tpl fld="1" item="258"/>
          <tpl fld="4" item="25"/>
        </tpls>
      </n>
      <n v="40" in="0">
        <tpls c="3">
          <tpl fld="0" item="0"/>
          <tpl fld="1" item="405"/>
          <tpl fld="4" item="15"/>
        </tpls>
      </n>
      <n v="43" in="0">
        <tpls c="3">
          <tpl fld="0" item="0"/>
          <tpl fld="1" item="452"/>
          <tpl fld="4" item="28"/>
        </tpls>
      </n>
      <m in="0">
        <tpls c="3">
          <tpl fld="0" item="0"/>
          <tpl fld="1" item="69"/>
          <tpl fld="4" item="23"/>
        </tpls>
      </m>
      <m in="0">
        <tpls c="3">
          <tpl fld="0" item="0"/>
          <tpl fld="1" item="74"/>
          <tpl fld="4" item="23"/>
        </tpls>
      </m>
      <n v="220" in="0">
        <tpls c="3">
          <tpl fld="0" item="0"/>
          <tpl fld="1" item="415"/>
          <tpl fld="4" item="29"/>
        </tpls>
      </n>
      <m in="0">
        <tpls c="3">
          <tpl fld="0" item="0"/>
          <tpl fld="1" item="301"/>
          <tpl fld="4" item="27"/>
        </tpls>
      </m>
      <n v="192" in="0">
        <tpls c="3">
          <tpl fld="0" item="0"/>
          <tpl fld="1" item="105"/>
          <tpl fld="4" item="24"/>
        </tpls>
      </n>
      <m in="0">
        <tpls c="3">
          <tpl fld="0" item="0"/>
          <tpl fld="1" item="356"/>
          <tpl fld="4" item="31"/>
        </tpls>
      </m>
      <m in="0">
        <tpls c="3">
          <tpl fld="0" item="0"/>
          <tpl fld="1" item="273"/>
          <tpl fld="4" item="31"/>
        </tpls>
      </m>
      <n v="1" in="0">
        <tpls c="3">
          <tpl fld="0" item="0"/>
          <tpl fld="1" item="230"/>
          <tpl fld="4" item="31"/>
        </tpls>
      </n>
      <m in="0">
        <tpls c="3">
          <tpl fld="0" item="0"/>
          <tpl fld="1" item="115"/>
          <tpl fld="4" item="33"/>
        </tpls>
      </m>
      <m in="0">
        <tpls c="3">
          <tpl fld="0" item="0"/>
          <tpl fld="1" item="109"/>
          <tpl fld="4" item="30"/>
        </tpls>
      </m>
      <n v="917" in="0">
        <tpls c="3">
          <tpl fld="0" item="0"/>
          <tpl fld="1" item="452"/>
          <tpl fld="4" item="25"/>
        </tpls>
      </n>
      <m in="0">
        <tpls c="3">
          <tpl fld="0" item="0"/>
          <tpl fld="1" item="7"/>
          <tpl fld="4" item="32"/>
        </tpls>
      </m>
      <m in="0">
        <tpls c="3">
          <tpl fld="0" item="0"/>
          <tpl fld="1" item="217"/>
          <tpl fld="4" item="31"/>
        </tpls>
      </m>
      <m in="0">
        <tpls c="3">
          <tpl fld="0" item="0"/>
          <tpl fld="1" item="20"/>
          <tpl fld="4" item="32"/>
        </tpls>
      </m>
      <m in="0">
        <tpls c="3">
          <tpl fld="0" item="0"/>
          <tpl fld="1" item="309"/>
          <tpl fld="4" item="33"/>
        </tpls>
      </m>
      <m in="0">
        <tpls c="3">
          <tpl fld="0" item="0"/>
          <tpl fld="1" item="350"/>
          <tpl fld="4" item="30"/>
        </tpls>
      </m>
      <n v="48" in="0">
        <tpls c="3">
          <tpl fld="0" item="0"/>
          <tpl fld="1" item="455"/>
          <tpl fld="4" item="23"/>
        </tpls>
      </n>
      <m in="0">
        <tpls c="3">
          <tpl fld="0" item="0"/>
          <tpl fld="1" item="431"/>
          <tpl fld="4" item="32"/>
        </tpls>
      </m>
      <m in="0">
        <tpls c="3">
          <tpl fld="0" item="0"/>
          <tpl fld="1" item="104"/>
          <tpl fld="4" item="32"/>
        </tpls>
      </m>
      <m in="0">
        <tpls c="3">
          <tpl fld="0" item="0"/>
          <tpl fld="1" item="61"/>
          <tpl fld="4" item="17"/>
        </tpls>
      </m>
      <m in="0">
        <tpls c="3">
          <tpl fld="0" item="0"/>
          <tpl fld="1" item="222"/>
          <tpl fld="4" item="29"/>
        </tpls>
      </m>
      <n v="13" in="0">
        <tpls c="3">
          <tpl fld="0" item="0"/>
          <tpl fld="1" item="29"/>
          <tpl fld="4" item="25"/>
        </tpls>
      </n>
      <n v="1" in="0">
        <tpls c="3">
          <tpl fld="0" item="0"/>
          <tpl fld="1" item="129"/>
          <tpl fld="4" item="16"/>
        </tpls>
      </n>
      <m in="0">
        <tpls c="3">
          <tpl fld="0" item="0"/>
          <tpl fld="1" item="378"/>
          <tpl fld="4" item="27"/>
        </tpls>
      </m>
      <n v="149" in="0">
        <tpls c="3">
          <tpl fld="0" item="0"/>
          <tpl fld="1" item="339"/>
          <tpl fld="4" item="25"/>
        </tpls>
      </n>
      <m in="0">
        <tpls c="3">
          <tpl fld="0" item="0"/>
          <tpl fld="1" item="344"/>
          <tpl fld="4" item="33"/>
        </tpls>
      </m>
      <m in="0">
        <tpls c="3">
          <tpl fld="0" item="0"/>
          <tpl fld="1" item="3"/>
          <tpl fld="4" item="30"/>
        </tpls>
      </m>
      <m in="0">
        <tpls c="3">
          <tpl fld="0" item="0"/>
          <tpl fld="1" item="323"/>
          <tpl fld="4" item="34"/>
        </tpls>
      </m>
      <n v="7" in="0">
        <tpls c="3">
          <tpl fld="0" item="0"/>
          <tpl fld="1" item="186"/>
          <tpl fld="4" item="29"/>
        </tpls>
      </n>
      <n v="186" in="0">
        <tpls c="3">
          <tpl fld="0" item="0"/>
          <tpl fld="1" item="182"/>
          <tpl fld="4" item="25"/>
        </tpls>
      </n>
      <m in="0">
        <tpls c="3">
          <tpl fld="0" item="0"/>
          <tpl fld="1" item="102"/>
          <tpl fld="4" item="28"/>
        </tpls>
      </m>
      <m in="0">
        <tpls c="3">
          <tpl fld="0" item="0"/>
          <tpl fld="1" item="5"/>
          <tpl fld="4" item="22"/>
        </tpls>
      </m>
      <n v="64" in="0">
        <tpls c="3">
          <tpl fld="0" item="0"/>
          <tpl fld="1" item="390"/>
          <tpl fld="4" item="28"/>
        </tpls>
      </n>
      <m in="0">
        <tpls c="3">
          <tpl fld="0" item="0"/>
          <tpl fld="1" item="31"/>
          <tpl fld="4" item="27"/>
        </tpls>
      </m>
      <m in="0">
        <tpls c="3">
          <tpl fld="0" item="0"/>
          <tpl fld="1" item="426"/>
          <tpl fld="4" item="16"/>
        </tpls>
      </m>
      <m in="0">
        <tpls c="3">
          <tpl fld="0" item="0"/>
          <tpl fld="1" item="181"/>
          <tpl fld="4" item="21"/>
        </tpls>
      </m>
      <m in="0">
        <tpls c="3">
          <tpl fld="0" item="0"/>
          <tpl fld="1" item="22"/>
          <tpl fld="4" item="27"/>
        </tpls>
      </m>
      <n v="352" in="0">
        <tpls c="3">
          <tpl fld="0" item="0"/>
          <tpl fld="1" item="273"/>
          <tpl fld="4" item="27"/>
        </tpls>
      </n>
      <n v="2" in="0">
        <tpls c="3">
          <tpl fld="0" item="0"/>
          <tpl fld="1" item="172"/>
          <tpl fld="4" item="26"/>
        </tpls>
      </n>
      <n v="11" in="0">
        <tpls c="3">
          <tpl fld="0" item="0"/>
          <tpl fld="1" item="81"/>
          <tpl fld="4" item="25"/>
        </tpls>
      </n>
      <n v="168" in="0">
        <tpls c="3">
          <tpl fld="0" item="0"/>
          <tpl fld="1" item="139"/>
          <tpl fld="4" item="25"/>
        </tpls>
      </n>
      <n v="3" in="0">
        <tpls c="3">
          <tpl fld="0" item="0"/>
          <tpl fld="1" item="116"/>
          <tpl fld="4" item="24"/>
        </tpls>
      </n>
      <m in="0">
        <tpls c="3">
          <tpl fld="0" item="0"/>
          <tpl fld="1" item="123"/>
          <tpl fld="4" item="23"/>
        </tpls>
      </m>
      <m in="0">
        <tpls c="3">
          <tpl fld="0" item="0"/>
          <tpl fld="1" item="243"/>
          <tpl fld="4" item="25"/>
        </tpls>
      </m>
      <m in="0">
        <tpls c="3">
          <tpl fld="0" item="0"/>
          <tpl fld="1" item="211"/>
          <tpl fld="4" item="31"/>
        </tpls>
      </m>
      <n v="125" in="0">
        <tpls c="3">
          <tpl fld="0" item="0"/>
          <tpl fld="1" item="163"/>
          <tpl fld="4" item="29"/>
        </tpls>
      </n>
      <n v="5" in="0">
        <tpls c="3">
          <tpl fld="0" item="0"/>
          <tpl fld="1" item="231"/>
          <tpl fld="4" item="26"/>
        </tpls>
      </n>
      <m in="0">
        <tpls c="3">
          <tpl fld="0" item="0"/>
          <tpl fld="1" item="345"/>
          <tpl fld="4" item="33"/>
        </tpls>
      </m>
      <m in="0">
        <tpls c="3">
          <tpl fld="0" item="0"/>
          <tpl fld="1" item="191"/>
          <tpl fld="4" item="30"/>
        </tpls>
      </m>
      <m in="0">
        <tpls c="3">
          <tpl fld="0" item="0"/>
          <tpl fld="1" item="17"/>
          <tpl fld="4" item="22"/>
        </tpls>
      </m>
      <m in="0">
        <tpls c="3">
          <tpl fld="0" item="0"/>
          <tpl fld="1" item="90"/>
          <tpl fld="4" item="25"/>
        </tpls>
      </m>
      <n v="8" in="0">
        <tpls c="3">
          <tpl fld="0" item="0"/>
          <tpl fld="1" item="133"/>
          <tpl fld="4" item="23"/>
        </tpls>
      </n>
      <m in="0">
        <tpls c="3">
          <tpl fld="0" item="0"/>
          <tpl fld="1" item="407"/>
          <tpl fld="4" item="26"/>
        </tpls>
      </m>
      <n v="2" in="0">
        <tpls c="3">
          <tpl fld="0" item="0"/>
          <tpl fld="1" item="432"/>
          <tpl fld="4" item="24"/>
        </tpls>
      </n>
      <m in="0">
        <tpls c="3">
          <tpl fld="0" item="0"/>
          <tpl fld="1" item="56"/>
          <tpl fld="4" item="33"/>
        </tpls>
      </m>
      <m in="0">
        <tpls c="3">
          <tpl fld="0" item="0"/>
          <tpl fld="1" item="197"/>
          <tpl fld="4" item="30"/>
        </tpls>
      </m>
      <n v="9" in="0">
        <tpls c="3">
          <tpl fld="0" item="0"/>
          <tpl fld="1" item="397"/>
          <tpl fld="4" item="21"/>
        </tpls>
      </n>
      <m in="0">
        <tpls c="3">
          <tpl fld="0" item="0"/>
          <tpl fld="1" item="338"/>
          <tpl fld="4" item="24"/>
        </tpls>
      </m>
      <n v="2" in="0">
        <tpls c="3">
          <tpl fld="0" item="0"/>
          <tpl fld="1" item="9"/>
          <tpl fld="4" item="22"/>
        </tpls>
      </n>
      <n v="187" in="0">
        <tpls c="3">
          <tpl fld="0" item="0"/>
          <tpl fld="1" item="438"/>
          <tpl fld="4" item="24"/>
        </tpls>
      </n>
      <m in="0">
        <tpls c="3">
          <tpl fld="0" item="0"/>
          <tpl fld="1" item="166"/>
          <tpl fld="4" item="32"/>
        </tpls>
      </m>
      <m in="0">
        <tpls c="3">
          <tpl fld="0" item="0"/>
          <tpl fld="1" item="73"/>
          <tpl fld="4" item="33"/>
        </tpls>
      </m>
      <n v="52" in="0">
        <tpls c="3">
          <tpl fld="0" item="0"/>
          <tpl fld="1" item="433"/>
          <tpl fld="4" item="23"/>
        </tpls>
      </n>
      <m in="0">
        <tpls c="3">
          <tpl fld="0" item="0"/>
          <tpl fld="1" item="450"/>
          <tpl fld="4" item="28"/>
        </tpls>
      </m>
      <n v="2" in="0">
        <tpls c="3">
          <tpl fld="0" item="0"/>
          <tpl fld="1" item="249"/>
          <tpl fld="4" item="22"/>
        </tpls>
      </n>
      <n v="11" in="0">
        <tpls c="3">
          <tpl fld="0" item="0"/>
          <tpl fld="1" item="271"/>
          <tpl fld="4" item="20"/>
        </tpls>
      </n>
      <n v="235" in="0">
        <tpls c="3">
          <tpl fld="0" item="0"/>
          <tpl fld="1" item="179"/>
          <tpl fld="4" item="29"/>
        </tpls>
      </n>
      <m in="0">
        <tpls c="3">
          <tpl fld="0" item="0"/>
          <tpl fld="1" item="81"/>
          <tpl fld="4" item="21"/>
        </tpls>
      </m>
      <n v="29" in="0">
        <tpls c="3">
          <tpl fld="0" item="0"/>
          <tpl fld="1" item="320"/>
          <tpl fld="4" item="21"/>
        </tpls>
      </n>
      <n v="34" in="0">
        <tpls c="3">
          <tpl fld="0" item="0"/>
          <tpl fld="1" item="377"/>
          <tpl fld="4" item="28"/>
        </tpls>
      </n>
      <n v="1247" in="0">
        <tpls c="3">
          <tpl fld="0" item="0"/>
          <tpl fld="1" item="390"/>
          <tpl fld="4" item="29"/>
        </tpls>
      </n>
      <m in="0">
        <tpls c="3">
          <tpl fld="0" item="0"/>
          <tpl fld="1" item="292"/>
          <tpl fld="4" item="27"/>
        </tpls>
      </m>
      <m in="0">
        <tpls c="3">
          <tpl fld="0" item="0"/>
          <tpl fld="1" item="268"/>
          <tpl fld="4" item="27"/>
        </tpls>
      </m>
      <n v="4" in="0">
        <tpls c="3">
          <tpl fld="0" item="0"/>
          <tpl fld="1" item="203"/>
          <tpl fld="4" item="27"/>
        </tpls>
      </n>
      <n v="3" in="0">
        <tpls c="3">
          <tpl fld="0" item="0"/>
          <tpl fld="1" item="455"/>
          <tpl fld="4" item="22"/>
        </tpls>
      </n>
      <n v="43" in="0">
        <tpls c="3">
          <tpl fld="0" item="0"/>
          <tpl fld="1" item="56"/>
          <tpl fld="4" item="25"/>
        </tpls>
      </n>
      <n v="15" in="0">
        <tpls c="3">
          <tpl fld="0" item="0"/>
          <tpl fld="1" item="105"/>
          <tpl fld="4" item="22"/>
        </tpls>
      </n>
      <n v="2" in="0">
        <tpls c="3">
          <tpl fld="0" item="0"/>
          <tpl fld="1" item="252"/>
          <tpl fld="4" item="24"/>
        </tpls>
      </n>
      <m in="0">
        <tpls c="3">
          <tpl fld="0" item="0"/>
          <tpl fld="1" item="349"/>
          <tpl fld="4" item="32"/>
        </tpls>
      </m>
      <n v="1" in="0">
        <tpls c="3">
          <tpl fld="0" item="0"/>
          <tpl fld="1" item="329"/>
          <tpl fld="4" item="33"/>
        </tpls>
      </n>
      <m in="0">
        <tpls c="3">
          <tpl fld="0" item="0"/>
          <tpl fld="1" item="148"/>
          <tpl fld="4" item="30"/>
        </tpls>
      </m>
      <n v="4" in="0">
        <tpls c="3">
          <tpl fld="0" item="0"/>
          <tpl fld="1" item="422"/>
          <tpl fld="4" item="21"/>
        </tpls>
      </n>
      <m in="0">
        <tpls c="3">
          <tpl fld="0" item="0"/>
          <tpl fld="1" item="239"/>
          <tpl fld="4" item="24"/>
        </tpls>
      </m>
      <m in="0">
        <tpls c="3">
          <tpl fld="0" item="0"/>
          <tpl fld="1" item="274"/>
          <tpl fld="4" item="32"/>
        </tpls>
      </m>
      <m in="0">
        <tpls c="3">
          <tpl fld="0" item="0"/>
          <tpl fld="1" item="18"/>
          <tpl fld="4" item="32"/>
        </tpls>
      </m>
      <m in="0">
        <tpls c="3">
          <tpl fld="0" item="0"/>
          <tpl fld="1" item="339"/>
          <tpl fld="4" item="6"/>
        </tpls>
      </m>
      <m in="0">
        <tpls c="3">
          <tpl fld="0" item="0"/>
          <tpl fld="1" item="285"/>
          <tpl fld="4" item="33"/>
        </tpls>
      </m>
      <m in="0">
        <tpls c="3">
          <tpl fld="0" item="0"/>
          <tpl fld="1" item="247"/>
          <tpl fld="4" item="30"/>
        </tpls>
      </m>
      <n v="40" in="0">
        <tpls c="3">
          <tpl fld="0" item="0"/>
          <tpl fld="1" item="356"/>
          <tpl fld="4" item="23"/>
        </tpls>
      </n>
      <m in="0">
        <tpls c="3">
          <tpl fld="0" item="0"/>
          <tpl fld="1" item="436"/>
          <tpl fld="4" item="32"/>
        </tpls>
      </m>
      <m in="0">
        <tpls c="3">
          <tpl fld="0" item="0"/>
          <tpl fld="1" item="265"/>
          <tpl fld="4" item="32"/>
        </tpls>
      </m>
      <m in="0">
        <tpls c="3">
          <tpl fld="0" item="0"/>
          <tpl fld="1" item="12"/>
          <tpl fld="4" item="31"/>
        </tpls>
      </m>
      <m in="0">
        <tpls c="3">
          <tpl fld="0" item="0"/>
          <tpl fld="1" item="218"/>
          <tpl fld="4" item="15"/>
        </tpls>
      </m>
      <m in="0">
        <tpls c="3">
          <tpl fld="0" item="0"/>
          <tpl fld="1" item="192"/>
          <tpl fld="4" item="29"/>
        </tpls>
      </m>
      <m in="0">
        <tpls c="3">
          <tpl fld="0" item="0"/>
          <tpl fld="1" item="158"/>
          <tpl fld="4" item="25"/>
        </tpls>
      </m>
      <n v="27" in="0">
        <tpls c="3">
          <tpl fld="0" item="0"/>
          <tpl fld="1" item="150"/>
          <tpl fld="4" item="29"/>
        </tpls>
      </n>
      <n v="22" in="0">
        <tpls c="3">
          <tpl fld="0" item="0"/>
          <tpl fld="1" item="87"/>
          <tpl fld="4" item="26"/>
        </tpls>
      </n>
      <n v="2" in="0">
        <tpls c="3">
          <tpl fld="0" item="0"/>
          <tpl fld="1" item="430"/>
          <tpl fld="4" item="19"/>
        </tpls>
      </n>
      <m in="0">
        <tpls c="3">
          <tpl fld="0" item="0"/>
          <tpl fld="1" item="0"/>
          <tpl fld="4" item="18"/>
        </tpls>
      </m>
      <m in="0">
        <tpls c="3">
          <tpl fld="0" item="0"/>
          <tpl fld="1" item="229"/>
          <tpl fld="4" item="22"/>
        </tpls>
      </m>
      <m in="0">
        <tpls c="3">
          <tpl fld="0" item="0"/>
          <tpl fld="2" item="0"/>
          <tpl fld="4" item="26"/>
        </tpls>
      </m>
      <n v="9" in="0">
        <tpls c="3">
          <tpl fld="0" item="0"/>
          <tpl fld="1" item="289"/>
          <tpl fld="4" item="25"/>
        </tpls>
      </n>
      <m in="0">
        <tpls c="3">
          <tpl fld="0" item="0"/>
          <tpl fld="1" item="394"/>
          <tpl fld="4" item="32"/>
        </tpls>
      </m>
      <m in="0">
        <tpls c="3">
          <tpl fld="0" item="0"/>
          <tpl fld="1" item="31"/>
          <tpl fld="4" item="17"/>
        </tpls>
      </m>
      <m in="0">
        <tpls c="3">
          <tpl fld="0" item="0"/>
          <tpl fld="1" item="344"/>
          <tpl fld="4" item="28"/>
        </tpls>
      </m>
      <n v="105" in="0">
        <tpls c="3">
          <tpl fld="0" item="0"/>
          <tpl fld="1" item="354"/>
          <tpl fld="4" item="27"/>
        </tpls>
      </n>
      <m in="0">
        <tpls c="3">
          <tpl fld="0" item="0"/>
          <tpl fld="1" item="316"/>
          <tpl fld="4" item="24"/>
        </tpls>
      </m>
      <n v="3" in="0">
        <tpls c="3">
          <tpl fld="0" item="0"/>
          <tpl fld="1" item="401"/>
          <tpl fld="4" item="24"/>
        </tpls>
      </n>
      <m in="0">
        <tpls c="3">
          <tpl fld="0" item="0"/>
          <tpl fld="1" item="79"/>
          <tpl fld="4" item="32"/>
        </tpls>
      </m>
      <m in="0">
        <tpls c="3">
          <tpl fld="0" item="0"/>
          <tpl fld="1" item="455"/>
          <tpl fld="4" item="32"/>
        </tpls>
      </m>
      <m in="0">
        <tpls c="3">
          <tpl fld="0" item="0"/>
          <tpl fld="1" item="423"/>
          <tpl fld="4" item="33"/>
        </tpls>
      </m>
      <n v="1942" in="0">
        <tpls c="3">
          <tpl fld="0" item="0"/>
          <tpl fld="1" item="313"/>
          <tpl fld="4" item="27"/>
        </tpls>
      </n>
      <m in="0">
        <tpls c="3">
          <tpl fld="0" item="0"/>
          <tpl fld="1" item="110"/>
          <tpl fld="4" item="20"/>
        </tpls>
      </m>
      <m in="0">
        <tpls c="3">
          <tpl fld="0" item="0"/>
          <tpl fld="1" item="248"/>
          <tpl fld="4" item="25"/>
        </tpls>
      </m>
      <n v="69" in="0">
        <tpls c="3">
          <tpl fld="0" item="0"/>
          <tpl fld="1" item="370"/>
          <tpl fld="4" item="23"/>
        </tpls>
      </n>
      <n v="20" in="0">
        <tpls c="3">
          <tpl fld="0" item="0"/>
          <tpl fld="1" item="144"/>
          <tpl fld="4" item="21"/>
        </tpls>
      </n>
      <m in="0">
        <tpls c="3">
          <tpl fld="0" item="0"/>
          <tpl fld="1" item="53"/>
          <tpl fld="4" item="26"/>
        </tpls>
      </m>
      <n v="1138" in="0">
        <tpls c="3">
          <tpl fld="0" item="0"/>
          <tpl fld="1" item="288"/>
          <tpl fld="4" item="29"/>
        </tpls>
      </n>
      <n v="107" in="0">
        <tpls c="3">
          <tpl fld="0" item="0"/>
          <tpl fld="1" item="415"/>
          <tpl fld="4" item="24"/>
        </tpls>
      </n>
      <m in="0">
        <tpls c="3">
          <tpl fld="0" item="0"/>
          <tpl fld="1" item="378"/>
          <tpl fld="4" item="23"/>
        </tpls>
      </m>
      <m in="0">
        <tpls c="3">
          <tpl fld="0" item="0"/>
          <tpl fld="1" item="405"/>
          <tpl fld="4" item="22"/>
        </tpls>
      </m>
      <n v="33" in="0">
        <tpls c="3">
          <tpl fld="0" item="0"/>
          <tpl fld="1" item="45"/>
          <tpl fld="4" item="19"/>
        </tpls>
      </n>
      <n v="1024" in="0">
        <tpls c="3">
          <tpl fld="0" item="0"/>
          <tpl fld="1" item="68"/>
          <tpl fld="4" item="25"/>
        </tpls>
      </n>
      <n v="358" in="0">
        <tpls c="3">
          <tpl fld="0" item="0"/>
          <tpl fld="1" item="39"/>
          <tpl fld="4" item="23"/>
        </tpls>
      </n>
      <m in="0">
        <tpls c="3">
          <tpl fld="0" item="0"/>
          <tpl fld="1" item="434"/>
          <tpl fld="4" item="27"/>
        </tpls>
      </m>
      <n v="102" in="0">
        <tpls c="3">
          <tpl fld="0" item="0"/>
          <tpl fld="1" item="121"/>
          <tpl fld="4" item="27"/>
        </tpls>
      </n>
      <n v="1045" in="0">
        <tpls c="3">
          <tpl fld="0" item="0"/>
          <tpl fld="1" item="177"/>
          <tpl fld="4" item="27"/>
        </tpls>
      </n>
      <m in="0">
        <tpls c="3">
          <tpl fld="0" item="0"/>
          <tpl fld="1" item="92"/>
          <tpl fld="4" item="15"/>
        </tpls>
      </m>
      <n v="5" in="0">
        <tpls c="3">
          <tpl fld="0" item="0"/>
          <tpl fld="1" item="134"/>
          <tpl fld="4" item="23"/>
        </tpls>
      </n>
      <n v="281" in="0">
        <tpls c="3">
          <tpl fld="0" item="0"/>
          <tpl fld="1" item="215"/>
          <tpl fld="4" item="29"/>
        </tpls>
      </n>
      <m in="0">
        <tpls c="3">
          <tpl fld="0" item="0"/>
          <tpl fld="1" item="263"/>
          <tpl fld="4" item="27"/>
        </tpls>
      </m>
      <m in="0">
        <tpls c="3">
          <tpl fld="0" item="0"/>
          <tpl fld="1" item="406"/>
          <tpl fld="4" item="26"/>
        </tpls>
      </m>
      <m in="0">
        <tpls c="3">
          <tpl fld="0" item="0"/>
          <tpl fld="1" item="401"/>
          <tpl fld="4" item="26"/>
        </tpls>
      </m>
      <m in="0">
        <tpls c="3">
          <tpl fld="0" item="0"/>
          <tpl fld="1" item="345"/>
          <tpl fld="4" item="26"/>
        </tpls>
      </m>
      <m in="0">
        <tpls c="3">
          <tpl fld="0" item="0"/>
          <tpl fld="1" item="291"/>
          <tpl fld="4" item="1"/>
        </tpls>
      </m>
      <n v="450" in="0">
        <tpls c="3">
          <tpl fld="0" item="0"/>
          <tpl fld="1" item="68"/>
          <tpl fld="4" item="15"/>
        </tpls>
      </n>
      <m in="0">
        <tpls c="3">
          <tpl fld="0" item="0"/>
          <tpl fld="1" item="407"/>
          <tpl fld="4" item="23"/>
        </tpls>
      </m>
      <n v="80" in="0">
        <tpls c="3">
          <tpl fld="0" item="0"/>
          <tpl fld="1" item="212"/>
          <tpl fld="4" item="29"/>
        </tpls>
      </n>
      <m in="0">
        <tpls c="3">
          <tpl fld="0" item="0"/>
          <tpl fld="1" item="73"/>
          <tpl fld="4" item="27"/>
        </tpls>
      </m>
      <m in="0">
        <tpls c="3">
          <tpl fld="0" item="0"/>
          <tpl fld="1" item="350"/>
          <tpl fld="4" item="26"/>
        </tpls>
      </m>
      <n v="8" in="0">
        <tpls c="3">
          <tpl fld="0" item="0"/>
          <tpl fld="1" item="430"/>
          <tpl fld="4" item="26"/>
        </tpls>
      </n>
      <m in="0">
        <tpls c="3">
          <tpl fld="0" item="0"/>
          <tpl fld="1" item="311"/>
          <tpl fld="4" item="26"/>
        </tpls>
      </m>
      <n v="5" in="0">
        <tpls c="3">
          <tpl fld="0" item="0"/>
          <tpl fld="1" item="372"/>
          <tpl fld="4" item="17"/>
        </tpls>
      </n>
      <m in="0">
        <tpls c="3">
          <tpl fld="0" item="0"/>
          <tpl fld="1" item="299"/>
          <tpl fld="4" item="29"/>
        </tpls>
      </m>
      <n v="32" in="0">
        <tpls c="3">
          <tpl fld="0" item="0"/>
          <tpl fld="1" item="214"/>
          <tpl fld="4" item="20"/>
        </tpls>
      </n>
      <n v="4" in="0">
        <tpls c="3">
          <tpl fld="0" item="0"/>
          <tpl fld="1" item="432"/>
          <tpl fld="4" item="29"/>
        </tpls>
      </n>
      <n v="22" in="0">
        <tpls c="3">
          <tpl fld="0" item="0"/>
          <tpl fld="1" item="82"/>
          <tpl fld="4" item="26"/>
        </tpls>
      </n>
      <m in="0">
        <tpls c="3">
          <tpl fld="0" item="0"/>
          <tpl fld="1" item="347"/>
          <tpl fld="4" item="18"/>
        </tpls>
      </m>
      <m in="0">
        <tpls c="3">
          <tpl fld="0" item="0"/>
          <tpl fld="1" item="91"/>
          <tpl fld="4" item="20"/>
        </tpls>
      </m>
      <m in="0">
        <tpls c="3">
          <tpl fld="0" item="0"/>
          <tpl fld="1" item="234"/>
          <tpl fld="4" item="22"/>
        </tpls>
      </m>
      <n v="17" in="0">
        <tpls c="3">
          <tpl fld="0" item="0"/>
          <tpl fld="1" item="132"/>
          <tpl fld="4" item="26"/>
        </tpls>
      </n>
      <n v="47" in="0">
        <tpls c="3">
          <tpl fld="0" item="0"/>
          <tpl fld="1" item="280"/>
          <tpl fld="4" item="15"/>
        </tpls>
      </n>
      <n v="96" in="0">
        <tpls c="3">
          <tpl fld="0" item="0"/>
          <tpl fld="1" item="454"/>
          <tpl fld="4" item="15"/>
        </tpls>
      </n>
      <m in="0">
        <tpls c="3">
          <tpl fld="0" item="0"/>
          <tpl fld="1" item="137"/>
          <tpl fld="4" item="21"/>
        </tpls>
      </m>
      <m in="0">
        <tpls c="3">
          <tpl fld="0" item="0"/>
          <tpl fld="1" item="208"/>
          <tpl fld="4" item="28"/>
        </tpls>
      </m>
      <n v="205" in="0">
        <tpls c="3">
          <tpl fld="0" item="0"/>
          <tpl fld="1" item="206"/>
          <tpl fld="4" item="25"/>
        </tpls>
      </n>
      <n v="25" in="0">
        <tpls c="3">
          <tpl fld="0" item="0"/>
          <tpl fld="1" item="37"/>
          <tpl fld="4" item="24"/>
        </tpls>
      </n>
      <m in="0">
        <tpls c="3">
          <tpl fld="0" item="0"/>
          <tpl fld="1" item="69"/>
          <tpl fld="4" item="24"/>
        </tpls>
      </m>
      <m in="0">
        <tpls c="3">
          <tpl fld="0" item="0"/>
          <tpl fld="1" item="242"/>
          <tpl fld="4" item="32"/>
        </tpls>
      </m>
      <m in="0">
        <tpls c="3">
          <tpl fld="0" item="0"/>
          <tpl fld="1" item="246"/>
          <tpl fld="4" item="32"/>
        </tpls>
      </m>
      <n v="3" in="0">
        <tpls c="3">
          <tpl fld="0" item="0"/>
          <tpl fld="1" item="45"/>
          <tpl fld="4" item="33"/>
        </tpls>
      </n>
      <m in="0">
        <tpls c="3">
          <tpl fld="0" item="0"/>
          <tpl fld="1" item="267"/>
          <tpl fld="4" item="30"/>
        </tpls>
      </m>
      <m in="0">
        <tpls c="3">
          <tpl fld="0" item="0"/>
          <tpl fld="1" item="198"/>
          <tpl fld="4" item="29"/>
        </tpls>
      </m>
      <m in="0">
        <tpls c="3">
          <tpl fld="0" item="0"/>
          <tpl fld="1" item="146"/>
          <tpl fld="4" item="23"/>
        </tpls>
      </m>
      <m in="0">
        <tpls c="3">
          <tpl fld="0" item="0"/>
          <tpl fld="1" item="147"/>
          <tpl fld="4" item="32"/>
        </tpls>
      </m>
      <m in="0">
        <tpls c="3">
          <tpl fld="0" item="0"/>
          <tpl fld="1" item="254"/>
          <tpl fld="4" item="32"/>
        </tpls>
      </m>
      <m in="0">
        <tpls c="3">
          <tpl fld="0" item="0"/>
          <tpl fld="1" item="35"/>
          <tpl fld="4" item="31"/>
        </tpls>
      </m>
      <m in="0">
        <tpls c="3">
          <tpl fld="0" item="0"/>
          <tpl fld="1" item="258"/>
          <tpl fld="4" item="33"/>
        </tpls>
      </m>
      <n v="2" in="0">
        <tpls c="3">
          <tpl fld="0" item="0"/>
          <tpl fld="1" item="230"/>
          <tpl fld="4" item="30"/>
        </tpls>
      </n>
      <n v="22" in="0">
        <tpls c="3">
          <tpl fld="0" item="0"/>
          <tpl fld="1" item="347"/>
          <tpl fld="4" item="26"/>
        </tpls>
      </n>
      <m in="0">
        <tpls c="3">
          <tpl fld="0" item="0"/>
          <tpl fld="1" item="426"/>
          <tpl fld="4" item="22"/>
        </tpls>
      </m>
      <m in="0">
        <tpls c="3">
          <tpl fld="0" item="0"/>
          <tpl fld="1" item="48"/>
          <tpl fld="4" item="32"/>
        </tpls>
      </m>
      <m in="0">
        <tpls c="3">
          <tpl fld="0" item="0"/>
          <tpl fld="1" item="38"/>
          <tpl fld="4" item="31"/>
        </tpls>
      </m>
      <m in="0">
        <tpls c="3">
          <tpl fld="0" item="0"/>
          <tpl fld="1" item="431"/>
          <tpl fld="4" item="31"/>
        </tpls>
      </m>
      <m in="0">
        <tpls c="3">
          <tpl fld="0" item="0"/>
          <tpl fld="1" item="362"/>
          <tpl fld="4" item="27"/>
        </tpls>
      </m>
      <m in="0">
        <tpls c="3">
          <tpl fld="0" item="0"/>
          <tpl fld="1" item="338"/>
          <tpl fld="4" item="26"/>
        </tpls>
      </m>
      <m in="0">
        <tpls c="3">
          <tpl fld="0" item="0"/>
          <tpl fld="1" item="167"/>
          <tpl fld="4" item="29"/>
        </tpls>
      </m>
      <m in="0">
        <tpls c="3">
          <tpl fld="0" item="0"/>
          <tpl fld="1" item="260"/>
          <tpl fld="4" item="24"/>
        </tpls>
      </m>
      <m in="0">
        <tpls c="3">
          <tpl fld="0" item="0"/>
          <tpl fld="1" item="250"/>
          <tpl fld="4" item="23"/>
        </tpls>
      </m>
      <n v="24" in="0">
        <tpls c="3">
          <tpl fld="0" item="0"/>
          <tpl fld="1" item="150"/>
          <tpl fld="4" item="15"/>
        </tpls>
      </n>
      <n v="6" in="0">
        <tpls c="3">
          <tpl fld="0" item="0"/>
          <tpl fld="1" item="110"/>
          <tpl fld="4" item="23"/>
        </tpls>
      </n>
      <n v="19" in="0">
        <tpls c="3">
          <tpl fld="0" item="0"/>
          <tpl fld="1" item="317"/>
          <tpl fld="4" item="29"/>
        </tpls>
      </n>
      <m in="0">
        <tpls c="3">
          <tpl fld="0" item="0"/>
          <tpl fld="1" item="90"/>
          <tpl fld="4" item="27"/>
        </tpls>
      </m>
      <m in="0">
        <tpls c="3">
          <tpl fld="0" item="0"/>
          <tpl fld="1" item="404"/>
          <tpl fld="4" item="26"/>
        </tpls>
      </m>
      <m in="0">
        <tpls c="3">
          <tpl fld="0" item="0"/>
          <tpl fld="1" item="30"/>
          <tpl fld="4" item="26"/>
        </tpls>
      </m>
      <n v="2" in="0">
        <tpls c="3">
          <tpl fld="0" item="0"/>
          <tpl fld="1" item="267"/>
          <tpl fld="4" item="26"/>
        </tpls>
      </n>
      <m in="0">
        <tpls c="3">
          <tpl fld="0" item="0"/>
          <tpl fld="1" item="436"/>
          <tpl fld="4" item="20"/>
        </tpls>
      </m>
      <m in="0">
        <tpls c="3">
          <tpl fld="0" item="0"/>
          <tpl fld="1" item="21"/>
          <tpl fld="4" item="22"/>
        </tpls>
      </m>
      <m in="0">
        <tpls c="3">
          <tpl fld="0" item="0"/>
          <tpl fld="1" item="441"/>
          <tpl fld="4" item="32"/>
        </tpls>
      </m>
      <m in="0">
        <tpls c="3">
          <tpl fld="0" item="0"/>
          <tpl fld="1" item="161"/>
          <tpl fld="4" item="31"/>
        </tpls>
      </m>
      <n v="3" in="0">
        <tpls c="3">
          <tpl fld="0" item="0"/>
          <tpl fld="1" item="409"/>
          <tpl fld="4" item="31"/>
        </tpls>
      </n>
      <m in="0">
        <tpls c="3">
          <tpl fld="0" item="0"/>
          <tpl fld="1" item="53"/>
          <tpl fld="4" item="30"/>
        </tpls>
      </m>
      <m in="0">
        <tpls c="3">
          <tpl fld="0" item="0"/>
          <tpl fld="1" item="135"/>
          <tpl fld="4" item="20"/>
        </tpls>
      </m>
      <m in="0">
        <tpls c="3">
          <tpl fld="0" item="0"/>
          <tpl fld="1" item="260"/>
          <tpl fld="4" item="26"/>
        </tpls>
      </m>
      <m in="0">
        <tpls c="3">
          <tpl fld="0" item="0"/>
          <tpl fld="1" item="294"/>
          <tpl fld="4" item="31"/>
        </tpls>
      </m>
      <m in="0">
        <tpls c="3">
          <tpl fld="0" item="0"/>
          <tpl fld="1" item="396"/>
          <tpl fld="4" item="31"/>
        </tpls>
      </m>
      <m in="0">
        <tpls c="3">
          <tpl fld="0" item="0"/>
          <tpl fld="1" item="107"/>
          <tpl fld="4" item="32"/>
        </tpls>
      </m>
      <n v="2" in="0">
        <tpls c="3">
          <tpl fld="0" item="0"/>
          <tpl fld="1" item="77"/>
          <tpl fld="4" item="30"/>
        </tpls>
      </n>
      <n v="7" in="0">
        <tpls c="3">
          <tpl fld="0" item="0"/>
          <tpl fld="1" item="437"/>
          <tpl fld="4" item="20"/>
        </tpls>
      </n>
      <m in="0">
        <tpls c="3">
          <tpl fld="0" item="0"/>
          <tpl fld="1" item="127"/>
          <tpl fld="4" item="26"/>
        </tpls>
      </m>
      <m in="0">
        <tpls c="3">
          <tpl fld="0" item="0"/>
          <tpl fld="1" item="305"/>
          <tpl fld="4" item="31"/>
        </tpls>
      </m>
      <m in="0">
        <tpls c="3">
          <tpl fld="0" item="0"/>
          <tpl fld="1" item="378"/>
          <tpl fld="4" item="32"/>
        </tpls>
      </m>
      <m in="0">
        <tpls c="3">
          <tpl fld="0" item="0"/>
          <tpl fld="1" item="228"/>
          <tpl fld="4" item="21"/>
        </tpls>
      </m>
      <m in="0">
        <tpls c="3">
          <tpl fld="0" item="0"/>
          <tpl fld="1" item="254"/>
          <tpl fld="4" item="33"/>
        </tpls>
      </m>
      <n v="7" in="0">
        <tpls c="3">
          <tpl fld="0" item="0"/>
          <tpl fld="1" item="165"/>
          <tpl fld="4" item="15"/>
        </tpls>
      </n>
      <m in="0">
        <tpls c="3">
          <tpl fld="0" item="0"/>
          <tpl fld="1" item="35"/>
          <tpl fld="4" item="22"/>
        </tpls>
      </m>
      <m in="0">
        <tpls c="3">
          <tpl fld="0" item="0"/>
          <tpl fld="1" item="345"/>
          <tpl fld="4" item="23"/>
        </tpls>
      </m>
      <n v="9" in="0">
        <tpls c="3">
          <tpl fld="0" item="0"/>
          <tpl fld="1" item="99"/>
          <tpl fld="4" item="22"/>
        </tpls>
      </n>
      <m in="0">
        <tpls c="3">
          <tpl fld="0" item="0"/>
          <tpl fld="1" item="389"/>
          <tpl fld="4" item="15"/>
        </tpls>
      </m>
      <n v="13" in="0">
        <tpls c="3">
          <tpl fld="0" item="0"/>
          <tpl fld="1" item="424"/>
          <tpl fld="4" item="13"/>
        </tpls>
      </n>
      <m in="0">
        <tpls c="3">
          <tpl fld="0" item="0"/>
          <tpl fld="1" item="91"/>
          <tpl fld="4" item="15"/>
        </tpls>
      </m>
      <n v="63" in="0">
        <tpls c="3">
          <tpl fld="0" item="0"/>
          <tpl fld="1" item="89"/>
          <tpl fld="4" item="25"/>
        </tpls>
      </n>
      <n v="17" in="0">
        <tpls c="3">
          <tpl fld="0" item="0"/>
          <tpl fld="1" item="444"/>
          <tpl fld="4" item="20"/>
        </tpls>
      </n>
      <m in="0">
        <tpls c="3">
          <tpl fld="0" item="0"/>
          <tpl fld="1" item="297"/>
          <tpl fld="4" item="28"/>
        </tpls>
      </m>
      <m in="0">
        <tpls c="3">
          <tpl fld="0" item="0"/>
          <tpl fld="1" item="314"/>
          <tpl fld="4" item="28"/>
        </tpls>
      </m>
      <n v="55" in="0">
        <tpls c="3">
          <tpl fld="0" item="0"/>
          <tpl fld="1" item="291"/>
          <tpl fld="4" item="23"/>
        </tpls>
      </n>
      <n v="31" in="0">
        <tpls c="3">
          <tpl fld="0" item="0"/>
          <tpl fld="1" item="37"/>
          <tpl fld="4" item="23"/>
        </tpls>
      </n>
      <n v="266" in="0">
        <tpls c="3">
          <tpl fld="0" item="0"/>
          <tpl fld="1" item="32"/>
          <tpl fld="4" item="29"/>
        </tpls>
      </n>
      <m in="0">
        <tpls c="3">
          <tpl fld="0" item="0"/>
          <tpl fld="1" item="361"/>
          <tpl fld="4" item="24"/>
        </tpls>
      </m>
      <m in="0">
        <tpls c="3">
          <tpl fld="0" item="0"/>
          <tpl fld="1" item="406"/>
          <tpl fld="4" item="31"/>
        </tpls>
      </m>
      <m in="0">
        <tpls c="3">
          <tpl fld="0" item="0"/>
          <tpl fld="1" item="451"/>
          <tpl fld="4" item="31"/>
        </tpls>
      </m>
      <m in="0">
        <tpls c="3">
          <tpl fld="0" item="0"/>
          <tpl fld="1" item="39"/>
          <tpl fld="4" item="32"/>
        </tpls>
      </m>
      <m in="0">
        <tpls c="3">
          <tpl fld="0" item="0"/>
          <tpl fld="1" item="388"/>
          <tpl fld="4" item="33"/>
        </tpls>
      </m>
      <m in="0">
        <tpls c="3">
          <tpl fld="0" item="0"/>
          <tpl fld="1" item="42"/>
          <tpl fld="4" item="30"/>
        </tpls>
      </m>
      <n v="60" in="0">
        <tpls c="3">
          <tpl fld="0" item="0"/>
          <tpl fld="1" item="313"/>
          <tpl fld="4" item="26"/>
        </tpls>
      </n>
      <m in="0">
        <tpls c="3">
          <tpl fld="0" item="0"/>
          <tpl fld="1" item="163"/>
          <tpl fld="4" item="32"/>
        </tpls>
      </m>
      <m in="0">
        <tpls c="3">
          <tpl fld="0" item="0"/>
          <tpl fld="1" item="456"/>
          <tpl fld="4" item="31"/>
        </tpls>
      </m>
      <n v="8" in="0">
        <tpls c="3">
          <tpl fld="0" item="0"/>
          <tpl fld="1" item="217"/>
          <tpl fld="4" item="25"/>
        </tpls>
      </n>
      <n v="5" in="0">
        <tpls c="3">
          <tpl fld="0" item="0"/>
          <tpl fld="1" item="138"/>
          <tpl fld="4" item="33"/>
        </tpls>
      </n>
      <n v="7" in="0">
        <tpls c="3">
          <tpl fld="0" item="0"/>
          <tpl fld="1" item="266"/>
          <tpl fld="4" item="30"/>
        </tpls>
      </n>
      <n v="37" in="0">
        <tpls c="3">
          <tpl fld="0" item="0"/>
          <tpl fld="1" item="365"/>
          <tpl fld="4" item="28"/>
        </tpls>
      </n>
      <m in="0">
        <tpls c="3">
          <tpl fld="0" item="0"/>
          <tpl fld="1" item="266"/>
          <tpl fld="4" item="32"/>
        </tpls>
      </m>
      <n v="17" in="0">
        <tpls c="3">
          <tpl fld="0" item="0"/>
          <tpl fld="1" item="214"/>
          <tpl fld="4" item="24"/>
        </tpls>
      </n>
      <m in="0">
        <tpls c="3">
          <tpl fld="0" item="0"/>
          <tpl fld="1" item="278"/>
          <tpl fld="4" item="31"/>
        </tpls>
      </m>
      <m in="0">
        <tpls c="3">
          <tpl fld="0" item="0"/>
          <tpl fld="1" item="446"/>
          <tpl fld="4" item="21"/>
        </tpls>
      </m>
      <n v="214" in="0">
        <tpls c="3">
          <tpl fld="0" item="0"/>
          <tpl fld="1" item="420"/>
          <tpl fld="4" item="25"/>
        </tpls>
      </n>
      <m in="0">
        <tpls c="3">
          <tpl fld="0" item="0"/>
          <tpl fld="1" item="306"/>
          <tpl fld="4" item="29"/>
        </tpls>
      </m>
      <n v="14" in="0">
        <tpls c="3">
          <tpl fld="0" item="0"/>
          <tpl fld="1" item="50"/>
          <tpl fld="4" item="25"/>
        </tpls>
      </n>
      <n v="640" in="0">
        <tpls c="3">
          <tpl fld="0" item="0"/>
          <tpl fld="1" item="364"/>
          <tpl fld="4" item="23"/>
        </tpls>
      </n>
      <n v="8" in="0">
        <tpls c="3">
          <tpl fld="0" item="0"/>
          <tpl fld="1" item="127"/>
          <tpl fld="4" item="15"/>
        </tpls>
      </n>
      <n v="33" in="0">
        <tpls c="3">
          <tpl fld="0" item="0"/>
          <tpl fld="1" item="85"/>
          <tpl fld="4" item="21"/>
        </tpls>
      </n>
      <n v="4" in="0">
        <tpls c="3">
          <tpl fld="0" item="0"/>
          <tpl fld="1" item="299"/>
          <tpl fld="4" item="24"/>
        </tpls>
      </n>
      <m in="0">
        <tpls c="3">
          <tpl fld="0" item="0"/>
          <tpl fld="1" item="303"/>
          <tpl fld="4" item="28"/>
        </tpls>
      </m>
      <m in="0">
        <tpls c="3">
          <tpl fld="0" item="0"/>
          <tpl fld="1" item="394"/>
          <tpl fld="4" item="29"/>
        </tpls>
      </m>
      <n v="619" in="0">
        <tpls c="3">
          <tpl fld="0" item="0"/>
          <tpl fld="1" item="149"/>
          <tpl fld="4" item="29"/>
        </tpls>
      </n>
      <n v="32" in="0">
        <tpls c="3">
          <tpl fld="0" item="0"/>
          <tpl fld="1" item="369"/>
          <tpl fld="4" item="29"/>
        </tpls>
      </n>
      <n v="22" in="0">
        <tpls c="3">
          <tpl fld="0" item="0"/>
          <tpl fld="1" item="454"/>
          <tpl fld="4" item="27"/>
        </tpls>
      </n>
      <m in="0">
        <tpls c="3">
          <tpl fld="0" item="0"/>
          <tpl fld="1" item="374"/>
          <tpl fld="4" item="27"/>
        </tpls>
      </m>
      <m in="0">
        <tpls c="3">
          <tpl fld="0" item="0"/>
          <tpl fld="1" item="228"/>
          <tpl fld="4" item="32"/>
        </tpls>
      </m>
      <m in="0">
        <tpls c="3">
          <tpl fld="0" item="0"/>
          <tpl fld="1" item="214"/>
          <tpl fld="4" item="31"/>
        </tpls>
      </m>
      <n v="862" in="0">
        <tpls c="3">
          <tpl fld="0" item="0"/>
          <tpl fld="1" item="111"/>
          <tpl fld="4" item="23"/>
        </tpls>
      </n>
      <m in="0">
        <tpls c="3">
          <tpl fld="0" item="0"/>
          <tpl fld="1" item="222"/>
          <tpl fld="4" item="33"/>
        </tpls>
      </m>
      <m in="0">
        <tpls c="3">
          <tpl fld="0" item="0"/>
          <tpl fld="1" item="214"/>
          <tpl fld="4" item="30"/>
        </tpls>
      </m>
      <m in="0">
        <tpls c="3">
          <tpl fld="0" item="0"/>
          <tpl fld="1" item="102"/>
          <tpl fld="4" item="24"/>
        </tpls>
      </m>
      <m in="0">
        <tpls c="3">
          <tpl fld="0" item="0"/>
          <tpl fld="1" item="371"/>
          <tpl fld="4" item="31"/>
        </tpls>
      </m>
      <n v="30" in="0">
        <tpls c="3">
          <tpl fld="0" item="0"/>
          <tpl fld="1" item="335"/>
          <tpl fld="4" item="29"/>
        </tpls>
      </n>
      <m in="0">
        <tpls c="3">
          <tpl fld="0" item="0"/>
          <tpl fld="1" item="118"/>
          <tpl fld="4" item="26"/>
        </tpls>
      </m>
      <n v="2" in="0">
        <tpls c="3">
          <tpl fld="0" item="0"/>
          <tpl fld="1" item="326"/>
          <tpl fld="4" item="33"/>
        </tpls>
      </n>
      <m in="0">
        <tpls c="3">
          <tpl fld="0" item="0"/>
          <tpl fld="1" item="143"/>
          <tpl fld="4" item="30"/>
        </tpls>
      </m>
      <m in="0">
        <tpls c="3">
          <tpl fld="0" item="0"/>
          <tpl fld="1" item="115"/>
          <tpl fld="4" item="29"/>
        </tpls>
      </m>
      <m in="0">
        <tpls c="3">
          <tpl fld="0" item="0"/>
          <tpl fld="1" item="109"/>
          <tpl fld="4" item="28"/>
        </tpls>
      </m>
      <n v="92" in="0">
        <tpls c="3">
          <tpl fld="0" item="0"/>
          <tpl fld="1" item="285"/>
          <tpl fld="4" item="25"/>
        </tpls>
      </n>
      <n v="109" in="0">
        <tpls c="3">
          <tpl fld="0" item="0"/>
          <tpl fld="1" item="395"/>
          <tpl fld="4" item="24"/>
        </tpls>
      </n>
      <n v="485" in="0">
        <tpls c="3">
          <tpl fld="0" item="0"/>
          <tpl fld="1" item="281"/>
          <tpl fld="4" item="27"/>
        </tpls>
      </n>
      <m in="0">
        <tpls c="3">
          <tpl fld="0" item="0"/>
          <tpl fld="1" item="270"/>
          <tpl fld="4" item="24"/>
        </tpls>
      </m>
      <n v="43" in="0">
        <tpls c="3">
          <tpl fld="0" item="0"/>
          <tpl fld="1" item="209"/>
          <tpl fld="4" item="24"/>
        </tpls>
      </n>
      <m in="0">
        <tpls c="3">
          <tpl fld="0" item="0"/>
          <tpl fld="1" item="160"/>
          <tpl fld="4" item="32"/>
        </tpls>
      </m>
      <m in="0">
        <tpls c="3">
          <tpl fld="0" item="0"/>
          <tpl fld="1" item="250"/>
          <tpl fld="4" item="32"/>
        </tpls>
      </m>
      <n v="2" in="0">
        <tpls c="3">
          <tpl fld="0" item="0"/>
          <tpl fld="1" item="114"/>
          <tpl fld="4" item="33"/>
        </tpls>
      </n>
      <m in="0">
        <tpls c="3">
          <tpl fld="0" item="0"/>
          <tpl fld="1" item="243"/>
          <tpl fld="4" item="30"/>
        </tpls>
      </m>
      <m in="0">
        <tpls c="3">
          <tpl fld="0" item="0"/>
          <tpl fld="1" item="333"/>
          <tpl fld="4" item="34"/>
        </tpls>
      </m>
      <n v="58" in="0">
        <tpls c="3">
          <tpl fld="0" item="0"/>
          <tpl fld="1" item="232"/>
          <tpl fld="4" item="27"/>
        </tpls>
      </n>
      <n v="298" in="0">
        <tpls c="3">
          <tpl fld="0" item="0"/>
          <tpl fld="1" item="111"/>
          <tpl fld="4" item="24"/>
        </tpls>
      </n>
      <n v="12" in="0">
        <tpls c="3">
          <tpl fld="0" item="0"/>
          <tpl fld="1" item="106"/>
          <tpl fld="4" item="17"/>
        </tpls>
      </n>
      <m in="0">
        <tpls c="3">
          <tpl fld="0" item="0"/>
          <tpl fld="1" item="300"/>
          <tpl fld="4" item="23"/>
        </tpls>
      </m>
      <n v="559" in="0">
        <tpls c="3">
          <tpl fld="0" item="0"/>
          <tpl fld="1" item="7"/>
          <tpl fld="4" item="25"/>
        </tpls>
      </n>
      <n v="276" in="0">
        <tpls c="3">
          <tpl fld="0" item="0"/>
          <tpl fld="1" item="175"/>
          <tpl fld="4" item="23"/>
        </tpls>
      </n>
      <n v="32" in="0">
        <tpls c="3">
          <tpl fld="0" item="0"/>
          <tpl fld="1" item="400"/>
          <tpl fld="4" item="26"/>
        </tpls>
      </n>
      <m in="0">
        <tpls c="3">
          <tpl fld="0" item="0"/>
          <tpl fld="1" item="78"/>
          <tpl fld="4" item="18"/>
        </tpls>
      </m>
      <m in="0">
        <tpls c="3">
          <tpl fld="0" item="0"/>
          <tpl fld="1" item="200"/>
          <tpl fld="4" item="18"/>
        </tpls>
      </m>
      <m in="0">
        <tpls c="3">
          <tpl fld="0" item="0"/>
          <tpl fld="1" item="103"/>
          <tpl fld="4" item="22"/>
        </tpls>
      </m>
      <m in="0">
        <tpls c="3">
          <tpl fld="0" item="0"/>
          <tpl fld="1" item="136"/>
          <tpl fld="4" item="22"/>
        </tpls>
      </m>
      <n v="237" in="0">
        <tpls c="3">
          <tpl fld="0" item="0"/>
          <tpl fld="1" item="32"/>
          <tpl fld="4" item="25"/>
        </tpls>
      </n>
      <m in="0">
        <tpls c="3">
          <tpl fld="0" item="0"/>
          <tpl fld="1" item="159"/>
          <tpl fld="4" item="24"/>
        </tpls>
      </m>
      <m in="0">
        <tpls c="3">
          <tpl fld="0" item="0"/>
          <tpl fld="1" item="26"/>
          <tpl fld="4" item="20"/>
        </tpls>
      </m>
      <m in="0">
        <tpls c="3">
          <tpl fld="0" item="0"/>
          <tpl fld="1" item="223"/>
          <tpl fld="4" item="28"/>
        </tpls>
      </m>
      <n v="16" in="0">
        <tpls c="3">
          <tpl fld="0" item="0"/>
          <tpl fld="1" item="168"/>
          <tpl fld="4" item="23"/>
        </tpls>
      </n>
      <n v="91" in="0">
        <tpls c="3">
          <tpl fld="0" item="0"/>
          <tpl fld="1" item="348"/>
          <tpl fld="4" item="24"/>
        </tpls>
      </n>
      <m in="0">
        <tpls c="3">
          <tpl fld="0" item="0"/>
          <tpl fld="1" item="112"/>
          <tpl fld="4" item="25"/>
        </tpls>
      </m>
      <m in="0">
        <tpls c="3">
          <tpl fld="0" item="0"/>
          <tpl fld="1" item="185"/>
          <tpl fld="4" item="24"/>
        </tpls>
      </m>
      <m in="0">
        <tpls c="3">
          <tpl fld="0" item="0"/>
          <tpl fld="1" item="267"/>
          <tpl fld="4" item="32"/>
        </tpls>
      </m>
      <m in="0">
        <tpls c="3">
          <tpl fld="0" item="0"/>
          <tpl fld="1" item="363"/>
          <tpl fld="4" item="33"/>
        </tpls>
      </m>
      <m in="0">
        <tpls c="3">
          <tpl fld="0" item="0"/>
          <tpl fld="1" item="190"/>
          <tpl fld="4" item="30"/>
        </tpls>
      </m>
      <m in="0">
        <tpls c="3">
          <tpl fld="0" item="0"/>
          <tpl fld="1" item="419"/>
          <tpl fld="4" item="26"/>
        </tpls>
      </m>
      <n v="2" in="0">
        <tpls c="3">
          <tpl fld="0" item="0"/>
          <tpl fld="1" item="129"/>
          <tpl fld="4" item="24"/>
        </tpls>
      </n>
      <n v="39" in="0">
        <tpls c="3">
          <tpl fld="0" item="0"/>
          <tpl fld="1" item="305"/>
          <tpl fld="4" item="24"/>
        </tpls>
      </n>
      <m in="0">
        <tpls c="3">
          <tpl fld="0" item="0"/>
          <tpl fld="3" item="0"/>
          <tpl fld="4" item="32"/>
        </tpls>
      </m>
      <m in="0">
        <tpls c="3">
          <tpl fld="0" item="0"/>
          <tpl fld="1" item="451"/>
          <tpl fld="4" item="32"/>
        </tpls>
      </m>
      <n v="1" in="0">
        <tpls c="3">
          <tpl fld="0" item="0"/>
          <tpl fld="1" item="32"/>
          <tpl fld="4" item="33"/>
        </tpls>
      </n>
      <m in="0">
        <tpls c="3">
          <tpl fld="0" item="0"/>
          <tpl fld="1" item="406"/>
          <tpl fld="4" item="30"/>
        </tpls>
      </m>
      <n v="3" in="0">
        <tpls c="3">
          <tpl fld="0" item="0"/>
          <tpl fld="1" item="171"/>
          <tpl fld="4" item="23"/>
        </tpls>
      </n>
      <n v="5" in="0">
        <tpls c="3">
          <tpl fld="0" item="0"/>
          <tpl fld="1" item="18"/>
          <tpl fld="4" item="28"/>
        </tpls>
      </n>
      <m in="0">
        <tpls c="3">
          <tpl fld="0" item="0"/>
          <tpl fld="1" item="174"/>
          <tpl fld="4" item="32"/>
        </tpls>
      </m>
      <m in="0">
        <tpls c="3">
          <tpl fld="0" item="0"/>
          <tpl fld="1" item="347"/>
          <tpl fld="4" item="32"/>
        </tpls>
      </m>
      <m in="0">
        <tpls c="3">
          <tpl fld="0" item="0"/>
          <tpl fld="1" item="79"/>
          <tpl fld="4" item="31"/>
        </tpls>
      </m>
      <n v="200" in="0">
        <tpls c="3">
          <tpl fld="0" item="0"/>
          <tpl fld="1" item="231"/>
          <tpl fld="4" item="23"/>
        </tpls>
      </n>
      <m in="0">
        <tpls c="3">
          <tpl fld="0" item="0"/>
          <tpl fld="1" item="261"/>
          <tpl fld="4" item="22"/>
        </tpls>
      </m>
      <n v="213" in="0">
        <tpls c="3">
          <tpl fld="0" item="0"/>
          <tpl fld="1" item="64"/>
          <tpl fld="4" item="23"/>
        </tpls>
      </n>
      <n v="7" in="0">
        <tpls c="3">
          <tpl fld="0" item="0"/>
          <tpl fld="1" item="213"/>
          <tpl fld="4" item="25"/>
        </tpls>
      </n>
      <m in="0">
        <tpls c="3">
          <tpl fld="0" item="0"/>
          <tpl fld="1" item="143"/>
          <tpl fld="4" item="28"/>
        </tpls>
      </m>
      <m in="0">
        <tpls c="3">
          <tpl fld="0" item="0"/>
          <tpl fld="1" item="167"/>
          <tpl fld="4" item="18"/>
        </tpls>
      </m>
      <n v="43" in="0">
        <tpls c="3">
          <tpl fld="0" item="0"/>
          <tpl fld="1" item="200"/>
          <tpl fld="4" item="23"/>
        </tpls>
      </n>
      <n v="216" in="0">
        <tpls c="3">
          <tpl fld="0" item="0"/>
          <tpl fld="1" item="368"/>
          <tpl fld="4" item="23"/>
        </tpls>
      </n>
      <n v="3" in="0">
        <tpls c="3">
          <tpl fld="0" item="0"/>
          <tpl fld="1" item="344"/>
          <tpl fld="4" item="27"/>
        </tpls>
      </n>
      <m in="0">
        <tpls c="3">
          <tpl fld="0" item="0"/>
          <tpl fld="1" item="97"/>
          <tpl fld="4" item="22"/>
        </tpls>
      </m>
      <n v="1" in="0">
        <tpls c="3">
          <tpl fld="0" item="0"/>
          <tpl fld="1" item="242"/>
          <tpl fld="4" item="22"/>
        </tpls>
      </n>
      <m in="0">
        <tpls c="3">
          <tpl fld="0" item="0"/>
          <tpl fld="1" item="79"/>
          <tpl fld="4" item="26"/>
        </tpls>
      </m>
      <n v="20" in="0">
        <tpls c="3">
          <tpl fld="0" item="0"/>
          <tpl fld="1" item="386"/>
          <tpl fld="4" item="29"/>
        </tpls>
      </n>
      <m in="0">
        <tpls c="3">
          <tpl fld="0" item="0"/>
          <tpl fld="1" item="213"/>
          <tpl fld="4" item="32"/>
        </tpls>
      </m>
      <m in="0">
        <tpls c="3">
          <tpl fld="0" item="0"/>
          <tpl fld="1" item="360"/>
          <tpl fld="4" item="32"/>
        </tpls>
      </m>
      <m in="0">
        <tpls c="3">
          <tpl fld="0" item="0"/>
          <tpl fld="1" item="103"/>
          <tpl fld="4" item="31"/>
        </tpls>
      </m>
      <m in="0">
        <tpls c="3">
          <tpl fld="0" item="0"/>
          <tpl fld="1" item="346"/>
          <tpl fld="4" item="33"/>
        </tpls>
      </m>
      <n v="1" in="0">
        <tpls c="3">
          <tpl fld="0" item="0"/>
          <tpl fld="1" item="120"/>
          <tpl fld="4" item="13"/>
        </tpls>
      </n>
      <m in="0">
        <tpls c="3">
          <tpl fld="0" item="0"/>
          <tpl fld="1" item="392"/>
          <tpl fld="4" item="27"/>
        </tpls>
      </m>
      <m in="0">
        <tpls c="3">
          <tpl fld="0" item="0"/>
          <tpl fld="1" item="444"/>
          <tpl fld="4" item="32"/>
        </tpls>
      </m>
      <m in="0">
        <tpls c="3">
          <tpl fld="0" item="0"/>
          <tpl fld="1" item="432"/>
          <tpl fld="4" item="31"/>
        </tpls>
      </m>
      <m in="0">
        <tpls c="3">
          <tpl fld="0" item="0"/>
          <tpl fld="1" item="81"/>
          <tpl fld="4" item="31"/>
        </tpls>
      </m>
      <m in="0">
        <tpls c="3">
          <tpl fld="0" item="0"/>
          <tpl fld="1" item="105"/>
          <tpl fld="4" item="30"/>
        </tpls>
      </m>
      <n v="269" in="0">
        <tpls c="3">
          <tpl fld="0" item="0"/>
          <tpl fld="1" item="202"/>
          <tpl fld="4" item="15"/>
        </tpls>
      </n>
      <n v="2" in="0">
        <tpls c="3">
          <tpl fld="0" item="0"/>
          <tpl fld="1" item="322"/>
          <tpl fld="4" item="22"/>
        </tpls>
      </n>
      <m in="0">
        <tpls c="3">
          <tpl fld="0" item="0"/>
          <tpl fld="1" item="131"/>
          <tpl fld="4" item="31"/>
        </tpls>
      </m>
      <m in="0">
        <tpls c="3">
          <tpl fld="0" item="0"/>
          <tpl fld="1" item="238"/>
          <tpl fld="4" item="31"/>
        </tpls>
      </m>
      <m in="0">
        <tpls c="3">
          <tpl fld="0" item="0"/>
          <tpl fld="1" item="310"/>
          <tpl fld="4" item="24"/>
        </tpls>
      </m>
      <m in="0">
        <tpls c="3">
          <tpl fld="0" item="0"/>
          <tpl fld="1" item="4"/>
          <tpl fld="4" item="18"/>
        </tpls>
      </m>
      <m in="0">
        <tpls c="3">
          <tpl fld="0" item="0"/>
          <tpl fld="1" item="112"/>
          <tpl fld="4" item="27"/>
        </tpls>
      </m>
      <n v="5" in="0">
        <tpls c="3">
          <tpl fld="0" item="0"/>
          <tpl fld="1" item="290"/>
          <tpl fld="4" item="28"/>
        </tpls>
      </n>
      <m in="0">
        <tpls c="3">
          <tpl fld="0" item="0"/>
          <tpl fld="1" item="100"/>
          <tpl fld="4" item="27"/>
        </tpls>
      </m>
      <n v="214" in="0">
        <tpls c="3">
          <tpl fld="0" item="0"/>
          <tpl fld="1" item="409"/>
          <tpl fld="4" item="24"/>
        </tpls>
      </n>
      <m in="0">
        <tpls c="3">
          <tpl fld="0" item="0"/>
          <tpl fld="1" item="186"/>
          <tpl fld="4" item="13"/>
        </tpls>
      </m>
      <n v="198" in="0">
        <tpls c="3">
          <tpl fld="0" item="0"/>
          <tpl fld="1" item="125"/>
          <tpl fld="4" item="15"/>
        </tpls>
      </n>
      <m in="0">
        <tpls c="3">
          <tpl fld="0" item="0"/>
          <tpl fld="1" item="408"/>
          <tpl fld="4" item="26"/>
        </tpls>
      </m>
      <n v="319" in="0">
        <tpls c="3">
          <tpl fld="0" item="0"/>
          <tpl fld="1" item="365"/>
          <tpl fld="4" item="25"/>
        </tpls>
      </n>
      <m in="0">
        <tpls c="3">
          <tpl fld="0" item="0"/>
          <tpl fld="1" item="437"/>
          <tpl fld="4" item="28"/>
        </tpls>
      </m>
      <n v="7" in="0">
        <tpls c="3">
          <tpl fld="0" item="0"/>
          <tpl fld="1" item="121"/>
          <tpl fld="4" item="28"/>
        </tpls>
      </n>
      <n v="366" in="0">
        <tpls c="3">
          <tpl fld="0" item="0"/>
          <tpl fld="1" item="273"/>
          <tpl fld="4" item="29"/>
        </tpls>
      </n>
      <n v="31" in="0">
        <tpls c="3">
          <tpl fld="0" item="0"/>
          <tpl fld="1" item="320"/>
          <tpl fld="4" item="17"/>
        </tpls>
      </n>
      <m in="0">
        <tpls c="3">
          <tpl fld="0" item="0"/>
          <tpl fld="1" item="306"/>
          <tpl fld="4" item="28"/>
        </tpls>
      </m>
      <n v="406" in="0">
        <tpls c="3">
          <tpl fld="0" item="0"/>
          <tpl fld="1" item="269"/>
          <tpl fld="4" item="29"/>
        </tpls>
      </n>
      <n v="212" in="0">
        <tpls c="3">
          <tpl fld="0" item="0"/>
          <tpl fld="1" item="287"/>
          <tpl fld="4" item="20"/>
        </tpls>
      </n>
      <m in="0">
        <tpls c="3">
          <tpl fld="0" item="0"/>
          <tpl fld="1" item="176"/>
          <tpl fld="4" item="25"/>
        </tpls>
      </m>
      <m in="0">
        <tpls c="3">
          <tpl fld="0" item="0"/>
          <tpl fld="1" item="169"/>
          <tpl fld="4" item="22"/>
        </tpls>
      </m>
      <m in="0">
        <tpls c="3">
          <tpl fld="0" item="0"/>
          <tpl fld="1" item="88"/>
          <tpl fld="4" item="20"/>
        </tpls>
      </m>
      <m in="0">
        <tpls c="3">
          <tpl fld="0" item="0"/>
          <tpl fld="1" item="165"/>
          <tpl fld="4" item="29"/>
        </tpls>
      </m>
      <m in="0">
        <tpls c="3">
          <tpl fld="0" item="0"/>
          <tpl fld="1" item="190"/>
          <tpl fld="4" item="19"/>
        </tpls>
      </m>
      <m in="0">
        <tpls c="3">
          <tpl fld="0" item="0"/>
          <tpl fld="1" item="298"/>
          <tpl fld="4" item="20"/>
        </tpls>
      </m>
      <n v="463" in="0">
        <tpls c="3">
          <tpl fld="0" item="0"/>
          <tpl fld="1" item="288"/>
          <tpl fld="4" item="24"/>
        </tpls>
      </n>
      <n v="6" in="0">
        <tpls c="3">
          <tpl fld="0" item="0"/>
          <tpl fld="1" item="359"/>
          <tpl fld="4" item="29"/>
        </tpls>
      </n>
      <n v="7" in="0">
        <tpls c="3">
          <tpl fld="0" item="0"/>
          <tpl fld="1" item="41"/>
          <tpl fld="4" item="22"/>
        </tpls>
      </n>
      <n v="1" in="0">
        <tpls c="3">
          <tpl fld="0" item="0"/>
          <tpl fld="1" item="79"/>
          <tpl fld="4" item="22"/>
        </tpls>
      </n>
      <n v="2" in="0">
        <tpls c="3">
          <tpl fld="0" item="0"/>
          <tpl fld="1" item="186"/>
          <tpl fld="4" item="22"/>
        </tpls>
      </n>
      <m in="0">
        <tpls c="3">
          <tpl fld="0" item="0"/>
          <tpl fld="1" item="216"/>
          <tpl fld="4" item="14"/>
        </tpls>
      </m>
      <n v="2" in="0">
        <tpls c="3">
          <tpl fld="0" item="0"/>
          <tpl fld="1" item="305"/>
          <tpl fld="4" item="17"/>
        </tpls>
      </n>
      <n v="4" in="0">
        <tpls c="3">
          <tpl fld="0" item="0"/>
          <tpl fld="1" item="284"/>
          <tpl fld="4" item="29"/>
        </tpls>
      </n>
      <n v="22" in="0">
        <tpls c="3">
          <tpl fld="0" item="0"/>
          <tpl fld="1" item="267"/>
          <tpl fld="4" item="27"/>
        </tpls>
      </n>
      <n v="12" in="0">
        <tpls c="3">
          <tpl fld="0" item="0"/>
          <tpl fld="1" item="140"/>
          <tpl fld="4" item="22"/>
        </tpls>
      </n>
      <n v="118" in="0">
        <tpls c="3">
          <tpl fld="0" item="0"/>
          <tpl fld="1" item="454"/>
          <tpl fld="4" item="25"/>
        </tpls>
      </n>
      <n v="21" in="0">
        <tpls c="3">
          <tpl fld="0" item="0"/>
          <tpl fld="1" item="58"/>
          <tpl fld="4" item="25"/>
        </tpls>
      </n>
      <n v="135" in="0">
        <tpls c="3">
          <tpl fld="0" item="0"/>
          <tpl fld="1" item="9"/>
          <tpl fld="4" item="25"/>
        </tpls>
      </n>
      <m in="0">
        <tpls c="3">
          <tpl fld="0" item="0"/>
          <tpl fld="1" item="26"/>
          <tpl fld="4" item="13"/>
        </tpls>
      </m>
      <m in="0">
        <tpls c="3">
          <tpl fld="0" item="0"/>
          <tpl fld="1" item="426"/>
          <tpl fld="4" item="17"/>
        </tpls>
      </m>
      <m in="0">
        <tpls c="3">
          <tpl fld="0" item="0"/>
          <tpl fld="1" item="346"/>
          <tpl fld="4" item="29"/>
        </tpls>
      </m>
      <m in="0">
        <tpls c="3">
          <tpl fld="0" item="0"/>
          <tpl fld="1" item="61"/>
          <tpl fld="4" item="27"/>
        </tpls>
      </m>
      <m in="0">
        <tpls c="3">
          <tpl fld="0" item="0"/>
          <tpl fld="1" item="37"/>
          <tpl fld="4" item="22"/>
        </tpls>
      </m>
      <m in="0">
        <tpls c="3">
          <tpl fld="0" item="0"/>
          <tpl fld="1" item="190"/>
          <tpl fld="4" item="25"/>
        </tpls>
      </m>
      <n v="71" in="0">
        <tpls c="3">
          <tpl fld="0" item="0"/>
          <tpl fld="1" item="194"/>
          <tpl fld="4" item="25"/>
        </tpls>
      </n>
      <m in="0">
        <tpls c="3">
          <tpl fld="0" item="0"/>
          <tpl fld="1" item="102"/>
          <tpl fld="4" item="25"/>
        </tpls>
      </m>
      <n v="40" in="0">
        <tpls c="3">
          <tpl fld="0" item="0"/>
          <tpl fld="1" item="369"/>
          <tpl fld="4" item="20"/>
        </tpls>
      </n>
      <m in="0">
        <tpls c="3">
          <tpl fld="0" item="0"/>
          <tpl fld="1" item="306"/>
          <tpl fld="4" item="27"/>
        </tpls>
      </m>
      <m in="0">
        <tpls c="3">
          <tpl fld="0" item="0"/>
          <tpl fld="1" item="399"/>
          <tpl fld="4" item="28"/>
        </tpls>
      </m>
      <m in="0">
        <tpls c="3">
          <tpl fld="0" item="0"/>
          <tpl fld="1" item="188"/>
          <tpl fld="4" item="27"/>
        </tpls>
      </m>
      <n v="206" in="0">
        <tpls c="3">
          <tpl fld="0" item="0"/>
          <tpl fld="1" item="114"/>
          <tpl fld="4" item="24"/>
        </tpls>
      </n>
      <n v="15" in="0">
        <tpls c="3">
          <tpl fld="0" item="0"/>
          <tpl fld="1" item="64"/>
          <tpl fld="4" item="16"/>
        </tpls>
      </n>
      <n v="22" in="0">
        <tpls c="3">
          <tpl fld="0" item="0"/>
          <tpl fld="1" item="97"/>
          <tpl fld="4" item="15"/>
        </tpls>
      </n>
      <m in="0">
        <tpls c="3">
          <tpl fld="0" item="0"/>
          <tpl fld="1" item="302"/>
          <tpl fld="4" item="26"/>
        </tpls>
      </m>
      <n v="617" in="0">
        <tpls c="3">
          <tpl fld="0" item="0"/>
          <tpl fld="1" item="269"/>
          <tpl fld="4" item="25"/>
        </tpls>
      </n>
      <n v="19" in="0">
        <tpls c="3">
          <tpl fld="0" item="0"/>
          <tpl fld="1" item="348"/>
          <tpl fld="4" item="28"/>
        </tpls>
      </n>
      <m in="0">
        <tpls c="3">
          <tpl fld="0" item="0"/>
          <tpl fld="1" item="216"/>
          <tpl fld="4" item="28"/>
        </tpls>
      </m>
      <n v="113" in="0">
        <tpls c="3">
          <tpl fld="0" item="0"/>
          <tpl fld="1" item="326"/>
          <tpl fld="4" item="23"/>
        </tpls>
      </n>
      <m in="0">
        <tpls c="3">
          <tpl fld="0" item="0"/>
          <tpl fld="1" item="88"/>
          <tpl fld="4" item="23"/>
        </tpls>
      </m>
      <m in="0">
        <tpls c="3">
          <tpl fld="0" item="0"/>
          <tpl fld="1" item="192"/>
          <tpl fld="4" item="28"/>
        </tpls>
      </m>
      <n v="56" in="0">
        <tpls c="3">
          <tpl fld="0" item="0"/>
          <tpl fld="1" item="120"/>
          <tpl fld="4" item="25"/>
        </tpls>
      </n>
      <m in="0">
        <tpls c="3">
          <tpl fld="0" item="0"/>
          <tpl fld="1" item="260"/>
          <tpl fld="4" item="31"/>
        </tpls>
      </m>
      <m in="0">
        <tpls c="3">
          <tpl fld="0" item="0"/>
          <tpl fld="1" item="42"/>
          <tpl fld="4" item="31"/>
        </tpls>
      </m>
      <m in="0">
        <tpls c="3">
          <tpl fld="0" item="0"/>
          <tpl fld="1" item="216"/>
          <tpl fld="4" item="27"/>
        </tpls>
      </m>
      <m in="0">
        <tpls c="3">
          <tpl fld="0" item="0"/>
          <tpl fld="1" item="381"/>
          <tpl fld="4" item="33"/>
        </tpls>
      </m>
      <m in="0">
        <tpls c="3">
          <tpl fld="0" item="0"/>
          <tpl fld="1" item="374"/>
          <tpl fld="4" item="30"/>
        </tpls>
      </m>
      <n v="18" in="0">
        <tpls c="3">
          <tpl fld="0" item="0"/>
          <tpl fld="1" item="332"/>
          <tpl fld="4" item="27"/>
        </tpls>
      </n>
      <n v="49" in="0">
        <tpls c="3">
          <tpl fld="0" item="0"/>
          <tpl fld="1" item="368"/>
          <tpl fld="4" item="24"/>
        </tpls>
      </n>
      <m in="0">
        <tpls c="3">
          <tpl fld="0" item="0"/>
          <tpl fld="1" item="212"/>
          <tpl fld="4" item="31"/>
        </tpls>
      </m>
      <n v="2" in="0">
        <tpls c="3">
          <tpl fld="0" item="0"/>
          <tpl fld="1" item="447"/>
          <tpl fld="4" item="31"/>
        </tpls>
      </n>
      <m in="0">
        <tpls c="3">
          <tpl fld="0" item="0"/>
          <tpl fld="1" item="167"/>
          <tpl fld="4" item="31"/>
        </tpls>
      </m>
      <m in="0">
        <tpls c="3">
          <tpl fld="0" item="0"/>
          <tpl fld="1" item="261"/>
          <tpl fld="4" item="33"/>
        </tpls>
      </m>
      <m in="0">
        <tpls c="3">
          <tpl fld="0" item="0"/>
          <tpl fld="1" item="142"/>
          <tpl fld="4" item="30"/>
        </tpls>
      </m>
      <m in="0">
        <tpls c="3">
          <tpl fld="0" item="0"/>
          <tpl fld="1" item="389"/>
          <tpl fld="4" item="24"/>
        </tpls>
      </m>
      <m in="0">
        <tpls c="3">
          <tpl fld="0" item="0"/>
          <tpl fld="1" item="414"/>
          <tpl fld="4" item="32"/>
        </tpls>
      </m>
      <m in="0">
        <tpls c="3">
          <tpl fld="0" item="0"/>
          <tpl fld="1" item="388"/>
          <tpl fld="4" item="31"/>
        </tpls>
      </m>
      <m in="0">
        <tpls c="3">
          <tpl fld="0" item="0"/>
          <tpl fld="1" item="239"/>
          <tpl fld="4" item="32"/>
        </tpls>
      </m>
      <m in="0">
        <tpls c="3">
          <tpl fld="0" item="0"/>
          <tpl fld="1" item="407"/>
          <tpl fld="4" item="18"/>
        </tpls>
      </m>
      <n v="38" in="0">
        <tpls c="3">
          <tpl fld="0" item="0"/>
          <tpl fld="1" item="138"/>
          <tpl fld="4" item="24"/>
        </tpls>
      </n>
      <m in="0">
        <tpls c="3">
          <tpl fld="0" item="0"/>
          <tpl fld="1" item="394"/>
          <tpl fld="4" item="22"/>
        </tpls>
      </m>
      <m in="0">
        <tpls c="3">
          <tpl fld="0" item="0"/>
          <tpl fld="1" item="363"/>
          <tpl fld="4" item="17"/>
        </tpls>
      </m>
      <n v="23" in="0">
        <tpls c="3">
          <tpl fld="0" item="0"/>
          <tpl fld="1" item="156"/>
          <tpl fld="4" item="27"/>
        </tpls>
      </n>
      <n v="5" in="0">
        <tpls c="3">
          <tpl fld="0" item="0"/>
          <tpl fld="1" item="449"/>
          <tpl fld="4" item="13"/>
        </tpls>
      </n>
      <m in="0">
        <tpls c="3">
          <tpl fld="0" item="0"/>
          <tpl fld="1" item="88"/>
          <tpl fld="4" item="17"/>
        </tpls>
      </m>
      <n v="245" in="0">
        <tpls c="3">
          <tpl fld="0" item="0"/>
          <tpl fld="1" item="104"/>
          <tpl fld="4" item="29"/>
        </tpls>
      </n>
      <m in="0">
        <tpls c="3">
          <tpl fld="0" item="0"/>
          <tpl fld="1" item="35"/>
          <tpl fld="4" item="27"/>
        </tpls>
      </m>
      <n v="7" in="0">
        <tpls c="3">
          <tpl fld="0" item="0"/>
          <tpl fld="1" item="175"/>
          <tpl fld="4" item="22"/>
        </tpls>
      </n>
      <m in="0">
        <tpls c="3">
          <tpl fld="0" item="0"/>
          <tpl fld="1" item="445"/>
          <tpl fld="4" item="25"/>
        </tpls>
      </m>
      <m in="0">
        <tpls c="3">
          <tpl fld="0" item="0"/>
          <tpl fld="1" item="327"/>
          <tpl fld="4" item="25"/>
        </tpls>
      </m>
      <n v="36" in="0">
        <tpls c="3">
          <tpl fld="0" item="0"/>
          <tpl fld="1" item="444"/>
          <tpl fld="4" item="25"/>
        </tpls>
      </n>
      <n v="127" in="0">
        <tpls c="3">
          <tpl fld="0" item="0"/>
          <tpl fld="1" item="107"/>
          <tpl fld="4" item="17"/>
        </tpls>
      </n>
      <n v="13" in="0">
        <tpls c="3">
          <tpl fld="0" item="0"/>
          <tpl fld="1" item="20"/>
          <tpl fld="4" item="26"/>
        </tpls>
      </n>
      <m in="0">
        <tpls c="3">
          <tpl fld="0" item="0"/>
          <tpl fld="1" item="51"/>
          <tpl fld="4" item="31"/>
        </tpls>
      </m>
      <m in="0">
        <tpls c="3">
          <tpl fld="0" item="0"/>
          <tpl fld="1" item="298"/>
          <tpl fld="4" item="31"/>
        </tpls>
      </m>
      <n v="6" in="0">
        <tpls c="3">
          <tpl fld="0" item="0"/>
          <tpl fld="1" item="217"/>
          <tpl fld="4" item="23"/>
        </tpls>
      </n>
      <m in="0">
        <tpls c="3">
          <tpl fld="0" item="0"/>
          <tpl fld="1" item="236"/>
          <tpl fld="4" item="33"/>
        </tpls>
      </m>
      <m in="0">
        <tpls c="3">
          <tpl fld="0" item="0"/>
          <tpl fld="1" item="378"/>
          <tpl fld="4" item="30"/>
        </tpls>
      </m>
      <n v="21" in="0">
        <tpls c="3">
          <tpl fld="0" item="0"/>
          <tpl fld="1" item="58"/>
          <tpl fld="4" item="23"/>
        </tpls>
      </n>
      <m in="0">
        <tpls c="3">
          <tpl fld="0" item="0"/>
          <tpl fld="1" item="130"/>
          <tpl fld="4" item="25"/>
        </tpls>
      </m>
      <m in="0">
        <tpls c="3">
          <tpl fld="0" item="0"/>
          <tpl fld="1" item="428"/>
          <tpl fld="4" item="31"/>
        </tpls>
      </m>
      <n v="32" in="0">
        <tpls c="3">
          <tpl fld="0" item="0"/>
          <tpl fld="1" item="227"/>
          <tpl fld="4" item="29"/>
        </tpls>
      </n>
      <m in="0">
        <tpls c="3">
          <tpl fld="0" item="0"/>
          <tpl fld="1" item="222"/>
          <tpl fld="4" item="26"/>
        </tpls>
      </m>
      <m in="0">
        <tpls c="3">
          <tpl fld="0" item="0"/>
          <tpl fld="1" item="240"/>
          <tpl fld="4" item="33"/>
        </tpls>
      </m>
      <m in="0">
        <tpls c="3">
          <tpl fld="0" item="0"/>
          <tpl fld="1" item="212"/>
          <tpl fld="4" item="30"/>
        </tpls>
      </m>
      <m in="0">
        <tpls c="3">
          <tpl fld="0" item="0"/>
          <tpl fld="1" item="316"/>
          <tpl fld="4" item="22"/>
        </tpls>
      </m>
      <n v="32" in="0">
        <tpls c="3">
          <tpl fld="0" item="0"/>
          <tpl fld="1" item="214"/>
          <tpl fld="4" item="25"/>
        </tpls>
      </n>
      <n v="78" in="0">
        <tpls c="3">
          <tpl fld="0" item="0"/>
          <tpl fld="1" item="194"/>
          <tpl fld="4" item="23"/>
        </tpls>
      </n>
      <m in="0">
        <tpls c="3">
          <tpl fld="0" item="0"/>
          <tpl fld="1" item="441"/>
          <tpl fld="4" item="26"/>
        </tpls>
      </m>
      <n v="56" in="0">
        <tpls c="3">
          <tpl fld="0" item="0"/>
          <tpl fld="1" item="182"/>
          <tpl fld="4" item="24"/>
        </tpls>
      </n>
      <m in="0">
        <tpls c="3">
          <tpl fld="0" item="0"/>
          <tpl fld="1" item="310"/>
          <tpl fld="4" item="33"/>
        </tpls>
      </m>
      <n v="6" in="0">
        <tpls c="3">
          <tpl fld="0" item="0"/>
          <tpl fld="1" item="233"/>
          <tpl fld="4" item="21"/>
        </tpls>
      </n>
      <m in="0">
        <tpls c="3">
          <tpl fld="0" item="0"/>
          <tpl fld="1" item="362"/>
          <tpl fld="4" item="26"/>
        </tpls>
      </m>
      <m in="0">
        <tpls c="3">
          <tpl fld="0" item="0"/>
          <tpl fld="1" item="451"/>
          <tpl fld="4" item="29"/>
        </tpls>
      </m>
      <m in="0">
        <tpls c="3">
          <tpl fld="0" item="0"/>
          <tpl fld="1" item="12"/>
          <tpl fld="4" item="26"/>
        </tpls>
      </m>
      <n v="781" in="0">
        <tpls c="3">
          <tpl fld="0" item="0"/>
          <tpl fld="1" item="87"/>
          <tpl fld="4" item="23"/>
        </tpls>
      </n>
      <m in="0">
        <tpls c="3">
          <tpl fld="0" item="0"/>
          <tpl fld="1" item="434"/>
          <tpl fld="4" item="20"/>
        </tpls>
      </m>
      <n v="1" in="0">
        <tpls c="3">
          <tpl fld="0" item="0"/>
          <tpl fld="1" item="180"/>
          <tpl fld="4" item="17"/>
        </tpls>
      </n>
      <n v="313" in="0">
        <tpls c="3">
          <tpl fld="0" item="0"/>
          <tpl fld="1" item="99"/>
          <tpl fld="4" item="24"/>
        </tpls>
      </n>
      <n v="7" in="0">
        <tpls c="3">
          <tpl fld="0" item="0"/>
          <tpl fld="1" item="182"/>
          <tpl fld="4" item="28"/>
        </tpls>
      </n>
      <m in="0">
        <tpls c="3">
          <tpl fld="0" item="0"/>
          <tpl fld="1" item="307"/>
          <tpl fld="4" item="23"/>
        </tpls>
      </m>
      <m in="0">
        <tpls c="3">
          <tpl fld="0" item="0"/>
          <tpl fld="1" item="176"/>
          <tpl fld="4" item="23"/>
        </tpls>
      </m>
      <n v="259" in="0">
        <tpls c="3">
          <tpl fld="0" item="0"/>
          <tpl fld="1" item="348"/>
          <tpl fld="4" item="29"/>
        </tpls>
      </n>
      <n v="209" in="0">
        <tpls c="3">
          <tpl fld="0" item="0"/>
          <tpl fld="1" item="415"/>
          <tpl fld="4" item="27"/>
        </tpls>
      </n>
      <m in="0">
        <tpls c="3">
          <tpl fld="0" item="0"/>
          <tpl fld="1" item="158"/>
          <tpl fld="4" item="29"/>
        </tpls>
      </m>
      <m in="0">
        <tpls c="3">
          <tpl fld="0" item="0"/>
          <tpl fld="1" item="93"/>
          <tpl fld="4" item="32"/>
        </tpls>
      </m>
      <m in="0">
        <tpls c="3">
          <tpl fld="0" item="0"/>
          <tpl fld="1" item="47"/>
          <tpl fld="4" item="31"/>
        </tpls>
      </m>
      <m in="0">
        <tpls c="3">
          <tpl fld="0" item="0"/>
          <tpl fld="1" item="96"/>
          <tpl fld="4" item="28"/>
        </tpls>
      </m>
      <m in="0">
        <tpls c="3">
          <tpl fld="0" item="0"/>
          <tpl fld="1" item="142"/>
          <tpl fld="4" item="33"/>
        </tpls>
      </m>
      <m in="0">
        <tpls c="3">
          <tpl fld="0" item="0"/>
          <tpl fld="1" item="90"/>
          <tpl fld="4" item="30"/>
        </tpls>
      </m>
      <n v="4" in="0">
        <tpls c="3">
          <tpl fld="0" item="0"/>
          <tpl fld="1" item="280"/>
          <tpl fld="4" item="26"/>
        </tpls>
      </n>
      <m in="0">
        <tpls c="3">
          <tpl fld="0" item="0"/>
          <tpl fld="1" item="197"/>
          <tpl fld="4" item="31"/>
        </tpls>
      </m>
      <n v="16" in="0">
        <tpls c="3">
          <tpl fld="0" item="0"/>
          <tpl fld="1" item="17"/>
          <tpl fld="4" item="23"/>
        </tpls>
      </n>
      <m in="0">
        <tpls c="3">
          <tpl fld="0" item="0"/>
          <tpl fld="1" item="399"/>
          <tpl fld="4" item="27"/>
        </tpls>
      </m>
      <m in="0">
        <tpls c="3">
          <tpl fld="0" item="0"/>
          <tpl fld="1" item="283"/>
          <tpl fld="4" item="33"/>
        </tpls>
      </m>
      <m in="0">
        <tpls c="3">
          <tpl fld="0" item="0"/>
          <tpl fld="1" item="93"/>
          <tpl fld="4" item="30"/>
        </tpls>
      </m>
      <m in="0">
        <tpls c="3">
          <tpl fld="0" item="0"/>
          <tpl fld="1" item="62"/>
          <tpl fld="4" item="28"/>
        </tpls>
      </m>
      <m in="0">
        <tpls c="3">
          <tpl fld="0" item="0"/>
          <tpl fld="1" item="396"/>
          <tpl fld="4" item="15"/>
        </tpls>
      </m>
      <m in="0">
        <tpls c="3">
          <tpl fld="0" item="0"/>
          <tpl fld="1" item="342"/>
          <tpl fld="4" item="22"/>
        </tpls>
      </m>
      <n v="11" in="0">
        <tpls c="3">
          <tpl fld="0" item="0"/>
          <tpl fld="1" item="137"/>
          <tpl fld="4" item="25"/>
        </tpls>
      </n>
      <m in="0">
        <tpls c="3">
          <tpl fld="0" item="0"/>
          <tpl fld="1" item="240"/>
          <tpl fld="4" item="23"/>
        </tpls>
      </m>
      <m in="0">
        <tpls c="3">
          <tpl fld="0" item="0"/>
          <tpl fld="1" item="63"/>
          <tpl fld="4" item="28"/>
        </tpls>
      </m>
      <m in="0">
        <tpls c="3">
          <tpl fld="0" item="0"/>
          <tpl fld="1" item="404"/>
          <tpl fld="4" item="22"/>
        </tpls>
      </m>
      <m in="0">
        <tpls c="3">
          <tpl fld="0" item="0"/>
          <tpl fld="1" item="243"/>
          <tpl fld="4" item="24"/>
        </tpls>
      </m>
      <m in="0">
        <tpls c="3">
          <tpl fld="0" item="0"/>
          <tpl fld="1" item="423"/>
          <tpl fld="4" item="29"/>
        </tpls>
      </m>
      <n v="157" in="0">
        <tpls c="3">
          <tpl fld="0" item="0"/>
          <tpl fld="1" item="420"/>
          <tpl fld="4" item="15"/>
        </tpls>
      </n>
      <n v="4" in="0">
        <tpls c="3">
          <tpl fld="0" item="0"/>
          <tpl fld="1" item="329"/>
          <tpl fld="4" item="17"/>
        </tpls>
      </n>
      <m in="0">
        <tpls c="3">
          <tpl fld="0" item="0"/>
          <tpl fld="1" item="434"/>
          <tpl fld="4" item="28"/>
        </tpls>
      </m>
      <m in="0">
        <tpls c="3">
          <tpl fld="0" item="0"/>
          <tpl fld="1" item="223"/>
          <tpl fld="4" item="23"/>
        </tpls>
      </m>
      <n v="12" in="0">
        <tpls c="3">
          <tpl fld="0" item="0"/>
          <tpl fld="1" item="89"/>
          <tpl fld="4" item="27"/>
        </tpls>
      </n>
      <m in="0">
        <tpls c="3">
          <tpl fld="0" item="0"/>
          <tpl fld="1" item="239"/>
          <tpl fld="4" item="27"/>
        </tpls>
      </m>
      <n v="119" in="0">
        <tpls c="3">
          <tpl fld="0" item="0"/>
          <tpl fld="1" item="339"/>
          <tpl fld="4" item="27"/>
        </tpls>
      </n>
      <m in="0">
        <tpls c="3">
          <tpl fld="0" item="0"/>
          <tpl fld="1" item="362"/>
          <tpl fld="4" item="22"/>
        </tpls>
      </m>
      <m in="0">
        <tpls c="3">
          <tpl fld="0" item="0"/>
          <tpl fld="1" item="159"/>
          <tpl fld="4" item="22"/>
        </tpls>
      </m>
      <m in="0">
        <tpls c="3">
          <tpl fld="0" item="0"/>
          <tpl fld="1" item="86"/>
          <tpl fld="4" item="29"/>
        </tpls>
      </m>
      <m in="0">
        <tpls c="3">
          <tpl fld="0" item="0"/>
          <tpl fld="1" item="218"/>
          <tpl fld="4" item="24"/>
        </tpls>
      </m>
      <n v="9" in="0">
        <tpls c="3">
          <tpl fld="0" item="0"/>
          <tpl fld="1" item="186"/>
          <tpl fld="4" item="24"/>
        </tpls>
      </n>
      <n v="1" in="0">
        <tpls c="3">
          <tpl fld="0" item="0"/>
          <tpl fld="1" item="339"/>
          <tpl fld="4" item="33"/>
        </tpls>
      </n>
      <m in="0">
        <tpls c="3">
          <tpl fld="0" item="0"/>
          <tpl fld="1" item="66"/>
          <tpl fld="4" item="30"/>
        </tpls>
      </m>
      <n v="15" in="0">
        <tpls c="3">
          <tpl fld="0" item="0"/>
          <tpl fld="1" item="283"/>
          <tpl fld="4" item="25"/>
        </tpls>
      </n>
      <n v="19" in="0">
        <tpls c="3">
          <tpl fld="0" item="0"/>
          <tpl fld="1" item="412"/>
          <tpl fld="4" item="25"/>
        </tpls>
      </n>
      <n v="2" in="0">
        <tpls c="3">
          <tpl fld="0" item="0"/>
          <tpl fld="1" item="283"/>
          <tpl fld="4" item="24"/>
        </tpls>
      </n>
      <m in="0">
        <tpls c="3">
          <tpl fld="0" item="0"/>
          <tpl fld="1" item="171"/>
          <tpl fld="4" item="32"/>
        </tpls>
      </m>
      <n v="5" in="0">
        <tpls c="3">
          <tpl fld="0" item="0"/>
          <tpl fld="1" item="255"/>
          <tpl fld="4" item="33"/>
        </tpls>
      </n>
      <n v="1" in="0">
        <tpls c="3">
          <tpl fld="0" item="0"/>
          <tpl fld="1" item="354"/>
          <tpl fld="4" item="30"/>
        </tpls>
      </n>
      <m in="0">
        <tpls c="3">
          <tpl fld="0" item="0"/>
          <tpl fld="1" item="196"/>
          <tpl fld="4" item="28"/>
        </tpls>
      </m>
      <n v="9" in="0">
        <tpls c="3">
          <tpl fld="0" item="0"/>
          <tpl fld="1" item="437"/>
          <tpl fld="4" item="24"/>
        </tpls>
      </n>
      <m in="0">
        <tpls c="3">
          <tpl fld="0" item="0"/>
          <tpl fld="1" item="151"/>
          <tpl fld="4" item="32"/>
        </tpls>
      </m>
      <m in="0">
        <tpls c="3">
          <tpl fld="0" item="0"/>
          <tpl fld="1" item="35"/>
          <tpl fld="4" item="32"/>
        </tpls>
      </m>
      <m in="0">
        <tpls c="3">
          <tpl fld="0" item="0"/>
          <tpl fld="1" item="421"/>
          <tpl fld="4" item="22"/>
        </tpls>
      </m>
      <m in="0">
        <tpls c="3">
          <tpl fld="0" item="0"/>
          <tpl fld="1" item="441"/>
          <tpl fld="4" item="27"/>
        </tpls>
      </m>
      <m in="0">
        <tpls c="3">
          <tpl fld="0" item="0"/>
          <tpl fld="1" item="90"/>
          <tpl fld="4" item="32"/>
        </tpls>
      </m>
      <m in="0">
        <tpls c="3">
          <tpl fld="0" item="0"/>
          <tpl fld="1" item="174"/>
          <tpl fld="4" item="31"/>
        </tpls>
      </m>
      <m in="0">
        <tpls c="3">
          <tpl fld="0" item="0"/>
          <tpl fld="1" item="169"/>
          <tpl fld="4" item="31"/>
        </tpls>
      </m>
      <m in="0">
        <tpls c="3">
          <tpl fld="0" item="0"/>
          <tpl fld="1" item="63"/>
          <tpl fld="4" item="33"/>
        </tpls>
      </m>
      <m in="0">
        <tpls c="3">
          <tpl fld="0" item="0"/>
          <tpl fld="1" item="151"/>
          <tpl fld="4" item="30"/>
        </tpls>
      </m>
      <m in="0">
        <tpls c="3">
          <tpl fld="0" item="0"/>
          <tpl fld="1" item="167"/>
          <tpl fld="4" item="34"/>
        </tpls>
      </m>
      <m in="0">
        <tpls c="3">
          <tpl fld="0" item="0"/>
          <tpl fld="1" item="379"/>
          <tpl fld="4" item="22"/>
        </tpls>
      </m>
      <m in="0">
        <tpls c="3">
          <tpl fld="0" item="0"/>
          <tpl fld="1" item="252"/>
          <tpl fld="4" item="22"/>
        </tpls>
      </m>
      <n v="2" in="0">
        <tpls c="3">
          <tpl fld="0" item="0"/>
          <tpl fld="1" item="114"/>
          <tpl fld="4" item="1"/>
        </tpls>
      </n>
      <n v="5" in="0">
        <tpls c="3">
          <tpl fld="0" item="0"/>
          <tpl fld="1" item="178"/>
          <tpl fld="4" item="27"/>
        </tpls>
      </n>
      <m in="0">
        <tpls c="3">
          <tpl fld="0" item="0"/>
          <tpl fld="1" item="261"/>
          <tpl fld="4" item="28"/>
        </tpls>
      </m>
      <n v="2810" in="0">
        <tpls c="3">
          <tpl fld="0" item="0"/>
          <tpl fld="1" item="107"/>
          <tpl fld="4" item="27"/>
        </tpls>
      </n>
      <n v="617" in="0">
        <tpls c="3">
          <tpl fld="0" item="0"/>
          <tpl fld="1" item="111"/>
          <tpl fld="4" item="25"/>
        </tpls>
      </n>
      <m in="0">
        <tpls c="3">
          <tpl fld="0" item="0"/>
          <tpl fld="1" item="215"/>
          <tpl fld="4" item="18"/>
        </tpls>
      </m>
      <n v="1794" in="0">
        <tpls c="3">
          <tpl fld="0" item="0"/>
          <tpl fld="1" item="225"/>
          <tpl fld="4" item="20"/>
        </tpls>
      </n>
      <n v="11" in="0">
        <tpls c="3">
          <tpl fld="0" item="0"/>
          <tpl fld="1" item="144"/>
          <tpl fld="4" item="26"/>
        </tpls>
      </n>
      <n v="30" in="0">
        <tpls c="3">
          <tpl fld="0" item="0"/>
          <tpl fld="1" item="325"/>
          <tpl fld="4" item="25"/>
        </tpls>
      </n>
      <m in="0">
        <tpls c="3">
          <tpl fld="0" item="0"/>
          <tpl fld="1" item="275"/>
          <tpl fld="4" item="28"/>
        </tpls>
      </m>
      <m in="0">
        <tpls c="3">
          <tpl fld="0" item="0"/>
          <tpl fld="1" item="295"/>
          <tpl fld="4" item="28"/>
        </tpls>
      </m>
      <m in="0">
        <tpls c="3">
          <tpl fld="0" item="0"/>
          <tpl fld="1" item="35"/>
          <tpl fld="4" item="28"/>
        </tpls>
      </m>
      <n v="133" in="0">
        <tpls c="3">
          <tpl fld="0" item="0"/>
          <tpl fld="1" item="106"/>
          <tpl fld="4" item="23"/>
        </tpls>
      </n>
      <m in="0">
        <tpls c="3">
          <tpl fld="0" item="0"/>
          <tpl fld="1" item="428"/>
          <tpl fld="4" item="27"/>
        </tpls>
      </m>
      <m in="0">
        <tpls c="3">
          <tpl fld="0" item="0"/>
          <tpl fld="1" item="413"/>
          <tpl fld="4" item="29"/>
        </tpls>
      </m>
      <m in="0">
        <tpls c="3">
          <tpl fld="0" item="0"/>
          <tpl fld="1" item="154"/>
          <tpl fld="4" item="32"/>
        </tpls>
      </m>
      <m in="0">
        <tpls c="3">
          <tpl fld="0" item="0"/>
          <tpl fld="1" item="64"/>
          <tpl fld="4" item="31"/>
        </tpls>
      </m>
      <n v="6" in="0">
        <tpls c="3">
          <tpl fld="0" item="0"/>
          <tpl fld="1" item="331"/>
          <tpl fld="4" item="31"/>
        </tpls>
      </n>
      <m in="0">
        <tpls c="3">
          <tpl fld="0" item="0"/>
          <tpl fld="1" item="323"/>
          <tpl fld="4" item="33"/>
        </tpls>
      </m>
      <m in="0">
        <tpls c="3">
          <tpl fld="0" item="0"/>
          <tpl fld="1" item="208"/>
          <tpl fld="4" item="30"/>
        </tpls>
      </m>
      <n v="4" in="0">
        <tpls c="3">
          <tpl fld="0" item="0"/>
          <tpl fld="1" item="159"/>
          <tpl fld="4" item="25"/>
        </tpls>
      </n>
      <m in="0">
        <tpls c="3">
          <tpl fld="0" item="0"/>
          <tpl fld="1" item="156"/>
          <tpl fld="4" item="26"/>
        </tpls>
      </m>
      <m in="0">
        <tpls c="3">
          <tpl fld="0" item="0"/>
          <tpl fld="1" item="354"/>
          <tpl fld="4" item="32"/>
        </tpls>
      </m>
      <m in="0">
        <tpls c="3">
          <tpl fld="0" item="0"/>
          <tpl fld="1" item="61"/>
          <tpl fld="4" item="31"/>
        </tpls>
      </m>
      <m in="0">
        <tpls c="3">
          <tpl fld="0" item="0"/>
          <tpl fld="1" item="247"/>
          <tpl fld="4" item="31"/>
        </tpls>
      </m>
      <m in="0">
        <tpls c="3">
          <tpl fld="0" item="0"/>
          <tpl fld="1" item="208"/>
          <tpl fld="4" item="33"/>
        </tpls>
      </m>
      <n v="2" in="0">
        <tpls c="3">
          <tpl fld="0" item="0"/>
          <tpl fld="1" item="117"/>
          <tpl fld="4" item="30"/>
        </tpls>
      </n>
      <n v="13" in="0">
        <tpls c="3">
          <tpl fld="0" item="0"/>
          <tpl fld="1" item="189"/>
          <tpl fld="4" item="29"/>
        </tpls>
      </n>
      <m in="0">
        <tpls c="3">
          <tpl fld="0" item="0"/>
          <tpl fld="1" item="353"/>
          <tpl fld="4" item="24"/>
        </tpls>
      </m>
      <m in="0">
        <tpls c="3">
          <tpl fld="0" item="0"/>
          <tpl fld="1" item="133"/>
          <tpl fld="4" item="31"/>
        </tpls>
      </m>
      <m in="0">
        <tpls c="3">
          <tpl fld="0" item="0"/>
          <tpl fld="1" item="341"/>
          <tpl fld="4" item="31"/>
        </tpls>
      </m>
      <m in="0">
        <tpls c="3">
          <tpl fld="0" item="0"/>
          <tpl fld="1" item="417"/>
          <tpl fld="4" item="32"/>
        </tpls>
      </m>
      <m in="0">
        <tpls c="3">
          <tpl fld="0" item="0"/>
          <tpl fld="1" item="58"/>
          <tpl fld="4" item="1"/>
        </tpls>
      </m>
      <n v="334" in="0">
        <tpls c="3">
          <tpl fld="0" item="0"/>
          <tpl fld="1" item="256"/>
          <tpl fld="4" item="25"/>
        </tpls>
      </n>
      <n v="35" in="0">
        <tpls c="3">
          <tpl fld="0" item="0"/>
          <tpl fld="1" item="173"/>
          <tpl fld="4" item="27"/>
        </tpls>
      </n>
      <m in="0">
        <tpls c="3">
          <tpl fld="0" item="0"/>
          <tpl fld="1" item="407"/>
          <tpl fld="4" item="24"/>
        </tpls>
      </m>
      <m in="0">
        <tpls c="3">
          <tpl fld="0" item="0"/>
          <tpl fld="1" item="190"/>
          <tpl fld="4" item="29"/>
        </tpls>
      </m>
      <m in="0">
        <tpls c="3">
          <tpl fld="0" item="0"/>
          <tpl fld="1" item="253"/>
          <tpl fld="4" item="17"/>
        </tpls>
      </m>
      <n v="9" in="0">
        <tpls c="3">
          <tpl fld="0" item="0"/>
          <tpl fld="1" item="79"/>
          <tpl fld="4" item="29"/>
        </tpls>
      </n>
      <m in="0">
        <tpls c="3">
          <tpl fld="0" item="0"/>
          <tpl fld="1" item="66"/>
          <tpl fld="4" item="29"/>
        </tpls>
      </m>
      <m in="0">
        <tpls c="3">
          <tpl fld="0" item="0"/>
          <tpl fld="1" item="340"/>
          <tpl fld="4" item="22"/>
        </tpls>
      </m>
      <m in="0">
        <tpls c="3">
          <tpl fld="0" item="0"/>
          <tpl fld="1" item="91"/>
          <tpl fld="4" item="26"/>
        </tpls>
      </m>
      <m in="0">
        <tpls c="3">
          <tpl fld="0" item="0"/>
          <tpl fld="1" item="157"/>
          <tpl fld="4" item="26"/>
        </tpls>
      </m>
      <m in="0">
        <tpls c="3">
          <tpl fld="0" item="0"/>
          <tpl fld="1" item="272"/>
          <tpl fld="4" item="25"/>
        </tpls>
      </m>
      <n v="8" in="0">
        <tpls c="3">
          <tpl fld="0" item="0"/>
          <tpl fld="1" item="0"/>
          <tpl fld="4" item="17"/>
        </tpls>
      </n>
      <m in="0">
        <tpls c="3">
          <tpl fld="0" item="0"/>
          <tpl fld="1" item="119"/>
          <tpl fld="4" item="26"/>
        </tpls>
      </m>
      <m in="0">
        <tpls c="3">
          <tpl fld="0" item="0"/>
          <tpl fld="1" item="190"/>
          <tpl fld="4" item="31"/>
        </tpls>
      </m>
      <n v="19" in="0">
        <tpls c="3">
          <tpl fld="0" item="0"/>
          <tpl fld="1" item="335"/>
          <tpl fld="4" item="23"/>
        </tpls>
      </n>
      <m in="0">
        <tpls c="3">
          <tpl fld="0" item="0"/>
          <tpl fld="1" item="392"/>
          <tpl fld="4" item="32"/>
        </tpls>
      </m>
      <m in="0">
        <tpls c="3">
          <tpl fld="0" item="0"/>
          <tpl fld="1" item="46"/>
          <tpl fld="4" item="30"/>
        </tpls>
      </m>
      <m in="0">
        <tpls c="3">
          <tpl fld="0" item="0"/>
          <tpl fld="1" item="355"/>
          <tpl fld="4" item="15"/>
        </tpls>
      </m>
      <m in="0">
        <tpls c="3">
          <tpl fld="0" item="0"/>
          <tpl fld="1" item="426"/>
          <tpl fld="4" item="26"/>
        </tpls>
      </m>
      <m in="0">
        <tpls c="3">
          <tpl fld="0" item="0"/>
          <tpl fld="1" item="342"/>
          <tpl fld="4" item="31"/>
        </tpls>
      </m>
      <m in="0">
        <tpls c="3">
          <tpl fld="0" item="0"/>
          <tpl fld="1" item="68"/>
          <tpl fld="4" item="31"/>
        </tpls>
      </m>
      <m in="0">
        <tpls c="3">
          <tpl fld="0" item="0"/>
          <tpl fld="1" item="441"/>
          <tpl fld="4" item="28"/>
        </tpls>
      </m>
      <m in="0">
        <tpls c="3">
          <tpl fld="0" item="0"/>
          <tpl fld="1" item="27"/>
          <tpl fld="4" item="33"/>
        </tpls>
      </m>
      <m in="0">
        <tpls c="3">
          <tpl fld="0" item="0"/>
          <tpl fld="1" item="257"/>
          <tpl fld="4" item="30"/>
        </tpls>
      </m>
      <m in="0">
        <tpls c="3">
          <tpl fld="0" item="0"/>
          <tpl fld="1" item="185"/>
          <tpl fld="4" item="28"/>
        </tpls>
      </m>
      <n v="10" in="0">
        <tpls c="3">
          <tpl fld="0" item="0"/>
          <tpl fld="1" item="178"/>
          <tpl fld="4" item="25"/>
        </tpls>
      </n>
      <m in="0">
        <tpls c="3">
          <tpl fld="0" item="0"/>
          <tpl fld="1" item="26"/>
          <tpl fld="4" item="32"/>
        </tpls>
      </m>
      <m in="0">
        <tpls c="3">
          <tpl fld="0" item="0"/>
          <tpl fld="1" item="355"/>
          <tpl fld="4" item="23"/>
        </tpls>
      </m>
      <n v="2" in="0">
        <tpls c="3">
          <tpl fld="0" item="0"/>
          <tpl fld="1" item="126"/>
          <tpl fld="4" item="22"/>
        </tpls>
      </n>
      <n v="3" in="0">
        <tpls c="3">
          <tpl fld="0" item="0"/>
          <tpl fld="1" item="420"/>
          <tpl fld="4" item="33"/>
        </tpls>
      </n>
      <m in="0">
        <tpls c="3">
          <tpl fld="0" item="0"/>
          <tpl fld="1" item="156"/>
          <tpl fld="4" item="17"/>
        </tpls>
      </m>
      <m in="0">
        <tpls c="3">
          <tpl fld="0" item="0"/>
          <tpl fld="1" item="371"/>
          <tpl fld="4" item="26"/>
        </tpls>
      </m>
      <m in="0">
        <tpls c="3">
          <tpl fld="0" item="0"/>
          <tpl fld="1" item="412"/>
          <tpl fld="4" item="29"/>
        </tpls>
      </m>
      <n v="2" in="0">
        <tpls c="3">
          <tpl fld="0" item="0"/>
          <tpl fld="1" item="89"/>
          <tpl fld="4" item="26"/>
        </tpls>
      </n>
      <m in="0">
        <tpls c="3">
          <tpl fld="0" item="0"/>
          <tpl fld="1" item="60"/>
          <tpl fld="4" item="28"/>
        </tpls>
      </m>
      <m in="0">
        <tpls c="3">
          <tpl fld="0" item="0"/>
          <tpl fld="1" item="143"/>
          <tpl fld="4" item="18"/>
        </tpls>
      </m>
      <n v="38" in="0">
        <tpls c="3">
          <tpl fld="0" item="0"/>
          <tpl fld="1" item="183"/>
          <tpl fld="4" item="17"/>
        </tpls>
      </n>
      <n v="70" in="0">
        <tpls c="3">
          <tpl fld="0" item="0"/>
          <tpl fld="1" item="456"/>
          <tpl fld="4" item="25"/>
        </tpls>
      </n>
      <n v="18" in="0">
        <tpls c="3">
          <tpl fld="0" item="0"/>
          <tpl fld="1" item="49"/>
          <tpl fld="4" item="28"/>
        </tpls>
      </n>
      <m in="0">
        <tpls c="3">
          <tpl fld="0" item="0"/>
          <tpl fld="1" item="119"/>
          <tpl fld="4" item="23"/>
        </tpls>
      </m>
      <n v="3183" in="0">
        <tpls c="3">
          <tpl fld="0" item="0"/>
          <tpl fld="1" item="380"/>
          <tpl fld="4" item="23"/>
        </tpls>
      </n>
      <n v="24" in="0">
        <tpls c="3">
          <tpl fld="0" item="0"/>
          <tpl fld="1" item="280"/>
          <tpl fld="4" item="27"/>
        </tpls>
      </n>
      <n v="11" in="0">
        <tpls c="3">
          <tpl fld="0" item="0"/>
          <tpl fld="1" item="315"/>
          <tpl fld="4" item="27"/>
        </tpls>
      </n>
      <m in="0">
        <tpls c="3">
          <tpl fld="0" item="0"/>
          <tpl fld="1" item="78"/>
          <tpl fld="4" item="22"/>
        </tpls>
      </m>
      <m in="0">
        <tpls c="3">
          <tpl fld="0" item="0"/>
          <tpl fld="1" item="180"/>
          <tpl fld="4" item="26"/>
        </tpls>
      </m>
      <m in="0">
        <tpls c="3">
          <tpl fld="0" item="0"/>
          <tpl fld="1" item="292"/>
          <tpl fld="4" item="15"/>
        </tpls>
      </m>
      <m in="0">
        <tpls c="3">
          <tpl fld="0" item="0"/>
          <tpl fld="1" item="73"/>
          <tpl fld="4" item="28"/>
        </tpls>
      </m>
      <m in="0">
        <tpls c="3">
          <tpl fld="0" item="0"/>
          <tpl fld="1" item="359"/>
          <tpl fld="4" item="26"/>
        </tpls>
      </m>
      <n v="18" in="0">
        <tpls c="3">
          <tpl fld="0" item="0"/>
          <tpl fld="1" item="264"/>
          <tpl fld="4" item="28"/>
        </tpls>
      </n>
      <n v="4" in="0">
        <tpls c="3">
          <tpl fld="0" item="0"/>
          <tpl fld="1" item="18"/>
          <tpl fld="4" item="22"/>
        </tpls>
      </n>
      <m in="0">
        <tpls c="3">
          <tpl fld="0" item="0"/>
          <tpl fld="1" item="102"/>
          <tpl fld="4" item="19"/>
        </tpls>
      </m>
      <n v="23" in="0">
        <tpls c="3">
          <tpl fld="0" item="0"/>
          <tpl fld="1" item="62"/>
          <tpl fld="4" item="15"/>
        </tpls>
      </n>
      <n v="14" in="0">
        <tpls c="3">
          <tpl fld="0" item="0"/>
          <tpl fld="1" item="383"/>
          <tpl fld="4" item="23"/>
        </tpls>
      </n>
      <n v="41" in="0">
        <tpls c="3">
          <tpl fld="0" item="0"/>
          <tpl fld="1" item="405"/>
          <tpl fld="4" item="27"/>
        </tpls>
      </n>
      <m in="0">
        <tpls c="3">
          <tpl fld="0" item="0"/>
          <tpl fld="1" item="112"/>
          <tpl fld="4" item="26"/>
        </tpls>
      </m>
      <m in="0">
        <tpls c="3">
          <tpl fld="0" item="0"/>
          <tpl fld="1" item="46"/>
          <tpl fld="4" item="26"/>
        </tpls>
      </m>
      <n v="1" in="0">
        <tpls c="3">
          <tpl fld="0" item="0"/>
          <tpl fld="1" item="403"/>
          <tpl fld="4" item="26"/>
        </tpls>
      </n>
      <m in="0">
        <tpls c="3">
          <tpl fld="0" item="0"/>
          <tpl fld="1" item="295"/>
          <tpl fld="4" item="21"/>
        </tpls>
      </m>
      <m in="0">
        <tpls c="3">
          <tpl fld="0" item="0"/>
          <tpl fld="1" item="98"/>
          <tpl fld="4" item="27"/>
        </tpls>
      </m>
      <m in="0">
        <tpls c="3">
          <tpl fld="0" item="0"/>
          <tpl fld="1" item="1"/>
          <tpl fld="4" item="22"/>
        </tpls>
      </m>
      <n v="5" in="0">
        <tpls c="3">
          <tpl fld="0" item="0"/>
          <tpl fld="1" item="360"/>
          <tpl fld="4" item="26"/>
        </tpls>
      </n>
      <m in="0">
        <tpls c="3">
          <tpl fld="0" item="0"/>
          <tpl fld="1" item="448"/>
          <tpl fld="4" item="24"/>
        </tpls>
      </m>
      <m in="0">
        <tpls c="3">
          <tpl fld="0" item="0"/>
          <tpl fld="1" item="340"/>
          <tpl fld="4" item="24"/>
        </tpls>
      </m>
      <n v="39" in="0">
        <tpls c="3">
          <tpl fld="0" item="0"/>
          <tpl fld="1" item="82"/>
          <tpl fld="4" item="17"/>
        </tpls>
      </n>
      <m in="0">
        <tpls c="3">
          <tpl fld="0" item="0"/>
          <tpl fld="1" item="388"/>
          <tpl fld="4" item="13"/>
        </tpls>
      </m>
      <n v="3" in="0">
        <tpls c="3">
          <tpl fld="0" item="0"/>
          <tpl fld="1" item="444"/>
          <tpl fld="4" item="13"/>
        </tpls>
      </n>
      <n v="59" in="0">
        <tpls c="3">
          <tpl fld="0" item="0"/>
          <tpl fld="1" item="199"/>
          <tpl fld="4" item="27"/>
        </tpls>
      </n>
      <n v="14" in="0">
        <tpls c="3">
          <tpl fld="0" item="0"/>
          <tpl fld="1" item="49"/>
          <tpl fld="4" item="22"/>
        </tpls>
      </n>
      <m in="0">
        <tpls c="3">
          <tpl fld="0" item="0"/>
          <tpl fld="1" item="389"/>
          <tpl fld="4" item="25"/>
        </tpls>
      </m>
      <m in="0">
        <tpls c="3">
          <tpl fld="0" item="0"/>
          <tpl fld="1" item="423"/>
          <tpl fld="4" item="24"/>
        </tpls>
      </m>
      <n v="10" in="0">
        <tpls c="3">
          <tpl fld="0" item="0"/>
          <tpl fld="1" item="301"/>
          <tpl fld="4" item="24"/>
        </tpls>
      </n>
      <n v="5" in="0">
        <tpls c="3">
          <tpl fld="0" item="0"/>
          <tpl fld="1" item="395"/>
          <tpl fld="4" item="21"/>
        </tpls>
      </n>
      <m in="0">
        <tpls c="3">
          <tpl fld="0" item="0"/>
          <tpl fld="1" item="421"/>
          <tpl fld="4" item="17"/>
        </tpls>
      </m>
      <n v="15" in="0">
        <tpls c="3">
          <tpl fld="0" item="0"/>
          <tpl fld="1" item="215"/>
          <tpl fld="4" item="26"/>
        </tpls>
      </n>
      <n v="15" in="0">
        <tpls c="3">
          <tpl fld="0" item="0"/>
          <tpl fld="1" item="323"/>
          <tpl fld="4" item="29"/>
        </tpls>
      </n>
      <m in="0">
        <tpls c="3">
          <tpl fld="0" item="0"/>
          <tpl fld="1" item="423"/>
          <tpl fld="4" item="26"/>
        </tpls>
      </m>
      <m in="0">
        <tpls c="3">
          <tpl fld="0" item="0"/>
          <tpl fld="1" item="393"/>
          <tpl fld="4" item="28"/>
        </tpls>
      </m>
      <m in="0">
        <tpls c="3">
          <tpl fld="0" item="0"/>
          <tpl fld="1" item="213"/>
          <tpl fld="4" item="17"/>
        </tpls>
      </m>
      <n v="33" in="0">
        <tpls c="3">
          <tpl fld="0" item="0"/>
          <tpl fld="1" item="141"/>
          <tpl fld="4" item="17"/>
        </tpls>
      </n>
      <m in="0">
        <tpls c="3">
          <tpl fld="0" item="0"/>
          <tpl fld="1" item="440"/>
          <tpl fld="4" item="24"/>
        </tpls>
      </m>
      <m in="0">
        <tpls c="3">
          <tpl fld="0" item="0"/>
          <tpl fld="1" item="310"/>
          <tpl fld="4" item="28"/>
        </tpls>
      </m>
      <n v="247" in="0">
        <tpls c="3">
          <tpl fld="0" item="0"/>
          <tpl fld="1" item="139"/>
          <tpl fld="4" item="23"/>
        </tpls>
      </n>
      <n v="176" in="0">
        <tpls c="3">
          <tpl fld="0" item="0"/>
          <tpl fld="1" item="9"/>
          <tpl fld="4" item="23"/>
        </tpls>
      </n>
      <n v="2" in="0">
        <tpls c="3">
          <tpl fld="0" item="0"/>
          <tpl fld="1" item="25"/>
          <tpl fld="4" item="29"/>
        </tpls>
      </n>
      <m in="0">
        <tpls c="3">
          <tpl fld="0" item="0"/>
          <tpl fld="1" item="34"/>
          <tpl fld="4" item="29"/>
        </tpls>
      </m>
      <m in="0">
        <tpls c="3">
          <tpl fld="0" item="0"/>
          <tpl fld="1" item="245"/>
          <tpl fld="4" item="28"/>
        </tpls>
      </m>
      <m in="0">
        <tpls c="3">
          <tpl fld="0" item="0"/>
          <tpl fld="1" item="142"/>
          <tpl fld="4" item="32"/>
        </tpls>
      </m>
      <m in="0">
        <tpls c="3">
          <tpl fld="0" item="0"/>
          <tpl fld="1" item="439"/>
          <tpl fld="4" item="24"/>
        </tpls>
      </m>
      <m in="0">
        <tpls c="3">
          <tpl fld="0" item="0"/>
          <tpl fld="1" item="282"/>
          <tpl fld="4" item="31"/>
        </tpls>
      </m>
      <m in="0">
        <tpls c="3">
          <tpl fld="0" item="0"/>
          <tpl fld="1" item="270"/>
          <tpl fld="4" item="33"/>
        </tpls>
      </m>
      <m in="0">
        <tpls c="3">
          <tpl fld="0" item="0"/>
          <tpl fld="1" item="263"/>
          <tpl fld="4" item="30"/>
        </tpls>
      </m>
      <m in="0">
        <tpls c="3">
          <tpl fld="0" item="0"/>
          <tpl fld="1" item="224"/>
          <tpl fld="4" item="27"/>
        </tpls>
      </m>
      <m in="0">
        <tpls c="3">
          <tpl fld="0" item="0"/>
          <tpl fld="1" item="399"/>
          <tpl fld="4" item="32"/>
        </tpls>
      </m>
      <m in="0">
        <tpls c="3">
          <tpl fld="0" item="0"/>
          <tpl fld="1" item="325"/>
          <tpl fld="4" item="31"/>
        </tpls>
      </m>
      <m in="0">
        <tpls c="3">
          <tpl fld="0" item="0"/>
          <tpl fld="1" item="76"/>
          <tpl fld="4" item="23"/>
        </tpls>
      </m>
      <m in="0">
        <tpls c="3">
          <tpl fld="0" item="0"/>
          <tpl fld="1" item="110"/>
          <tpl fld="4" item="33"/>
        </tpls>
      </m>
      <m in="0">
        <tpls c="3">
          <tpl fld="0" item="0"/>
          <tpl fld="1" item="187"/>
          <tpl fld="4" item="30"/>
        </tpls>
      </m>
      <n v="60" in="0">
        <tpls c="3">
          <tpl fld="0" item="0"/>
          <tpl fld="1" item="367"/>
          <tpl fld="4" item="24"/>
        </tpls>
      </n>
      <n v="4" in="0">
        <tpls c="3">
          <tpl fld="0" item="0"/>
          <tpl fld="1" item="202"/>
          <tpl fld="4" item="31"/>
        </tpls>
      </n>
      <n v="9" in="0">
        <tpls c="3">
          <tpl fld="0" item="0"/>
          <tpl fld="1" item="402"/>
          <tpl fld="4" item="29"/>
        </tpls>
      </n>
      <m in="0">
        <tpls c="3">
          <tpl fld="0" item="0"/>
          <tpl fld="1" item="292"/>
          <tpl fld="4" item="26"/>
        </tpls>
      </m>
      <n v="2" in="0">
        <tpls c="3">
          <tpl fld="0" item="0"/>
          <tpl fld="1" item="332"/>
          <tpl fld="4" item="21"/>
        </tpls>
      </n>
      <n v="304" in="0">
        <tpls c="3">
          <tpl fld="0" item="0"/>
          <tpl fld="1" item="415"/>
          <tpl fld="4" item="23"/>
        </tpls>
      </n>
      <n v="1" in="0">
        <tpls c="3">
          <tpl fld="0" item="0"/>
          <tpl fld="1" item="184"/>
          <tpl fld="4" item="26"/>
        </tpls>
      </n>
      <m in="0">
        <tpls c="3">
          <tpl fld="0" item="0"/>
          <tpl fld="1" item="338"/>
          <tpl fld="4" item="23"/>
        </tpls>
      </m>
      <n v="38" in="0">
        <tpls c="3">
          <tpl fld="0" item="0"/>
          <tpl fld="1" item="68"/>
          <tpl fld="4" item="22"/>
        </tpls>
      </n>
      <n v="18" in="0">
        <tpls c="3">
          <tpl fld="0" item="0"/>
          <tpl fld="1" item="186"/>
          <tpl fld="4" item="14"/>
        </tpls>
      </n>
      <m in="0">
        <tpls c="3">
          <tpl fld="0" item="0"/>
          <tpl fld="1" item="273"/>
          <tpl fld="4" item="6"/>
        </tpls>
      </m>
      <n v="11" in="0">
        <tpls c="3">
          <tpl fld="0" item="0"/>
          <tpl fld="1" item="129"/>
          <tpl fld="4" item="27"/>
        </tpls>
      </n>
      <n v="3" in="0">
        <tpls c="3">
          <tpl fld="0" item="0"/>
          <tpl fld="1" item="419"/>
          <tpl fld="4" item="22"/>
        </tpls>
      </n>
      <m in="0">
        <tpls c="3">
          <tpl fld="0" item="0"/>
          <tpl fld="1" item="405"/>
          <tpl fld="4" item="26"/>
        </tpls>
      </m>
      <n v="18" in="0">
        <tpls c="3">
          <tpl fld="0" item="0"/>
          <tpl fld="1" item="126"/>
          <tpl fld="4" item="24"/>
        </tpls>
      </n>
      <n v="79" in="0">
        <tpls c="3">
          <tpl fld="0" item="0"/>
          <tpl fld="1" item="279"/>
          <tpl fld="4" item="24"/>
        </tpls>
      </n>
      <m in="0">
        <tpls c="3">
          <tpl fld="0" item="0"/>
          <tpl fld="1" item="423"/>
          <tpl fld="4" item="17"/>
        </tpls>
      </m>
      <n v="5" in="0">
        <tpls c="3">
          <tpl fld="0" item="0"/>
          <tpl fld="1" item="298"/>
          <tpl fld="4" item="25"/>
        </tpls>
      </n>
      <n v="60" in="0">
        <tpls c="3">
          <tpl fld="0" item="0"/>
          <tpl fld="1" item="275"/>
          <tpl fld="4" item="24"/>
        </tpls>
      </n>
      <n v="396" in="0">
        <tpls c="3">
          <tpl fld="0" item="0"/>
          <tpl fld="1" item="365"/>
          <tpl fld="4" item="27"/>
        </tpls>
      </n>
      <m in="0">
        <tpls c="3">
          <tpl fld="0" item="0"/>
          <tpl fld="1" item="346"/>
          <tpl fld="4" item="24"/>
        </tpls>
      </m>
      <m in="0">
        <tpls c="3">
          <tpl fld="0" item="0"/>
          <tpl fld="1" item="373"/>
          <tpl fld="4" item="24"/>
        </tpls>
      </m>
      <m in="0">
        <tpls c="3">
          <tpl fld="0" item="0"/>
          <tpl fld="1" item="58"/>
          <tpl fld="4" item="33"/>
        </tpls>
      </m>
      <m in="0">
        <tpls c="3">
          <tpl fld="0" item="0"/>
          <tpl fld="1" item="317"/>
          <tpl fld="4" item="30"/>
        </tpls>
      </m>
      <n v="213" in="0">
        <tpls c="3">
          <tpl fld="0" item="0"/>
          <tpl fld="1" item="101"/>
          <tpl fld="4" item="23"/>
        </tpls>
      </n>
      <m in="0">
        <tpls c="3">
          <tpl fld="0" item="0"/>
          <tpl fld="1" item="1"/>
          <tpl fld="4" item="24"/>
        </tpls>
      </m>
      <n v="113" in="0">
        <tpls c="3">
          <tpl fld="0" item="0"/>
          <tpl fld="1" item="329"/>
          <tpl fld="4" item="25"/>
        </tpls>
      </n>
      <n v="11" in="0">
        <tpls c="3">
          <tpl fld="0" item="0"/>
          <tpl fld="1" item="16"/>
          <tpl fld="4" item="24"/>
        </tpls>
      </n>
      <m in="0">
        <tpls c="3">
          <tpl fld="0" item="0"/>
          <tpl fld="1" item="124"/>
          <tpl fld="4" item="32"/>
        </tpls>
      </m>
      <m in="0">
        <tpls c="3">
          <tpl fld="0" item="0"/>
          <tpl fld="1" item="46"/>
          <tpl fld="4" item="33"/>
        </tpls>
      </m>
      <n v="2" in="0">
        <tpls c="3">
          <tpl fld="0" item="0"/>
          <tpl fld="1" item="68"/>
          <tpl fld="4" item="30"/>
        </tpls>
      </n>
      <m in="0">
        <tpls c="3">
          <tpl fld="0" item="0"/>
          <tpl fld="1" item="154"/>
          <tpl fld="4" item="26"/>
        </tpls>
      </m>
      <n v="27" in="0">
        <tpls c="3">
          <tpl fld="0" item="0"/>
          <tpl fld="1" item="285"/>
          <tpl fld="4" item="24"/>
        </tpls>
      </n>
      <n v="44" in="0">
        <tpls c="3">
          <tpl fld="0" item="0"/>
          <tpl fld="1" item="9"/>
          <tpl fld="4" item="24"/>
        </tpls>
      </n>
      <m in="0">
        <tpls c="3">
          <tpl fld="0" item="0"/>
          <tpl fld="1" item="380"/>
          <tpl fld="4" item="32"/>
        </tpls>
      </m>
      <m in="0">
        <tpls c="3">
          <tpl fld="0" item="0"/>
          <tpl fld="1" item="69"/>
          <tpl fld="4" item="32"/>
        </tpls>
      </m>
      <n v="6" in="0">
        <tpls c="3">
          <tpl fld="0" item="0"/>
          <tpl fld="1" item="202"/>
          <tpl fld="4" item="33"/>
        </tpls>
      </n>
      <m in="0">
        <tpls c="3">
          <tpl fld="0" item="0"/>
          <tpl fld="1" item="115"/>
          <tpl fld="4" item="23"/>
        </tpls>
      </m>
      <m in="0">
        <tpls c="3">
          <tpl fld="0" item="0"/>
          <tpl fld="1" item="93"/>
          <tpl fld="4" item="21"/>
        </tpls>
      </m>
      <m in="0">
        <tpls c="3">
          <tpl fld="0" item="0"/>
          <tpl fld="1" item="171"/>
          <tpl fld="4" item="22"/>
        </tpls>
      </m>
      <n v="33" in="0">
        <tpls c="3">
          <tpl fld="0" item="0"/>
          <tpl fld="1" item="454"/>
          <tpl fld="4" item="24"/>
        </tpls>
      </n>
      <n v="5" in="0">
        <tpls c="3">
          <tpl fld="0" item="0"/>
          <tpl fld="1" item="58"/>
          <tpl fld="4" item="29"/>
        </tpls>
      </n>
      <n v="206" in="0">
        <tpls c="3">
          <tpl fld="0" item="0"/>
          <tpl fld="1" item="348"/>
          <tpl fld="4" item="20"/>
        </tpls>
      </n>
      <m in="0">
        <tpls c="3">
          <tpl fld="0" item="0"/>
          <tpl fld="1" item="375"/>
          <tpl fld="4" item="15"/>
        </tpls>
      </m>
      <n v="12" in="0">
        <tpls c="3">
          <tpl fld="0" item="0"/>
          <tpl fld="1" item="367"/>
          <tpl fld="4" item="28"/>
        </tpls>
      </n>
      <n v="24" in="0">
        <tpls c="3">
          <tpl fld="0" item="0"/>
          <tpl fld="1" item="357"/>
          <tpl fld="4" item="23"/>
        </tpls>
      </n>
      <m in="0">
        <tpls c="3">
          <tpl fld="0" item="0"/>
          <tpl fld="1" item="394"/>
          <tpl fld="4" item="27"/>
        </tpls>
      </m>
      <n v="594" in="0">
        <tpls c="3">
          <tpl fld="0" item="0"/>
          <tpl fld="1" item="149"/>
          <tpl fld="4" item="27"/>
        </tpls>
      </n>
      <n v="634" in="0">
        <tpls c="3">
          <tpl fld="0" item="0"/>
          <tpl fld="1" item="111"/>
          <tpl fld="4" item="27"/>
        </tpls>
      </n>
      <m in="0">
        <tpls c="3">
          <tpl fld="0" item="0"/>
          <tpl fld="1" item="345"/>
          <tpl fld="4" item="22"/>
        </tpls>
      </m>
      <n v="13" in="0">
        <tpls c="3">
          <tpl fld="0" item="0"/>
          <tpl fld="1" item="129"/>
          <tpl fld="4" item="29"/>
        </tpls>
      </n>
      <n v="1016" in="0">
        <tpls c="3">
          <tpl fld="0" item="0"/>
          <tpl fld="1" item="202"/>
          <tpl fld="4" item="23"/>
        </tpls>
      </n>
      <m in="0">
        <tpls c="3">
          <tpl fld="0" item="0"/>
          <tpl fld="1" item="265"/>
          <tpl fld="4" item="25"/>
        </tpls>
      </m>
      <n v="5" in="0">
        <tpls c="3">
          <tpl fld="0" item="0"/>
          <tpl fld="1" item="207"/>
          <tpl fld="4" item="24"/>
        </tpls>
      </n>
      <m in="0">
        <tpls c="3">
          <tpl fld="0" item="0"/>
          <tpl fld="1" item="31"/>
          <tpl fld="4" item="33"/>
        </tpls>
      </m>
      <m in="0">
        <tpls c="3">
          <tpl fld="0" item="0"/>
          <tpl fld="1" item="269"/>
          <tpl fld="4" item="30"/>
        </tpls>
      </m>
      <n v="12" in="0">
        <tpls c="3">
          <tpl fld="0" item="0"/>
          <tpl fld="1" item="127"/>
          <tpl fld="4" item="25"/>
        </tpls>
      </n>
      <m in="0">
        <tpls c="3">
          <tpl fld="0" item="0"/>
          <tpl fld="1" item="261"/>
          <tpl fld="4" item="26"/>
        </tpls>
      </m>
      <n v="11" in="0">
        <tpls c="3">
          <tpl fld="0" item="0"/>
          <tpl fld="1" item="308"/>
          <tpl fld="4" item="24"/>
        </tpls>
      </n>
      <m in="0">
        <tpls c="3">
          <tpl fld="0" item="0"/>
          <tpl fld="1" item="433"/>
          <tpl fld="4" item="32"/>
        </tpls>
      </m>
      <m in="0">
        <tpls c="3">
          <tpl fld="0" item="0"/>
          <tpl fld="1" item="168"/>
          <tpl fld="4" item="33"/>
        </tpls>
      </m>
      <m in="0">
        <tpls c="3">
          <tpl fld="0" item="0"/>
          <tpl fld="1" item="396"/>
          <tpl fld="4" item="30"/>
        </tpls>
      </m>
      <m in="0">
        <tpls c="3">
          <tpl fld="0" item="0"/>
          <tpl fld="1" item="168"/>
          <tpl fld="4" item="21"/>
        </tpls>
      </m>
      <n v="12" in="0">
        <tpls c="3">
          <tpl fld="0" item="0"/>
          <tpl fld="1" item="212"/>
          <tpl fld="4" item="24"/>
        </tpls>
      </n>
      <m in="0">
        <tpls c="3">
          <tpl fld="0" item="0"/>
          <tpl fld="1" item="103"/>
          <tpl fld="4" item="32"/>
        </tpls>
      </m>
      <m in="0">
        <tpls c="3">
          <tpl fld="0" item="0"/>
          <tpl fld="1" item="287"/>
          <tpl fld="4" item="32"/>
        </tpls>
      </m>
      <m in="0">
        <tpls c="3">
          <tpl fld="0" item="0"/>
          <tpl fld="1" item="271"/>
          <tpl fld="4" item="28"/>
        </tpls>
      </m>
      <n v="62" in="0">
        <tpls c="3">
          <tpl fld="0" item="0"/>
          <tpl fld="1" item="242"/>
          <tpl fld="4" item="27"/>
        </tpls>
      </n>
      <n v="30" in="0">
        <tpls c="3">
          <tpl fld="0" item="0"/>
          <tpl fld="1" item="432"/>
          <tpl fld="4" item="23"/>
        </tpls>
      </n>
      <m in="0">
        <tpls c="3">
          <tpl fld="0" item="0"/>
          <tpl fld="1" item="70"/>
          <tpl fld="4" item="26"/>
        </tpls>
      </m>
      <n v="47" in="0">
        <tpls c="3">
          <tpl fld="0" item="0"/>
          <tpl fld="1" item="202"/>
          <tpl fld="4" item="28"/>
        </tpls>
      </n>
      <m in="0">
        <tpls c="3">
          <tpl fld="0" item="0"/>
          <tpl fld="1" item="96"/>
          <tpl fld="4" item="27"/>
        </tpls>
      </m>
      <m in="0">
        <tpls c="3">
          <tpl fld="0" item="0"/>
          <tpl fld="1" item="170"/>
          <tpl fld="4" item="21"/>
        </tpls>
      </m>
      <m in="0">
        <tpls c="3">
          <tpl fld="0" item="0"/>
          <tpl fld="1" item="186"/>
          <tpl fld="4" item="28"/>
        </tpls>
      </m>
      <n v="518" in="0">
        <tpls c="3">
          <tpl fld="0" item="0"/>
          <tpl fld="1" item="230"/>
          <tpl fld="4" item="23"/>
        </tpls>
      </n>
      <n v="4" in="0">
        <tpls c="3">
          <tpl fld="0" item="0"/>
          <tpl fld="1" item="283"/>
          <tpl fld="4" item="29"/>
        </tpls>
      </n>
      <m in="0">
        <tpls c="3">
          <tpl fld="0" item="0"/>
          <tpl fld="1" item="71"/>
          <tpl fld="4" item="22"/>
        </tpls>
      </m>
      <n v="3" in="0">
        <tpls c="3">
          <tpl fld="0" item="0"/>
          <tpl fld="1" item="38"/>
          <tpl fld="4" item="22"/>
        </tpls>
      </n>
      <n v="36" in="0">
        <tpls c="3">
          <tpl fld="0" item="0"/>
          <tpl fld="1" item="347"/>
          <tpl fld="4" item="22"/>
        </tpls>
      </n>
      <m in="0">
        <tpls c="3">
          <tpl fld="0" item="0"/>
          <tpl fld="1" item="229"/>
          <tpl fld="4" item="26"/>
        </tpls>
      </m>
      <m in="0">
        <tpls c="3">
          <tpl fld="0" item="0"/>
          <tpl fld="1" item="423"/>
          <tpl fld="4" item="23"/>
        </tpls>
      </m>
      <n v="66" in="0">
        <tpls c="3">
          <tpl fld="0" item="0"/>
          <tpl fld="1" item="354"/>
          <tpl fld="4" item="24"/>
        </tpls>
      </n>
      <m in="0">
        <tpls c="3">
          <tpl fld="0" item="0"/>
          <tpl fld="1" item="372"/>
          <tpl fld="4" item="32"/>
        </tpls>
      </m>
      <m in="0">
        <tpls c="3">
          <tpl fld="0" item="0"/>
          <tpl fld="1" item="176"/>
          <tpl fld="4" item="32"/>
        </tpls>
      </m>
      <m in="0">
        <tpls c="3">
          <tpl fld="0" item="0"/>
          <tpl fld="1" item="48"/>
          <tpl fld="4" item="33"/>
        </tpls>
      </m>
      <m in="0">
        <tpls c="3">
          <tpl fld="0" item="0"/>
          <tpl fld="1" item="5"/>
          <tpl fld="4" item="13"/>
        </tpls>
      </m>
      <n v="80" in="0">
        <tpls c="3">
          <tpl fld="0" item="0"/>
          <tpl fld="1" item="277"/>
          <tpl fld="4" item="27"/>
        </tpls>
      </n>
      <m in="0">
        <tpls c="3">
          <tpl fld="0" item="0"/>
          <tpl fld="1" item="299"/>
          <tpl fld="4" item="32"/>
        </tpls>
      </m>
      <m in="0">
        <tpls c="3">
          <tpl fld="0" item="0"/>
          <tpl fld="1" item="166"/>
          <tpl fld="4" item="31"/>
        </tpls>
      </m>
      <m in="0">
        <tpls c="3">
          <tpl fld="0" item="0"/>
          <tpl fld="3" item="0"/>
          <tpl fld="4" item="31"/>
        </tpls>
      </m>
      <n v="2" in="0">
        <tpls c="3">
          <tpl fld="0" item="0"/>
          <tpl fld="1" item="296"/>
          <tpl fld="4" item="33"/>
        </tpls>
      </n>
      <m in="0">
        <tpls c="3">
          <tpl fld="0" item="0"/>
          <tpl fld="1" item="345"/>
          <tpl fld="4" item="15"/>
        </tpls>
      </m>
      <m in="0">
        <tpls c="3">
          <tpl fld="0" item="0"/>
          <tpl fld="1" item="213"/>
          <tpl fld="4" item="22"/>
        </tpls>
      </m>
      <m in="0">
        <tpls c="3">
          <tpl fld="0" item="0"/>
          <tpl fld="1" item="343"/>
          <tpl fld="4" item="32"/>
        </tpls>
      </m>
      <m in="0">
        <tpls c="3">
          <tpl fld="0" item="0"/>
          <tpl fld="1" item="59"/>
          <tpl fld="4" item="31"/>
        </tpls>
      </m>
      <m in="0">
        <tpls c="3">
          <tpl fld="0" item="0"/>
          <tpl fld="1" item="304"/>
          <tpl fld="4" item="31"/>
        </tpls>
      </m>
      <n v="120" in="0">
        <tpls c="3">
          <tpl fld="0" item="0"/>
          <tpl fld="1" item="163"/>
          <tpl fld="4" item="25"/>
        </tpls>
      </n>
      <m in="0">
        <tpls c="3">
          <tpl fld="0" item="0"/>
          <tpl fld="1" item="125"/>
          <tpl fld="4" item="32"/>
        </tpls>
      </m>
      <m in="0">
        <tpls c="3">
          <tpl fld="0" item="0"/>
          <tpl fld="1" item="322"/>
          <tpl fld="4" item="31"/>
        </tpls>
      </m>
      <n v="143" in="0">
        <tpls c="3">
          <tpl fld="0" item="0"/>
          <tpl fld="1" item="32"/>
          <tpl fld="4" item="24"/>
        </tpls>
      </n>
      <m in="0">
        <tpls c="3">
          <tpl fld="0" item="0"/>
          <tpl fld="1" item="333"/>
          <tpl fld="4" item="33"/>
        </tpls>
      </m>
      <m in="0">
        <tpls c="3">
          <tpl fld="0" item="0"/>
          <tpl fld="1" item="282"/>
          <tpl fld="4" item="30"/>
        </tpls>
      </m>
      <m in="0">
        <tpls c="3">
          <tpl fld="0" item="0"/>
          <tpl fld="1" item="76"/>
          <tpl fld="4" item="34"/>
        </tpls>
      </m>
      <m in="0">
        <tpls c="3">
          <tpl fld="0" item="0"/>
          <tpl fld="1" item="40"/>
          <tpl fld="4" item="25"/>
        </tpls>
      </m>
      <m in="0">
        <tpls c="3">
          <tpl fld="0" item="0"/>
          <tpl fld="1" item="315"/>
          <tpl fld="4" item="32"/>
        </tpls>
      </m>
      <m in="0">
        <tpls c="3">
          <tpl fld="0" item="0"/>
          <tpl fld="1" item="239"/>
          <tpl fld="4" item="15"/>
        </tpls>
      </m>
      <m in="0">
        <tpls c="3">
          <tpl fld="0" item="0"/>
          <tpl fld="1" item="88"/>
          <tpl fld="4" item="22"/>
        </tpls>
      </m>
      <n v="320" in="0">
        <tpls c="3">
          <tpl fld="0" item="0"/>
          <tpl fld="1" item="262"/>
          <tpl fld="4" item="23"/>
        </tpls>
      </n>
      <n v="2" in="0">
        <tpls c="3">
          <tpl fld="0" item="0"/>
          <tpl fld="1" item="437"/>
          <tpl fld="4" item="22"/>
        </tpls>
      </n>
      <n v="1" in="0">
        <tpls c="3">
          <tpl fld="0" item="0"/>
          <tpl fld="1" item="343"/>
          <tpl fld="4" item="21"/>
        </tpls>
      </n>
      <m in="0">
        <tpls c="3">
          <tpl fld="0" item="0"/>
          <tpl fld="1" item="51"/>
          <tpl fld="4" item="16"/>
        </tpls>
      </m>
      <n v="117" in="0">
        <tpls c="3">
          <tpl fld="0" item="0"/>
          <tpl fld="1" item="33"/>
          <tpl fld="4" item="17"/>
        </tpls>
      </n>
      <m in="0">
        <tpls c="3">
          <tpl fld="0" item="0"/>
          <tpl fld="1" item="371"/>
          <tpl fld="4" item="25"/>
        </tpls>
      </m>
      <m in="0">
        <tpls c="3">
          <tpl fld="0" item="0"/>
          <tpl fld="1" item="152"/>
          <tpl fld="4" item="21"/>
        </tpls>
      </m>
      <n v="15" in="0">
        <tpls c="3">
          <tpl fld="0" item="0"/>
          <tpl fld="1" item="116"/>
          <tpl fld="4" item="23"/>
        </tpls>
      </n>
      <m in="0">
        <tpls c="3">
          <tpl fld="0" item="0"/>
          <tpl fld="1" item="257"/>
          <tpl fld="4" item="23"/>
        </tpls>
      </m>
      <n v="2345" in="0">
        <tpls c="3">
          <tpl fld="0" item="0"/>
          <tpl fld="1" item="324"/>
          <tpl fld="4" item="23"/>
        </tpls>
      </n>
      <n v="20" in="0">
        <tpls c="3">
          <tpl fld="0" item="0"/>
          <tpl fld="1" item="8"/>
          <tpl fld="4" item="29"/>
        </tpls>
      </n>
      <m in="0">
        <tpls c="3">
          <tpl fld="0" item="0"/>
          <tpl fld="1" item="446"/>
          <tpl fld="4" item="22"/>
        </tpls>
      </m>
      <n v="1" in="0">
        <tpls c="3">
          <tpl fld="0" item="0"/>
          <tpl fld="1" item="157"/>
          <tpl fld="4" item="24"/>
        </tpls>
      </n>
      <m in="0">
        <tpls c="3">
          <tpl fld="0" item="0"/>
          <tpl fld="1" item="369"/>
          <tpl fld="4" item="31"/>
        </tpls>
      </m>
      <n v="3" in="0">
        <tpls c="3">
          <tpl fld="0" item="0"/>
          <tpl fld="1" item="383"/>
          <tpl fld="4" item="28"/>
        </tpls>
      </n>
      <n v="2" in="0">
        <tpls c="3">
          <tpl fld="0" item="0"/>
          <tpl fld="1" item="182"/>
          <tpl fld="4" item="33"/>
        </tpls>
      </n>
      <n v="4" in="0">
        <tpls c="3">
          <tpl fld="0" item="0"/>
          <tpl fld="1" item="385"/>
          <tpl fld="4" item="30"/>
        </tpls>
      </n>
      <m in="0">
        <tpls c="3">
          <tpl fld="0" item="0"/>
          <tpl fld="1" item="231"/>
          <tpl fld="4" item="32"/>
        </tpls>
      </m>
      <m in="0">
        <tpls c="3">
          <tpl fld="0" item="0"/>
          <tpl fld="1" item="208"/>
          <tpl fld="4" item="32"/>
        </tpls>
      </m>
      <n v="12" in="0">
        <tpls c="3">
          <tpl fld="0" item="0"/>
          <tpl fld="1" item="168"/>
          <tpl fld="4" item="29"/>
        </tpls>
      </n>
      <m in="0">
        <tpls c="3">
          <tpl fld="0" item="0"/>
          <tpl fld="1" item="453"/>
          <tpl fld="4" item="32"/>
        </tpls>
      </m>
      <m in="0">
        <tpls c="3">
          <tpl fld="0" item="0"/>
          <tpl fld="1" item="237"/>
          <tpl fld="4" item="33"/>
        </tpls>
      </m>
      <m in="0">
        <tpls c="3">
          <tpl fld="0" item="0"/>
          <tpl fld="1" item="305"/>
          <tpl fld="4" item="30"/>
        </tpls>
      </m>
      <n v="32" in="0">
        <tpls c="3">
          <tpl fld="0" item="0"/>
          <tpl fld="1" item="305"/>
          <tpl fld="4" item="29"/>
        </tpls>
      </n>
      <m in="0">
        <tpls c="3">
          <tpl fld="0" item="0"/>
          <tpl fld="1" item="342"/>
          <tpl fld="4" item="32"/>
        </tpls>
      </m>
      <m in="0">
        <tpls c="3">
          <tpl fld="0" item="0"/>
          <tpl fld="1" item="436"/>
          <tpl fld="4" item="31"/>
        </tpls>
      </m>
      <m in="0">
        <tpls c="3">
          <tpl fld="0" item="0"/>
          <tpl fld="1" item="372"/>
          <tpl fld="4" item="28"/>
        </tpls>
      </m>
      <m in="0">
        <tpls c="3">
          <tpl fld="0" item="0"/>
          <tpl fld="1" item="241"/>
          <tpl fld="4" item="20"/>
        </tpls>
      </m>
      <n v="4" in="0">
        <tpls c="3">
          <tpl fld="0" item="0"/>
          <tpl fld="1" item="227"/>
          <tpl fld="4" item="28"/>
        </tpls>
      </n>
      <n v="3" in="0">
        <tpls c="3">
          <tpl fld="0" item="0"/>
          <tpl fld="1" item="382"/>
          <tpl fld="4" item="22"/>
        </tpls>
      </n>
      <m in="0">
        <tpls c="3">
          <tpl fld="0" item="0"/>
          <tpl fld="1" item="240"/>
          <tpl fld="4" item="28"/>
        </tpls>
      </m>
      <n v="6" in="0">
        <tpls c="3">
          <tpl fld="0" item="0"/>
          <tpl fld="1" item="359"/>
          <tpl fld="4" item="27"/>
        </tpls>
      </n>
      <n v="8" in="0">
        <tpls c="3">
          <tpl fld="0" item="0"/>
          <tpl fld="1" item="258"/>
          <tpl fld="4" item="21"/>
        </tpls>
      </n>
      <n v="20" in="0">
        <tpls c="3">
          <tpl fld="0" item="0"/>
          <tpl fld="1" item="126"/>
          <tpl fld="4" item="27"/>
        </tpls>
      </n>
      <m in="0">
        <tpls c="3">
          <tpl fld="0" item="0"/>
          <tpl fld="1" item="396"/>
          <tpl fld="4" item="27"/>
        </tpls>
      </m>
      <n v="2" in="0">
        <tpls c="3">
          <tpl fld="0" item="0"/>
          <tpl fld="1" item="209"/>
          <tpl fld="4" item="26"/>
        </tpls>
      </n>
      <m in="0">
        <tpls c="3">
          <tpl fld="0" item="0"/>
          <tpl fld="1" item="295"/>
          <tpl fld="4" item="25"/>
        </tpls>
      </m>
      <n v="15" in="0">
        <tpls c="3">
          <tpl fld="0" item="0"/>
          <tpl fld="1" item="359"/>
          <tpl fld="4" item="25"/>
        </tpls>
      </n>
      <n v="284" in="0">
        <tpls c="3">
          <tpl fld="0" item="0"/>
          <tpl fld="1" item="132"/>
          <tpl fld="4" item="24"/>
        </tpls>
      </n>
      <n v="5" in="0">
        <tpls c="3">
          <tpl fld="0" item="0"/>
          <tpl fld="1" item="178"/>
          <tpl fld="4" item="29"/>
        </tpls>
      </n>
      <n v="38" in="0">
        <tpls c="3">
          <tpl fld="0" item="0"/>
          <tpl fld="1" item="151"/>
          <tpl fld="4" item="25"/>
        </tpls>
      </n>
      <m in="0">
        <tpls c="3">
          <tpl fld="0" item="0"/>
          <tpl fld="1" item="13"/>
          <tpl fld="4" item="31"/>
        </tpls>
      </m>
      <n v="249" in="0">
        <tpls c="3">
          <tpl fld="0" item="0"/>
          <tpl fld="1" item="174"/>
          <tpl fld="4" item="27"/>
        </tpls>
      </n>
      <n v="476" in="0">
        <tpls c="3">
          <tpl fld="0" item="0"/>
          <tpl fld="1" item="99"/>
          <tpl fld="4" item="25"/>
        </tpls>
      </n>
      <m in="0">
        <tpls c="3">
          <tpl fld="0" item="0"/>
          <tpl fld="1" item="370"/>
          <tpl fld="4" item="33"/>
        </tpls>
      </m>
      <m in="0">
        <tpls c="3">
          <tpl fld="0" item="0"/>
          <tpl fld="1" item="344"/>
          <tpl fld="4" item="30"/>
        </tpls>
      </m>
      <m in="0">
        <tpls c="3">
          <tpl fld="0" item="0"/>
          <tpl fld="1" item="102"/>
          <tpl fld="4" item="26"/>
        </tpls>
      </m>
      <m in="0">
        <tpls c="3">
          <tpl fld="0" item="0"/>
          <tpl fld="1" item="6"/>
          <tpl fld="4" item="25"/>
        </tpls>
      </m>
      <m in="0">
        <tpls c="3">
          <tpl fld="0" item="0"/>
          <tpl fld="1" item="185"/>
          <tpl fld="4" item="29"/>
        </tpls>
      </m>
      <m in="0">
        <tpls c="3">
          <tpl fld="0" item="0"/>
          <tpl fld="1" item="31"/>
          <tpl fld="4" item="25"/>
        </tpls>
      </m>
      <n v="8" in="0">
        <tpls c="3">
          <tpl fld="0" item="0"/>
          <tpl fld="1" item="169"/>
          <tpl fld="4" item="24"/>
        </tpls>
      </n>
      <m in="0">
        <tpls c="3">
          <tpl fld="0" item="0"/>
          <tpl fld="1" item="274"/>
          <tpl fld="4" item="33"/>
        </tpls>
      </m>
      <m in="0">
        <tpls c="3">
          <tpl fld="0" item="0"/>
          <tpl fld="1" item="198"/>
          <tpl fld="4" item="30"/>
        </tpls>
      </m>
      <m in="0">
        <tpls c="3">
          <tpl fld="0" item="0"/>
          <tpl fld="1" item="252"/>
          <tpl fld="4" item="28"/>
        </tpls>
      </m>
      <n v="381" in="0">
        <tpls c="3">
          <tpl fld="0" item="0"/>
          <tpl fld="1" item="47"/>
          <tpl fld="4" item="24"/>
        </tpls>
      </n>
      <n v="22" in="0">
        <tpls c="3">
          <tpl fld="0" item="0"/>
          <tpl fld="1" item="183"/>
          <tpl fld="4" item="26"/>
        </tpls>
      </n>
      <n v="86" in="0">
        <tpls c="3">
          <tpl fld="0" item="0"/>
          <tpl fld="1" item="175"/>
          <tpl fld="4" item="24"/>
        </tpls>
      </n>
      <m in="0">
        <tpls c="3">
          <tpl fld="0" item="0"/>
          <tpl fld="1" item="181"/>
          <tpl fld="4" item="32"/>
        </tpls>
      </m>
      <n v="1" in="0">
        <tpls c="3">
          <tpl fld="0" item="0"/>
          <tpl fld="1" item="199"/>
          <tpl fld="4" item="33"/>
        </tpls>
      </n>
      <m in="0">
        <tpls c="3">
          <tpl fld="0" item="0"/>
          <tpl fld="1" item="302"/>
          <tpl fld="4" item="21"/>
        </tpls>
      </m>
      <n v="103" in="0">
        <tpls c="3">
          <tpl fld="0" item="0"/>
          <tpl fld="1" item="397"/>
          <tpl fld="4" item="25"/>
        </tpls>
      </n>
      <m in="0">
        <tpls c="3">
          <tpl fld="0" item="0"/>
          <tpl fld="1" item="210"/>
          <tpl fld="4" item="27"/>
        </tpls>
      </m>
      <m in="0">
        <tpls c="3">
          <tpl fld="0" item="0"/>
          <tpl fld="1" item="193"/>
          <tpl fld="4" item="25"/>
        </tpls>
      </m>
      <n v="39" in="0">
        <tpls c="3">
          <tpl fld="0" item="0"/>
          <tpl fld="1" item="372"/>
          <tpl fld="4" item="23"/>
        </tpls>
      </n>
      <m in="0">
        <tpls c="3">
          <tpl fld="0" item="0"/>
          <tpl fld="1" item="221"/>
          <tpl fld="4" item="20"/>
        </tpls>
      </m>
      <m in="0">
        <tpls c="3">
          <tpl fld="0" item="0"/>
          <tpl fld="1" item="1"/>
          <tpl fld="4" item="21"/>
        </tpls>
      </m>
      <m in="0">
        <tpls c="3">
          <tpl fld="0" item="0"/>
          <tpl fld="1" item="3"/>
          <tpl fld="4" item="17"/>
        </tpls>
      </m>
      <n v="456" in="0">
        <tpls c="3">
          <tpl fld="0" item="0"/>
          <tpl fld="1" item="80"/>
          <tpl fld="4" item="23"/>
        </tpls>
      </n>
      <n v="2" in="0">
        <tpls c="3">
          <tpl fld="0" item="0"/>
          <tpl fld="1" item="361"/>
          <tpl fld="4" item="29"/>
        </tpls>
      </n>
      <m in="0">
        <tpls c="3">
          <tpl fld="0" item="0"/>
          <tpl fld="1" item="268"/>
          <tpl fld="4" item="29"/>
        </tpls>
      </m>
      <n v="121" in="0">
        <tpls c="3">
          <tpl fld="0" item="0"/>
          <tpl fld="1" item="206"/>
          <tpl fld="4" item="29"/>
        </tpls>
      </n>
      <n v="2" in="0">
        <tpls c="3">
          <tpl fld="0" item="0"/>
          <tpl fld="1" item="205"/>
          <tpl fld="4" item="28"/>
        </tpls>
      </n>
      <m in="0">
        <tpls c="3">
          <tpl fld="0" item="0"/>
          <tpl fld="1" item="112"/>
          <tpl fld="4" item="17"/>
        </tpls>
      </m>
      <m in="0">
        <tpls c="3">
          <tpl fld="0" item="0"/>
          <tpl fld="1" item="301"/>
          <tpl fld="4" item="16"/>
        </tpls>
      </m>
      <m in="0">
        <tpls c="3">
          <tpl fld="0" item="0"/>
          <tpl fld="1" item="292"/>
          <tpl fld="4" item="17"/>
        </tpls>
      </m>
      <n v="149" in="0">
        <tpls c="3">
          <tpl fld="0" item="0"/>
          <tpl fld="1" item="420"/>
          <tpl fld="4" item="27"/>
        </tpls>
      </n>
      <n v="215" in="0">
        <tpls c="3">
          <tpl fld="0" item="0"/>
          <tpl fld="1" item="175"/>
          <tpl fld="4" item="20"/>
        </tpls>
      </n>
      <n v="191" in="0">
        <tpls c="3">
          <tpl fld="0" item="0"/>
          <tpl fld="1" item="330"/>
          <tpl fld="4" item="23"/>
        </tpls>
      </n>
      <n v="57" in="0">
        <tpls c="3">
          <tpl fld="0" item="0"/>
          <tpl fld="1" item="172"/>
          <tpl fld="4" item="25"/>
        </tpls>
      </n>
      <n v="13" in="0">
        <tpls c="3">
          <tpl fld="0" item="0"/>
          <tpl fld="1" item="175"/>
          <tpl fld="4" item="19"/>
        </tpls>
      </n>
      <m in="0">
        <tpls c="3">
          <tpl fld="0" item="0"/>
          <tpl fld="1" item="241"/>
          <tpl fld="4" item="21"/>
        </tpls>
      </m>
      <n v="137" in="0">
        <tpls c="3">
          <tpl fld="0" item="0"/>
          <tpl fld="1" item="418"/>
          <tpl fld="4" item="27"/>
        </tpls>
      </n>
      <n v="7" in="0">
        <tpls c="3">
          <tpl fld="0" item="0"/>
          <tpl fld="1" item="420"/>
          <tpl fld="4" item="26"/>
        </tpls>
      </n>
      <n v="42" in="0">
        <tpls c="3">
          <tpl fld="0" item="0"/>
          <tpl fld="1" item="291"/>
          <tpl fld="4" item="25"/>
        </tpls>
      </n>
      <n v="119" in="0">
        <tpls c="3">
          <tpl fld="0" item="0"/>
          <tpl fld="1" item="232"/>
          <tpl fld="4" item="25"/>
        </tpls>
      </n>
      <m in="0">
        <tpls c="3">
          <tpl fld="0" item="0"/>
          <tpl fld="1" item="378"/>
          <tpl fld="4" item="24"/>
        </tpls>
      </m>
      <m in="0">
        <tpls c="3">
          <tpl fld="0" item="0"/>
          <tpl fld="1" item="398"/>
          <tpl fld="4" item="20"/>
        </tpls>
      </m>
      <n v="22" in="0">
        <tpls c="3">
          <tpl fld="0" item="0"/>
          <tpl fld="1" item="82"/>
          <tpl fld="4" item="22"/>
        </tpls>
      </n>
      <n v="1" in="0">
        <tpls c="3">
          <tpl fld="0" item="0"/>
          <tpl fld="1" item="429"/>
          <tpl fld="4" item="26"/>
        </tpls>
      </n>
      <m in="0">
        <tpls c="3">
          <tpl fld="0" item="0"/>
          <tpl fld="1" item="278"/>
          <tpl fld="4" item="15"/>
        </tpls>
      </m>
      <m in="0">
        <tpls c="3">
          <tpl fld="0" item="0"/>
          <tpl fld="1" item="72"/>
          <tpl fld="4" item="17"/>
        </tpls>
      </m>
      <n v="2" in="0">
        <tpls c="3">
          <tpl fld="0" item="0"/>
          <tpl fld="1" item="403"/>
          <tpl fld="4" item="28"/>
        </tpls>
      </n>
      <n v="141" in="0">
        <tpls c="3">
          <tpl fld="0" item="0"/>
          <tpl fld="1" item="324"/>
          <tpl fld="4" item="28"/>
        </tpls>
      </n>
      <n v="4" in="0">
        <tpls c="3">
          <tpl fld="0" item="0"/>
          <tpl fld="1" item="180"/>
          <tpl fld="4" item="13"/>
        </tpls>
      </n>
      <n v="711" in="0">
        <tpls c="3">
          <tpl fld="0" item="0"/>
          <tpl fld="1" item="351"/>
          <tpl fld="4" item="20"/>
        </tpls>
      </n>
      <n v="13" in="0">
        <tpls c="3">
          <tpl fld="0" item="0"/>
          <tpl fld="1" item="364"/>
          <tpl fld="4" item="26"/>
        </tpls>
      </n>
      <m in="0">
        <tpls c="3">
          <tpl fld="0" item="0"/>
          <tpl fld="1" item="66"/>
          <tpl fld="4" item="26"/>
        </tpls>
      </m>
      <m in="0">
        <tpls c="3">
          <tpl fld="0" item="0"/>
          <tpl fld="1" item="113"/>
          <tpl fld="4" item="21"/>
        </tpls>
      </m>
      <m in="0">
        <tpls c="3">
          <tpl fld="0" item="0"/>
          <tpl fld="1" item="43"/>
          <tpl fld="4" item="21"/>
        </tpls>
      </m>
      <n v="22" in="0">
        <tpls c="3">
          <tpl fld="0" item="0"/>
          <tpl fld="1" item="364"/>
          <tpl fld="4" item="28"/>
        </tpls>
      </n>
      <m in="0">
        <tpls c="3">
          <tpl fld="0" item="0"/>
          <tpl fld="1" item="15"/>
          <tpl fld="4" item="28"/>
        </tpls>
      </m>
      <n v="25" in="0">
        <tpls c="3">
          <tpl fld="0" item="0"/>
          <tpl fld="1" item="45"/>
          <tpl fld="4" item="28"/>
        </tpls>
      </n>
      <n v="233" in="0">
        <tpls c="3">
          <tpl fld="0" item="0"/>
          <tpl fld="1" item="140"/>
          <tpl fld="4" item="15"/>
        </tpls>
      </n>
      <m in="0">
        <tpls c="3">
          <tpl fld="0" item="0"/>
          <tpl fld="1" item="341"/>
          <tpl fld="4" item="27"/>
        </tpls>
      </m>
      <n v="54" in="0">
        <tpls c="3">
          <tpl fld="0" item="0"/>
          <tpl fld="1" item="366"/>
          <tpl fld="4" item="25"/>
        </tpls>
      </n>
      <n v="131" in="0">
        <tpls c="3">
          <tpl fld="0" item="0"/>
          <tpl fld="1" item="453"/>
          <tpl fld="4" item="23"/>
        </tpls>
      </n>
      <m in="0">
        <tpls c="3">
          <tpl fld="0" item="0"/>
          <tpl fld="1" item="185"/>
          <tpl fld="4" item="17"/>
        </tpls>
      </m>
      <n v="13" in="0">
        <tpls c="3">
          <tpl fld="0" item="0"/>
          <tpl fld="1" item="304"/>
          <tpl fld="4" item="21"/>
        </tpls>
      </n>
      <n v="1458" in="0">
        <tpls c="3">
          <tpl fld="0" item="0"/>
          <tpl fld="1" item="288"/>
          <tpl fld="4" item="23"/>
        </tpls>
      </n>
      <n v="53" in="0">
        <tpls c="3">
          <tpl fld="0" item="0"/>
          <tpl fld="1" item="54"/>
          <tpl fld="4" item="29"/>
        </tpls>
      </n>
      <m in="0">
        <tpls c="3">
          <tpl fld="0" item="0"/>
          <tpl fld="1" item="12"/>
          <tpl fld="4" item="29"/>
        </tpls>
      </m>
      <m in="0">
        <tpls c="3">
          <tpl fld="0" item="0"/>
          <tpl fld="1" item="349"/>
          <tpl fld="4" item="27"/>
        </tpls>
      </m>
      <n v="53" in="0">
        <tpls c="3">
          <tpl fld="0" item="0"/>
          <tpl fld="1" item="417"/>
          <tpl fld="4" item="27"/>
        </tpls>
      </n>
      <m in="0">
        <tpls c="3">
          <tpl fld="0" item="0"/>
          <tpl fld="1" item="145"/>
          <tpl fld="4" item="28"/>
        </tpls>
      </m>
      <m in="0">
        <tpls c="3">
          <tpl fld="0" item="0"/>
          <tpl fld="1" item="88"/>
          <tpl fld="4" item="19"/>
        </tpls>
      </m>
      <m in="0">
        <tpls c="3">
          <tpl fld="0" item="0"/>
          <tpl fld="1" item="145"/>
          <tpl fld="4" item="22"/>
        </tpls>
      </m>
      <n v="29" in="0">
        <tpls c="3">
          <tpl fld="0" item="0"/>
          <tpl fld="1" item="311"/>
          <tpl fld="4" item="25"/>
        </tpls>
      </n>
      <n v="1" in="0">
        <tpls c="3">
          <tpl fld="0" item="0"/>
          <tpl fld="1" item="173"/>
          <tpl fld="4" item="33"/>
        </tpls>
      </n>
      <m in="0">
        <tpls c="3">
          <tpl fld="0" item="0"/>
          <tpl fld="1" item="346"/>
          <tpl fld="4" item="30"/>
        </tpls>
      </m>
      <m in="0">
        <tpls c="3">
          <tpl fld="0" item="0"/>
          <tpl fld="1" item="363"/>
          <tpl fld="4" item="22"/>
        </tpls>
      </m>
      <n v="3" in="0">
        <tpls c="3">
          <tpl fld="0" item="0"/>
          <tpl fld="1" item="75"/>
          <tpl fld="4" item="29"/>
        </tpls>
      </n>
      <m in="0">
        <tpls c="3">
          <tpl fld="0" item="0"/>
          <tpl fld="1" item="245"/>
          <tpl fld="4" item="24"/>
        </tpls>
      </m>
      <m in="0">
        <tpls c="3">
          <tpl fld="0" item="0"/>
          <tpl fld="1" item="221"/>
          <tpl fld="4" item="24"/>
        </tpls>
      </m>
      <m in="0">
        <tpls c="3">
          <tpl fld="0" item="0"/>
          <tpl fld="1" item="300"/>
          <tpl fld="4" item="33"/>
        </tpls>
      </m>
      <n v="1" in="0">
        <tpls c="3">
          <tpl fld="0" item="0"/>
          <tpl fld="1" item="226"/>
          <tpl fld="4" item="30"/>
        </tpls>
      </n>
      <m in="0">
        <tpls c="3">
          <tpl fld="0" item="0"/>
          <tpl fld="1" item="416"/>
          <tpl fld="4" item="25"/>
        </tpls>
      </m>
      <n v="36" in="0">
        <tpls c="3">
          <tpl fld="0" item="0"/>
          <tpl fld="1" item="44"/>
          <tpl fld="4" item="25"/>
        </tpls>
      </n>
      <m in="0">
        <tpls c="3">
          <tpl fld="0" item="0"/>
          <tpl fld="1" item="399"/>
          <tpl fld="4" item="24"/>
        </tpls>
      </m>
      <m in="0">
        <tpls c="3">
          <tpl fld="0" item="0"/>
          <tpl fld="1" item="183"/>
          <tpl fld="4" item="32"/>
        </tpls>
      </m>
      <m in="0">
        <tpls c="3">
          <tpl fld="0" item="0"/>
          <tpl fld="1" item="363"/>
          <tpl fld="4" item="21"/>
        </tpls>
      </m>
      <m in="0">
        <tpls c="3">
          <tpl fld="0" item="0"/>
          <tpl fld="1" item="316"/>
          <tpl fld="4" item="29"/>
        </tpls>
      </m>
      <m in="0">
        <tpls c="3">
          <tpl fld="0" item="0"/>
          <tpl fld="1" item="221"/>
          <tpl fld="4" item="17"/>
        </tpls>
      </m>
      <n v="671" in="0">
        <tpls c="3">
          <tpl fld="0" item="0"/>
          <tpl fld="1" item="87"/>
          <tpl fld="4" item="29"/>
        </tpls>
      </n>
      <n v="70" in="0">
        <tpls c="3">
          <tpl fld="0" item="0"/>
          <tpl fld="1" item="205"/>
          <tpl fld="4" item="25"/>
        </tpls>
      </n>
      <m in="0">
        <tpls c="3">
          <tpl fld="0" item="0"/>
          <tpl fld="1" item="407"/>
          <tpl fld="4" item="14"/>
        </tpls>
      </m>
      <m in="0">
        <tpls c="3">
          <tpl fld="0" item="0"/>
          <tpl fld="1" item="250"/>
          <tpl fld="4" item="20"/>
        </tpls>
      </m>
      <m in="0">
        <tpls c="3">
          <tpl fld="0" item="0"/>
          <tpl fld="1" item="391"/>
          <tpl fld="4" item="22"/>
        </tpls>
      </m>
      <n v="1" in="0">
        <tpls c="3">
          <tpl fld="0" item="0"/>
          <tpl fld="1" item="186"/>
          <tpl fld="4" item="26"/>
        </tpls>
      </n>
      <m in="0">
        <tpls c="3">
          <tpl fld="0" item="0"/>
          <tpl fld="1" item="389"/>
          <tpl fld="4" item="17"/>
        </tpls>
      </m>
      <m in="0">
        <tpls c="3">
          <tpl fld="0" item="0"/>
          <tpl fld="1" item="414"/>
          <tpl fld="4" item="17"/>
        </tpls>
      </m>
      <m in="0">
        <tpls c="3">
          <tpl fld="0" item="0"/>
          <tpl fld="1" item="259"/>
          <tpl fld="4" item="28"/>
        </tpls>
      </m>
      <n v="54" in="0">
        <tpls c="3">
          <tpl fld="0" item="0"/>
          <tpl fld="1" item="225"/>
          <tpl fld="4" item="28"/>
        </tpls>
      </n>
      <n v="1" in="0">
        <tpls c="3">
          <tpl fld="0" item="0"/>
          <tpl fld="1" item="359"/>
          <tpl fld="4" item="21"/>
        </tpls>
      </n>
      <m in="0">
        <tpls c="3">
          <tpl fld="0" item="0"/>
          <tpl fld="1" item="277"/>
          <tpl fld="4" item="32"/>
        </tpls>
      </m>
      <m in="0">
        <tpls c="3">
          <tpl fld="0" item="0"/>
          <tpl fld="1" item="60"/>
          <tpl fld="4" item="32"/>
        </tpls>
      </m>
      <m in="0">
        <tpls c="3">
          <tpl fld="0" item="0"/>
          <tpl fld="1" item="357"/>
          <tpl fld="4" item="32"/>
        </tpls>
      </m>
      <m in="0">
        <tpls c="3">
          <tpl fld="0" item="0"/>
          <tpl fld="1" item="48"/>
          <tpl fld="4" item="31"/>
        </tpls>
      </m>
      <m in="0">
        <tpls c="3">
          <tpl fld="0" item="0"/>
          <tpl fld="1" item="146"/>
          <tpl fld="4" item="33"/>
        </tpls>
      </m>
      <m in="0">
        <tpls c="3">
          <tpl fld="0" item="0"/>
          <tpl fld="1" item="232"/>
          <tpl fld="4" item="30"/>
        </tpls>
      </m>
      <m in="0">
        <tpls c="3">
          <tpl fld="0" item="0"/>
          <tpl fld="1" item="436"/>
          <tpl fld="4" item="27"/>
        </tpls>
      </m>
      <m in="0">
        <tpls c="3">
          <tpl fld="0" item="0"/>
          <tpl fld="1" item="26"/>
          <tpl fld="4" item="29"/>
        </tpls>
      </m>
      <m in="0">
        <tpls c="3">
          <tpl fld="0" item="0"/>
          <tpl fld="1" item="303"/>
          <tpl fld="4" item="32"/>
        </tpls>
      </m>
      <m in="0">
        <tpls c="3">
          <tpl fld="0" item="0"/>
          <tpl fld="1" item="63"/>
          <tpl fld="4" item="31"/>
        </tpls>
      </m>
      <m in="0">
        <tpls c="3">
          <tpl fld="0" item="0"/>
          <tpl fld="1" item="336"/>
          <tpl fld="4" item="31"/>
        </tpls>
      </m>
      <m in="0">
        <tpls c="3">
          <tpl fld="0" item="0"/>
          <tpl fld="1" item="362"/>
          <tpl fld="4" item="33"/>
        </tpls>
      </m>
      <n v="2" in="0">
        <tpls c="3">
          <tpl fld="0" item="0"/>
          <tpl fld="1" item="10"/>
          <tpl fld="4" item="30"/>
        </tpls>
      </n>
      <n v="1" in="0">
        <tpls c="3">
          <tpl fld="0" item="0"/>
          <tpl fld="1" item="39"/>
          <tpl fld="4" item="18"/>
        </tpls>
      </n>
      <m in="0">
        <tpls c="3">
          <tpl fld="0" item="0"/>
          <tpl fld="1" item="399"/>
          <tpl fld="4" item="26"/>
        </tpls>
      </m>
      <m in="0">
        <tpls c="3">
          <tpl fld="0" item="0"/>
          <tpl fld="1" item="416"/>
          <tpl fld="4" item="32"/>
        </tpls>
      </m>
      <m in="0">
        <tpls c="3">
          <tpl fld="0" item="0"/>
          <tpl fld="1" item="114"/>
          <tpl fld="4" item="31"/>
        </tpls>
      </m>
      <m in="0">
        <tpls c="3">
          <tpl fld="0" item="0"/>
          <tpl fld="1" item="399"/>
          <tpl fld="4" item="21"/>
        </tpls>
      </m>
      <m in="0">
        <tpls c="3">
          <tpl fld="0" item="0"/>
          <tpl fld="1" item="407"/>
          <tpl fld="4" item="20"/>
        </tpls>
      </m>
      <n v="29" in="0">
        <tpls c="3">
          <tpl fld="0" item="0"/>
          <tpl fld="1" item="227"/>
          <tpl fld="4" item="27"/>
        </tpls>
      </n>
      <n v="60" in="0">
        <tpls c="3">
          <tpl fld="0" item="0"/>
          <tpl fld="1" item="18"/>
          <tpl fld="4" item="23"/>
        </tpls>
      </n>
      <n v="5" in="0">
        <tpls c="3">
          <tpl fld="0" item="0"/>
          <tpl fld="1" item="54"/>
          <tpl fld="4" item="26"/>
        </tpls>
      </n>
      <m in="0">
        <tpls c="3">
          <tpl fld="0" item="0"/>
          <tpl fld="1" item="432"/>
          <tpl fld="4" item="28"/>
        </tpls>
      </m>
      <m in="0">
        <tpls c="3">
          <tpl fld="0" item="0"/>
          <tpl fld="1" item="244"/>
          <tpl fld="4" item="27"/>
        </tpls>
      </m>
      <n v="2" in="0">
        <tpls c="3">
          <tpl fld="0" item="0"/>
          <tpl fld="1" item="311"/>
          <tpl fld="4" item="17"/>
        </tpls>
      </n>
      <m in="0">
        <tpls c="3">
          <tpl fld="0" item="0"/>
          <tpl fld="1" item="292"/>
          <tpl fld="4" item="28"/>
        </tpls>
      </m>
      <n v="1261" in="0">
        <tpls c="3">
          <tpl fld="0" item="0"/>
          <tpl fld="1" item="47"/>
          <tpl fld="4" item="23"/>
        </tpls>
      </n>
      <m in="0">
        <tpls c="3">
          <tpl fld="0" item="0"/>
          <tpl fld="1" item="193"/>
          <tpl fld="4" item="29"/>
        </tpls>
      </m>
      <n v="35" in="0">
        <tpls c="3">
          <tpl fld="0" item="0"/>
          <tpl fld="1" item="160"/>
          <tpl fld="4" item="22"/>
        </tpls>
      </n>
      <m in="0">
        <tpls c="3">
          <tpl fld="0" item="0"/>
          <tpl fld="1" item="156"/>
          <tpl fld="4" item="22"/>
        </tpls>
      </m>
      <n v="2" in="0">
        <tpls c="3">
          <tpl fld="0" item="0"/>
          <tpl fld="1" item="4"/>
          <tpl fld="4" item="22"/>
        </tpls>
      </n>
      <n v="19" in="0">
        <tpls c="3">
          <tpl fld="0" item="0"/>
          <tpl fld="1" item="42"/>
          <tpl fld="4" item="26"/>
        </tpls>
      </n>
      <m in="0">
        <tpls c="3">
          <tpl fld="0" item="0"/>
          <tpl fld="1" item="384"/>
          <tpl fld="4" item="28"/>
        </tpls>
      </m>
      <m in="0">
        <tpls c="3">
          <tpl fld="0" item="0"/>
          <tpl fld="1" item="90"/>
          <tpl fld="4" item="24"/>
        </tpls>
      </m>
      <m in="0">
        <tpls c="3">
          <tpl fld="0" item="0"/>
          <tpl fld="1" item="358"/>
          <tpl fld="4" item="32"/>
        </tpls>
      </m>
      <m in="0">
        <tpls c="3">
          <tpl fld="0" item="0"/>
          <tpl fld="1" item="136"/>
          <tpl fld="4" item="32"/>
        </tpls>
      </m>
      <m in="0">
        <tpls c="3">
          <tpl fld="0" item="0"/>
          <tpl fld="1" item="379"/>
          <tpl fld="4" item="33"/>
        </tpls>
      </m>
      <m in="0">
        <tpls c="3">
          <tpl fld="0" item="0"/>
          <tpl fld="1" item="145"/>
          <tpl fld="4" item="29"/>
        </tpls>
      </m>
      <m in="0">
        <tpls c="3">
          <tpl fld="0" item="0"/>
          <tpl fld="1" item="445"/>
          <tpl fld="4" item="32"/>
        </tpls>
      </m>
      <m in="0">
        <tpls c="3">
          <tpl fld="0" item="0"/>
          <tpl fld="1" item="352"/>
          <tpl fld="4" item="32"/>
        </tpls>
      </m>
      <m in="0">
        <tpls c="3">
          <tpl fld="0" item="0"/>
          <tpl fld="1" item="227"/>
          <tpl fld="4" item="31"/>
        </tpls>
      </m>
      <m in="0">
        <tpls c="3">
          <tpl fld="0" item="0"/>
          <tpl fld="1" item="155"/>
          <tpl fld="4" item="33"/>
        </tpls>
      </m>
      <m in="0">
        <tpls c="3">
          <tpl fld="0" item="0"/>
          <tpl fld="1" item="392"/>
          <tpl fld="4" item="19"/>
        </tpls>
      </m>
      <n v="1" in="0">
        <tpls c="3">
          <tpl fld="0" item="0"/>
          <tpl fld="1" item="37"/>
          <tpl fld="4" item="27"/>
        </tpls>
      </n>
      <m in="0">
        <tpls c="3">
          <tpl fld="0" item="0"/>
          <tpl fld="1" item="114"/>
          <tpl fld="4" item="32"/>
        </tpls>
      </m>
      <m in="0">
        <tpls c="3">
          <tpl fld="0" item="0"/>
          <tpl fld="1" item="332"/>
          <tpl fld="4" item="31"/>
        </tpls>
      </m>
      <m in="0">
        <tpls c="3">
          <tpl fld="0" item="0"/>
          <tpl fld="1" item="284"/>
          <tpl fld="4" item="31"/>
        </tpls>
      </m>
      <n v="2" in="0">
        <tpls c="3">
          <tpl fld="0" item="0"/>
          <tpl fld="1" item="173"/>
          <tpl fld="4" item="22"/>
        </tpls>
      </n>
      <m in="0">
        <tpls c="3">
          <tpl fld="0" item="0"/>
          <tpl fld="1" item="251"/>
          <tpl fld="4" item="26"/>
        </tpls>
      </m>
      <n v="81" in="0">
        <tpls c="3">
          <tpl fld="0" item="0"/>
          <tpl fld="1" item="326"/>
          <tpl fld="4" item="27"/>
        </tpls>
      </n>
      <m in="0">
        <tpls c="3">
          <tpl fld="0" item="0"/>
          <tpl fld="1" item="40"/>
          <tpl fld="4" item="24"/>
        </tpls>
      </m>
      <n v="463" in="0">
        <tpls c="3">
          <tpl fld="0" item="0"/>
          <tpl fld="1" item="20"/>
          <tpl fld="4" item="29"/>
        </tpls>
      </n>
      <n v="44" in="0">
        <tpls c="3">
          <tpl fld="0" item="0"/>
          <tpl fld="1" item="56"/>
          <tpl fld="4" item="15"/>
        </tpls>
      </n>
      <n v="15" in="0">
        <tpls c="3">
          <tpl fld="0" item="0"/>
          <tpl fld="1" item="315"/>
          <tpl fld="4" item="23"/>
        </tpls>
      </n>
      <n v="243" in="0">
        <tpls c="3">
          <tpl fld="0" item="0"/>
          <tpl fld="1" item="117"/>
          <tpl fld="4" item="29"/>
        </tpls>
      </n>
      <n v="13" in="0">
        <tpls c="3">
          <tpl fld="0" item="0"/>
          <tpl fld="1" item="409"/>
          <tpl fld="4" item="22"/>
        </tpls>
      </n>
      <m in="0">
        <tpls c="3">
          <tpl fld="0" item="0"/>
          <tpl fld="1" item="432"/>
          <tpl fld="4" item="26"/>
        </tpls>
      </m>
      <n v="11" in="0">
        <tpls c="3">
          <tpl fld="0" item="0"/>
          <tpl fld="1" item="264"/>
          <tpl fld="4" item="26"/>
        </tpls>
      </n>
      <m in="0">
        <tpls c="3">
          <tpl fld="0" item="0"/>
          <tpl fld="1" item="195"/>
          <tpl fld="4" item="26"/>
        </tpls>
      </m>
      <m in="0">
        <tpls c="3">
          <tpl fld="0" item="0"/>
          <tpl fld="1" item="441"/>
          <tpl fld="4" item="21"/>
        </tpls>
      </m>
      <m in="0">
        <tpls c="3">
          <tpl fld="0" item="0"/>
          <tpl fld="1" item="431"/>
          <tpl fld="4" item="22"/>
        </tpls>
      </m>
      <m in="0">
        <tpls c="3">
          <tpl fld="0" item="0"/>
          <tpl fld="1" item="123"/>
          <tpl fld="4" item="31"/>
        </tpls>
      </m>
      <m in="0">
        <tpls c="3">
          <tpl fld="0" item="0"/>
          <tpl fld="1" item="407"/>
          <tpl fld="4" item="31"/>
        </tpls>
      </m>
      <m in="0">
        <tpls c="3">
          <tpl fld="0" item="0"/>
          <tpl fld="1" item="448"/>
          <tpl fld="4" item="25"/>
        </tpls>
      </m>
      <m in="0">
        <tpls c="3">
          <tpl fld="0" item="0"/>
          <tpl fld="1" item="241"/>
          <tpl fld="4" item="30"/>
        </tpls>
      </m>
      <m in="0">
        <tpls c="3">
          <tpl fld="0" item="0"/>
          <tpl fld="1" item="207"/>
          <tpl fld="4" item="21"/>
        </tpls>
      </m>
      <n v="2" in="0">
        <tpls c="3">
          <tpl fld="0" item="0"/>
          <tpl fld="1" item="224"/>
          <tpl fld="4" item="26"/>
        </tpls>
      </n>
      <m in="0">
        <tpls c="3">
          <tpl fld="0" item="0"/>
          <tpl fld="1" item="216"/>
          <tpl fld="4" item="31"/>
        </tpls>
      </m>
      <m in="0">
        <tpls c="3">
          <tpl fld="0" item="0"/>
          <tpl fld="1" item="294"/>
          <tpl fld="4" item="24"/>
        </tpls>
      </m>
      <m in="0">
        <tpls c="3">
          <tpl fld="0" item="0"/>
          <tpl fld="1" item="246"/>
          <tpl fld="4" item="31"/>
        </tpls>
      </m>
      <n v="3" in="0">
        <tpls c="3">
          <tpl fld="0" item="0"/>
          <tpl fld="1" item="411"/>
          <tpl fld="4" item="33"/>
        </tpls>
      </n>
      <m in="0">
        <tpls c="3">
          <tpl fld="0" item="0"/>
          <tpl fld="1" item="457"/>
          <tpl fld="4" item="30"/>
        </tpls>
      </m>
      <m in="0">
        <tpls c="3">
          <tpl fld="0" item="0"/>
          <tpl fld="1" item="170"/>
          <tpl fld="4" item="17"/>
        </tpls>
      </m>
      <n v="6" in="0">
        <tpls c="3">
          <tpl fld="0" item="0"/>
          <tpl fld="1" item="417"/>
          <tpl fld="4" item="26"/>
        </tpls>
      </n>
      <m in="0">
        <tpls c="3">
          <tpl fld="0" item="0"/>
          <tpl fld="1" item="176"/>
          <tpl fld="4" item="31"/>
        </tpls>
      </m>
      <m in="0">
        <tpls c="3">
          <tpl fld="0" item="0"/>
          <tpl fld="1" item="311"/>
          <tpl fld="4" item="31"/>
        </tpls>
      </m>
      <m in="0">
        <tpls c="3">
          <tpl fld="0" item="0"/>
          <tpl fld="1" item="22"/>
          <tpl fld="4" item="29"/>
        </tpls>
      </m>
      <m in="0">
        <tpls c="3">
          <tpl fld="0" item="0"/>
          <tpl fld="1" item="245"/>
          <tpl fld="4" item="33"/>
        </tpls>
      </m>
      <n v="471" in="0">
        <tpls c="3">
          <tpl fld="0" item="0"/>
          <tpl fld="1" item="85"/>
          <tpl fld="4" item="25"/>
        </tpls>
      </n>
      <m in="0">
        <tpls c="3">
          <tpl fld="0" item="0"/>
          <tpl fld="1" item="41"/>
          <tpl fld="4" item="31"/>
        </tpls>
      </m>
      <n v="34" in="0">
        <tpls c="3">
          <tpl fld="0" item="0"/>
          <tpl fld="1" item="55"/>
          <tpl fld="4" item="23"/>
        </tpls>
      </n>
      <m in="0">
        <tpls c="3">
          <tpl fld="0" item="0"/>
          <tpl fld="1" item="128"/>
          <tpl fld="4" item="22"/>
        </tpls>
      </m>
      <n v="3" in="0">
        <tpls c="3">
          <tpl fld="0" item="0"/>
          <tpl fld="1" item="64"/>
          <tpl fld="4" item="33"/>
        </tpls>
      </n>
      <m in="0">
        <tpls c="3">
          <tpl fld="0" item="0"/>
          <tpl fld="1" item="91"/>
          <tpl fld="4" item="30"/>
        </tpls>
      </m>
      <m in="0">
        <tpls c="3">
          <tpl fld="0" item="0"/>
          <tpl fld="1" item="283"/>
          <tpl fld="4" item="34"/>
        </tpls>
      </m>
      <m in="0">
        <tpls c="3">
          <tpl fld="0" item="0"/>
          <tpl fld="1" item="220"/>
          <tpl fld="4" item="25"/>
        </tpls>
      </m>
      <m in="0">
        <tpls c="3">
          <tpl fld="0" item="0"/>
          <tpl fld="1" item="25"/>
          <tpl fld="4" item="31"/>
        </tpls>
      </m>
      <n v="195" in="0">
        <tpls c="3">
          <tpl fld="0" item="0"/>
          <tpl fld="1" item="339"/>
          <tpl fld="4" item="20"/>
        </tpls>
      </n>
      <n v="14" in="0">
        <tpls c="3">
          <tpl fld="0" item="0"/>
          <tpl fld="1" item="165"/>
          <tpl fld="4" item="25"/>
        </tpls>
      </n>
      <m in="0">
        <tpls c="3">
          <tpl fld="0" item="0"/>
          <tpl fld="1" item="181"/>
          <tpl fld="4" item="27"/>
        </tpls>
      </m>
      <n v="31" in="0">
        <tpls c="3">
          <tpl fld="0" item="0"/>
          <tpl fld="1" item="236"/>
          <tpl fld="4" item="25"/>
        </tpls>
      </n>
      <m in="0">
        <tpls c="3">
          <tpl fld="0" item="0"/>
          <tpl fld="1" item="244"/>
          <tpl fld="4" item="23"/>
        </tpls>
      </m>
      <m in="0">
        <tpls c="3">
          <tpl fld="0" item="0"/>
          <tpl fld="1" item="340"/>
          <tpl fld="4" item="17"/>
        </tpls>
      </m>
      <n v="116" in="0">
        <tpls c="3">
          <tpl fld="0" item="0"/>
          <tpl fld="1" item="107"/>
          <tpl fld="4" item="21"/>
        </tpls>
      </n>
      <m in="0">
        <tpls c="3">
          <tpl fld="0" item="0"/>
          <tpl fld="1" item="159"/>
          <tpl fld="4" item="18"/>
        </tpls>
      </m>
      <m in="0">
        <tpls c="3">
          <tpl fld="0" item="0"/>
          <tpl fld="1" item="285"/>
          <tpl fld="4" item="28"/>
        </tpls>
      </m>
      <m in="0">
        <tpls c="3">
          <tpl fld="0" item="0"/>
          <tpl fld="1" item="375"/>
          <tpl fld="4" item="29"/>
        </tpls>
      </m>
      <m in="0">
        <tpls c="3">
          <tpl fld="0" item="0"/>
          <tpl fld="1" item="43"/>
          <tpl fld="4" item="29"/>
        </tpls>
      </m>
      <m in="0">
        <tpls c="3">
          <tpl fld="0" item="0"/>
          <tpl fld="1" item="421"/>
          <tpl fld="4" item="29"/>
        </tpls>
      </m>
      <n v="149" in="0">
        <tpls c="3">
          <tpl fld="0" item="0"/>
          <tpl fld="1" item="442"/>
          <tpl fld="4" item="27"/>
        </tpls>
      </n>
      <n v="15" in="0">
        <tpls c="3">
          <tpl fld="0" item="0"/>
          <tpl fld="1" item="141"/>
          <tpl fld="4" item="22"/>
        </tpls>
      </n>
      <m in="0">
        <tpls c="3">
          <tpl fld="0" item="0"/>
          <tpl fld="1" item="92"/>
          <tpl fld="4" item="31"/>
        </tpls>
      </m>
      <m in="0">
        <tpls c="3">
          <tpl fld="0" item="0"/>
          <tpl fld="1" item="123"/>
          <tpl fld="4" item="28"/>
        </tpls>
      </m>
      <m in="0">
        <tpls c="3">
          <tpl fld="0" item="0"/>
          <tpl fld="1" item="300"/>
          <tpl fld="4" item="29"/>
        </tpls>
      </m>
      <n v="15" in="0">
        <tpls c="3">
          <tpl fld="0" item="0"/>
          <tpl fld="1" item="266"/>
          <tpl fld="4" item="33"/>
        </tpls>
      </n>
      <m in="0">
        <tpls c="3">
          <tpl fld="0" item="0"/>
          <tpl fld="1" item="172"/>
          <tpl fld="4" item="30"/>
        </tpls>
      </m>
      <m in="0">
        <tpls c="3">
          <tpl fld="0" item="0"/>
          <tpl fld="1" item="321"/>
          <tpl fld="4" item="17"/>
        </tpls>
      </m>
      <m in="0">
        <tpls c="3">
          <tpl fld="0" item="0"/>
          <tpl fld="1" item="349"/>
          <tpl fld="4" item="31"/>
        </tpls>
      </m>
      <n v="1" in="0">
        <tpls c="3">
          <tpl fld="0" item="0"/>
          <tpl fld="1" item="171"/>
          <tpl fld="4" item="27"/>
        </tpls>
      </n>
      <n v="108" in="0">
        <tpls c="3">
          <tpl fld="0" item="0"/>
          <tpl fld="1" item="106"/>
          <tpl fld="4" item="25"/>
        </tpls>
      </n>
      <m in="0">
        <tpls c="3">
          <tpl fld="0" item="0"/>
          <tpl fld="1" item="170"/>
          <tpl fld="4" item="33"/>
        </tpls>
      </m>
      <m in="0">
        <tpls c="3">
          <tpl fld="0" item="0"/>
          <tpl fld="1" item="295"/>
          <tpl fld="4" item="30"/>
        </tpls>
      </m>
      <m in="0">
        <tpls c="3">
          <tpl fld="0" item="0"/>
          <tpl fld="1" item="448"/>
          <tpl fld="4" item="27"/>
        </tpls>
      </m>
      <n v="355" in="0">
        <tpls c="3">
          <tpl fld="0" item="0"/>
          <tpl fld="1" item="140"/>
          <tpl fld="4" item="23"/>
        </tpls>
      </n>
      <m in="0">
        <tpls c="3">
          <tpl fld="0" item="0"/>
          <tpl fld="1" item="223"/>
          <tpl fld="4" item="25"/>
        </tpls>
      </m>
      <m in="0">
        <tpls c="3">
          <tpl fld="0" item="0"/>
          <tpl fld="1" item="446"/>
          <tpl fld="4" item="24"/>
        </tpls>
      </m>
      <m in="0">
        <tpls c="3">
          <tpl fld="0" item="0"/>
          <tpl fld="1" item="100"/>
          <tpl fld="4" item="18"/>
        </tpls>
      </m>
      <m in="0">
        <tpls c="3">
          <tpl fld="0" item="0"/>
          <tpl fld="1" item="416"/>
          <tpl fld="4" item="23"/>
        </tpls>
      </m>
      <m in="0">
        <tpls c="3">
          <tpl fld="0" item="0"/>
          <tpl fld="1" item="345"/>
          <tpl fld="4" item="25"/>
        </tpls>
      </m>
      <n v="108" in="0">
        <tpls c="3">
          <tpl fld="0" item="0"/>
          <tpl fld="1" item="296"/>
          <tpl fld="4" item="23"/>
        </tpls>
      </n>
      <n v="70" in="0">
        <tpls c="3">
          <tpl fld="0" item="0"/>
          <tpl fld="1" item="324"/>
          <tpl fld="4" item="26"/>
        </tpls>
      </n>
      <m in="0">
        <tpls c="3">
          <tpl fld="0" item="0"/>
          <tpl fld="1" item="210"/>
          <tpl fld="4" item="13"/>
        </tpls>
      </m>
      <m in="0">
        <tpls c="3">
          <tpl fld="0" item="0"/>
          <tpl fld="1" item="357"/>
          <tpl fld="4" item="18"/>
        </tpls>
      </m>
      <m in="0">
        <tpls c="3">
          <tpl fld="0" item="0"/>
          <tpl fld="1" item="158"/>
          <tpl fld="4" item="22"/>
        </tpls>
      </m>
      <m in="0">
        <tpls c="3">
          <tpl fld="0" item="0"/>
          <tpl fld="1" item="375"/>
          <tpl fld="4" item="26"/>
        </tpls>
      </m>
      <n v="194" in="0">
        <tpls c="3">
          <tpl fld="0" item="0"/>
          <tpl fld="1" item="348"/>
          <tpl fld="4" item="25"/>
        </tpls>
      </n>
      <n v="26" in="0">
        <tpls c="3">
          <tpl fld="0" item="0"/>
          <tpl fld="1" item="205"/>
          <tpl fld="4" item="24"/>
        </tpls>
      </n>
      <n v="5" in="0">
        <tpls c="3">
          <tpl fld="0" item="0"/>
          <tpl fld="1" item="298"/>
          <tpl fld="4" item="15"/>
        </tpls>
      </n>
      <n v="1" in="0">
        <tpls c="3">
          <tpl fld="0" item="0"/>
          <tpl fld="1" item="150"/>
          <tpl fld="4" item="28"/>
        </tpls>
      </n>
      <m in="0">
        <tpls c="3">
          <tpl fld="0" item="0"/>
          <tpl fld="1" item="143"/>
          <tpl fld="4" item="29"/>
        </tpls>
      </m>
      <n v="91" in="0">
        <tpls c="3">
          <tpl fld="0" item="0"/>
          <tpl fld="1" item="10"/>
          <tpl fld="4" item="24"/>
        </tpls>
      </n>
      <m in="0">
        <tpls c="3">
          <tpl fld="0" item="0"/>
          <tpl fld="1" item="396"/>
          <tpl fld="4" item="24"/>
        </tpls>
      </m>
      <m in="0">
        <tpls c="3">
          <tpl fld="0" item="0"/>
          <tpl fld="1" item="218"/>
          <tpl fld="4" item="32"/>
        </tpls>
      </m>
      <m in="0">
        <tpls c="3">
          <tpl fld="0" item="0"/>
          <tpl fld="1" item="29"/>
          <tpl fld="4" item="32"/>
        </tpls>
      </m>
      <m in="0">
        <tpls c="3">
          <tpl fld="0" item="0"/>
          <tpl fld="1" item="209"/>
          <tpl fld="4" item="33"/>
        </tpls>
      </m>
      <m in="0">
        <tpls c="3">
          <tpl fld="0" item="0"/>
          <tpl fld="1" item="126"/>
          <tpl fld="4" item="30"/>
        </tpls>
      </m>
      <n v="930" in="0">
        <tpls c="3">
          <tpl fld="0" item="0"/>
          <tpl fld="1" item="45"/>
          <tpl fld="4" item="25"/>
        </tpls>
      </n>
      <m in="0">
        <tpls c="3">
          <tpl fld="0" item="0"/>
          <tpl fld="1" item="256"/>
          <tpl fld="4" item="32"/>
        </tpls>
      </m>
      <m in="0">
        <tpls c="3">
          <tpl fld="0" item="0"/>
          <tpl fld="1" item="321"/>
          <tpl fld="4" item="24"/>
        </tpls>
      </m>
      <m in="0">
        <tpls c="3">
          <tpl fld="0" item="0"/>
          <tpl fld="1" item="398"/>
          <tpl fld="4" item="32"/>
        </tpls>
      </m>
      <m in="0">
        <tpls c="3">
          <tpl fld="0" item="0"/>
          <tpl fld="1" item="226"/>
          <tpl fld="4" item="32"/>
        </tpls>
      </m>
      <m in="0">
        <tpls c="3">
          <tpl fld="0" item="0"/>
          <tpl fld="1" item="435"/>
          <tpl fld="4" item="33"/>
        </tpls>
      </m>
      <m in="0">
        <tpls c="3">
          <tpl fld="0" item="0"/>
          <tpl fld="1" item="286"/>
          <tpl fld="4" item="30"/>
        </tpls>
      </m>
      <n v="403" in="0">
        <tpls c="3">
          <tpl fld="0" item="0"/>
          <tpl fld="1" item="365"/>
          <tpl fld="4" item="29"/>
        </tpls>
      </n>
      <n v="315" in="0">
        <tpls c="3">
          <tpl fld="0" item="0"/>
          <tpl fld="1" item="319"/>
          <tpl fld="4" item="23"/>
        </tpls>
      </n>
      <m in="0">
        <tpls c="3">
          <tpl fld="0" item="0"/>
          <tpl fld="1" item="331"/>
          <tpl fld="4" item="32"/>
        </tpls>
      </m>
      <m in="0">
        <tpls c="3">
          <tpl fld="0" item="0"/>
          <tpl fld="1" item="51"/>
          <tpl fld="4" item="32"/>
        </tpls>
      </m>
      <m in="0">
        <tpls c="3">
          <tpl fld="0" item="0"/>
          <tpl fld="1" item="256"/>
          <tpl fld="4" item="31"/>
        </tpls>
      </m>
      <m in="0">
        <tpls c="3">
          <tpl fld="0" item="0"/>
          <tpl fld="1" item="259"/>
          <tpl fld="4" item="18"/>
        </tpls>
      </m>
      <m in="0">
        <tpls c="3">
          <tpl fld="0" item="0"/>
          <tpl fld="1" item="434"/>
          <tpl fld="4" item="29"/>
        </tpls>
      </m>
      <m in="0">
        <tpls c="3">
          <tpl fld="0" item="0"/>
          <tpl fld="1" item="154"/>
          <tpl fld="4" item="28"/>
        </tpls>
      </m>
      <m in="0">
        <tpls c="3">
          <tpl fld="0" item="0"/>
          <tpl fld="1" item="150"/>
          <tpl fld="4" item="26"/>
        </tpls>
      </m>
      <m in="0">
        <tpls c="3">
          <tpl fld="0" item="0"/>
          <tpl fld="1" item="100"/>
          <tpl fld="4" item="15"/>
        </tpls>
      </m>
      <m in="0">
        <tpls c="3">
          <tpl fld="0" item="0"/>
          <tpl fld="1" item="93"/>
          <tpl fld="4" item="29"/>
        </tpls>
      </m>
      <m in="0">
        <tpls c="3">
          <tpl fld="0" item="0"/>
          <tpl fld="1" item="379"/>
          <tpl fld="4" item="20"/>
        </tpls>
      </m>
      <m in="0">
        <tpls c="3">
          <tpl fld="0" item="0"/>
          <tpl fld="1" item="352"/>
          <tpl fld="4" item="28"/>
        </tpls>
      </m>
      <n v="18" in="0">
        <tpls c="3">
          <tpl fld="0" item="0"/>
          <tpl fld="1" item="144"/>
          <tpl fld="4" item="28"/>
        </tpls>
      </n>
      <m in="0">
        <tpls c="3">
          <tpl fld="0" item="0"/>
          <tpl fld="1" item="197"/>
          <tpl fld="4" item="29"/>
        </tpls>
      </m>
      <n v="1388" in="0">
        <tpls c="3">
          <tpl fld="0" item="0"/>
          <tpl fld="1" item="225"/>
          <tpl fld="4" item="27"/>
        </tpls>
      </n>
      <m in="0">
        <tpls c="3">
          <tpl fld="0" item="0"/>
          <tpl fld="1" item="71"/>
          <tpl fld="4" item="27"/>
        </tpls>
      </m>
      <m in="0">
        <tpls c="3">
          <tpl fld="0" item="0"/>
          <tpl fld="1" item="389"/>
          <tpl fld="4" item="22"/>
        </tpls>
      </m>
      <m in="0">
        <tpls c="3">
          <tpl fld="0" item="0"/>
          <tpl fld="1" item="122"/>
          <tpl fld="4" item="22"/>
        </tpls>
      </m>
      <m in="0">
        <tpls c="3">
          <tpl fld="0" item="0"/>
          <tpl fld="1" item="234"/>
          <tpl fld="4" item="25"/>
        </tpls>
      </m>
      <m in="0">
        <tpls c="3">
          <tpl fld="0" item="0"/>
          <tpl fld="1" item="253"/>
          <tpl fld="4" item="26"/>
        </tpls>
      </m>
      <m in="0">
        <tpls c="3">
          <tpl fld="0" item="0"/>
          <tpl fld="1" item="136"/>
          <tpl fld="4" item="24"/>
        </tpls>
      </m>
      <m in="0">
        <tpls c="3">
          <tpl fld="0" item="0"/>
          <tpl fld="1" item="317"/>
          <tpl fld="4" item="32"/>
        </tpls>
      </m>
      <m in="0">
        <tpls c="3">
          <tpl fld="0" item="0"/>
          <tpl fld="1" item="384"/>
          <tpl fld="4" item="33"/>
        </tpls>
      </m>
      <m in="0">
        <tpls c="3">
          <tpl fld="0" item="0"/>
          <tpl fld="1" item="302"/>
          <tpl fld="4" item="30"/>
        </tpls>
      </m>
      <m in="0">
        <tpls c="3">
          <tpl fld="0" item="0"/>
          <tpl fld="1" item="198"/>
          <tpl fld="4" item="28"/>
        </tpls>
      </m>
      <m in="0">
        <tpls c="3">
          <tpl fld="0" item="0"/>
          <tpl fld="1" item="193"/>
          <tpl fld="4" item="24"/>
        </tpls>
      </m>
      <m in="0">
        <tpls c="3">
          <tpl fld="0" item="0"/>
          <tpl fld="1" item="207"/>
          <tpl fld="4" item="32"/>
        </tpls>
      </m>
      <m in="0">
        <tpls c="3">
          <tpl fld="0" item="0"/>
          <tpl fld="1" item="407"/>
          <tpl fld="4" item="32"/>
        </tpls>
      </m>
      <m in="0">
        <tpls c="3">
          <tpl fld="0" item="0"/>
          <tpl fld="1" item="101"/>
          <tpl fld="4" item="33"/>
        </tpls>
      </m>
      <m in="0">
        <tpls c="3">
          <tpl fld="0" item="0"/>
          <tpl fld="1" item="227"/>
          <tpl fld="4" item="12"/>
        </tpls>
      </m>
      <n v="8" in="0">
        <tpls c="3">
          <tpl fld="0" item="0"/>
          <tpl fld="1" item="260"/>
          <tpl fld="4" item="29"/>
        </tpls>
      </n>
      <m in="0">
        <tpls c="3">
          <tpl fld="0" item="0"/>
          <tpl fld="1" item="188"/>
          <tpl fld="4" item="32"/>
        </tpls>
      </m>
      <m in="0">
        <tpls c="3">
          <tpl fld="0" item="0"/>
          <tpl fld="1" item="295"/>
          <tpl fld="4" item="32"/>
        </tpls>
      </m>
      <m in="0">
        <tpls c="3">
          <tpl fld="0" item="0"/>
          <tpl fld="1" item="338"/>
          <tpl fld="4" item="31"/>
        </tpls>
      </m>
      <m in="0">
        <tpls c="3">
          <tpl fld="0" item="0"/>
          <tpl fld="1" item="188"/>
          <tpl fld="4" item="18"/>
        </tpls>
      </m>
      <m in="0">
        <tpls c="3">
          <tpl fld="0" item="0"/>
          <tpl fld="1" item="238"/>
          <tpl fld="4" item="28"/>
        </tpls>
      </m>
      <n v="5" in="0">
        <tpls c="3">
          <tpl fld="0" item="0"/>
          <tpl fld="1" item="38"/>
          <tpl fld="4" item="26"/>
        </tpls>
      </n>
      <n v="3" in="0">
        <tpls c="3">
          <tpl fld="0" item="0"/>
          <tpl fld="1" item="4"/>
          <tpl fld="4" item="28"/>
        </tpls>
      </n>
      <n v="21" in="0">
        <tpls c="3">
          <tpl fld="0" item="0"/>
          <tpl fld="1" item="7"/>
          <tpl fld="4" item="22"/>
        </tpls>
      </n>
      <n v="3" in="0">
        <tpls c="3">
          <tpl fld="0" item="0"/>
          <tpl fld="1" item="431"/>
          <tpl fld="4" item="19"/>
        </tpls>
      </n>
      <m in="0">
        <tpls c="3">
          <tpl fld="0" item="0"/>
          <tpl fld="1" item="414"/>
          <tpl fld="4" item="27"/>
        </tpls>
      </m>
      <m in="0">
        <tpls c="3">
          <tpl fld="0" item="0"/>
          <tpl fld="1" item="303"/>
          <tpl fld="4" item="23"/>
        </tpls>
      </m>
      <m in="0">
        <tpls c="3">
          <tpl fld="0" item="0"/>
          <tpl fld="1" item="265"/>
          <tpl fld="4" item="28"/>
        </tpls>
      </m>
      <m in="0">
        <tpls c="3">
          <tpl fld="0" item="0"/>
          <tpl fld="1" item="219"/>
          <tpl fld="4" item="18"/>
        </tpls>
      </m>
      <n v="13" in="0">
        <tpls c="3">
          <tpl fld="0" item="0"/>
          <tpl fld="1" item="368"/>
          <tpl fld="4" item="28"/>
        </tpls>
      </n>
      <n v="2" in="0">
        <tpls c="3">
          <tpl fld="0" item="0"/>
          <tpl fld="1" item="219"/>
          <tpl fld="4" item="22"/>
        </tpls>
      </n>
      <m in="0">
        <tpls c="3">
          <tpl fld="0" item="0"/>
          <tpl fld="1" item="220"/>
          <tpl fld="4" item="28"/>
        </tpls>
      </m>
      <n v="44" in="0">
        <tpls c="3">
          <tpl fld="0" item="0"/>
          <tpl fld="1" item="54"/>
          <tpl fld="4" item="27"/>
        </tpls>
      </n>
      <n v="143" in="0">
        <tpls c="3">
          <tpl fld="0" item="0"/>
          <tpl fld="1" item="329"/>
          <tpl fld="4" item="20"/>
        </tpls>
      </n>
      <n v="1" in="0">
        <tpls c="3">
          <tpl fld="0" item="0"/>
          <tpl fld="1" item="386"/>
          <tpl fld="4" item="19"/>
        </tpls>
      </n>
      <m in="0">
        <tpls c="3">
          <tpl fld="0" item="0"/>
          <tpl fld="1" item="374"/>
          <tpl fld="4" item="28"/>
        </tpls>
      </m>
      <n v="18" in="0">
        <tpls c="3">
          <tpl fld="0" item="0"/>
          <tpl fld="1" item="87"/>
          <tpl fld="4" item="22"/>
        </tpls>
      </n>
      <n v="62" in="0">
        <tpls c="3">
          <tpl fld="0" item="0"/>
          <tpl fld="1" item="3"/>
          <tpl fld="4" item="25"/>
        </tpls>
      </n>
      <n v="41" in="0">
        <tpls c="3">
          <tpl fld="0" item="0"/>
          <tpl fld="1" item="430"/>
          <tpl fld="4" item="24"/>
        </tpls>
      </n>
      <n v="45" in="0">
        <tpls c="3">
          <tpl fld="0" item="0"/>
          <tpl fld="1" item="94"/>
          <tpl fld="4" item="24"/>
        </tpls>
      </n>
      <m in="0">
        <tpls c="3">
          <tpl fld="0" item="0"/>
          <tpl fld="1" item="34"/>
          <tpl fld="4" item="21"/>
        </tpls>
      </m>
      <m in="0">
        <tpls c="3">
          <tpl fld="0" item="0"/>
          <tpl fld="1" item="214"/>
          <tpl fld="4" item="18"/>
        </tpls>
      </m>
      <m in="0">
        <tpls c="3">
          <tpl fld="0" item="0"/>
          <tpl fld="1" item="22"/>
          <tpl fld="4" item="15"/>
        </tpls>
      </m>
      <m in="0">
        <tpls c="3">
          <tpl fld="0" item="0"/>
          <tpl fld="1" item="83"/>
          <tpl fld="4" item="25"/>
        </tpls>
      </m>
      <n v="28" in="0">
        <tpls c="3">
          <tpl fld="0" item="0"/>
          <tpl fld="1" item="116"/>
          <tpl fld="4" item="14"/>
        </tpls>
      </n>
      <n v="19" in="0">
        <tpls c="3">
          <tpl fld="0" item="0"/>
          <tpl fld="1" item="141"/>
          <tpl fld="4" item="28"/>
        </tpls>
      </n>
      <n v="4" in="0">
        <tpls c="3">
          <tpl fld="0" item="0"/>
          <tpl fld="1" item="418"/>
          <tpl fld="4" item="28"/>
        </tpls>
      </n>
      <m in="0">
        <tpls c="3">
          <tpl fld="0" item="0"/>
          <tpl fld="1" item="79"/>
          <tpl fld="4" item="23"/>
        </tpls>
      </m>
      <m in="0">
        <tpls c="3">
          <tpl fld="0" item="0"/>
          <tpl fld="1" item="328"/>
          <tpl fld="4" item="23"/>
        </tpls>
      </m>
      <m in="0">
        <tpls c="3">
          <tpl fld="0" item="0"/>
          <tpl fld="1" item="443"/>
          <tpl fld="4" item="13"/>
        </tpls>
      </m>
      <n v="87" in="0">
        <tpls c="3">
          <tpl fld="0" item="0"/>
          <tpl fld="1" item="456"/>
          <tpl fld="4" item="15"/>
        </tpls>
      </n>
      <n v="8" in="0">
        <tpls c="3">
          <tpl fld="0" item="0"/>
          <tpl fld="1" item="181"/>
          <tpl fld="4" item="25"/>
        </tpls>
      </n>
      <m in="0">
        <tpls c="3">
          <tpl fld="0" item="0"/>
          <tpl fld="1" item="95"/>
          <tpl fld="4" item="20"/>
        </tpls>
      </m>
      <m in="0">
        <tpls c="3">
          <tpl fld="0" item="0"/>
          <tpl fld="1" item="69"/>
          <tpl fld="4" item="28"/>
        </tpls>
      </m>
      <m in="0">
        <tpls c="3">
          <tpl fld="0" item="0"/>
          <tpl fld="1" item="321"/>
          <tpl fld="4" item="28"/>
        </tpls>
      </m>
      <m in="0">
        <tpls c="3">
          <tpl fld="0" item="0"/>
          <tpl fld="1" item="362"/>
          <tpl fld="4" item="23"/>
        </tpls>
      </m>
      <m in="0">
        <tpls c="3">
          <tpl fld="0" item="0"/>
          <tpl fld="1" item="270"/>
          <tpl fld="4" item="25"/>
        </tpls>
      </m>
      <n v="29" in="0">
        <tpls c="3">
          <tpl fld="0" item="0"/>
          <tpl fld="1" item="429"/>
          <tpl fld="4" item="29"/>
        </tpls>
      </n>
      <m in="0">
        <tpls c="3">
          <tpl fld="0" item="0"/>
          <tpl fld="1" item="188"/>
          <tpl fld="4" item="28"/>
        </tpls>
      </m>
      <n v="2" in="0">
        <tpls c="3">
          <tpl fld="0" item="0"/>
          <tpl fld="1" item="449"/>
          <tpl fld="4" item="26"/>
        </tpls>
      </n>
      <m in="0">
        <tpls c="3">
          <tpl fld="0" item="0"/>
          <tpl fld="1" item="195"/>
          <tpl fld="4" item="21"/>
        </tpls>
      </m>
      <n v="654" in="0">
        <tpls c="3">
          <tpl fld="0" item="0"/>
          <tpl fld="1" item="400"/>
          <tpl fld="4" item="27"/>
        </tpls>
      </n>
      <m in="0">
        <tpls c="3">
          <tpl fld="0" item="0"/>
          <tpl fld="1" item="90"/>
          <tpl fld="4" item="15"/>
        </tpls>
      </m>
      <n v="2" in="0">
        <tpls c="3">
          <tpl fld="0" item="0"/>
          <tpl fld="1" item="126"/>
          <tpl fld="4" item="28"/>
        </tpls>
      </n>
      <m in="0">
        <tpls c="3">
          <tpl fld="0" item="0"/>
          <tpl fld="1" item="451"/>
          <tpl fld="4" item="23"/>
        </tpls>
      </m>
      <m in="0">
        <tpls c="3">
          <tpl fld="0" item="0"/>
          <tpl fld="1" item="336"/>
          <tpl fld="4" item="29"/>
        </tpls>
      </m>
      <m in="0">
        <tpls c="3">
          <tpl fld="0" item="0"/>
          <tpl fld="1" item="235"/>
          <tpl fld="4" item="27"/>
        </tpls>
      </m>
      <n v="35" in="0">
        <tpls c="3">
          <tpl fld="0" item="0"/>
          <tpl fld="1" item="205"/>
          <tpl fld="4" item="27"/>
        </tpls>
      </n>
      <m in="0">
        <tpls c="3">
          <tpl fld="0" item="0"/>
          <tpl fld="1" item="406"/>
          <tpl fld="4" item="22"/>
        </tpls>
      </m>
      <n v="2" in="0">
        <tpls c="3">
          <tpl fld="0" item="0"/>
          <tpl fld="1" item="219"/>
          <tpl fld="4" item="26"/>
        </tpls>
      </n>
      <n v="25" in="0">
        <tpls c="3">
          <tpl fld="0" item="0"/>
          <tpl fld="1" item="339"/>
          <tpl fld="4" item="17"/>
        </tpls>
      </n>
      <n v="288" in="0">
        <tpls c="3">
          <tpl fld="0" item="0"/>
          <tpl fld="1" item="312"/>
          <tpl fld="4" item="24"/>
        </tpls>
      </n>
      <m in="0">
        <tpls c="3">
          <tpl fld="0" item="0"/>
          <tpl fld="1" item="56"/>
          <tpl fld="4" item="32"/>
        </tpls>
      </m>
      <m in="0">
        <tpls c="3">
          <tpl fld="0" item="0"/>
          <tpl fld="1" item="289"/>
          <tpl fld="4" item="32"/>
        </tpls>
      </m>
      <n v="1" in="0">
        <tpls c="3">
          <tpl fld="0" item="0"/>
          <tpl fld="1" item="381"/>
          <tpl fld="4" item="1"/>
        </tpls>
      </n>
      <m in="0">
        <tpls c="3">
          <tpl fld="0" item="0"/>
          <tpl fld="1" item="102"/>
          <tpl fld="4" item="33"/>
        </tpls>
      </m>
      <n v="1" in="0">
        <tpls c="3">
          <tpl fld="0" item="0"/>
          <tpl fld="1" item="199"/>
          <tpl fld="4" item="30"/>
        </tpls>
      </n>
      <m in="0">
        <tpls c="3">
          <tpl fld="0" item="0"/>
          <tpl fld="1" item="404"/>
          <tpl fld="4" item="23"/>
        </tpls>
      </m>
      <n v="34" in="0">
        <tpls c="3">
          <tpl fld="0" item="0"/>
          <tpl fld="1" item="199"/>
          <tpl fld="4" item="24"/>
        </tpls>
      </n>
      <m in="0">
        <tpls c="3">
          <tpl fld="0" item="0"/>
          <tpl fld="1" item="88"/>
          <tpl fld="4" item="32"/>
        </tpls>
      </m>
      <m in="0">
        <tpls c="3">
          <tpl fld="0" item="0"/>
          <tpl fld="1" item="105"/>
          <tpl fld="4" item="31"/>
        </tpls>
      </m>
      <m in="0">
        <tpls c="3">
          <tpl fld="0" item="0"/>
          <tpl fld="1" item="143"/>
          <tpl fld="4" item="33"/>
        </tpls>
      </m>
      <m in="0">
        <tpls c="3">
          <tpl fld="0" item="0"/>
          <tpl fld="1" item="451"/>
          <tpl fld="4" item="19"/>
        </tpls>
      </m>
      <n v="593" in="0">
        <tpls c="3">
          <tpl fld="0" item="0"/>
          <tpl fld="1" item="409"/>
          <tpl fld="4" item="27"/>
        </tpls>
      </n>
      <m in="0">
        <tpls c="3">
          <tpl fld="0" item="0"/>
          <tpl fld="1" item="117"/>
          <tpl fld="4" item="32"/>
        </tpls>
      </m>
      <m in="0">
        <tpls c="3">
          <tpl fld="0" item="0"/>
          <tpl fld="1" item="367"/>
          <tpl fld="4" item="31"/>
        </tpls>
      </m>
      <m in="0">
        <tpls c="3">
          <tpl fld="0" item="0"/>
          <tpl fld="1" item="10"/>
          <tpl fld="4" item="31"/>
        </tpls>
      </m>
      <n v="176" in="0">
        <tpls c="3">
          <tpl fld="0" item="0"/>
          <tpl fld="1" item="330"/>
          <tpl fld="4" item="20"/>
        </tpls>
      </n>
      <n v="3" in="0">
        <tpls c="3">
          <tpl fld="0" item="0"/>
          <tpl fld="1" item="52"/>
          <tpl fld="4" item="22"/>
        </tpls>
      </n>
      <n v="31" in="0">
        <tpls c="3">
          <tpl fld="0" item="0"/>
          <tpl fld="1" item="236"/>
          <tpl fld="4" item="23"/>
        </tpls>
      </n>
      <n v="2" in="0">
        <tpls c="3">
          <tpl fld="0" item="0"/>
          <tpl fld="1" item="403"/>
          <tpl fld="4" item="22"/>
        </tpls>
      </n>
      <n v="5" in="0">
        <tpls c="3">
          <tpl fld="0" item="0"/>
          <tpl fld="1" item="269"/>
          <tpl fld="4" item="18"/>
        </tpls>
      </n>
      <n v="6" in="0">
        <tpls c="3">
          <tpl fld="0" item="0"/>
          <tpl fld="1" item="196"/>
          <tpl fld="4" item="15"/>
        </tpls>
      </n>
      <m in="0">
        <tpls c="3">
          <tpl fld="0" item="0"/>
          <tpl fld="1" item="92"/>
          <tpl fld="4" item="25"/>
        </tpls>
      </m>
      <m in="0">
        <tpls c="3">
          <tpl fld="0" item="0"/>
          <tpl fld="1" item="156"/>
          <tpl fld="4" item="16"/>
        </tpls>
      </m>
      <m in="0">
        <tpls c="3">
          <tpl fld="0" item="0"/>
          <tpl fld="1" item="298"/>
          <tpl fld="4" item="28"/>
        </tpls>
      </m>
      <m in="0">
        <tpls c="3">
          <tpl fld="0" item="0"/>
          <tpl fld="1" item="112"/>
          <tpl fld="4" item="28"/>
        </tpls>
      </m>
      <m in="0">
        <tpls c="3">
          <tpl fld="0" item="0"/>
          <tpl fld="1" item="239"/>
          <tpl fld="4" item="23"/>
        </tpls>
      </m>
      <m in="0">
        <tpls c="3">
          <tpl fld="0" item="0"/>
          <tpl fld="1" item="102"/>
          <tpl fld="4" item="23"/>
        </tpls>
      </m>
      <m in="0">
        <tpls c="3">
          <tpl fld="0" item="0"/>
          <tpl fld="1" item="71"/>
          <tpl fld="4" item="23"/>
        </tpls>
      </m>
      <m in="0">
        <tpls c="3">
          <tpl fld="0" item="0"/>
          <tpl fld="1" item="92"/>
          <tpl fld="4" item="24"/>
        </tpls>
      </m>
      <m in="0">
        <tpls c="3">
          <tpl fld="0" item="0"/>
          <tpl fld="1" item="3"/>
          <tpl fld="4" item="31"/>
        </tpls>
      </m>
      <m in="0">
        <tpls c="3">
          <tpl fld="0" item="0"/>
          <tpl fld="1" item="168"/>
          <tpl fld="4" item="31"/>
        </tpls>
      </m>
      <n v="131" in="0">
        <tpls c="3">
          <tpl fld="0" item="0"/>
          <tpl fld="1" item="104"/>
          <tpl fld="4" item="24"/>
        </tpls>
      </n>
      <n v="4" in="0">
        <tpls c="3">
          <tpl fld="0" item="0"/>
          <tpl fld="1" item="117"/>
          <tpl fld="4" item="33"/>
        </tpls>
      </n>
      <m in="0">
        <tpls c="3">
          <tpl fld="0" item="0"/>
          <tpl fld="1" item="287"/>
          <tpl fld="4" item="30"/>
        </tpls>
      </m>
      <m in="0">
        <tpls c="3">
          <tpl fld="0" item="0"/>
          <tpl fld="1" item="384"/>
          <tpl fld="4" item="22"/>
        </tpls>
      </m>
      <m in="0">
        <tpls c="3">
          <tpl fld="0" item="0"/>
          <tpl fld="1" item="248"/>
          <tpl fld="4" item="24"/>
        </tpls>
      </m>
      <m in="0">
        <tpls c="3">
          <tpl fld="0" item="0"/>
          <tpl fld="1" item="351"/>
          <tpl fld="4" item="31"/>
        </tpls>
      </m>
      <n v="86" in="0">
        <tpls c="3">
          <tpl fld="0" item="0"/>
          <tpl fld="1" item="427"/>
          <tpl fld="4" item="23"/>
        </tpls>
      </n>
      <m in="0">
        <tpls c="3">
          <tpl fld="0" item="0"/>
          <tpl fld="1" item="194"/>
          <tpl fld="4" item="33"/>
        </tpls>
      </m>
      <m in="0">
        <tpls c="3">
          <tpl fld="0" item="0"/>
          <tpl fld="1" item="222"/>
          <tpl fld="4" item="30"/>
        </tpls>
      </m>
      <m in="0">
        <tpls c="3">
          <tpl fld="0" item="0"/>
          <tpl fld="1" item="229"/>
          <tpl fld="4" item="20"/>
        </tpls>
      </m>
      <m in="0">
        <tpls c="3">
          <tpl fld="0" item="0"/>
          <tpl fld="1" item="138"/>
          <tpl fld="4" item="32"/>
        </tpls>
      </m>
      <m in="0">
        <tpls c="3">
          <tpl fld="0" item="0"/>
          <tpl fld="1" item="154"/>
          <tpl fld="4" item="27"/>
        </tpls>
      </m>
      <m in="0">
        <tpls c="3">
          <tpl fld="0" item="0"/>
          <tpl fld="1" item="302"/>
          <tpl fld="4" item="31"/>
        </tpls>
      </m>
      <n v="443" in="0">
        <tpls c="3">
          <tpl fld="0" item="0"/>
          <tpl fld="1" item="20"/>
          <tpl fld="4" item="27"/>
        </tpls>
      </n>
      <n v="2" in="0">
        <tpls c="3">
          <tpl fld="0" item="0"/>
          <tpl fld="1" item="402"/>
          <tpl fld="4" item="26"/>
        </tpls>
      </n>
      <n v="67" in="0">
        <tpls c="3">
          <tpl fld="0" item="0"/>
          <tpl fld="1" item="411"/>
          <tpl fld="4" item="29"/>
        </tpls>
      </n>
      <n v="2" in="0">
        <tpls c="3">
          <tpl fld="0" item="0"/>
          <tpl fld="1" item="204"/>
          <tpl fld="4" item="24"/>
        </tpls>
      </n>
      <n v="48" in="0">
        <tpls c="3">
          <tpl fld="0" item="0"/>
          <tpl fld="1" item="214"/>
          <tpl fld="4" item="23"/>
        </tpls>
      </n>
      <m in="0">
        <tpls c="3">
          <tpl fld="0" item="0"/>
          <tpl fld="1" item="371"/>
          <tpl fld="4" item="14"/>
        </tpls>
      </m>
      <m in="0">
        <tpls c="3">
          <tpl fld="0" item="0"/>
          <tpl fld="1" item="353"/>
          <tpl fld="4" item="15"/>
        </tpls>
      </m>
      <n v="182" in="0">
        <tpls c="3">
          <tpl fld="0" item="0"/>
          <tpl fld="1" item="249"/>
          <tpl fld="4" item="23"/>
        </tpls>
      </n>
      <m in="0">
        <tpls c="3">
          <tpl fld="0" item="0"/>
          <tpl fld="1" item="78"/>
          <tpl fld="4" item="29"/>
        </tpls>
      </m>
      <m in="0">
        <tpls c="3">
          <tpl fld="0" item="0"/>
          <tpl fld="1" item="62"/>
          <tpl fld="4" item="27"/>
        </tpls>
      </m>
      <m in="0">
        <tpls c="3">
          <tpl fld="0" item="0"/>
          <tpl fld="1" item="276"/>
          <tpl fld="4" item="26"/>
        </tpls>
      </m>
      <n v="1" in="0">
        <tpls c="3">
          <tpl fld="0" item="0"/>
          <tpl fld="1" item="455"/>
          <tpl fld="4" item="26"/>
        </tpls>
      </n>
      <m in="0">
        <tpls c="3">
          <tpl fld="0" item="0"/>
          <tpl fld="1" item="129"/>
          <tpl fld="4" item="26"/>
        </tpls>
      </m>
      <n v="13" in="0">
        <tpls c="3">
          <tpl fld="0" item="0"/>
          <tpl fld="1" item="330"/>
          <tpl fld="4" item="21"/>
        </tpls>
      </n>
      <m in="0">
        <tpls c="3">
          <tpl fld="0" item="0"/>
          <tpl fld="1" item="299"/>
          <tpl fld="4" item="22"/>
        </tpls>
      </m>
      <m in="0">
        <tpls c="3">
          <tpl fld="0" item="0"/>
          <tpl fld="1" item="199"/>
          <tpl fld="4" item="32"/>
        </tpls>
      </m>
      <m in="0">
        <tpls c="3">
          <tpl fld="0" item="0"/>
          <tpl fld="1" item="324"/>
          <tpl fld="4" item="31"/>
        </tpls>
      </m>
      <n v="150" in="0">
        <tpls c="3">
          <tpl fld="0" item="0"/>
          <tpl fld="1" item="368"/>
          <tpl fld="4" item="20"/>
        </tpls>
      </n>
      <m in="0">
        <tpls c="3">
          <tpl fld="0" item="0"/>
          <tpl fld="1" item="63"/>
          <tpl fld="4" item="30"/>
        </tpls>
      </m>
      <m in="0">
        <tpls c="3">
          <tpl fld="0" item="0"/>
          <tpl fld="1" item="197"/>
          <tpl fld="4" item="17"/>
        </tpls>
      </m>
      <n v="12" in="0">
        <tpls c="3">
          <tpl fld="0" item="0"/>
          <tpl fld="1" item="287"/>
          <tpl fld="4" item="26"/>
        </tpls>
      </n>
      <m in="0">
        <tpls c="3">
          <tpl fld="0" item="0"/>
          <tpl fld="1" item="290"/>
          <tpl fld="4" item="31"/>
        </tpls>
      </m>
      <n v="76" in="0">
        <tpls c="3">
          <tpl fld="0" item="0"/>
          <tpl fld="1" item="161"/>
          <tpl fld="4" item="29"/>
        </tpls>
      </n>
      <m in="0">
        <tpls c="3">
          <tpl fld="0" item="0"/>
          <tpl fld="1" item="113"/>
          <tpl fld="4" item="31"/>
        </tpls>
      </m>
      <m in="0">
        <tpls c="3">
          <tpl fld="0" item="0"/>
          <tpl fld="1" item="192"/>
          <tpl fld="4" item="30"/>
        </tpls>
      </m>
      <n v="450" in="0">
        <tpls c="3">
          <tpl fld="0" item="0"/>
          <tpl fld="1" item="331"/>
          <tpl fld="4" item="15"/>
        </tpls>
      </n>
      <n v="62" in="0">
        <tpls c="3">
          <tpl fld="0" item="0"/>
          <tpl fld="1" item="33"/>
          <tpl fld="4" item="26"/>
        </tpls>
      </n>
      <m in="0">
        <tpls c="3">
          <tpl fld="0" item="0"/>
          <tpl fld="1" item="15"/>
          <tpl fld="4" item="31"/>
        </tpls>
      </m>
      <m in="0">
        <tpls c="3">
          <tpl fld="0" item="0"/>
          <tpl fld="1" item="393"/>
          <tpl fld="4" item="31"/>
        </tpls>
      </m>
      <m in="0">
        <tpls c="3">
          <tpl fld="0" item="0"/>
          <tpl fld="1" item="92"/>
          <tpl fld="4" item="23"/>
        </tpls>
      </m>
      <m in="0">
        <tpls c="3">
          <tpl fld="0" item="0"/>
          <tpl fld="1" item="344"/>
          <tpl fld="4" item="13"/>
        </tpls>
      </m>
      <m in="0">
        <tpls c="3">
          <tpl fld="0" item="0"/>
          <tpl fld="1" item="204"/>
          <tpl fld="4" item="21"/>
        </tpls>
      </m>
      <n v="30" in="0">
        <tpls c="3">
          <tpl fld="0" item="0"/>
          <tpl fld="1" item="377"/>
          <tpl fld="4" item="22"/>
        </tpls>
      </n>
      <n v="7" in="0">
        <tpls c="3">
          <tpl fld="0" item="0"/>
          <tpl fld="1" item="101"/>
          <tpl fld="4" item="28"/>
        </tpls>
      </n>
      <m in="0">
        <tpls c="3">
          <tpl fld="0" item="0"/>
          <tpl fld="3" item="0"/>
          <tpl fld="4" item="27"/>
        </tpls>
      </m>
      <n v="2" in="0">
        <tpls c="3">
          <tpl fld="0" item="0"/>
          <tpl fld="1" item="189"/>
          <tpl fld="4" item="19"/>
        </tpls>
      </n>
      <n v="9" in="0">
        <tpls c="3">
          <tpl fld="0" item="0"/>
          <tpl fld="1" item="415"/>
          <tpl fld="4" item="21"/>
        </tpls>
      </n>
      <n v="33" in="0">
        <tpls c="3">
          <tpl fld="0" item="0"/>
          <tpl fld="1" item="63"/>
          <tpl fld="4" item="27"/>
        </tpls>
      </n>
      <n v="142" in="0">
        <tpls c="3">
          <tpl fld="0" item="0"/>
          <tpl fld="1" item="395"/>
          <tpl fld="4" item="27"/>
        </tpls>
      </n>
      <m in="0">
        <tpls c="3">
          <tpl fld="0" item="0"/>
          <tpl fld="1" item="17"/>
          <tpl fld="4" item="26"/>
        </tpls>
      </m>
      <n v="1036" in="0">
        <tpls c="3">
          <tpl fld="0" item="0"/>
          <tpl fld="1" item="177"/>
          <tpl fld="4" item="25"/>
        </tpls>
      </n>
      <m in="0">
        <tpls c="3">
          <tpl fld="0" item="0"/>
          <tpl fld="1" item="374"/>
          <tpl fld="4" item="25"/>
        </tpls>
      </m>
      <n v="946" in="0">
        <tpls c="3">
          <tpl fld="0" item="0"/>
          <tpl fld="1" item="313"/>
          <tpl fld="4" item="24"/>
        </tpls>
      </n>
      <n v="6" in="0">
        <tpls c="3">
          <tpl fld="0" item="0"/>
          <tpl fld="1" item="199"/>
          <tpl fld="4" item="21"/>
        </tpls>
      </n>
      <n v="728" in="0">
        <tpls c="3">
          <tpl fld="0" item="0"/>
          <tpl fld="1" item="312"/>
          <tpl fld="4" item="25"/>
        </tpls>
      </n>
      <m in="0">
        <tpls c="3">
          <tpl fld="0" item="0"/>
          <tpl fld="1" item="332"/>
          <tpl fld="4" item="32"/>
        </tpls>
      </m>
      <n v="22" in="0">
        <tpls c="3">
          <tpl fld="0" item="0"/>
          <tpl fld="1" item="180"/>
          <tpl fld="4" item="23"/>
        </tpls>
      </n>
      <m in="0">
        <tpls c="3">
          <tpl fld="0" item="0"/>
          <tpl fld="1" item="241"/>
          <tpl fld="4" item="22"/>
        </tpls>
      </m>
      <m in="0">
        <tpls c="3">
          <tpl fld="0" item="0"/>
          <tpl fld="1" item="156"/>
          <tpl fld="4" item="33"/>
        </tpls>
      </m>
      <m in="0">
        <tpls c="3">
          <tpl fld="0" item="0"/>
          <tpl fld="1" item="449"/>
          <tpl fld="4" item="30"/>
        </tpls>
      </m>
      <m in="0">
        <tpls c="3">
          <tpl fld="0" item="0"/>
          <tpl fld="1" item="19"/>
          <tpl fld="4" item="27"/>
        </tpls>
      </m>
      <n v="9" in="0">
        <tpls c="3">
          <tpl fld="0" item="0"/>
          <tpl fld="1" item="134"/>
          <tpl fld="4" item="25"/>
        </tpls>
      </n>
      <n v="2" in="0">
        <tpls c="3">
          <tpl fld="0" item="0"/>
          <tpl fld="1" item="200"/>
          <tpl fld="4" item="28"/>
        </tpls>
      </n>
      <m in="0">
        <tpls c="3">
          <tpl fld="0" item="0"/>
          <tpl fld="1" item="292"/>
          <tpl fld="4" item="22"/>
        </tpls>
      </m>
      <m in="0">
        <tpls c="3">
          <tpl fld="0" item="0"/>
          <tpl fld="1" item="387"/>
          <tpl fld="4" item="24"/>
        </tpls>
      </m>
      <m in="0">
        <tpls c="3">
          <tpl fld="0" item="0"/>
          <tpl fld="1" item="272"/>
          <tpl fld="4" item="33"/>
        </tpls>
      </m>
      <m in="0">
        <tpls c="3">
          <tpl fld="0" item="0"/>
          <tpl fld="1" item="89"/>
          <tpl fld="4" item="30"/>
        </tpls>
      </m>
      <n v="420" in="0">
        <tpls c="3">
          <tpl fld="0" item="0"/>
          <tpl fld="1" item="82"/>
          <tpl fld="4" item="25"/>
        </tpls>
      </n>
      <n v="20" in="0">
        <tpls c="3">
          <tpl fld="0" item="0"/>
          <tpl fld="1" item="403"/>
          <tpl fld="4" item="24"/>
        </tpls>
      </n>
      <n v="11" in="0">
        <tpls c="3">
          <tpl fld="0" item="0"/>
          <tpl fld="1" item="282"/>
          <tpl fld="4" item="27"/>
        </tpls>
      </n>
      <n v="12" in="0">
        <tpls c="3">
          <tpl fld="0" item="0"/>
          <tpl fld="1" item="200"/>
          <tpl fld="4" item="24"/>
        </tpls>
      </n>
      <n v="2" in="0">
        <tpls c="3">
          <tpl fld="0" item="0"/>
          <tpl fld="1" item="50"/>
          <tpl fld="4" item="24"/>
        </tpls>
      </n>
      <m in="0">
        <tpls c="3">
          <tpl fld="0" item="0"/>
          <tpl fld="1" item="219"/>
          <tpl fld="4" item="33"/>
        </tpls>
      </m>
      <n v="16" in="0">
        <tpls c="3">
          <tpl fld="0" item="0"/>
          <tpl fld="1" item="171"/>
          <tpl fld="4" item="25"/>
        </tpls>
      </n>
      <m in="0">
        <tpls c="3">
          <tpl fld="0" item="0"/>
          <tpl fld="1" item="393"/>
          <tpl fld="4" item="26"/>
        </tpls>
      </m>
      <n v="127" in="0">
        <tpls c="3">
          <tpl fld="0" item="0"/>
          <tpl fld="1" item="39"/>
          <tpl fld="4" item="24"/>
        </tpls>
      </n>
      <m in="0">
        <tpls c="3">
          <tpl fld="0" item="0"/>
          <tpl fld="1" item="191"/>
          <tpl fld="4" item="32"/>
        </tpls>
      </m>
      <m in="0">
        <tpls c="3">
          <tpl fld="0" item="0"/>
          <tpl fld="1" item="431"/>
          <tpl fld="4" item="33"/>
        </tpls>
      </m>
      <m in="0">
        <tpls c="3">
          <tpl fld="0" item="0"/>
          <tpl fld="1" item="254"/>
          <tpl fld="4" item="30"/>
        </tpls>
      </m>
      <n v="1" in="0">
        <tpls c="3">
          <tpl fld="0" item="0"/>
          <tpl fld="1" item="447"/>
          <tpl fld="4" item="35"/>
        </tpls>
      </n>
      <n v="1041" in="0">
        <tpls c="3">
          <tpl fld="0" item="0"/>
          <tpl fld="1" item="377"/>
          <tpl fld="4" item="25"/>
        </tpls>
      </n>
      <m in="0">
        <tpls c="3">
          <tpl fld="0" item="0"/>
          <tpl fld="1" item="131"/>
          <tpl fld="4" item="26"/>
        </tpls>
      </m>
      <n v="13" in="0">
        <tpls c="3">
          <tpl fld="0" item="0"/>
          <tpl fld="1" item="169"/>
          <tpl fld="4" item="23"/>
        </tpls>
      </n>
      <m in="0">
        <tpls c="3">
          <tpl fld="0" item="0"/>
          <tpl fld="1" item="191"/>
          <tpl fld="4" item="28"/>
        </tpls>
      </m>
      <m in="0">
        <tpls c="3">
          <tpl fld="0" item="0"/>
          <tpl fld="1" item="350"/>
          <tpl fld="4" item="22"/>
        </tpls>
      </m>
      <n v="727" in="0">
        <tpls c="3">
          <tpl fld="0" item="0"/>
          <tpl fld="1" item="324"/>
          <tpl fld="4" item="24"/>
        </tpls>
      </n>
      <n v="44" in="0">
        <tpls c="3">
          <tpl fld="0" item="0"/>
          <tpl fld="1" item="356"/>
          <tpl fld="4" item="29"/>
        </tpls>
      </n>
      <n v="2" in="0">
        <tpls c="3">
          <tpl fld="0" item="0"/>
          <tpl fld="1" item="172"/>
          <tpl fld="4" item="17"/>
        </tpls>
      </n>
      <m in="0">
        <tpls c="3">
          <tpl fld="0" item="0"/>
          <tpl fld="1" item="265"/>
          <tpl fld="4" item="21"/>
        </tpls>
      </m>
      <n v="20" in="0">
        <tpls c="3">
          <tpl fld="0" item="0"/>
          <tpl fld="1" item="11"/>
          <tpl fld="4" item="28"/>
        </tpls>
      </n>
      <n v="106" in="0">
        <tpls c="3">
          <tpl fld="0" item="0"/>
          <tpl fld="1" item="360"/>
          <tpl fld="4" item="23"/>
        </tpls>
      </n>
      <m in="0">
        <tpls c="3">
          <tpl fld="0" item="0"/>
          <tpl fld="1" item="29"/>
          <tpl fld="4" item="27"/>
        </tpls>
      </m>
      <n v="176" in="0">
        <tpls c="3">
          <tpl fld="0" item="0"/>
          <tpl fld="1" item="279"/>
          <tpl fld="4" item="27"/>
        </tpls>
      </n>
      <n v="98" in="0">
        <tpls c="3">
          <tpl fld="0" item="0"/>
          <tpl fld="1" item="304"/>
          <tpl fld="4" item="27"/>
        </tpls>
      </n>
      <n v="4" in="0">
        <tpls c="3">
          <tpl fld="0" item="0"/>
          <tpl fld="1" item="117"/>
          <tpl fld="4" item="22"/>
        </tpls>
      </n>
      <n v="34" in="0">
        <tpls c="3">
          <tpl fld="0" item="0"/>
          <tpl fld="1" item="202"/>
          <tpl fld="4" item="26"/>
        </tpls>
      </n>
      <n v="235" in="0">
        <tpls c="3">
          <tpl fld="0" item="0"/>
          <tpl fld="1" item="104"/>
          <tpl fld="4" item="27"/>
        </tpls>
      </n>
      <m in="0">
        <tpls c="3">
          <tpl fld="0" item="0"/>
          <tpl fld="1" item="100"/>
          <tpl fld="4" item="24"/>
        </tpls>
      </m>
      <m in="0">
        <tpls c="3">
          <tpl fld="0" item="0"/>
          <tpl fld="1" item="352"/>
          <tpl fld="4" item="24"/>
        </tpls>
      </m>
      <m in="0">
        <tpls c="3">
          <tpl fld="0" item="0"/>
          <tpl fld="1" item="120"/>
          <tpl fld="4" item="33"/>
        </tpls>
      </m>
      <m in="0">
        <tpls c="3">
          <tpl fld="0" item="0"/>
          <tpl fld="1" item="315"/>
          <tpl fld="4" item="30"/>
        </tpls>
      </m>
      <n v="17" in="0">
        <tpls c="3">
          <tpl fld="0" item="0"/>
          <tpl fld="1" item="356"/>
          <tpl fld="4" item="24"/>
        </tpls>
      </n>
      <m in="0">
        <tpls c="3">
          <tpl fld="0" item="0"/>
          <tpl fld="1" item="221"/>
          <tpl fld="4" item="25"/>
        </tpls>
      </m>
      <m in="0">
        <tpls c="3">
          <tpl fld="0" item="0"/>
          <tpl fld="1" item="52"/>
          <tpl fld="4" item="32"/>
        </tpls>
      </m>
      <m in="0">
        <tpls c="3">
          <tpl fld="0" item="0"/>
          <tpl fld="1" item="74"/>
          <tpl fld="4" item="32"/>
        </tpls>
      </m>
      <m in="0">
        <tpls c="3">
          <tpl fld="0" item="0"/>
          <tpl fld="1" item="265"/>
          <tpl fld="4" item="6"/>
        </tpls>
      </m>
      <m in="0">
        <tpls c="3">
          <tpl fld="0" item="0"/>
          <tpl fld="1" item="75"/>
          <tpl fld="4" item="33"/>
        </tpls>
      </m>
      <m in="0">
        <tpls c="3">
          <tpl fld="0" item="0"/>
          <tpl fld="1" item="416"/>
          <tpl fld="4" item="30"/>
        </tpls>
      </m>
      <n v="7" in="0">
        <tpls c="3">
          <tpl fld="0" item="0"/>
          <tpl fld="1" item="304"/>
          <tpl fld="4" item="28"/>
        </tpls>
      </n>
      <n v="84" in="0">
        <tpls c="3">
          <tpl fld="0" item="0"/>
          <tpl fld="1" item="339"/>
          <tpl fld="4" item="24"/>
        </tpls>
      </n>
      <m in="0">
        <tpls c="3">
          <tpl fld="0" item="0"/>
          <tpl fld="1" item="13"/>
          <tpl fld="4" item="32"/>
        </tpls>
      </m>
      <m in="0">
        <tpls c="3">
          <tpl fld="0" item="0"/>
          <tpl fld="1" item="382"/>
          <tpl fld="4" item="32"/>
        </tpls>
      </m>
      <m in="0">
        <tpls c="3">
          <tpl fld="0" item="0"/>
          <tpl fld="1" item="221"/>
          <tpl fld="4" item="19"/>
        </tpls>
      </m>
      <m in="0">
        <tpls c="3">
          <tpl fld="0" item="0"/>
          <tpl fld="1" item="423"/>
          <tpl fld="4" item="27"/>
        </tpls>
      </m>
      <n v="2" in="0">
        <tpls c="3">
          <tpl fld="0" item="0"/>
          <tpl fld="1" item="94"/>
          <tpl fld="4" item="28"/>
        </tpls>
      </n>
      <m in="0">
        <tpls c="3">
          <tpl fld="0" item="0"/>
          <tpl fld="1" item="190"/>
          <tpl fld="4" item="27"/>
        </tpls>
      </m>
      <m in="0">
        <tpls c="3">
          <tpl fld="0" item="0"/>
          <tpl fld="1" item="95"/>
          <tpl fld="4" item="25"/>
        </tpls>
      </m>
      <m in="0">
        <tpls c="3">
          <tpl fld="0" item="0"/>
          <tpl fld="1" item="131"/>
          <tpl fld="4" item="15"/>
        </tpls>
      </m>
      <m in="0">
        <tpls c="3">
          <tpl fld="0" item="0"/>
          <tpl fld="1" item="159"/>
          <tpl fld="4" item="26"/>
        </tpls>
      </m>
      <m in="0">
        <tpls c="3">
          <tpl fld="0" item="0"/>
          <tpl fld="1" item="131"/>
          <tpl fld="4" item="25"/>
        </tpls>
      </m>
      <n v="5" in="0">
        <tpls c="3">
          <tpl fld="0" item="0"/>
          <tpl fld="1" item="77"/>
          <tpl fld="4" item="28"/>
        </tpls>
      </n>
      <m in="0">
        <tpls c="3">
          <tpl fld="0" item="0"/>
          <tpl fld="1" item="108"/>
          <tpl fld="4" item="28"/>
        </tpls>
      </m>
      <n v="2" in="0">
        <tpls c="3">
          <tpl fld="0" item="0"/>
          <tpl fld="1" item="335"/>
          <tpl fld="4" item="28"/>
        </tpls>
      </n>
      <n v="450" in="0">
        <tpls c="3">
          <tpl fld="0" item="0"/>
          <tpl fld="1" item="256"/>
          <tpl fld="4" item="23"/>
        </tpls>
      </n>
      <n v="1" in="0">
        <tpls c="3">
          <tpl fld="0" item="0"/>
          <tpl fld="1" item="301"/>
          <tpl fld="4" item="22"/>
        </tpls>
      </n>
      <m in="0">
        <tpls c="3">
          <tpl fld="0" item="0"/>
          <tpl fld="1" item="404"/>
          <tpl fld="4" item="27"/>
        </tpls>
      </m>
      <m in="0">
        <tpls c="3">
          <tpl fld="0" item="0"/>
          <tpl fld="1" item="387"/>
          <tpl fld="4" item="32"/>
        </tpls>
      </m>
      <m in="0">
        <tpls c="3">
          <tpl fld="0" item="0"/>
          <tpl fld="1" item="121"/>
          <tpl fld="4" item="31"/>
        </tpls>
      </m>
      <m in="0">
        <tpls c="3">
          <tpl fld="0" item="0"/>
          <tpl fld="1" item="237"/>
          <tpl fld="4" item="31"/>
        </tpls>
      </m>
      <m in="0">
        <tpls c="3">
          <tpl fld="0" item="0"/>
          <tpl fld="1" item="259"/>
          <tpl fld="4" item="33"/>
        </tpls>
      </m>
      <n v="3" in="0">
        <tpls c="3">
          <tpl fld="0" item="0"/>
          <tpl fld="1" item="138"/>
          <tpl fld="4" item="30"/>
        </tpls>
      </n>
      <m in="0">
        <tpls c="3">
          <tpl fld="0" item="0"/>
          <tpl fld="1" item="371"/>
          <tpl fld="4" item="28"/>
        </tpls>
      </m>
      <n v="6" in="0">
        <tpls c="3">
          <tpl fld="0" item="0"/>
          <tpl fld="1" item="75"/>
          <tpl fld="4" item="25"/>
        </tpls>
      </n>
      <m in="0">
        <tpls c="3">
          <tpl fld="0" item="0"/>
          <tpl fld="1" item="27"/>
          <tpl fld="4" item="31"/>
        </tpls>
      </m>
      <m in="0">
        <tpls c="3">
          <tpl fld="0" item="0"/>
          <tpl fld="1" item="109"/>
          <tpl fld="4" item="31"/>
        </tpls>
      </m>
      <n v="5" in="0">
        <tpls c="3">
          <tpl fld="0" item="0"/>
          <tpl fld="1" item="58"/>
          <tpl fld="4" item="22"/>
        </tpls>
      </n>
      <m in="0">
        <tpls c="3">
          <tpl fld="0" item="0"/>
          <tpl fld="1" item="299"/>
          <tpl fld="4" item="33"/>
        </tpls>
      </m>
      <m in="0">
        <tpls c="3">
          <tpl fld="0" item="0"/>
          <tpl fld="1" item="49"/>
          <tpl fld="4" item="30"/>
        </tpls>
      </m>
      <m in="0">
        <tpls c="3">
          <tpl fld="0" item="0"/>
          <tpl fld="1" item="135"/>
          <tpl fld="4" item="27"/>
        </tpls>
      </m>
      <m in="0">
        <tpls c="3">
          <tpl fld="0" item="0"/>
          <tpl fld="1" item="95"/>
          <tpl fld="4" item="24"/>
        </tpls>
      </m>
      <m in="0">
        <tpls c="3">
          <tpl fld="0" item="0"/>
          <tpl fld="1" item="410"/>
          <tpl fld="4" item="31"/>
        </tpls>
      </m>
      <n v="1" in="0">
        <tpls c="3">
          <tpl fld="0" item="0"/>
          <tpl fld="1" item="320"/>
          <tpl fld="4" item="31"/>
        </tpls>
      </n>
      <m in="0">
        <tpls c="3">
          <tpl fld="0" item="0"/>
          <tpl fld="1" item="444"/>
          <tpl fld="4" item="31"/>
        </tpls>
      </m>
      <n v="88" in="0">
        <tpls c="3">
          <tpl fld="0" item="0"/>
          <tpl fld="1" item="305"/>
          <tpl fld="4" item="23"/>
        </tpls>
      </n>
      <m in="0">
        <tpls c="3">
          <tpl fld="0" item="0"/>
          <tpl fld="1" item="243"/>
          <tpl fld="4" item="22"/>
        </tpls>
      </m>
      <n v="84" in="0">
        <tpls c="3">
          <tpl fld="0" item="0"/>
          <tpl fld="1" item="326"/>
          <tpl fld="4" item="29"/>
        </tpls>
      </n>
      <n v="20" in="0">
        <tpls c="3">
          <tpl fld="0" item="0"/>
          <tpl fld="1" item="17"/>
          <tpl fld="4" item="25"/>
        </tpls>
      </n>
      <m in="0">
        <tpls c="3">
          <tpl fld="0" item="0"/>
          <tpl fld="1" item="118"/>
          <tpl fld="4" item="23"/>
        </tpls>
      </m>
      <m in="1">
        <tpls c="3">
          <tpl fld="0" item="0"/>
          <tpl fld="1" item="318"/>
          <tpl fld="4" item="7"/>
        </tpls>
      </m>
      <n v="60" in="0">
        <tpls c="3">
          <tpl fld="0" item="0"/>
          <tpl fld="1" item="290"/>
          <tpl fld="4" item="20"/>
        </tpls>
      </n>
      <n v="296" in="0">
        <tpls c="3">
          <tpl fld="0" item="0"/>
          <tpl fld="1" item="174"/>
          <tpl fld="4" item="23"/>
        </tpls>
      </n>
      <m in="0">
        <tpls c="3">
          <tpl fld="0" item="0"/>
          <tpl fld="1" item="316"/>
          <tpl fld="4" item="23"/>
        </tpls>
      </m>
      <m in="0">
        <tpls c="3">
          <tpl fld="0" item="0"/>
          <tpl fld="1" item="286"/>
          <tpl fld="4" item="27"/>
        </tpls>
      </m>
      <n v="2" in="0">
        <tpls c="3">
          <tpl fld="0" item="0"/>
          <tpl fld="1" item="329"/>
          <tpl fld="4" item="22"/>
        </tpls>
      </n>
      <n v="3" in="0">
        <tpls c="3">
          <tpl fld="0" item="0"/>
          <tpl fld="1" item="255"/>
          <tpl fld="4" item="22"/>
        </tpls>
      </n>
      <n v="2" in="0">
        <tpls c="3">
          <tpl fld="0" item="0"/>
          <tpl fld="1" item="161"/>
          <tpl fld="4" item="26"/>
        </tpls>
      </n>
      <n v="7" in="0">
        <tpls c="3">
          <tpl fld="0" item="0"/>
          <tpl fld="1" item="260"/>
          <tpl fld="4" item="27"/>
        </tpls>
      </n>
      <m in="0">
        <tpls c="3">
          <tpl fld="0" item="0"/>
          <tpl fld="1" item="173"/>
          <tpl fld="4" item="32"/>
        </tpls>
      </m>
      <m in="0">
        <tpls c="3">
          <tpl fld="0" item="0"/>
          <tpl fld="1" item="2"/>
          <tpl fld="4" item="31"/>
        </tpls>
      </m>
      <m in="0">
        <tpls c="3">
          <tpl fld="0" item="0"/>
          <tpl fld="1" item="442"/>
          <tpl fld="4" item="31"/>
        </tpls>
      </m>
      <m in="0">
        <tpls c="3">
          <tpl fld="0" item="0"/>
          <tpl fld="1" item="251"/>
          <tpl fld="4" item="33"/>
        </tpls>
      </m>
      <n v="43" in="0">
        <tpls c="3">
          <tpl fld="0" item="0"/>
          <tpl fld="1" item="350"/>
          <tpl fld="4" item="20"/>
        </tpls>
      </n>
      <m in="0">
        <tpls c="3">
          <tpl fld="0" item="0"/>
          <tpl fld="1" item="204"/>
          <tpl fld="4" item="22"/>
        </tpls>
      </m>
      <n v="30" in="0">
        <tpls c="3">
          <tpl fld="0" item="0"/>
          <tpl fld="1" item="16"/>
          <tpl fld="4" item="27"/>
        </tpls>
      </n>
      <n v="147" in="0">
        <tpls c="3">
          <tpl fld="0" item="0"/>
          <tpl fld="1" item="280"/>
          <tpl fld="4" item="23"/>
        </tpls>
      </n>
      <m in="0">
        <tpls c="3">
          <tpl fld="0" item="0"/>
          <tpl fld="1" item="142"/>
          <tpl fld="4" item="16"/>
        </tpls>
      </m>
      <m in="0">
        <tpls c="3">
          <tpl fld="0" item="0"/>
          <tpl fld="1" item="61"/>
          <tpl fld="4" item="29"/>
        </tpls>
      </m>
      <m in="0">
        <tpls c="3">
          <tpl fld="0" item="0"/>
          <tpl fld="1" item="282"/>
          <tpl fld="4" item="26"/>
        </tpls>
      </m>
      <n v="148" in="0">
        <tpls c="3">
          <tpl fld="0" item="0"/>
          <tpl fld="1" item="418"/>
          <tpl fld="4" item="23"/>
        </tpls>
      </n>
      <m in="0">
        <tpls c="3">
          <tpl fld="0" item="0"/>
          <tpl fld="1" item="241"/>
          <tpl fld="4" item="25"/>
        </tpls>
      </m>
      <n v="3" in="0">
        <tpls c="3">
          <tpl fld="0" item="0"/>
          <tpl fld="1" item="14"/>
          <tpl fld="4" item="28"/>
        </tpls>
      </n>
      <n v="42" in="0">
        <tpls c="3">
          <tpl fld="0" item="0"/>
          <tpl fld="1" item="405"/>
          <tpl fld="4" item="20"/>
        </tpls>
      </n>
      <m in="0">
        <tpls c="3">
          <tpl fld="0" item="0"/>
          <tpl fld="1" item="391"/>
          <tpl fld="4" item="29"/>
        </tpls>
      </m>
      <n v="1" in="0">
        <tpls c="3">
          <tpl fld="0" item="0"/>
          <tpl fld="1" item="121"/>
          <tpl fld="4" item="26"/>
        </tpls>
      </n>
      <n v="4" in="0">
        <tpls c="3">
          <tpl fld="0" item="0"/>
          <tpl fld="1" item="214"/>
          <tpl fld="4" item="21"/>
        </tpls>
      </n>
      <m in="0">
        <tpls c="3">
          <tpl fld="0" item="0"/>
          <tpl fld="1" item="91"/>
          <tpl fld="4" item="21"/>
        </tpls>
      </m>
      <m in="0">
        <tpls c="3">
          <tpl fld="0" item="0"/>
          <tpl fld="1" item="370"/>
          <tpl fld="4" item="28"/>
        </tpls>
      </m>
      <m in="0">
        <tpls c="3">
          <tpl fld="0" item="0"/>
          <tpl fld="1" item="195"/>
          <tpl fld="4" item="28"/>
        </tpls>
      </m>
      <m in="0">
        <tpls c="3">
          <tpl fld="0" item="0"/>
          <tpl fld="1" item="123"/>
          <tpl fld="4" item="21"/>
        </tpls>
      </m>
      <n v="2" in="0">
        <tpls c="3">
          <tpl fld="0" item="0"/>
          <tpl fld="1" item="55"/>
          <tpl fld="4" item="17"/>
        </tpls>
      </n>
      <n v="8" in="0">
        <tpls c="3">
          <tpl fld="0" item="0"/>
          <tpl fld="1" item="394"/>
          <tpl fld="4" item="24"/>
        </tpls>
      </n>
      <m in="0">
        <tpls c="3">
          <tpl fld="0" item="0"/>
          <tpl fld="1" item="146"/>
          <tpl fld="4" item="28"/>
        </tpls>
      </m>
      <n v="64" in="0">
        <tpls c="3">
          <tpl fld="0" item="0"/>
          <tpl fld="1" item="342"/>
          <tpl fld="4" item="23"/>
        </tpls>
      </n>
      <n v="8" in="0">
        <tpls c="3">
          <tpl fld="0" item="0"/>
          <tpl fld="1" item="155"/>
          <tpl fld="4" item="23"/>
        </tpls>
      </n>
      <m in="0">
        <tpls c="3">
          <tpl fld="0" item="0"/>
          <tpl fld="1" item="133"/>
          <tpl fld="4" item="29"/>
        </tpls>
      </m>
      <m in="0">
        <tpls c="3">
          <tpl fld="0" item="0"/>
          <tpl fld="1" item="388"/>
          <tpl fld="4" item="29"/>
        </tpls>
      </m>
      <m in="0">
        <tpls c="3">
          <tpl fld="0" item="0"/>
          <tpl fld="1" item="325"/>
          <tpl fld="4" item="18"/>
        </tpls>
      </m>
      <n v="39" in="0">
        <tpls c="3">
          <tpl fld="0" item="0"/>
          <tpl fld="1" item="87"/>
          <tpl fld="4" item="17"/>
        </tpls>
      </n>
      <n v="1" in="0">
        <tpls c="3">
          <tpl fld="0" item="0"/>
          <tpl fld="1" item="171"/>
          <tpl fld="4" item="24"/>
        </tpls>
      </n>
      <m in="0">
        <tpls c="3">
          <tpl fld="0" item="0"/>
          <tpl fld="1" item="158"/>
          <tpl fld="4" item="28"/>
        </tpls>
      </m>
      <m in="0">
        <tpls c="3">
          <tpl fld="0" item="0"/>
          <tpl fld="1" item="51"/>
          <tpl fld="4" item="23"/>
        </tpls>
      </m>
      <n v="6" in="0">
        <tpls c="3">
          <tpl fld="0" item="0"/>
          <tpl fld="1" item="391"/>
          <tpl fld="4" item="23"/>
        </tpls>
      </n>
      <n v="63" in="0">
        <tpls c="3">
          <tpl fld="0" item="0"/>
          <tpl fld="1" item="290"/>
          <tpl fld="4" item="29"/>
        </tpls>
      </n>
      <m in="0">
        <tpls c="3">
          <tpl fld="0" item="0"/>
          <tpl fld="1" item="69"/>
          <tpl fld="4" item="29"/>
        </tpls>
      </m>
      <m in="0">
        <tpls c="3">
          <tpl fld="0" item="0"/>
          <tpl fld="1" item="259"/>
          <tpl fld="4" item="22"/>
        </tpls>
      </m>
      <n v="1230" in="0">
        <tpls c="3">
          <tpl fld="0" item="0"/>
          <tpl fld="1" item="331"/>
          <tpl fld="4" item="29"/>
        </tpls>
      </n>
      <m in="0">
        <tpls c="3">
          <tpl fld="0" item="0"/>
          <tpl fld="1" item="143"/>
          <tpl fld="4" item="25"/>
        </tpls>
      </m>
      <n v="554" in="0">
        <tpls c="3">
          <tpl fld="0" item="0"/>
          <tpl fld="1" item="333"/>
          <tpl fld="4" item="23"/>
        </tpls>
      </n>
      <m in="0">
        <tpls c="3">
          <tpl fld="0" item="0"/>
          <tpl fld="1" item="210"/>
          <tpl fld="4" item="20"/>
        </tpls>
      </m>
      <n v="3" in="0">
        <tpls c="3">
          <tpl fld="0" item="0"/>
          <tpl fld="1" item="61"/>
          <tpl fld="4" item="23"/>
        </tpls>
      </n>
      <m in="0">
        <tpls c="3">
          <tpl fld="0" item="0"/>
          <tpl fld="1" item="457"/>
          <tpl fld="4" item="29"/>
        </tpls>
      </m>
      <n v="184" in="0">
        <tpls c="3">
          <tpl fld="0" item="0"/>
          <tpl fld="1" item="330"/>
          <tpl fld="4" item="27"/>
        </tpls>
      </n>
      <n v="2" in="0">
        <tpls c="3">
          <tpl fld="0" item="0"/>
          <tpl fld="1" item="3"/>
          <tpl fld="4" item="26"/>
        </tpls>
      </n>
      <n v="1" in="0">
        <tpls c="3">
          <tpl fld="0" item="0"/>
          <tpl fld="1" item="58"/>
          <tpl fld="4" item="26"/>
        </tpls>
      </n>
      <m in="0">
        <tpls c="3">
          <tpl fld="0" item="0"/>
          <tpl fld="1" item="293"/>
          <tpl fld="4" item="26"/>
        </tpls>
      </m>
      <m in="0">
        <tpls c="3">
          <tpl fld="0" item="0"/>
          <tpl fld="1" item="164"/>
          <tpl fld="4" item="27"/>
        </tpls>
      </m>
      <m in="0">
        <tpls c="3">
          <tpl fld="0" item="0"/>
          <tpl fld="1" item="95"/>
          <tpl fld="4" item="32"/>
        </tpls>
      </m>
      <m in="0">
        <tpls c="3">
          <tpl fld="0" item="0"/>
          <tpl fld="1" item="127"/>
          <tpl fld="4" item="31"/>
        </tpls>
      </m>
      <m in="0">
        <tpls c="3">
          <tpl fld="0" item="0"/>
          <tpl fld="1" item="316"/>
          <tpl fld="4" item="31"/>
        </tpls>
      </m>
      <n v="1" in="0">
        <tpls c="3">
          <tpl fld="0" item="0"/>
          <tpl fld="1" item="179"/>
          <tpl fld="4" item="30"/>
        </tpls>
      </n>
      <m in="0">
        <tpls c="3">
          <tpl fld="0" item="0"/>
          <tpl fld="1" item="243"/>
          <tpl fld="4" item="20"/>
        </tpls>
      </m>
      <n v="7" in="0">
        <tpls c="3">
          <tpl fld="0" item="0"/>
          <tpl fld="1" item="424"/>
          <tpl fld="4" item="22"/>
        </tpls>
      </n>
      <m in="0">
        <tpls c="3">
          <tpl fld="0" item="0"/>
          <tpl fld="1" item="165"/>
          <tpl fld="4" item="31"/>
        </tpls>
      </m>
      <m in="0">
        <tpls c="3">
          <tpl fld="0" item="0"/>
          <tpl fld="1" item="102"/>
          <tpl fld="4" item="31"/>
        </tpls>
      </m>
      <m in="0">
        <tpls c="3">
          <tpl fld="0" item="0"/>
          <tpl fld="1" item="307"/>
          <tpl fld="4" item="25"/>
        </tpls>
      </m>
      <m in="0">
        <tpls c="3">
          <tpl fld="0" item="0"/>
          <tpl fld="1" item="261"/>
          <tpl fld="4" item="30"/>
        </tpls>
      </m>
      <m in="0">
        <tpls c="3">
          <tpl fld="0" item="0"/>
          <tpl fld="1" item="134"/>
          <tpl fld="4" item="21"/>
        </tpls>
      </m>
      <n v="1" in="0">
        <tpls c="3">
          <tpl fld="0" item="0"/>
          <tpl fld="1" item="357"/>
          <tpl fld="4" item="26"/>
        </tpls>
      </n>
      <n v="3" in="0">
        <tpls c="3">
          <tpl fld="0" item="0"/>
          <tpl fld="1" item="269"/>
          <tpl fld="4" item="31"/>
        </tpls>
      </n>
      <m in="0">
        <tpls c="3">
          <tpl fld="0" item="0"/>
          <tpl fld="1" item="19"/>
          <tpl fld="4" item="24"/>
        </tpls>
      </m>
      <m in="0">
        <tpls c="3">
          <tpl fld="0" item="0"/>
          <tpl fld="1" item="405"/>
          <tpl fld="4" item="31"/>
        </tpls>
      </m>
      <m in="0">
        <tpls c="3">
          <tpl fld="0" item="0"/>
          <tpl fld="1" item="453"/>
          <tpl fld="4" item="33"/>
        </tpls>
      </m>
      <n v="11" in="0">
        <tpls c="3">
          <tpl fld="0" item="0"/>
          <tpl fld="1" item="163"/>
          <tpl fld="4" item="21"/>
        </tpls>
      </n>
      <n v="10" in="0">
        <tpls c="3">
          <tpl fld="0" item="0"/>
          <tpl fld="1" item="104"/>
          <tpl fld="4" item="26"/>
        </tpls>
      </n>
      <m in="0">
        <tpls c="3">
          <tpl fld="0" item="0"/>
          <tpl fld="1" item="13"/>
          <tpl fld="4" item="29"/>
        </tpls>
      </m>
      <m in="0">
        <tpls c="3">
          <tpl fld="0" item="0"/>
          <tpl fld="1" item="90"/>
          <tpl fld="4" item="26"/>
        </tpls>
      </m>
      <n v="9" in="0">
        <tpls c="3">
          <tpl fld="0" item="0"/>
          <tpl fld="1" item="201"/>
          <tpl fld="4" item="28"/>
        </tpls>
      </n>
      <m in="0">
        <tpls c="3">
          <tpl fld="0" item="0"/>
          <tpl fld="1" item="130"/>
          <tpl fld="4" item="21"/>
        </tpls>
      </m>
      <m in="0">
        <tpls c="3">
          <tpl fld="0" item="0"/>
          <tpl fld="1" item="76"/>
          <tpl fld="4" item="17"/>
        </tpls>
      </m>
      <n v="242" in="0">
        <tpls c="3">
          <tpl fld="0" item="0"/>
          <tpl fld="1" item="364"/>
          <tpl fld="4" item="24"/>
        </tpls>
      </n>
      <n v="10" in="0">
        <tpls c="3">
          <tpl fld="0" item="0"/>
          <tpl fld="1" item="430"/>
          <tpl fld="4" item="28"/>
        </tpls>
      </n>
      <m in="0">
        <tpls c="3">
          <tpl fld="0" item="0"/>
          <tpl fld="1" item="251"/>
          <tpl fld="4" item="23"/>
        </tpls>
      </m>
      <n v="6" in="0">
        <tpls c="3">
          <tpl fld="0" item="0"/>
          <tpl fld="1" item="81"/>
          <tpl fld="4" item="23"/>
        </tpls>
      </n>
      <n v="1164" in="0">
        <tpls c="3">
          <tpl fld="0" item="0"/>
          <tpl fld="1" item="47"/>
          <tpl fld="4" item="29"/>
        </tpls>
      </n>
      <n v="2" in="0">
        <tpls c="3">
          <tpl fld="0" item="0"/>
          <tpl fld="1" item="352"/>
          <tpl fld="4" item="29"/>
        </tpls>
      </n>
      <m in="0">
        <tpls c="3">
          <tpl fld="0" item="0"/>
          <tpl fld="1" item="450"/>
          <tpl fld="4" item="23"/>
        </tpls>
      </m>
      <m in="0">
        <tpls c="3">
          <tpl fld="0" item="0"/>
          <tpl fld="1" item="139"/>
          <tpl fld="4" item="32"/>
        </tpls>
      </m>
      <m in="0">
        <tpls c="3">
          <tpl fld="0" item="0"/>
          <tpl fld="1" item="237"/>
          <tpl fld="4" item="32"/>
        </tpls>
      </m>
      <m in="0">
        <tpls c="3">
          <tpl fld="0" item="0"/>
          <tpl fld="1" item="371"/>
          <tpl fld="4" item="20"/>
        </tpls>
      </m>
      <m in="0">
        <tpls c="3">
          <tpl fld="0" item="0"/>
          <tpl fld="1" item="111"/>
          <tpl fld="4" item="33"/>
        </tpls>
      </m>
      <m in="0">
        <tpls c="3">
          <tpl fld="0" item="0"/>
          <tpl fld="1" item="308"/>
          <tpl fld="4" item="30"/>
        </tpls>
      </m>
      <m in="0">
        <tpls c="3">
          <tpl fld="0" item="0"/>
          <tpl fld="1" item="75"/>
          <tpl fld="4" item="22"/>
        </tpls>
      </m>
      <m in="0">
        <tpls c="3">
          <tpl fld="0" item="0"/>
          <tpl fld="1" item="218"/>
          <tpl fld="4" item="31"/>
        </tpls>
      </m>
      <n v="10" in="0">
        <tpls c="3">
          <tpl fld="0" item="0"/>
          <tpl fld="1" item="262"/>
          <tpl fld="4" item="28"/>
        </tpls>
      </n>
      <m in="0">
        <tpls c="3">
          <tpl fld="0" item="0"/>
          <tpl fld="1" item="441"/>
          <tpl fld="4" item="29"/>
        </tpls>
      </m>
      <n v="2" in="0">
        <tpls c="3">
          <tpl fld="0" item="0"/>
          <tpl fld="1" item="144"/>
          <tpl fld="4" item="33"/>
        </tpls>
      </n>
      <m in="0">
        <tpls c="3">
          <tpl fld="0" item="0"/>
          <tpl fld="1" item="28"/>
          <tpl fld="4" item="30"/>
        </tpls>
      </m>
      <m in="0">
        <tpls c="3">
          <tpl fld="0" item="0"/>
          <tpl fld="1" item="456"/>
          <tpl fld="4" item="21"/>
        </tpls>
      </m>
      <n v="9" in="0">
        <tpls c="3">
          <tpl fld="0" item="0"/>
          <tpl fld="1" item="288"/>
          <tpl fld="4" item="31"/>
        </tpls>
      </n>
      <n v="292" in="0">
        <tpls c="3">
          <tpl fld="0" item="0"/>
          <tpl fld="1" item="39"/>
          <tpl fld="4" item="27"/>
        </tpls>
      </n>
      <m in="0">
        <tpls c="3">
          <tpl fld="0" item="0"/>
          <tpl fld="1" item="146"/>
          <tpl fld="4" item="25"/>
        </tpls>
      </m>
      <m in="0">
        <tpls c="3">
          <tpl fld="0" item="0"/>
          <tpl fld="1" item="76"/>
          <tpl fld="4" item="5"/>
        </tpls>
      </m>
      <n v="442" in="0">
        <tpls c="3">
          <tpl fld="0" item="0"/>
          <tpl fld="1" item="424"/>
          <tpl fld="4" item="20"/>
        </tpls>
      </n>
      <m in="0">
        <tpls c="3">
          <tpl fld="0" item="0"/>
          <tpl fld="1" item="371"/>
          <tpl fld="4" item="22"/>
        </tpls>
      </m>
      <m in="0">
        <tpls c="3">
          <tpl fld="0" item="0"/>
          <tpl fld="1" item="278"/>
          <tpl fld="4" item="21"/>
        </tpls>
      </m>
      <m in="0">
        <tpls c="3">
          <tpl fld="0" item="0"/>
          <tpl fld="1" item="43"/>
          <tpl fld="4" item="27"/>
        </tpls>
      </m>
      <m in="0">
        <tpls c="3">
          <tpl fld="0" item="0"/>
          <tpl fld="1" item="145"/>
          <tpl fld="4" item="13"/>
        </tpls>
      </m>
      <m in="0">
        <tpls c="3">
          <tpl fld="0" item="0"/>
          <tpl fld="1" item="378"/>
          <tpl fld="4" item="17"/>
        </tpls>
      </m>
      <m in="0">
        <tpls c="3">
          <tpl fld="0" item="0"/>
          <tpl fld="1" item="251"/>
          <tpl fld="4" item="29"/>
        </tpls>
      </m>
      <n v="834" in="0">
        <tpls c="3">
          <tpl fld="0" item="0"/>
          <tpl fld="1" item="202"/>
          <tpl fld="4" item="27"/>
        </tpls>
      </n>
      <n v="7" in="0">
        <tpls c="3">
          <tpl fld="0" item="0"/>
          <tpl fld="1" item="367"/>
          <tpl fld="4" item="26"/>
        </tpls>
      </n>
      <n v="44" in="0">
        <tpls c="3">
          <tpl fld="0" item="0"/>
          <tpl fld="1" item="290"/>
          <tpl fld="4" item="25"/>
        </tpls>
      </n>
      <n v="2" in="0">
        <tpls c="3">
          <tpl fld="0" item="0"/>
          <tpl fld="1" item="401"/>
          <tpl fld="4" item="25"/>
        </tpls>
      </n>
      <n v="122" in="0">
        <tpls c="3">
          <tpl fld="0" item="0"/>
          <tpl fld="1" item="411"/>
          <tpl fld="4" item="25"/>
        </tpls>
      </n>
      <m in="0">
        <tpls c="3">
          <tpl fld="0" item="0"/>
          <tpl fld="1" item="432"/>
          <tpl fld="4" item="21"/>
        </tpls>
      </m>
      <n v="459" in="0">
        <tpls c="3">
          <tpl fld="0" item="0"/>
          <tpl fld="1" item="20"/>
          <tpl fld="4" item="25"/>
        </tpls>
      </n>
      <m in="0">
        <tpls c="3">
          <tpl fld="0" item="0"/>
          <tpl fld="1" item="307"/>
          <tpl fld="4" item="22"/>
        </tpls>
      </m>
      <n v="2" in="0">
        <tpls c="3">
          <tpl fld="0" item="0"/>
          <tpl fld="1" item="184"/>
          <tpl fld="4" item="21"/>
        </tpls>
      </n>
      <n v="163" in="0">
        <tpls c="3">
          <tpl fld="0" item="0"/>
          <tpl fld="1" item="101"/>
          <tpl fld="4" item="27"/>
        </tpls>
      </n>
      <m in="0">
        <tpls c="3">
          <tpl fld="0" item="0"/>
          <tpl fld="1" item="116"/>
          <tpl fld="4" item="33"/>
        </tpls>
      </m>
      <m in="0">
        <tpls c="3">
          <tpl fld="0" item="0"/>
          <tpl fld="1" item="373"/>
          <tpl fld="4" item="30"/>
        </tpls>
      </m>
      <m in="0">
        <tpls c="3">
          <tpl fld="0" item="0"/>
          <tpl fld="1" item="406"/>
          <tpl fld="4" item="29"/>
        </tpls>
      </m>
      <n v="11" in="0">
        <tpls c="3">
          <tpl fld="0" item="0"/>
          <tpl fld="1" item="361"/>
          <tpl fld="4" item="25"/>
        </tpls>
      </n>
      <m in="0">
        <tpls c="3">
          <tpl fld="0" item="0"/>
          <tpl fld="1" item="66"/>
          <tpl fld="4" item="31"/>
        </tpls>
      </m>
      <n v="16" in="0">
        <tpls c="3">
          <tpl fld="0" item="0"/>
          <tpl fld="1" item="124"/>
          <tpl fld="4" item="27"/>
        </tpls>
      </n>
      <n v="60" in="0">
        <tpls c="3">
          <tpl fld="0" item="0"/>
          <tpl fld="1" item="419"/>
          <tpl fld="4" item="25"/>
        </tpls>
      </n>
      <m in="0">
        <tpls c="3">
          <tpl fld="0" item="0"/>
          <tpl fld="1" item="161"/>
          <tpl fld="4" item="33"/>
        </tpls>
      </m>
      <m in="0">
        <tpls c="3">
          <tpl fld="0" item="0"/>
          <tpl fld="1" item="181"/>
          <tpl fld="4" item="30"/>
        </tpls>
      </m>
      <m in="0">
        <tpls c="3">
          <tpl fld="0" item="0"/>
          <tpl fld="1" item="334"/>
          <tpl fld="4" item="26"/>
        </tpls>
      </m>
      <n v="174" in="0">
        <tpls c="3">
          <tpl fld="0" item="0"/>
          <tpl fld="1" item="226"/>
          <tpl fld="4" item="25"/>
        </tpls>
      </n>
      <m in="0">
        <tpls c="3">
          <tpl fld="0" item="0"/>
          <tpl fld="1" item="30"/>
          <tpl fld="4" item="29"/>
        </tpls>
      </m>
      <m in="0">
        <tpls c="3">
          <tpl fld="0" item="0"/>
          <tpl fld="1" item="384"/>
          <tpl fld="4" item="25"/>
        </tpls>
      </m>
      <n v="22" in="0">
        <tpls c="3">
          <tpl fld="0" item="0"/>
          <tpl fld="1" item="4"/>
          <tpl fld="4" item="24"/>
        </tpls>
      </n>
      <m in="0">
        <tpls c="3">
          <tpl fld="0" item="0"/>
          <tpl fld="1" item="193"/>
          <tpl fld="4" item="21"/>
        </tpls>
      </m>
      <n v="59" in="0">
        <tpls c="3">
          <tpl fld="0" item="0"/>
          <tpl fld="1" item="350"/>
          <tpl fld="4" item="23"/>
        </tpls>
      </n>
      <m in="0">
        <tpls c="3">
          <tpl fld="0" item="0"/>
          <tpl fld="1" item="352"/>
          <tpl fld="4" item="26"/>
        </tpls>
      </m>
      <n v="70" in="0">
        <tpls c="3">
          <tpl fld="0" item="0"/>
          <tpl fld="1" item="84"/>
          <tpl fld="4" item="23"/>
        </tpls>
      </n>
      <m in="0">
        <tpls c="3">
          <tpl fld="0" item="0"/>
          <tpl fld="1" item="228"/>
          <tpl fld="4" item="22"/>
        </tpls>
      </m>
      <m in="0">
        <tpls c="3">
          <tpl fld="0" item="0"/>
          <tpl fld="1" item="428"/>
          <tpl fld="4" item="16"/>
        </tpls>
      </m>
      <n v="17" in="0">
        <tpls c="3">
          <tpl fld="0" item="0"/>
          <tpl fld="1" item="320"/>
          <tpl fld="4" item="19"/>
        </tpls>
      </n>
      <n v="7" in="0">
        <tpls c="3">
          <tpl fld="0" item="0"/>
          <tpl fld="1" item="77"/>
          <tpl fld="4" item="22"/>
        </tpls>
      </n>
      <m in="0">
        <tpls c="3">
          <tpl fld="0" item="0"/>
          <tpl fld="1" item="265"/>
          <tpl fld="4" item="22"/>
        </tpls>
      </m>
      <m in="0">
        <tpls c="3">
          <tpl fld="0" item="0"/>
          <tpl fld="1" item="414"/>
          <tpl fld="4" item="25"/>
        </tpls>
      </m>
      <n v="315" in="0">
        <tpls c="3">
          <tpl fld="0" item="0"/>
          <tpl fld="1" item="351"/>
          <tpl fld="4" item="24"/>
        </tpls>
      </n>
      <n v="87" in="0">
        <tpls c="3">
          <tpl fld="0" item="0"/>
          <tpl fld="1" item="201"/>
          <tpl fld="4" item="24"/>
        </tpls>
      </n>
      <n v="8" in="0">
        <tpls c="3">
          <tpl fld="0" item="0"/>
          <tpl fld="1" item="249"/>
          <tpl fld="4" item="21"/>
        </tpls>
      </n>
      <m in="0">
        <tpls c="3">
          <tpl fld="0" item="0"/>
          <tpl fld="1" item="207"/>
          <tpl fld="4" item="28"/>
        </tpls>
      </m>
      <n v="12" in="0">
        <tpls c="3">
          <tpl fld="0" item="0"/>
          <tpl fld="1" item="227"/>
          <tpl fld="4" item="24"/>
        </tpls>
      </n>
      <n v="2" in="0">
        <tpls c="3">
          <tpl fld="0" item="0"/>
          <tpl fld="1" item="329"/>
          <tpl fld="4" item="26"/>
        </tpls>
      </n>
      <n v="1" in="0">
        <tpls c="3">
          <tpl fld="0" item="0"/>
          <tpl fld="1" item="167"/>
          <tpl fld="4" item="24"/>
        </tpls>
      </n>
      <m in="0">
        <tpls c="3">
          <tpl fld="0" item="0"/>
          <tpl fld="1" item="434"/>
          <tpl fld="4" item="32"/>
        </tpls>
      </m>
      <n v="2" in="0">
        <tpls c="3">
          <tpl fld="0" item="0"/>
          <tpl fld="1" item="354"/>
          <tpl fld="4" item="33"/>
        </tpls>
      </n>
      <m in="0">
        <tpls c="3">
          <tpl fld="0" item="0"/>
          <tpl fld="1" item="436"/>
          <tpl fld="4" item="30"/>
        </tpls>
      </m>
      <n v="6" in="0">
        <tpls c="3">
          <tpl fld="0" item="0"/>
          <tpl fld="1" item="417"/>
          <tpl fld="4" item="22"/>
        </tpls>
      </n>
      <m in="0">
        <tpls c="3">
          <tpl fld="0" item="0"/>
          <tpl fld="1" item="300"/>
          <tpl fld="4" item="24"/>
        </tpls>
      </m>
      <m in="0">
        <tpls c="3">
          <tpl fld="0" item="0"/>
          <tpl fld="1" item="292"/>
          <tpl fld="4" item="24"/>
        </tpls>
      </m>
      <m in="0">
        <tpls c="3">
          <tpl fld="0" item="0"/>
          <tpl fld="1" item="178"/>
          <tpl fld="4" item="32"/>
        </tpls>
      </m>
      <m in="0">
        <tpls c="3">
          <tpl fld="0" item="0"/>
          <tpl fld="1" item="402"/>
          <tpl fld="4" item="32"/>
        </tpls>
      </m>
      <m in="0">
        <tpls c="3">
          <tpl fld="0" item="0"/>
          <tpl fld="1" item="327"/>
          <tpl fld="4" item="33"/>
        </tpls>
      </m>
      <m in="0">
        <tpls c="3">
          <tpl fld="0" item="0"/>
          <tpl fld="1" item="383"/>
          <tpl fld="4" item="30"/>
        </tpls>
      </m>
      <m in="0">
        <tpls c="3">
          <tpl fld="0" item="0"/>
          <tpl fld="1" item="162"/>
          <tpl fld="4" item="28"/>
        </tpls>
      </m>
      <m in="0">
        <tpls c="3">
          <tpl fld="0" item="0"/>
          <tpl fld="1" item="455"/>
          <tpl fld="4" item="13"/>
        </tpls>
      </m>
      <m in="0">
        <tpls c="3">
          <tpl fld="0" item="0"/>
          <tpl fld="1" item="338"/>
          <tpl fld="4" item="32"/>
        </tpls>
      </m>
      <m in="0">
        <tpls c="3">
          <tpl fld="0" item="0"/>
          <tpl fld="1" item="55"/>
          <tpl fld="4" item="32"/>
        </tpls>
      </m>
      <m in="0">
        <tpls c="3">
          <tpl fld="0" item="0"/>
          <tpl fld="1" item="417"/>
          <tpl fld="4" item="31"/>
        </tpls>
      </m>
      <m in="0">
        <tpls c="3">
          <tpl fld="0" item="0"/>
          <tpl fld="1" item="443"/>
          <tpl fld="4" item="14"/>
        </tpls>
      </m>
      <n v="125" in="0">
        <tpls c="3">
          <tpl fld="0" item="0"/>
          <tpl fld="1" item="339"/>
          <tpl fld="4" item="29"/>
        </tpls>
      </n>
      <m in="0">
        <tpls c="3">
          <tpl fld="0" item="0"/>
          <tpl fld="1" item="323"/>
          <tpl fld="4" item="32"/>
        </tpls>
      </m>
      <m in="0">
        <tpls c="3">
          <tpl fld="0" item="0"/>
          <tpl fld="1" item="221"/>
          <tpl fld="4" item="31"/>
        </tpls>
      </m>
      <m in="0">
        <tpls c="3">
          <tpl fld="0" item="0"/>
          <tpl fld="1" item="146"/>
          <tpl fld="4" item="31"/>
        </tpls>
      </m>
      <m in="0">
        <tpls c="3">
          <tpl fld="0" item="0"/>
          <tpl fld="1" item="328"/>
          <tpl fld="4" item="33"/>
        </tpls>
      </m>
      <m in="0">
        <tpls c="3">
          <tpl fld="0" item="0"/>
          <tpl fld="1" item="367"/>
          <tpl fld="4" item="34"/>
        </tpls>
      </m>
      <n v="45" in="0">
        <tpls c="3">
          <tpl fld="0" item="0"/>
          <tpl fld="1" item="329"/>
          <tpl fld="4" item="29"/>
        </tpls>
      </n>
      <m in="0">
        <tpls c="3">
          <tpl fld="0" item="0"/>
          <tpl fld="1" item="59"/>
          <tpl fld="4" item="28"/>
        </tpls>
      </m>
      <n v="14" in="0">
        <tpls c="3">
          <tpl fld="0" item="0"/>
          <tpl fld="1" item="311"/>
          <tpl fld="4" item="27"/>
        </tpls>
      </n>
      <m in="0">
        <tpls c="3">
          <tpl fld="0" item="0"/>
          <tpl fld="1" item="297"/>
          <tpl fld="4" item="23"/>
        </tpls>
      </m>
      <n v="141" in="0">
        <tpls c="3">
          <tpl fld="0" item="0"/>
          <tpl fld="1" item="367"/>
          <tpl fld="4" item="25"/>
        </tpls>
      </n>
      <m in="0">
        <tpls c="3">
          <tpl fld="0" item="0"/>
          <tpl fld="1" item="30"/>
          <tpl fld="4" item="28"/>
        </tpls>
      </m>
      <n v="38" in="0">
        <tpls c="3">
          <tpl fld="0" item="0"/>
          <tpl fld="1" item="327"/>
          <tpl fld="4" item="27"/>
        </tpls>
      </n>
      <n v="1" in="0">
        <tpls c="3">
          <tpl fld="0" item="0"/>
          <tpl fld="1" item="95"/>
          <tpl fld="4" item="13"/>
        </tpls>
      </n>
      <m in="0">
        <tpls c="3">
          <tpl fld="0" item="0"/>
          <tpl fld="1" item="53"/>
          <tpl fld="4" item="28"/>
        </tpls>
      </m>
      <n v="33" in="0">
        <tpls c="3">
          <tpl fld="0" item="0"/>
          <tpl fld="1" item="97"/>
          <tpl fld="4" item="23"/>
        </tpls>
      </n>
      <n v="1204" in="0">
        <tpls c="3">
          <tpl fld="0" item="0"/>
          <tpl fld="1" item="390"/>
          <tpl fld="4" item="27"/>
        </tpls>
      </n>
      <m in="0">
        <tpls c="3">
          <tpl fld="0" item="0"/>
          <tpl fld="1" item="376"/>
          <tpl fld="4" item="22"/>
        </tpls>
      </m>
      <n v="1" in="0">
        <tpls c="3">
          <tpl fld="0" item="0"/>
          <tpl fld="1" item="335"/>
          <tpl fld="4" item="22"/>
        </tpls>
      </n>
      <m in="0">
        <tpls c="3">
          <tpl fld="0" item="0"/>
          <tpl fld="1" item="416"/>
          <tpl fld="4" item="22"/>
        </tpls>
      </m>
      <n v="587" in="0">
        <tpls c="3">
          <tpl fld="0" item="0"/>
          <tpl fld="1" item="20"/>
          <tpl fld="4" item="23"/>
        </tpls>
      </n>
      <m in="0">
        <tpls c="3">
          <tpl fld="0" item="0"/>
          <tpl fld="1" item="312"/>
          <tpl fld="4" item="32"/>
        </tpls>
      </m>
      <m in="0">
        <tpls c="3">
          <tpl fld="0" item="0"/>
          <tpl fld="1" item="66"/>
          <tpl fld="4" item="32"/>
        </tpls>
      </m>
      <m in="0">
        <tpls c="3">
          <tpl fld="0" item="0"/>
          <tpl fld="1" item="192"/>
          <tpl fld="4" item="31"/>
        </tpls>
      </m>
      <m in="0">
        <tpls c="3">
          <tpl fld="0" item="0"/>
          <tpl fld="1" item="321"/>
          <tpl fld="4" item="33"/>
        </tpls>
      </m>
      <m in="0">
        <tpls c="3">
          <tpl fld="0" item="0"/>
          <tpl fld="1" item="407"/>
          <tpl fld="4" item="19"/>
        </tpls>
      </m>
      <n v="8" in="0">
        <tpls c="3">
          <tpl fld="0" item="0"/>
          <tpl fld="1" item="402"/>
          <tpl fld="4" item="27"/>
        </tpls>
      </n>
      <m in="0">
        <tpls c="3">
          <tpl fld="0" item="0"/>
          <tpl fld="1" item="32"/>
          <tpl fld="4" item="32"/>
        </tpls>
      </m>
      <m in="0">
        <tpls c="3">
          <tpl fld="0" item="0"/>
          <tpl fld="1" item="454"/>
          <tpl fld="4" item="31"/>
        </tpls>
      </m>
      <m in="0">
        <tpls c="3">
          <tpl fld="0" item="0"/>
          <tpl fld="1" item="172"/>
          <tpl fld="4" item="31"/>
        </tpls>
      </m>
      <m in="0">
        <tpls c="3">
          <tpl fld="0" item="0"/>
          <tpl fld="1" item="203"/>
          <tpl fld="4" item="33"/>
        </tpls>
      </m>
      <m in="0">
        <tpls c="3">
          <tpl fld="0" item="0"/>
          <tpl fld="1" item="404"/>
          <tpl fld="4" item="15"/>
        </tpls>
      </m>
      <n v="11" in="0">
        <tpls c="3">
          <tpl fld="0" item="0"/>
          <tpl fld="1" item="279"/>
          <tpl fld="4" item="22"/>
        </tpls>
      </n>
      <m in="0">
        <tpls c="3">
          <tpl fld="0" item="0"/>
          <tpl fld="1" item="135"/>
          <tpl fld="4" item="31"/>
        </tpls>
      </m>
      <m in="0">
        <tpls c="3">
          <tpl fld="0" item="0"/>
          <tpl fld="1" item="225"/>
          <tpl fld="4" item="31"/>
        </tpls>
      </m>
      <m in="0">
        <tpls c="3">
          <tpl fld="0" item="0"/>
          <tpl fld="1" item="222"/>
          <tpl fld="4" item="23"/>
        </tpls>
      </m>
      <n v="32" in="0">
        <tpls c="3">
          <tpl fld="0" item="0"/>
          <tpl fld="1" item="354"/>
          <tpl fld="4" item="15"/>
        </tpls>
      </n>
      <n v="1" in="0">
        <tpls c="3">
          <tpl fld="0" item="0"/>
          <tpl fld="1" item="180"/>
          <tpl fld="4" item="22"/>
        </tpls>
      </n>
      <m in="0">
        <tpls c="3">
          <tpl fld="0" item="0"/>
          <tpl fld="1" item="346"/>
          <tpl fld="4" item="23"/>
        </tpls>
      </m>
      <m in="0">
        <tpls c="3">
          <tpl fld="0" item="0"/>
          <tpl fld="1" item="34"/>
          <tpl fld="4" item="22"/>
        </tpls>
      </m>
      <m in="0">
        <tpls c="3">
          <tpl fld="0" item="0"/>
          <tpl fld="1" item="373"/>
          <tpl fld="4" item="28"/>
        </tpls>
      </m>
      <n v="26" in="0">
        <tpls c="3">
          <tpl fld="0" item="0"/>
          <tpl fld="1" item="432"/>
          <tpl fld="4" item="20"/>
        </tpls>
      </n>
      <n v="38" in="0">
        <tpls c="3">
          <tpl fld="0" item="0"/>
          <tpl fld="1" item="438"/>
          <tpl fld="4" item="17"/>
        </tpls>
      </n>
      <m in="0">
        <tpls c="3">
          <tpl fld="0" item="0"/>
          <tpl fld="1" item="358"/>
          <tpl fld="4" item="25"/>
        </tpls>
      </m>
      <n v="13" in="0">
        <tpls c="3">
          <tpl fld="0" item="0"/>
          <tpl fld="1" item="342"/>
          <tpl fld="4" item="21"/>
        </tpls>
      </n>
      <n v="10" in="0">
        <tpls c="3">
          <tpl fld="0" item="0"/>
          <tpl fld="1" item="29"/>
          <tpl fld="4" item="23"/>
        </tpls>
      </n>
      <m in="0">
        <tpls c="3">
          <tpl fld="0" item="0"/>
          <tpl fld="1" item="130"/>
          <tpl fld="4" item="23"/>
        </tpls>
      </m>
      <n v="25" in="0">
        <tpls c="3">
          <tpl fld="0" item="0"/>
          <tpl fld="1" item="402"/>
          <tpl fld="4" item="23"/>
        </tpls>
      </n>
      <m in="0">
        <tpls c="3">
          <tpl fld="0" item="0"/>
          <tpl fld="1" item="196"/>
          <tpl fld="4" item="29"/>
        </tpls>
      </m>
      <m in="0">
        <tpls c="3">
          <tpl fld="0" item="0"/>
          <tpl fld="1" item="234"/>
          <tpl fld="4" item="26"/>
        </tpls>
      </m>
      <m in="0">
        <tpls c="3">
          <tpl fld="0" item="0"/>
          <tpl fld="1" item="150"/>
          <tpl fld="4" item="32"/>
        </tpls>
      </m>
      <m in="0">
        <tpls c="3">
          <tpl fld="0" item="0"/>
          <tpl fld="1" item="76"/>
          <tpl fld="4" item="31"/>
        </tpls>
      </m>
      <m in="0">
        <tpls c="3">
          <tpl fld="0" item="0"/>
          <tpl fld="1" item="303"/>
          <tpl fld="4" item="25"/>
        </tpls>
      </m>
      <m in="0">
        <tpls c="3">
          <tpl fld="0" item="0"/>
          <tpl fld="1" item="404"/>
          <tpl fld="4" item="33"/>
        </tpls>
      </m>
      <m in="0">
        <tpls c="3">
          <tpl fld="0" item="0"/>
          <tpl fld="1" item="86"/>
          <tpl fld="4" item="30"/>
        </tpls>
      </m>
      <m in="0">
        <tpls c="3">
          <tpl fld="0" item="0"/>
          <tpl fld="1" item="454"/>
          <tpl fld="4" item="28"/>
        </tpls>
      </m>
      <m in="0">
        <tpls c="3">
          <tpl fld="0" item="0"/>
          <tpl fld="1" item="222"/>
          <tpl fld="4" item="32"/>
        </tpls>
      </m>
      <m in="0">
        <tpls c="3">
          <tpl fld="0" item="0"/>
          <tpl fld="1" item="443"/>
          <tpl fld="4" item="24"/>
        </tpls>
      </m>
      <m in="0">
        <tpls c="3">
          <tpl fld="0" item="0"/>
          <tpl fld="1" item="95"/>
          <tpl fld="4" item="31"/>
        </tpls>
      </m>
      <m in="0">
        <tpls c="3">
          <tpl fld="0" item="0"/>
          <tpl fld="1" item="153"/>
          <tpl fld="4" item="33"/>
        </tpls>
      </m>
      <m in="0">
        <tpls c="3">
          <tpl fld="0" item="0"/>
          <tpl fld="1" item="372"/>
          <tpl fld="4" item="30"/>
        </tpls>
      </m>
      <m in="0">
        <tpls c="3">
          <tpl fld="0" item="0"/>
          <tpl fld="1" item="295"/>
          <tpl fld="4" item="27"/>
        </tpls>
      </m>
      <m in="0">
        <tpls c="3">
          <tpl fld="0" item="0"/>
          <tpl fld="1" item="253"/>
          <tpl fld="4" item="32"/>
        </tpls>
      </m>
      <m in="0">
        <tpls c="3">
          <tpl fld="0" item="0"/>
          <tpl fld="1" item="154"/>
          <tpl fld="4" item="18"/>
        </tpls>
      </m>
      <n v="2" in="0">
        <tpls c="3">
          <tpl fld="0" item="0"/>
          <tpl fld="1" item="157"/>
          <tpl fld="4" item="23"/>
        </tpls>
      </n>
      <m in="0">
        <tpls c="3">
          <tpl fld="0" item="0"/>
          <tpl fld="1" item="230"/>
          <tpl fld="4" item="8"/>
        </tpls>
      </m>
      <n v="443" in="0">
        <tpls c="3">
          <tpl fld="0" item="0"/>
          <tpl fld="1" item="141"/>
          <tpl fld="4" item="25"/>
        </tpls>
      </n>
      <n v="635" in="0">
        <tpls c="3">
          <tpl fld="0" item="0"/>
          <tpl fld="1" item="351"/>
          <tpl fld="4" item="27"/>
        </tpls>
      </n>
      <m in="0">
        <tpls c="3">
          <tpl fld="0" item="0"/>
          <tpl fld="1" item="62"/>
          <tpl fld="4" item="24"/>
        </tpls>
      </m>
      <n v="37" in="0">
        <tpls c="3">
          <tpl fld="0" item="0"/>
          <tpl fld="1" item="455"/>
          <tpl fld="4" item="29"/>
        </tpls>
      </n>
      <n v="4" in="0">
        <tpls c="3">
          <tpl fld="0" item="0"/>
          <tpl fld="1" item="89"/>
          <tpl fld="4" item="17"/>
        </tpls>
      </n>
      <n v="10" in="0">
        <tpls c="3">
          <tpl fld="0" item="0"/>
          <tpl fld="1" item="383"/>
          <tpl fld="4" item="29"/>
        </tpls>
      </n>
      <m in="0">
        <tpls c="3">
          <tpl fld="0" item="0"/>
          <tpl fld="1" item="137"/>
          <tpl fld="4" item="29"/>
        </tpls>
      </m>
      <n v="4" in="0">
        <tpls c="3">
          <tpl fld="0" item="0"/>
          <tpl fld="1" item="397"/>
          <tpl fld="4" item="22"/>
        </tpls>
      </n>
      <n v="3" in="0">
        <tpls c="3">
          <tpl fld="0" item="0"/>
          <tpl fld="1" item="65"/>
          <tpl fld="4" item="26"/>
        </tpls>
      </n>
      <m in="0">
        <tpls c="3">
          <tpl fld="0" item="0"/>
          <tpl fld="1" item="152"/>
          <tpl fld="4" item="26"/>
        </tpls>
      </m>
      <m in="0">
        <tpls c="3">
          <tpl fld="0" item="0"/>
          <tpl fld="3" item="0"/>
          <tpl fld="4" item="19"/>
        </tpls>
      </m>
      <m in="0">
        <tpls c="3">
          <tpl fld="0" item="0"/>
          <tpl fld="1" item="236"/>
          <tpl fld="4" item="28"/>
        </tpls>
      </m>
      <m in="0">
        <tpls c="3">
          <tpl fld="0" item="0"/>
          <tpl fld="1" item="191"/>
          <tpl fld="4" item="26"/>
        </tpls>
      </m>
      <n v="158" in="0">
        <tpls c="3">
          <tpl fld="0" item="0"/>
          <tpl fld="1" item="365"/>
          <tpl fld="4" item="15"/>
        </tpls>
      </n>
      <n v="254" in="0">
        <tpls c="3">
          <tpl fld="0" item="0"/>
          <tpl fld="1" item="32"/>
          <tpl fld="4" item="27"/>
        </tpls>
      </n>
      <n v="8" in="0">
        <tpls c="3">
          <tpl fld="0" item="0"/>
          <tpl fld="1" item="25"/>
          <tpl fld="4" item="25"/>
        </tpls>
      </n>
      <m in="0">
        <tpls c="3">
          <tpl fld="0" item="0"/>
          <tpl fld="1" item="251"/>
          <tpl fld="4" item="27"/>
        </tpls>
      </m>
      <m in="0">
        <tpls c="3">
          <tpl fld="0" item="0"/>
          <tpl fld="1" item="21"/>
          <tpl fld="4" item="24"/>
        </tpls>
      </m>
      <m in="0">
        <tpls c="3">
          <tpl fld="0" item="0"/>
          <tpl fld="1" item="86"/>
          <tpl fld="4" item="23"/>
        </tpls>
      </m>
      <m in="0">
        <tpls c="3">
          <tpl fld="0" item="0"/>
          <tpl fld="1" item="344"/>
          <tpl fld="4" item="21"/>
        </tpls>
      </m>
      <n v="7" in="0">
        <tpls c="3">
          <tpl fld="0" item="0"/>
          <tpl fld="1" item="205"/>
          <tpl fld="4" item="22"/>
        </tpls>
      </n>
      <n v="115" in="0">
        <tpls c="3">
          <tpl fld="0" item="0"/>
          <tpl fld="1" item="242"/>
          <tpl fld="4" item="15"/>
        </tpls>
      </n>
      <m in="0">
        <tpls c="3">
          <tpl fld="0" item="0"/>
          <tpl fld="1" item="248"/>
          <tpl fld="4" item="28"/>
        </tpls>
      </m>
      <n v="5" in="0">
        <tpls c="3">
          <tpl fld="0" item="0"/>
          <tpl fld="1" item="148"/>
          <tpl fld="4" item="28"/>
        </tpls>
      </n>
      <n v="5" in="0">
        <tpls c="3">
          <tpl fld="0" item="0"/>
          <tpl fld="1" item="401"/>
          <tpl fld="4" item="23"/>
        </tpls>
      </n>
      <m in="0">
        <tpls c="3">
          <tpl fld="0" item="0"/>
          <tpl fld="1" item="389"/>
          <tpl fld="4" item="29"/>
        </tpls>
      </m>
      <n v="4" in="0">
        <tpls c="3">
          <tpl fld="0" item="0"/>
          <tpl fld="1" item="274"/>
          <tpl fld="4" item="21"/>
        </tpls>
      </n>
      <n v="17" in="0">
        <tpls c="3">
          <tpl fld="0" item="0"/>
          <tpl fld="1" item="189"/>
          <tpl fld="4" item="20"/>
        </tpls>
      </n>
      <n v="57" in="0">
        <tpls c="3">
          <tpl fld="0" item="0"/>
          <tpl fld="1" item="177"/>
          <tpl fld="4" item="28"/>
        </tpls>
      </n>
      <m in="0">
        <tpls c="3">
          <tpl fld="0" item="0"/>
          <tpl fld="1" item="292"/>
          <tpl fld="4" item="23"/>
        </tpls>
      </m>
      <n v="154" in="0">
        <tpls c="3">
          <tpl fld="0" item="0"/>
          <tpl fld="1" item="226"/>
          <tpl fld="4" item="29"/>
        </tpls>
      </n>
      <m in="0">
        <tpls c="3">
          <tpl fld="0" item="0"/>
          <tpl fld="1" item="235"/>
          <tpl fld="4" item="29"/>
        </tpls>
      </m>
      <n v="140" in="0">
        <tpls c="3">
          <tpl fld="0" item="0"/>
          <tpl fld="1" item="182"/>
          <tpl fld="4" item="27"/>
        </tpls>
      </n>
      <m in="0">
        <tpls c="3">
          <tpl fld="0" item="0"/>
          <tpl fld="1" item="98"/>
          <tpl fld="4" item="22"/>
        </tpls>
      </m>
      <n v="26" in="0">
        <tpls c="3">
          <tpl fld="0" item="0"/>
          <tpl fld="1" item="402"/>
          <tpl fld="4" item="20"/>
        </tpls>
      </n>
      <n v="71" in="0">
        <tpls c="3">
          <tpl fld="0" item="0"/>
          <tpl fld="1" item="422"/>
          <tpl fld="4" item="15"/>
        </tpls>
      </n>
      <m in="0">
        <tpls c="3">
          <tpl fld="0" item="0"/>
          <tpl fld="1" item="166"/>
          <tpl fld="4" item="28"/>
        </tpls>
      </m>
      <n v="15" in="0">
        <tpls c="3">
          <tpl fld="0" item="0"/>
          <tpl fld="1" item="13"/>
          <tpl fld="4" item="23"/>
        </tpls>
      </n>
      <m in="0">
        <tpls c="3">
          <tpl fld="0" item="0"/>
          <tpl fld="1" item="412"/>
          <tpl fld="4" item="27"/>
        </tpls>
      </m>
      <n v="24" in="0">
        <tpls c="3">
          <tpl fld="0" item="0"/>
          <tpl fld="1" item="150"/>
          <tpl fld="4" item="27"/>
        </tpls>
      </n>
      <m in="0">
        <tpls c="3">
          <tpl fld="0" item="0"/>
          <tpl fld="1" item="270"/>
          <tpl fld="4" item="27"/>
        </tpls>
      </m>
      <m in="0">
        <tpls c="3">
          <tpl fld="0" item="0"/>
          <tpl fld="1" item="318"/>
          <tpl fld="4" item="13"/>
        </tpls>
      </m>
      <n v="92" in="0">
        <tpls c="3">
          <tpl fld="0" item="0"/>
          <tpl fld="1" item="231"/>
          <tpl fld="4" item="24"/>
        </tpls>
      </n>
      <n v="4" in="0">
        <tpls c="3">
          <tpl fld="0" item="0"/>
          <tpl fld="1" item="285"/>
          <tpl fld="4" item="22"/>
        </tpls>
      </n>
      <m in="0">
        <tpls c="3">
          <tpl fld="0" item="0"/>
          <tpl fld="1" item="260"/>
          <tpl fld="4" item="15"/>
        </tpls>
      </m>
      <m in="0">
        <tpls c="3">
          <tpl fld="0" item="0"/>
          <tpl fld="1" item="98"/>
          <tpl fld="4" item="29"/>
        </tpls>
      </m>
      <m in="0">
        <tpls c="3">
          <tpl fld="0" item="0"/>
          <tpl fld="1" item="86"/>
          <tpl fld="4" item="14"/>
        </tpls>
      </m>
      <m in="0">
        <tpls c="3">
          <tpl fld="0" item="0"/>
          <tpl fld="1" item="446"/>
          <tpl fld="4" item="17"/>
        </tpls>
      </m>
      <m in="0">
        <tpls c="3">
          <tpl fld="0" item="0"/>
          <tpl fld="1" item="142"/>
          <tpl fld="4" item="29"/>
        </tpls>
      </m>
      <m in="0">
        <tpls c="3">
          <tpl fld="0" item="0"/>
          <tpl fld="1" item="310"/>
          <tpl fld="4" item="27"/>
        </tpls>
      </m>
      <n v="2" in="0">
        <tpls c="3">
          <tpl fld="0" item="0"/>
          <tpl fld="1" item="55"/>
          <tpl fld="4" item="22"/>
        </tpls>
      </n>
      <n v="353" in="0">
        <tpls c="3">
          <tpl fld="0" item="0"/>
          <tpl fld="1" item="80"/>
          <tpl fld="4" item="25"/>
        </tpls>
      </n>
      <n v="23" in="0">
        <tpls c="3">
          <tpl fld="0" item="0"/>
          <tpl fld="1" item="116"/>
          <tpl fld="4" item="25"/>
        </tpls>
      </n>
      <n v="25" in="0">
        <tpls c="3">
          <tpl fld="0" item="0"/>
          <tpl fld="1" item="142"/>
          <tpl fld="4" item="25"/>
        </tpls>
      </n>
      <n v="75" in="0">
        <tpls c="3">
          <tpl fld="0" item="0"/>
          <tpl fld="1" item="206"/>
          <tpl fld="4" item="15"/>
        </tpls>
      </n>
      <m in="0">
        <tpls c="3">
          <tpl fld="0" item="0"/>
          <tpl fld="1" item="15"/>
          <tpl fld="4" item="26"/>
        </tpls>
      </m>
      <m in="0">
        <tpls c="3">
          <tpl fld="0" item="0"/>
          <tpl fld="1" item="91"/>
          <tpl fld="4" item="31"/>
        </tpls>
      </m>
      <m in="0">
        <tpls c="3">
          <tpl fld="0" item="0"/>
          <tpl fld="1" item="344"/>
          <tpl fld="4" item="31"/>
        </tpls>
      </m>
      <m in="0">
        <tpls c="3">
          <tpl fld="0" item="0"/>
          <tpl fld="1" item="168"/>
          <tpl fld="4" item="28"/>
        </tpls>
      </m>
      <m in="0">
        <tpls c="3">
          <tpl fld="0" item="0"/>
          <tpl fld="1" item="118"/>
          <tpl fld="4" item="33"/>
        </tpls>
      </m>
      <n v="1" in="0">
        <tpls c="3">
          <tpl fld="0" item="0"/>
          <tpl fld="1" item="85"/>
          <tpl fld="4" item="30"/>
        </tpls>
      </n>
      <m in="0">
        <tpls c="3">
          <tpl fld="0" item="0"/>
          <tpl fld="1" item="260"/>
          <tpl fld="4" item="28"/>
        </tpls>
      </m>
      <n v="40" in="0">
        <tpls c="3">
          <tpl fld="0" item="0"/>
          <tpl fld="1" item="79"/>
          <tpl fld="4" item="25"/>
        </tpls>
      </n>
      <m in="0">
        <tpls c="3">
          <tpl fld="0" item="0"/>
          <tpl fld="1" item="375"/>
          <tpl fld="4" item="32"/>
        </tpls>
      </m>
      <n v="112" in="0">
        <tpls c="3">
          <tpl fld="0" item="0"/>
          <tpl fld="1" item="209"/>
          <tpl fld="4" item="23"/>
        </tpls>
      </n>
      <n v="5" in="0">
        <tpls c="3">
          <tpl fld="0" item="0"/>
          <tpl fld="1" item="174"/>
          <tpl fld="4" item="22"/>
        </tpls>
      </n>
      <m in="0">
        <tpls c="3">
          <tpl fld="0" item="0"/>
          <tpl fld="1" item="22"/>
          <tpl fld="4" item="33"/>
        </tpls>
      </m>
      <m in="0">
        <tpls c="3">
          <tpl fld="0" item="0"/>
          <tpl fld="1" item="434"/>
          <tpl fld="4" item="30"/>
        </tpls>
      </m>
      <m in="0">
        <tpls c="3">
          <tpl fld="0" item="0"/>
          <tpl fld="1" item="358"/>
          <tpl fld="4" item="27"/>
        </tpls>
      </m>
      <n v="23" in="0">
        <tpls c="3">
          <tpl fld="0" item="0"/>
          <tpl fld="1" item="169"/>
          <tpl fld="4" item="25"/>
        </tpls>
      </n>
      <n v="1" in="0">
        <tpls c="3">
          <tpl fld="0" item="0"/>
          <tpl fld="1" item="317"/>
          <tpl fld="4" item="28"/>
        </tpls>
      </n>
      <n v="2" in="0">
        <tpls c="3">
          <tpl fld="0" item="0"/>
          <tpl fld="1" item="94"/>
          <tpl fld="4" item="22"/>
        </tpls>
      </n>
      <n v="1" in="0">
        <tpls c="3">
          <tpl fld="0" item="0"/>
          <tpl fld="1" item="217"/>
          <tpl fld="4" item="24"/>
        </tpls>
      </n>
      <m in="0">
        <tpls c="3">
          <tpl fld="0" item="0"/>
          <tpl fld="1" item="178"/>
          <tpl fld="4" item="33"/>
        </tpls>
      </m>
      <n v="10" in="0">
        <tpls c="3">
          <tpl fld="0" item="0"/>
          <tpl fld="1" item="104"/>
          <tpl fld="4" item="28"/>
        </tpls>
      </n>
      <m in="0">
        <tpls c="3">
          <tpl fld="0" item="0"/>
          <tpl fld="1" item="62"/>
          <tpl fld="4" item="17"/>
        </tpls>
      </m>
      <m in="0">
        <tpls c="3">
          <tpl fld="0" item="0"/>
          <tpl fld="1" item="297"/>
          <tpl fld="4" item="22"/>
        </tpls>
      </m>
      <n v="3" in="0">
        <tpls c="3">
          <tpl fld="0" item="0"/>
          <tpl fld="1" item="2"/>
          <tpl fld="4" item="24"/>
        </tpls>
      </n>
      <n v="678" in="0">
        <tpls c="3">
          <tpl fld="0" item="0"/>
          <tpl fld="1" item="400"/>
          <tpl fld="4" item="29"/>
        </tpls>
      </n>
      <n v="50" in="0">
        <tpls c="3">
          <tpl fld="0" item="0"/>
          <tpl fld="1" item="381"/>
          <tpl fld="4" item="21"/>
        </tpls>
      </n>
      <n v="18" in="0">
        <tpls c="3">
          <tpl fld="0" item="0"/>
          <tpl fld="1" item="429"/>
          <tpl fld="4" item="20"/>
        </tpls>
      </n>
      <m in="0">
        <tpls c="3">
          <tpl fld="0" item="0"/>
          <tpl fld="1" item="48"/>
          <tpl fld="4" item="28"/>
        </tpls>
      </m>
      <n v="51" in="0">
        <tpls c="3">
          <tpl fld="0" item="0"/>
          <tpl fld="1" item="332"/>
          <tpl fld="4" item="23"/>
        </tpls>
      </n>
      <m in="0">
        <tpls c="3">
          <tpl fld="0" item="0"/>
          <tpl fld="1" item="228"/>
          <tpl fld="4" item="29"/>
        </tpls>
      </m>
      <n v="404" in="0">
        <tpls c="3">
          <tpl fld="0" item="0"/>
          <tpl fld="1" item="320"/>
          <tpl fld="4" item="29"/>
        </tpls>
      </n>
      <n v="2786" in="0">
        <tpls c="3">
          <tpl fld="0" item="0"/>
          <tpl fld="1" item="380"/>
          <tpl fld="4" item="27"/>
        </tpls>
      </n>
      <n v="4" in="0">
        <tpls c="3">
          <tpl fld="0" item="0"/>
          <tpl fld="1" item="148"/>
          <tpl fld="4" item="22"/>
        </tpls>
      </n>
      <m in="0">
        <tpls c="3">
          <tpl fld="0" item="0"/>
          <tpl fld="1" item="93"/>
          <tpl fld="4" item="23"/>
        </tpls>
      </m>
      <m in="0">
        <tpls c="3">
          <tpl fld="0" item="0"/>
          <tpl fld="1" item="362"/>
          <tpl fld="4" item="28"/>
        </tpls>
      </m>
      <m in="0">
        <tpls c="3">
          <tpl fld="0" item="0"/>
          <tpl fld="1" item="238"/>
          <tpl fld="4" item="26"/>
        </tpls>
      </m>
      <m in="0">
        <tpls c="3">
          <tpl fld="0" item="0"/>
          <tpl fld="1" item="272"/>
          <tpl fld="4" item="24"/>
        </tpls>
      </m>
      <m in="0">
        <tpls c="3">
          <tpl fld="0" item="0"/>
          <tpl fld="1" item="179"/>
          <tpl fld="4" item="33"/>
        </tpls>
      </m>
      <m in="0">
        <tpls c="3">
          <tpl fld="0" item="0"/>
          <tpl fld="1" item="251"/>
          <tpl fld="4" item="30"/>
        </tpls>
      </m>
      <m in="0">
        <tpls c="3">
          <tpl fld="0" item="0"/>
          <tpl fld="1" item="244"/>
          <tpl fld="4" item="26"/>
        </tpls>
      </m>
      <m in="0">
        <tpls c="3">
          <tpl fld="0" item="0"/>
          <tpl fld="1" item="217"/>
          <tpl fld="4" item="27"/>
        </tpls>
      </m>
      <n v="300" in="0">
        <tpls c="3">
          <tpl fld="0" item="0"/>
          <tpl fld="1" item="183"/>
          <tpl fld="4" item="24"/>
        </tpls>
      </n>
      <m in="0">
        <tpls c="3">
          <tpl fld="0" item="0"/>
          <tpl fld="1" item="203"/>
          <tpl fld="4" item="24"/>
        </tpls>
      </m>
      <m in="0">
        <tpls c="3">
          <tpl fld="0" item="0"/>
          <tpl fld="1" item="368"/>
          <tpl fld="4" item="33"/>
        </tpls>
      </m>
      <m in="0">
        <tpls c="3">
          <tpl fld="0" item="0"/>
          <tpl fld="1" item="306"/>
          <tpl fld="4" item="30"/>
        </tpls>
      </m>
      <m in="0">
        <tpls c="3">
          <tpl fld="0" item="0"/>
          <tpl fld="1" item="349"/>
          <tpl fld="4" item="24"/>
        </tpls>
      </m>
      <m in="0">
        <tpls c="3">
          <tpl fld="0" item="0"/>
          <tpl fld="1" item="235"/>
          <tpl fld="4" item="25"/>
        </tpls>
      </m>
      <m in="0">
        <tpls c="3">
          <tpl fld="0" item="0"/>
          <tpl fld="1" item="156"/>
          <tpl fld="4" item="32"/>
        </tpls>
      </m>
      <m in="0">
        <tpls c="3">
          <tpl fld="0" item="0"/>
          <tpl fld="1" item="423"/>
          <tpl fld="4" item="32"/>
        </tpls>
      </m>
      <m in="0">
        <tpls c="3">
          <tpl fld="0" item="0"/>
          <tpl fld="1" item="221"/>
          <tpl fld="4" item="6"/>
        </tpls>
      </m>
      <m in="0">
        <tpls c="3">
          <tpl fld="0" item="0"/>
          <tpl fld="1" item="171"/>
          <tpl fld="4" item="21"/>
        </tpls>
      </m>
      <m in="0">
        <tpls c="3">
          <tpl fld="0" item="0"/>
          <tpl fld="1" item="353"/>
          <tpl fld="4" item="23"/>
        </tpls>
      </m>
      <m in="0">
        <tpls c="3">
          <tpl fld="0" item="0"/>
          <tpl fld="1" item="181"/>
          <tpl fld="4" item="26"/>
        </tpls>
      </m>
      <n v="298" in="0">
        <tpls c="3">
          <tpl fld="0" item="0"/>
          <tpl fld="1" item="395"/>
          <tpl fld="4" item="23"/>
        </tpls>
      </n>
      <n v="1" in="0">
        <tpls c="3">
          <tpl fld="0" item="0"/>
          <tpl fld="1" item="284"/>
          <tpl fld="4" item="22"/>
        </tpls>
      </n>
      <n v="10" in="0">
        <tpls c="3">
          <tpl fld="0" item="0"/>
          <tpl fld="1" item="63"/>
          <tpl fld="4" item="19"/>
        </tpls>
      </n>
      <n v="4" in="0">
        <tpls c="3">
          <tpl fld="0" item="0"/>
          <tpl fld="1" item="249"/>
          <tpl fld="4" item="13"/>
        </tpls>
      </n>
      <n v="40" in="0">
        <tpls c="3">
          <tpl fld="0" item="0"/>
          <tpl fld="1" item="0"/>
          <tpl fld="4" item="27"/>
        </tpls>
      </n>
      <m in="0">
        <tpls c="3">
          <tpl fld="0" item="0"/>
          <tpl fld="1" item="270"/>
          <tpl fld="4" item="22"/>
        </tpls>
      </m>
      <m in="0">
        <tpls c="3">
          <tpl fld="0" item="0"/>
          <tpl fld="1" item="363"/>
          <tpl fld="4" item="25"/>
        </tpls>
      </m>
      <m in="0">
        <tpls c="3">
          <tpl fld="0" item="0"/>
          <tpl fld="1" item="146"/>
          <tpl fld="4" item="24"/>
        </tpls>
      </m>
      <n v="105" in="0">
        <tpls c="3">
          <tpl fld="0" item="0"/>
          <tpl fld="1" item="65"/>
          <tpl fld="4" item="24"/>
        </tpls>
      </n>
      <n v="6" in="0">
        <tpls c="3">
          <tpl fld="0" item="0"/>
          <tpl fld="1" item="290"/>
          <tpl fld="4" item="21"/>
        </tpls>
      </n>
      <n v="29" in="0">
        <tpls c="3">
          <tpl fld="0" item="0"/>
          <tpl fld="1" item="301"/>
          <tpl fld="4" item="15"/>
        </tpls>
      </n>
      <m in="0">
        <tpls c="3">
          <tpl fld="0" item="0"/>
          <tpl fld="1" item="192"/>
          <tpl fld="4" item="24"/>
        </tpls>
      </m>
      <m in="0">
        <tpls c="3">
          <tpl fld="0" item="0"/>
          <tpl fld="1" item="336"/>
          <tpl fld="4" item="22"/>
        </tpls>
      </m>
      <m in="0">
        <tpls c="3">
          <tpl fld="0" item="0"/>
          <tpl fld="1" item="406"/>
          <tpl fld="4" item="24"/>
        </tpls>
      </m>
      <m in="0">
        <tpls c="3">
          <tpl fld="0" item="0"/>
          <tpl fld="1" item="152"/>
          <tpl fld="4" item="32"/>
        </tpls>
      </m>
      <m in="0">
        <tpls c="3">
          <tpl fld="0" item="0"/>
          <tpl fld="1" item="8"/>
          <tpl fld="4" item="33"/>
        </tpls>
      </m>
      <m in="0">
        <tpls c="3">
          <tpl fld="0" item="0"/>
          <tpl fld="1" item="432"/>
          <tpl fld="4" item="30"/>
        </tpls>
      </m>
      <n v="230" in="0">
        <tpls c="3">
          <tpl fld="0" item="0"/>
          <tpl fld="1" item="337"/>
          <tpl fld="4" item="29"/>
        </tpls>
      </n>
      <n v="21" in="0">
        <tpls c="3">
          <tpl fld="0" item="0"/>
          <tpl fld="1" item="172"/>
          <tpl fld="4" item="24"/>
        </tpls>
      </n>
      <n v="41" in="0">
        <tpls c="3">
          <tpl fld="0" item="0"/>
          <tpl fld="1" item="326"/>
          <tpl fld="4" item="24"/>
        </tpls>
      </n>
      <m in="0">
        <tpls c="3">
          <tpl fld="0" item="0"/>
          <tpl fld="1" item="367"/>
          <tpl fld="4" item="32"/>
        </tpls>
      </m>
      <m in="0">
        <tpls c="3">
          <tpl fld="0" item="0"/>
          <tpl fld="1" item="314"/>
          <tpl fld="4" item="32"/>
        </tpls>
      </m>
      <n v="1" in="0">
        <tpls c="3">
          <tpl fld="0" item="0"/>
          <tpl fld="1" item="365"/>
          <tpl fld="4" item="33"/>
        </tpls>
      </n>
      <m in="0">
        <tpls c="3">
          <tpl fld="0" item="0"/>
          <tpl fld="1" item="220"/>
          <tpl fld="4" item="30"/>
        </tpls>
      </m>
      <m in="0">
        <tpls c="3">
          <tpl fld="0" item="0"/>
          <tpl fld="1" item="404"/>
          <tpl fld="4" item="25"/>
        </tpls>
      </m>
      <m in="0">
        <tpls c="3">
          <tpl fld="0" item="0"/>
          <tpl fld="1" item="33"/>
          <tpl fld="4" item="32"/>
        </tpls>
      </m>
      <n v="201" in="0">
        <tpls c="3">
          <tpl fld="0" item="0"/>
          <tpl fld="1" item="447"/>
          <tpl fld="4" item="24"/>
        </tpls>
      </n>
      <m in="0">
        <tpls c="3">
          <tpl fld="0" item="0"/>
          <tpl fld="1" item="418"/>
          <tpl fld="4" item="32"/>
        </tpls>
      </m>
      <m in="0">
        <tpls c="3">
          <tpl fld="0" item="0"/>
          <tpl fld="1" item="82"/>
          <tpl fld="4" item="32"/>
        </tpls>
      </m>
      <n v="4" in="0">
        <tpls c="3">
          <tpl fld="0" item="0"/>
          <tpl fld="1" item="237"/>
          <tpl fld="4" item="21"/>
        </tpls>
      </n>
      <m in="0">
        <tpls c="3">
          <tpl fld="0" item="0"/>
          <tpl fld="1" item="192"/>
          <tpl fld="4" item="27"/>
        </tpls>
      </m>
      <m in="0">
        <tpls c="3">
          <tpl fld="0" item="0"/>
          <tpl fld="1" item="446"/>
          <tpl fld="4" item="28"/>
        </tpls>
      </m>
      <n v="7" in="0">
        <tpls c="3">
          <tpl fld="0" item="0"/>
          <tpl fld="1" item="302"/>
          <tpl fld="4" item="29"/>
        </tpls>
      </n>
      <m in="0">
        <tpls c="3">
          <tpl fld="0" item="0"/>
          <tpl fld="1" item="210"/>
          <tpl fld="4" item="25"/>
        </tpls>
      </m>
      <n v="25" in="0">
        <tpls c="3">
          <tpl fld="0" item="0"/>
          <tpl fld="1" item="312"/>
          <tpl fld="4" item="16"/>
        </tpls>
      </n>
      <n v="228" in="0">
        <tpls c="3">
          <tpl fld="0" item="0"/>
          <tpl fld="1" item="201"/>
          <tpl fld="4" item="20"/>
        </tpls>
      </n>
      <m in="0">
        <tpls c="3">
          <tpl fld="0" item="0"/>
          <tpl fld="1" item="197"/>
          <tpl fld="4" item="26"/>
        </tpls>
      </m>
      <n v="2" in="0">
        <tpls c="3">
          <tpl fld="0" item="0"/>
          <tpl fld="1" item="226"/>
          <tpl fld="4" item="26"/>
        </tpls>
      </n>
      <m in="0">
        <tpls c="3">
          <tpl fld="0" item="0"/>
          <tpl fld="1" item="328"/>
          <tpl fld="4" item="21"/>
        </tpls>
      </m>
      <m in="0">
        <tpls c="3">
          <tpl fld="0" item="0"/>
          <tpl fld="1" item="129"/>
          <tpl fld="4" item="21"/>
        </tpls>
      </m>
      <n v="47" in="0">
        <tpls c="3">
          <tpl fld="0" item="0"/>
          <tpl fld="1" item="68"/>
          <tpl fld="4" item="28"/>
        </tpls>
      </n>
      <n v="32" in="0">
        <tpls c="3">
          <tpl fld="0" item="0"/>
          <tpl fld="1" item="16"/>
          <tpl fld="4" item="23"/>
        </tpls>
      </n>
      <n v="10" in="0">
        <tpls c="3">
          <tpl fld="0" item="0"/>
          <tpl fld="1" item="108"/>
          <tpl fld="4" item="29"/>
        </tpls>
      </n>
      <n v="5" in="0">
        <tpls c="3">
          <tpl fld="0" item="0"/>
          <tpl fld="1" item="213"/>
          <tpl fld="4" item="23"/>
        </tpls>
      </n>
      <m in="0">
        <tpls c="3">
          <tpl fld="0" item="0"/>
          <tpl fld="1" item="170"/>
          <tpl fld="4" item="32"/>
        </tpls>
      </m>
      <m in="0">
        <tpls c="3">
          <tpl fld="0" item="0"/>
          <tpl fld="1" item="306"/>
          <tpl fld="4" item="32"/>
        </tpls>
      </m>
      <m in="0">
        <tpls c="3">
          <tpl fld="0" item="0"/>
          <tpl fld="1" item="32"/>
          <tpl fld="4" item="31"/>
        </tpls>
      </m>
      <m in="0">
        <tpls c="3">
          <tpl fld="0" item="0"/>
          <tpl fld="1" item="450"/>
          <tpl fld="4" item="33"/>
        </tpls>
      </m>
      <m in="0">
        <tpls c="3">
          <tpl fld="0" item="0"/>
          <tpl fld="1" item="393"/>
          <tpl fld="4" item="30"/>
        </tpls>
      </m>
      <m in="0">
        <tpls c="3">
          <tpl fld="0" item="0"/>
          <tpl fld="1" item="431"/>
          <tpl fld="4" item="26"/>
        </tpls>
      </m>
      <n v="38" in="0">
        <tpls c="3">
          <tpl fld="0" item="0"/>
          <tpl fld="1" item="225"/>
          <tpl fld="4" item="22"/>
        </tpls>
      </n>
      <m in="0">
        <tpls c="3">
          <tpl fld="0" item="0"/>
          <tpl fld="1" item="379"/>
          <tpl fld="4" item="32"/>
        </tpls>
      </m>
      <m in="0">
        <tpls c="3">
          <tpl fld="0" item="0"/>
          <tpl fld="1" item="264"/>
          <tpl fld="4" item="31"/>
        </tpls>
      </m>
      <m in="0">
        <tpls c="3">
          <tpl fld="0" item="0"/>
          <tpl fld="1" item="57"/>
          <tpl fld="4" item="31"/>
        </tpls>
      </m>
      <m in="0">
        <tpls c="3">
          <tpl fld="0" item="0"/>
          <tpl fld="1" item="232"/>
          <tpl fld="4" item="33"/>
        </tpls>
      </m>
      <m in="0">
        <tpls c="3">
          <tpl fld="0" item="0"/>
          <tpl fld="1" item="299"/>
          <tpl fld="4" item="30"/>
        </tpls>
      </m>
      <n v="2" in="0">
        <tpls c="3">
          <tpl fld="0" item="0"/>
          <tpl fld="1" item="276"/>
          <tpl fld="4" item="23"/>
        </tpls>
      </n>
      <n v="84" in="0">
        <tpls c="3">
          <tpl fld="0" item="0"/>
          <tpl fld="1" item="206"/>
          <tpl fld="4" item="24"/>
        </tpls>
      </n>
      <n v="1" in="0">
        <tpls c="3">
          <tpl fld="0" item="0"/>
          <tpl fld="1" item="7"/>
          <tpl fld="4" item="31"/>
        </tpls>
      </n>
      <m in="0">
        <tpls c="3">
          <tpl fld="0" item="0"/>
          <tpl fld="1" item="75"/>
          <tpl fld="4" item="31"/>
        </tpls>
      </m>
      <m in="0">
        <tpls c="3">
          <tpl fld="0" item="0"/>
          <tpl fld="1" item="131"/>
          <tpl fld="4" item="32"/>
        </tpls>
      </m>
      <m in="0">
        <tpls c="3">
          <tpl fld="0" item="0"/>
          <tpl fld="1" item="154"/>
          <tpl fld="4" item="17"/>
        </tpls>
      </m>
      <n v="21" in="0">
        <tpls c="3">
          <tpl fld="0" item="0"/>
          <tpl fld="1" item="385"/>
          <tpl fld="4" item="26"/>
        </tpls>
      </n>
      <m in="0">
        <tpls c="3">
          <tpl fld="0" item="0"/>
          <tpl fld="1" item="397"/>
          <tpl fld="4" item="31"/>
        </tpls>
      </m>
      <n v="27" in="0">
        <tpls c="3">
          <tpl fld="0" item="0"/>
          <tpl fld="1" item="246"/>
          <tpl fld="4" item="27"/>
        </tpls>
      </n>
      <m in="0">
        <tpls c="3">
          <tpl fld="0" item="0"/>
          <tpl fld="1" item="345"/>
          <tpl fld="4" item="31"/>
        </tpls>
      </m>
      <m in="0">
        <tpls c="3">
          <tpl fld="0" item="0"/>
          <tpl fld="1" item="394"/>
          <tpl fld="4" item="30"/>
        </tpls>
      </m>
      <m in="0">
        <tpls c="3">
          <tpl fld="0" item="0"/>
          <tpl fld="1" item="178"/>
          <tpl fld="4" item="34"/>
        </tpls>
      </m>
      <m in="0">
        <tpls c="3">
          <tpl fld="0" item="0"/>
          <tpl fld="1" item="265"/>
          <tpl fld="4" item="17"/>
        </tpls>
      </m>
      <m in="0">
        <tpls c="3">
          <tpl fld="0" item="0"/>
          <tpl fld="1" item="86"/>
          <tpl fld="4" item="26"/>
        </tpls>
      </m>
      <m in="0">
        <tpls c="3">
          <tpl fld="0" item="0"/>
          <tpl fld="1" item="21"/>
          <tpl fld="4" item="26"/>
        </tpls>
      </m>
      <m in="0">
        <tpls c="3">
          <tpl fld="0" item="0"/>
          <tpl fld="1" item="51"/>
          <tpl fld="4" item="25"/>
        </tpls>
      </m>
      <m in="0">
        <tpls c="3">
          <tpl fld="0" item="0"/>
          <tpl fld="1" item="191"/>
          <tpl fld="4" item="27"/>
        </tpls>
      </m>
      <n v="17" in="0">
        <tpls c="3">
          <tpl fld="0" item="0"/>
          <tpl fld="1" item="369"/>
          <tpl fld="4" item="24"/>
        </tpls>
      </n>
      <n v="24" in="0">
        <tpls c="3">
          <tpl fld="0" item="0"/>
          <tpl fld="1" item="156"/>
          <tpl fld="4" item="29"/>
        </tpls>
      </n>
      <n v="70" in="0">
        <tpls c="3">
          <tpl fld="0" item="0"/>
          <tpl fld="1" item="322"/>
          <tpl fld="4" item="15"/>
        </tpls>
      </n>
      <n v="35" in="0">
        <tpls c="3">
          <tpl fld="0" item="0"/>
          <tpl fld="1" item="63"/>
          <tpl fld="4" item="29"/>
        </tpls>
      </n>
      <m in="0">
        <tpls c="3">
          <tpl fld="0" item="0"/>
          <tpl fld="1" item="5"/>
          <tpl fld="4" item="29"/>
        </tpls>
      </m>
      <n v="3" in="0">
        <tpls c="3">
          <tpl fld="0" item="0"/>
          <tpl fld="1" item="231"/>
          <tpl fld="4" item="22"/>
        </tpls>
      </n>
      <n v="1" in="0">
        <tpls c="3">
          <tpl fld="0" item="0"/>
          <tpl fld="1" item="95"/>
          <tpl fld="4" item="26"/>
        </tpls>
      </n>
      <n v="4" in="0">
        <tpls c="3">
          <tpl fld="0" item="0"/>
          <tpl fld="1" item="214"/>
          <tpl fld="4" item="26"/>
        </tpls>
      </n>
      <m in="0">
        <tpls c="3">
          <tpl fld="0" item="0"/>
          <tpl fld="1" item="24"/>
          <tpl fld="4" item="25"/>
        </tpls>
      </m>
      <m in="0">
        <tpls c="3">
          <tpl fld="0" item="0"/>
          <tpl fld="1" item="50"/>
          <tpl fld="4" item="18"/>
        </tpls>
      </m>
      <m in="0">
        <tpls c="3">
          <tpl fld="0" item="0"/>
          <tpl fld="1" item="239"/>
          <tpl fld="4" item="26"/>
        </tpls>
      </m>
      <m in="0">
        <tpls c="3">
          <tpl fld="0" item="0"/>
          <tpl fld="1" item="375"/>
          <tpl fld="4" item="31"/>
        </tpls>
      </m>
      <m in="0">
        <tpls c="3">
          <tpl fld="0" item="0"/>
          <tpl fld="1" item="440"/>
          <tpl fld="4" item="31"/>
        </tpls>
      </m>
      <m in="0">
        <tpls c="3">
          <tpl fld="0" item="0"/>
          <tpl fld="1" item="85"/>
          <tpl fld="4" item="32"/>
        </tpls>
      </m>
      <m in="0">
        <tpls c="3">
          <tpl fld="0" item="0"/>
          <tpl fld="1" item="162"/>
          <tpl fld="4" item="30"/>
        </tpls>
      </m>
      <n v="153" in="0">
        <tpls c="3">
          <tpl fld="0" item="0"/>
          <tpl fld="1" item="249"/>
          <tpl fld="4" item="20"/>
        </tpls>
      </n>
      <n v="7" in="0">
        <tpls c="3">
          <tpl fld="0" item="0"/>
          <tpl fld="1" item="395"/>
          <tpl fld="4" item="26"/>
        </tpls>
      </n>
      <m in="0">
        <tpls c="3">
          <tpl fld="0" item="0"/>
          <tpl fld="1" item="293"/>
          <tpl fld="4" item="31"/>
        </tpls>
      </m>
      <m in="0">
        <tpls c="3">
          <tpl fld="0" item="0"/>
          <tpl fld="1" item="42"/>
          <tpl fld="4" item="32"/>
        </tpls>
      </m>
      <m in="0">
        <tpls c="3">
          <tpl fld="0" item="0"/>
          <tpl fld="1" item="159"/>
          <tpl fld="4" item="21"/>
        </tpls>
      </m>
      <n v="2" in="0">
        <tpls c="3">
          <tpl fld="0" item="0"/>
          <tpl fld="1" item="82"/>
          <tpl fld="4" item="33"/>
        </tpls>
      </n>
      <m in="0">
        <tpls c="3">
          <tpl fld="0" item="0"/>
          <tpl fld="1" item="338"/>
          <tpl fld="4" item="30"/>
        </tpls>
      </m>
      <m in="0">
        <tpls c="3">
          <tpl fld="0" item="0"/>
          <tpl fld="1" item="303"/>
          <tpl fld="4" item="21"/>
        </tpls>
      </m>
      <m in="0">
        <tpls c="3">
          <tpl fld="0" item="0"/>
          <tpl fld="1" item="118"/>
          <tpl fld="4" item="25"/>
        </tpls>
      </m>
      <m in="0">
        <tpls c="3">
          <tpl fld="0" item="0"/>
          <tpl fld="1" item="407"/>
          <tpl fld="4" item="25"/>
        </tpls>
      </m>
      <m in="0">
        <tpls c="3">
          <tpl fld="0" item="0"/>
          <tpl fld="1" item="165"/>
          <tpl fld="4" item="28"/>
        </tpls>
      </m>
      <n v="18" in="0">
        <tpls c="3">
          <tpl fld="0" item="0"/>
          <tpl fld="1" item="8"/>
          <tpl fld="4" item="27"/>
        </tpls>
      </n>
      <n v="2" in="0">
        <tpls c="3">
          <tpl fld="0" item="0"/>
          <tpl fld="1" item="364"/>
          <tpl fld="4" item="33"/>
        </tpls>
      </n>
      <m in="0">
        <tpls c="3">
          <tpl fld="0" item="0"/>
          <tpl fld="1" item="443"/>
          <tpl fld="4" item="17"/>
        </tpls>
      </m>
      <m in="0">
        <tpls c="3">
          <tpl fld="0" item="0"/>
          <tpl fld="1" item="408"/>
          <tpl fld="4" item="25"/>
        </tpls>
      </m>
      <m in="0">
        <tpls c="3">
          <tpl fld="0" item="0"/>
          <tpl fld="1" item="127"/>
          <tpl fld="4" item="27"/>
        </tpls>
      </m>
      <n v="61" in="0">
        <tpls c="3">
          <tpl fld="0" item="0"/>
          <tpl fld="1" item="8"/>
          <tpl fld="4" item="25"/>
        </tpls>
      </n>
      <m in="0">
        <tpls c="3">
          <tpl fld="0" item="0"/>
          <tpl fld="1" item="374"/>
          <tpl fld="4" item="23"/>
        </tpls>
      </m>
      <n v="4" in="0">
        <tpls c="3">
          <tpl fld="0" item="0"/>
          <tpl fld="1" item="335"/>
          <tpl fld="4" item="21"/>
        </tpls>
      </n>
      <m in="0">
        <tpls c="3">
          <tpl fld="0" item="0"/>
          <tpl fld="1" item="378"/>
          <tpl fld="4" item="21"/>
        </tpls>
      </m>
      <n v="111" in="0">
        <tpls c="3">
          <tpl fld="0" item="0"/>
          <tpl fld="1" item="415"/>
          <tpl fld="4" item="15"/>
        </tpls>
      </n>
      <m in="0">
        <tpls c="3">
          <tpl fld="0" item="0"/>
          <tpl fld="1" item="137"/>
          <tpl fld="4" item="28"/>
        </tpls>
      </m>
      <n v="497" in="0">
        <tpls c="3">
          <tpl fld="0" item="0"/>
          <tpl fld="1" item="114"/>
          <tpl fld="4" item="29"/>
        </tpls>
      </n>
      <n v="156" in="0">
        <tpls c="3">
          <tpl fld="0" item="0"/>
          <tpl fld="1" item="395"/>
          <tpl fld="4" item="29"/>
        </tpls>
      </n>
      <n v="21" in="0">
        <tpls c="3">
          <tpl fld="0" item="0"/>
          <tpl fld="1" item="311"/>
          <tpl fld="4" item="29"/>
        </tpls>
      </n>
      <n v="352" in="0">
        <tpls c="3">
          <tpl fld="0" item="0"/>
          <tpl fld="1" item="309"/>
          <tpl fld="4" item="27"/>
        </tpls>
      </n>
      <n v="10" in="0">
        <tpls c="3">
          <tpl fld="0" item="0"/>
          <tpl fld="1" item="140"/>
          <tpl fld="4" item="26"/>
        </tpls>
      </n>
      <m in="0">
        <tpls c="3">
          <tpl fld="0" item="0"/>
          <tpl fld="1" item="89"/>
          <tpl fld="4" item="31"/>
        </tpls>
      </m>
      <m in="0">
        <tpls c="3">
          <tpl fld="0" item="0"/>
          <tpl fld="1" item="220"/>
          <tpl fld="4" item="23"/>
        </tpls>
      </m>
      <n v="261" in="0">
        <tpls c="3">
          <tpl fld="0" item="0"/>
          <tpl fld="1" item="140"/>
          <tpl fld="4" item="27"/>
        </tpls>
      </n>
      <m in="0">
        <tpls c="3">
          <tpl fld="0" item="0"/>
          <tpl fld="1" item="62"/>
          <tpl fld="4" item="33"/>
        </tpls>
      </m>
      <m in="0">
        <tpls c="3">
          <tpl fld="0" item="0"/>
          <tpl fld="1" item="180"/>
          <tpl fld="4" item="30"/>
        </tpls>
      </m>
      <m in="0">
        <tpls c="3">
          <tpl fld="0" item="0"/>
          <tpl fld="1" item="456"/>
          <tpl fld="4" item="28"/>
        </tpls>
      </m>
      <n v="200" in="0">
        <tpls c="3">
          <tpl fld="0" item="0"/>
          <tpl fld="1" item="255"/>
          <tpl fld="4" item="20"/>
        </tpls>
      </n>
      <m in="0">
        <tpls c="3">
          <tpl fld="0" item="0"/>
          <tpl fld="1" item="95"/>
          <tpl fld="4" item="22"/>
        </tpls>
      </m>
      <m in="0">
        <tpls c="3">
          <tpl fld="0" item="0"/>
          <tpl fld="1" item="93"/>
          <tpl fld="4" item="25"/>
        </tpls>
      </m>
      <m in="0">
        <tpls c="3">
          <tpl fld="0" item="0"/>
          <tpl fld="1" item="30"/>
          <tpl fld="4" item="33"/>
        </tpls>
      </m>
      <m in="0">
        <tpls c="3">
          <tpl fld="0" item="0"/>
          <tpl fld="1" item="155"/>
          <tpl fld="4" item="30"/>
        </tpls>
      </m>
      <m in="0">
        <tpls c="3">
          <tpl fld="0" item="0"/>
          <tpl fld="1" item="43"/>
          <tpl fld="4" item="22"/>
        </tpls>
      </m>
      <m in="0">
        <tpls c="3">
          <tpl fld="0" item="0"/>
          <tpl fld="1" item="440"/>
          <tpl fld="4" item="29"/>
        </tpls>
      </m>
      <n v="3" in="0">
        <tpls c="3">
          <tpl fld="0" item="0"/>
          <tpl fld="1" item="156"/>
          <tpl fld="4" item="24"/>
        </tpls>
      </n>
      <m in="0">
        <tpls c="3">
          <tpl fld="0" item="0"/>
          <tpl fld="1" item="135"/>
          <tpl fld="4" item="24"/>
        </tpls>
      </m>
      <m in="0">
        <tpls c="3">
          <tpl fld="0" item="0"/>
          <tpl fld="1" item="73"/>
          <tpl fld="4" item="18"/>
        </tpls>
      </m>
      <m in="0">
        <tpls c="3">
          <tpl fld="0" item="0"/>
          <tpl fld="1" item="119"/>
          <tpl fld="4" item="28"/>
        </tpls>
      </m>
      <n v="4" in="0">
        <tpls c="3">
          <tpl fld="0" item="0"/>
          <tpl fld="1" item="99"/>
          <tpl fld="4" item="26"/>
        </tpls>
      </n>
      <m in="0">
        <tpls c="3">
          <tpl fld="0" item="0"/>
          <tpl fld="1" item="386"/>
          <tpl fld="4" item="28"/>
        </tpls>
      </m>
      <n v="214" in="0">
        <tpls c="3">
          <tpl fld="0" item="0"/>
          <tpl fld="1" item="337"/>
          <tpl fld="4" item="27"/>
        </tpls>
      </n>
      <n v="56" in="0">
        <tpls c="3">
          <tpl fld="0" item="0"/>
          <tpl fld="1" item="42"/>
          <tpl fld="4" item="13"/>
        </tpls>
      </n>
      <n v="37" in="0">
        <tpls c="3">
          <tpl fld="0" item="0"/>
          <tpl fld="1" item="377"/>
          <tpl fld="4" item="21"/>
        </tpls>
      </n>
      <m in="0">
        <tpls c="3">
          <tpl fld="0" item="0"/>
          <tpl fld="1" item="26"/>
          <tpl fld="4" item="27"/>
        </tpls>
      </m>
      <m in="0">
        <tpls c="3">
          <tpl fld="0" item="0"/>
          <tpl fld="1" item="283"/>
          <tpl fld="4" item="22"/>
        </tpls>
      </m>
      <n v="10" in="0">
        <tpls c="3">
          <tpl fld="0" item="0"/>
          <tpl fld="1" item="57"/>
          <tpl fld="4" item="26"/>
        </tpls>
      </n>
      <m in="0">
        <tpls c="3">
          <tpl fld="0" item="0"/>
          <tpl fld="1" item="253"/>
          <tpl fld="4" item="25"/>
        </tpls>
      </m>
      <n v="44" in="0">
        <tpls c="3">
          <tpl fld="0" item="0"/>
          <tpl fld="1" item="0"/>
          <tpl fld="4" item="25"/>
        </tpls>
      </n>
      <m in="0">
        <tpls c="3">
          <tpl fld="0" item="0"/>
          <tpl fld="1" item="376"/>
          <tpl fld="4" item="24"/>
        </tpls>
      </m>
      <n v="37" in="0">
        <tpls c="3">
          <tpl fld="0" item="0"/>
          <tpl fld="1" item="18"/>
          <tpl fld="4" item="27"/>
        </tpls>
      </n>
      <n v="4" in="0">
        <tpls c="3">
          <tpl fld="0" item="0"/>
          <tpl fld="1" item="153"/>
          <tpl fld="4" item="25"/>
        </tpls>
      </n>
      <m in="0">
        <tpls c="3">
          <tpl fld="0" item="0"/>
          <tpl fld="1" item="263"/>
          <tpl fld="4" item="28"/>
        </tpls>
      </m>
      <n v="1" in="0">
        <tpls c="3">
          <tpl fld="0" item="0"/>
          <tpl fld="1" item="434"/>
          <tpl fld="4" item="22"/>
        </tpls>
      </n>
      <m in="0">
        <tpls c="3">
          <tpl fld="0" item="0"/>
          <tpl fld="1" item="392"/>
          <tpl fld="4" item="25"/>
        </tpls>
      </m>
      <n v="2" in="0">
        <tpls c="3">
          <tpl fld="0" item="0"/>
          <tpl fld="1" item="11"/>
          <tpl fld="4" item="33"/>
        </tpls>
      </n>
      <m in="0">
        <tpls c="3">
          <tpl fld="0" item="0"/>
          <tpl fld="1" item="428"/>
          <tpl fld="4" item="30"/>
        </tpls>
      </m>
      <m in="0">
        <tpls c="3">
          <tpl fld="0" item="0"/>
          <tpl fld="1" item="451"/>
          <tpl fld="4" item="25"/>
        </tpls>
      </m>
      <n v="18" in="0">
        <tpls c="3">
          <tpl fld="0" item="0"/>
          <tpl fld="1" item="342"/>
          <tpl fld="4" item="24"/>
        </tpls>
      </n>
      <n v="40" in="0">
        <tpls c="3">
          <tpl fld="0" item="0"/>
          <tpl fld="1" item="356"/>
          <tpl fld="4" item="27"/>
        </tpls>
      </n>
      <m in="0">
        <tpls c="3">
          <tpl fld="0" item="0"/>
          <tpl fld="1" item="259"/>
          <tpl fld="4" item="24"/>
        </tpls>
      </m>
      <m in="0">
        <tpls c="3">
          <tpl fld="0" item="0"/>
          <tpl fld="1" item="278"/>
          <tpl fld="4" item="24"/>
        </tpls>
      </m>
      <m in="0">
        <tpls c="3">
          <tpl fld="0" item="0"/>
          <tpl fld="1" item="103"/>
          <tpl fld="4" item="33"/>
        </tpls>
      </m>
      <n v="2" in="0">
        <tpls c="3">
          <tpl fld="0" item="0"/>
          <tpl fld="1" item="41"/>
          <tpl fld="4" item="30"/>
        </tpls>
      </n>
      <n v="362" in="0">
        <tpls c="3">
          <tpl fld="0" item="0"/>
          <tpl fld="1" item="309"/>
          <tpl fld="4" item="29"/>
        </tpls>
      </n>
      <m in="0">
        <tpls c="3">
          <tpl fld="0" item="0"/>
          <tpl fld="1" item="30"/>
          <tpl fld="4" item="24"/>
        </tpls>
      </m>
      <n v="336" in="0">
        <tpls c="3">
          <tpl fld="0" item="0"/>
          <tpl fld="1" item="273"/>
          <tpl fld="4" item="25"/>
        </tpls>
      </n>
      <n v="6" in="0">
        <tpls c="3">
          <tpl fld="0" item="0"/>
          <tpl fld="1" item="359"/>
          <tpl fld="4" item="24"/>
        </tpls>
      </n>
      <m in="0">
        <tpls c="3">
          <tpl fld="0" item="0"/>
          <tpl fld="1" item="439"/>
          <tpl fld="4" item="32"/>
        </tpls>
      </m>
      <m in="0">
        <tpls c="3">
          <tpl fld="0" item="0"/>
          <tpl fld="1" item="96"/>
          <tpl fld="4" item="17"/>
        </tpls>
      </m>
      <m in="0">
        <tpls c="3">
          <tpl fld="0" item="0"/>
          <tpl fld="1" item="97"/>
          <tpl fld="4" item="26"/>
        </tpls>
      </m>
      <m in="0">
        <tpls c="3">
          <tpl fld="0" item="0"/>
          <tpl fld="1" item="239"/>
          <tpl fld="4" item="29"/>
        </tpls>
      </m>
      <m in="0">
        <tpls c="3">
          <tpl fld="0" item="0"/>
          <tpl fld="1" item="19"/>
          <tpl fld="4" item="26"/>
        </tpls>
      </m>
      <m in="0">
        <tpls c="3">
          <tpl fld="0" item="0"/>
          <tpl fld="1" item="25"/>
          <tpl fld="4" item="28"/>
        </tpls>
      </m>
      <n v="40" in="0">
        <tpls c="3">
          <tpl fld="0" item="0"/>
          <tpl fld="1" item="274"/>
          <tpl fld="4" item="15"/>
        </tpls>
      </n>
      <m in="0">
        <tpls c="3">
          <tpl fld="0" item="0"/>
          <tpl fld="1" item="76"/>
          <tpl fld="4" item="28"/>
        </tpls>
      </m>
      <m in="0">
        <tpls c="3">
          <tpl fld="0" item="0"/>
          <tpl fld="1" item="198"/>
          <tpl fld="4" item="26"/>
        </tpls>
      </m>
      <m in="0">
        <tpls c="3">
          <tpl fld="0" item="0"/>
          <tpl fld="1" item="135"/>
          <tpl fld="4" item="32"/>
        </tpls>
      </m>
      <m in="0">
        <tpls c="3">
          <tpl fld="0" item="0"/>
          <tpl fld="1" item="139"/>
          <tpl fld="4" item="31"/>
        </tpls>
      </m>
      <n v="1" in="0">
        <tpls c="3">
          <tpl fld="0" item="0"/>
          <tpl fld="1" item="301"/>
          <tpl fld="4" item="30"/>
        </tpls>
      </n>
      <n v="542" in="0">
        <tpls c="3">
          <tpl fld="0" item="0"/>
          <tpl fld="1" item="82"/>
          <tpl fld="4" item="23"/>
        </tpls>
      </n>
      <m in="0">
        <tpls c="3">
          <tpl fld="0" item="0"/>
          <tpl fld="1" item="391"/>
          <tpl fld="4" item="31"/>
        </tpls>
      </m>
      <m in="0">
        <tpls c="3">
          <tpl fld="0" item="0"/>
          <tpl fld="1" item="255"/>
          <tpl fld="4" item="31"/>
        </tpls>
      </m>
      <m in="0">
        <tpls c="3">
          <tpl fld="0" item="0"/>
          <tpl fld="1" item="224"/>
          <tpl fld="4" item="30"/>
        </tpls>
      </m>
      <m in="0">
        <tpls c="3">
          <tpl fld="0" item="0"/>
          <tpl fld="1" item="155"/>
          <tpl fld="4" item="22"/>
        </tpls>
      </m>
      <n v="1" in="0">
        <tpls c="3">
          <tpl fld="0" item="0"/>
          <tpl fld="1" item="66"/>
          <tpl fld="4" item="22"/>
        </tpls>
      </n>
      <m in="0">
        <tpls c="3">
          <tpl fld="0" item="0"/>
          <tpl fld="1" item="435"/>
          <tpl fld="4" item="29"/>
        </tpls>
      </m>
      <m in="0">
        <tpls c="3">
          <tpl fld="0" item="0"/>
          <tpl fld="1" item="135"/>
          <tpl fld="4" item="25"/>
        </tpls>
      </m>
      <m in="0">
        <tpls c="3">
          <tpl fld="0" item="0"/>
          <tpl fld="1" item="358"/>
          <tpl fld="4" item="28"/>
        </tpls>
      </m>
      <n v="59" in="0">
        <tpls c="3">
          <tpl fld="0" item="0"/>
          <tpl fld="1" item="225"/>
          <tpl fld="4" item="21"/>
        </tpls>
      </n>
      <n v="73" in="0">
        <tpls c="3">
          <tpl fld="0" item="0"/>
          <tpl fld="1" item="121"/>
          <tpl fld="4" item="20"/>
        </tpls>
      </n>
      <m in="0">
        <tpls c="3">
          <tpl fld="0" item="0"/>
          <tpl fld="1" item="86"/>
          <tpl fld="4" item="22"/>
        </tpls>
      </m>
      <m in="0">
        <tpls c="3">
          <tpl fld="0" item="0"/>
          <tpl fld="1" item="446"/>
          <tpl fld="4" item="26"/>
        </tpls>
      </m>
      <m in="0">
        <tpls c="3">
          <tpl fld="0" item="0"/>
          <tpl fld="1" item="14"/>
          <tpl fld="4" item="18"/>
        </tpls>
      </m>
      <m in="0">
        <tpls c="3">
          <tpl fld="0" item="0"/>
          <tpl fld="1" item="48"/>
          <tpl fld="4" item="18"/>
        </tpls>
      </m>
      <m in="0">
        <tpls c="3">
          <tpl fld="0" item="0"/>
          <tpl fld="1" item="421"/>
          <tpl fld="4" item="21"/>
        </tpls>
      </m>
      <m in="0">
        <tpls c="3">
          <tpl fld="0" item="0"/>
          <tpl fld="1" item="239"/>
          <tpl fld="4" item="28"/>
        </tpls>
      </m>
      <m in="0">
        <tpls c="3">
          <tpl fld="0" item="0"/>
          <tpl fld="1" item="294"/>
          <tpl fld="4" item="26"/>
        </tpls>
      </m>
      <m in="0">
        <tpls c="3">
          <tpl fld="0" item="0"/>
          <tpl fld="1" item="328"/>
          <tpl fld="4" item="24"/>
        </tpls>
      </m>
      <m in="0">
        <tpls c="3">
          <tpl fld="0" item="0"/>
          <tpl fld="1" item="13"/>
          <tpl fld="4" item="24"/>
        </tpls>
      </m>
      <m in="0">
        <tpls c="3">
          <tpl fld="0" item="0"/>
          <tpl fld="1" item="182"/>
          <tpl fld="4" item="32"/>
        </tpls>
      </m>
      <m in="0">
        <tpls c="3">
          <tpl fld="0" item="0"/>
          <tpl fld="1" item="99"/>
          <tpl fld="4" item="32"/>
        </tpls>
      </m>
      <m in="0">
        <tpls c="3">
          <tpl fld="0" item="0"/>
          <tpl fld="1" item="29"/>
          <tpl fld="4" item="33"/>
        </tpls>
      </m>
      <m in="0">
        <tpls c="3">
          <tpl fld="0" item="0"/>
          <tpl fld="1" item="413"/>
          <tpl fld="4" item="30"/>
        </tpls>
      </m>
      <n v="154" in="0">
        <tpls c="3">
          <tpl fld="0" item="0"/>
          <tpl fld="1" item="163"/>
          <tpl fld="4" item="23"/>
        </tpls>
      </n>
      <n v="10" in="0">
        <tpls c="3">
          <tpl fld="0" item="0"/>
          <tpl fld="1" item="420"/>
          <tpl fld="4" item="28"/>
        </tpls>
      </n>
      <m in="0">
        <tpls c="3">
          <tpl fld="0" item="0"/>
          <tpl fld="1" item="128"/>
          <tpl fld="4" item="32"/>
        </tpls>
      </m>
      <m in="0">
        <tpls c="3">
          <tpl fld="0" item="0"/>
          <tpl fld="1" item="16"/>
          <tpl fld="4" item="32"/>
        </tpls>
      </m>
      <m in="0">
        <tpls c="3">
          <tpl fld="0" item="0"/>
          <tpl fld="1" item="312"/>
          <tpl fld="4" item="31"/>
        </tpls>
      </m>
      <m in="0">
        <tpls c="3">
          <tpl fld="0" item="0"/>
          <tpl fld="1" item="256"/>
          <tpl fld="4" item="33"/>
        </tpls>
      </m>
      <m in="0">
        <tpls c="3">
          <tpl fld="0" item="0"/>
          <tpl fld="1" item="353"/>
          <tpl fld="4" item="30"/>
        </tpls>
      </m>
      <m in="0">
        <tpls c="3">
          <tpl fld="0" item="0"/>
          <tpl fld="1" item="237"/>
          <tpl fld="4" item="22"/>
        </tpls>
      </m>
      <n v="21" in="0">
        <tpls c="3">
          <tpl fld="0" item="0"/>
          <tpl fld="1" item="429"/>
          <tpl fld="4" item="27"/>
        </tpls>
      </n>
      <m in="0">
        <tpls c="3">
          <tpl fld="0" item="0"/>
          <tpl fld="1" item="308"/>
          <tpl fld="4" item="32"/>
        </tpls>
      </m>
      <m in="0">
        <tpls c="3">
          <tpl fld="0" item="0"/>
          <tpl fld="1" item="128"/>
          <tpl fld="4" item="31"/>
        </tpls>
      </m>
      <m in="0">
        <tpls c="3">
          <tpl fld="0" item="0"/>
          <tpl fld="1" item="134"/>
          <tpl fld="4" item="31"/>
        </tpls>
      </m>
      <n v="20" in="0">
        <tpls c="3">
          <tpl fld="0" item="0"/>
          <tpl fld="1" item="279"/>
          <tpl fld="4" item="17"/>
        </tpls>
      </n>
      <m in="0">
        <tpls c="3">
          <tpl fld="0" item="0"/>
          <tpl fld="1" item="428"/>
          <tpl fld="4" item="22"/>
        </tpls>
      </m>
      <m in="0">
        <tpls c="3">
          <tpl fld="0" item="0"/>
          <tpl fld="1" item="78"/>
          <tpl fld="4" item="32"/>
        </tpls>
      </m>
      <m in="0">
        <tpls c="3">
          <tpl fld="0" item="0"/>
          <tpl fld="1" item="177"/>
          <tpl fld="4" item="31"/>
        </tpls>
      </m>
      <m in="0">
        <tpls c="3">
          <tpl fld="0" item="0"/>
          <tpl fld="1" item="34"/>
          <tpl fld="4" item="31"/>
        </tpls>
      </m>
      <m in="0">
        <tpls c="3">
          <tpl fld="0" item="0"/>
          <tpl fld="1" item="433"/>
          <tpl fld="4" item="30"/>
        </tpls>
      </m>
      <m in="0">
        <tpls c="3">
          <tpl fld="0" item="0"/>
          <tpl fld="1" item="318"/>
          <tpl fld="4" item="34"/>
        </tpls>
      </m>
      <m in="0">
        <tpls c="3">
          <tpl fld="0" item="0"/>
          <tpl fld="1" item="69"/>
          <tpl fld="4" item="21"/>
        </tpls>
      </m>
      <m in="0">
        <tpls c="3">
          <tpl fld="0" item="0"/>
          <tpl fld="1" item="413"/>
          <tpl fld="4" item="22"/>
        </tpls>
      </m>
      <n v="5" in="0">
        <tpls c="3">
          <tpl fld="0" item="0"/>
          <tpl fld="1" item="442"/>
          <tpl fld="4" item="26"/>
        </tpls>
      </n>
      <m in="0">
        <tpls c="3">
          <tpl fld="0" item="0"/>
          <tpl fld="1" item="58"/>
          <tpl fld="4" item="32"/>
        </tpls>
      </m>
      <n v="10" in="0">
        <tpls c="3">
          <tpl fld="0" item="0"/>
          <tpl fld="2" item="0"/>
          <tpl fld="4" item="25"/>
        </tpls>
      </n>
      <m in="0">
        <tpls c="3">
          <tpl fld="0" item="0"/>
          <tpl fld="1" item="119"/>
          <tpl fld="4" item="30"/>
        </tpls>
      </m>
      <m in="0">
        <tpls c="3">
          <tpl fld="0" item="0"/>
          <tpl fld="1" item="228"/>
          <tpl fld="4" item="34"/>
        </tpls>
      </m>
      <n v="3" in="0">
        <tpls c="3">
          <tpl fld="0" item="0"/>
          <tpl fld="1" item="173"/>
          <tpl fld="4" item="26"/>
        </tpls>
      </n>
      <n v="29" in="0">
        <tpls c="3">
          <tpl fld="0" item="0"/>
          <tpl fld="1" item="312"/>
          <tpl fld="4" item="26"/>
        </tpls>
      </n>
      <m in="0">
        <tpls c="3">
          <tpl fld="0" item="0"/>
          <tpl fld="1" item="216"/>
          <tpl fld="4" item="24"/>
        </tpls>
      </m>
      <m in="0">
        <tpls c="3">
          <tpl fld="0" item="0"/>
          <tpl fld="1" item="149"/>
          <tpl fld="4" item="32"/>
        </tpls>
      </m>
      <m in="0">
        <tpls c="3">
          <tpl fld="0" item="0"/>
          <tpl fld="1" item="280"/>
          <tpl fld="4" item="33"/>
        </tpls>
      </m>
      <m in="0">
        <tpls c="3">
          <tpl fld="0" item="0"/>
          <tpl fld="1" item="423"/>
          <tpl fld="4" item="30"/>
        </tpls>
      </m>
      <m in="0">
        <tpls c="3">
          <tpl fld="0" item="0"/>
          <tpl fld="1" item="108"/>
          <tpl fld="4" item="20"/>
        </tpls>
      </m>
      <m in="0">
        <tpls c="3">
          <tpl fld="0" item="0"/>
          <tpl fld="1" item="369"/>
          <tpl fld="4" item="22"/>
        </tpls>
      </m>
      <m in="0">
        <tpls c="3">
          <tpl fld="0" item="0"/>
          <tpl fld="1" item="33"/>
          <tpl fld="4" item="31"/>
        </tpls>
      </m>
      <m in="0">
        <tpls c="3">
          <tpl fld="0" item="0"/>
          <tpl fld="1" item="120"/>
          <tpl fld="4" item="31"/>
        </tpls>
      </m>
      <n v="708" in="0">
        <tpls c="3">
          <tpl fld="0" item="0"/>
          <tpl fld="1" item="452"/>
          <tpl fld="4" item="27"/>
        </tpls>
      </n>
      <m in="0">
        <tpls c="3">
          <tpl fld="0" item="0"/>
          <tpl fld="1" item="115"/>
          <tpl fld="4" item="30"/>
        </tpls>
      </m>
      <m in="0">
        <tpls c="3">
          <tpl fld="0" item="0"/>
          <tpl fld="1" item="434"/>
          <tpl fld="4" item="34"/>
        </tpls>
      </m>
      <n v="20" in="0">
        <tpls c="3">
          <tpl fld="0" item="0"/>
          <tpl fld="1" item="120"/>
          <tpl fld="4" item="27"/>
        </tpls>
      </n>
      <n v="23" in="0">
        <tpls c="3">
          <tpl fld="0" item="0"/>
          <tpl fld="1" item="267"/>
          <tpl fld="4" item="29"/>
        </tpls>
      </n>
      <n v="21" in="0">
        <tpls c="3">
          <tpl fld="0" item="0"/>
          <tpl fld="1" item="366"/>
          <tpl fld="4" item="24"/>
        </tpls>
      </n>
      <n v="7" in="0">
        <tpls c="3">
          <tpl fld="0" item="0"/>
          <tpl fld="1" item="263"/>
          <tpl fld="4" item="24"/>
        </tpls>
      </n>
      <m in="0">
        <tpls c="3">
          <tpl fld="0" item="0"/>
          <tpl fld="1" item="305"/>
          <tpl fld="4" item="33"/>
        </tpls>
      </m>
      <m in="0">
        <tpls c="3">
          <tpl fld="0" item="0"/>
          <tpl fld="1" item="135"/>
          <tpl fld="4" item="30"/>
        </tpls>
      </m>
      <m in="0">
        <tpls c="3">
          <tpl fld="0" item="0"/>
          <tpl fld="1" item="402"/>
          <tpl fld="4" item="35"/>
        </tpls>
      </m>
      <m in="0">
        <tpls c="3">
          <tpl fld="0" item="0"/>
          <tpl fld="1" item="245"/>
          <tpl fld="4" item="30"/>
        </tpls>
      </m>
      <m in="0">
        <tpls c="3">
          <tpl fld="0" item="0"/>
          <tpl fld="1" item="174"/>
          <tpl fld="4" item="35"/>
        </tpls>
      </m>
      <m in="0">
        <tpls c="3">
          <tpl fld="0" item="0"/>
          <tpl fld="1" item="3"/>
          <tpl fld="4" item="32"/>
        </tpls>
      </m>
      <m in="0">
        <tpls c="3">
          <tpl fld="0" item="0"/>
          <tpl fld="1" item="413"/>
          <tpl fld="4" item="34"/>
        </tpls>
      </m>
      <m in="0">
        <tpls c="3">
          <tpl fld="0" item="0"/>
          <tpl fld="1" item="109"/>
          <tpl fld="4" item="35"/>
        </tpls>
      </m>
      <m in="0">
        <tpls c="3">
          <tpl fld="0" item="0"/>
          <tpl fld="1" item="75"/>
          <tpl fld="4" item="32"/>
        </tpls>
      </m>
      <m in="0">
        <tpls c="3">
          <tpl fld="0" item="0"/>
          <tpl fld="1" item="98"/>
          <tpl fld="4" item="34"/>
        </tpls>
      </m>
      <n v="132" in="0">
        <tpls c="3">
          <tpl fld="0" item="0"/>
          <tpl fld="1" item="152"/>
          <tpl fld="4" item="25"/>
        </tpls>
      </n>
      <m in="0">
        <tpls c="3">
          <tpl fld="0" item="0"/>
          <tpl fld="1" item="165"/>
          <tpl fld="4" item="33"/>
        </tpls>
      </m>
      <m in="0">
        <tpls c="3">
          <tpl fld="0" item="0"/>
          <tpl fld="1" item="306"/>
          <tpl fld="4" item="25"/>
        </tpls>
      </m>
      <m in="0">
        <tpls c="3">
          <tpl fld="0" item="0"/>
          <tpl fld="1" item="137"/>
          <tpl fld="4" item="31"/>
        </tpls>
      </m>
      <m in="0">
        <tpls c="3">
          <tpl fld="0" item="0"/>
          <tpl fld="1" item="280"/>
          <tpl fld="4" item="31"/>
        </tpls>
      </m>
      <m in="0">
        <tpls c="3">
          <tpl fld="0" item="0"/>
          <tpl fld="1" item="44"/>
          <tpl fld="4" item="33"/>
        </tpls>
      </m>
      <m in="0">
        <tpls c="3">
          <tpl fld="0" item="0"/>
          <tpl fld="1" item="402"/>
          <tpl fld="4" item="30"/>
        </tpls>
      </m>
      <m in="0">
        <tpls c="3">
          <tpl fld="0" item="0"/>
          <tpl fld="1" item="236"/>
          <tpl fld="4" item="35"/>
        </tpls>
      </m>
      <n v="120" in="0">
        <tpls c="3">
          <tpl fld="0" item="0"/>
          <tpl fld="1" item="354"/>
          <tpl fld="4" item="25"/>
        </tpls>
      </n>
      <m in="0">
        <tpls c="3">
          <tpl fld="0" item="0"/>
          <tpl fld="1" item="210"/>
          <tpl fld="4" item="32"/>
        </tpls>
      </m>
      <m in="0">
        <tpls c="3">
          <tpl fld="0" item="0"/>
          <tpl fld="1" item="70"/>
          <tpl fld="4" item="32"/>
        </tpls>
      </m>
      <m in="0">
        <tpls c="3">
          <tpl fld="0" item="0"/>
          <tpl fld="1" item="362"/>
          <tpl fld="4" item="31"/>
        </tpls>
      </m>
      <m in="0">
        <tpls c="3">
          <tpl fld="0" item="0"/>
          <tpl fld="1" item="267"/>
          <tpl fld="4" item="33"/>
        </tpls>
      </m>
      <m in="0">
        <tpls c="3">
          <tpl fld="0" item="0"/>
          <tpl fld="1" item="380"/>
          <tpl fld="4" item="30"/>
        </tpls>
      </m>
      <n v="30" in="0">
        <tpls c="3">
          <tpl fld="0" item="0"/>
          <tpl fld="1" item="111"/>
          <tpl fld="4" item="28"/>
        </tpls>
      </n>
      <n v="66" in="0">
        <tpls c="3">
          <tpl fld="0" item="0"/>
          <tpl fld="1" item="219"/>
          <tpl fld="4" item="25"/>
        </tpls>
      </n>
      <m in="0">
        <tpls c="3">
          <tpl fld="0" item="0"/>
          <tpl fld="1" item="249"/>
          <tpl fld="4" item="32"/>
        </tpls>
      </m>
      <m in="0">
        <tpls c="3">
          <tpl fld="0" item="0"/>
          <tpl fld="1" item="421"/>
          <tpl fld="4" item="23"/>
        </tpls>
      </m>
      <m in="0">
        <tpls c="3">
          <tpl fld="0" item="0"/>
          <tpl fld="1" item="102"/>
          <tpl fld="4" item="22"/>
        </tpls>
      </m>
      <m in="0">
        <tpls c="3">
          <tpl fld="0" item="0"/>
          <tpl fld="1" item="185"/>
          <tpl fld="4" item="33"/>
        </tpls>
      </m>
      <m in="0">
        <tpls c="3">
          <tpl fld="0" item="0"/>
          <tpl fld="1" item="345"/>
          <tpl fld="4" item="30"/>
        </tpls>
      </m>
      <m in="0">
        <tpls c="3">
          <tpl fld="0" item="0"/>
          <tpl fld="1" item="18"/>
          <tpl fld="4" item="34"/>
        </tpls>
      </m>
      <n v="33" in="0">
        <tpls c="3">
          <tpl fld="0" item="0"/>
          <tpl fld="1" item="189"/>
          <tpl fld="4" item="23"/>
        </tpls>
      </n>
      <m in="0">
        <tpls c="3">
          <tpl fld="0" item="0"/>
          <tpl fld="1" item="165"/>
          <tpl fld="4" item="32"/>
        </tpls>
      </m>
      <m in="0">
        <tpls c="3">
          <tpl fld="0" item="0"/>
          <tpl fld="1" item="285"/>
          <tpl fld="4" item="32"/>
        </tpls>
      </m>
      <m in="0">
        <tpls c="3">
          <tpl fld="0" item="0"/>
          <tpl fld="1" item="261"/>
          <tpl fld="4" item="31"/>
        </tpls>
      </m>
      <m in="0">
        <tpls c="3">
          <tpl fld="0" item="0"/>
          <tpl fld="1" item="342"/>
          <tpl fld="4" item="33"/>
        </tpls>
      </m>
      <m in="0">
        <tpls c="3">
          <tpl fld="0" item="0"/>
          <tpl fld="1" item="326"/>
          <tpl fld="4" item="34"/>
        </tpls>
      </m>
      <m in="0">
        <tpls c="3">
          <tpl fld="0" item="0"/>
          <tpl fld="1" item="76"/>
          <tpl fld="4" item="30"/>
        </tpls>
      </m>
      <m in="0">
        <tpls c="3">
          <tpl fld="0" item="0"/>
          <tpl fld="1" item="202"/>
          <tpl fld="4" item="35"/>
        </tpls>
      </m>
      <n v="38" in="0">
        <tpls c="3">
          <tpl fld="0" item="0"/>
          <tpl fld="1" item="103"/>
          <tpl fld="4" item="29"/>
        </tpls>
      </n>
      <m in="0">
        <tpls c="3">
          <tpl fld="0" item="0"/>
          <tpl fld="1" item="177"/>
          <tpl fld="4" item="34"/>
        </tpls>
      </m>
      <m in="0">
        <tpls c="3">
          <tpl fld="0" item="0"/>
          <tpl fld="1" item="271"/>
          <tpl fld="4" item="35"/>
        </tpls>
      </m>
      <m in="0">
        <tpls c="3">
          <tpl fld="0" item="0"/>
          <tpl fld="1" item="233"/>
          <tpl fld="4" item="33"/>
        </tpls>
      </m>
      <m in="0">
        <tpls c="3">
          <tpl fld="0" item="0"/>
          <tpl fld="1" item="272"/>
          <tpl fld="4" item="20"/>
        </tpls>
      </m>
      <n v="196" in="0">
        <tpls c="3">
          <tpl fld="0" item="0"/>
          <tpl fld="1" item="255"/>
          <tpl fld="4" item="29"/>
        </tpls>
      </n>
      <m in="0">
        <tpls c="3">
          <tpl fld="0" item="0"/>
          <tpl fld="1" item="318"/>
          <tpl fld="4" item="25"/>
        </tpls>
      </m>
      <m in="0">
        <tpls c="3">
          <tpl fld="0" item="0"/>
          <tpl fld="1" item="396"/>
          <tpl fld="4" item="28"/>
        </tpls>
      </m>
      <m in="0">
        <tpls c="3">
          <tpl fld="0" item="0"/>
          <tpl fld="1" item="433"/>
          <tpl fld="4" item="33"/>
        </tpls>
      </m>
      <m in="0">
        <tpls c="3">
          <tpl fld="0" item="0"/>
          <tpl fld="1" item="159"/>
          <tpl fld="4" item="30"/>
        </tpls>
      </m>
      <m in="0">
        <tpls c="3">
          <tpl fld="0" item="0"/>
          <tpl fld="1" item="109"/>
          <tpl fld="4" item="20"/>
        </tpls>
      </m>
      <n v="38" in="0">
        <tpls c="3">
          <tpl fld="0" item="0"/>
          <tpl fld="1" item="425"/>
          <tpl fld="4" item="29"/>
        </tpls>
      </n>
      <m in="0">
        <tpls c="3">
          <tpl fld="0" item="0"/>
          <tpl fld="1" item="357"/>
          <tpl fld="4" item="31"/>
        </tpls>
      </m>
      <n v="4" in="0">
        <tpls c="3">
          <tpl fld="0" item="0"/>
          <tpl fld="1" item="284"/>
          <tpl fld="4" item="27"/>
        </tpls>
      </n>
      <n v="3" in="0">
        <tpls c="3">
          <tpl fld="0" item="0"/>
          <tpl fld="1" item="230"/>
          <tpl fld="4" item="33"/>
        </tpls>
      </n>
      <m in="0">
        <tpls c="3">
          <tpl fld="0" item="0"/>
          <tpl fld="1" item="298"/>
          <tpl fld="4" item="30"/>
        </tpls>
      </m>
      <m in="0">
        <tpls c="3">
          <tpl fld="0" item="0"/>
          <tpl fld="1" item="220"/>
          <tpl fld="4" item="29"/>
        </tpls>
      </m>
      <n v="330" in="0">
        <tpls c="3">
          <tpl fld="0" item="0"/>
          <tpl fld="1" item="202"/>
          <tpl fld="4" item="24"/>
        </tpls>
      </n>
      <m in="0">
        <tpls c="3">
          <tpl fld="0" item="0"/>
          <tpl fld="1" item="388"/>
          <tpl fld="4" item="25"/>
        </tpls>
      </m>
      <m in="0">
        <tpls c="3">
          <tpl fld="0" item="0"/>
          <tpl fld="1" item="176"/>
          <tpl fld="4" item="24"/>
        </tpls>
      </m>
      <m in="0">
        <tpls c="3">
          <tpl fld="0" item="0"/>
          <tpl fld="1" item="404"/>
          <tpl fld="4" item="32"/>
        </tpls>
      </m>
      <n v="6" in="0">
        <tpls c="3">
          <tpl fld="0" item="0"/>
          <tpl fld="1" item="160"/>
          <tpl fld="4" item="33"/>
        </tpls>
      </n>
      <m in="0">
        <tpls c="3">
          <tpl fld="0" item="0"/>
          <tpl fld="1" item="435"/>
          <tpl fld="4" item="30"/>
        </tpls>
      </m>
      <n v="123" in="0">
        <tpls c="3">
          <tpl fld="0" item="0"/>
          <tpl fld="1" item="395"/>
          <tpl fld="4" item="15"/>
        </tpls>
      </n>
      <n v="17" in="0">
        <tpls c="3">
          <tpl fld="0" item="0"/>
          <tpl fld="1" item="11"/>
          <tpl fld="4" item="26"/>
        </tpls>
      </n>
      <m in="0">
        <tpls c="3">
          <tpl fld="0" item="0"/>
          <tpl fld="1" item="267"/>
          <tpl fld="4" item="31"/>
        </tpls>
      </m>
      <m in="0">
        <tpls c="3">
          <tpl fld="0" item="0"/>
          <tpl fld="1" item="185"/>
          <tpl fld="4" item="15"/>
        </tpls>
      </m>
      <m in="0">
        <tpls c="3">
          <tpl fld="0" item="0"/>
          <tpl fld="1" item="14"/>
          <tpl fld="4" item="32"/>
        </tpls>
      </m>
      <m in="0">
        <tpls c="3">
          <tpl fld="0" item="0"/>
          <tpl fld="1" item="363"/>
          <tpl fld="4" item="30"/>
        </tpls>
      </m>
      <m in="0">
        <tpls c="3">
          <tpl fld="0" item="0"/>
          <tpl fld="1" item="438"/>
          <tpl fld="4" item="34"/>
        </tpls>
      </m>
      <m in="0">
        <tpls c="3">
          <tpl fld="0" item="0"/>
          <tpl fld="1" item="35"/>
          <tpl fld="4" item="26"/>
        </tpls>
      </m>
      <m in="0">
        <tpls c="3">
          <tpl fld="0" item="0"/>
          <tpl fld="1" item="240"/>
          <tpl fld="4" item="34"/>
        </tpls>
      </m>
      <m in="0">
        <tpls c="3">
          <tpl fld="0" item="0"/>
          <tpl fld="1" item="177"/>
          <tpl fld="4" item="35"/>
        </tpls>
      </m>
      <m in="0">
        <tpls c="3">
          <tpl fld="0" item="0"/>
          <tpl fld="1" item="44"/>
          <tpl fld="4" item="32"/>
        </tpls>
      </m>
      <n v="1" in="0">
        <tpls c="3">
          <tpl fld="0" item="0"/>
          <tpl fld="1" item="57"/>
          <tpl fld="4" item="34"/>
        </tpls>
      </n>
      <m in="0">
        <tpls c="3">
          <tpl fld="0" item="0"/>
          <tpl fld="1" item="392"/>
          <tpl fld="4" item="35"/>
        </tpls>
      </m>
      <m in="0">
        <tpls c="3">
          <tpl fld="0" item="0"/>
          <tpl fld="1" item="286"/>
          <tpl fld="4" item="24"/>
        </tpls>
      </m>
      <m in="0">
        <tpls c="3">
          <tpl fld="0" item="0"/>
          <tpl fld="1" item="34"/>
          <tpl fld="4" item="24"/>
        </tpls>
      </m>
      <m in="0">
        <tpls c="3">
          <tpl fld="0" item="0"/>
          <tpl fld="1" item="173"/>
          <tpl fld="4" item="31"/>
        </tpls>
      </m>
      <n v="3" in="0">
        <tpls c="3">
          <tpl fld="0" item="0"/>
          <tpl fld="1" item="67"/>
          <tpl fld="4" item="33"/>
        </tpls>
      </n>
      <m in="0">
        <tpls c="3">
          <tpl fld="0" item="0"/>
          <tpl fld="1" item="120"/>
          <tpl fld="4" item="30"/>
        </tpls>
      </m>
      <n v="84" in="0">
        <tpls c="3">
          <tpl fld="0" item="0"/>
          <tpl fld="1" item="285"/>
          <tpl fld="4" item="14"/>
        </tpls>
      </n>
      <m in="0">
        <tpls c="3">
          <tpl fld="0" item="0"/>
          <tpl fld="1" item="344"/>
          <tpl fld="4" item="24"/>
        </tpls>
      </m>
      <m in="0">
        <tpls c="3">
          <tpl fld="0" item="0"/>
          <tpl fld="1" item="214"/>
          <tpl fld="4" item="32"/>
        </tpls>
      </m>
      <m in="0">
        <tpls c="3">
          <tpl fld="0" item="0"/>
          <tpl fld="1" item="58"/>
          <tpl fld="4" item="31"/>
        </tpls>
      </m>
      <m in="0">
        <tpls c="3">
          <tpl fld="0" item="0"/>
          <tpl fld="1" item="110"/>
          <tpl fld="4" item="31"/>
        </tpls>
      </m>
      <m in="0">
        <tpls c="3">
          <tpl fld="0" item="0"/>
          <tpl fld="1" item="2"/>
          <tpl fld="4" item="33"/>
        </tpls>
      </m>
      <m in="0">
        <tpls c="3">
          <tpl fld="0" item="0"/>
          <tpl fld="2" item="0"/>
          <tpl fld="4" item="30"/>
        </tpls>
      </m>
      <n v="47" in="0">
        <tpls c="3">
          <tpl fld="0" item="0"/>
          <tpl fld="1" item="184"/>
          <tpl fld="4" item="29"/>
        </tpls>
      </n>
      <m in="0">
        <tpls c="3">
          <tpl fld="0" item="0"/>
          <tpl fld="1" item="216"/>
          <tpl fld="4" item="25"/>
        </tpls>
      </m>
      <m in="0">
        <tpls c="3">
          <tpl fld="0" item="0"/>
          <tpl fld="1" item="137"/>
          <tpl fld="4" item="17"/>
        </tpls>
      </m>
      <m in="0">
        <tpls c="3">
          <tpl fld="0" item="0"/>
          <tpl fld="1" item="228"/>
          <tpl fld="4" item="27"/>
        </tpls>
      </m>
      <m in="0">
        <tpls c="3">
          <tpl fld="0" item="0"/>
          <tpl fld="1" item="34"/>
          <tpl fld="4" item="25"/>
        </tpls>
      </m>
      <n v="5" in="0">
        <tpls c="3">
          <tpl fld="0" item="0"/>
          <tpl fld="1" item="438"/>
          <tpl fld="4" item="33"/>
        </tpls>
      </n>
      <n v="5" in="0">
        <tpls c="3">
          <tpl fld="0" item="0"/>
          <tpl fld="1" item="11"/>
          <tpl fld="4" item="30"/>
        </tpls>
      </n>
      <n v="4" in="0">
        <tpls c="3">
          <tpl fld="0" item="0"/>
          <tpl fld="1" item="224"/>
          <tpl fld="4" item="19"/>
        </tpls>
      </n>
      <m in="0">
        <tpls c="3">
          <tpl fld="0" item="0"/>
          <tpl fld="1" item="426"/>
          <tpl fld="4" item="29"/>
        </tpls>
      </m>
      <m in="0">
        <tpls c="3">
          <tpl fld="0" item="0"/>
          <tpl fld="1" item="230"/>
          <tpl fld="4" item="32"/>
        </tpls>
      </m>
      <m in="0">
        <tpls c="3">
          <tpl fld="0" item="0"/>
          <tpl fld="1" item="148"/>
          <tpl fld="4" item="31"/>
        </tpls>
      </m>
      <m in="0">
        <tpls c="3">
          <tpl fld="0" item="0"/>
          <tpl fld="1" item="323"/>
          <tpl fld="4" item="31"/>
        </tpls>
      </m>
      <m in="0">
        <tpls c="3">
          <tpl fld="0" item="0"/>
          <tpl fld="1" item="426"/>
          <tpl fld="4" item="33"/>
        </tpls>
      </m>
      <m in="0">
        <tpls c="3">
          <tpl fld="0" item="0"/>
          <tpl fld="1" item="108"/>
          <tpl fld="4" item="34"/>
        </tpls>
      </m>
      <m in="0">
        <tpls c="3">
          <tpl fld="0" item="0"/>
          <tpl fld="1" item="241"/>
          <tpl fld="4" item="29"/>
        </tpls>
      </m>
      <m in="0">
        <tpls c="3">
          <tpl fld="0" item="0"/>
          <tpl fld="1" item="5"/>
          <tpl fld="4" item="30"/>
        </tpls>
      </m>
      <m in="0">
        <tpls c="3">
          <tpl fld="0" item="0"/>
          <tpl fld="1" item="230"/>
          <tpl fld="4" item="35"/>
        </tpls>
      </m>
      <m in="0">
        <tpls c="3">
          <tpl fld="0" item="0"/>
          <tpl fld="1" item="67"/>
          <tpl fld="4" item="31"/>
        </tpls>
      </m>
      <m in="0">
        <tpls c="3">
          <tpl fld="0" item="0"/>
          <tpl fld="1" item="242"/>
          <tpl fld="4" item="34"/>
        </tpls>
      </m>
      <m in="0">
        <tpls c="3">
          <tpl fld="0" item="0"/>
          <tpl fld="1" item="342"/>
          <tpl fld="4" item="35"/>
        </tpls>
      </m>
      <m in="0">
        <tpls c="3">
          <tpl fld="0" item="0"/>
          <tpl fld="1" item="166"/>
          <tpl fld="4" item="33"/>
        </tpls>
      </m>
      <m in="0">
        <tpls c="3">
          <tpl fld="0" item="0"/>
          <tpl fld="1" item="115"/>
          <tpl fld="4" item="35"/>
        </tpls>
      </m>
      <m in="0">
        <tpls c="3">
          <tpl fld="0" item="0"/>
          <tpl fld="1" item="129"/>
          <tpl fld="4" item="31"/>
        </tpls>
      </m>
      <m in="0">
        <tpls c="3">
          <tpl fld="0" item="0"/>
          <tpl fld="1" item="362"/>
          <tpl fld="4" item="34"/>
        </tpls>
      </m>
      <m in="0">
        <tpls c="3">
          <tpl fld="0" item="0"/>
          <tpl fld="1" item="110"/>
          <tpl fld="4" item="35"/>
        </tpls>
      </m>
      <m in="0">
        <tpls c="3">
          <tpl fld="0" item="0"/>
          <tpl fld="1" item="248"/>
          <tpl fld="4" item="26"/>
        </tpls>
      </m>
      <m in="0">
        <tpls c="3">
          <tpl fld="0" item="0"/>
          <tpl fld="1" item="161"/>
          <tpl fld="4" item="34"/>
        </tpls>
      </m>
      <m in="0">
        <tpls c="3">
          <tpl fld="0" item="0"/>
          <tpl fld="1" item="350"/>
          <tpl fld="4" item="35"/>
        </tpls>
      </m>
      <m in="0">
        <tpls c="3">
          <tpl fld="0" item="0"/>
          <tpl fld="1" item="268"/>
          <tpl fld="4" item="35"/>
        </tpls>
      </m>
      <m in="0">
        <tpls c="3">
          <tpl fld="0" item="0"/>
          <tpl fld="1" item="19"/>
          <tpl fld="4" item="30"/>
        </tpls>
      </m>
      <m in="0">
        <tpls c="3">
          <tpl fld="0" item="0"/>
          <tpl fld="1" item="256"/>
          <tpl fld="4" item="35"/>
        </tpls>
      </m>
      <m in="0">
        <tpls c="3">
          <tpl fld="0" item="0"/>
          <tpl fld="1" item="141"/>
          <tpl fld="4" item="34"/>
        </tpls>
      </m>
      <n v="1" in="0">
        <tpls c="3">
          <tpl fld="0" item="0"/>
          <tpl fld="1" item="50"/>
          <tpl fld="4" item="33"/>
        </tpls>
      </n>
      <n v="11" in="0">
        <tpls c="3">
          <tpl fld="0" item="0"/>
          <tpl fld="1" item="168"/>
          <tpl fld="4" item="27"/>
        </tpls>
      </n>
      <m in="0">
        <tpls c="3">
          <tpl fld="0" item="0"/>
          <tpl fld="1" item="98"/>
          <tpl fld="4" item="25"/>
        </tpls>
      </m>
      <m in="0">
        <tpls c="3">
          <tpl fld="0" item="0"/>
          <tpl fld="1" item="135"/>
          <tpl fld="4" item="28"/>
        </tpls>
      </m>
      <m in="0">
        <tpls c="3">
          <tpl fld="0" item="0"/>
          <tpl fld="1" item="196"/>
          <tpl fld="4" item="30"/>
        </tpls>
      </m>
      <m in="0">
        <tpls c="3">
          <tpl fld="0" item="0"/>
          <tpl fld="1" item="426"/>
          <tpl fld="4" item="34"/>
        </tpls>
      </m>
      <n v="3" in="0">
        <tpls c="3">
          <tpl fld="0" item="0"/>
          <tpl fld="1" item="75"/>
          <tpl fld="4" item="27"/>
        </tpls>
      </n>
      <m in="0">
        <tpls c="3">
          <tpl fld="0" item="0"/>
          <tpl fld="1" item="353"/>
          <tpl fld="4" item="28"/>
        </tpls>
      </m>
      <m in="0">
        <tpls c="3">
          <tpl fld="0" item="0"/>
          <tpl fld="1" item="73"/>
          <tpl fld="4" item="22"/>
        </tpls>
      </m>
      <m in="0">
        <tpls c="3">
          <tpl fld="0" item="0"/>
          <tpl fld="1" item="60"/>
          <tpl fld="4" item="24"/>
        </tpls>
      </m>
      <m in="0">
        <tpls c="3">
          <tpl fld="0" item="0"/>
          <tpl fld="1" item="89"/>
          <tpl fld="4" item="33"/>
        </tpls>
      </m>
      <m in="0">
        <tpls c="3">
          <tpl fld="0" item="0"/>
          <tpl fld="1" item="23"/>
          <tpl fld="4" item="30"/>
        </tpls>
      </m>
      <n v="3" in="0">
        <tpls c="3">
          <tpl fld="0" item="0"/>
          <tpl fld="1" item="174"/>
          <tpl fld="4" item="19"/>
        </tpls>
      </n>
      <n v="59" in="0">
        <tpls c="3">
          <tpl fld="0" item="0"/>
          <tpl fld="1" item="290"/>
          <tpl fld="4" item="27"/>
        </tpls>
      </n>
      <m in="0">
        <tpls c="3">
          <tpl fld="0" item="0"/>
          <tpl fld="1" item="134"/>
          <tpl fld="4" item="32"/>
        </tpls>
      </m>
      <m in="0">
        <tpls c="3">
          <tpl fld="0" item="0"/>
          <tpl fld="1" item="21"/>
          <tpl fld="4" item="31"/>
        </tpls>
      </m>
      <m in="0">
        <tpls c="3">
          <tpl fld="0" item="0"/>
          <tpl fld="1" item="117"/>
          <tpl fld="4" item="31"/>
        </tpls>
      </m>
      <n v="1" in="0">
        <tpls c="3">
          <tpl fld="0" item="0"/>
          <tpl fld="1" item="129"/>
          <tpl fld="4" item="33"/>
        </tpls>
      </n>
      <m in="0">
        <tpls c="3">
          <tpl fld="0" item="0"/>
          <tpl fld="1" item="457"/>
          <tpl fld="4" item="34"/>
        </tpls>
      </m>
      <n v="3" in="0">
        <tpls c="3">
          <tpl fld="0" item="0"/>
          <tpl fld="1" item="233"/>
          <tpl fld="4" item="13"/>
        </tpls>
      </n>
      <m in="0">
        <tpls c="3">
          <tpl fld="0" item="0"/>
          <tpl fld="2" item="0"/>
          <tpl fld="4" item="31"/>
        </tpls>
      </m>
      <m in="0">
        <tpls c="3">
          <tpl fld="0" item="0"/>
          <tpl fld="1" item="128"/>
          <tpl fld="4" item="27"/>
        </tpls>
      </m>
      <m in="0">
        <tpls c="3">
          <tpl fld="0" item="0"/>
          <tpl fld="1" item="223"/>
          <tpl fld="4" item="26"/>
        </tpls>
      </m>
      <n v="4" in="0">
        <tpls c="3">
          <tpl fld="0" item="0"/>
          <tpl fld="1" item="288"/>
          <tpl fld="4" item="33"/>
        </tpls>
      </n>
      <m in="0">
        <tpls c="3">
          <tpl fld="0" item="0"/>
          <tpl fld="1" item="342"/>
          <tpl fld="4" item="30"/>
        </tpls>
      </m>
      <m in="0">
        <tpls c="3">
          <tpl fld="0" item="0"/>
          <tpl fld="1" item="64"/>
          <tpl fld="4" item="34"/>
        </tpls>
      </m>
      <m in="0">
        <tpls c="3">
          <tpl fld="0" item="0"/>
          <tpl fld="1" item="186"/>
          <tpl fld="4" item="33"/>
        </tpls>
      </m>
      <m in="0">
        <tpls c="3">
          <tpl fld="0" item="0"/>
          <tpl fld="1" item="312"/>
          <tpl fld="4" item="35"/>
        </tpls>
      </m>
      <m in="0">
        <tpls c="3">
          <tpl fld="0" item="0"/>
          <tpl fld="1" item="29"/>
          <tpl fld="4" item="26"/>
        </tpls>
      </m>
      <m in="0">
        <tpls c="3">
          <tpl fld="0" item="0"/>
          <tpl fld="1" item="319"/>
          <tpl fld="4" item="34"/>
        </tpls>
      </m>
      <m in="0">
        <tpls c="3">
          <tpl fld="0" item="0"/>
          <tpl fld="1" item="193"/>
          <tpl fld="4" item="35"/>
        </tpls>
      </m>
      <m in="0">
        <tpls c="3">
          <tpl fld="0" item="0"/>
          <tpl fld="1" item="397"/>
          <tpl fld="4" item="32"/>
        </tpls>
      </m>
      <m in="0">
        <tpls c="3">
          <tpl fld="0" item="0"/>
          <tpl fld="1" item="9"/>
          <tpl fld="4" item="34"/>
        </tpls>
      </m>
      <m in="0">
        <tpls c="3">
          <tpl fld="0" item="0"/>
          <tpl fld="1" item="399"/>
          <tpl fld="4" item="35"/>
        </tpls>
      </m>
      <m in="0">
        <tpls c="3">
          <tpl fld="0" item="0"/>
          <tpl fld="1" item="413"/>
          <tpl fld="4" item="28"/>
        </tpls>
      </m>
      <n v="41" in="0">
        <tpls c="3">
          <tpl fld="0" item="0"/>
          <tpl fld="1" item="129"/>
          <tpl fld="4" item="25"/>
        </tpls>
      </n>
      <n v="19" in="0">
        <tpls c="3">
          <tpl fld="0" item="0"/>
          <tpl fld="1" item="405"/>
          <tpl fld="4" item="24"/>
        </tpls>
      </n>
      <n v="1" in="0">
        <tpls c="3">
          <tpl fld="0" item="0"/>
          <tpl fld="1" item="332"/>
          <tpl fld="4" item="22"/>
        </tpls>
      </n>
      <m in="0">
        <tpls c="3">
          <tpl fld="0" item="0"/>
          <tpl fld="1" item="361"/>
          <tpl fld="4" item="33"/>
        </tpls>
      </m>
      <m in="0">
        <tpls c="3">
          <tpl fld="0" item="0"/>
          <tpl fld="1" item="51"/>
          <tpl fld="4" item="30"/>
        </tpls>
      </m>
      <n v="2" in="0">
        <tpls c="3">
          <tpl fld="0" item="0"/>
          <tpl fld="1" item="38"/>
          <tpl fld="4" item="28"/>
        </tpls>
      </n>
      <n v="31" in="0">
        <tpls c="3">
          <tpl fld="0" item="0"/>
          <tpl fld="1" item="62"/>
          <tpl fld="4" item="25"/>
        </tpls>
      </n>
      <n v="68" in="0">
        <tpls c="3">
          <tpl fld="0" item="0"/>
          <tpl fld="1" item="266"/>
          <tpl fld="4" item="26"/>
        </tpls>
      </n>
      <n v="1" in="0">
        <tpls c="3">
          <tpl fld="0" item="0"/>
          <tpl fld="1" item="317"/>
          <tpl fld="4" item="31"/>
        </tpls>
      </n>
      <m in="0">
        <tpls c="3">
          <tpl fld="0" item="0"/>
          <tpl fld="1" item="276"/>
          <tpl fld="4" item="33"/>
        </tpls>
      </m>
      <m in="0">
        <tpls c="3">
          <tpl fld="0" item="0"/>
          <tpl fld="1" item="300"/>
          <tpl fld="4" item="30"/>
        </tpls>
      </m>
      <m in="0">
        <tpls c="3">
          <tpl fld="0" item="0"/>
          <tpl fld="1" item="295"/>
          <tpl fld="4" item="26"/>
        </tpls>
      </m>
      <m in="0">
        <tpls c="3">
          <tpl fld="0" item="0"/>
          <tpl fld="1" item="306"/>
          <tpl fld="4" item="24"/>
        </tpls>
      </m>
      <n v="136" in="0">
        <tpls c="3">
          <tpl fld="0" item="0"/>
          <tpl fld="1" item="273"/>
          <tpl fld="4" item="24"/>
        </tpls>
      </n>
      <m in="0">
        <tpls c="3">
          <tpl fld="0" item="0"/>
          <tpl fld="1" item="419"/>
          <tpl fld="4" item="32"/>
        </tpls>
      </m>
      <m in="0">
        <tpls c="3">
          <tpl fld="0" item="0"/>
          <tpl fld="1" item="157"/>
          <tpl fld="4" item="32"/>
        </tpls>
      </m>
      <n v="7" in="0">
        <tpls c="3">
          <tpl fld="0" item="0"/>
          <tpl fld="1" item="68"/>
          <tpl fld="4" item="33"/>
        </tpls>
      </n>
      <m in="0">
        <tpls c="3">
          <tpl fld="0" item="0"/>
          <tpl fld="1" item="258"/>
          <tpl fld="4" item="30"/>
        </tpls>
      </m>
      <m in="0">
        <tpls c="3">
          <tpl fld="0" item="0"/>
          <tpl fld="1" item="86"/>
          <tpl fld="4" item="20"/>
        </tpls>
      </m>
      <m in="0">
        <tpls c="3">
          <tpl fld="0" item="0"/>
          <tpl fld="1" item="34"/>
          <tpl fld="4" item="26"/>
        </tpls>
      </m>
      <m in="0">
        <tpls c="3">
          <tpl fld="0" item="0"/>
          <tpl fld="1" item="187"/>
          <tpl fld="4" item="31"/>
        </tpls>
      </m>
      <n v="1086" in="0">
        <tpls c="3">
          <tpl fld="0" item="0"/>
          <tpl fld="1" item="447"/>
          <tpl fld="4" item="23"/>
        </tpls>
      </n>
      <n v="16" in="0">
        <tpls c="3">
          <tpl fld="0" item="0"/>
          <tpl fld="1" item="155"/>
          <tpl fld="4" item="25"/>
        </tpls>
      </n>
      <m in="0">
        <tpls c="3">
          <tpl fld="0" item="0"/>
          <tpl fld="1" item="72"/>
          <tpl fld="4" item="31"/>
        </tpls>
      </m>
      <n v="1" in="0">
        <tpls c="3">
          <tpl fld="0" item="0"/>
          <tpl fld="1" item="381"/>
          <tpl fld="4" item="30"/>
        </tpls>
      </n>
      <m in="0">
        <tpls c="3">
          <tpl fld="0" item="0"/>
          <tpl fld="1" item="23"/>
          <tpl fld="4" item="22"/>
        </tpls>
      </m>
      <m in="0">
        <tpls c="3">
          <tpl fld="0" item="0"/>
          <tpl fld="1" item="80"/>
          <tpl fld="4" item="32"/>
        </tpls>
      </m>
      <n v="123" in="0">
        <tpls c="3">
          <tpl fld="0" item="0"/>
          <tpl fld="1" item="65"/>
          <tpl fld="4" item="15"/>
        </tpls>
      </n>
      <m in="0">
        <tpls c="3">
          <tpl fld="0" item="0"/>
          <tpl fld="1" item="408"/>
          <tpl fld="4" item="30"/>
        </tpls>
      </m>
      <n v="5" in="0">
        <tpls c="3">
          <tpl fld="0" item="0"/>
          <tpl fld="1" item="280"/>
          <tpl fld="4" item="22"/>
        </tpls>
      </n>
      <m in="0">
        <tpls c="3">
          <tpl fld="0" item="0"/>
          <tpl fld="1" item="365"/>
          <tpl fld="4" item="31"/>
        </tpls>
      </m>
      <m in="0">
        <tpls c="3">
          <tpl fld="0" item="0"/>
          <tpl fld="1" item="241"/>
          <tpl fld="4" item="31"/>
        </tpls>
      </m>
      <n v="255" in="0">
        <tpls c="3">
          <tpl fld="0" item="0"/>
          <tpl fld="1" item="174"/>
          <tpl fld="4" item="29"/>
        </tpls>
      </n>
      <n v="20" in="0">
        <tpls c="3">
          <tpl fld="0" item="0"/>
          <tpl fld="1" item="44"/>
          <tpl fld="4" item="29"/>
        </tpls>
      </n>
      <m in="0">
        <tpls c="3">
          <tpl fld="0" item="0"/>
          <tpl fld="1" item="265"/>
          <tpl fld="4" item="27"/>
        </tpls>
      </m>
      <n v="3154" in="0">
        <tpls c="3">
          <tpl fld="0" item="0"/>
          <tpl fld="1" item="107"/>
          <tpl fld="4" item="23"/>
        </tpls>
      </n>
      <n v="10" in="0">
        <tpls c="3">
          <tpl fld="0" item="0"/>
          <tpl fld="1" item="285"/>
          <tpl fld="4" item="16"/>
        </tpls>
      </n>
      <m in="0">
        <tpls c="3">
          <tpl fld="0" item="0"/>
          <tpl fld="1" item="147"/>
          <tpl fld="4" item="15"/>
        </tpls>
      </m>
      <n v="2" in="0">
        <tpls c="3">
          <tpl fld="0" item="0"/>
          <tpl fld="1" item="326"/>
          <tpl fld="4" item="26"/>
        </tpls>
      </n>
      <n v="8" in="0">
        <tpls c="3">
          <tpl fld="0" item="0"/>
          <tpl fld="1" item="393"/>
          <tpl fld="4" item="25"/>
        </tpls>
      </n>
      <m in="0">
        <tpls c="3">
          <tpl fld="0" item="0"/>
          <tpl fld="1" item="448"/>
          <tpl fld="4" item="28"/>
        </tpls>
      </m>
      <m in="0">
        <tpls c="3">
          <tpl fld="0" item="0"/>
          <tpl fld="1" item="128"/>
          <tpl fld="4" item="28"/>
        </tpls>
      </m>
      <m in="0">
        <tpls c="3">
          <tpl fld="0" item="0"/>
          <tpl fld="1" item="251"/>
          <tpl fld="4" item="28"/>
        </tpls>
      </m>
      <n v="240" in="0">
        <tpls c="3">
          <tpl fld="0" item="0"/>
          <tpl fld="1" item="287"/>
          <tpl fld="4" item="23"/>
        </tpls>
      </n>
      <m in="0">
        <tpls c="3">
          <tpl fld="0" item="0"/>
          <tpl fld="1" item="268"/>
          <tpl fld="4" item="25"/>
        </tpls>
      </m>
      <n v="7" in="0">
        <tpls c="3">
          <tpl fld="0" item="0"/>
          <tpl fld="1" item="273"/>
          <tpl fld="4" item="26"/>
        </tpls>
      </n>
      <m in="0">
        <tpls c="3">
          <tpl fld="0" item="0"/>
          <tpl fld="1" item="396"/>
          <tpl fld="4" item="32"/>
        </tpls>
      </m>
      <n v="1" in="0">
        <tpls c="3">
          <tpl fld="0" item="0"/>
          <tpl fld="1" item="381"/>
          <tpl fld="4" item="31"/>
        </tpls>
      </n>
      <m in="0">
        <tpls c="3">
          <tpl fld="0" item="0"/>
          <tpl fld="1" item="184"/>
          <tpl fld="4" item="31"/>
        </tpls>
      </m>
      <m in="0">
        <tpls c="3">
          <tpl fld="0" item="0"/>
          <tpl fld="1" item="401"/>
          <tpl fld="4" item="33"/>
        </tpls>
      </m>
      <m in="0">
        <tpls c="3">
          <tpl fld="0" item="0"/>
          <tpl fld="1" item="61"/>
          <tpl fld="4" item="30"/>
        </tpls>
      </m>
      <m in="0">
        <tpls c="3">
          <tpl fld="0" item="0"/>
          <tpl fld="1" item="100"/>
          <tpl fld="4" item="29"/>
        </tpls>
      </m>
      <n v="24" in="0">
        <tpls c="3">
          <tpl fld="0" item="0"/>
          <tpl fld="1" item="332"/>
          <tpl fld="4" item="24"/>
        </tpls>
      </n>
      <m in="0">
        <tpls c="3">
          <tpl fld="0" item="0"/>
          <tpl fld="1" item="286"/>
          <tpl fld="4" item="31"/>
        </tpls>
      </m>
      <m in="0">
        <tpls c="3">
          <tpl fld="0" item="0"/>
          <tpl fld="1" item="347"/>
          <tpl fld="4" item="31"/>
        </tpls>
      </m>
      <m in="0">
        <tpls c="3">
          <tpl fld="0" item="0"/>
          <tpl fld="1" item="297"/>
          <tpl fld="4" item="32"/>
        </tpls>
      </m>
      <m in="0">
        <tpls c="3">
          <tpl fld="0" item="0"/>
          <tpl fld="1" item="195"/>
          <tpl fld="4" item="33"/>
        </tpls>
      </m>
      <m in="0">
        <tpls c="3">
          <tpl fld="0" item="0"/>
          <tpl fld="1" item="111"/>
          <tpl fld="4" item="30"/>
        </tpls>
      </m>
      <n v="16" in="0">
        <tpls c="3">
          <tpl fld="0" item="0"/>
          <tpl fld="1" item="180"/>
          <tpl fld="4" item="25"/>
        </tpls>
      </n>
      <m in="0">
        <tpls c="3">
          <tpl fld="0" item="0"/>
          <tpl fld="1" item="257"/>
          <tpl fld="4" item="32"/>
        </tpls>
      </m>
      <m in="0">
        <tpls c="3">
          <tpl fld="0" item="0"/>
          <tpl fld="1" item="249"/>
          <tpl fld="4" item="31"/>
        </tpls>
      </m>
      <m in="0">
        <tpls c="3">
          <tpl fld="0" item="0"/>
          <tpl fld="1" item="123"/>
          <tpl fld="4" item="24"/>
        </tpls>
      </m>
      <m in="0">
        <tpls c="3">
          <tpl fld="0" item="0"/>
          <tpl fld="1" item="358"/>
          <tpl fld="4" item="17"/>
        </tpls>
      </m>
      <m in="0">
        <tpls c="3">
          <tpl fld="0" item="0"/>
          <tpl fld="1" item="392"/>
          <tpl fld="4" item="26"/>
        </tpls>
      </m>
      <n v="28" in="0">
        <tpls c="3">
          <tpl fld="0" item="0"/>
          <tpl fld="1" item="320"/>
          <tpl fld="4" item="28"/>
        </tpls>
      </n>
      <m in="0">
        <tpls c="3">
          <tpl fld="0" item="0"/>
          <tpl fld="1" item="70"/>
          <tpl fld="4" item="31"/>
        </tpls>
      </m>
      <n v="1148" in="0">
        <tpls c="3">
          <tpl fld="0" item="0"/>
          <tpl fld="1" item="45"/>
          <tpl fld="4" item="29"/>
        </tpls>
      </n>
      <m in="0">
        <tpls c="3">
          <tpl fld="0" item="0"/>
          <tpl fld="1" item="231"/>
          <tpl fld="4" item="33"/>
        </tpls>
      </m>
      <m in="0">
        <tpls c="3">
          <tpl fld="0" item="0"/>
          <tpl fld="1" item="451"/>
          <tpl fld="4" item="30"/>
        </tpls>
      </m>
      <m in="0">
        <tpls c="3">
          <tpl fld="0" item="0"/>
          <tpl fld="1" item="425"/>
          <tpl fld="4" item="34"/>
        </tpls>
      </m>
      <m in="0">
        <tpls c="3">
          <tpl fld="0" item="0"/>
          <tpl fld="1" item="456"/>
          <tpl fld="4" item="17"/>
        </tpls>
      </m>
      <n v="8" in="0">
        <tpls c="3">
          <tpl fld="0" item="0"/>
          <tpl fld="1" item="453"/>
          <tpl fld="4" item="26"/>
        </tpls>
      </n>
      <n v="3" in="0">
        <tpls c="3">
          <tpl fld="0" item="0"/>
          <tpl fld="1" item="281"/>
          <tpl fld="4" item="33"/>
        </tpls>
      </n>
      <n v="654" in="0">
        <tpls c="3">
          <tpl fld="0" item="0"/>
          <tpl fld="1" item="87"/>
          <tpl fld="4" item="25"/>
        </tpls>
      </n>
      <m in="0">
        <tpls c="3">
          <tpl fld="0" item="0"/>
          <tpl fld="1" item="289"/>
          <tpl fld="4" item="31"/>
        </tpls>
      </m>
      <m in="0">
        <tpls c="3">
          <tpl fld="0" item="0"/>
          <tpl fld="1" item="258"/>
          <tpl fld="4" item="32"/>
        </tpls>
      </m>
      <m in="0">
        <tpls c="3">
          <tpl fld="0" item="0"/>
          <tpl fld="1" item="215"/>
          <tpl fld="4" item="33"/>
        </tpls>
      </m>
      <m in="0">
        <tpls c="3">
          <tpl fld="0" item="0"/>
          <tpl fld="1" item="167"/>
          <tpl fld="4" item="30"/>
        </tpls>
      </m>
      <m in="0">
        <tpls c="3">
          <tpl fld="0" item="0"/>
          <tpl fld="1" item="46"/>
          <tpl fld="4" item="35"/>
        </tpls>
      </m>
      <m in="0">
        <tpls c="3">
          <tpl fld="0" item="0"/>
          <tpl fld="1" item="373"/>
          <tpl fld="4" item="25"/>
        </tpls>
      </m>
      <m in="0">
        <tpls c="3">
          <tpl fld="0" item="0"/>
          <tpl fld="1" item="8"/>
          <tpl fld="4" item="32"/>
        </tpls>
      </m>
      <m in="0">
        <tpls c="3">
          <tpl fld="0" item="0"/>
          <tpl fld="1" item="366"/>
          <tpl fld="4" item="32"/>
        </tpls>
      </m>
      <m in="0">
        <tpls c="3">
          <tpl fld="0" item="0"/>
          <tpl fld="1" item="310"/>
          <tpl fld="4" item="31"/>
        </tpls>
      </m>
      <m in="0">
        <tpls c="3">
          <tpl fld="0" item="0"/>
          <tpl fld="1" item="413"/>
          <tpl fld="4" item="33"/>
        </tpls>
      </m>
      <m in="0">
        <tpls c="3">
          <tpl fld="0" item="0"/>
          <tpl fld="3" item="0"/>
          <tpl fld="4" item="30"/>
        </tpls>
      </m>
      <m in="0">
        <tpls c="3">
          <tpl fld="0" item="0"/>
          <tpl fld="1" item="407"/>
          <tpl fld="4" item="15"/>
        </tpls>
      </m>
      <n v="12" in="0">
        <tpls c="3">
          <tpl fld="0" item="0"/>
          <tpl fld="1" item="108"/>
          <tpl fld="4" item="25"/>
        </tpls>
      </n>
      <n v="6" in="0">
        <tpls c="3">
          <tpl fld="0" item="0"/>
          <tpl fld="1" item="402"/>
          <tpl fld="4" item="24"/>
        </tpls>
      </n>
      <n v="6" in="0">
        <tpls c="3">
          <tpl fld="0" item="0"/>
          <tpl fld="1" item="10"/>
          <tpl fld="4" item="28"/>
        </tpls>
      </n>
      <n v="4" in="0">
        <tpls c="3">
          <tpl fld="0" item="0"/>
          <tpl fld="1" item="81"/>
          <tpl fld="4" item="27"/>
        </tpls>
      </n>
      <m in="0">
        <tpls c="3">
          <tpl fld="0" item="0"/>
          <tpl fld="1" item="257"/>
          <tpl fld="4" item="33"/>
        </tpls>
      </m>
      <m in="0">
        <tpls c="3">
          <tpl fld="0" item="0"/>
          <tpl fld="1" item="341"/>
          <tpl fld="4" item="30"/>
        </tpls>
      </m>
      <m in="0">
        <tpls c="3">
          <tpl fld="0" item="0"/>
          <tpl fld="1" item="332"/>
          <tpl fld="4" item="34"/>
        </tpls>
      </m>
      <n v="790" in="0">
        <tpls c="3">
          <tpl fld="0" item="0"/>
          <tpl fld="1" item="7"/>
          <tpl fld="4" item="23"/>
        </tpls>
      </n>
      <m in="0">
        <tpls c="3">
          <tpl fld="0" item="0"/>
          <tpl fld="1" item="297"/>
          <tpl fld="4" item="24"/>
        </tpls>
      </m>
      <m in="0">
        <tpls c="3">
          <tpl fld="0" item="0"/>
          <tpl fld="1" item="293"/>
          <tpl fld="4" item="32"/>
        </tpls>
      </m>
      <m in="0">
        <tpls c="3">
          <tpl fld="0" item="0"/>
          <tpl fld="1" item="259"/>
          <tpl fld="4" item="32"/>
        </tpls>
      </m>
      <m in="0">
        <tpls c="3">
          <tpl fld="0" item="0"/>
          <tpl fld="1" item="34"/>
          <tpl fld="4" item="33"/>
        </tpls>
      </m>
      <m in="0">
        <tpls c="3">
          <tpl fld="0" item="0"/>
          <tpl fld="1" item="118"/>
          <tpl fld="4" item="34"/>
        </tpls>
      </m>
      <m in="0">
        <tpls c="3">
          <tpl fld="0" item="0"/>
          <tpl fld="1" item="394"/>
          <tpl fld="4" item="35"/>
        </tpls>
      </m>
      <m in="0">
        <tpls c="3">
          <tpl fld="0" item="0"/>
          <tpl fld="1" item="221"/>
          <tpl fld="4" item="30"/>
        </tpls>
      </m>
      <m in="0">
        <tpls c="3">
          <tpl fld="0" item="0"/>
          <tpl fld="1" item="371"/>
          <tpl fld="4" item="35"/>
        </tpls>
      </m>
      <m in="0">
        <tpls c="3">
          <tpl fld="0" item="0"/>
          <tpl fld="1" item="87"/>
          <tpl fld="4" item="31"/>
        </tpls>
      </m>
      <m in="0">
        <tpls c="3">
          <tpl fld="0" item="0"/>
          <tpl fld="1" item="356"/>
          <tpl fld="4" item="34"/>
        </tpls>
      </m>
      <m in="0">
        <tpls c="3">
          <tpl fld="0" item="0"/>
          <tpl fld="1" item="407"/>
          <tpl fld="4" item="35"/>
        </tpls>
      </m>
      <m in="0">
        <tpls c="3">
          <tpl fld="0" item="0"/>
          <tpl fld="1" item="349"/>
          <tpl fld="4" item="33"/>
        </tpls>
      </m>
      <m in="0">
        <tpls c="3">
          <tpl fld="0" item="0"/>
          <tpl fld="1" item="373"/>
          <tpl fld="4" item="35"/>
        </tpls>
      </m>
      <n v="44" in="0">
        <tpls c="3">
          <tpl fld="0" item="0"/>
          <tpl fld="1" item="453"/>
          <tpl fld="4" item="24"/>
        </tpls>
      </n>
      <m in="0">
        <tpls c="3">
          <tpl fld="0" item="0"/>
          <tpl fld="1" item="95"/>
          <tpl fld="4" item="21"/>
        </tpls>
      </m>
      <n v="3221" in="0">
        <tpls c="3">
          <tpl fld="0" item="0"/>
          <tpl fld="1" item="266"/>
          <tpl fld="4" item="23"/>
        </tpls>
      </n>
      <n v="25" in="0">
        <tpls c="3">
          <tpl fld="0" item="0"/>
          <tpl fld="1" item="7"/>
          <tpl fld="4" item="26"/>
        </tpls>
      </n>
      <m in="0">
        <tpls c="3">
          <tpl fld="0" item="0"/>
          <tpl fld="1" item="141"/>
          <tpl fld="4" item="31"/>
        </tpls>
      </m>
      <m in="0">
        <tpls c="3">
          <tpl fld="0" item="0"/>
          <tpl fld="1" item="14"/>
          <tpl fld="4" item="33"/>
        </tpls>
      </m>
      <m in="0">
        <tpls c="3">
          <tpl fld="0" item="0"/>
          <tpl fld="1" item="328"/>
          <tpl fld="4" item="30"/>
        </tpls>
      </m>
      <m in="0">
        <tpls c="3">
          <tpl fld="0" item="0"/>
          <tpl fld="1" item="12"/>
          <tpl fld="4" item="23"/>
        </tpls>
      </m>
      <m in="0">
        <tpls c="3">
          <tpl fld="0" item="0"/>
          <tpl fld="1" item="268"/>
          <tpl fld="4" item="31"/>
        </tpls>
      </m>
      <m in="0">
        <tpls c="3">
          <tpl fld="0" item="0"/>
          <tpl fld="1" item="328"/>
          <tpl fld="4" item="31"/>
        </tpls>
      </m>
      <n v="1" in="0">
        <tpls c="3">
          <tpl fld="0" item="0"/>
          <tpl fld="1" item="437"/>
          <tpl fld="4" item="31"/>
        </tpls>
      </n>
      <m in="0">
        <tpls c="3">
          <tpl fld="0" item="0"/>
          <tpl fld="1" item="108"/>
          <tpl fld="4" item="33"/>
        </tpls>
      </m>
      <m in="0">
        <tpls c="3">
          <tpl fld="0" item="0"/>
          <tpl fld="1" item="358"/>
          <tpl fld="4" item="30"/>
        </tpls>
      </m>
      <m in="0">
        <tpls c="3">
          <tpl fld="0" item="0"/>
          <tpl fld="1" item="406"/>
          <tpl fld="4" item="23"/>
        </tpls>
      </m>
      <m in="0">
        <tpls c="3">
          <tpl fld="0" item="0"/>
          <tpl fld="1" item="78"/>
          <tpl fld="4" item="24"/>
        </tpls>
      </m>
      <n v="56" in="0">
        <tpls c="3">
          <tpl fld="0" item="0"/>
          <tpl fld="1" item="317"/>
          <tpl fld="4" item="25"/>
        </tpls>
      </n>
      <n v="3" in="0">
        <tpls c="3">
          <tpl fld="0" item="0"/>
          <tpl fld="1" item="449"/>
          <tpl fld="4" item="24"/>
        </tpls>
      </n>
      <m in="0">
        <tpls c="3">
          <tpl fld="0" item="0"/>
          <tpl fld="1" item="198"/>
          <tpl fld="4" item="32"/>
        </tpls>
      </m>
      <m in="0">
        <tpls c="3">
          <tpl fld="0" item="0"/>
          <tpl fld="1" item="241"/>
          <tpl fld="4" item="33"/>
        </tpls>
      </m>
      <m in="0">
        <tpls c="3">
          <tpl fld="0" item="0"/>
          <tpl fld="1" item="32"/>
          <tpl fld="4" item="30"/>
        </tpls>
      </m>
      <m in="0">
        <tpls c="3">
          <tpl fld="0" item="0"/>
          <tpl fld="1" item="147"/>
          <tpl fld="4" item="21"/>
        </tpls>
      </m>
      <m in="0">
        <tpls c="3">
          <tpl fld="0" item="0"/>
          <tpl fld="1" item="352"/>
          <tpl fld="4" item="22"/>
        </tpls>
      </m>
      <m in="0">
        <tpls c="3">
          <tpl fld="0" item="0"/>
          <tpl fld="1" item="107"/>
          <tpl fld="4" item="31"/>
        </tpls>
      </m>
      <m in="0">
        <tpls c="3">
          <tpl fld="0" item="0"/>
          <tpl fld="1" item="5"/>
          <tpl fld="4" item="31"/>
        </tpls>
      </m>
      <n v="70" in="0">
        <tpls c="3">
          <tpl fld="0" item="0"/>
          <tpl fld="1" item="64"/>
          <tpl fld="4" item="24"/>
        </tpls>
      </n>
      <m in="0">
        <tpls c="3">
          <tpl fld="0" item="0"/>
          <tpl fld="1" item="389"/>
          <tpl fld="4" item="30"/>
        </tpls>
      </m>
      <m in="0">
        <tpls c="3">
          <tpl fld="0" item="0"/>
          <tpl fld="1" item="121"/>
          <tpl fld="4" item="34"/>
        </tpls>
      </m>
      <n v="17" in="0">
        <tpls c="3">
          <tpl fld="0" item="0"/>
          <tpl fld="1" item="124"/>
          <tpl fld="4" item="29"/>
        </tpls>
      </n>
      <m in="0">
        <tpls c="3">
          <tpl fld="0" item="0"/>
          <tpl fld="1" item="249"/>
          <tpl fld="4" item="34"/>
        </tpls>
      </m>
      <m in="0">
        <tpls c="3">
          <tpl fld="0" item="0"/>
          <tpl fld="1" item="348"/>
          <tpl fld="4" item="35"/>
        </tpls>
      </m>
      <n v="13" in="0">
        <tpls c="3">
          <tpl fld="0" item="0"/>
          <tpl fld="1" item="420"/>
          <tpl fld="4" item="22"/>
        </tpls>
      </n>
      <m in="0">
        <tpls c="3">
          <tpl fld="0" item="0"/>
          <tpl fld="1" item="339"/>
          <tpl fld="4" item="34"/>
        </tpls>
      </m>
      <m in="0">
        <tpls c="3">
          <tpl fld="0" item="0"/>
          <tpl fld="1" item="164"/>
          <tpl fld="4" item="35"/>
        </tpls>
      </m>
      <m in="0">
        <tpls c="3">
          <tpl fld="0" item="0"/>
          <tpl fld="1" item="409"/>
          <tpl fld="4" item="33"/>
        </tpls>
      </m>
      <n v="7" in="0">
        <tpls c="3">
          <tpl fld="0" item="0"/>
          <tpl fld="1" item="411"/>
          <tpl fld="4" item="21"/>
        </tpls>
      </n>
      <m in="0">
        <tpls c="3">
          <tpl fld="0" item="0"/>
          <tpl fld="1" item="381"/>
          <tpl fld="4" item="32"/>
        </tpls>
      </m>
      <m in="0">
        <tpls c="3">
          <tpl fld="0" item="0"/>
          <tpl fld="1" item="155"/>
          <tpl fld="4" item="32"/>
        </tpls>
      </m>
      <m in="0">
        <tpls c="3">
          <tpl fld="0" item="0"/>
          <tpl fld="1" item="192"/>
          <tpl fld="4" item="32"/>
        </tpls>
      </m>
      <m in="0">
        <tpls c="3">
          <tpl fld="0" item="0"/>
          <tpl fld="1" item="437"/>
          <tpl fld="4" item="33"/>
        </tpls>
      </m>
      <m in="0">
        <tpls c="3">
          <tpl fld="0" item="0"/>
          <tpl fld="1" item="166"/>
          <tpl fld="4" item="34"/>
        </tpls>
      </m>
      <n v="4" in="0">
        <tpls c="3">
          <tpl fld="0" item="0"/>
          <tpl fld="1" item="382"/>
          <tpl fld="4" item="28"/>
        </tpls>
      </n>
      <m in="0">
        <tpls c="3">
          <tpl fld="0" item="0"/>
          <tpl fld="1" item="61"/>
          <tpl fld="4" item="32"/>
        </tpls>
      </m>
      <m in="0">
        <tpls c="3">
          <tpl fld="0" item="0"/>
          <tpl fld="1" item="86"/>
          <tpl fld="4" item="28"/>
        </tpls>
      </m>
      <n v="4" in="0">
        <tpls c="3">
          <tpl fld="0" item="0"/>
          <tpl fld="1" item="58"/>
          <tpl fld="4" item="27"/>
        </tpls>
      </n>
      <m in="0">
        <tpls c="3">
          <tpl fld="0" item="0"/>
          <tpl fld="1" item="112"/>
          <tpl fld="4" item="33"/>
        </tpls>
      </m>
      <m in="0">
        <tpls c="3">
          <tpl fld="0" item="0"/>
          <tpl fld="1" item="249"/>
          <tpl fld="4" item="30"/>
        </tpls>
      </m>
      <m in="0">
        <tpls c="3">
          <tpl fld="0" item="0"/>
          <tpl fld="1" item="83"/>
          <tpl fld="4" item="27"/>
        </tpls>
      </m>
      <n v="9" in="0">
        <tpls c="3">
          <tpl fld="0" item="0"/>
          <tpl fld="1" item="2"/>
          <tpl fld="4" item="27"/>
        </tpls>
      </n>
      <m in="0">
        <tpls c="3">
          <tpl fld="0" item="0"/>
          <tpl fld="1" item="49"/>
          <tpl fld="4" item="32"/>
        </tpls>
      </m>
      <m in="0">
        <tpls c="3">
          <tpl fld="0" item="0"/>
          <tpl fld="1" item="236"/>
          <tpl fld="4" item="31"/>
        </tpls>
      </m>
      <m in="0">
        <tpls c="3">
          <tpl fld="0" item="0"/>
          <tpl fld="1" item="124"/>
          <tpl fld="4" item="31"/>
        </tpls>
      </m>
      <m in="0">
        <tpls c="3">
          <tpl fld="0" item="0"/>
          <tpl fld="1" item="83"/>
          <tpl fld="4" item="33"/>
        </tpls>
      </m>
      <m in="0">
        <tpls c="3">
          <tpl fld="0" item="0"/>
          <tpl fld="1" item="397"/>
          <tpl fld="4" item="30"/>
        </tpls>
      </m>
      <n v="103" in="0">
        <tpls c="3">
          <tpl fld="0" item="0"/>
          <tpl fld="1" item="148"/>
          <tpl fld="4" item="23"/>
        </tpls>
      </n>
      <m in="0">
        <tpls c="3">
          <tpl fld="0" item="0"/>
          <tpl fld="1" item="170"/>
          <tpl fld="4" item="25"/>
        </tpls>
      </m>
      <m in="0">
        <tpls c="3">
          <tpl fld="0" item="0"/>
          <tpl fld="1" item="93"/>
          <tpl fld="4" item="31"/>
        </tpls>
      </m>
      <m in="0">
        <tpls c="3">
          <tpl fld="0" item="0"/>
          <tpl fld="1" item="307"/>
          <tpl fld="4" item="29"/>
        </tpls>
      </m>
      <n v="44" in="0">
        <tpls c="3">
          <tpl fld="0" item="0"/>
          <tpl fld="1" item="302"/>
          <tpl fld="4" item="25"/>
        </tpls>
      </n>
      <n v="2" in="0">
        <tpls c="3">
          <tpl fld="0" item="0"/>
          <tpl fld="1" item="319"/>
          <tpl fld="4" item="33"/>
        </tpls>
      </n>
      <m in="0">
        <tpls c="3">
          <tpl fld="0" item="0"/>
          <tpl fld="1" item="161"/>
          <tpl fld="4" item="30"/>
        </tpls>
      </m>
      <m in="0">
        <tpls c="3">
          <tpl fld="0" item="0"/>
          <tpl fld="1" item="14"/>
          <tpl fld="4" item="34"/>
        </tpls>
      </m>
      <m in="0">
        <tpls c="3">
          <tpl fld="0" item="0"/>
          <tpl fld="1" item="370"/>
          <tpl fld="4" item="31"/>
        </tpls>
      </m>
      <m in="0">
        <tpls c="3">
          <tpl fld="0" item="0"/>
          <tpl fld="1" item="288"/>
          <tpl fld="4" item="34"/>
        </tpls>
      </m>
      <m in="0">
        <tpls c="3">
          <tpl fld="0" item="0"/>
          <tpl fld="1" item="252"/>
          <tpl fld="4" item="35"/>
        </tpls>
      </m>
      <m in="0">
        <tpls c="3">
          <tpl fld="0" item="0"/>
          <tpl fld="1" item="148"/>
          <tpl fld="4" item="34"/>
        </tpls>
      </m>
      <m in="0">
        <tpls c="3">
          <tpl fld="0" item="0"/>
          <tpl fld="1" item="157"/>
          <tpl fld="4" item="35"/>
        </tpls>
      </m>
      <m in="0">
        <tpls c="3">
          <tpl fld="0" item="0"/>
          <tpl fld="1" item="446"/>
          <tpl fld="4" item="15"/>
        </tpls>
      </m>
      <m in="0">
        <tpls c="3">
          <tpl fld="0" item="0"/>
          <tpl fld="1" item="70"/>
          <tpl fld="4" item="22"/>
        </tpls>
      </m>
      <m in="0">
        <tpls c="3">
          <tpl fld="0" item="0"/>
          <tpl fld="1" item="198"/>
          <tpl fld="4" item="24"/>
        </tpls>
      </m>
      <m in="0">
        <tpls c="3">
          <tpl fld="0" item="0"/>
          <tpl fld="1" item="23"/>
          <tpl fld="4" item="23"/>
        </tpls>
      </m>
      <m in="0">
        <tpls c="3">
          <tpl fld="0" item="0"/>
          <tpl fld="1" item="439"/>
          <tpl fld="4" item="33"/>
        </tpls>
      </m>
      <m in="0">
        <tpls c="3">
          <tpl fld="0" item="0"/>
          <tpl fld="1" item="217"/>
          <tpl fld="4" item="30"/>
        </tpls>
      </m>
      <n v="68" in="0">
        <tpls c="3">
          <tpl fld="0" item="0"/>
          <tpl fld="1" item="224"/>
          <tpl fld="4" item="15"/>
        </tpls>
      </n>
      <n v="2" in="0">
        <tpls c="3">
          <tpl fld="0" item="0"/>
          <tpl fld="1" item="332"/>
          <tpl fld="4" item="26"/>
        </tpls>
      </n>
      <m in="0">
        <tpls c="3">
          <tpl fld="0" item="0"/>
          <tpl fld="1" item="441"/>
          <tpl fld="4" item="31"/>
        </tpls>
      </m>
      <n v="19" in="0">
        <tpls c="3">
          <tpl fld="0" item="0"/>
          <tpl fld="1" item="290"/>
          <tpl fld="4" item="24"/>
        </tpls>
      </n>
      <m in="0">
        <tpls c="3">
          <tpl fld="0" item="0"/>
          <tpl fld="1" item="419"/>
          <tpl fld="4" item="33"/>
        </tpls>
      </m>
      <m in="0">
        <tpls c="3">
          <tpl fld="0" item="0"/>
          <tpl fld="1" item="13"/>
          <tpl fld="4" item="30"/>
        </tpls>
      </m>
      <n v="376" in="0">
        <tpls c="3">
          <tpl fld="0" item="0"/>
          <tpl fld="1" item="269"/>
          <tpl fld="4" item="27"/>
        </tpls>
      </n>
      <n v="7" in="0">
        <tpls c="3">
          <tpl fld="0" item="0"/>
          <tpl fld="1" item="142"/>
          <tpl fld="4" item="24"/>
        </tpls>
      </n>
      <n v="21" in="0">
        <tpls c="3">
          <tpl fld="0" item="0"/>
          <tpl fld="1" item="370"/>
          <tpl fld="4" item="24"/>
        </tpls>
      </n>
      <m in="0">
        <tpls c="3">
          <tpl fld="0" item="0"/>
          <tpl fld="1" item="403"/>
          <tpl fld="4" item="32"/>
        </tpls>
      </m>
      <m in="0">
        <tpls c="3">
          <tpl fld="0" item="0"/>
          <tpl fld="1" item="201"/>
          <tpl fld="4" item="32"/>
        </tpls>
      </m>
      <m in="0">
        <tpls c="3">
          <tpl fld="0" item="0"/>
          <tpl fld="1" item="291"/>
          <tpl fld="4" item="33"/>
        </tpls>
      </m>
      <m in="0">
        <tpls c="3">
          <tpl fld="0" item="0"/>
          <tpl fld="1" item="35"/>
          <tpl fld="4" item="30"/>
        </tpls>
      </m>
      <m in="0">
        <tpls c="3">
          <tpl fld="0" item="0"/>
          <tpl fld="1" item="21"/>
          <tpl fld="4" item="21"/>
        </tpls>
      </m>
      <m in="0">
        <tpls c="3">
          <tpl fld="0" item="0"/>
          <tpl fld="1" item="457"/>
          <tpl fld="4" item="26"/>
        </tpls>
      </m>
      <m in="0">
        <tpls c="3">
          <tpl fld="0" item="0"/>
          <tpl fld="1" item="240"/>
          <tpl fld="4" item="31"/>
        </tpls>
      </m>
      <m in="0">
        <tpls c="3">
          <tpl fld="0" item="0"/>
          <tpl fld="1" item="450"/>
          <tpl fld="4" item="25"/>
        </tpls>
      </m>
      <m in="0">
        <tpls c="3">
          <tpl fld="0" item="0"/>
          <tpl fld="1" item="446"/>
          <tpl fld="4" item="31"/>
        </tpls>
      </m>
      <m in="0">
        <tpls c="3">
          <tpl fld="0" item="0"/>
          <tpl fld="1" item="400"/>
          <tpl fld="4" item="30"/>
        </tpls>
      </m>
      <m in="0">
        <tpls c="3">
          <tpl fld="0" item="0"/>
          <tpl fld="1" item="107"/>
          <tpl fld="4" item="34"/>
        </tpls>
      </m>
      <n v="166" in="0">
        <tpls c="3">
          <tpl fld="0" item="0"/>
          <tpl fld="1" item="10"/>
          <tpl fld="4" item="25"/>
        </tpls>
      </n>
      <m in="0">
        <tpls c="3">
          <tpl fld="0" item="0"/>
          <tpl fld="1" item="272"/>
          <tpl fld="4" item="34"/>
        </tpls>
      </m>
      <m in="0">
        <tpls c="3">
          <tpl fld="0" item="0"/>
          <tpl fld="1" item="314"/>
          <tpl fld="4" item="35"/>
        </tpls>
      </m>
      <m in="0">
        <tpls c="3">
          <tpl fld="0" item="0"/>
          <tpl fld="1" item="340"/>
          <tpl fld="4" item="31"/>
        </tpls>
      </m>
      <m in="0">
        <tpls c="3">
          <tpl fld="0" item="0"/>
          <tpl fld="1" item="90"/>
          <tpl fld="4" item="34"/>
        </tpls>
      </m>
      <m in="0">
        <tpls c="3">
          <tpl fld="0" item="0"/>
          <tpl fld="1" item="453"/>
          <tpl fld="4" item="35"/>
        </tpls>
      </m>
      <m in="0">
        <tpls c="3">
          <tpl fld="0" item="0"/>
          <tpl fld="1" item="326"/>
          <tpl fld="4" item="30"/>
        </tpls>
      </m>
      <m in="0">
        <tpls c="3">
          <tpl fld="0" item="0"/>
          <tpl fld="1" item="310"/>
          <tpl fld="4" item="35"/>
        </tpls>
      </m>
      <m in="0">
        <tpls c="3">
          <tpl fld="0" item="0"/>
          <tpl fld="1" item="210"/>
          <tpl fld="4" item="22"/>
        </tpls>
      </m>
      <m in="0">
        <tpls c="3">
          <tpl fld="0" item="0"/>
          <tpl fld="1" item="172"/>
          <tpl fld="4" item="34"/>
        </tpls>
      </m>
      <m in="0">
        <tpls c="3">
          <tpl fld="0" item="0"/>
          <tpl fld="1" item="102"/>
          <tpl fld="4" item="35"/>
        </tpls>
      </m>
      <m in="0">
        <tpls c="3">
          <tpl fld="0" item="0"/>
          <tpl fld="1" item="82"/>
          <tpl fld="4" item="31"/>
        </tpls>
      </m>
      <m in="0">
        <tpls c="3">
          <tpl fld="0" item="0"/>
          <tpl fld="1" item="194"/>
          <tpl fld="4" item="34"/>
        </tpls>
      </m>
      <m in="0">
        <tpls c="3">
          <tpl fld="0" item="0"/>
          <tpl fld="1" item="139"/>
          <tpl fld="4" item="35"/>
        </tpls>
      </m>
      <m in="0">
        <tpls c="3">
          <tpl fld="0" item="0"/>
          <tpl fld="1" item="294"/>
          <tpl fld="4" item="29"/>
        </tpls>
      </m>
      <m in="0">
        <tpls c="3">
          <tpl fld="0" item="0"/>
          <tpl fld="1" item="113"/>
          <tpl fld="4" item="34"/>
        </tpls>
      </m>
      <m in="0">
        <tpls c="3">
          <tpl fld="0" item="0"/>
          <tpl fld="1" item="361"/>
          <tpl fld="4" item="35"/>
        </tpls>
      </m>
      <m in="0">
        <tpls c="3">
          <tpl fld="0" item="0"/>
          <tpl fld="1" item="435"/>
          <tpl fld="4" item="35"/>
        </tpls>
      </m>
      <n v="112" in="0">
        <tpls c="3">
          <tpl fld="0" item="0"/>
          <tpl fld="1" item="326"/>
          <tpl fld="4" item="25"/>
        </tpls>
      </n>
      <m in="0">
        <tpls c="3">
          <tpl fld="0" item="0"/>
          <tpl fld="1" item="247"/>
          <tpl fld="4" item="32"/>
        </tpls>
      </m>
      <m in="0">
        <tpls c="3">
          <tpl fld="0" item="0"/>
          <tpl fld="1" item="118"/>
          <tpl fld="4" item="32"/>
        </tpls>
      </m>
      <n v="1" in="0">
        <tpls c="3">
          <tpl fld="0" item="0"/>
          <tpl fld="1" item="206"/>
          <tpl fld="4" item="33"/>
        </tpls>
      </n>
      <m in="0">
        <tpls c="3">
          <tpl fld="0" item="0"/>
          <tpl fld="1" item="100"/>
          <tpl fld="4" item="30"/>
        </tpls>
      </m>
      <m in="0">
        <tpls c="3">
          <tpl fld="0" item="0"/>
          <tpl fld="1" item="48"/>
          <tpl fld="4" item="35"/>
        </tpls>
      </m>
      <n v="1334" in="0">
        <tpls c="3">
          <tpl fld="0" item="0"/>
          <tpl fld="1" item="390"/>
          <tpl fld="4" item="25"/>
        </tpls>
      </n>
      <n v="138" in="0">
        <tpls c="3">
          <tpl fld="0" item="0"/>
          <tpl fld="1" item="309"/>
          <tpl fld="4" item="24"/>
        </tpls>
      </n>
      <m in="0">
        <tpls c="3">
          <tpl fld="0" item="0"/>
          <tpl fld="1" item="219"/>
          <tpl fld="4" item="32"/>
        </tpls>
      </m>
      <m in="0">
        <tpls c="3">
          <tpl fld="0" item="0"/>
          <tpl fld="1" item="368"/>
          <tpl fld="4" item="32"/>
        </tpls>
      </m>
      <m in="0">
        <tpls c="3">
          <tpl fld="0" item="0"/>
          <tpl fld="1" item="436"/>
          <tpl fld="4" item="33"/>
        </tpls>
      </m>
      <n v="1" in="0">
        <tpls c="3">
          <tpl fld="0" item="0"/>
          <tpl fld="1" item="99"/>
          <tpl fld="4" item="30"/>
        </tpls>
      </n>
      <m in="0">
        <tpls c="3">
          <tpl fld="0" item="0"/>
          <tpl fld="1" item="176"/>
          <tpl fld="4" item="13"/>
        </tpls>
      </m>
      <m in="0">
        <tpls c="3">
          <tpl fld="0" item="0"/>
          <tpl fld="1" item="421"/>
          <tpl fld="4" item="26"/>
        </tpls>
      </m>
      <m in="0">
        <tpls c="3">
          <tpl fld="0" item="0"/>
          <tpl fld="1" item="398"/>
          <tpl fld="4" item="31"/>
        </tpls>
      </m>
      <m in="0">
        <tpls c="3">
          <tpl fld="0" item="0"/>
          <tpl fld="1" item="108"/>
          <tpl fld="4" item="32"/>
        </tpls>
      </m>
      <m in="0">
        <tpls c="3">
          <tpl fld="0" item="0"/>
          <tpl fld="1" item="313"/>
          <tpl fld="4" item="31"/>
        </tpls>
      </m>
      <n v="1" in="0">
        <tpls c="3">
          <tpl fld="0" item="0"/>
          <tpl fld="1" item="226"/>
          <tpl fld="4" item="33"/>
        </tpls>
      </n>
      <m in="0">
        <tpls c="3">
          <tpl fld="0" item="0"/>
          <tpl fld="1" item="131"/>
          <tpl fld="4" item="30"/>
        </tpls>
      </m>
      <m in="0">
        <tpls c="3">
          <tpl fld="0" item="0"/>
          <tpl fld="1" item="197"/>
          <tpl fld="4" item="34"/>
        </tpls>
      </m>
      <m in="0">
        <tpls c="3">
          <tpl fld="0" item="0"/>
          <tpl fld="1" item="128"/>
          <tpl fld="4" item="24"/>
        </tpls>
      </m>
      <m in="0">
        <tpls c="3">
          <tpl fld="0" item="0"/>
          <tpl fld="1" item="88"/>
          <tpl fld="4" item="25"/>
        </tpls>
      </m>
      <m in="0">
        <tpls c="3">
          <tpl fld="0" item="0"/>
          <tpl fld="1" item="326"/>
          <tpl fld="4" item="32"/>
        </tpls>
      </m>
      <m in="0">
        <tpls c="3">
          <tpl fld="0" item="0"/>
          <tpl fld="1" item="401"/>
          <tpl fld="4" item="32"/>
        </tpls>
      </m>
      <m in="0">
        <tpls c="3">
          <tpl fld="0" item="0"/>
          <tpl fld="1" item="187"/>
          <tpl fld="4" item="33"/>
        </tpls>
      </m>
      <m in="0">
        <tpls c="3">
          <tpl fld="0" item="0"/>
          <tpl fld="1" item="392"/>
          <tpl fld="4" item="30"/>
        </tpls>
      </m>
      <m in="0">
        <tpls c="3">
          <tpl fld="0" item="0"/>
          <tpl fld="1" item="360"/>
          <tpl fld="4" item="35"/>
        </tpls>
      </m>
      <m in="0">
        <tpls c="3">
          <tpl fld="0" item="0"/>
          <tpl fld="1" item="71"/>
          <tpl fld="4" item="30"/>
        </tpls>
      </m>
      <m in="0">
        <tpls c="3">
          <tpl fld="0" item="0"/>
          <tpl fld="1" item="126"/>
          <tpl fld="4" item="35"/>
        </tpls>
      </m>
      <m in="0">
        <tpls c="3">
          <tpl fld="0" item="0"/>
          <tpl fld="1" item="395"/>
          <tpl fld="4" item="31"/>
        </tpls>
      </m>
      <m in="0">
        <tpls c="3">
          <tpl fld="0" item="0"/>
          <tpl fld="1" item="65"/>
          <tpl fld="4" item="34"/>
        </tpls>
      </m>
      <m in="0">
        <tpls c="3">
          <tpl fld="0" item="0"/>
          <tpl fld="1" item="339"/>
          <tpl fld="4" item="35"/>
        </tpls>
      </m>
      <m in="0">
        <tpls c="3">
          <tpl fld="0" item="0"/>
          <tpl fld="1" item="396"/>
          <tpl fld="4" item="34"/>
        </tpls>
      </m>
      <n v="9" in="0">
        <tpls c="3">
          <tpl fld="0" item="0"/>
          <tpl fld="1" item="10"/>
          <tpl fld="4" item="17"/>
        </tpls>
      </n>
      <m in="0">
        <tpls c="3">
          <tpl fld="0" item="0"/>
          <tpl fld="1" item="191"/>
          <tpl fld="4" item="22"/>
        </tpls>
      </m>
      <m in="0">
        <tpls c="3">
          <tpl fld="0" item="0"/>
          <tpl fld="1" item="452"/>
          <tpl fld="4" item="32"/>
        </tpls>
      </m>
      <m in="0">
        <tpls c="3">
          <tpl fld="0" item="0"/>
          <tpl fld="1" item="353"/>
          <tpl fld="4" item="31"/>
        </tpls>
      </m>
      <m in="0">
        <tpls c="3">
          <tpl fld="0" item="0"/>
          <tpl fld="1" item="300"/>
          <tpl fld="4" item="32"/>
        </tpls>
      </m>
      <m in="0">
        <tpls c="3">
          <tpl fld="0" item="0"/>
          <tpl fld="1" item="298"/>
          <tpl fld="4" item="33"/>
        </tpls>
      </m>
      <m in="0">
        <tpls c="3">
          <tpl fld="0" item="0"/>
          <tpl fld="1" item="21"/>
          <tpl fld="4" item="34"/>
        </tpls>
      </m>
      <n v="1" in="0">
        <tpls c="3">
          <tpl fld="0" item="0"/>
          <tpl fld="1" item="449"/>
          <tpl fld="4" item="22"/>
        </tpls>
      </n>
      <m in="0">
        <tpls c="3">
          <tpl fld="0" item="0"/>
          <tpl fld="1" item="318"/>
          <tpl fld="4" item="31"/>
        </tpls>
      </m>
      <m in="0">
        <tpls c="3">
          <tpl fld="0" item="0"/>
          <tpl fld="1" item="341"/>
          <tpl fld="4" item="22"/>
        </tpls>
      </m>
      <m in="0">
        <tpls c="3">
          <tpl fld="0" item="0"/>
          <tpl fld="1" item="446"/>
          <tpl fld="4" item="25"/>
        </tpls>
      </m>
      <n v="4" in="0">
        <tpls c="3">
          <tpl fld="0" item="0"/>
          <tpl fld="1" item="377"/>
          <tpl fld="4" item="33"/>
        </tpls>
      </n>
      <n v="2" in="0">
        <tpls c="3">
          <tpl fld="0" item="0"/>
          <tpl fld="1" item="140"/>
          <tpl fld="4" item="30"/>
        </tpls>
      </n>
      <n v="1229" in="0">
        <tpls c="3">
          <tpl fld="0" item="0"/>
          <tpl fld="1" item="33"/>
          <tpl fld="4" item="27"/>
        </tpls>
      </n>
      <m in="0">
        <tpls c="3">
          <tpl fld="0" item="0"/>
          <tpl fld="1" item="304"/>
          <tpl fld="4" item="25"/>
        </tpls>
      </m>
      <m in="0">
        <tpls c="3">
          <tpl fld="0" item="0"/>
          <tpl fld="1" item="340"/>
          <tpl fld="4" item="29"/>
        </tpls>
      </m>
      <n v="1" in="0">
        <tpls c="3">
          <tpl fld="0" item="0"/>
          <tpl fld="1" item="442"/>
          <tpl fld="4" item="30"/>
        </tpls>
      </n>
      <m in="0">
        <tpls c="3">
          <tpl fld="0" item="0"/>
          <tpl fld="1" item="164"/>
          <tpl fld="4" item="26"/>
        </tpls>
      </m>
      <m in="0">
        <tpls c="3">
          <tpl fld="0" item="0"/>
          <tpl fld="1" item="204"/>
          <tpl fld="4" item="31"/>
        </tpls>
      </m>
      <n v="42" in="0">
        <tpls c="3">
          <tpl fld="0" item="0"/>
          <tpl fld="1" item="219"/>
          <tpl fld="4" item="24"/>
        </tpls>
      </n>
      <m in="0">
        <tpls c="3">
          <tpl fld="0" item="0"/>
          <tpl fld="1" item="457"/>
          <tpl fld="4" item="33"/>
        </tpls>
      </m>
      <m in="0">
        <tpls c="3">
          <tpl fld="0" item="0"/>
          <tpl fld="1" item="270"/>
          <tpl fld="4" item="30"/>
        </tpls>
      </m>
      <n v="38" in="0">
        <tpls c="3">
          <tpl fld="0" item="0"/>
          <tpl fld="1" item="225"/>
          <tpl fld="4" item="26"/>
        </tpls>
      </n>
      <m in="0">
        <tpls c="3">
          <tpl fld="0" item="0"/>
          <tpl fld="1" item="233"/>
          <tpl fld="4" item="31"/>
        </tpls>
      </m>
      <n v="372" in="0">
        <tpls c="3">
          <tpl fld="0" item="0"/>
          <tpl fld="1" item="67"/>
          <tpl fld="4" item="29"/>
        </tpls>
      </n>
      <m in="0">
        <tpls c="3">
          <tpl fld="0" item="0"/>
          <tpl fld="1" item="35"/>
          <tpl fld="4" item="6"/>
        </tpls>
      </m>
      <n v="18" in="0">
        <tpls c="3">
          <tpl fld="0" item="0"/>
          <tpl fld="1" item="444"/>
          <tpl fld="4" item="27"/>
        </tpls>
      </n>
      <m in="0">
        <tpls c="3">
          <tpl fld="0" item="0"/>
          <tpl fld="1" item="147"/>
          <tpl fld="4" item="26"/>
        </tpls>
      </m>
      <n v="7" in="0">
        <tpls c="3">
          <tpl fld="0" item="0"/>
          <tpl fld="1" item="55"/>
          <tpl fld="4" item="29"/>
        </tpls>
      </n>
      <n v="1" in="0">
        <tpls c="3">
          <tpl fld="0" item="0"/>
          <tpl fld="1" item="246"/>
          <tpl fld="4" item="19"/>
        </tpls>
      </n>
      <n v="35" in="0">
        <tpls c="3">
          <tpl fld="0" item="0"/>
          <tpl fld="1" item="132"/>
          <tpl fld="4" item="17"/>
        </tpls>
      </n>
      <n v="61" in="0">
        <tpls c="3">
          <tpl fld="0" item="0"/>
          <tpl fld="1" item="403"/>
          <tpl fld="4" item="25"/>
        </tpls>
      </n>
      <m in="0">
        <tpls c="3">
          <tpl fld="0" item="0"/>
          <tpl fld="1" item="241"/>
          <tpl fld="4" item="28"/>
        </tpls>
      </m>
      <n v="830" in="0">
        <tpls c="3">
          <tpl fld="0" item="0"/>
          <tpl fld="1" item="269"/>
          <tpl fld="4" item="23"/>
        </tpls>
      </n>
      <n v="184" in="0">
        <tpls c="3">
          <tpl fld="0" item="0"/>
          <tpl fld="1" item="430"/>
          <tpl fld="4" item="23"/>
        </tpls>
      </n>
      <n v="1279" in="0">
        <tpls c="3">
          <tpl fld="0" item="0"/>
          <tpl fld="1" item="33"/>
          <tpl fld="4" item="29"/>
        </tpls>
      </n>
      <m in="0">
        <tpls c="3">
          <tpl fld="0" item="0"/>
          <tpl fld="1" item="31"/>
          <tpl fld="4" item="29"/>
        </tpls>
      </m>
      <m in="0">
        <tpls c="3">
          <tpl fld="0" item="0"/>
          <tpl fld="1" item="307"/>
          <tpl fld="4" item="24"/>
        </tpls>
      </m>
      <m in="0">
        <tpls c="3">
          <tpl fld="0" item="0"/>
          <tpl fld="1" item="393"/>
          <tpl fld="4" item="32"/>
        </tpls>
      </m>
      <n v="8" in="0">
        <tpls c="3">
          <tpl fld="0" item="0"/>
          <tpl fld="1" item="283"/>
          <tpl fld="4" item="23"/>
        </tpls>
      </n>
      <m in="0">
        <tpls c="3">
          <tpl fld="0" item="0"/>
          <tpl fld="1" item="129"/>
          <tpl fld="4" item="32"/>
        </tpls>
      </m>
      <n v="3" in="0">
        <tpls c="3">
          <tpl fld="0" item="0"/>
          <tpl fld="1" item="49"/>
          <tpl fld="4" item="33"/>
        </tpls>
      </n>
      <m in="0">
        <tpls c="3">
          <tpl fld="0" item="0"/>
          <tpl fld="1" item="387"/>
          <tpl fld="4" item="30"/>
        </tpls>
      </m>
      <n v="1" in="0">
        <tpls c="3">
          <tpl fld="0" item="0"/>
          <tpl fld="1" item="276"/>
          <tpl fld="4" item="29"/>
        </tpls>
      </n>
      <m in="0">
        <tpls c="3">
          <tpl fld="0" item="0"/>
          <tpl fld="1" item="34"/>
          <tpl fld="4" item="32"/>
        </tpls>
      </m>
      <m in="0">
        <tpls c="3">
          <tpl fld="0" item="0"/>
          <tpl fld="1" item="408"/>
          <tpl fld="4" item="31"/>
        </tpls>
      </m>
      <n v="3" in="0">
        <tpls c="3">
          <tpl fld="0" item="0"/>
          <tpl fld="1" item="173"/>
          <tpl fld="4" item="28"/>
        </tpls>
      </n>
      <m in="0">
        <tpls c="3">
          <tpl fld="0" item="0"/>
          <tpl fld="1" item="169"/>
          <tpl fld="4" item="33"/>
        </tpls>
      </m>
      <m in="0">
        <tpls c="3">
          <tpl fld="0" item="0"/>
          <tpl fld="1" item="265"/>
          <tpl fld="4" item="30"/>
        </tpls>
      </m>
      <m in="0">
        <tpls c="3">
          <tpl fld="0" item="0"/>
          <tpl fld="1" item="440"/>
          <tpl fld="4" item="25"/>
        </tpls>
      </m>
      <m in="0">
        <tpls c="3">
          <tpl fld="0" item="0"/>
          <tpl fld="1" item="198"/>
          <tpl fld="4" item="31"/>
        </tpls>
      </m>
      <n v="360" in="0">
        <tpls c="3">
          <tpl fld="0" item="0"/>
          <tpl fld="1" item="49"/>
          <tpl fld="4" item="23"/>
        </tpls>
      </n>
      <m in="0">
        <tpls c="3">
          <tpl fld="0" item="0"/>
          <tpl fld="1" item="63"/>
          <tpl fld="4" item="22"/>
        </tpls>
      </m>
      <m in="0">
        <tpls c="3">
          <tpl fld="0" item="0"/>
          <tpl fld="1" item="388"/>
          <tpl fld="4" item="24"/>
        </tpls>
      </m>
      <m in="0">
        <tpls c="3">
          <tpl fld="0" item="0"/>
          <tpl fld="1" item="235"/>
          <tpl fld="4" item="24"/>
        </tpls>
      </m>
      <n v="7" in="0">
        <tpls c="3">
          <tpl fld="0" item="0"/>
          <tpl fld="1" item="186"/>
          <tpl fld="4" item="27"/>
        </tpls>
      </n>
      <n v="284" in="0">
        <tpls c="3">
          <tpl fld="0" item="0"/>
          <tpl fld="1" item="149"/>
          <tpl fld="4" item="24"/>
        </tpls>
      </n>
      <m in="0">
        <tpls c="3">
          <tpl fld="0" item="0"/>
          <tpl fld="1" item="91"/>
          <tpl fld="4" item="24"/>
        </tpls>
      </m>
      <n v="3" in="0">
        <tpls c="3">
          <tpl fld="0" item="0"/>
          <tpl fld="1" item="317"/>
          <tpl fld="4" item="33"/>
        </tpls>
      </n>
      <m in="0">
        <tpls c="3">
          <tpl fld="0" item="0"/>
          <tpl fld="1" item="43"/>
          <tpl fld="4" item="30"/>
        </tpls>
      </m>
      <m in="0">
        <tpls c="3">
          <tpl fld="0" item="0"/>
          <tpl fld="1" item="290"/>
          <tpl fld="4" item="34"/>
        </tpls>
      </m>
      <n v="37" in="0">
        <tpls c="3">
          <tpl fld="0" item="0"/>
          <tpl fld="1" item="106"/>
          <tpl fld="4" item="24"/>
        </tpls>
      </n>
      <n v="34" in="0">
        <tpls c="3">
          <tpl fld="0" item="0"/>
          <tpl fld="1" item="360"/>
          <tpl fld="4" item="24"/>
        </tpls>
      </n>
      <m in="0">
        <tpls c="3">
          <tpl fld="0" item="0"/>
          <tpl fld="1" item="361"/>
          <tpl fld="4" item="20"/>
        </tpls>
      </m>
      <m in="0">
        <tpls c="3">
          <tpl fld="0" item="0"/>
          <tpl fld="1" item="286"/>
          <tpl fld="4" item="28"/>
        </tpls>
      </m>
      <m in="0">
        <tpls c="3">
          <tpl fld="0" item="0"/>
          <tpl fld="1" item="388"/>
          <tpl fld="4" item="27"/>
        </tpls>
      </m>
      <m in="0">
        <tpls c="3">
          <tpl fld="0" item="0"/>
          <tpl fld="1" item="335"/>
          <tpl fld="4" item="32"/>
        </tpls>
      </m>
      <m in="0">
        <tpls c="3">
          <tpl fld="0" item="0"/>
          <tpl fld="1" item="355"/>
          <tpl fld="4" item="33"/>
        </tpls>
      </m>
      <m in="0">
        <tpls c="3">
          <tpl fld="0" item="0"/>
          <tpl fld="1" item="136"/>
          <tpl fld="4" item="30"/>
        </tpls>
      </m>
      <n v="279" in="0">
        <tpls c="3">
          <tpl fld="0" item="0"/>
          <tpl fld="1" item="149"/>
          <tpl fld="4" item="15"/>
        </tpls>
      </n>
      <n v="12" in="0">
        <tpls c="3">
          <tpl fld="0" item="0"/>
          <tpl fld="1" item="42"/>
          <tpl fld="4" item="28"/>
        </tpls>
      </n>
      <m in="0">
        <tpls c="3">
          <tpl fld="0" item="0"/>
          <tpl fld="1" item="194"/>
          <tpl fld="4" item="31"/>
        </tpls>
      </m>
      <m in="0">
        <tpls c="3">
          <tpl fld="0" item="0"/>
          <tpl fld="1" item="399"/>
          <tpl fld="4" item="31"/>
        </tpls>
      </m>
      <m in="0">
        <tpls c="3">
          <tpl fld="0" item="0"/>
          <tpl fld="1" item="231"/>
          <tpl fld="4" item="31"/>
        </tpls>
      </m>
      <m in="0">
        <tpls c="3">
          <tpl fld="0" item="0"/>
          <tpl fld="1" item="416"/>
          <tpl fld="4" item="33"/>
        </tpls>
      </m>
      <m in="0">
        <tpls c="3">
          <tpl fld="0" item="0"/>
          <tpl fld="1" item="141"/>
          <tpl fld="4" item="30"/>
        </tpls>
      </m>
      <n v="31" in="0">
        <tpls c="3">
          <tpl fld="0" item="0"/>
          <tpl fld="1" item="80"/>
          <tpl fld="4" item="28"/>
        </tpls>
      </n>
      <n v="4" in="0">
        <tpls c="3">
          <tpl fld="0" item="0"/>
          <tpl fld="1" item="56"/>
          <tpl fld="4" item="24"/>
        </tpls>
      </n>
      <n v="31" in="0">
        <tpls c="3">
          <tpl fld="0" item="0"/>
          <tpl fld="1" item="331"/>
          <tpl fld="4" item="26"/>
        </tpls>
      </n>
      <n v="45" in="0">
        <tpls c="3">
          <tpl fld="0" item="0"/>
          <tpl fld="1" item="422"/>
          <tpl fld="4" item="24"/>
        </tpls>
      </n>
      <m in="0">
        <tpls c="3">
          <tpl fld="0" item="0"/>
          <tpl fld="1" item="21"/>
          <tpl fld="4" item="32"/>
        </tpls>
      </m>
      <m in="0">
        <tpls c="3">
          <tpl fld="0" item="0"/>
          <tpl fld="1" item="306"/>
          <tpl fld="4" item="33"/>
        </tpls>
      </m>
      <m in="0">
        <tpls c="3">
          <tpl fld="0" item="0"/>
          <tpl fld="1" item="327"/>
          <tpl fld="4" item="30"/>
        </tpls>
      </m>
      <m in="0">
        <tpls c="3">
          <tpl fld="0" item="0"/>
          <tpl fld="1" item="86"/>
          <tpl fld="4" item="15"/>
        </tpls>
      </m>
      <n v="5" in="0">
        <tpls c="3">
          <tpl fld="0" item="0"/>
          <tpl fld="1" item="330"/>
          <tpl fld="4" item="22"/>
        </tpls>
      </n>
      <m in="0">
        <tpls c="3">
          <tpl fld="0" item="0"/>
          <tpl fld="1" item="115"/>
          <tpl fld="4" item="31"/>
        </tpls>
      </m>
      <m in="0">
        <tpls c="3">
          <tpl fld="0" item="0"/>
          <tpl fld="1" item="329"/>
          <tpl fld="4" item="31"/>
        </tpls>
      </m>
      <m in="0">
        <tpls c="3">
          <tpl fld="0" item="0"/>
          <tpl fld="1" item="48"/>
          <tpl fld="4" item="22"/>
        </tpls>
      </m>
      <m in="0">
        <tpls c="3">
          <tpl fld="0" item="0"/>
          <tpl fld="1" item="27"/>
          <tpl fld="4" item="30"/>
        </tpls>
      </m>
      <m in="0">
        <tpls c="3">
          <tpl fld="0" item="0"/>
          <tpl fld="1" item="185"/>
          <tpl fld="4" item="34"/>
        </tpls>
      </m>
      <m in="0">
        <tpls c="3">
          <tpl fld="0" item="0"/>
          <tpl fld="1" item="261"/>
          <tpl fld="4" item="25"/>
        </tpls>
      </m>
      <m in="0">
        <tpls c="3">
          <tpl fld="0" item="0"/>
          <tpl fld="1" item="415"/>
          <tpl fld="4" item="34"/>
        </tpls>
      </m>
      <m in="0">
        <tpls c="3">
          <tpl fld="0" item="0"/>
          <tpl fld="1" item="279"/>
          <tpl fld="4" item="35"/>
        </tpls>
      </m>
      <n v="86" in="0">
        <tpls c="3">
          <tpl fld="0" item="0"/>
          <tpl fld="1" item="337"/>
          <tpl fld="4" item="24"/>
        </tpls>
      </n>
      <m in="0">
        <tpls c="3">
          <tpl fld="0" item="0"/>
          <tpl fld="1" item="189"/>
          <tpl fld="4" item="34"/>
        </tpls>
      </m>
      <m in="0">
        <tpls c="3">
          <tpl fld="0" item="0"/>
          <tpl fld="1" item="248"/>
          <tpl fld="4" item="35"/>
        </tpls>
      </m>
      <n v="2" in="0">
        <tpls c="3">
          <tpl fld="0" item="0"/>
          <tpl fld="1" item="39"/>
          <tpl fld="4" item="33"/>
        </tpls>
      </n>
      <m in="0">
        <tpls c="3">
          <tpl fld="0" item="0"/>
          <tpl fld="1" item="209"/>
          <tpl fld="4" item="35"/>
        </tpls>
      </m>
      <n v="46" in="0">
        <tpls c="3">
          <tpl fld="0" item="0"/>
          <tpl fld="1" item="382"/>
          <tpl fld="4" item="24"/>
        </tpls>
      </n>
      <n v="17" in="0">
        <tpls c="3">
          <tpl fld="0" item="0"/>
          <tpl fld="1" item="320"/>
          <tpl fld="4" item="26"/>
        </tpls>
      </n>
      <m in="0">
        <tpls c="3">
          <tpl fld="0" item="0"/>
          <tpl fld="1" item="43"/>
          <tpl fld="4" item="32"/>
        </tpls>
      </m>
      <m in="0">
        <tpls c="3">
          <tpl fld="0" item="0"/>
          <tpl fld="1" item="187"/>
          <tpl fld="4" item="32"/>
        </tpls>
      </m>
      <n v="212" in="0">
        <tpls c="3">
          <tpl fld="0" item="0"/>
          <tpl fld="1" item="87"/>
          <tpl fld="4" item="24"/>
        </tpls>
      </n>
      <m in="0">
        <tpls c="3">
          <tpl fld="0" item="0"/>
          <tpl fld="1" item="422"/>
          <tpl fld="4" item="33"/>
        </tpls>
      </m>
      <m in="0">
        <tpls c="3">
          <tpl fld="0" item="0"/>
          <tpl fld="1" item="2"/>
          <tpl fld="4" item="34"/>
        </tpls>
      </m>
      <m in="0">
        <tpls c="3">
          <tpl fld="0" item="0"/>
          <tpl fld="1" item="218"/>
          <tpl fld="4" item="25"/>
        </tpls>
      </m>
      <m in="0">
        <tpls c="3">
          <tpl fld="0" item="0"/>
          <tpl fld="1" item="47"/>
          <tpl fld="4" item="32"/>
        </tpls>
      </m>
      <n v="11" in="0">
        <tpls c="3">
          <tpl fld="0" item="0"/>
          <tpl fld="1" item="277"/>
          <tpl fld="4" item="17"/>
        </tpls>
      </n>
      <m in="0">
        <tpls c="3">
          <tpl fld="0" item="0"/>
          <tpl fld="1" item="21"/>
          <tpl fld="4" item="29"/>
        </tpls>
      </m>
      <m in="0">
        <tpls c="3">
          <tpl fld="0" item="0"/>
          <tpl fld="1" item="4"/>
          <tpl fld="4" item="33"/>
        </tpls>
      </m>
      <m in="0">
        <tpls c="3">
          <tpl fld="0" item="0"/>
          <tpl fld="1" item="75"/>
          <tpl fld="4" item="30"/>
        </tpls>
      </m>
      <n v="36" in="0">
        <tpls c="3">
          <tpl fld="0" item="0"/>
          <tpl fld="1" item="16"/>
          <tpl fld="4" item="29"/>
        </tpls>
      </n>
      <m in="0">
        <tpls c="3">
          <tpl fld="0" item="0"/>
          <tpl fld="1" item="388"/>
          <tpl fld="4" item="23"/>
        </tpls>
      </m>
      <m in="0">
        <tpls c="3">
          <tpl fld="0" item="0"/>
          <tpl fld="1" item="292"/>
          <tpl fld="4" item="32"/>
        </tpls>
      </m>
      <m in="0">
        <tpls c="3">
          <tpl fld="0" item="0"/>
          <tpl fld="1" item="179"/>
          <tpl fld="4" item="31"/>
        </tpls>
      </m>
      <m in="0">
        <tpls c="3">
          <tpl fld="0" item="0"/>
          <tpl fld="1" item="171"/>
          <tpl fld="4" item="31"/>
        </tpls>
      </m>
      <m in="0">
        <tpls c="3">
          <tpl fld="0" item="0"/>
          <tpl fld="1" item="286"/>
          <tpl fld="4" item="33"/>
        </tpls>
      </m>
      <m in="0">
        <tpls c="3">
          <tpl fld="0" item="0"/>
          <tpl fld="1" item="401"/>
          <tpl fld="4" item="30"/>
        </tpls>
      </m>
      <n v="19" in="0">
        <tpls c="3">
          <tpl fld="0" item="0"/>
          <tpl fld="1" item="39"/>
          <tpl fld="4" item="28"/>
        </tpls>
      </n>
      <n v="26" in="0">
        <tpls c="3">
          <tpl fld="0" item="0"/>
          <tpl fld="1" item="449"/>
          <tpl fld="4" item="25"/>
        </tpls>
      </n>
      <m in="0">
        <tpls c="3">
          <tpl fld="0" item="0"/>
          <tpl fld="1" item="311"/>
          <tpl fld="4" item="32"/>
        </tpls>
      </m>
      <m in="0">
        <tpls c="3">
          <tpl fld="0" item="0"/>
          <tpl fld="1" item="6"/>
          <tpl fld="4" item="23"/>
        </tpls>
      </m>
      <n v="3" in="0">
        <tpls c="3">
          <tpl fld="0" item="0"/>
          <tpl fld="1" item="360"/>
          <tpl fld="4" item="22"/>
        </tpls>
      </n>
      <m in="0">
        <tpls c="3">
          <tpl fld="0" item="0"/>
          <tpl fld="1" item="448"/>
          <tpl fld="4" item="33"/>
        </tpls>
      </m>
      <m in="0">
        <tpls c="3">
          <tpl fld="0" item="0"/>
          <tpl fld="1" item="240"/>
          <tpl fld="4" item="30"/>
        </tpls>
      </m>
      <m in="0">
        <tpls c="3">
          <tpl fld="0" item="0"/>
          <tpl fld="1" item="355"/>
          <tpl fld="4" item="34"/>
        </tpls>
      </m>
      <m in="0">
        <tpls c="3">
          <tpl fld="0" item="0"/>
          <tpl fld="1" item="454"/>
          <tpl fld="4" item="32"/>
        </tpls>
      </m>
      <m in="0">
        <tpls c="3">
          <tpl fld="0" item="0"/>
          <tpl fld="1" item="35"/>
          <tpl fld="4" item="34"/>
        </tpls>
      </m>
      <m in="0">
        <tpls c="3">
          <tpl fld="0" item="0"/>
          <tpl fld="1" item="225"/>
          <tpl fld="4" item="35"/>
        </tpls>
      </m>
      <n v="1" in="0">
        <tpls c="3">
          <tpl fld="0" item="0"/>
          <tpl fld="1" item="447"/>
          <tpl fld="4" item="34"/>
        </tpls>
      </n>
      <m in="0">
        <tpls c="3">
          <tpl fld="0" item="0"/>
          <tpl fld="1" item="372"/>
          <tpl fld="4" item="35"/>
        </tpls>
      </m>
      <m in="0">
        <tpls c="3">
          <tpl fld="0" item="0"/>
          <tpl fld="1" item="147"/>
          <tpl fld="4" item="30"/>
        </tpls>
      </m>
      <m in="0">
        <tpls c="3">
          <tpl fld="0" item="0"/>
          <tpl fld="1" item="289"/>
          <tpl fld="4" item="27"/>
        </tpls>
      </m>
      <m in="0">
        <tpls c="3">
          <tpl fld="0" item="0"/>
          <tpl fld="1" item="228"/>
          <tpl fld="4" item="23"/>
        </tpls>
      </m>
      <m in="0">
        <tpls c="3">
          <tpl fld="0" item="0"/>
          <tpl fld="1" item="186"/>
          <tpl fld="4" item="32"/>
        </tpls>
      </m>
      <m in="0">
        <tpls c="3">
          <tpl fld="0" item="0"/>
          <tpl fld="1" item="292"/>
          <tpl fld="4" item="31"/>
        </tpls>
      </m>
      <m in="0">
        <tpls c="3">
          <tpl fld="0" item="0"/>
          <tpl fld="1" item="262"/>
          <tpl fld="4" item="33"/>
        </tpls>
      </m>
      <m in="0">
        <tpls c="3">
          <tpl fld="0" item="0"/>
          <tpl fld="1" item="281"/>
          <tpl fld="4" item="34"/>
        </tpls>
      </m>
      <n v="18" in="0">
        <tpls c="3">
          <tpl fld="0" item="0"/>
          <tpl fld="1" item="214"/>
          <tpl fld="4" item="27"/>
        </tpls>
      </n>
      <m in="0">
        <tpls c="3">
          <tpl fld="0" item="0"/>
          <tpl fld="1" item="166"/>
          <tpl fld="4" item="29"/>
        </tpls>
      </m>
      <n v="67" in="0">
        <tpls c="3">
          <tpl fld="0" item="0"/>
          <tpl fld="1" item="287"/>
          <tpl fld="4" item="24"/>
        </tpls>
      </n>
      <m in="0">
        <tpls c="3">
          <tpl fld="0" item="0"/>
          <tpl fld="1" item="200"/>
          <tpl fld="4" item="32"/>
        </tpls>
      </m>
      <m in="0">
        <tpls c="3">
          <tpl fld="0" item="0"/>
          <tpl fld="1" item="9"/>
          <tpl fld="4" item="33"/>
        </tpls>
      </m>
      <m in="0">
        <tpls c="3">
          <tpl fld="0" item="0"/>
          <tpl fld="1" item="188"/>
          <tpl fld="4" item="30"/>
        </tpls>
      </m>
      <m in="0">
        <tpls c="3">
          <tpl fld="0" item="0"/>
          <tpl fld="1" item="443"/>
          <tpl fld="4" item="26"/>
        </tpls>
      </m>
      <m in="0">
        <tpls c="3">
          <tpl fld="0" item="0"/>
          <tpl fld="1" item="447"/>
          <tpl fld="4" item="32"/>
        </tpls>
      </m>
      <m in="0">
        <tpls c="3">
          <tpl fld="0" item="0"/>
          <tpl fld="1" item="252"/>
          <tpl fld="4" item="31"/>
        </tpls>
      </m>
      <n v="5" in="0">
        <tpls c="3">
          <tpl fld="0" item="0"/>
          <tpl fld="1" item="442"/>
          <tpl fld="4" item="22"/>
        </tpls>
      </n>
      <n v="7" in="0">
        <tpls c="3">
          <tpl fld="0" item="0"/>
          <tpl fld="1" item="380"/>
          <tpl fld="4" item="33"/>
        </tpls>
      </n>
      <m in="0">
        <tpls c="3">
          <tpl fld="0" item="0"/>
          <tpl fld="1" item="4"/>
          <tpl fld="4" item="30"/>
        </tpls>
      </m>
      <n v="50" in="0">
        <tpls c="3">
          <tpl fld="0" item="0"/>
          <tpl fld="1" item="237"/>
          <tpl fld="4" item="29"/>
        </tpls>
      </n>
      <n v="18" in="0">
        <tpls c="3">
          <tpl fld="0" item="0"/>
          <tpl fld="1" item="18"/>
          <tpl fld="4" item="24"/>
        </tpls>
      </n>
      <m in="0">
        <tpls c="3">
          <tpl fld="0" item="0"/>
          <tpl fld="1" item="70"/>
          <tpl fld="4" item="25"/>
        </tpls>
      </m>
      <m in="0">
        <tpls c="3">
          <tpl fld="0" item="0"/>
          <tpl fld="1" item="233"/>
          <tpl fld="4" item="32"/>
        </tpls>
      </m>
      <m in="0">
        <tpls c="3">
          <tpl fld="0" item="0"/>
          <tpl fld="1" item="376"/>
          <tpl fld="4" item="32"/>
        </tpls>
      </m>
      <m in="0">
        <tpls c="3">
          <tpl fld="0" item="0"/>
          <tpl fld="1" item="277"/>
          <tpl fld="4" item="33"/>
        </tpls>
      </m>
      <m in="0">
        <tpls c="3">
          <tpl fld="0" item="0"/>
          <tpl fld="1" item="244"/>
          <tpl fld="4" item="30"/>
        </tpls>
      </m>
      <m in="0">
        <tpls c="3">
          <tpl fld="0" item="0"/>
          <tpl fld="1" item="138"/>
          <tpl fld="4" item="34"/>
        </tpls>
      </m>
      <n v="12" in="0">
        <tpls c="3">
          <tpl fld="0" item="0"/>
          <tpl fld="1" item="255"/>
          <tpl fld="4" item="28"/>
        </tpls>
      </n>
      <m in="0">
        <tpls c="3">
          <tpl fld="0" item="0"/>
          <tpl fld="1" item="398"/>
          <tpl fld="4" item="34"/>
        </tpls>
      </m>
      <m in="0">
        <tpls c="3">
          <tpl fld="0" item="0"/>
          <tpl fld="1" item="98"/>
          <tpl fld="4" item="35"/>
        </tpls>
      </m>
      <m in="0">
        <tpls c="3">
          <tpl fld="0" item="0"/>
          <tpl fld="1" item="374"/>
          <tpl fld="4" item="33"/>
        </tpls>
      </m>
      <m in="0">
        <tpls c="3">
          <tpl fld="0" item="0"/>
          <tpl fld="1" item="389"/>
          <tpl fld="4" item="35"/>
        </tpls>
      </m>
      <n v="3" in="0">
        <tpls c="3">
          <tpl fld="0" item="0"/>
          <tpl fld="1" item="72"/>
          <tpl fld="4" item="24"/>
        </tpls>
      </n>
      <m in="0">
        <tpls c="3">
          <tpl fld="0" item="0"/>
          <tpl fld="1" item="91"/>
          <tpl fld="4" item="23"/>
        </tpls>
      </m>
      <m in="0">
        <tpls c="3">
          <tpl fld="0" item="0"/>
          <tpl fld="1" item="340"/>
          <tpl fld="4" item="32"/>
        </tpls>
      </m>
      <m in="0">
        <tpls c="3">
          <tpl fld="0" item="0"/>
          <tpl fld="1" item="80"/>
          <tpl fld="4" item="31"/>
        </tpls>
      </m>
      <m in="0">
        <tpls c="3">
          <tpl fld="0" item="0"/>
          <tpl fld="1" item="89"/>
          <tpl fld="4" item="32"/>
        </tpls>
      </m>
      <n v="1" in="0">
        <tpls c="3">
          <tpl fld="0" item="0"/>
          <tpl fld="1" item="242"/>
          <tpl fld="4" item="33"/>
        </tpls>
      </n>
      <m in="0">
        <tpls c="3">
          <tpl fld="0" item="0"/>
          <tpl fld="1" item="80"/>
          <tpl fld="4" item="34"/>
        </tpls>
      </m>
      <n v="20" in="0">
        <tpls c="3">
          <tpl fld="0" item="0"/>
          <tpl fld="1" item="449"/>
          <tpl fld="4" item="23"/>
        </tpls>
      </n>
      <m in="0">
        <tpls c="3">
          <tpl fld="0" item="0"/>
          <tpl fld="1" item="350"/>
          <tpl fld="4" item="32"/>
        </tpls>
      </m>
      <n v="46" in="0">
        <tpls c="3">
          <tpl fld="0" item="0"/>
          <tpl fld="1" item="246"/>
          <tpl fld="4" item="23"/>
        </tpls>
      </n>
      <m in="0">
        <tpls c="3">
          <tpl fld="0" item="0"/>
          <tpl fld="1" item="96"/>
          <tpl fld="4" item="22"/>
        </tpls>
      </m>
      <m in="0">
        <tpls c="3">
          <tpl fld="0" item="0"/>
          <tpl fld="1" item="360"/>
          <tpl fld="4" item="33"/>
        </tpls>
      </m>
      <m in="0">
        <tpls c="3">
          <tpl fld="0" item="0"/>
          <tpl fld="1" item="12"/>
          <tpl fld="4" item="30"/>
        </tpls>
      </m>
      <n v="3" in="0">
        <tpls c="3">
          <tpl fld="0" item="0"/>
          <tpl fld="1" item="370"/>
          <tpl fld="4" item="26"/>
        </tpls>
      </n>
      <m in="0">
        <tpls c="3">
          <tpl fld="0" item="0"/>
          <tpl fld="1" item="46"/>
          <tpl fld="4" item="22"/>
        </tpls>
      </m>
      <m in="0">
        <tpls c="3">
          <tpl fld="0" item="0"/>
          <tpl fld="1" item="427"/>
          <tpl fld="4" item="32"/>
        </tpls>
      </m>
      <m in="0">
        <tpls c="3">
          <tpl fld="0" item="0"/>
          <tpl fld="1" item="8"/>
          <tpl fld="4" item="31"/>
        </tpls>
      </m>
      <m in="0">
        <tpls c="3">
          <tpl fld="0" item="0"/>
          <tpl fld="1" item="144"/>
          <tpl fld="4" item="31"/>
        </tpls>
      </m>
      <m in="0">
        <tpls c="3">
          <tpl fld="0" item="0"/>
          <tpl fld="1" item="218"/>
          <tpl fld="4" item="33"/>
        </tpls>
      </m>
      <m in="0">
        <tpls c="3">
          <tpl fld="0" item="0"/>
          <tpl fld="1" item="333"/>
          <tpl fld="4" item="30"/>
        </tpls>
      </m>
      <m in="0">
        <tpls c="3">
          <tpl fld="0" item="0"/>
          <tpl fld="1" item="241"/>
          <tpl fld="4" item="27"/>
        </tpls>
      </m>
      <n v="370" in="0">
        <tpls c="3">
          <tpl fld="0" item="0"/>
          <tpl fld="1" item="309"/>
          <tpl fld="4" item="25"/>
        </tpls>
      </n>
      <n v="10" in="0">
        <tpls c="3">
          <tpl fld="0" item="0"/>
          <tpl fld="1" item="319"/>
          <tpl fld="4" item="21"/>
        </tpls>
      </n>
      <n v="4" in="0">
        <tpls c="3">
          <tpl fld="0" item="0"/>
          <tpl fld="1" item="64"/>
          <tpl fld="4" item="22"/>
        </tpls>
      </n>
      <n v="205" in="0">
        <tpls c="3">
          <tpl fld="0" item="0"/>
          <tpl fld="1" item="343"/>
          <tpl fld="4" item="25"/>
        </tpls>
      </n>
      <n v="1" in="0">
        <tpls c="3">
          <tpl fld="0" item="0"/>
          <tpl fld="1" item="3"/>
          <tpl fld="4" item="33"/>
        </tpls>
      </n>
      <m in="0">
        <tpls c="3">
          <tpl fld="0" item="0"/>
          <tpl fld="1" item="272"/>
          <tpl fld="4" item="30"/>
        </tpls>
      </m>
      <m in="0">
        <tpls c="3">
          <tpl fld="0" item="0"/>
          <tpl fld="1" item="365"/>
          <tpl fld="4" item="34"/>
        </tpls>
      </m>
      <m in="0">
        <tpls c="3">
          <tpl fld="0" item="0"/>
          <tpl fld="1" item="226"/>
          <tpl fld="4" item="31"/>
        </tpls>
      </m>
      <m in="0">
        <tpls c="3">
          <tpl fld="0" item="0"/>
          <tpl fld="3" item="0"/>
          <tpl fld="4" item="34"/>
        </tpls>
      </m>
      <m in="0">
        <tpls c="3">
          <tpl fld="0" item="0"/>
          <tpl fld="1" item="55"/>
          <tpl fld="4" item="35"/>
        </tpls>
      </m>
      <m in="0">
        <tpls c="3">
          <tpl fld="0" item="0"/>
          <tpl fld="1" item="51"/>
          <tpl fld="4" item="34"/>
        </tpls>
      </m>
      <m in="0">
        <tpls c="3">
          <tpl fld="0" item="0"/>
          <tpl fld="1" item="278"/>
          <tpl fld="4" item="35"/>
        </tpls>
      </m>
      <m in="0">
        <tpls c="3">
          <tpl fld="0" item="0"/>
          <tpl fld="1" item="169"/>
          <tpl fld="4" item="30"/>
        </tpls>
      </m>
      <m in="0">
        <tpls c="3">
          <tpl fld="0" item="0"/>
          <tpl fld="1" item="127"/>
          <tpl fld="4" item="35"/>
        </tpls>
      </m>
      <n v="115" in="0">
        <tpls c="3">
          <tpl fld="0" item="0"/>
          <tpl fld="1" item="322"/>
          <tpl fld="4" item="25"/>
        </tpls>
      </n>
      <m in="0">
        <tpls c="3">
          <tpl fld="0" item="0"/>
          <tpl fld="1" item="139"/>
          <tpl fld="4" item="34"/>
        </tpls>
      </m>
      <m in="0">
        <tpls c="3">
          <tpl fld="0" item="0"/>
          <tpl fld="1" item="254"/>
          <tpl fld="4" item="35"/>
        </tpls>
      </m>
      <m in="0">
        <tpls c="3">
          <tpl fld="0" item="0"/>
          <tpl fld="1" item="352"/>
          <tpl fld="4" item="31"/>
        </tpls>
      </m>
      <m in="0">
        <tpls c="3">
          <tpl fld="0" item="0"/>
          <tpl fld="1" item="169"/>
          <tpl fld="4" item="34"/>
        </tpls>
      </m>
      <m in="0">
        <tpls c="3">
          <tpl fld="0" item="0"/>
          <tpl fld="1" item="155"/>
          <tpl fld="4" item="35"/>
        </tpls>
      </m>
      <m in="0">
        <tpls c="3">
          <tpl fld="0" item="0"/>
          <tpl fld="1" item="17"/>
          <tpl fld="4" item="24"/>
        </tpls>
      </m>
      <m in="0">
        <tpls c="3">
          <tpl fld="0" item="0"/>
          <tpl fld="1" item="146"/>
          <tpl fld="4" item="34"/>
        </tpls>
      </m>
      <m in="0">
        <tpls c="3">
          <tpl fld="0" item="0"/>
          <tpl fld="1" item="141"/>
          <tpl fld="4" item="35"/>
        </tpls>
      </m>
      <m in="0">
        <tpls c="3">
          <tpl fld="0" item="0"/>
          <tpl fld="1" item="275"/>
          <tpl fld="4" item="21"/>
        </tpls>
      </m>
      <m in="0">
        <tpls c="3">
          <tpl fld="0" item="0"/>
          <tpl fld="1" item="392"/>
          <tpl fld="4" item="16"/>
        </tpls>
      </m>
      <n v="11" in="0">
        <tpls c="3">
          <tpl fld="0" item="0"/>
          <tpl fld="1" item="335"/>
          <tpl fld="4" item="24"/>
        </tpls>
      </n>
      <m in="0">
        <tpls c="3">
          <tpl fld="0" item="0"/>
          <tpl fld="1" item="154"/>
          <tpl fld="4" item="31"/>
        </tpls>
      </m>
      <m in="0">
        <tpls c="3">
          <tpl fld="0" item="0"/>
          <tpl fld="1" item="270"/>
          <tpl fld="4" item="31"/>
        </tpls>
      </m>
      <m in="0">
        <tpls c="3">
          <tpl fld="0" item="0"/>
          <tpl fld="1" item="80"/>
          <tpl fld="4" item="33"/>
        </tpls>
      </m>
      <m in="0">
        <tpls c="3">
          <tpl fld="0" item="0"/>
          <tpl fld="1" item="384"/>
          <tpl fld="4" item="30"/>
        </tpls>
      </m>
      <n v="41" in="0">
        <tpls c="3">
          <tpl fld="0" item="0"/>
          <tpl fld="1" item="194"/>
          <tpl fld="4" item="14"/>
        </tpls>
      </n>
      <n v="21" in="0">
        <tpls c="3">
          <tpl fld="0" item="0"/>
          <tpl fld="1" item="161"/>
          <tpl fld="4" item="24"/>
        </tpls>
      </n>
      <m in="0">
        <tpls c="3">
          <tpl fld="0" item="0"/>
          <tpl fld="1" item="346"/>
          <tpl fld="4" item="32"/>
        </tpls>
      </m>
      <m in="0">
        <tpls c="3">
          <tpl fld="0" item="0"/>
          <tpl fld="1" item="279"/>
          <tpl fld="4" item="31"/>
        </tpls>
      </m>
      <m in="0">
        <tpls c="3">
          <tpl fld="0" item="0"/>
          <tpl fld="1" item="424"/>
          <tpl fld="4" item="31"/>
        </tpls>
      </m>
      <m in="0">
        <tpls c="3">
          <tpl fld="0" item="0"/>
          <tpl fld="1" item="353"/>
          <tpl fld="4" item="33"/>
        </tpls>
      </m>
      <m in="0">
        <tpls c="3">
          <tpl fld="0" item="0"/>
          <tpl fld="1" item="419"/>
          <tpl fld="4" item="30"/>
        </tpls>
      </m>
      <m in="0">
        <tpls c="3">
          <tpl fld="0" item="0"/>
          <tpl fld="1" item="263"/>
          <tpl fld="4" item="22"/>
        </tpls>
      </m>
      <n v="24" in="0">
        <tpls c="3">
          <tpl fld="0" item="0"/>
          <tpl fld="1" item="402"/>
          <tpl fld="4" item="25"/>
        </tpls>
      </n>
      <n v="31" in="0">
        <tpls c="3">
          <tpl fld="0" item="0"/>
          <tpl fld="1" item="385"/>
          <tpl fld="4" item="28"/>
        </tpls>
      </n>
      <m in="0">
        <tpls c="3">
          <tpl fld="0" item="0"/>
          <tpl fld="1" item="317"/>
          <tpl fld="4" item="26"/>
        </tpls>
      </m>
      <n v="19" in="0">
        <tpls c="3">
          <tpl fld="0" item="0"/>
          <tpl fld="1" item="52"/>
          <tpl fld="4" item="24"/>
        </tpls>
      </n>
      <n v="26" in="0">
        <tpls c="3">
          <tpl fld="0" item="0"/>
          <tpl fld="1" item="107"/>
          <tpl fld="4" item="33"/>
        </tpls>
      </n>
      <m in="0">
        <tpls c="3">
          <tpl fld="0" item="0"/>
          <tpl fld="1" item="128"/>
          <tpl fld="4" item="30"/>
        </tpls>
      </m>
      <n v="4" in="0">
        <tpls c="3">
          <tpl fld="0" item="0"/>
          <tpl fld="1" item="84"/>
          <tpl fld="4" item="16"/>
        </tpls>
      </n>
      <m in="0">
        <tpls c="3">
          <tpl fld="0" item="0"/>
          <tpl fld="1" item="401"/>
          <tpl fld="4" item="27"/>
        </tpls>
      </m>
      <m in="0">
        <tpls c="3">
          <tpl fld="0" item="0"/>
          <tpl fld="1" item="169"/>
          <tpl fld="4" item="32"/>
        </tpls>
      </m>
      <m in="0">
        <tpls c="3">
          <tpl fld="0" item="0"/>
          <tpl fld="1" item="191"/>
          <tpl fld="4" item="31"/>
        </tpls>
      </m>
      <m in="0">
        <tpls c="3">
          <tpl fld="0" item="0"/>
          <tpl fld="1" item="96"/>
          <tpl fld="4" item="31"/>
        </tpls>
      </m>
      <m in="0">
        <tpls c="3">
          <tpl fld="0" item="0"/>
          <tpl fld="1" item="396"/>
          <tpl fld="4" item="33"/>
        </tpls>
      </m>
      <m in="0">
        <tpls c="3">
          <tpl fld="0" item="0"/>
          <tpl fld="1" item="245"/>
          <tpl fld="4" item="34"/>
        </tpls>
      </m>
      <n v="265" in="0">
        <tpls c="3">
          <tpl fld="0" item="0"/>
          <tpl fld="1" item="262"/>
          <tpl fld="4" item="29"/>
        </tpls>
      </n>
      <m in="0">
        <tpls c="3">
          <tpl fld="0" item="0"/>
          <tpl fld="1" item="360"/>
          <tpl fld="4" item="30"/>
        </tpls>
      </m>
      <m in="0">
        <tpls c="3">
          <tpl fld="0" item="0"/>
          <tpl fld="1" item="404"/>
          <tpl fld="4" item="35"/>
        </tpls>
      </m>
      <m in="0">
        <tpls c="3">
          <tpl fld="0" item="0"/>
          <tpl fld="1" item="297"/>
          <tpl fld="4" item="25"/>
        </tpls>
      </m>
      <m in="0">
        <tpls c="3">
          <tpl fld="0" item="0"/>
          <tpl fld="1" item="250"/>
          <tpl fld="4" item="34"/>
        </tpls>
      </m>
      <m in="0">
        <tpls c="3">
          <tpl fld="0" item="0"/>
          <tpl fld="1" item="15"/>
          <tpl fld="4" item="35"/>
        </tpls>
      </m>
      <m in="0">
        <tpls c="3">
          <tpl fld="0" item="0"/>
          <tpl fld="1" item="97"/>
          <tpl fld="4" item="33"/>
        </tpls>
      </m>
      <m in="0">
        <tpls c="3">
          <tpl fld="0" item="0"/>
          <tpl fld="1" item="166"/>
          <tpl fld="4" item="35"/>
        </tpls>
      </m>
      <n v="19" in="0">
        <tpls c="3">
          <tpl fld="0" item="0"/>
          <tpl fld="1" item="150"/>
          <tpl fld="4" item="24"/>
        </tpls>
      </n>
      <m in="0">
        <tpls c="3">
          <tpl fld="0" item="0"/>
          <tpl fld="1" item="401"/>
          <tpl fld="4" item="28"/>
        </tpls>
      </m>
      <m in="0">
        <tpls c="3">
          <tpl fld="0" item="0"/>
          <tpl fld="1" item="423"/>
          <tpl fld="4" item="25"/>
        </tpls>
      </m>
      <m in="0">
        <tpls c="3">
          <tpl fld="0" item="0"/>
          <tpl fld="1" item="26"/>
          <tpl fld="4" item="23"/>
        </tpls>
      </m>
      <n v="13" in="0">
        <tpls c="3">
          <tpl fld="0" item="0"/>
          <tpl fld="1" item="113"/>
          <tpl fld="4" item="25"/>
        </tpls>
      </n>
      <m in="0">
        <tpls c="3">
          <tpl fld="0" item="0"/>
          <tpl fld="1" item="122"/>
          <tpl fld="4" item="33"/>
        </tpls>
      </m>
      <m in="0">
        <tpls c="3">
          <tpl fld="0" item="0"/>
          <tpl fld="1" item="130"/>
          <tpl fld="4" item="34"/>
        </tpls>
      </m>
      <m in="0">
        <tpls c="3">
          <tpl fld="0" item="0"/>
          <tpl fld="1" item="13"/>
          <tpl fld="4" item="28"/>
        </tpls>
      </m>
      <m in="0">
        <tpls c="3">
          <tpl fld="0" item="0"/>
          <tpl fld="1" item="439"/>
          <tpl fld="4" item="25"/>
        </tpls>
      </m>
      <m in="0">
        <tpls c="3">
          <tpl fld="0" item="0"/>
          <tpl fld="1" item="22"/>
          <tpl fld="4" item="32"/>
        </tpls>
      </m>
      <m in="0">
        <tpls c="3">
          <tpl fld="0" item="0"/>
          <tpl fld="1" item="443"/>
          <tpl fld="4" item="32"/>
        </tpls>
      </m>
      <m in="0">
        <tpls c="3">
          <tpl fld="0" item="0"/>
          <tpl fld="1" item="437"/>
          <tpl fld="4" item="1"/>
        </tpls>
      </m>
      <m in="0">
        <tpls c="3">
          <tpl fld="0" item="0"/>
          <tpl fld="1" item="451"/>
          <tpl fld="4" item="33"/>
        </tpls>
      </m>
      <n v="641" in="0">
        <tpls c="3">
          <tpl fld="0" item="0"/>
          <tpl fld="1" item="183"/>
          <tpl fld="4" item="25"/>
        </tpls>
      </n>
      <n v="8" in="0">
        <tpls c="3">
          <tpl fld="0" item="0"/>
          <tpl fld="1" item="309"/>
          <tpl fld="4" item="26"/>
        </tpls>
      </n>
      <m in="0">
        <tpls c="3">
          <tpl fld="0" item="0"/>
          <tpl fld="1" item="341"/>
          <tpl fld="4" item="24"/>
        </tpls>
      </m>
      <m in="0">
        <tpls c="3">
          <tpl fld="0" item="0"/>
          <tpl fld="1" item="48"/>
          <tpl fld="4" item="30"/>
        </tpls>
      </m>
      <m in="0">
        <tpls c="3">
          <tpl fld="0" item="0"/>
          <tpl fld="1" item="133"/>
          <tpl fld="4" item="32"/>
        </tpls>
      </m>
      <m in="0">
        <tpls c="3">
          <tpl fld="0" item="0"/>
          <tpl fld="1" item="193"/>
          <tpl fld="4" item="32"/>
        </tpls>
      </m>
      <m in="0">
        <tpls c="3">
          <tpl fld="0" item="0"/>
          <tpl fld="1" item="366"/>
          <tpl fld="4" item="31"/>
        </tpls>
      </m>
      <m in="0">
        <tpls c="3">
          <tpl fld="0" item="0"/>
          <tpl fld="1" item="35"/>
          <tpl fld="4" item="33"/>
        </tpls>
      </m>
      <m in="0">
        <tpls c="3">
          <tpl fld="0" item="0"/>
          <tpl fld="1" item="88"/>
          <tpl fld="4" item="30"/>
        </tpls>
      </m>
      <m in="0">
        <tpls c="3">
          <tpl fld="0" item="0"/>
          <tpl fld="1" item="272"/>
          <tpl fld="4" item="26"/>
        </tpls>
      </m>
      <m in="0">
        <tpls c="3">
          <tpl fld="0" item="0"/>
          <tpl fld="1" item="167"/>
          <tpl fld="4" item="32"/>
        </tpls>
      </m>
      <m in="0">
        <tpls c="3">
          <tpl fld="0" item="0"/>
          <tpl fld="1" item="70"/>
          <tpl fld="4" item="29"/>
        </tpls>
      </m>
      <m in="0">
        <tpls c="3">
          <tpl fld="0" item="0"/>
          <tpl fld="1" item="306"/>
          <tpl fld="4" item="17"/>
        </tpls>
      </m>
      <m in="0">
        <tpls c="3">
          <tpl fld="0" item="0"/>
          <tpl fld="1" item="159"/>
          <tpl fld="4" item="19"/>
        </tpls>
      </m>
      <n v="1367" in="0">
        <tpls c="3">
          <tpl fld="0" item="0"/>
          <tpl fld="1" item="225"/>
          <tpl fld="4" item="25"/>
        </tpls>
      </n>
      <m in="0">
        <tpls c="3">
          <tpl fld="0" item="0"/>
          <tpl fld="1" item="349"/>
          <tpl fld="4" item="26"/>
        </tpls>
      </m>
      <n v="147" in="0">
        <tpls c="3">
          <tpl fld="0" item="0"/>
          <tpl fld="1" item="264"/>
          <tpl fld="4" item="15"/>
        </tpls>
      </n>
      <m in="0">
        <tpls c="3">
          <tpl fld="0" item="0"/>
          <tpl fld="1" item="154"/>
          <tpl fld="4" item="21"/>
        </tpls>
      </m>
      <n v="3" in="0">
        <tpls c="3">
          <tpl fld="0" item="0"/>
          <tpl fld="1" item="402"/>
          <tpl fld="4" item="21"/>
        </tpls>
      </n>
      <n v="21" in="0">
        <tpls c="3">
          <tpl fld="0" item="0"/>
          <tpl fld="1" item="434"/>
          <tpl fld="4" item="23"/>
        </tpls>
      </n>
      <n v="45" in="0">
        <tpls c="3">
          <tpl fld="0" item="0"/>
          <tpl fld="1" item="28"/>
          <tpl fld="4" item="29"/>
        </tpls>
      </n>
      <m in="0">
        <tpls c="3">
          <tpl fld="0" item="0"/>
          <tpl fld="1" item="293"/>
          <tpl fld="4" item="29"/>
        </tpls>
      </m>
      <m in="0">
        <tpls c="3">
          <tpl fld="0" item="0"/>
          <tpl fld="1" item="48"/>
          <tpl fld="4" item="27"/>
        </tpls>
      </m>
      <m in="0">
        <tpls c="3">
          <tpl fld="0" item="0"/>
          <tpl fld="1" item="91"/>
          <tpl fld="4" item="27"/>
        </tpls>
      </m>
      <n v="65" in="0">
        <tpls c="3">
          <tpl fld="0" item="0"/>
          <tpl fld="1" item="120"/>
          <tpl fld="4" item="15"/>
        </tpls>
      </n>
      <m in="0">
        <tpls c="3">
          <tpl fld="0" item="0"/>
          <tpl fld="1" item="22"/>
          <tpl fld="4" item="31"/>
        </tpls>
      </m>
      <m in="0">
        <tpls c="3">
          <tpl fld="0" item="0"/>
          <tpl fld="1" item="340"/>
          <tpl fld="4" item="27"/>
        </tpls>
      </m>
      <n v="17" in="0">
        <tpls c="3">
          <tpl fld="0" item="0"/>
          <tpl fld="1" item="315"/>
          <tpl fld="4" item="25"/>
        </tpls>
      </n>
      <m in="0">
        <tpls c="3">
          <tpl fld="0" item="0"/>
          <tpl fld="1" item="59"/>
          <tpl fld="4" item="33"/>
        </tpls>
      </m>
      <m in="0">
        <tpls c="3">
          <tpl fld="0" item="0"/>
          <tpl fld="1" item="321"/>
          <tpl fld="4" item="30"/>
        </tpls>
      </m>
      <m in="0">
        <tpls c="3">
          <tpl fld="0" item="0"/>
          <tpl fld="1" item="115"/>
          <tpl fld="4" item="27"/>
        </tpls>
      </m>
      <n v="223" in="0">
        <tpls c="3">
          <tpl fld="0" item="0"/>
          <tpl fld="1" item="179"/>
          <tpl fld="4" item="23"/>
        </tpls>
      </n>
      <n v="61" in="0">
        <tpls c="3">
          <tpl fld="0" item="0"/>
          <tpl fld="1" item="184"/>
          <tpl fld="4" item="25"/>
        </tpls>
      </n>
      <n v="249" in="0">
        <tpls c="3">
          <tpl fld="0" item="0"/>
          <tpl fld="1" item="269"/>
          <tpl fld="4" item="24"/>
        </tpls>
      </n>
      <m in="0">
        <tpls c="3">
          <tpl fld="0" item="0"/>
          <tpl fld="1" item="159"/>
          <tpl fld="4" item="33"/>
        </tpls>
      </m>
      <n v="2" in="0">
        <tpls c="3">
          <tpl fld="0" item="0"/>
          <tpl fld="1" item="87"/>
          <tpl fld="4" item="30"/>
        </tpls>
      </n>
      <m in="0">
        <tpls c="3">
          <tpl fld="0" item="0"/>
          <tpl fld="1" item="244"/>
          <tpl fld="4" item="25"/>
        </tpls>
      </m>
      <n v="36" in="0">
        <tpls c="3">
          <tpl fld="0" item="0"/>
          <tpl fld="1" item="288"/>
          <tpl fld="4" item="26"/>
        </tpls>
      </n>
      <m in="0">
        <tpls c="3">
          <tpl fld="0" item="0"/>
          <tpl fld="1" item="76"/>
          <tpl fld="4" item="24"/>
        </tpls>
      </m>
      <m in="0">
        <tpls c="3">
          <tpl fld="0" item="0"/>
          <tpl fld="1" item="449"/>
          <tpl fld="4" item="32"/>
        </tpls>
      </m>
      <n v="2" in="0">
        <tpls c="3">
          <tpl fld="0" item="0"/>
          <tpl fld="1" item="422"/>
          <tpl fld="4" item="28"/>
        </tpls>
      </n>
      <m in="0">
        <tpls c="3">
          <tpl fld="0" item="0"/>
          <tpl fld="1" item="168"/>
          <tpl fld="4" item="20"/>
        </tpls>
      </m>
      <m in="0">
        <tpls c="3">
          <tpl fld="0" item="0"/>
          <tpl fld="1" item="209"/>
          <tpl fld="4" item="32"/>
        </tpls>
      </m>
      <m in="0">
        <tpls c="3">
          <tpl fld="0" item="0"/>
          <tpl fld="1" item="421"/>
          <tpl fld="4" item="32"/>
        </tpls>
      </m>
      <m in="0">
        <tpls c="3">
          <tpl fld="0" item="0"/>
          <tpl fld="1" item="118"/>
          <tpl fld="4" item="31"/>
        </tpls>
      </m>
      <n v="2" in="0">
        <tpls c="3">
          <tpl fld="0" item="0"/>
          <tpl fld="1" item="125"/>
          <tpl fld="4" item="33"/>
        </tpls>
      </n>
      <n v="1" in="0">
        <tpls c="3">
          <tpl fld="0" item="0"/>
          <tpl fld="1" item="65"/>
          <tpl fld="4" item="30"/>
        </tpls>
      </n>
      <m in="0">
        <tpls c="3">
          <tpl fld="0" item="0"/>
          <tpl fld="1" item="97"/>
          <tpl fld="4" item="34"/>
        </tpls>
      </m>
      <n v="1" in="0">
        <tpls c="3">
          <tpl fld="0" item="0"/>
          <tpl fld="1" item="449"/>
          <tpl fld="4" item="28"/>
        </tpls>
      </n>
      <m in="0">
        <tpls c="3">
          <tpl fld="0" item="0"/>
          <tpl fld="1" item="384"/>
          <tpl fld="4" item="15"/>
        </tpls>
      </m>
      <m in="0">
        <tpls c="3">
          <tpl fld="0" item="0"/>
          <tpl fld="1" item="251"/>
          <tpl fld="4" item="22"/>
        </tpls>
      </m>
      <m in="0">
        <tpls c="3">
          <tpl fld="0" item="0"/>
          <tpl fld="1" item="253"/>
          <tpl fld="4" item="24"/>
        </tpls>
      </m>
      <m in="0">
        <tpls c="3">
          <tpl fld="0" item="0"/>
          <tpl fld="1" item="243"/>
          <tpl fld="4" item="32"/>
        </tpls>
      </m>
      <n v="302" in="0">
        <tpls c="3">
          <tpl fld="0" item="0"/>
          <tpl fld="1" item="381"/>
          <tpl fld="4" item="24"/>
        </tpls>
      </n>
      <m in="0">
        <tpls c="3">
          <tpl fld="0" item="0"/>
          <tpl fld="1" item="386"/>
          <tpl fld="4" item="33"/>
        </tpls>
      </m>
      <n v="1" in="0">
        <tpls c="3">
          <tpl fld="0" item="0"/>
          <tpl fld="1" item="67"/>
          <tpl fld="4" item="34"/>
        </tpls>
      </n>
      <m in="0">
        <tpls c="3">
          <tpl fld="0" item="0"/>
          <tpl fld="1" item="176"/>
          <tpl fld="4" item="22"/>
        </tpls>
      </m>
      <m in="0">
        <tpls c="3">
          <tpl fld="0" item="0"/>
          <tpl fld="1" item="432"/>
          <tpl fld="4" item="32"/>
        </tpls>
      </m>
      <m in="0">
        <tpls c="3">
          <tpl fld="0" item="0"/>
          <tpl fld="1" item="175"/>
          <tpl fld="4" item="31"/>
        </tpls>
      </m>
      <m in="0">
        <tpls c="3">
          <tpl fld="0" item="0"/>
          <tpl fld="1" item="73"/>
          <tpl fld="4" item="23"/>
        </tpls>
      </m>
      <m in="0">
        <tpls c="3">
          <tpl fld="0" item="0"/>
          <tpl fld="1" item="418"/>
          <tpl fld="4" item="33"/>
        </tpls>
      </m>
      <n v="2" in="0">
        <tpls c="3">
          <tpl fld="0" item="0"/>
          <tpl fld="1" item="255"/>
          <tpl fld="4" item="30"/>
        </tpls>
      </n>
      <n v="16" in="0">
        <tpls c="3">
          <tpl fld="0" item="0"/>
          <tpl fld="1" item="284"/>
          <tpl fld="4" item="23"/>
        </tpls>
      </n>
      <m in="0">
        <tpls c="3">
          <tpl fld="0" item="0"/>
          <tpl fld="1" item="75"/>
          <tpl fld="4" item="28"/>
        </tpls>
      </m>
      <m in="0">
        <tpls c="3">
          <tpl fld="0" item="0"/>
          <tpl fld="1" item="355"/>
          <tpl fld="4" item="32"/>
        </tpls>
      </m>
      <m in="0">
        <tpls c="3">
          <tpl fld="0" item="0"/>
          <tpl fld="1" item="359"/>
          <tpl fld="4" item="32"/>
        </tpls>
      </m>
      <n v="16" in="0">
        <tpls c="3">
          <tpl fld="0" item="0"/>
          <tpl fld="1" item="281"/>
          <tpl fld="4" item="31"/>
        </tpls>
      </n>
      <m in="0">
        <tpls c="3">
          <tpl fld="0" item="0"/>
          <tpl fld="1" item="406"/>
          <tpl fld="4" item="33"/>
        </tpls>
      </m>
      <m in="0">
        <tpls c="3">
          <tpl fld="0" item="0"/>
          <tpl fld="1" item="348"/>
          <tpl fld="4" item="30"/>
        </tpls>
      </m>
      <m in="0">
        <tpls c="3">
          <tpl fld="0" item="0"/>
          <tpl fld="1" item="5"/>
          <tpl fld="4" item="17"/>
        </tpls>
      </m>
      <n v="11" in="0">
        <tpls c="3">
          <tpl fld="0" item="0"/>
          <tpl fld="1" item="245"/>
          <tpl fld="4" item="25"/>
        </tpls>
      </n>
      <n v="8" in="0">
        <tpls c="3">
          <tpl fld="0" item="0"/>
          <tpl fld="1" item="311"/>
          <tpl fld="4" item="24"/>
        </tpls>
      </n>
      <n v="1" in="0">
        <tpls c="3">
          <tpl fld="0" item="0"/>
          <tpl fld="1" item="172"/>
          <tpl fld="4" item="28"/>
        </tpls>
      </n>
      <m in="0">
        <tpls c="3">
          <tpl fld="0" item="0"/>
          <tpl fld="1" item="278"/>
          <tpl fld="4" item="27"/>
        </tpls>
      </m>
      <n v="8" in="0">
        <tpls c="3">
          <tpl fld="0" item="0"/>
          <tpl fld="1" item="312"/>
          <tpl fld="4" item="33"/>
        </tpls>
      </n>
      <m in="0">
        <tpls c="3">
          <tpl fld="0" item="0"/>
          <tpl fld="1" item="22"/>
          <tpl fld="4" item="30"/>
        </tpls>
      </m>
      <n v="1" in="0">
        <tpls c="3">
          <tpl fld="0" item="0"/>
          <tpl fld="1" item="132"/>
          <tpl fld="4" item="34"/>
        </tpls>
      </n>
      <m in="0">
        <tpls c="3">
          <tpl fld="0" item="0"/>
          <tpl fld="1" item="300"/>
          <tpl fld="4" item="22"/>
        </tpls>
      </m>
      <m in="0">
        <tpls c="3">
          <tpl fld="0" item="0"/>
          <tpl fld="1" item="171"/>
          <tpl fld="4" item="34"/>
        </tpls>
      </m>
      <m in="0">
        <tpls c="3">
          <tpl fld="0" item="0"/>
          <tpl fld="1" item="201"/>
          <tpl fld="4" item="35"/>
        </tpls>
      </m>
      <m in="0">
        <tpls c="3">
          <tpl fld="0" item="0"/>
          <tpl fld="1" item="409"/>
          <tpl fld="4" item="34"/>
        </tpls>
      </m>
      <m in="0">
        <tpls c="3">
          <tpl fld="0" item="0"/>
          <tpl fld="1" item="455"/>
          <tpl fld="4" item="35"/>
        </tpls>
      </m>
      <m in="0">
        <tpls c="3">
          <tpl fld="0" item="0"/>
          <tpl fld="1" item="183"/>
          <tpl fld="4" item="30"/>
        </tpls>
      </m>
      <m in="0">
        <tpls c="3">
          <tpl fld="0" item="0"/>
          <tpl fld="1" item="132"/>
          <tpl fld="4" item="35"/>
        </tpls>
      </m>
      <m in="0">
        <tpls c="3">
          <tpl fld="0" item="0"/>
          <tpl fld="1" item="172"/>
          <tpl fld="4" item="32"/>
        </tpls>
      </m>
      <m in="0">
        <tpls c="3">
          <tpl fld="0" item="0"/>
          <tpl fld="1" item="210"/>
          <tpl fld="4" item="29"/>
        </tpls>
      </m>
      <m in="0">
        <tpls c="3">
          <tpl fld="0" item="0"/>
          <tpl fld="1" item="394"/>
          <tpl fld="4" item="21"/>
        </tpls>
      </m>
      <n v="10" in="0">
        <tpls c="3">
          <tpl fld="0" item="0"/>
          <tpl fld="1" item="55"/>
          <tpl fld="4" item="24"/>
        </tpls>
      </n>
      <m in="0">
        <tpls c="3">
          <tpl fld="0" item="0"/>
          <tpl fld="1" item="258"/>
          <tpl fld="4" item="31"/>
        </tpls>
      </m>
      <m in="0">
        <tpls c="3">
          <tpl fld="0" item="0"/>
          <tpl fld="1" item="316"/>
          <tpl fld="4" item="33"/>
        </tpls>
      </m>
      <m in="0">
        <tpls c="3">
          <tpl fld="0" item="0"/>
          <tpl fld="1" item="310"/>
          <tpl fld="4" item="34"/>
        </tpls>
      </m>
      <m in="0">
        <tpls c="3">
          <tpl fld="0" item="0"/>
          <tpl fld="1" item="221"/>
          <tpl fld="4" item="29"/>
        </tpls>
      </m>
      <n v="25" in="0">
        <tpls c="3">
          <tpl fld="0" item="0"/>
          <tpl fld="1" item="409"/>
          <tpl fld="4" item="21"/>
        </tpls>
      </n>
      <m in="0">
        <tpls c="3">
          <tpl fld="0" item="0"/>
          <tpl fld="1" item="327"/>
          <tpl fld="4" item="24"/>
        </tpls>
      </m>
      <n v="38" in="0">
        <tpls c="3">
          <tpl fld="0" item="0"/>
          <tpl fld="1" item="28"/>
          <tpl fld="4" item="24"/>
        </tpls>
      </n>
      <m in="0">
        <tpls c="3">
          <tpl fld="0" item="0"/>
          <tpl fld="1" item="175"/>
          <tpl fld="4" item="33"/>
        </tpls>
      </m>
      <m in="0">
        <tpls c="3">
          <tpl fld="0" item="0"/>
          <tpl fld="1" item="62"/>
          <tpl fld="4" item="30"/>
        </tpls>
      </m>
      <n v="4" in="0">
        <tpls c="3">
          <tpl fld="0" item="0"/>
          <tpl fld="1" item="209"/>
          <tpl fld="4" item="22"/>
        </tpls>
      </n>
      <n v="4" in="0">
        <tpls c="3">
          <tpl fld="0" item="0"/>
          <tpl fld="1" item="48"/>
          <tpl fld="4" item="24"/>
        </tpls>
      </n>
      <m in="0">
        <tpls c="3">
          <tpl fld="0" item="0"/>
          <tpl fld="1" item="84"/>
          <tpl fld="4" item="31"/>
        </tpls>
      </m>
      <m in="0">
        <tpls c="3">
          <tpl fld="0" item="0"/>
          <tpl fld="1" item="411"/>
          <tpl fld="4" item="31"/>
        </tpls>
      </m>
      <m in="0">
        <tpls c="3">
          <tpl fld="0" item="0"/>
          <tpl fld="1" item="387"/>
          <tpl fld="4" item="31"/>
        </tpls>
      </m>
      <m in="0">
        <tpls c="3">
          <tpl fld="0" item="0"/>
          <tpl fld="1" item="158"/>
          <tpl fld="4" item="33"/>
        </tpls>
      </m>
      <m in="0">
        <tpls c="3">
          <tpl fld="0" item="0"/>
          <tpl fld="1" item="418"/>
          <tpl fld="4" item="30"/>
        </tpls>
      </m>
      <n v="237" in="0">
        <tpls c="3">
          <tpl fld="0" item="0"/>
          <tpl fld="1" item="10"/>
          <tpl fld="4" item="23"/>
        </tpls>
      </n>
      <n v="143" in="0">
        <tpls c="3">
          <tpl fld="0" item="0"/>
          <tpl fld="1" item="125"/>
          <tpl fld="4" item="24"/>
        </tpls>
      </n>
      <n v="190" in="0">
        <tpls c="3">
          <tpl fld="0" item="0"/>
          <tpl fld="1" item="442"/>
          <tpl fld="4" item="25"/>
        </tpls>
      </n>
      <m in="0">
        <tpls c="3">
          <tpl fld="0" item="0"/>
          <tpl fld="1" item="318"/>
          <tpl fld="4" item="24"/>
        </tpls>
      </m>
      <m in="0">
        <tpls c="3">
          <tpl fld="0" item="0"/>
          <tpl fld="1" item="41"/>
          <tpl fld="4" item="32"/>
        </tpls>
      </m>
      <m in="0">
        <tpls c="3">
          <tpl fld="0" item="0"/>
          <tpl fld="1" item="389"/>
          <tpl fld="4" item="33"/>
        </tpls>
      </m>
      <n v="2" in="0">
        <tpls c="3">
          <tpl fld="0" item="0"/>
          <tpl fld="1" item="202"/>
          <tpl fld="4" item="30"/>
        </tpls>
      </n>
      <m in="0">
        <tpls c="3">
          <tpl fld="0" item="0"/>
          <tpl fld="1" item="208"/>
          <tpl fld="4" item="34"/>
        </tpls>
      </m>
      <m in="0">
        <tpls c="3">
          <tpl fld="0" item="0"/>
          <tpl fld="1" item="64"/>
          <tpl fld="4" item="32"/>
        </tpls>
      </m>
      <m in="0">
        <tpls c="3">
          <tpl fld="0" item="0"/>
          <tpl fld="1" item="153"/>
          <tpl fld="4" item="34"/>
        </tpls>
      </m>
      <m in="0">
        <tpls c="3">
          <tpl fld="0" item="0"/>
          <tpl fld="1" item="297"/>
          <tpl fld="4" item="35"/>
        </tpls>
      </m>
      <m in="0">
        <tpls c="3">
          <tpl fld="0" item="0"/>
          <tpl fld="1" item="24"/>
          <tpl fld="4" item="33"/>
        </tpls>
      </m>
      <m in="0">
        <tpls c="3">
          <tpl fld="0" item="0"/>
          <tpl fld="1" item="92"/>
          <tpl fld="4" item="35"/>
        </tpls>
      </m>
      <n v="278" in="0">
        <tpls c="3">
          <tpl fld="0" item="0"/>
          <tpl fld="1" item="65"/>
          <tpl fld="4" item="25"/>
        </tpls>
      </n>
      <m in="0">
        <tpls c="3">
          <tpl fld="0" item="0"/>
          <tpl fld="1" item="403"/>
          <tpl fld="4" item="34"/>
        </tpls>
      </m>
      <n v="19" in="0">
        <tpls c="3">
          <tpl fld="0" item="0"/>
          <tpl fld="1" item="449"/>
          <tpl fld="4" item="15"/>
        </tpls>
      </n>
      <m in="0">
        <tpls c="3">
          <tpl fld="0" item="0"/>
          <tpl fld="1" item="334"/>
          <tpl fld="4" item="32"/>
        </tpls>
      </m>
      <n v="12" in="0">
        <tpls c="3">
          <tpl fld="0" item="0"/>
          <tpl fld="1" item="267"/>
          <tpl fld="4" item="24"/>
        </tpls>
      </n>
      <m in="0">
        <tpls c="3">
          <tpl fld="0" item="0"/>
          <tpl fld="1" item="136"/>
          <tpl fld="4" item="33"/>
        </tpls>
      </m>
      <m in="0">
        <tpls c="3">
          <tpl fld="0" item="0"/>
          <tpl fld="1" item="348"/>
          <tpl fld="4" item="34"/>
        </tpls>
      </m>
      <m in="0">
        <tpls c="3">
          <tpl fld="0" item="0"/>
          <tpl fld="1" item="220"/>
          <tpl fld="4" item="17"/>
        </tpls>
      </m>
      <m in="0">
        <tpls c="3">
          <tpl fld="0" item="0"/>
          <tpl fld="1" item="25"/>
          <tpl fld="4" item="32"/>
        </tpls>
      </m>
      <m in="0">
        <tpls c="3">
          <tpl fld="0" item="0"/>
          <tpl fld="1" item="296"/>
          <tpl fld="4" item="32"/>
        </tpls>
      </m>
      <m in="0">
        <tpls c="3">
          <tpl fld="0" item="0"/>
          <tpl fld="1" item="319"/>
          <tpl fld="4" item="31"/>
        </tpls>
      </m>
      <n v="4" in="0">
        <tpls c="3">
          <tpl fld="0" item="0"/>
          <tpl fld="1" item="140"/>
          <tpl fld="4" item="33"/>
        </tpls>
      </n>
      <m in="0">
        <tpls c="3">
          <tpl fld="0" item="0"/>
          <tpl fld="1" item="162"/>
          <tpl fld="4" item="34"/>
        </tpls>
      </m>
      <n v="4" in="0">
        <tpls c="3">
          <tpl fld="0" item="0"/>
          <tpl fld="1" item="369"/>
          <tpl fld="4" item="26"/>
        </tpls>
      </n>
      <n v="1" in="0">
        <tpls c="3">
          <tpl fld="0" item="0"/>
          <tpl fld="1" item="160"/>
          <tpl fld="4" item="31"/>
        </tpls>
      </n>
      <m in="0">
        <tpls c="3">
          <tpl fld="0" item="0"/>
          <tpl fld="1" item="155"/>
          <tpl fld="4" item="28"/>
        </tpls>
      </m>
      <m in="0">
        <tpls c="3">
          <tpl fld="0" item="0"/>
          <tpl fld="1" item="439"/>
          <tpl fld="4" item="27"/>
        </tpls>
      </m>
      <m in="0">
        <tpls c="3">
          <tpl fld="0" item="0"/>
          <tpl fld="1" item="289"/>
          <tpl fld="4" item="33"/>
        </tpls>
      </m>
      <m in="0">
        <tpls c="3">
          <tpl fld="0" item="0"/>
          <tpl fld="1" item="285"/>
          <tpl fld="4" item="30"/>
        </tpls>
      </m>
      <n v="2" in="0">
        <tpls c="3">
          <tpl fld="0" item="0"/>
          <tpl fld="1" item="226"/>
          <tpl fld="4" item="22"/>
        </tpls>
      </n>
      <m in="0">
        <tpls c="3">
          <tpl fld="0" item="0"/>
          <tpl fld="1" item="345"/>
          <tpl fld="4" item="27"/>
        </tpls>
      </m>
      <m in="0">
        <tpls c="3">
          <tpl fld="0" item="0"/>
          <tpl fld="1" item="28"/>
          <tpl fld="4" item="32"/>
        </tpls>
      </m>
      <m in="0">
        <tpls c="3">
          <tpl fld="0" item="0"/>
          <tpl fld="1" item="116"/>
          <tpl fld="4" item="31"/>
        </tpls>
      </m>
      <m in="0">
        <tpls c="3">
          <tpl fld="0" item="0"/>
          <tpl fld="1" item="17"/>
          <tpl fld="4" item="31"/>
        </tpls>
      </m>
      <m in="0">
        <tpls c="3">
          <tpl fld="0" item="0"/>
          <tpl fld="1" item="148"/>
          <tpl fld="4" item="33"/>
        </tpls>
      </m>
      <m in="0">
        <tpls c="3">
          <tpl fld="0" item="0"/>
          <tpl fld="1" item="404"/>
          <tpl fld="4" item="30"/>
        </tpls>
      </m>
      <m in="0">
        <tpls c="3">
          <tpl fld="0" item="0"/>
          <tpl fld="1" item="351"/>
          <tpl fld="4" item="34"/>
        </tpls>
      </m>
      <m in="0">
        <tpls c="3">
          <tpl fld="0" item="0"/>
          <tpl fld="1" item="98"/>
          <tpl fld="4" item="32"/>
        </tpls>
      </m>
      <m in="0">
        <tpls c="3">
          <tpl fld="0" item="0"/>
          <tpl fld="1" item="187"/>
          <tpl fld="4" item="34"/>
        </tpls>
      </m>
      <m in="0">
        <tpls c="3">
          <tpl fld="0" item="0"/>
          <tpl fld="1" item="203"/>
          <tpl fld="4" item="35"/>
        </tpls>
      </m>
      <m in="0">
        <tpls c="3">
          <tpl fld="0" item="0"/>
          <tpl fld="1" item="163"/>
          <tpl fld="4" item="30"/>
        </tpls>
      </m>
      <m in="0">
        <tpls c="3">
          <tpl fld="0" item="0"/>
          <tpl fld="1" item="274"/>
          <tpl fld="4" item="35"/>
        </tpls>
      </m>
      <m in="0">
        <tpls c="3">
          <tpl fld="0" item="0"/>
          <tpl fld="1" item="59"/>
          <tpl fld="4" item="32"/>
        </tpls>
      </m>
      <m in="0">
        <tpls c="3">
          <tpl fld="0" item="0"/>
          <tpl fld="1" item="124"/>
          <tpl fld="4" item="26"/>
        </tpls>
      </m>
      <m in="0">
        <tpls c="3">
          <tpl fld="0" item="0"/>
          <tpl fld="1" item="166"/>
          <tpl fld="4" item="27"/>
        </tpls>
      </m>
      <n v="4" in="0">
        <tpls c="3">
          <tpl fld="0" item="0"/>
          <tpl fld="1" item="232"/>
          <tpl fld="4" item="31"/>
        </tpls>
      </n>
      <m in="0">
        <tpls c="3">
          <tpl fld="0" item="0"/>
          <tpl fld="1" item="122"/>
          <tpl fld="4" item="31"/>
        </tpls>
      </m>
      <m in="0">
        <tpls c="3">
          <tpl fld="0" item="0"/>
          <tpl fld="1" item="139"/>
          <tpl fld="4" item="33"/>
        </tpls>
      </m>
      <m in="0">
        <tpls c="3">
          <tpl fld="0" item="0"/>
          <tpl fld="1" item="219"/>
          <tpl fld="4" item="34"/>
        </tpls>
      </m>
      <m in="0">
        <tpls c="3">
          <tpl fld="0" item="0"/>
          <tpl fld="1" item="316"/>
          <tpl fld="4" item="25"/>
        </tpls>
      </m>
      <n v="5" in="0">
        <tpls c="3">
          <tpl fld="0" item="0"/>
          <tpl fld="1" item="370"/>
          <tpl fld="4" item="27"/>
        </tpls>
      </n>
      <n v="20" in="0">
        <tpls c="3">
          <tpl fld="0" item="0"/>
          <tpl fld="1" item="184"/>
          <tpl fld="4" item="24"/>
        </tpls>
      </n>
      <m in="0">
        <tpls c="3">
          <tpl fld="0" item="0"/>
          <tpl fld="1" item="344"/>
          <tpl fld="4" item="32"/>
        </tpls>
      </m>
      <m in="0">
        <tpls c="3">
          <tpl fld="0" item="0"/>
          <tpl fld="1" item="95"/>
          <tpl fld="4" item="33"/>
        </tpls>
      </m>
      <m in="0">
        <tpls c="3">
          <tpl fld="0" item="0"/>
          <tpl fld="1" item="205"/>
          <tpl fld="4" item="30"/>
        </tpls>
      </m>
      <n v="2357" in="0">
        <tpls c="3">
          <tpl fld="0" item="0"/>
          <tpl fld="1" item="380"/>
          <tpl fld="4" item="25"/>
        </tpls>
      </n>
      <m in="0">
        <tpls c="3">
          <tpl fld="0" item="0"/>
          <tpl fld="1" item="448"/>
          <tpl fld="4" item="32"/>
        </tpls>
      </m>
      <m in="0">
        <tpls c="3">
          <tpl fld="0" item="0"/>
          <tpl fld="1" item="223"/>
          <tpl fld="4" item="31"/>
        </tpls>
      </m>
      <m in="0">
        <tpls c="3">
          <tpl fld="0" item="0"/>
          <tpl fld="1" item="86"/>
          <tpl fld="4" item="24"/>
        </tpls>
      </m>
      <m in="0">
        <tpls c="3">
          <tpl fld="0" item="0"/>
          <tpl fld="1" item="268"/>
          <tpl fld="4" item="33"/>
        </tpls>
      </m>
      <m in="0">
        <tpls c="3">
          <tpl fld="0" item="0"/>
          <tpl fld="1" item="112"/>
          <tpl fld="4" item="30"/>
        </tpls>
      </m>
      <m in="0">
        <tpls c="3">
          <tpl fld="0" item="0"/>
          <tpl fld="1" item="221"/>
          <tpl fld="4" item="27"/>
        </tpls>
      </m>
      <m in="0">
        <tpls c="3">
          <tpl fld="0" item="0"/>
          <tpl fld="1" item="222"/>
          <tpl fld="4" item="24"/>
        </tpls>
      </m>
      <n v="11" in="0">
        <tpls c="3">
          <tpl fld="0" item="0"/>
          <tpl fld="1" item="323"/>
          <tpl fld="4" item="24"/>
        </tpls>
      </n>
      <m in="0">
        <tpls c="3">
          <tpl fld="0" item="0"/>
          <tpl fld="1" item="420"/>
          <tpl fld="4" item="32"/>
        </tpls>
      </m>
      <m in="0">
        <tpls c="3">
          <tpl fld="0" item="0"/>
          <tpl fld="1" item="225"/>
          <tpl fld="4" item="32"/>
        </tpls>
      </m>
      <m in="0">
        <tpls c="3">
          <tpl fld="0" item="0"/>
          <tpl fld="1" item="96"/>
          <tpl fld="4" item="33"/>
        </tpls>
      </m>
      <n v="5" in="0">
        <tpls c="3">
          <tpl fld="0" item="0"/>
          <tpl fld="1" item="47"/>
          <tpl fld="4" item="30"/>
        </tpls>
      </n>
      <m in="0">
        <tpls c="3">
          <tpl fld="0" item="0"/>
          <tpl fld="1" item="381"/>
          <tpl fld="4" item="34"/>
        </tpls>
      </m>
      <n v="119" in="0">
        <tpls c="3">
          <tpl fld="0" item="0"/>
          <tpl fld="1" item="163"/>
          <tpl fld="4" item="27"/>
        </tpls>
      </n>
      <m in="0">
        <tpls c="3">
          <tpl fld="0" item="0"/>
          <tpl fld="1" item="385"/>
          <tpl fld="4" item="34"/>
        </tpls>
      </m>
      <m in="0">
        <tpls c="3">
          <tpl fld="0" item="0"/>
          <tpl fld="1" item="311"/>
          <tpl fld="4" item="35"/>
        </tpls>
      </m>
      <n v="8" in="0">
        <tpls c="3">
          <tpl fld="0" item="0"/>
          <tpl fld="1" item="385"/>
          <tpl fld="4" item="33"/>
        </tpls>
      </n>
      <m in="0">
        <tpls c="3">
          <tpl fld="0" item="0"/>
          <tpl fld="1" item="192"/>
          <tpl fld="4" item="35"/>
        </tpls>
      </m>
      <m in="0">
        <tpls c="3">
          <tpl fld="0" item="0"/>
          <tpl fld="1" item="421"/>
          <tpl fld="4" item="20"/>
        </tpls>
      </m>
      <m in="0">
        <tpls c="3">
          <tpl fld="0" item="0"/>
          <tpl fld="1" item="150"/>
          <tpl fld="4" item="34"/>
        </tpls>
      </m>
      <m in="0">
        <tpls c="3">
          <tpl fld="0" item="0"/>
          <tpl fld="1" item="96"/>
          <tpl fld="4" item="35"/>
        </tpls>
      </m>
      <m in="0">
        <tpls c="3">
          <tpl fld="0" item="0"/>
          <tpl fld="1" item="315"/>
          <tpl fld="4" item="34"/>
        </tpls>
      </m>
      <m in="0">
        <tpls c="3">
          <tpl fld="0" item="0"/>
          <tpl fld="1" item="15"/>
          <tpl fld="4" item="24"/>
        </tpls>
      </m>
      <n v="51" in="0">
        <tpls c="3">
          <tpl fld="0" item="0"/>
          <tpl fld="1" item="456"/>
          <tpl fld="4" item="23"/>
        </tpls>
      </n>
      <m in="0">
        <tpls c="3">
          <tpl fld="0" item="0"/>
          <tpl fld="1" item="451"/>
          <tpl fld="4" item="34"/>
        </tpls>
      </m>
      <m in="0">
        <tpls c="3">
          <tpl fld="0" item="0"/>
          <tpl fld="1" item="90"/>
          <tpl fld="4" item="35"/>
        </tpls>
      </m>
      <m in="0">
        <tpls c="3">
          <tpl fld="0" item="0"/>
          <tpl fld="1" item="383"/>
          <tpl fld="4" item="31"/>
        </tpls>
      </m>
      <m in="0">
        <tpls c="3">
          <tpl fld="0" item="0"/>
          <tpl fld="1" item="299"/>
          <tpl fld="4" item="34"/>
        </tpls>
      </m>
      <m in="0">
        <tpls c="3">
          <tpl fld="0" item="0"/>
          <tpl fld="1" item="444"/>
          <tpl fld="4" item="35"/>
        </tpls>
      </m>
      <n v="55" in="0">
        <tpls c="3">
          <tpl fld="0" item="0"/>
          <tpl fld="1" item="52"/>
          <tpl fld="4" item="25"/>
        </tpls>
      </n>
      <m in="0">
        <tpls c="3">
          <tpl fld="0" item="0"/>
          <tpl fld="1" item="221"/>
          <tpl fld="4" item="13"/>
        </tpls>
      </m>
      <m in="0">
        <tpls c="3">
          <tpl fld="0" item="0"/>
          <tpl fld="1" item="211"/>
          <tpl fld="4" item="25"/>
        </tpls>
      </m>
      <n v="17" in="0">
        <tpls c="3">
          <tpl fld="0" item="0"/>
          <tpl fld="1" item="350"/>
          <tpl fld="4" item="24"/>
        </tpls>
      </n>
      <n v="17" in="0">
        <tpls c="3">
          <tpl fld="0" item="0"/>
          <tpl fld="1" item="386"/>
          <tpl fld="4" item="27"/>
        </tpls>
      </n>
      <m in="0">
        <tpls c="3">
          <tpl fld="0" item="0"/>
          <tpl fld="1" item="397"/>
          <tpl fld="4" item="33"/>
        </tpls>
      </m>
      <m in="0">
        <tpls c="3">
          <tpl fld="0" item="0"/>
          <tpl fld="1" item="235"/>
          <tpl fld="4" item="30"/>
        </tpls>
      </m>
      <n v="256" in="0">
        <tpls c="3">
          <tpl fld="0" item="0"/>
          <tpl fld="1" item="104"/>
          <tpl fld="4" item="20"/>
        </tpls>
      </n>
      <n v="258" in="0">
        <tpls c="3">
          <tpl fld="0" item="0"/>
          <tpl fld="1" item="215"/>
          <tpl fld="4" item="25"/>
        </tpls>
      </n>
      <m in="0">
        <tpls c="3">
          <tpl fld="0" item="0"/>
          <tpl fld="1" item="337"/>
          <tpl fld="4" item="31"/>
        </tpls>
      </m>
      <m in="0">
        <tpls c="3">
          <tpl fld="0" item="0"/>
          <tpl fld="1" item="196"/>
          <tpl fld="4" item="32"/>
        </tpls>
      </m>
      <n v="1" in="0">
        <tpls c="3">
          <tpl fld="0" item="0"/>
          <tpl fld="1" item="269"/>
          <tpl fld="4" item="33"/>
        </tpls>
      </n>
      <m in="0">
        <tpls c="3">
          <tpl fld="0" item="0"/>
          <tpl fld="1" item="189"/>
          <tpl fld="4" item="30"/>
        </tpls>
      </m>
      <n v="24" in="0">
        <tpls c="3">
          <tpl fld="0" item="0"/>
          <tpl fld="1" item="111"/>
          <tpl fld="4" item="22"/>
        </tpls>
      </n>
      <n v="137" in="0">
        <tpls c="3">
          <tpl fld="0" item="0"/>
          <tpl fld="1" item="424"/>
          <tpl fld="4" item="24"/>
        </tpls>
      </n>
      <n v="10" in="0">
        <tpls c="3">
          <tpl fld="0" item="0"/>
          <tpl fld="1" item="276"/>
          <tpl fld="4" item="24"/>
        </tpls>
      </n>
      <m in="0">
        <tpls c="3">
          <tpl fld="0" item="0"/>
          <tpl fld="1" item="96"/>
          <tpl fld="4" item="32"/>
        </tpls>
      </m>
      <m in="0">
        <tpls c="3">
          <tpl fld="0" item="0"/>
          <tpl fld="1" item="168"/>
          <tpl fld="4" item="32"/>
        </tpls>
      </m>
      <m in="0">
        <tpls c="3">
          <tpl fld="0" item="0"/>
          <tpl fld="1" item="171"/>
          <tpl fld="4" item="33"/>
        </tpls>
      </m>
      <m in="0">
        <tpls c="3">
          <tpl fld="0" item="0"/>
          <tpl fld="1" item="256"/>
          <tpl fld="4" item="30"/>
        </tpls>
      </m>
      <n v="29" in="0">
        <tpls c="3">
          <tpl fld="0" item="0"/>
          <tpl fld="1" item="206"/>
          <tpl fld="4" item="16"/>
        </tpls>
      </n>
      <m in="0">
        <tpls c="3">
          <tpl fld="0" item="0"/>
          <tpl fld="1" item="76"/>
          <tpl fld="4" item="26"/>
        </tpls>
      </m>
      <m in="0">
        <tpls c="3">
          <tpl fld="0" item="0"/>
          <tpl fld="1" item="418"/>
          <tpl fld="4" item="31"/>
        </tpls>
      </m>
      <m in="0">
        <tpls c="3">
          <tpl fld="0" item="0"/>
          <tpl fld="1" item="121"/>
          <tpl fld="4" item="32"/>
        </tpls>
      </m>
      <m in="0">
        <tpls c="3">
          <tpl fld="0" item="0"/>
          <tpl fld="1" item="17"/>
          <tpl fld="4" item="20"/>
        </tpls>
      </m>
      <m in="0">
        <tpls c="3">
          <tpl fld="0" item="0"/>
          <tpl fld="1" item="248"/>
          <tpl fld="4" item="33"/>
        </tpls>
      </m>
      <n v="1" in="0">
        <tpls c="3">
          <tpl fld="0" item="0"/>
          <tpl fld="1" item="415"/>
          <tpl fld="4" item="30"/>
        </tpls>
      </n>
      <m in="0">
        <tpls c="3">
          <tpl fld="0" item="0"/>
          <tpl fld="1" item="239"/>
          <tpl fld="4" item="34"/>
        </tpls>
      </m>
      <n v="14" in="0">
        <tpls c="3">
          <tpl fld="0" item="0"/>
          <tpl fld="1" item="194"/>
          <tpl fld="4" item="24"/>
        </tpls>
      </n>
      <m in="0">
        <tpls c="3">
          <tpl fld="0" item="0"/>
          <tpl fld="1" item="274"/>
          <tpl fld="4" item="34"/>
        </tpls>
      </m>
      <m in="0">
        <tpls c="3">
          <tpl fld="0" item="0"/>
          <tpl fld="1" item="145"/>
          <tpl fld="4" item="35"/>
        </tpls>
      </m>
      <m in="0">
        <tpls c="3">
          <tpl fld="0" item="0"/>
          <tpl fld="1" item="402"/>
          <tpl fld="4" item="31"/>
        </tpls>
      </m>
      <m in="0">
        <tpls c="3">
          <tpl fld="0" item="0"/>
          <tpl fld="1" item="407"/>
          <tpl fld="4" item="34"/>
        </tpls>
      </m>
      <m in="0">
        <tpls c="3">
          <tpl fld="0" item="0"/>
          <tpl fld="1" item="37"/>
          <tpl fld="4" item="35"/>
        </tpls>
      </m>
      <m in="0">
        <tpls c="3">
          <tpl fld="0" item="0"/>
          <tpl fld="1" item="52"/>
          <tpl fld="4" item="30"/>
        </tpls>
      </m>
      <m in="0">
        <tpls c="3">
          <tpl fld="0" item="0"/>
          <tpl fld="1" item="281"/>
          <tpl fld="4" item="35"/>
        </tpls>
      </m>
      <m in="0">
        <tpls c="3">
          <tpl fld="0" item="0"/>
          <tpl fld="1" item="272"/>
          <tpl fld="4" item="32"/>
        </tpls>
      </m>
      <m in="0">
        <tpls c="3">
          <tpl fld="0" item="0"/>
          <tpl fld="1" item="259"/>
          <tpl fld="4" item="27"/>
        </tpls>
      </m>
      <m in="0">
        <tpls c="3">
          <tpl fld="0" item="0"/>
          <tpl fld="1" item="309"/>
          <tpl fld="4" item="32"/>
        </tpls>
      </m>
      <m in="0">
        <tpls c="3">
          <tpl fld="0" item="0"/>
          <tpl fld="1" item="281"/>
          <tpl fld="4" item="32"/>
        </tpls>
      </m>
      <m in="0">
        <tpls c="3">
          <tpl fld="0" item="0"/>
          <tpl fld="1" item="273"/>
          <tpl fld="4" item="30"/>
        </tpls>
      </m>
      <m in="0">
        <tpls c="3">
          <tpl fld="0" item="0"/>
          <tpl fld="1" item="74"/>
          <tpl fld="4" item="34"/>
        </tpls>
      </m>
      <n v="65" in="0">
        <tpls c="3">
          <tpl fld="0" item="0"/>
          <tpl fld="1" item="33"/>
          <tpl fld="4" item="22"/>
        </tpls>
      </n>
      <m in="0">
        <tpls c="3">
          <tpl fld="0" item="0"/>
          <tpl fld="1" item="105"/>
          <tpl fld="4" item="32"/>
        </tpls>
      </m>
      <m in="0">
        <tpls c="3">
          <tpl fld="0" item="0"/>
          <tpl fld="1" item="423"/>
          <tpl fld="4" item="31"/>
        </tpls>
      </m>
      <n v="1" in="0">
        <tpls c="3">
          <tpl fld="0" item="0"/>
          <tpl fld="1" item="111"/>
          <tpl fld="4" item="31"/>
        </tpls>
      </n>
      <m in="0">
        <tpls c="3">
          <tpl fld="0" item="0"/>
          <tpl fld="1" item="0"/>
          <tpl fld="4" item="33"/>
        </tpls>
      </m>
      <m in="0">
        <tpls c="3">
          <tpl fld="0" item="0"/>
          <tpl fld="1" item="116"/>
          <tpl fld="4" item="34"/>
        </tpls>
      </m>
      <m in="0">
        <tpls c="3">
          <tpl fld="0" item="0"/>
          <tpl fld="1" item="216"/>
          <tpl fld="4" item="23"/>
        </tpls>
      </m>
      <n v="12" in="0">
        <tpls c="3">
          <tpl fld="0" item="0"/>
          <tpl fld="1" item="348"/>
          <tpl fld="4" item="22"/>
        </tpls>
      </n>
      <m in="0">
        <tpls c="3">
          <tpl fld="0" item="0"/>
          <tpl fld="1" item="130"/>
          <tpl fld="4" item="31"/>
        </tpls>
      </m>
      <m in="0">
        <tpls c="3">
          <tpl fld="0" item="0"/>
          <tpl fld="1" item="279"/>
          <tpl fld="4" item="33"/>
        </tpls>
      </m>
      <m in="0">
        <tpls c="3">
          <tpl fld="0" item="0"/>
          <tpl fld="1" item="127"/>
          <tpl fld="4" item="17"/>
        </tpls>
      </m>
      <m in="0">
        <tpls c="3">
          <tpl fld="0" item="0"/>
          <tpl fld="1" item="108"/>
          <tpl fld="4" item="24"/>
        </tpls>
      </m>
      <n v="4" in="0">
        <tpls c="3">
          <tpl fld="0" item="0"/>
          <tpl fld="1" item="411"/>
          <tpl fld="4" item="26"/>
        </tpls>
      </n>
      <m in="0">
        <tpls c="3">
          <tpl fld="0" item="0"/>
          <tpl fld="1" item="83"/>
          <tpl fld="4" item="29"/>
        </tpls>
      </m>
      <m in="0">
        <tpls c="3">
          <tpl fld="0" item="0"/>
          <tpl fld="1" item="292"/>
          <tpl fld="4" item="33"/>
        </tpls>
      </m>
      <m in="0">
        <tpls c="3">
          <tpl fld="0" item="0"/>
          <tpl fld="1" item="296"/>
          <tpl fld="4" item="30"/>
        </tpls>
      </m>
      <n v="282" in="0">
        <tpls c="3">
          <tpl fld="0" item="0"/>
          <tpl fld="1" item="264"/>
          <tpl fld="4" item="25"/>
        </tpls>
      </n>
      <m in="0">
        <tpls c="3">
          <tpl fld="0" item="0"/>
          <tpl fld="1" item="330"/>
          <tpl fld="4" item="31"/>
        </tpls>
      </m>
      <m in="0">
        <tpls c="3">
          <tpl fld="0" item="0"/>
          <tpl fld="1" item="53"/>
          <tpl fld="4" item="32"/>
        </tpls>
      </m>
      <n v="289" in="0">
        <tpls c="3">
          <tpl fld="0" item="0"/>
          <tpl fld="1" item="49"/>
          <tpl fld="4" item="20"/>
        </tpls>
      </n>
      <n v="10" in="0">
        <tpls c="3">
          <tpl fld="0" item="0"/>
          <tpl fld="1" item="309"/>
          <tpl fld="4" item="28"/>
        </tpls>
      </n>
      <m in="0">
        <tpls c="3">
          <tpl fld="0" item="0"/>
          <tpl fld="1" item="151"/>
          <tpl fld="4" item="18"/>
        </tpls>
      </m>
      <n v="19" in="0">
        <tpls c="3">
          <tpl fld="0" item="0"/>
          <tpl fld="1" item="236"/>
          <tpl fld="4" item="24"/>
        </tpls>
      </n>
      <n v="9" in="0">
        <tpls c="3">
          <tpl fld="0" item="0"/>
          <tpl fld="1" item="178"/>
          <tpl fld="4" item="15"/>
        </tpls>
      </n>
      <m in="0">
        <tpls c="3">
          <tpl fld="0" item="0"/>
          <tpl fld="1" item="350"/>
          <tpl fld="4" item="28"/>
        </tpls>
      </m>
      <m in="0">
        <tpls c="3">
          <tpl fld="0" item="0"/>
          <tpl fld="1" item="343"/>
          <tpl fld="4" item="28"/>
        </tpls>
      </m>
      <n v="64" in="0">
        <tpls c="3">
          <tpl fld="0" item="0"/>
          <tpl fld="1" item="38"/>
          <tpl fld="4" item="29"/>
        </tpls>
      </n>
      <n v="184" in="0">
        <tpls c="3">
          <tpl fld="0" item="0"/>
          <tpl fld="1" item="187"/>
          <tpl fld="4" item="27"/>
        </tpls>
      </n>
      <m in="0">
        <tpls c="3">
          <tpl fld="0" item="0"/>
          <tpl fld="1" item="72"/>
          <tpl fld="4" item="27"/>
        </tpls>
      </m>
      <m in="0">
        <tpls c="3">
          <tpl fld="0" item="0"/>
          <tpl fld="1" item="414"/>
          <tpl fld="4" item="22"/>
        </tpls>
      </m>
      <m in="0">
        <tpls c="3">
          <tpl fld="0" item="0"/>
          <tpl fld="1" item="53"/>
          <tpl fld="4" item="22"/>
        </tpls>
      </m>
      <m in="0">
        <tpls c="3">
          <tpl fld="0" item="0"/>
          <tpl fld="1" item="436"/>
          <tpl fld="4" item="24"/>
        </tpls>
      </m>
      <m in="0">
        <tpls c="3">
          <tpl fld="0" item="0"/>
          <tpl fld="1" item="321"/>
          <tpl fld="4" item="25"/>
        </tpls>
      </m>
      <m in="0">
        <tpls c="3">
          <tpl fld="0" item="0"/>
          <tpl fld="1" item="236"/>
          <tpl fld="4" item="32"/>
        </tpls>
      </m>
      <m in="0">
        <tpls c="3">
          <tpl fld="0" item="0"/>
          <tpl fld="1" item="333"/>
          <tpl fld="4" item="32"/>
        </tpls>
      </m>
      <m in="0">
        <tpls c="3">
          <tpl fld="0" item="0"/>
          <tpl fld="1" item="407"/>
          <tpl fld="4" item="33"/>
        </tpls>
      </m>
      <n v="3" in="0">
        <tpls c="3">
          <tpl fld="0" item="0"/>
          <tpl fld="1" item="320"/>
          <tpl fld="4" item="30"/>
        </tpls>
      </n>
      <m in="0">
        <tpls c="3">
          <tpl fld="0" item="0"/>
          <tpl fld="1" item="318"/>
          <tpl fld="4" item="28"/>
        </tpls>
      </m>
      <n v="30" in="0">
        <tpls c="3">
          <tpl fld="0" item="0"/>
          <tpl fld="1" item="456"/>
          <tpl fld="4" item="24"/>
        </tpls>
      </n>
      <m in="0">
        <tpls c="3">
          <tpl fld="0" item="0"/>
          <tpl fld="1" item="298"/>
          <tpl fld="4" item="32"/>
        </tpls>
      </m>
      <m in="0">
        <tpls c="3">
          <tpl fld="0" item="0"/>
          <tpl fld="1" item="328"/>
          <tpl fld="4" item="32"/>
        </tpls>
      </m>
      <m in="0">
        <tpls c="3">
          <tpl fld="0" item="0"/>
          <tpl fld="1" item="66"/>
          <tpl fld="4" item="33"/>
        </tpls>
      </m>
      <m in="0">
        <tpls c="3">
          <tpl fld="0" item="0"/>
          <tpl fld="1" item="250"/>
          <tpl fld="4" item="29"/>
        </tpls>
      </m>
      <m in="0">
        <tpls c="3">
          <tpl fld="0" item="0"/>
          <tpl fld="1" item="130"/>
          <tpl fld="4" item="32"/>
        </tpls>
      </m>
      <m in="0">
        <tpls c="3">
          <tpl fld="0" item="0"/>
          <tpl fld="1" item="405"/>
          <tpl fld="4" item="32"/>
        </tpls>
      </m>
      <m in="0">
        <tpls c="3">
          <tpl fld="0" item="0"/>
          <tpl fld="1" item="78"/>
          <tpl fld="4" item="31"/>
        </tpls>
      </m>
      <n v="151" in="0">
        <tpls c="3">
          <tpl fld="0" item="0"/>
          <tpl fld="1" item="57"/>
          <tpl fld="4" item="23"/>
        </tpls>
      </n>
      <m in="0">
        <tpls c="3">
          <tpl fld="0" item="0"/>
          <tpl fld="1" item="197"/>
          <tpl fld="4" item="24"/>
        </tpls>
      </m>
      <m in="0">
        <tpls c="3">
          <tpl fld="0" item="0"/>
          <tpl fld="1" item="414"/>
          <tpl fld="4" item="31"/>
        </tpls>
      </m>
      <m in="0">
        <tpls c="3">
          <tpl fld="0" item="0"/>
          <tpl fld="1" item="6"/>
          <tpl fld="4" item="31"/>
        </tpls>
      </m>
      <m in="0">
        <tpls c="3">
          <tpl fld="0" item="0"/>
          <tpl fld="1" item="438"/>
          <tpl fld="4" item="32"/>
        </tpls>
      </m>
      <m in="0">
        <tpls c="3">
          <tpl fld="0" item="0"/>
          <tpl fld="1" item="53"/>
          <tpl fld="4" item="33"/>
        </tpls>
      </m>
      <m in="0">
        <tpls c="3">
          <tpl fld="0" item="0"/>
          <tpl fld="1" item="446"/>
          <tpl fld="4" item="30"/>
        </tpls>
      </m>
      <m in="0">
        <tpls c="3">
          <tpl fld="0" item="0"/>
          <tpl fld="1" item="357"/>
          <tpl fld="4" item="34"/>
        </tpls>
      </m>
      <m in="0">
        <tpls c="3">
          <tpl fld="0" item="0"/>
          <tpl fld="1" item="105"/>
          <tpl fld="4" item="23"/>
        </tpls>
      </m>
      <n v="112" in="0">
        <tpls c="3">
          <tpl fld="0" item="0"/>
          <tpl fld="1" item="420"/>
          <tpl fld="4" item="24"/>
        </tpls>
      </n>
      <m in="0">
        <tpls c="3">
          <tpl fld="0" item="0"/>
          <tpl fld="1" item="170"/>
          <tpl fld="4" item="23"/>
        </tpls>
      </m>
      <m in="0">
        <tpls c="3">
          <tpl fld="0" item="0"/>
          <tpl fld="1" item="377"/>
          <tpl fld="4" item="31"/>
        </tpls>
      </m>
      <m in="0">
        <tpls c="3">
          <tpl fld="0" item="0"/>
          <tpl fld="1" item="453"/>
          <tpl fld="4" item="31"/>
        </tpls>
      </m>
      <m in="0">
        <tpls c="3">
          <tpl fld="0" item="0"/>
          <tpl fld="1" item="178"/>
          <tpl fld="4" item="31"/>
        </tpls>
      </m>
      <m in="0">
        <tpls c="3">
          <tpl fld="0" item="0"/>
          <tpl fld="1" item="393"/>
          <tpl fld="4" item="33"/>
        </tpls>
      </m>
      <m in="0">
        <tpls c="3">
          <tpl fld="0" item="0"/>
          <tpl fld="1" item="79"/>
          <tpl fld="4" item="34"/>
        </tpls>
      </m>
      <n v="150" in="0">
        <tpls c="3">
          <tpl fld="0" item="0"/>
          <tpl fld="1" item="422"/>
          <tpl fld="4" item="23"/>
        </tpls>
      </n>
      <m in="0">
        <tpls c="3">
          <tpl fld="0" item="0"/>
          <tpl fld="1" item="422"/>
          <tpl fld="4" item="31"/>
        </tpls>
      </m>
      <m in="0">
        <tpls c="3">
          <tpl fld="0" item="0"/>
          <tpl fld="1" item="396"/>
          <tpl fld="4" item="25"/>
        </tpls>
      </m>
      <m in="0">
        <tpls c="3">
          <tpl fld="0" item="0"/>
          <tpl fld="1" item="298"/>
          <tpl fld="4" item="24"/>
        </tpls>
      </m>
      <m in="0">
        <tpls c="3">
          <tpl fld="0" item="0"/>
          <tpl fld="1" item="271"/>
          <tpl fld="4" item="33"/>
        </tpls>
      </m>
      <m in="0">
        <tpls c="3">
          <tpl fld="0" item="0"/>
          <tpl fld="1" item="425"/>
          <tpl fld="4" item="30"/>
        </tpls>
      </m>
      <n v="58" in="0">
        <tpls c="3">
          <tpl fld="0" item="0"/>
          <tpl fld="1" item="231"/>
          <tpl fld="4" item="27"/>
        </tpls>
      </n>
      <n v="112" in="0">
        <tpls c="3">
          <tpl fld="0" item="0"/>
          <tpl fld="1" item="42"/>
          <tpl fld="4" item="24"/>
        </tpls>
      </n>
      <m in="0">
        <tpls c="3">
          <tpl fld="0" item="0"/>
          <tpl fld="1" item="401"/>
          <tpl fld="4" item="31"/>
        </tpls>
      </m>
      <m in="0">
        <tpls c="3">
          <tpl fld="0" item="0"/>
          <tpl fld="1" item="253"/>
          <tpl fld="4" item="31"/>
        </tpls>
      </m>
      <m in="0">
        <tpls c="3">
          <tpl fld="0" item="0"/>
          <tpl fld="1" item="44"/>
          <tpl fld="4" item="31"/>
        </tpls>
      </m>
      <m in="0">
        <tpls c="3">
          <tpl fld="0" item="0"/>
          <tpl fld="1" item="391"/>
          <tpl fld="4" item="33"/>
        </tpls>
      </m>
      <m in="0">
        <tpls c="3">
          <tpl fld="0" item="0"/>
          <tpl fld="1" item="398"/>
          <tpl fld="4" item="30"/>
        </tpls>
      </m>
      <m in="0">
        <tpls c="3">
          <tpl fld="0" item="0"/>
          <tpl fld="1" item="204"/>
          <tpl fld="4" item="28"/>
        </tpls>
      </m>
      <n v="10" in="0">
        <tpls c="3">
          <tpl fld="0" item="0"/>
          <tpl fld="1" item="274"/>
          <tpl fld="4" item="24"/>
        </tpls>
      </n>
      <n v="14" in="0">
        <tpls c="3">
          <tpl fld="0" item="0"/>
          <tpl fld="1" item="49"/>
          <tpl fld="4" item="26"/>
        </tpls>
      </n>
      <m in="0">
        <tpls c="3">
          <tpl fld="0" item="0"/>
          <tpl fld="1" item="153"/>
          <tpl fld="4" item="24"/>
        </tpls>
      </m>
      <m in="0">
        <tpls c="3">
          <tpl fld="0" item="0"/>
          <tpl fld="1" item="68"/>
          <tpl fld="4" item="32"/>
        </tpls>
      </m>
      <m in="0">
        <tpls c="3">
          <tpl fld="0" item="0"/>
          <tpl fld="1" item="164"/>
          <tpl fld="4" item="33"/>
        </tpls>
      </m>
      <m in="0">
        <tpls c="3">
          <tpl fld="0" item="0"/>
          <tpl fld="1" item="340"/>
          <tpl fld="4" item="30"/>
        </tpls>
      </m>
      <m in="0">
        <tpls c="3">
          <tpl fld="0" item="0"/>
          <tpl fld="1" item="393"/>
          <tpl fld="4" item="34"/>
        </tpls>
      </m>
      <m in="0">
        <tpls c="3">
          <tpl fld="0" item="0"/>
          <tpl fld="1" item="112"/>
          <tpl fld="4" item="24"/>
        </tpls>
      </m>
      <m in="0">
        <tpls c="3">
          <tpl fld="0" item="0"/>
          <tpl fld="1" item="374"/>
          <tpl fld="4" item="34"/>
        </tpls>
      </m>
      <m in="0">
        <tpls c="3">
          <tpl fld="0" item="0"/>
          <tpl fld="1" item="379"/>
          <tpl fld="4" item="35"/>
        </tpls>
      </m>
      <m in="0">
        <tpls c="3">
          <tpl fld="0" item="0"/>
          <tpl fld="1" item="147"/>
          <tpl fld="4" item="33"/>
        </tpls>
      </m>
      <m in="0">
        <tpls c="3">
          <tpl fld="0" item="0"/>
          <tpl fld="1" item="417"/>
          <tpl fld="4" item="35"/>
        </tpls>
      </m>
      <m in="0">
        <tpls c="3">
          <tpl fld="0" item="0"/>
          <tpl fld="1" item="248"/>
          <tpl fld="4" item="22"/>
        </tpls>
      </m>
      <m in="0">
        <tpls c="3">
          <tpl fld="0" item="0"/>
          <tpl fld="1" item="352"/>
          <tpl fld="4" item="30"/>
        </tpls>
      </m>
      <m in="0">
        <tpls c="3">
          <tpl fld="0" item="0"/>
          <tpl fld="1" item="138"/>
          <tpl fld="4" item="35"/>
        </tpls>
      </m>
      <m in="0">
        <tpls c="3">
          <tpl fld="0" item="0"/>
          <tpl fld="1" item="278"/>
          <tpl fld="4" item="32"/>
        </tpls>
      </m>
      <m in="0">
        <tpls c="3">
          <tpl fld="0" item="0"/>
          <tpl fld="1" item="414"/>
          <tpl fld="4" item="24"/>
        </tpls>
      </m>
      <m in="0">
        <tpls c="3">
          <tpl fld="0" item="0"/>
          <tpl fld="1" item="235"/>
          <tpl fld="4" item="32"/>
        </tpls>
      </m>
      <n v="17" in="0">
        <tpls c="3">
          <tpl fld="0" item="0"/>
          <tpl fld="1" item="66"/>
          <tpl fld="4" item="25"/>
        </tpls>
      </n>
      <m in="0">
        <tpls c="3">
          <tpl fld="0" item="0"/>
          <tpl fld="1" item="234"/>
          <tpl fld="4" item="33"/>
        </tpls>
      </m>
      <m in="0">
        <tpls c="3">
          <tpl fld="0" item="0"/>
          <tpl fld="1" item="442"/>
          <tpl fld="4" item="34"/>
        </tpls>
      </m>
      <n v="65" in="0">
        <tpls c="3">
          <tpl fld="0" item="0"/>
          <tpl fld="1" item="233"/>
          <tpl fld="4" item="24"/>
        </tpls>
      </n>
      <m in="0">
        <tpls c="3">
          <tpl fld="0" item="0"/>
          <tpl fld="1" item="241"/>
          <tpl fld="4" item="32"/>
        </tpls>
      </m>
      <m in="0">
        <tpls c="3">
          <tpl fld="0" item="0"/>
          <tpl fld="1" item="202"/>
          <tpl fld="4" item="32"/>
        </tpls>
      </m>
      <m in="0">
        <tpls c="3">
          <tpl fld="0" item="0"/>
          <tpl fld="1" item="205"/>
          <tpl fld="4" item="31"/>
        </tpls>
      </m>
      <m in="0">
        <tpls c="3">
          <tpl fld="0" item="0"/>
          <tpl fld="1" item="157"/>
          <tpl fld="4" item="33"/>
        </tpls>
      </m>
      <m in="0">
        <tpls c="3">
          <tpl fld="0" item="0"/>
          <tpl fld="1" item="241"/>
          <tpl fld="4" item="34"/>
        </tpls>
      </m>
      <m in="0">
        <tpls c="3">
          <tpl fld="0" item="0"/>
          <tpl fld="1" item="178"/>
          <tpl fld="4" item="22"/>
        </tpls>
      </m>
      <m in="0">
        <tpls c="3">
          <tpl fld="0" item="0"/>
          <tpl fld="1" item="73"/>
          <tpl fld="4" item="31"/>
        </tpls>
      </m>
      <m in="0">
        <tpls c="3">
          <tpl fld="0" item="0"/>
          <tpl fld="1" item="71"/>
          <tpl fld="4" item="21"/>
        </tpls>
      </m>
      <m in="0">
        <tpls c="3">
          <tpl fld="0" item="0"/>
          <tpl fld="1" item="40"/>
          <tpl fld="4" item="29"/>
        </tpls>
      </m>
      <m in="0">
        <tpls c="3">
          <tpl fld="0" item="0"/>
          <tpl fld="1" item="330"/>
          <tpl fld="4" item="33"/>
        </tpls>
      </m>
      <m in="0">
        <tpls c="3">
          <tpl fld="0" item="0"/>
          <tpl fld="1" item="39"/>
          <tpl fld="4" item="30"/>
        </tpls>
      </m>
      <n v="62" in="0">
        <tpls c="3">
          <tpl fld="0" item="0"/>
          <tpl fld="1" item="417"/>
          <tpl fld="4" item="29"/>
        </tpls>
      </n>
      <n v="9" in="0">
        <tpls c="3">
          <tpl fld="0" item="0"/>
          <tpl fld="1" item="2"/>
          <tpl fld="4" item="29"/>
        </tpls>
      </n>
      <m in="0">
        <tpls c="3">
          <tpl fld="0" item="0"/>
          <tpl fld="1" item="450"/>
          <tpl fld="4" item="32"/>
        </tpls>
      </m>
      <m in="0">
        <tpls c="3">
          <tpl fld="0" item="0"/>
          <tpl fld="1" item="379"/>
          <tpl fld="4" item="31"/>
        </tpls>
      </m>
      <m in="0">
        <tpls c="3">
          <tpl fld="0" item="0"/>
          <tpl fld="1" item="229"/>
          <tpl fld="4" item="31"/>
        </tpls>
      </m>
      <m in="0">
        <tpls c="3">
          <tpl fld="0" item="0"/>
          <tpl fld="1" item="127"/>
          <tpl fld="4" item="33"/>
        </tpls>
      </m>
      <m in="0">
        <tpls c="3">
          <tpl fld="0" item="0"/>
          <tpl fld="1" item="216"/>
          <tpl fld="4" item="30"/>
        </tpls>
      </m>
      <m in="0">
        <tpls c="3">
          <tpl fld="0" item="0"/>
          <tpl fld="1" item="369"/>
          <tpl fld="4" item="34"/>
        </tpls>
      </m>
      <m in="0">
        <tpls c="3">
          <tpl fld="0" item="0"/>
          <tpl fld="1" item="274"/>
          <tpl fld="4" item="31"/>
        </tpls>
      </m>
      <m in="0">
        <tpls c="3">
          <tpl fld="0" item="0"/>
          <tpl fld="1" item="95"/>
          <tpl fld="4" item="34"/>
        </tpls>
      </m>
      <m in="0">
        <tpls c="3">
          <tpl fld="0" item="0"/>
          <tpl fld="1" item="337"/>
          <tpl fld="4" item="35"/>
        </tpls>
      </m>
      <m in="0">
        <tpls c="3">
          <tpl fld="0" item="0"/>
          <tpl fld="1" item="2"/>
          <tpl fld="4" item="30"/>
        </tpls>
      </m>
      <m in="0">
        <tpls c="3">
          <tpl fld="0" item="0"/>
          <tpl fld="1" item="56"/>
          <tpl fld="4" item="35"/>
        </tpls>
      </m>
      <n v="17" in="0">
        <tpls c="3">
          <tpl fld="0" item="0"/>
          <tpl fld="1" item="339"/>
          <tpl fld="4" item="26"/>
        </tpls>
      </n>
      <m in="0">
        <tpls c="3">
          <tpl fld="0" item="0"/>
          <tpl fld="1" item="436"/>
          <tpl fld="4" item="34"/>
        </tpls>
      </m>
      <m in="0">
        <tpls c="3">
          <tpl fld="0" item="0"/>
          <tpl fld="1" item="130"/>
          <tpl fld="4" item="27"/>
        </tpls>
      </m>
      <m in="0">
        <tpls c="3">
          <tpl fld="0" item="0"/>
          <tpl fld="1" item="372"/>
          <tpl fld="4" item="31"/>
        </tpls>
      </m>
      <m in="0">
        <tpls c="3">
          <tpl fld="0" item="0"/>
          <tpl fld="1" item="162"/>
          <tpl fld="4" item="31"/>
        </tpls>
      </m>
      <n v="3" in="0">
        <tpls c="3">
          <tpl fld="0" item="0"/>
          <tpl fld="1" item="364"/>
          <tpl fld="4" item="30"/>
        </tpls>
      </n>
      <m in="0">
        <tpls c="3">
          <tpl fld="0" item="0"/>
          <tpl fld="1" item="303"/>
          <tpl fld="4" item="34"/>
        </tpls>
      </m>
      <m in="0">
        <tpls c="3">
          <tpl fld="0" item="0"/>
          <tpl fld="1" item="1"/>
          <tpl fld="4" item="27"/>
        </tpls>
      </m>
      <m in="0">
        <tpls c="3">
          <tpl fld="0" item="0"/>
          <tpl fld="1" item="301"/>
          <tpl fld="4" item="31"/>
        </tpls>
      </m>
      <m in="0">
        <tpls c="3">
          <tpl fld="0" item="0"/>
          <tpl fld="1" item="37"/>
          <tpl fld="4" item="31"/>
        </tpls>
      </m>
      <m in="0">
        <tpls c="3">
          <tpl fld="0" item="0"/>
          <tpl fld="1" item="86"/>
          <tpl fld="4" item="32"/>
        </tpls>
      </m>
      <m in="0">
        <tpls c="3">
          <tpl fld="0" item="0"/>
          <tpl fld="1" item="60"/>
          <tpl fld="4" item="30"/>
        </tpls>
      </m>
      <m in="0">
        <tpls c="3">
          <tpl fld="0" item="0"/>
          <tpl fld="1" item="344"/>
          <tpl fld="4" item="34"/>
        </tpls>
      </m>
      <n v="6" in="0">
        <tpls c="3">
          <tpl fld="0" item="0"/>
          <tpl fld="1" item="415"/>
          <tpl fld="4" item="26"/>
        </tpls>
      </n>
      <n v="5" in="0">
        <tpls c="3">
          <tpl fld="0" item="0"/>
          <tpl fld="1" item="10"/>
          <tpl fld="4" item="22"/>
        </tpls>
      </n>
      <n v="188" in="0">
        <tpls c="3">
          <tpl fld="0" item="0"/>
          <tpl fld="1" item="141"/>
          <tpl fld="4" item="24"/>
        </tpls>
      </n>
      <m in="0">
        <tpls c="3">
          <tpl fld="0" item="0"/>
          <tpl fld="1" item="46"/>
          <tpl fld="4" item="32"/>
        </tpls>
      </m>
      <n v="2" in="0">
        <tpls c="3">
          <tpl fld="0" item="0"/>
          <tpl fld="1" item="308"/>
          <tpl fld="4" item="33"/>
        </tpls>
      </n>
      <n v="2" in="0">
        <tpls c="3">
          <tpl fld="0" item="0"/>
          <tpl fld="1" item="82"/>
          <tpl fld="4" item="30"/>
        </tpls>
      </n>
      <n v="2" in="0">
        <tpls c="3">
          <tpl fld="0" item="0"/>
          <tpl fld="1" item="18"/>
          <tpl fld="4" item="26"/>
        </tpls>
      </n>
      <m in="0">
        <tpls c="3">
          <tpl fld="0" item="0"/>
          <tpl fld="1" item="2"/>
          <tpl fld="4" item="32"/>
        </tpls>
      </m>
      <m in="0">
        <tpls c="3">
          <tpl fld="0" item="0"/>
          <tpl fld="1" item="55"/>
          <tpl fld="4" item="31"/>
        </tpls>
      </m>
      <m in="0">
        <tpls c="3">
          <tpl fld="0" item="0"/>
          <tpl fld="1" item="23"/>
          <tpl fld="4" item="26"/>
        </tpls>
      </m>
      <m in="0">
        <tpls c="3">
          <tpl fld="0" item="0"/>
          <tpl fld="1" item="26"/>
          <tpl fld="4" item="33"/>
        </tpls>
      </m>
      <m in="0">
        <tpls c="3">
          <tpl fld="0" item="0"/>
          <tpl fld="1" item="330"/>
          <tpl fld="4" item="30"/>
        </tpls>
      </m>
      <n v="1" in="0">
        <tpls c="3">
          <tpl fld="0" item="0"/>
          <tpl fld="1" item="104"/>
          <tpl fld="4" item="34"/>
        </tpls>
      </n>
      <m in="0">
        <tpls c="3">
          <tpl fld="0" item="0"/>
          <tpl fld="1" item="391"/>
          <tpl fld="4" item="34"/>
        </tpls>
      </m>
      <m in="0">
        <tpls c="3">
          <tpl fld="0" item="0"/>
          <tpl fld="1" item="176"/>
          <tpl fld="4" item="35"/>
        </tpls>
      </m>
      <m in="0">
        <tpls c="3">
          <tpl fld="0" item="0"/>
          <tpl fld="1" item="271"/>
          <tpl fld="4" item="30"/>
        </tpls>
      </m>
      <m in="0">
        <tpls c="3">
          <tpl fld="0" item="0"/>
          <tpl fld="1" item="370"/>
          <tpl fld="4" item="35"/>
        </tpls>
      </m>
      <n v="4" in="0">
        <tpls c="3">
          <tpl fld="0" item="0"/>
          <tpl fld="1" item="246"/>
          <tpl fld="4" item="28"/>
        </tpls>
      </n>
      <m in="0">
        <tpls c="3">
          <tpl fld="0" item="0"/>
          <tpl fld="1" item="404"/>
          <tpl fld="4" item="28"/>
        </tpls>
      </m>
      <m in="0">
        <tpls c="3">
          <tpl fld="0" item="0"/>
          <tpl fld="1" item="71"/>
          <tpl fld="4" item="32"/>
        </tpls>
      </m>
      <m in="0">
        <tpls c="3">
          <tpl fld="0" item="0"/>
          <tpl fld="1" item="88"/>
          <tpl fld="4" item="24"/>
        </tpls>
      </m>
      <m in="0">
        <tpls c="3">
          <tpl fld="0" item="0"/>
          <tpl fld="1" item="382"/>
          <tpl fld="4" item="33"/>
        </tpls>
      </m>
      <m in="0">
        <tpls c="3">
          <tpl fld="0" item="0"/>
          <tpl fld="1" item="401"/>
          <tpl fld="4" item="34"/>
        </tpls>
      </m>
      <m in="0">
        <tpls c="3">
          <tpl fld="0" item="0"/>
          <tpl fld="1" item="81"/>
          <tpl fld="4" item="28"/>
        </tpls>
      </m>
      <m in="0">
        <tpls c="3">
          <tpl fld="0" item="0"/>
          <tpl fld="1" item="408"/>
          <tpl fld="4" item="32"/>
        </tpls>
      </m>
      <m in="0">
        <tpls c="3">
          <tpl fld="0" item="0"/>
          <tpl fld="1" item="180"/>
          <tpl fld="4" item="31"/>
        </tpls>
      </m>
      <n v="354" in="0">
        <tpls c="3">
          <tpl fld="0" item="0"/>
          <tpl fld="1" item="99"/>
          <tpl fld="4" item="31"/>
        </tpls>
      </n>
      <m in="0">
        <tpls c="3">
          <tpl fld="0" item="0"/>
          <tpl fld="1" item="278"/>
          <tpl fld="4" item="33"/>
        </tpls>
      </m>
      <m in="0">
        <tpls c="3">
          <tpl fld="0" item="0"/>
          <tpl fld="1" item="46"/>
          <tpl fld="4" item="34"/>
        </tpls>
      </m>
      <n v="38" in="0">
        <tpls c="3">
          <tpl fld="0" item="0"/>
          <tpl fld="1" item="173"/>
          <tpl fld="4" item="25"/>
        </tpls>
      </n>
      <m in="0">
        <tpls c="3">
          <tpl fld="0" item="0"/>
          <tpl fld="1" item="45"/>
          <tpl fld="4" item="31"/>
        </tpls>
      </m>
      <m in="0">
        <tpls c="3">
          <tpl fld="0" item="0"/>
          <tpl fld="1" item="253"/>
          <tpl fld="4" item="23"/>
        </tpls>
      </m>
      <m in="0">
        <tpls c="3">
          <tpl fld="0" item="0"/>
          <tpl fld="1" item="133"/>
          <tpl fld="4" item="22"/>
        </tpls>
      </m>
      <m in="0">
        <tpls c="3">
          <tpl fld="0" item="0"/>
          <tpl fld="1" item="399"/>
          <tpl fld="4" item="33"/>
        </tpls>
      </m>
      <m in="0">
        <tpls c="3">
          <tpl fld="0" item="0"/>
          <tpl fld="1" item="322"/>
          <tpl fld="4" item="30"/>
        </tpls>
      </m>
      <n v="2" in="0">
        <tpls c="3">
          <tpl fld="0" item="0"/>
          <tpl fld="1" item="397"/>
          <tpl fld="4" item="26"/>
        </tpls>
      </n>
      <n v="4" in="0">
        <tpls c="3">
          <tpl fld="0" item="0"/>
          <tpl fld="1" item="8"/>
          <tpl fld="4" item="22"/>
        </tpls>
      </n>
      <m in="0">
        <tpls c="3">
          <tpl fld="0" item="0"/>
          <tpl fld="1" item="269"/>
          <tpl fld="4" item="32"/>
        </tpls>
      </m>
      <m in="0">
        <tpls c="3">
          <tpl fld="0" item="0"/>
          <tpl fld="1" item="427"/>
          <tpl fld="4" item="31"/>
        </tpls>
      </m>
      <m in="0">
        <tpls c="3">
          <tpl fld="0" item="0"/>
          <tpl fld="1" item="224"/>
          <tpl fld="4" item="31"/>
        </tpls>
      </m>
      <m in="0">
        <tpls c="3">
          <tpl fld="0" item="0"/>
          <tpl fld="1" item="162"/>
          <tpl fld="4" item="33"/>
        </tpls>
      </m>
      <m in="0">
        <tpls c="3">
          <tpl fld="0" item="0"/>
          <tpl fld="1" item="376"/>
          <tpl fld="4" item="30"/>
        </tpls>
      </m>
      <m in="0">
        <tpls c="3">
          <tpl fld="0" item="0"/>
          <tpl fld="1" item="330"/>
          <tpl fld="4" item="34"/>
        </tpls>
      </m>
      <n v="7" in="0">
        <tpls c="3">
          <tpl fld="0" item="0"/>
          <tpl fld="1" item="344"/>
          <tpl fld="4" item="25"/>
        </tpls>
      </n>
      <m in="0">
        <tpls c="3">
          <tpl fld="0" item="0"/>
          <tpl fld="1" item="322"/>
          <tpl fld="4" item="34"/>
        </tpls>
      </m>
      <m in="0">
        <tpls c="3">
          <tpl fld="0" item="0"/>
          <tpl fld="1" item="253"/>
          <tpl fld="4" item="35"/>
        </tpls>
      </m>
      <n v="1" in="0">
        <tpls c="3">
          <tpl fld="0" item="0"/>
          <tpl fld="1" item="420"/>
          <tpl fld="4" item="30"/>
        </tpls>
      </n>
      <m in="0">
        <tpls c="3">
          <tpl fld="0" item="0"/>
          <tpl fld="1" item="103"/>
          <tpl fld="4" item="35"/>
        </tpls>
      </m>
      <m in="0">
        <tpls c="3">
          <tpl fld="0" item="0"/>
          <tpl fld="1" item="419"/>
          <tpl fld="4" item="31"/>
        </tpls>
      </m>
      <m in="0">
        <tpls c="3">
          <tpl fld="0" item="0"/>
          <tpl fld="1" item="38"/>
          <tpl fld="4" item="34"/>
        </tpls>
      </m>
      <m in="0">
        <tpls c="3">
          <tpl fld="0" item="0"/>
          <tpl fld="1" item="222"/>
          <tpl fld="4" item="35"/>
        </tpls>
      </m>
      <m in="0">
        <tpls c="3">
          <tpl fld="0" item="0"/>
          <tpl fld="1" item="408"/>
          <tpl fld="4" item="33"/>
        </tpls>
      </m>
      <m in="0">
        <tpls c="3">
          <tpl fld="0" item="0"/>
          <tpl fld="1" item="27"/>
          <tpl fld="4" item="35"/>
        </tpls>
      </m>
      <m in="0">
        <tpls c="3">
          <tpl fld="0" item="0"/>
          <tpl fld="1" item="30"/>
          <tpl fld="4" item="30"/>
        </tpls>
      </m>
      <n v="4" in="0">
        <tpls c="3">
          <tpl fld="0" item="0"/>
          <tpl fld="1" item="400"/>
          <tpl fld="4" item="33"/>
        </tpls>
      </n>
      <m in="0">
        <tpls c="3">
          <tpl fld="0" item="0"/>
          <tpl fld="1" item="247"/>
          <tpl fld="4" item="34"/>
        </tpls>
      </m>
      <m in="0">
        <tpls c="3">
          <tpl fld="0" item="0"/>
          <tpl fld="1" item="143"/>
          <tpl fld="4" item="23"/>
        </tpls>
      </m>
      <n v="1" in="0">
        <tpls c="3">
          <tpl fld="0" item="0"/>
          <tpl fld="1" item="296"/>
          <tpl fld="4" item="31"/>
        </tpls>
      </n>
      <m in="0">
        <tpls c="3">
          <tpl fld="0" item="0"/>
          <tpl fld="1" item="179"/>
          <tpl fld="4" item="34"/>
        </tpls>
      </m>
      <m in="0">
        <tpls c="3">
          <tpl fld="0" item="0"/>
          <tpl fld="1" item="34"/>
          <tpl fld="4" item="35"/>
        </tpls>
      </m>
      <n v="19" in="0">
        <tpls c="3">
          <tpl fld="0" item="0"/>
          <tpl fld="1" item="0"/>
          <tpl fld="4" item="24"/>
        </tpls>
      </n>
      <m in="0">
        <tpls c="3">
          <tpl fld="0" item="0"/>
          <tpl fld="1" item="338"/>
          <tpl fld="4" item="29"/>
        </tpls>
      </m>
      <m in="0">
        <tpls c="3">
          <tpl fld="0" item="0"/>
          <tpl fld="1" item="15"/>
          <tpl fld="4" item="32"/>
        </tpls>
      </m>
      <m in="0">
        <tpls c="3">
          <tpl fld="0" item="0"/>
          <tpl fld="1" item="445"/>
          <tpl fld="4" item="31"/>
        </tpls>
      </m>
      <m in="0">
        <tpls c="3">
          <tpl fld="0" item="0"/>
          <tpl fld="1" item="386"/>
          <tpl fld="4" item="32"/>
        </tpls>
      </m>
      <m in="0">
        <tpls c="3">
          <tpl fld="0" item="0"/>
          <tpl fld="1" item="358"/>
          <tpl fld="4" item="33"/>
        </tpls>
      </m>
      <m in="0">
        <tpls c="3">
          <tpl fld="0" item="0"/>
          <tpl fld="1" item="163"/>
          <tpl fld="4" item="34"/>
        </tpls>
      </m>
      <n v="13" in="0">
        <tpls c="3">
          <tpl fld="0" item="0"/>
          <tpl fld="1" item="449"/>
          <tpl fld="4" item="29"/>
        </tpls>
      </n>
      <m in="0">
        <tpls c="3">
          <tpl fld="0" item="0"/>
          <tpl fld="1" item="426"/>
          <tpl fld="4" item="32"/>
        </tpls>
      </m>
      <m in="0">
        <tpls c="3">
          <tpl fld="0" item="0"/>
          <tpl fld="1" item="51"/>
          <tpl fld="4" item="29"/>
        </tpls>
      </m>
      <n v="4" in="0">
        <tpls c="3">
          <tpl fld="0" item="0"/>
          <tpl fld="1" item="422"/>
          <tpl fld="4" item="26"/>
        </tpls>
      </n>
      <n v="2" in="0">
        <tpls c="3">
          <tpl fld="0" item="0"/>
          <tpl fld="1" item="442"/>
          <tpl fld="4" item="33"/>
        </tpls>
      </n>
      <m in="0">
        <tpls c="3">
          <tpl fld="0" item="0"/>
          <tpl fld="1" item="157"/>
          <tpl fld="4" item="30"/>
        </tpls>
      </m>
      <n v="600" in="0">
        <tpls c="3">
          <tpl fld="0" item="0"/>
          <tpl fld="1" item="400"/>
          <tpl fld="4" item="25"/>
        </tpls>
      </n>
      <m in="0">
        <tpls c="3">
          <tpl fld="0" item="0"/>
          <tpl fld="1" item="71"/>
          <tpl fld="4" item="26"/>
        </tpls>
      </m>
      <m in="0">
        <tpls c="3">
          <tpl fld="0" item="0"/>
          <tpl fld="1" item="251"/>
          <tpl fld="4" item="32"/>
        </tpls>
      </m>
      <m in="0">
        <tpls c="3">
          <tpl fld="0" item="0"/>
          <tpl fld="1" item="170"/>
          <tpl fld="4" item="31"/>
        </tpls>
      </m>
      <m in="0">
        <tpls c="3">
          <tpl fld="0" item="0"/>
          <tpl fld="1" item="101"/>
          <tpl fld="4" item="31"/>
        </tpls>
      </m>
      <m in="0">
        <tpls c="3">
          <tpl fld="0" item="0"/>
          <tpl fld="3" item="0"/>
          <tpl fld="4" item="33"/>
        </tpls>
      </m>
      <m in="0">
        <tpls c="3">
          <tpl fld="0" item="0"/>
          <tpl fld="1" item="74"/>
          <tpl fld="4" item="30"/>
        </tpls>
      </m>
      <m in="0">
        <tpls c="3">
          <tpl fld="0" item="0"/>
          <tpl fld="1" item="192"/>
          <tpl fld="4" item="22"/>
        </tpls>
      </m>
      <m in="0">
        <tpls c="3">
          <tpl fld="0" item="0"/>
          <tpl fld="1" item="387"/>
          <tpl fld="4" item="25"/>
        </tpls>
      </m>
      <m in="0">
        <tpls c="3">
          <tpl fld="0" item="0"/>
          <tpl fld="1" item="66"/>
          <tpl fld="4" item="28"/>
        </tpls>
      </m>
      <m in="0">
        <tpls c="3">
          <tpl fld="0" item="0"/>
          <tpl fld="1" item="210"/>
          <tpl fld="4" item="26"/>
        </tpls>
      </m>
      <m in="0">
        <tpls c="3">
          <tpl fld="0" item="0"/>
          <tpl fld="1" item="178"/>
          <tpl fld="4" item="24"/>
        </tpls>
      </m>
      <m in="0">
        <tpls c="3">
          <tpl fld="0" item="0"/>
          <tpl fld="1" item="204"/>
          <tpl fld="4" item="33"/>
        </tpls>
      </m>
      <m in="0">
        <tpls c="3">
          <tpl fld="0" item="0"/>
          <tpl fld="1" item="56"/>
          <tpl fld="4" item="30"/>
        </tpls>
      </m>
      <n v="1" in="0">
        <tpls c="3">
          <tpl fld="0" item="0"/>
          <tpl fld="1" item="68"/>
          <tpl fld="4" item="34"/>
        </tpls>
      </n>
      <n v="4" in="0">
        <tpls c="3">
          <tpl fld="0" item="0"/>
          <tpl fld="1" item="66"/>
          <tpl fld="4" item="24"/>
        </tpls>
      </n>
      <m in="0">
        <tpls c="3">
          <tpl fld="0" item="0"/>
          <tpl fld="1" item="26"/>
          <tpl fld="4" item="34"/>
        </tpls>
      </m>
      <m in="0">
        <tpls c="3">
          <tpl fld="0" item="0"/>
          <tpl fld="1" item="421"/>
          <tpl fld="4" item="35"/>
        </tpls>
      </m>
      <m in="0">
        <tpls c="3">
          <tpl fld="0" item="0"/>
          <tpl fld="1" item="337"/>
          <tpl fld="4" item="34"/>
        </tpls>
      </m>
      <m in="0">
        <tpls c="3">
          <tpl fld="0" item="0"/>
          <tpl fld="1" item="391"/>
          <tpl fld="4" item="35"/>
        </tpls>
      </m>
      <m in="0">
        <tpls c="3">
          <tpl fld="0" item="0"/>
          <tpl fld="1" item="252"/>
          <tpl fld="4" item="30"/>
        </tpls>
      </m>
      <m in="0">
        <tpls c="3">
          <tpl fld="0" item="0"/>
          <tpl fld="1" item="114"/>
          <tpl fld="4" item="35"/>
        </tpls>
      </m>
      <m in="0">
        <tpls c="3">
          <tpl fld="0" item="0"/>
          <tpl fld="1" item="330"/>
          <tpl fld="4" item="32"/>
        </tpls>
      </m>
      <m in="0">
        <tpls c="3">
          <tpl fld="0" item="0"/>
          <tpl fld="1" item="83"/>
          <tpl fld="4" item="24"/>
        </tpls>
      </m>
      <m in="0">
        <tpls c="3">
          <tpl fld="0" item="0"/>
          <tpl fld="1" item="109"/>
          <tpl fld="4" item="32"/>
        </tpls>
      </m>
      <m in="0">
        <tpls c="3">
          <tpl fld="0" item="0"/>
          <tpl fld="1" item="86"/>
          <tpl fld="4" item="31"/>
        </tpls>
      </m>
      <m in="0">
        <tpls c="3">
          <tpl fld="0" item="0"/>
          <tpl fld="1" item="448"/>
          <tpl fld="4" item="30"/>
        </tpls>
      </m>
      <m in="0">
        <tpls c="3">
          <tpl fld="0" item="0"/>
          <tpl fld="1" item="224"/>
          <tpl fld="4" item="34"/>
        </tpls>
      </m>
      <n v="7" in="0">
        <tpls c="3">
          <tpl fld="0" item="0"/>
          <tpl fld="1" item="63"/>
          <tpl fld="4" item="24"/>
        </tpls>
      </n>
      <m in="0">
        <tpls c="3">
          <tpl fld="0" item="0"/>
          <tpl fld="1" item="88"/>
          <tpl fld="4" item="31"/>
        </tpls>
      </m>
      <m in="0">
        <tpls c="3">
          <tpl fld="0" item="0"/>
          <tpl fld="1" item="180"/>
          <tpl fld="4" item="32"/>
        </tpls>
      </m>
      <n v="5" in="0">
        <tpls c="3">
          <tpl fld="0" item="0"/>
          <tpl fld="1" item="206"/>
          <tpl fld="4" item="28"/>
        </tpls>
      </n>
      <m in="0">
        <tpls c="3">
          <tpl fld="0" item="0"/>
          <tpl fld="1" item="51"/>
          <tpl fld="4" item="33"/>
        </tpls>
      </m>
      <n v="2" in="0">
        <tpls c="3">
          <tpl fld="0" item="0"/>
          <tpl fld="1" item="160"/>
          <tpl fld="4" item="30"/>
        </tpls>
      </n>
      <m in="0">
        <tpls c="3">
          <tpl fld="0" item="0"/>
          <tpl fld="1" item="44"/>
          <tpl fld="4" item="34"/>
        </tpls>
      </m>
      <n v="233" in="0">
        <tpls c="3">
          <tpl fld="0" item="0"/>
          <tpl fld="1" item="279"/>
          <tpl fld="4" item="15"/>
        </tpls>
      </n>
      <n v="194" in="0">
        <tpls c="3">
          <tpl fld="0" item="0"/>
          <tpl fld="1" item="82"/>
          <tpl fld="4" item="24"/>
        </tpls>
      </n>
      <m in="0">
        <tpls c="3">
          <tpl fld="0" item="0"/>
          <tpl fld="1" item="240"/>
          <tpl fld="4" item="32"/>
        </tpls>
      </m>
      <m in="0">
        <tpls c="3">
          <tpl fld="0" item="0"/>
          <tpl fld="1" item="369"/>
          <tpl fld="4" item="32"/>
        </tpls>
      </m>
      <m in="0">
        <tpls c="3">
          <tpl fld="0" item="0"/>
          <tpl fld="1" item="271"/>
          <tpl fld="4" item="1"/>
        </tpls>
      </m>
      <m in="0">
        <tpls c="3">
          <tpl fld="0" item="0"/>
          <tpl fld="1" item="249"/>
          <tpl fld="4" item="33"/>
        </tpls>
      </m>
      <m in="0">
        <tpls c="3">
          <tpl fld="0" item="0"/>
          <tpl fld="1" item="337"/>
          <tpl fld="4" item="30"/>
        </tpls>
      </m>
      <n v="24" in="0">
        <tpls c="3">
          <tpl fld="0" item="0"/>
          <tpl fld="1" item="20"/>
          <tpl fld="4" item="21"/>
        </tpls>
      </n>
      <m in="0">
        <tpls c="3">
          <tpl fld="0" item="0"/>
          <tpl fld="1" item="276"/>
          <tpl fld="4" item="32"/>
        </tpls>
      </m>
      <m in="0">
        <tpls c="3">
          <tpl fld="0" item="0"/>
          <tpl fld="1" item="251"/>
          <tpl fld="4" item="25"/>
        </tpls>
      </m>
      <m in="0">
        <tpls c="3">
          <tpl fld="0" item="0"/>
          <tpl fld="1" item="151"/>
          <tpl fld="4" item="31"/>
        </tpls>
      </m>
      <m in="0">
        <tpls c="3">
          <tpl fld="0" item="0"/>
          <tpl fld="1" item="145"/>
          <tpl fld="4" item="33"/>
        </tpls>
      </m>
      <m in="0">
        <tpls c="3">
          <tpl fld="0" item="0"/>
          <tpl fld="1" item="139"/>
          <tpl fld="4" item="30"/>
        </tpls>
      </m>
      <m in="0">
        <tpls c="3">
          <tpl fld="0" item="0"/>
          <tpl fld="1" item="34"/>
          <tpl fld="4" item="34"/>
        </tpls>
      </m>
      <m in="0">
        <tpls c="3">
          <tpl fld="0" item="0"/>
          <tpl fld="1" item="18"/>
          <tpl fld="4" item="33"/>
        </tpls>
      </m>
      <m in="0">
        <tpls c="3">
          <tpl fld="0" item="0"/>
          <tpl fld="1" item="217"/>
          <tpl fld="4" item="35"/>
        </tpls>
      </m>
      <m in="0">
        <tpls c="3">
          <tpl fld="0" item="0"/>
          <tpl fld="1" item="240"/>
          <tpl fld="4" item="27"/>
        </tpls>
      </m>
      <m in="0">
        <tpls c="3">
          <tpl fld="0" item="0"/>
          <tpl fld="1" item="72"/>
          <tpl fld="4" item="30"/>
        </tpls>
      </m>
      <m in="0">
        <tpls c="3">
          <tpl fld="0" item="0"/>
          <tpl fld="1" item="377"/>
          <tpl fld="4" item="35"/>
        </tpls>
      </m>
      <m in="0">
        <tpls c="3">
          <tpl fld="0" item="0"/>
          <tpl fld="1" item="36"/>
          <tpl fld="4" item="31"/>
        </tpls>
      </m>
      <m in="0">
        <tpls c="3">
          <tpl fld="0" item="0"/>
          <tpl fld="1" item="443"/>
          <tpl fld="4" item="34"/>
        </tpls>
      </m>
      <m in="0">
        <tpls c="3">
          <tpl fld="0" item="0"/>
          <tpl fld="1" item="268"/>
          <tpl fld="4" item="22"/>
        </tpls>
      </m>
      <m in="0">
        <tpls c="3">
          <tpl fld="0" item="0"/>
          <tpl fld="1" item="265"/>
          <tpl fld="4" item="24"/>
        </tpls>
      </m>
      <m in="0">
        <tpls c="3">
          <tpl fld="0" item="0"/>
          <tpl fld="1" item="21"/>
          <tpl fld="4" item="27"/>
        </tpls>
      </m>
      <m in="0">
        <tpls c="3">
          <tpl fld="0" item="0"/>
          <tpl fld="1" item="264"/>
          <tpl fld="4" item="30"/>
        </tpls>
      </m>
      <m in="0">
        <tpls c="3">
          <tpl fld="0" item="0"/>
          <tpl fld="1" item="217"/>
          <tpl fld="4" item="34"/>
        </tpls>
      </m>
      <n v="6" in="0">
        <tpls c="3">
          <tpl fld="0" item="0"/>
          <tpl fld="1" item="430"/>
          <tpl fld="4" item="22"/>
        </tpls>
      </n>
      <n v="47" in="0">
        <tpls c="3">
          <tpl fld="0" item="0"/>
          <tpl fld="1" item="275"/>
          <tpl fld="4" item="29"/>
        </tpls>
      </n>
      <m in="0">
        <tpls c="3">
          <tpl fld="0" item="0"/>
          <tpl fld="1" item="346"/>
          <tpl fld="4" item="25"/>
        </tpls>
      </m>
      <n v="11" in="0">
        <tpls c="3">
          <tpl fld="0" item="0"/>
          <tpl fld="1" item="372"/>
          <tpl fld="4" item="24"/>
        </tpls>
      </n>
      <m in="0">
        <tpls c="3">
          <tpl fld="0" item="0"/>
          <tpl fld="1" item="198"/>
          <tpl fld="4" item="33"/>
        </tpls>
      </m>
      <m in="0">
        <tpls c="3">
          <tpl fld="0" item="0"/>
          <tpl fld="1" item="213"/>
          <tpl fld="4" item="30"/>
        </tpls>
      </m>
      <n v="64" in="0">
        <tpls c="3">
          <tpl fld="0" item="0"/>
          <tpl fld="1" item="347"/>
          <tpl fld="4" item="13"/>
        </tpls>
      </n>
      <n v="30" in="0">
        <tpls c="3">
          <tpl fld="0" item="0"/>
          <tpl fld="1" item="67"/>
          <tpl fld="4" item="22"/>
        </tpls>
      </n>
      <n v="10" in="0">
        <tpls c="3">
          <tpl fld="0" item="0"/>
          <tpl fld="1" item="314"/>
          <tpl fld="4" item="29"/>
        </tpls>
      </n>
      <m in="0">
        <tpls c="3">
          <tpl fld="0" item="0"/>
          <tpl fld="1" item="204"/>
          <tpl fld="4" item="32"/>
        </tpls>
      </m>
      <m in="0">
        <tpls c="3">
          <tpl fld="0" item="0"/>
          <tpl fld="1" item="162"/>
          <tpl fld="4" item="32"/>
        </tpls>
      </m>
      <m in="0">
        <tpls c="3">
          <tpl fld="0" item="0"/>
          <tpl fld="1" item="172"/>
          <tpl fld="4" item="33"/>
        </tpls>
      </m>
      <m in="0">
        <tpls c="3">
          <tpl fld="0" item="0"/>
          <tpl fld="1" item="6"/>
          <tpl fld="4" item="28"/>
        </tpls>
      </m>
      <m in="0">
        <tpls c="3">
          <tpl fld="0" item="0"/>
          <tpl fld="1" item="57"/>
          <tpl fld="4" item="32"/>
        </tpls>
      </m>
      <m in="0">
        <tpls c="3">
          <tpl fld="0" item="0"/>
          <tpl fld="1" item="435"/>
          <tpl fld="4" item="31"/>
        </tpls>
      </m>
      <m in="0">
        <tpls c="3">
          <tpl fld="0" item="0"/>
          <tpl fld="1" item="20"/>
          <tpl fld="4" item="31"/>
        </tpls>
      </m>
      <m in="0">
        <tpls c="3">
          <tpl fld="0" item="0"/>
          <tpl fld="1" item="134"/>
          <tpl fld="4" item="33"/>
        </tpls>
      </m>
      <n v="1" in="0">
        <tpls c="3">
          <tpl fld="0" item="0"/>
          <tpl fld="1" item="207"/>
          <tpl fld="4" item="20"/>
        </tpls>
      </n>
      <n v="771" in="0">
        <tpls c="3">
          <tpl fld="0" item="0"/>
          <tpl fld="1" item="385"/>
          <tpl fld="4" item="29"/>
        </tpls>
      </n>
      <m in="0">
        <tpls c="3">
          <tpl fld="0" item="0"/>
          <tpl fld="1" item="79"/>
          <tpl fld="4" item="28"/>
        </tpls>
      </m>
      <m in="0">
        <tpls c="3">
          <tpl fld="0" item="0"/>
          <tpl fld="1" item="229"/>
          <tpl fld="4" item="32"/>
        </tpls>
      </m>
      <n v="9" in="0">
        <tpls c="3">
          <tpl fld="0" item="0"/>
          <tpl fld="1" item="277"/>
          <tpl fld="4" item="28"/>
        </tpls>
      </n>
      <n v="328" in="0">
        <tpls c="3">
          <tpl fld="0" item="0"/>
          <tpl fld="1" item="264"/>
          <tpl fld="4" item="29"/>
        </tpls>
      </n>
      <m in="0">
        <tpls c="3">
          <tpl fld="0" item="0"/>
          <tpl fld="1" item="414"/>
          <tpl fld="4" item="29"/>
        </tpls>
      </m>
      <n v="117" in="0">
        <tpls c="3">
          <tpl fld="0" item="0"/>
          <tpl fld="1" item="382"/>
          <tpl fld="4" item="23"/>
        </tpls>
      </n>
      <n v="1394" in="0">
        <tpls c="3">
          <tpl fld="0" item="0"/>
          <tpl fld="1" item="331"/>
          <tpl fld="4" item="20"/>
        </tpls>
      </n>
      <m in="0">
        <tpls c="3">
          <tpl fld="0" item="0"/>
          <tpl fld="1" item="78"/>
          <tpl fld="4" item="23"/>
        </tpls>
      </m>
      <m in="0">
        <tpls c="3">
          <tpl fld="0" item="0"/>
          <tpl fld="1" item="247"/>
          <tpl fld="4" item="23"/>
        </tpls>
      </m>
      <m in="0">
        <tpls c="3">
          <tpl fld="0" item="0"/>
          <tpl fld="1" item="299"/>
          <tpl fld="4" item="27"/>
        </tpls>
      </m>
      <m in="0">
        <tpls c="3">
          <tpl fld="0" item="0"/>
          <tpl fld="1" item="91"/>
          <tpl fld="4" item="22"/>
        </tpls>
      </m>
      <n v="1" in="0">
        <tpls c="3">
          <tpl fld="0" item="0"/>
          <tpl fld="1" item="343"/>
          <tpl fld="4" item="22"/>
        </tpls>
      </n>
      <n v="7" in="0">
        <tpls c="3">
          <tpl fld="0" item="0"/>
          <tpl fld="1" item="201"/>
          <tpl fld="4" item="26"/>
        </tpls>
      </n>
      <m in="0">
        <tpls c="3">
          <tpl fld="0" item="0"/>
          <tpl fld="1" item="169"/>
          <tpl fld="4" item="13"/>
        </tpls>
      </m>
      <n v="1" in="0">
        <tpls c="3">
          <tpl fld="0" item="0"/>
          <tpl fld="1" item="134"/>
          <tpl fld="4" item="27"/>
        </tpls>
      </n>
      <m in="0">
        <tpls c="3">
          <tpl fld="0" item="0"/>
          <tpl fld="1" item="144"/>
          <tpl fld="4" item="32"/>
        </tpls>
      </m>
      <m in="0">
        <tpls c="3">
          <tpl fld="0" item="0"/>
          <tpl fld="1" item="23"/>
          <tpl fld="4" item="31"/>
        </tpls>
      </m>
      <m in="0">
        <tpls c="3">
          <tpl fld="0" item="0"/>
          <tpl fld="1" item="348"/>
          <tpl fld="4" item="31"/>
        </tpls>
      </m>
      <m in="0">
        <tpls c="3">
          <tpl fld="0" item="0"/>
          <tpl fld="1" item="176"/>
          <tpl fld="4" item="33"/>
        </tpls>
      </m>
      <n v="4" in="0">
        <tpls c="3">
          <tpl fld="0" item="0"/>
          <tpl fld="1" item="25"/>
          <tpl fld="4" item="20"/>
        </tpls>
      </n>
      <n v="84" in="0">
        <tpls c="3">
          <tpl fld="0" item="0"/>
          <tpl fld="1" item="107"/>
          <tpl fld="4" item="22"/>
        </tpls>
      </n>
      <m in="0">
        <tpls c="3">
          <tpl fld="0" item="0"/>
          <tpl fld="1" item="0"/>
          <tpl fld="4" item="32"/>
        </tpls>
      </m>
      <m in="0">
        <tpls c="3">
          <tpl fld="0" item="0"/>
          <tpl fld="1" item="201"/>
          <tpl fld="4" item="31"/>
        </tpls>
      </m>
      <n v="5" in="0">
        <tpls c="3">
          <tpl fld="0" item="0"/>
          <tpl fld="1" item="117"/>
          <tpl fld="4" item="28"/>
        </tpls>
      </n>
      <m in="0">
        <tpls c="3">
          <tpl fld="0" item="0"/>
          <tpl fld="1" item="24"/>
          <tpl fld="4" item="30"/>
        </tpls>
      </m>
      <n v="96" in="0">
        <tpls c="3">
          <tpl fld="0" item="0"/>
          <tpl fld="1" item="380"/>
          <tpl fld="4" item="17"/>
        </tpls>
      </n>
      <m in="0">
        <tpls c="3">
          <tpl fld="0" item="0"/>
          <tpl fld="1" item="109"/>
          <tpl fld="4" item="26"/>
        </tpls>
      </m>
      <n v="3" in="0">
        <tpls c="3">
          <tpl fld="0" item="0"/>
          <tpl fld="1" item="380"/>
          <tpl fld="4" item="31"/>
        </tpls>
      </n>
      <n v="349" in="0">
        <tpls c="3">
          <tpl fld="0" item="0"/>
          <tpl fld="1" item="67"/>
          <tpl fld="4" item="27"/>
        </tpls>
      </n>
      <m in="0">
        <tpls c="3">
          <tpl fld="0" item="0"/>
          <tpl fld="1" item="106"/>
          <tpl fld="4" item="31"/>
        </tpls>
      </m>
      <m in="0">
        <tpls c="3">
          <tpl fld="0" item="0"/>
          <tpl fld="1" item="95"/>
          <tpl fld="4" item="23"/>
        </tpls>
      </m>
      <m in="0">
        <tpls c="3">
          <tpl fld="0" item="0"/>
          <tpl fld="1" item="122"/>
          <tpl fld="4" item="32"/>
        </tpls>
      </m>
      <m in="0">
        <tpls c="3">
          <tpl fld="0" item="0"/>
          <tpl fld="1" item="322"/>
          <tpl fld="4" item="32"/>
        </tpls>
      </m>
      <m in="0">
        <tpls c="3">
          <tpl fld="0" item="0"/>
          <tpl fld="1" item="437"/>
          <tpl fld="4" item="21"/>
        </tpls>
      </m>
      <m in="0">
        <tpls c="3">
          <tpl fld="0" item="0"/>
          <tpl fld="1" item="141"/>
          <tpl fld="4" item="33"/>
        </tpls>
      </m>
      <m in="0">
        <tpls c="3">
          <tpl fld="0" item="0"/>
          <tpl fld="1" item="329"/>
          <tpl fld="4" item="30"/>
        </tpls>
      </m>
      <m in="0">
        <tpls c="3">
          <tpl fld="0" item="0"/>
          <tpl fld="1" item="15"/>
          <tpl fld="4" item="34"/>
        </tpls>
      </m>
      <n v="573" in="0">
        <tpls c="3">
          <tpl fld="0" item="0"/>
          <tpl fld="1" item="347"/>
          <tpl fld="4" item="23"/>
        </tpls>
      </n>
      <m in="0">
        <tpls c="3">
          <tpl fld="0" item="0"/>
          <tpl fld="1" item="424"/>
          <tpl fld="4" item="32"/>
        </tpls>
      </m>
      <m in="0">
        <tpls c="3">
          <tpl fld="0" item="0"/>
          <tpl fld="1" item="213"/>
          <tpl fld="4" item="26"/>
        </tpls>
      </m>
      <m in="0">
        <tpls c="3">
          <tpl fld="0" item="0"/>
          <tpl fld="1" item="234"/>
          <tpl fld="4" item="24"/>
        </tpls>
      </m>
      <m in="0">
        <tpls c="3">
          <tpl fld="0" item="0"/>
          <tpl fld="1" item="217"/>
          <tpl fld="4" item="26"/>
        </tpls>
      </m>
      <m in="0">
        <tpls c="3">
          <tpl fld="0" item="0"/>
          <tpl fld="1" item="91"/>
          <tpl fld="4" item="33"/>
        </tpls>
      </m>
      <m in="0">
        <tpls c="3">
          <tpl fld="0" item="0"/>
          <tpl fld="1" item="220"/>
          <tpl fld="4" item="34"/>
        </tpls>
      </m>
      <m in="0">
        <tpls c="3">
          <tpl fld="0" item="0"/>
          <tpl fld="1" item="376"/>
          <tpl fld="4" item="26"/>
        </tpls>
      </m>
      <n v="46" in="0">
        <tpls c="3">
          <tpl fld="0" item="0"/>
          <tpl fld="1" item="296"/>
          <tpl fld="4" item="24"/>
        </tpls>
      </n>
      <m in="0">
        <tpls c="3">
          <tpl fld="0" item="0"/>
          <tpl fld="1" item="437"/>
          <tpl fld="4" item="32"/>
        </tpls>
      </m>
      <m in="0">
        <tpls c="3">
          <tpl fld="0" item="0"/>
          <tpl fld="1" item="83"/>
          <tpl fld="4" item="32"/>
        </tpls>
      </m>
      <m in="0">
        <tpls c="3">
          <tpl fld="0" item="0"/>
          <tpl fld="1" item="12"/>
          <tpl fld="4" item="33"/>
        </tpls>
      </m>
      <m in="0">
        <tpls c="3">
          <tpl fld="0" item="0"/>
          <tpl fld="1" item="63"/>
          <tpl fld="4" item="34"/>
        </tpls>
      </m>
      <n v="1167" in="0">
        <tpls c="3">
          <tpl fld="0" item="0"/>
          <tpl fld="1" item="160"/>
          <tpl fld="4" item="27"/>
        </tpls>
      </n>
      <m in="0">
        <tpls c="3">
          <tpl fld="0" item="0"/>
          <tpl fld="1" item="40"/>
          <tpl fld="4" item="32"/>
        </tpls>
      </m>
      <m in="0">
        <tpls c="3">
          <tpl fld="0" item="0"/>
          <tpl fld="1" item="157"/>
          <tpl fld="4" item="31"/>
        </tpls>
      </m>
      <n v="523" in="0">
        <tpls c="3">
          <tpl fld="0" item="0"/>
          <tpl fld="1" item="438"/>
          <tpl fld="4" item="23"/>
        </tpls>
      </n>
      <n v="6" in="0">
        <tpls c="3">
          <tpl fld="0" item="0"/>
          <tpl fld="1" item="351"/>
          <tpl fld="4" item="33"/>
        </tpls>
      </n>
      <m in="0">
        <tpls c="3">
          <tpl fld="0" item="0"/>
          <tpl fld="1" item="186"/>
          <tpl fld="4" item="30"/>
        </tpls>
      </m>
      <n v="241" in="0">
        <tpls c="3">
          <tpl fld="0" item="0"/>
          <tpl fld="1" item="343"/>
          <tpl fld="4" item="23"/>
        </tpls>
      </n>
      <n v="21" in="0">
        <tpls c="3">
          <tpl fld="0" item="0"/>
          <tpl fld="1" item="20"/>
          <tpl fld="4" item="28"/>
        </tpls>
      </n>
      <m in="0">
        <tpls c="3">
          <tpl fld="0" item="0"/>
          <tpl fld="1" item="362"/>
          <tpl fld="4" item="32"/>
        </tpls>
      </m>
      <m in="0">
        <tpls c="3">
          <tpl fld="0" item="0"/>
          <tpl fld="1" item="304"/>
          <tpl fld="4" item="32"/>
        </tpls>
      </m>
      <m in="0">
        <tpls c="3">
          <tpl fld="0" item="0"/>
          <tpl fld="1" item="219"/>
          <tpl fld="4" item="31"/>
        </tpls>
      </m>
      <n v="1" in="0">
        <tpls c="3">
          <tpl fld="0" item="0"/>
          <tpl fld="1" item="183"/>
          <tpl fld="4" item="33"/>
        </tpls>
      </n>
      <m in="0">
        <tpls c="3">
          <tpl fld="0" item="0"/>
          <tpl fld="1" item="386"/>
          <tpl fld="4" item="30"/>
        </tpls>
      </m>
      <m in="0">
        <tpls c="3">
          <tpl fld="0" item="0"/>
          <tpl fld="1" item="455"/>
          <tpl fld="4" item="34"/>
        </tpls>
      </m>
      <m in="0">
        <tpls c="3">
          <tpl fld="0" item="0"/>
          <tpl fld="1" item="206"/>
          <tpl fld="4" item="32"/>
        </tpls>
      </m>
      <m in="0">
        <tpls c="3">
          <tpl fld="0" item="0"/>
          <tpl fld="1" item="368"/>
          <tpl fld="4" item="34"/>
        </tpls>
      </m>
      <m in="0">
        <tpls c="3">
          <tpl fld="0" item="0"/>
          <tpl fld="1" item="259"/>
          <tpl fld="4" item="35"/>
        </tpls>
      </m>
      <m in="0">
        <tpls c="3">
          <tpl fld="0" item="0"/>
          <tpl fld="1" item="70"/>
          <tpl fld="4" item="33"/>
        </tpls>
      </m>
      <m in="0">
        <tpls c="3">
          <tpl fld="0" item="0"/>
          <tpl fld="1" item="272"/>
          <tpl fld="4" item="35"/>
        </tpls>
      </m>
      <n v="56" in="0">
        <tpls c="3">
          <tpl fld="0" item="0"/>
          <tpl fld="1" item="322"/>
          <tpl fld="4" item="24"/>
        </tpls>
      </n>
      <m in="0">
        <tpls c="3">
          <tpl fld="0" item="0"/>
          <tpl fld="1" item="213"/>
          <tpl fld="4" item="34"/>
        </tpls>
      </m>
      <m in="0">
        <tpls c="3">
          <tpl fld="0" item="0"/>
          <tpl fld="1" item="270"/>
          <tpl fld="4" item="35"/>
        </tpls>
      </m>
      <m in="0">
        <tpls c="3">
          <tpl fld="0" item="0"/>
          <tpl fld="1" item="196"/>
          <tpl fld="4" item="33"/>
        </tpls>
      </m>
      <n v="1870" in="0">
        <tpls c="3">
          <tpl fld="0" item="0"/>
          <tpl fld="1" item="390"/>
          <tpl fld="4" item="23"/>
        </tpls>
      </n>
      <m in="0">
        <tpls c="3">
          <tpl fld="0" item="0"/>
          <tpl fld="1" item="276"/>
          <tpl fld="4" item="31"/>
        </tpls>
      </m>
      <m in="0">
        <tpls c="3">
          <tpl fld="0" item="0"/>
          <tpl fld="1" item="307"/>
          <tpl fld="4" item="32"/>
        </tpls>
      </m>
      <m in="0">
        <tpls c="3">
          <tpl fld="0" item="0"/>
          <tpl fld="1" item="231"/>
          <tpl fld="4" item="30"/>
        </tpls>
      </m>
      <m in="0">
        <tpls c="3">
          <tpl fld="0" item="0"/>
          <tpl fld="1" item="154"/>
          <tpl fld="4" item="34"/>
        </tpls>
      </m>
      <m in="0">
        <tpls c="3">
          <tpl fld="0" item="0"/>
          <tpl fld="1" item="375"/>
          <tpl fld="4" item="23"/>
        </tpls>
      </m>
      <m in="0">
        <tpls c="3">
          <tpl fld="0" item="0"/>
          <tpl fld="1" item="156"/>
          <tpl fld="4" item="31"/>
        </tpls>
      </m>
      <m in="0">
        <tpls c="3">
          <tpl fld="0" item="0"/>
          <tpl fld="1" item="346"/>
          <tpl fld="4" item="31"/>
        </tpls>
      </m>
      <m in="0">
        <tpls c="3">
          <tpl fld="0" item="0"/>
          <tpl fld="1" item="303"/>
          <tpl fld="4" item="24"/>
        </tpls>
      </m>
      <m in="0">
        <tpls c="3">
          <tpl fld="0" item="0"/>
          <tpl fld="1" item="218"/>
          <tpl fld="4" item="30"/>
        </tpls>
      </m>
      <m in="0">
        <tpls c="3">
          <tpl fld="0" item="0"/>
          <tpl fld="1" item="191"/>
          <tpl fld="4" item="34"/>
        </tpls>
      </m>
      <m in="0">
        <tpls c="3">
          <tpl fld="0" item="0"/>
          <tpl fld="1" item="112"/>
          <tpl fld="4" item="22"/>
        </tpls>
      </m>
      <n v="18" in="0">
        <tpls c="3">
          <tpl fld="0" item="0"/>
          <tpl fld="1" item="233"/>
          <tpl fld="4" item="27"/>
        </tpls>
      </n>
      <m in="0">
        <tpls c="3">
          <tpl fld="0" item="0"/>
          <tpl fld="1" item="362"/>
          <tpl fld="4" item="24"/>
        </tpls>
      </m>
      <n v="7" in="0">
        <tpls c="3">
          <tpl fld="0" item="0"/>
          <tpl fld="1" item="180"/>
          <tpl fld="4" item="24"/>
        </tpls>
      </n>
      <m in="0">
        <tpls c="3">
          <tpl fld="0" item="0"/>
          <tpl fld="1" item="263"/>
          <tpl fld="4" item="33"/>
        </tpls>
      </m>
      <m in="0">
        <tpls c="3">
          <tpl fld="0" item="0"/>
          <tpl fld="1" item="280"/>
          <tpl fld="4" item="30"/>
        </tpls>
      </m>
      <m in="0">
        <tpls c="3">
          <tpl fld="0" item="0"/>
          <tpl fld="1" item="286"/>
          <tpl fld="4" item="22"/>
        </tpls>
      </m>
      <m in="0">
        <tpls c="3">
          <tpl fld="0" item="0"/>
          <tpl fld="1" item="426"/>
          <tpl fld="4" item="24"/>
        </tpls>
      </m>
      <m in="0">
        <tpls c="3">
          <tpl fld="0" item="0"/>
          <tpl fld="1" item="430"/>
          <tpl fld="4" item="31"/>
        </tpls>
      </m>
      <m in="0">
        <tpls c="3">
          <tpl fld="0" item="0"/>
          <tpl fld="1" item="416"/>
          <tpl fld="4" item="31"/>
        </tpls>
      </m>
      <m in="0">
        <tpls c="3">
          <tpl fld="0" item="0"/>
          <tpl fld="1" item="297"/>
          <tpl fld="4" item="31"/>
        </tpls>
      </m>
      <n v="1" in="0">
        <tpls c="3">
          <tpl fld="0" item="0"/>
          <tpl fld="1" item="124"/>
          <tpl fld="4" item="33"/>
        </tpls>
      </n>
      <n v="2" in="0">
        <tpls c="3">
          <tpl fld="0" item="0"/>
          <tpl fld="1" item="351"/>
          <tpl fld="4" item="30"/>
        </tpls>
      </n>
      <m in="0">
        <tpls c="3">
          <tpl fld="0" item="0"/>
          <tpl fld="1" item="429"/>
          <tpl fld="4" item="34"/>
        </tpls>
      </m>
      <m in="0">
        <tpls c="3">
          <tpl fld="0" item="0"/>
          <tpl fld="1" item="354"/>
          <tpl fld="4" item="34"/>
        </tpls>
      </m>
      <m in="0">
        <tpls c="3">
          <tpl fld="0" item="0"/>
          <tpl fld="1" item="285"/>
          <tpl fld="4" item="35"/>
        </tpls>
      </m>
      <m in="0">
        <tpls c="3">
          <tpl fld="0" item="0"/>
          <tpl fld="1" item="250"/>
          <tpl fld="4" item="30"/>
        </tpls>
      </m>
      <m in="0">
        <tpls c="3">
          <tpl fld="0" item="0"/>
          <tpl fld="1" item="286"/>
          <tpl fld="4" item="35"/>
        </tpls>
      </m>
      <m in="0">
        <tpls c="3">
          <tpl fld="0" item="0"/>
          <tpl fld="1" item="280"/>
          <tpl fld="4" item="32"/>
        </tpls>
      </m>
      <m in="0">
        <tpls c="3">
          <tpl fld="0" item="0"/>
          <tpl fld="2" item="0"/>
          <tpl fld="4" item="34"/>
        </tpls>
      </m>
      <n v="86" in="0">
        <tpls c="3">
          <tpl fld="0" item="0"/>
          <tpl fld="1" item="277"/>
          <tpl fld="4" item="29"/>
        </tpls>
      </n>
      <m in="0">
        <tpls c="3">
          <tpl fld="0" item="0"/>
          <tpl fld="1" item="135"/>
          <tpl fld="4" item="22"/>
        </tpls>
      </m>
      <n v="60" in="0">
        <tpls c="3">
          <tpl fld="0" item="0"/>
          <tpl fld="1" item="364"/>
          <tpl fld="4" item="31"/>
        </tpls>
      </n>
      <m in="0">
        <tpls c="3">
          <tpl fld="0" item="0"/>
          <tpl fld="1" item="40"/>
          <tpl fld="4" item="30"/>
        </tpls>
      </m>
      <m in="0">
        <tpls c="3">
          <tpl fld="0" item="0"/>
          <tpl fld="1" item="373"/>
          <tpl fld="4" item="34"/>
        </tpls>
      </m>
      <n v="8" in="0">
        <tpls c="3">
          <tpl fld="0" item="0"/>
          <tpl fld="1" item="370"/>
          <tpl fld="4" item="29"/>
        </tpls>
      </n>
      <m in="0">
        <tpls c="3">
          <tpl fld="0" item="0"/>
          <tpl fld="1" item="97"/>
          <tpl fld="4" item="31"/>
        </tpls>
      </m>
      <m in="0">
        <tpls c="3">
          <tpl fld="0" item="0"/>
          <tpl fld="1" item="159"/>
          <tpl fld="4" item="29"/>
        </tpls>
      </m>
      <n v="1" in="0">
        <tpls c="3">
          <tpl fld="0" item="0"/>
          <tpl fld="1" item="343"/>
          <tpl fld="4" item="26"/>
        </tpls>
      </n>
      <m in="0">
        <tpls c="3">
          <tpl fld="0" item="0"/>
          <tpl fld="1" item="212"/>
          <tpl fld="4" item="33"/>
        </tpls>
      </m>
      <m in="0">
        <tpls c="3">
          <tpl fld="0" item="0"/>
          <tpl fld="1" item="25"/>
          <tpl fld="4" item="30"/>
        </tpls>
      </m>
      <m in="0">
        <tpls c="3">
          <tpl fld="0" item="0"/>
          <tpl fld="1" item="291"/>
          <tpl fld="4" item="29"/>
        </tpls>
      </m>
      <m in="0">
        <tpls c="3">
          <tpl fld="0" item="0"/>
          <tpl fld="1" item="36"/>
          <tpl fld="4" item="32"/>
        </tpls>
      </m>
      <m in="0">
        <tpls c="3">
          <tpl fld="0" item="0"/>
          <tpl fld="1" item="220"/>
          <tpl fld="4" item="32"/>
        </tpls>
      </m>
      <m in="0">
        <tpls c="3">
          <tpl fld="0" item="0"/>
          <tpl fld="1" item="272"/>
          <tpl fld="4" item="31"/>
        </tpls>
      </m>
      <m in="0">
        <tpls c="3">
          <tpl fld="0" item="0"/>
          <tpl fld="1" item="98"/>
          <tpl fld="4" item="33"/>
        </tpls>
      </m>
      <m in="0">
        <tpls c="3">
          <tpl fld="0" item="0"/>
          <tpl fld="1" item="77"/>
          <tpl fld="4" item="34"/>
        </tpls>
      </m>
      <m in="0">
        <tpls c="3">
          <tpl fld="0" item="0"/>
          <tpl fld="1" item="268"/>
          <tpl fld="4" item="26"/>
        </tpls>
      </m>
      <m in="0">
        <tpls c="3">
          <tpl fld="0" item="0"/>
          <tpl fld="1" item="209"/>
          <tpl fld="4" item="31"/>
        </tpls>
      </m>
      <n v="3" in="0">
        <tpls c="3">
          <tpl fld="0" item="0"/>
          <tpl fld="1" item="50"/>
          <tpl fld="4" item="23"/>
        </tpls>
      </n>
      <m in="0">
        <tpls c="3">
          <tpl fld="0" item="0"/>
          <tpl fld="1" item="97"/>
          <tpl fld="4" item="27"/>
        </tpls>
      </m>
      <n v="6" in="0">
        <tpls c="3">
          <tpl fld="0" item="0"/>
          <tpl fld="1" item="225"/>
          <tpl fld="4" item="33"/>
        </tpls>
      </n>
      <m in="0">
        <tpls c="3">
          <tpl fld="0" item="0"/>
          <tpl fld="1" item="325"/>
          <tpl fld="4" item="30"/>
        </tpls>
      </m>
      <m in="0">
        <tpls c="3">
          <tpl fld="0" item="0"/>
          <tpl fld="1" item="62"/>
          <tpl fld="4" item="34"/>
        </tpls>
      </m>
      <n v="5" in="0">
        <tpls c="3">
          <tpl fld="0" item="0"/>
          <tpl fld="1" item="390"/>
          <tpl fld="4" item="33"/>
        </tpls>
      </n>
      <m in="0">
        <tpls c="3">
          <tpl fld="0" item="0"/>
          <tpl fld="1" item="245"/>
          <tpl fld="4" item="35"/>
        </tpls>
      </m>
      <m in="0">
        <tpls c="3">
          <tpl fld="0" item="0"/>
          <tpl fld="1" item="378"/>
          <tpl fld="4" item="25"/>
        </tpls>
      </m>
      <m in="0">
        <tpls c="3">
          <tpl fld="0" item="0"/>
          <tpl fld="1" item="364"/>
          <tpl fld="4" item="34"/>
        </tpls>
      </m>
      <m in="0">
        <tpls c="3">
          <tpl fld="0" item="0"/>
          <tpl fld="1" item="442"/>
          <tpl fld="4" item="35"/>
        </tpls>
      </m>
      <m in="0">
        <tpls c="3">
          <tpl fld="0" item="0"/>
          <tpl fld="1" item="318"/>
          <tpl fld="4" item="32"/>
        </tpls>
      </m>
      <m in="0">
        <tpls c="3">
          <tpl fld="0" item="0"/>
          <tpl fld="1" item="439"/>
          <tpl fld="4" item="22"/>
        </tpls>
      </m>
      <m in="0">
        <tpls c="3">
          <tpl fld="0" item="0"/>
          <tpl fld="1" item="426"/>
          <tpl fld="4" item="31"/>
        </tpls>
      </m>
      <m in="0">
        <tpls c="3">
          <tpl fld="0" item="0"/>
          <tpl fld="1" item="40"/>
          <tpl fld="4" item="31"/>
        </tpls>
      </m>
      <m in="0">
        <tpls c="3">
          <tpl fld="0" item="0"/>
          <tpl fld="1" item="106"/>
          <tpl fld="4" item="30"/>
        </tpls>
      </m>
      <m in="0">
        <tpls c="3">
          <tpl fld="0" item="0"/>
          <tpl fld="1" item="282"/>
          <tpl fld="4" item="34"/>
        </tpls>
      </m>
      <m in="0">
        <tpls c="3">
          <tpl fld="0" item="0"/>
          <tpl fld="1" item="353"/>
          <tpl fld="4" item="22"/>
        </tpls>
      </m>
      <n v="2" in="0">
        <tpls c="3">
          <tpl fld="0" item="0"/>
          <tpl fld="1" item="333"/>
          <tpl fld="4" item="31"/>
        </tpls>
      </n>
      <n v="5" in="0">
        <tpls c="3">
          <tpl fld="0" item="0"/>
          <tpl fld="1" item="201"/>
          <tpl fld="4" item="22"/>
        </tpls>
      </n>
      <m in="0">
        <tpls c="3">
          <tpl fld="0" item="0"/>
          <tpl fld="1" item="29"/>
          <tpl fld="4" item="31"/>
        </tpls>
      </m>
      <m in="0">
        <tpls c="3">
          <tpl fld="0" item="0"/>
          <tpl fld="1" item="150"/>
          <tpl fld="4" item="30"/>
        </tpls>
      </m>
      <m in="0">
        <tpls c="3">
          <tpl fld="0" item="0"/>
          <tpl fld="1" item="428"/>
          <tpl fld="4" item="34"/>
        </tpls>
      </m>
      <m in="0">
        <tpls c="3">
          <tpl fld="0" item="0"/>
          <tpl fld="1" item="222"/>
          <tpl fld="4" item="25"/>
        </tpls>
      </m>
      <n v="7" in="0">
        <tpls c="3">
          <tpl fld="0" item="0"/>
          <tpl fld="1" item="120"/>
          <tpl fld="4" item="26"/>
        </tpls>
      </n>
      <m in="0">
        <tpls c="3">
          <tpl fld="0" item="0"/>
          <tpl fld="1" item="295"/>
          <tpl fld="4" item="24"/>
        </tpls>
      </m>
      <m in="0">
        <tpls c="3">
          <tpl fld="0" item="0"/>
          <tpl fld="1" item="428"/>
          <tpl fld="4" item="32"/>
        </tpls>
      </m>
      <m in="0">
        <tpls c="3">
          <tpl fld="0" item="0"/>
          <tpl fld="1" item="90"/>
          <tpl fld="4" item="33"/>
        </tpls>
      </m>
      <m in="0">
        <tpls c="3">
          <tpl fld="0" item="0"/>
          <tpl fld="1" item="195"/>
          <tpl fld="4" item="30"/>
        </tpls>
      </m>
      <n v="12" in="0">
        <tpls c="3">
          <tpl fld="0" item="0"/>
          <tpl fld="1" item="314"/>
          <tpl fld="4" item="25"/>
        </tpls>
      </n>
      <m in="0">
        <tpls c="3">
          <tpl fld="0" item="0"/>
          <tpl fld="1" item="319"/>
          <tpl fld="4" item="32"/>
        </tpls>
      </m>
      <m in="0">
        <tpls c="3">
          <tpl fld="0" item="0"/>
          <tpl fld="1" item="343"/>
          <tpl fld="4" item="31"/>
        </tpls>
      </m>
      <n v="219" in="0">
        <tpls c="3">
          <tpl fld="0" item="0"/>
          <tpl fld="1" item="347"/>
          <tpl fld="4" item="24"/>
        </tpls>
      </n>
      <n v="1" in="0">
        <tpls c="3">
          <tpl fld="0" item="0"/>
          <tpl fld="1" item="177"/>
          <tpl fld="4" item="33"/>
        </tpls>
      </n>
      <m in="0">
        <tpls c="3">
          <tpl fld="0" item="0"/>
          <tpl fld="1" item="289"/>
          <tpl fld="4" item="30"/>
        </tpls>
      </m>
      <m in="0">
        <tpls c="3">
          <tpl fld="0" item="0"/>
          <tpl fld="1" item="186"/>
          <tpl fld="4" item="34"/>
        </tpls>
      </m>
      <m in="0">
        <tpls c="3">
          <tpl fld="0" item="0"/>
          <tpl fld="1" item="25"/>
          <tpl fld="4" item="33"/>
        </tpls>
      </m>
      <m in="0">
        <tpls c="3">
          <tpl fld="0" item="0"/>
          <tpl fld="1" item="37"/>
          <tpl fld="4" item="34"/>
        </tpls>
      </m>
      <m in="0">
        <tpls c="3">
          <tpl fld="0" item="0"/>
          <tpl fld="1" item="195"/>
          <tpl fld="4" item="16"/>
        </tpls>
      </m>
      <m in="0">
        <tpls c="3">
          <tpl fld="0" item="0"/>
          <tpl fld="1" item="444"/>
          <tpl fld="4" item="30"/>
        </tpls>
      </m>
      <m in="0">
        <tpls c="3">
          <tpl fld="0" item="0"/>
          <tpl fld="1" item="68"/>
          <tpl fld="4" item="35"/>
        </tpls>
      </m>
      <m in="0">
        <tpls c="3">
          <tpl fld="0" item="0"/>
          <tpl fld="1" item="220"/>
          <tpl fld="4" item="27"/>
        </tpls>
      </m>
      <m in="0">
        <tpls c="3">
          <tpl fld="0" item="0"/>
          <tpl fld="1" item="193"/>
          <tpl fld="4" item="34"/>
        </tpls>
      </m>
      <m in="0">
        <tpls c="3">
          <tpl fld="0" item="0"/>
          <tpl fld="1" item="249"/>
          <tpl fld="4" item="35"/>
        </tpls>
      </m>
      <m in="0">
        <tpls c="3">
          <tpl fld="0" item="0"/>
          <tpl fld="1" item="166"/>
          <tpl fld="4" item="30"/>
        </tpls>
      </m>
      <m in="0">
        <tpls c="3">
          <tpl fld="0" item="0"/>
          <tpl fld="1" item="215"/>
          <tpl fld="4" item="35"/>
        </tpls>
      </m>
      <m in="0">
        <tpls c="3">
          <tpl fld="0" item="0"/>
          <tpl fld="1" item="266"/>
          <tpl fld="4" item="34"/>
        </tpls>
      </m>
      <m in="0">
        <tpls c="3">
          <tpl fld="0" item="0"/>
          <tpl fld="1" item="378"/>
          <tpl fld="4" item="33"/>
        </tpls>
      </m>
      <m in="0">
        <tpls c="3">
          <tpl fld="0" item="0"/>
          <tpl fld="1" item="415"/>
          <tpl fld="4" item="35"/>
        </tpls>
      </m>
      <m in="0">
        <tpls c="3">
          <tpl fld="0" item="0"/>
          <tpl fld="1" item="50"/>
          <tpl fld="4" item="32"/>
        </tpls>
      </m>
      <m in="0">
        <tpls c="3">
          <tpl fld="0" item="0"/>
          <tpl fld="1" item="246"/>
          <tpl fld="4" item="34"/>
        </tpls>
      </m>
      <m in="0">
        <tpls c="3">
          <tpl fld="0" item="0"/>
          <tpl fld="1" item="411"/>
          <tpl fld="4" item="35"/>
        </tpls>
      </m>
      <n v="1" in="0">
        <tpls c="3">
          <tpl fld="0" item="0"/>
          <tpl fld="1" item="402"/>
          <tpl fld="4" item="28"/>
        </tpls>
      </n>
      <m in="0">
        <tpls c="3">
          <tpl fld="0" item="0"/>
          <tpl fld="1" item="69"/>
          <tpl fld="4" item="15"/>
        </tpls>
      </m>
      <n v="1" in="0">
        <tpls c="3">
          <tpl fld="0" item="0"/>
          <tpl fld="1" item="236"/>
          <tpl fld="4" item="22"/>
        </tpls>
      </n>
      <m in="0">
        <tpls c="3">
          <tpl fld="0" item="0"/>
          <tpl fld="1" item="36"/>
          <tpl fld="4" item="28"/>
        </tpls>
      </m>
      <m in="0">
        <tpls c="3">
          <tpl fld="0" item="0"/>
          <tpl fld="1" item="156"/>
          <tpl fld="4" item="28"/>
        </tpls>
      </m>
      <m in="0">
        <tpls c="3">
          <tpl fld="0" item="0"/>
          <tpl fld="1" item="57"/>
          <tpl fld="4" item="33"/>
        </tpls>
      </m>
      <m in="0">
        <tpls c="3">
          <tpl fld="0" item="0"/>
          <tpl fld="1" item="410"/>
          <tpl fld="4" item="34"/>
        </tpls>
      </m>
      <n v="45" in="0">
        <tpls c="3">
          <tpl fld="0" item="0"/>
          <tpl fld="1" item="7"/>
          <tpl fld="4" item="17"/>
        </tpls>
      </n>
      <n v="12" in="0">
        <tpls c="3">
          <tpl fld="0" item="0"/>
          <tpl fld="1" item="365"/>
          <tpl fld="4" item="22"/>
        </tpls>
      </n>
      <m in="0">
        <tpls c="3">
          <tpl fld="0" item="0"/>
          <tpl fld="1" item="146"/>
          <tpl fld="4" item="32"/>
        </tpls>
      </m>
      <m in="0">
        <tpls c="3">
          <tpl fld="0" item="0"/>
          <tpl fld="1" item="290"/>
          <tpl fld="4" item="32"/>
        </tpls>
      </m>
      <m in="0">
        <tpls c="3">
          <tpl fld="0" item="0"/>
          <tpl fld="1" item="444"/>
          <tpl fld="4" item="33"/>
        </tpls>
      </m>
      <m in="0">
        <tpls c="3">
          <tpl fld="0" item="0"/>
          <tpl fld="1" item="259"/>
          <tpl fld="4" item="30"/>
        </tpls>
      </m>
      <m in="0">
        <tpls c="3">
          <tpl fld="0" item="0"/>
          <tpl fld="1" item="408"/>
          <tpl fld="4" item="24"/>
        </tpls>
      </m>
      <m in="0">
        <tpls c="3">
          <tpl fld="0" item="0"/>
          <tpl fld="1" item="38"/>
          <tpl fld="4" item="32"/>
        </tpls>
      </m>
      <m in="0">
        <tpls c="3">
          <tpl fld="0" item="0"/>
          <tpl fld="1" item="203"/>
          <tpl fld="4" item="31"/>
        </tpls>
      </m>
      <m in="0">
        <tpls c="3">
          <tpl fld="0" item="0"/>
          <tpl fld="1" item="291"/>
          <tpl fld="4" item="32"/>
        </tpls>
      </m>
      <m in="0">
        <tpls c="3">
          <tpl fld="0" item="0"/>
          <tpl fld="1" item="84"/>
          <tpl fld="4" item="33"/>
        </tpls>
      </m>
      <m in="0">
        <tpls c="3">
          <tpl fld="0" item="0"/>
          <tpl fld="1" item="31"/>
          <tpl fld="4" item="30"/>
        </tpls>
      </m>
      <n v="11" in="0">
        <tpls c="3">
          <tpl fld="0" item="0"/>
          <tpl fld="1" item="187"/>
          <tpl fld="4" item="22"/>
        </tpls>
      </n>
      <m in="0">
        <tpls c="3">
          <tpl fld="0" item="0"/>
          <tpl fld="1" item="451"/>
          <tpl fld="4" item="24"/>
        </tpls>
      </m>
      <m in="0">
        <tpls c="3">
          <tpl fld="0" item="0"/>
          <tpl fld="1" item="154"/>
          <tpl fld="4" item="24"/>
        </tpls>
      </m>
      <m in="0">
        <tpls c="3">
          <tpl fld="0" item="0"/>
          <tpl fld="1" item="406"/>
          <tpl fld="4" item="32"/>
        </tpls>
      </m>
      <m in="0">
        <tpls c="3">
          <tpl fld="0" item="0"/>
          <tpl fld="1" item="255"/>
          <tpl fld="4" item="32"/>
        </tpls>
      </m>
      <m in="0">
        <tpls c="3">
          <tpl fld="0" item="0"/>
          <tpl fld="1" item="78"/>
          <tpl fld="4" item="33"/>
        </tpls>
      </m>
      <m in="0">
        <tpls c="3">
          <tpl fld="0" item="0"/>
          <tpl fld="1" item="18"/>
          <tpl fld="4" item="30"/>
        </tpls>
      </m>
      <m in="0">
        <tpls c="3">
          <tpl fld="0" item="0"/>
          <tpl fld="1" item="61"/>
          <tpl fld="4" item="34"/>
        </tpls>
      </m>
      <m in="0">
        <tpls c="3">
          <tpl fld="0" item="0"/>
          <tpl fld="1" item="24"/>
          <tpl fld="4" item="32"/>
        </tpls>
      </m>
      <n v="1" in="0">
        <tpls c="3">
          <tpl fld="0" item="0"/>
          <tpl fld="1" item="144"/>
          <tpl fld="4" item="34"/>
        </tpls>
      </n>
      <m in="0">
        <tpls c="3">
          <tpl fld="0" item="0"/>
          <tpl fld="1" item="129"/>
          <tpl fld="4" item="35"/>
        </tpls>
      </m>
      <m in="0">
        <tpls c="3">
          <tpl fld="0" item="0"/>
          <tpl fld="1" item="290"/>
          <tpl fld="4" item="33"/>
        </tpls>
      </m>
      <m in="0">
        <tpls c="3">
          <tpl fld="0" item="0"/>
          <tpl fld="1" item="231"/>
          <tpl fld="4" item="35"/>
        </tpls>
      </m>
      <n v="11" in="0">
        <tpls c="3">
          <tpl fld="0" item="0"/>
          <tpl fld="1" item="14"/>
          <tpl fld="4" item="24"/>
        </tpls>
      </n>
      <m in="0">
        <tpls c="3">
          <tpl fld="0" item="0"/>
          <tpl fld="1" item="160"/>
          <tpl fld="4" item="34"/>
        </tpls>
      </m>
      <m in="0">
        <tpls c="3">
          <tpl fld="0" item="0"/>
          <tpl fld="1" item="232"/>
          <tpl fld="4" item="35"/>
        </tpls>
      </m>
      <m in="0">
        <tpls c="3">
          <tpl fld="0" item="0"/>
          <tpl fld="1" item="193"/>
          <tpl fld="4" item="1"/>
        </tpls>
      </m>
      <m in="0">
        <tpls c="3">
          <tpl fld="0" item="0"/>
          <tpl fld="1" item="93"/>
          <tpl fld="4" item="22"/>
        </tpls>
      </m>
      <n v="16" in="0">
        <tpls c="3">
          <tpl fld="0" item="0"/>
          <tpl fld="1" item="386"/>
          <tpl fld="4" item="24"/>
        </tpls>
      </n>
      <m in="0">
        <tpls c="3">
          <tpl fld="0" item="0"/>
          <tpl fld="1" item="73"/>
          <tpl fld="4" item="29"/>
        </tpls>
      </m>
      <m in="0">
        <tpls c="3">
          <tpl fld="0" item="0"/>
          <tpl fld="1" item="130"/>
          <tpl fld="4" item="30"/>
        </tpls>
      </m>
      <m in="0">
        <tpls c="3">
          <tpl fld="0" item="0"/>
          <tpl fld="1" item="102"/>
          <tpl fld="4" item="34"/>
        </tpls>
      </m>
      <m in="0">
        <tpls c="3">
          <tpl fld="0" item="0"/>
          <tpl fld="1" item="440"/>
          <tpl fld="4" item="22"/>
        </tpls>
      </m>
      <n v="15" in="0">
        <tpls c="3">
          <tpl fld="0" item="0"/>
          <tpl fld="1" item="252"/>
          <tpl fld="4" item="23"/>
        </tpls>
      </n>
      <n v="17" in="0">
        <tpls c="3">
          <tpl fld="0" item="0"/>
          <tpl fld="1" item="53"/>
          <tpl fld="4" item="25"/>
        </tpls>
      </n>
      <n v="22" in="0">
        <tpls c="3">
          <tpl fld="0" item="0"/>
          <tpl fld="1" item="291"/>
          <tpl fld="4" item="24"/>
        </tpls>
      </n>
      <m in="0">
        <tpls c="3">
          <tpl fld="0" item="0"/>
          <tpl fld="1" item="197"/>
          <tpl fld="4" item="33"/>
        </tpls>
      </m>
      <m in="0">
        <tpls c="3">
          <tpl fld="0" item="0"/>
          <tpl fld="1" item="454"/>
          <tpl fld="4" item="30"/>
        </tpls>
      </m>
      <m in="0">
        <tpls c="3">
          <tpl fld="0" item="0"/>
          <tpl fld="1" item="245"/>
          <tpl fld="4" item="19"/>
        </tpls>
      </m>
      <m in="0">
        <tpls c="3">
          <tpl fld="0" item="0"/>
          <tpl fld="1" item="136"/>
          <tpl fld="4" item="27"/>
        </tpls>
      </m>
      <m in="0">
        <tpls c="3">
          <tpl fld="0" item="0"/>
          <tpl fld="1" item="271"/>
          <tpl fld="4" item="32"/>
        </tpls>
      </m>
      <m in="0">
        <tpls c="3">
          <tpl fld="0" item="0"/>
          <tpl fld="1" item="132"/>
          <tpl fld="4" item="31"/>
        </tpls>
      </m>
      <m in="0">
        <tpls c="3">
          <tpl fld="0" item="0"/>
          <tpl fld="1" item="142"/>
          <tpl fld="4" item="31"/>
        </tpls>
      </m>
      <m in="0">
        <tpls c="3">
          <tpl fld="0" item="0"/>
          <tpl fld="1" item="268"/>
          <tpl fld="4" item="30"/>
        </tpls>
      </m>
      <m in="0">
        <tpls c="3">
          <tpl fld="0" item="0"/>
          <tpl fld="1" item="338"/>
          <tpl fld="4" item="34"/>
        </tpls>
      </m>
      <m in="0">
        <tpls c="3">
          <tpl fld="0" item="0"/>
          <tpl fld="1" item="71"/>
          <tpl fld="4" item="28"/>
        </tpls>
      </m>
      <m in="0">
        <tpls c="3">
          <tpl fld="0" item="0"/>
          <tpl fld="1" item="90"/>
          <tpl fld="4" item="31"/>
        </tpls>
      </m>
      <n v="17" in="0">
        <tpls c="3">
          <tpl fld="0" item="0"/>
          <tpl fld="1" item="183"/>
          <tpl fld="4" item="22"/>
        </tpls>
      </n>
      <n v="64" in="0">
        <tpls c="3">
          <tpl fld="0" item="0"/>
          <tpl fld="1" item="172"/>
          <tpl fld="4" item="27"/>
        </tpls>
      </n>
      <m in="0">
        <tpls c="3">
          <tpl fld="0" item="0"/>
          <tpl fld="1" item="14"/>
          <tpl fld="4" item="31"/>
        </tpls>
      </m>
      <m in="0">
        <tpls c="3">
          <tpl fld="0" item="0"/>
          <tpl fld="1" item="235"/>
          <tpl fld="4" item="22"/>
        </tpls>
      </m>
      <m in="0">
        <tpls c="3">
          <tpl fld="0" item="0"/>
          <tpl fld="1" item="113"/>
          <tpl fld="4" item="33"/>
        </tpls>
      </m>
      <n v="1365" in="0">
        <tpls c="3">
          <tpl fld="0" item="0"/>
          <tpl fld="1" item="377"/>
          <tpl fld="4" item="23"/>
        </tpls>
      </n>
      <m in="0">
        <tpls c="3">
          <tpl fld="0" item="0"/>
          <tpl fld="1" item="408"/>
          <tpl fld="4" item="28"/>
        </tpls>
      </m>
      <m in="0">
        <tpls c="3">
          <tpl fld="0" item="0"/>
          <tpl fld="1" item="308"/>
          <tpl fld="4" item="31"/>
        </tpls>
      </m>
      <n v="34" in="0">
        <tpls c="3">
          <tpl fld="0" item="0"/>
          <tpl fld="1" item="152"/>
          <tpl fld="4" item="24"/>
        </tpls>
      </n>
      <m in="0">
        <tpls c="3">
          <tpl fld="0" item="0"/>
          <tpl fld="1" item="402"/>
          <tpl fld="4" item="33"/>
        </tpls>
      </m>
      <n v="411" in="0">
        <tpls c="3">
          <tpl fld="0" item="0"/>
          <tpl fld="1" item="125"/>
          <tpl fld="4" item="23"/>
        </tpls>
      </n>
      <n v="16" in="0">
        <tpls c="3">
          <tpl fld="0" item="0"/>
          <tpl fld="1" item="417"/>
          <tpl fld="4" item="24"/>
        </tpls>
      </n>
      <n v="4" in="0">
        <tpls c="3">
          <tpl fld="0" item="0"/>
          <tpl fld="1" item="393"/>
          <tpl fld="4" item="24"/>
        </tpls>
      </n>
      <n v="9" in="0">
        <tpls c="3">
          <tpl fld="0" item="0"/>
          <tpl fld="1" item="179"/>
          <tpl fld="4" item="26"/>
        </tpls>
      </n>
      <m in="0">
        <tpls c="3">
          <tpl fld="0" item="0"/>
          <tpl fld="1" item="59"/>
          <tpl fld="4" item="29"/>
        </tpls>
      </m>
      <n v="31" in="0">
        <tpls c="3">
          <tpl fld="0" item="0"/>
          <tpl fld="1" item="308"/>
          <tpl fld="4" item="27"/>
        </tpls>
      </n>
      <n v="31" in="0">
        <tpls c="3">
          <tpl fld="0" item="0"/>
          <tpl fld="1" item="456"/>
          <tpl fld="4" item="27"/>
        </tpls>
      </n>
      <n v="51" in="0">
        <tpls c="3">
          <tpl fld="0" item="0"/>
          <tpl fld="1" item="360"/>
          <tpl fld="4" item="29"/>
        </tpls>
      </n>
      <n v="2" in="0">
        <tpls c="3">
          <tpl fld="0" item="0"/>
          <tpl fld="1" item="290"/>
          <tpl fld="4" item="17"/>
        </tpls>
      </n>
      <n v="6" in="0">
        <tpls c="3">
          <tpl fld="0" item="0"/>
          <tpl fld="1" item="393"/>
          <tpl fld="4" item="29"/>
        </tpls>
      </n>
      <m in="0">
        <tpls c="3">
          <tpl fld="0" item="0"/>
          <tpl fld="1" item="457"/>
          <tpl fld="4" item="27"/>
        </tpls>
      </m>
      <n v="4" in="0">
        <tpls c="3">
          <tpl fld="0" item="0"/>
          <tpl fld="1" item="309"/>
          <tpl fld="4" item="22"/>
        </tpls>
      </n>
      <n v="72" in="0">
        <tpls c="3">
          <tpl fld="0" item="0"/>
          <tpl fld="1" item="224"/>
          <tpl fld="4" item="25"/>
        </tpls>
      </n>
      <m in="0">
        <tpls c="3">
          <tpl fld="0" item="0"/>
          <tpl fld="1" item="379"/>
          <tpl fld="4" item="25"/>
        </tpls>
      </m>
      <m in="0">
        <tpls c="3">
          <tpl fld="0" item="0"/>
          <tpl fld="1" item="292"/>
          <tpl fld="4" item="25"/>
        </tpls>
      </m>
      <m in="0">
        <tpls c="3">
          <tpl fld="0" item="0"/>
          <tpl fld="1" item="429"/>
          <tpl fld="4" item="18"/>
        </tpls>
      </m>
      <n v="4" in="0">
        <tpls c="3">
          <tpl fld="0" item="0"/>
          <tpl fld="1" item="319"/>
          <tpl fld="4" item="26"/>
        </tpls>
      </n>
      <m in="0">
        <tpls c="3">
          <tpl fld="0" item="0"/>
          <tpl fld="1" item="112"/>
          <tpl fld="4" item="31"/>
        </tpls>
      </m>
      <m in="0">
        <tpls c="3">
          <tpl fld="0" item="0"/>
          <tpl fld="1" item="19"/>
          <tpl fld="4" item="32"/>
        </tpls>
      </m>
      <m in="0">
        <tpls c="3">
          <tpl fld="0" item="0"/>
          <tpl fld="1" item="276"/>
          <tpl fld="4" item="17"/>
        </tpls>
      </m>
      <m in="0">
        <tpls c="3">
          <tpl fld="0" item="0"/>
          <tpl fld="1" item="315"/>
          <tpl fld="4" item="33"/>
        </tpls>
      </m>
      <m in="0">
        <tpls c="3">
          <tpl fld="0" item="0"/>
          <tpl fld="1" item="116"/>
          <tpl fld="4" item="30"/>
        </tpls>
      </m>
      <m in="0">
        <tpls c="3">
          <tpl fld="0" item="0"/>
          <tpl fld="2" item="0"/>
          <tpl fld="4" item="21"/>
        </tpls>
      </m>
      <n v="51" in="0">
        <tpls c="3">
          <tpl fld="0" item="0"/>
          <tpl fld="1" item="417"/>
          <tpl fld="4" item="25"/>
        </tpls>
      </n>
      <m in="0">
        <tpls c="3">
          <tpl fld="0" item="0"/>
          <tpl fld="1" item="228"/>
          <tpl fld="4" item="26"/>
        </tpls>
      </m>
      <n v="1" in="0">
        <tpls c="3">
          <tpl fld="0" item="0"/>
          <tpl fld="1" item="359"/>
          <tpl fld="4" item="28"/>
        </tpls>
      </n>
      <n v="46" in="0">
        <tpls c="3">
          <tpl fld="0" item="0"/>
          <tpl fld="1" item="184"/>
          <tpl fld="4" item="27"/>
        </tpls>
      </n>
      <m in="0">
        <tpls c="3">
          <tpl fld="0" item="0"/>
          <tpl fld="1" item="338"/>
          <tpl fld="4" item="33"/>
        </tpls>
      </m>
      <n v="2" in="0">
        <tpls c="3">
          <tpl fld="0" item="0"/>
          <tpl fld="1" item="411"/>
          <tpl fld="4" item="30"/>
        </tpls>
      </n>
      <n v="13" in="0">
        <tpls c="3">
          <tpl fld="0" item="0"/>
          <tpl fld="1" item="208"/>
          <tpl fld="4" item="29"/>
        </tpls>
      </n>
      <m in="0">
        <tpls c="3">
          <tpl fld="0" item="0"/>
          <tpl fld="1" item="100"/>
          <tpl fld="4" item="25"/>
        </tpls>
      </m>
      <m in="0">
        <tpls c="3">
          <tpl fld="0" item="0"/>
          <tpl fld="1" item="235"/>
          <tpl fld="4" item="31"/>
        </tpls>
      </m>
      <n v="28" in="0">
        <tpls c="3">
          <tpl fld="0" item="0"/>
          <tpl fld="1" item="350"/>
          <tpl fld="4" item="27"/>
        </tpls>
      </n>
      <m in="0">
        <tpls c="3">
          <tpl fld="0" item="0"/>
          <tpl fld="1" item="154"/>
          <tpl fld="4" item="25"/>
        </tpls>
      </m>
      <m in="0">
        <tpls c="3">
          <tpl fld="0" item="0"/>
          <tpl fld="1" item="79"/>
          <tpl fld="4" item="33"/>
        </tpls>
      </m>
      <m in="0">
        <tpls c="3">
          <tpl fld="0" item="0"/>
          <tpl fld="1" item="36"/>
          <tpl fld="4" item="29"/>
        </tpls>
      </m>
      <n v="1" in="0">
        <tpls c="3">
          <tpl fld="0" item="0"/>
          <tpl fld="1" item="305"/>
          <tpl fld="4" item="28"/>
        </tpls>
      </n>
      <n v="162" in="0">
        <tpls c="3">
          <tpl fld="0" item="0"/>
          <tpl fld="1" item="231"/>
          <tpl fld="4" item="25"/>
        </tpls>
      </n>
      <n v="158" in="0">
        <tpls c="3">
          <tpl fld="0" item="0"/>
          <tpl fld="1" item="365"/>
          <tpl fld="4" item="24"/>
        </tpls>
      </n>
      <m in="0">
        <tpls c="3">
          <tpl fld="0" item="0"/>
          <tpl fld="1" item="5"/>
          <tpl fld="4" item="33"/>
        </tpls>
      </m>
      <m in="0">
        <tpls c="3">
          <tpl fld="0" item="0"/>
          <tpl fld="1" item="382"/>
          <tpl fld="4" item="30"/>
        </tpls>
      </m>
      <m in="0">
        <tpls c="3">
          <tpl fld="0" item="0"/>
          <tpl fld="1" item="253"/>
          <tpl fld="4" item="34"/>
        </tpls>
      </m>
      <n v="38" in="0">
        <tpls c="3">
          <tpl fld="0" item="0"/>
          <tpl fld="1" item="18"/>
          <tpl fld="4" item="29"/>
        </tpls>
      </n>
      <m in="0">
        <tpls c="3">
          <tpl fld="0" item="0"/>
          <tpl fld="1" item="228"/>
          <tpl fld="4" item="28"/>
        </tpls>
      </m>
      <n v="16" in="0">
        <tpls c="3">
          <tpl fld="0" item="0"/>
          <tpl fld="1" item="337"/>
          <tpl fld="4" item="21"/>
        </tpls>
      </n>
      <m in="0">
        <tpls c="3">
          <tpl fld="0" item="0"/>
          <tpl fld="1" item="244"/>
          <tpl fld="4" item="31"/>
        </tpls>
      </m>
      <m in="0">
        <tpls c="3">
          <tpl fld="0" item="0"/>
          <tpl fld="1" item="409"/>
          <tpl fld="4" item="32"/>
        </tpls>
      </m>
      <m in="0">
        <tpls c="3">
          <tpl fld="0" item="0"/>
          <tpl fld="1" item="412"/>
          <tpl fld="4" item="30"/>
        </tpls>
      </m>
      <m in="0">
        <tpls c="3">
          <tpl fld="0" item="0"/>
          <tpl fld="1" item="446"/>
          <tpl fld="4" item="34"/>
        </tpls>
      </m>
      <m in="0">
        <tpls c="3">
          <tpl fld="0" item="0"/>
          <tpl fld="1" item="176"/>
          <tpl fld="4" item="28"/>
        </tpls>
      </m>
      <m in="0">
        <tpls c="3">
          <tpl fld="0" item="0"/>
          <tpl fld="1" item="188"/>
          <tpl fld="4" item="31"/>
        </tpls>
      </m>
      <m in="0">
        <tpls c="3">
          <tpl fld="0" item="0"/>
          <tpl fld="1" item="339"/>
          <tpl fld="4" item="31"/>
        </tpls>
      </m>
      <m in="0">
        <tpls c="3">
          <tpl fld="0" item="0"/>
          <tpl fld="1" item="321"/>
          <tpl fld="4" item="27"/>
        </tpls>
      </m>
      <m in="0">
        <tpls c="3">
          <tpl fld="0" item="0"/>
          <tpl fld="1" item="92"/>
          <tpl fld="4" item="30"/>
        </tpls>
      </m>
      <m in="0">
        <tpls c="3">
          <tpl fld="0" item="0"/>
          <tpl fld="1" item="449"/>
          <tpl fld="4" item="34"/>
        </tpls>
      </m>
      <m in="0">
        <tpls c="3">
          <tpl fld="0" item="0"/>
          <tpl fld="1" item="142"/>
          <tpl fld="4" item="27"/>
        </tpls>
      </m>
      <n v="26" in="0">
        <tpls c="3">
          <tpl fld="0" item="0"/>
          <tpl fld="1" item="56"/>
          <tpl fld="4" item="29"/>
        </tpls>
      </n>
      <n v="17" in="0">
        <tpls c="3">
          <tpl fld="0" item="0"/>
          <tpl fld="1" item="203"/>
          <tpl fld="4" item="25"/>
        </tpls>
      </n>
      <m in="0">
        <tpls c="3">
          <tpl fld="0" item="0"/>
          <tpl fld="1" item="22"/>
          <tpl fld="4" item="24"/>
        </tpls>
      </m>
      <m in="0">
        <tpls c="3">
          <tpl fld="0" item="0"/>
          <tpl fld="1" item="387"/>
          <tpl fld="4" item="33"/>
        </tpls>
      </m>
      <m in="0">
        <tpls c="3">
          <tpl fld="0" item="0"/>
          <tpl fld="1" item="69"/>
          <tpl fld="4" item="30"/>
        </tpls>
      </m>
      <m in="0">
        <tpls c="3">
          <tpl fld="0" item="0"/>
          <tpl fld="1" item="197"/>
          <tpl fld="4" item="27"/>
        </tpls>
      </m>
      <m in="0">
        <tpls c="3">
          <tpl fld="0" item="0"/>
          <tpl fld="1" item="358"/>
          <tpl fld="4" item="24"/>
        </tpls>
      </m>
      <m in="0">
        <tpls c="3">
          <tpl fld="0" item="0"/>
          <tpl fld="1" item="404"/>
          <tpl fld="4" item="31"/>
        </tpls>
      </m>
      <m in="0">
        <tpls c="3">
          <tpl fld="0" item="0"/>
          <tpl fld="1" item="452"/>
          <tpl fld="4" item="31"/>
        </tpls>
      </m>
      <m in="0">
        <tpls c="3">
          <tpl fld="0" item="0"/>
          <tpl fld="1" item="18"/>
          <tpl fld="4" item="31"/>
        </tpls>
      </m>
      <m in="0">
        <tpls c="3">
          <tpl fld="0" item="0"/>
          <tpl fld="1" item="247"/>
          <tpl fld="4" item="33"/>
        </tpls>
      </m>
      <m in="0">
        <tpls c="3">
          <tpl fld="0" item="0"/>
          <tpl fld="1" item="369"/>
          <tpl fld="4" item="30"/>
        </tpls>
      </m>
      <m in="0">
        <tpls c="3">
          <tpl fld="0" item="0"/>
          <tpl fld="1" item="284"/>
          <tpl fld="4" item="34"/>
        </tpls>
      </m>
      <m in="0">
        <tpls c="3">
          <tpl fld="0" item="0"/>
          <tpl fld="1" item="164"/>
          <tpl fld="4" item="34"/>
        </tpls>
      </m>
      <m in="0">
        <tpls c="3">
          <tpl fld="0" item="0"/>
          <tpl fld="1" item="140"/>
          <tpl fld="4" item="35"/>
        </tpls>
      </m>
      <m in="0">
        <tpls c="3">
          <tpl fld="0" item="0"/>
          <tpl fld="1" item="335"/>
          <tpl fld="4" item="30"/>
        </tpls>
      </m>
      <m in="0">
        <tpls c="3">
          <tpl fld="0" item="0"/>
          <tpl fld="1" item="406"/>
          <tpl fld="4" item="35"/>
        </tpls>
      </m>
      <n v="379" in="0">
        <tpls c="3">
          <tpl fld="0" item="0"/>
          <tpl fld="1" item="385"/>
          <tpl fld="4" item="24"/>
        </tpls>
      </n>
      <m in="0">
        <tpls c="3">
          <tpl fld="0" item="0"/>
          <tpl fld="1" item="331"/>
          <tpl fld="4" item="34"/>
        </tpls>
      </m>
      <m in="0">
        <tpls c="3">
          <tpl fld="0" item="0"/>
          <tpl fld="1" item="168"/>
          <tpl fld="4" item="35"/>
        </tpls>
      </m>
      <n v="2" in="0">
        <tpls c="3">
          <tpl fld="0" item="0"/>
          <tpl fld="1" item="273"/>
          <tpl fld="4" item="33"/>
        </tpls>
      </n>
      <n v="347" in="0">
        <tpls c="3">
          <tpl fld="0" item="0"/>
          <tpl fld="1" item="42"/>
          <tpl fld="4" item="23"/>
        </tpls>
      </n>
      <n v="66" in="0">
        <tpls c="3">
          <tpl fld="0" item="0"/>
          <tpl fld="1" item="172"/>
          <tpl fld="4" item="29"/>
        </tpls>
      </n>
      <m in="0">
        <tpls c="3">
          <tpl fld="0" item="0"/>
          <tpl fld="1" item="194"/>
          <tpl fld="4" item="32"/>
        </tpls>
      </m>
      <m in="0">
        <tpls c="3">
          <tpl fld="0" item="0"/>
          <tpl fld="1" item="414"/>
          <tpl fld="4" item="30"/>
        </tpls>
      </m>
      <m in="0">
        <tpls c="3">
          <tpl fld="0" item="0"/>
          <tpl fld="1" item="456"/>
          <tpl fld="4" item="34"/>
        </tpls>
      </m>
      <n v="1367" in="0">
        <tpls c="3">
          <tpl fld="0" item="0"/>
          <tpl fld="1" item="385"/>
          <tpl fld="4" item="23"/>
        </tpls>
      </n>
      <m in="0">
        <tpls c="3">
          <tpl fld="0" item="0"/>
          <tpl fld="1" item="81"/>
          <tpl fld="4" item="32"/>
        </tpls>
      </m>
      <m in="0">
        <tpls c="3">
          <tpl fld="0" item="0"/>
          <tpl fld="1" item="270"/>
          <tpl fld="4" item="23"/>
        </tpls>
      </m>
      <n v="85" in="0">
        <tpls c="3">
          <tpl fld="0" item="0"/>
          <tpl fld="1" item="324"/>
          <tpl fld="4" item="22"/>
        </tpls>
      </n>
      <m in="0">
        <tpls c="3">
          <tpl fld="0" item="0"/>
          <tpl fld="1" item="434"/>
          <tpl fld="4" item="33"/>
        </tpls>
      </m>
      <m in="0">
        <tpls c="3">
          <tpl fld="0" item="0"/>
          <tpl fld="1" item="334"/>
          <tpl fld="4" item="30"/>
        </tpls>
      </m>
      <m in="0">
        <tpls c="3">
          <tpl fld="0" item="0"/>
          <tpl fld="1" item="256"/>
          <tpl fld="4" item="34"/>
        </tpls>
      </m>
      <m in="0">
        <tpls c="3">
          <tpl fld="0" item="0"/>
          <tpl fld="1" item="265"/>
          <tpl fld="4" item="23"/>
        </tpls>
      </m>
      <m in="0">
        <tpls c="3">
          <tpl fld="0" item="0"/>
          <tpl fld="1" item="390"/>
          <tpl fld="4" item="32"/>
        </tpls>
      </m>
      <m in="0">
        <tpls c="3">
          <tpl fld="0" item="0"/>
          <tpl fld="1" item="374"/>
          <tpl fld="4" item="32"/>
        </tpls>
      </m>
      <m in="0">
        <tpls c="3">
          <tpl fld="0" item="0"/>
          <tpl fld="1" item="24"/>
          <tpl fld="4" item="31"/>
        </tpls>
      </m>
      <m in="0">
        <tpls c="3">
          <tpl fld="0" item="0"/>
          <tpl fld="1" item="297"/>
          <tpl fld="4" item="33"/>
        </tpls>
      </m>
      <m in="0">
        <tpls c="3">
          <tpl fld="0" item="0"/>
          <tpl fld="1" item="261"/>
          <tpl fld="4" item="34"/>
        </tpls>
      </m>
      <m in="0">
        <tpls c="3">
          <tpl fld="0" item="0"/>
          <tpl fld="1" item="36"/>
          <tpl fld="4" item="22"/>
        </tpls>
      </m>
      <m in="0">
        <tpls c="3">
          <tpl fld="0" item="0"/>
          <tpl fld="1" item="83"/>
          <tpl fld="4" item="31"/>
        </tpls>
      </m>
      <m in="0">
        <tpls c="3">
          <tpl fld="0" item="0"/>
          <tpl fld="1" item="251"/>
          <tpl fld="4" item="21"/>
        </tpls>
      </m>
      <m in="0">
        <tpls c="3">
          <tpl fld="0" item="0"/>
          <tpl fld="1" item="229"/>
          <tpl fld="4" item="29"/>
        </tpls>
      </m>
      <m in="0">
        <tpls c="3">
          <tpl fld="0" item="0"/>
          <tpl fld="1" item="201"/>
          <tpl fld="4" item="33"/>
        </tpls>
      </m>
      <m in="0">
        <tpls c="3">
          <tpl fld="0" item="0"/>
          <tpl fld="1" item="424"/>
          <tpl fld="4" item="30"/>
        </tpls>
      </m>
      <n v="3" in="0">
        <tpls c="3">
          <tpl fld="0" item="0"/>
          <tpl fld="1" item="347"/>
          <tpl fld="4" item="34"/>
        </tpls>
      </n>
      <m in="0">
        <tpls c="3">
          <tpl fld="0" item="0"/>
          <tpl fld="1" item="303"/>
          <tpl fld="4" item="33"/>
        </tpls>
      </m>
      <m in="0">
        <tpls c="3">
          <tpl fld="0" item="0"/>
          <tpl fld="1" item="367"/>
          <tpl fld="4" item="35"/>
        </tpls>
      </m>
      <n v="110" in="0">
        <tpls c="3">
          <tpl fld="0" item="0"/>
          <tpl fld="1" item="57"/>
          <tpl fld="4" item="25"/>
        </tpls>
      </n>
      <m in="0">
        <tpls c="3">
          <tpl fld="0" item="0"/>
          <tpl fld="1" item="394"/>
          <tpl fld="4" item="34"/>
        </tpls>
      </m>
      <m in="0">
        <tpls c="3">
          <tpl fld="0" item="0"/>
          <tpl fld="1" item="133"/>
          <tpl fld="4" item="35"/>
        </tpls>
      </m>
      <m in="0">
        <tpls c="3">
          <tpl fld="0" item="0"/>
          <tpl fld="1" item="138"/>
          <tpl fld="4" item="31"/>
        </tpls>
      </m>
      <m in="0">
        <tpls c="3">
          <tpl fld="0" item="0"/>
          <tpl fld="1" item="425"/>
          <tpl fld="4" item="26"/>
        </tpls>
      </m>
      <m in="0">
        <tpls c="3">
          <tpl fld="0" item="0"/>
          <tpl fld="1" item="282"/>
          <tpl fld="4" item="32"/>
        </tpls>
      </m>
      <m in="0">
        <tpls c="3">
          <tpl fld="0" item="0"/>
          <tpl fld="1" item="109"/>
          <tpl fld="4" item="24"/>
        </tpls>
      </m>
      <m in="0">
        <tpls c="3">
          <tpl fld="0" item="0"/>
          <tpl fld="1" item="228"/>
          <tpl fld="4" item="33"/>
        </tpls>
      </m>
      <m in="0">
        <tpls c="3">
          <tpl fld="0" item="0"/>
          <tpl fld="1" item="207"/>
          <tpl fld="4" item="30"/>
        </tpls>
      </m>
      <m in="0">
        <tpls c="3">
          <tpl fld="0" item="0"/>
          <tpl fld="1" item="452"/>
          <tpl fld="4" item="34"/>
        </tpls>
      </m>
      <m in="0">
        <tpls c="3">
          <tpl fld="0" item="0"/>
          <tpl fld="1" item="275"/>
          <tpl fld="4" item="26"/>
        </tpls>
      </m>
      <n v="164" in="0">
        <tpls c="3">
          <tpl fld="0" item="0"/>
          <tpl fld="1" item="179"/>
          <tpl fld="4" item="25"/>
        </tpls>
      </n>
      <n v="151" in="0">
        <tpls c="3">
          <tpl fld="0" item="0"/>
          <tpl fld="1" item="320"/>
          <tpl fld="4" item="24"/>
        </tpls>
      </n>
      <m in="0">
        <tpls c="3">
          <tpl fld="0" item="0"/>
          <tpl fld="1" item="216"/>
          <tpl fld="4" item="32"/>
        </tpls>
      </m>
      <m in="0">
        <tpls c="3">
          <tpl fld="0" item="0"/>
          <tpl fld="1" item="52"/>
          <tpl fld="4" item="33"/>
        </tpls>
      </m>
      <n v="4" in="0">
        <tpls c="3">
          <tpl fld="0" item="0"/>
          <tpl fld="1" item="45"/>
          <tpl fld="4" item="30"/>
        </tpls>
      </n>
      <n v="204" in="0">
        <tpls c="3">
          <tpl fld="0" item="0"/>
          <tpl fld="1" item="230"/>
          <tpl fld="4" item="15"/>
        </tpls>
      </n>
      <n v="2" in="0">
        <tpls c="3">
          <tpl fld="0" item="0"/>
          <tpl fld="1" item="117"/>
          <tpl fld="4" item="26"/>
        </tpls>
      </n>
      <m in="0">
        <tpls c="3">
          <tpl fld="0" item="0"/>
          <tpl fld="1" item="413"/>
          <tpl fld="4" item="31"/>
        </tpls>
      </m>
      <m in="0">
        <tpls c="3">
          <tpl fld="0" item="0"/>
          <tpl fld="1" item="228"/>
          <tpl fld="4" item="31"/>
        </tpls>
      </m>
      <m in="0">
        <tpls c="3">
          <tpl fld="0" item="0"/>
          <tpl fld="1" item="284"/>
          <tpl fld="4" item="32"/>
        </tpls>
      </m>
      <m in="0">
        <tpls c="3">
          <tpl fld="0" item="0"/>
          <tpl fld="1" item="123"/>
          <tpl fld="4" item="30"/>
        </tpls>
      </m>
      <m in="0">
        <tpls c="3">
          <tpl fld="0" item="0"/>
          <tpl fld="1" item="181"/>
          <tpl fld="4" item="34"/>
        </tpls>
      </m>
      <m in="0">
        <tpls c="3">
          <tpl fld="0" item="0"/>
          <tpl fld="1" item="137"/>
          <tpl fld="4" item="26"/>
        </tpls>
      </m>
      <n v="41" in="0">
        <tpls c="3">
          <tpl fld="0" item="0"/>
          <tpl fld="1" item="177"/>
          <tpl fld="4" item="22"/>
        </tpls>
      </n>
      <m in="0">
        <tpls c="3">
          <tpl fld="0" item="0"/>
          <tpl fld="1" item="110"/>
          <tpl fld="4" item="24"/>
        </tpls>
      </m>
      <m in="0">
        <tpls c="3">
          <tpl fld="0" item="0"/>
          <tpl fld="1" item="245"/>
          <tpl fld="4" item="32"/>
        </tpls>
      </m>
      <m in="0">
        <tpls c="3">
          <tpl fld="0" item="0"/>
          <tpl fld="1" item="88"/>
          <tpl fld="4" item="33"/>
        </tpls>
      </m>
      <m in="0">
        <tpls c="3">
          <tpl fld="0" item="0"/>
          <tpl fld="1" item="164"/>
          <tpl fld="4" item="30"/>
        </tpls>
      </m>
      <m in="0">
        <tpls c="3">
          <tpl fld="0" item="0"/>
          <tpl fld="1" item="313"/>
          <tpl fld="4" item="35"/>
        </tpls>
      </m>
      <n v="4" in="0">
        <tpls c="3">
          <tpl fld="0" item="0"/>
          <tpl fld="1" item="107"/>
          <tpl fld="4" item="30"/>
        </tpls>
      </n>
      <m in="0">
        <tpls c="3">
          <tpl fld="0" item="0"/>
          <tpl fld="1" item="8"/>
          <tpl fld="4" item="35"/>
        </tpls>
      </m>
      <m in="0">
        <tpls c="3">
          <tpl fld="0" item="0"/>
          <tpl fld="1" item="40"/>
          <tpl fld="4" item="26"/>
        </tpls>
      </m>
      <n v="1" in="0">
        <tpls c="3">
          <tpl fld="0" item="0"/>
          <tpl fld="1" item="202"/>
          <tpl fld="4" item="34"/>
        </tpls>
      </n>
      <m in="0">
        <tpls c="3">
          <tpl fld="0" item="0"/>
          <tpl fld="1" item="86"/>
          <tpl fld="4" item="35"/>
        </tpls>
      </m>
      <n v="1" in="0">
        <tpls c="3">
          <tpl fld="0" item="0"/>
          <tpl fld="1" item="213"/>
          <tpl fld="4" item="27"/>
        </tpls>
      </n>
      <n v="36" in="0">
        <tpls c="3">
          <tpl fld="0" item="0"/>
          <tpl fld="1" item="452"/>
          <tpl fld="4" item="26"/>
        </tpls>
      </n>
      <m in="0">
        <tpls c="3">
          <tpl fld="0" item="0"/>
          <tpl fld="1" item="354"/>
          <tpl fld="4" item="31"/>
        </tpls>
      </m>
      <m in="0">
        <tpls c="3">
          <tpl fld="0" item="0"/>
          <tpl fld="1" item="349"/>
          <tpl fld="4" item="30"/>
        </tpls>
      </m>
      <m in="0">
        <tpls c="3">
          <tpl fld="0" item="0"/>
          <tpl fld="1" item="342"/>
          <tpl fld="4" item="34"/>
        </tpls>
      </m>
      <n v="1051" in="0">
        <tpls c="3">
          <tpl fld="0" item="0"/>
          <tpl fld="1" item="68"/>
          <tpl fld="4" item="27"/>
        </tpls>
      </n>
      <m in="0">
        <tpls c="3">
          <tpl fld="0" item="0"/>
          <tpl fld="1" item="75"/>
          <tpl fld="4" item="20"/>
        </tpls>
      </m>
      <m in="0">
        <tpls c="3">
          <tpl fld="0" item="0"/>
          <tpl fld="1" item="238"/>
          <tpl fld="4" item="27"/>
        </tpls>
      </m>
      <n v="246" in="0">
        <tpls c="3">
          <tpl fld="0" item="0"/>
          <tpl fld="1" item="187"/>
          <tpl fld="4" item="25"/>
        </tpls>
      </n>
      <m in="0">
        <tpls c="3">
          <tpl fld="0" item="0"/>
          <tpl fld="1" item="181"/>
          <tpl fld="4" item="33"/>
        </tpls>
      </m>
      <m in="0">
        <tpls c="3">
          <tpl fld="0" item="0"/>
          <tpl fld="1" item="36"/>
          <tpl fld="4" item="30"/>
        </tpls>
      </m>
      <n v="12" in="0">
        <tpls c="3">
          <tpl fld="0" item="0"/>
          <tpl fld="1" item="214"/>
          <tpl fld="4" item="13"/>
        </tpls>
      </n>
      <n v="127" in="0">
        <tpls c="3">
          <tpl fld="0" item="0"/>
          <tpl fld="1" item="342"/>
          <tpl fld="4" item="29"/>
        </tpls>
      </n>
      <m in="0">
        <tpls c="3">
          <tpl fld="0" item="0"/>
          <tpl fld="1" item="353"/>
          <tpl fld="4" item="32"/>
        </tpls>
      </m>
      <m in="0">
        <tpls c="3">
          <tpl fld="0" item="0"/>
          <tpl fld="1" item="433"/>
          <tpl fld="4" item="31"/>
        </tpls>
      </m>
      <m in="0">
        <tpls c="3">
          <tpl fld="0" item="0"/>
          <tpl fld="1" item="450"/>
          <tpl fld="4" item="31"/>
        </tpls>
      </m>
      <n v="2" in="0">
        <tpls c="3">
          <tpl fld="0" item="0"/>
          <tpl fld="1" item="311"/>
          <tpl fld="4" item="33"/>
        </tpls>
      </n>
      <m in="0">
        <tpls c="3">
          <tpl fld="0" item="0"/>
          <tpl fld="1" item="192"/>
          <tpl fld="4" item="34"/>
        </tpls>
      </m>
      <n v="194" in="0">
        <tpls c="3">
          <tpl fld="0" item="0"/>
          <tpl fld="1" item="287"/>
          <tpl fld="4" item="25"/>
        </tpls>
      </n>
      <m in="0">
        <tpls c="3">
          <tpl fld="0" item="0"/>
          <tpl fld="1" item="125"/>
          <tpl fld="4" item="31"/>
        </tpls>
      </m>
      <n v="445" in="0">
        <tpls c="3">
          <tpl fld="0" item="0"/>
          <tpl fld="1" item="80"/>
          <tpl fld="4" item="29"/>
        </tpls>
      </n>
      <m in="0">
        <tpls c="3">
          <tpl fld="0" item="0"/>
          <tpl fld="1" item="250"/>
          <tpl fld="4" item="22"/>
        </tpls>
      </m>
      <n v="1" in="0">
        <tpls c="3">
          <tpl fld="0" item="0"/>
          <tpl fld="1" item="337"/>
          <tpl fld="4" item="33"/>
        </tpls>
      </n>
      <m in="0">
        <tpls c="3">
          <tpl fld="0" item="0"/>
          <tpl fld="1" item="34"/>
          <tpl fld="4" item="30"/>
        </tpls>
      </m>
      <m in="0">
        <tpls c="3">
          <tpl fld="0" item="0"/>
          <tpl fld="1" item="83"/>
          <tpl fld="4" item="34"/>
        </tpls>
      </m>
      <m in="0">
        <tpls c="3">
          <tpl fld="0" item="0"/>
          <tpl fld="1" item="81"/>
          <tpl fld="4" item="33"/>
        </tpls>
      </m>
      <m in="0">
        <tpls c="3">
          <tpl fld="0" item="0"/>
          <tpl fld="1" item="52"/>
          <tpl fld="4" item="35"/>
        </tpls>
      </m>
      <n v="44" in="0">
        <tpls c="3">
          <tpl fld="0" item="0"/>
          <tpl fld="1" item="405"/>
          <tpl fld="4" item="29"/>
        </tpls>
      </n>
      <m in="0">
        <tpls c="3">
          <tpl fld="0" item="0"/>
          <tpl fld="1" item="411"/>
          <tpl fld="4" item="34"/>
        </tpls>
      </m>
      <m in="0">
        <tpls c="3">
          <tpl fld="0" item="0"/>
          <tpl fld="1" item="17"/>
          <tpl fld="4" item="35"/>
        </tpls>
      </m>
      <m in="0">
        <tpls c="3">
          <tpl fld="0" item="0"/>
          <tpl fld="1" item="283"/>
          <tpl fld="4" item="26"/>
        </tpls>
      </m>
      <m in="0">
        <tpls c="3">
          <tpl fld="0" item="0"/>
          <tpl fld="1" item="300"/>
          <tpl fld="4" item="34"/>
        </tpls>
      </m>
      <m in="0">
        <tpls c="3">
          <tpl fld="0" item="0"/>
          <tpl fld="1" item="148"/>
          <tpl fld="4" item="35"/>
        </tpls>
      </m>
      <m in="0">
        <tpls c="3">
          <tpl fld="0" item="0"/>
          <tpl fld="1" item="324"/>
          <tpl fld="4" item="30"/>
        </tpls>
      </m>
      <m in="0">
        <tpls c="3">
          <tpl fld="0" item="0"/>
          <tpl fld="1" item="38"/>
          <tpl fld="4" item="35"/>
        </tpls>
      </m>
      <m in="0">
        <tpls c="3">
          <tpl fld="0" item="0"/>
          <tpl fld="1" item="355"/>
          <tpl fld="4" item="35"/>
        </tpls>
      </m>
      <m in="0">
        <tpls c="3">
          <tpl fld="0" item="0"/>
          <tpl fld="1" item="375"/>
          <tpl fld="4" item="30"/>
        </tpls>
      </m>
      <m in="0">
        <tpls c="3">
          <tpl fld="0" item="0"/>
          <tpl fld="1" item="345"/>
          <tpl fld="4" item="35"/>
        </tpls>
      </m>
      <m in="0">
        <tpls c="3">
          <tpl fld="0" item="0"/>
          <tpl fld="1" item="228"/>
          <tpl fld="4" item="30"/>
        </tpls>
      </m>
      <m in="0">
        <tpls c="3">
          <tpl fld="0" item="0"/>
          <tpl fld="1" item="417"/>
          <tpl fld="4" item="33"/>
        </tpls>
      </m>
      <m in="0">
        <tpls c="3">
          <tpl fld="0" item="0"/>
          <tpl fld="1" item="82"/>
          <tpl fld="4" item="35"/>
        </tpls>
      </m>
      <m in="0">
        <tpls c="3">
          <tpl fld="0" item="0"/>
          <tpl fld="1" item="101"/>
          <tpl fld="4" item="32"/>
        </tpls>
      </m>
      <m in="0">
        <tpls c="3">
          <tpl fld="0" item="0"/>
          <tpl fld="1" item="253"/>
          <tpl fld="4" item="27"/>
        </tpls>
      </m>
      <m in="0">
        <tpls c="3">
          <tpl fld="0" item="0"/>
          <tpl fld="1" item="157"/>
          <tpl fld="4" item="29"/>
        </tpls>
      </m>
      <m in="0">
        <tpls c="3">
          <tpl fld="0" item="0"/>
          <tpl fld="1" item="221"/>
          <tpl fld="4" item="32"/>
        </tpls>
      </m>
      <m in="0">
        <tpls c="3">
          <tpl fld="0" item="0"/>
          <tpl fld="1" item="188"/>
          <tpl fld="4" item="24"/>
        </tpls>
      </m>
      <n v="1" in="0">
        <tpls c="3">
          <tpl fld="0" item="0"/>
          <tpl fld="1" item="452"/>
          <tpl fld="4" item="33"/>
        </tpls>
      </n>
      <m in="0">
        <tpls c="3">
          <tpl fld="0" item="0"/>
          <tpl fld="1" item="397"/>
          <tpl fld="4" item="34"/>
        </tpls>
      </m>
      <n v="89" in="0">
        <tpls c="3">
          <tpl fld="0" item="0"/>
          <tpl fld="1" item="199"/>
          <tpl fld="4" item="29"/>
        </tpls>
      </n>
      <m in="0">
        <tpls c="3">
          <tpl fld="0" item="0"/>
          <tpl fld="1" item="145"/>
          <tpl fld="4" item="32"/>
        </tpls>
      </m>
      <m in="0">
        <tpls c="3">
          <tpl fld="0" item="0"/>
          <tpl fld="1" item="163"/>
          <tpl fld="4" item="31"/>
        </tpls>
      </m>
      <m in="0">
        <tpls c="3">
          <tpl fld="0" item="0"/>
          <tpl fld="1" item="299"/>
          <tpl fld="4" item="31"/>
        </tpls>
      </m>
      <m in="0">
        <tpls c="3">
          <tpl fld="0" item="0"/>
          <tpl fld="1" item="246"/>
          <tpl fld="4" item="33"/>
        </tpls>
      </m>
      <m in="0">
        <tpls c="3">
          <tpl fld="0" item="0"/>
          <tpl fld="1" item="236"/>
          <tpl fld="4" item="34"/>
        </tpls>
      </m>
      <n v="977" in="0">
        <tpls c="3">
          <tpl fld="0" item="0"/>
          <tpl fld="1" item="380"/>
          <tpl fld="4" item="24"/>
        </tpls>
      </n>
      <m in="0">
        <tpls c="3">
          <tpl fld="0" item="0"/>
          <tpl fld="1" item="1"/>
          <tpl fld="4" item="31"/>
        </tpls>
      </m>
      <n v="432" in="0">
        <tpls c="3">
          <tpl fld="0" item="0"/>
          <tpl fld="1" item="80"/>
          <tpl fld="4" item="27"/>
        </tpls>
      </n>
      <n v="25" in="0">
        <tpls c="3">
          <tpl fld="0" item="0"/>
          <tpl fld="1" item="438"/>
          <tpl fld="4" item="26"/>
        </tpls>
      </n>
      <m in="0">
        <tpls c="3">
          <tpl fld="0" item="0"/>
          <tpl fld="1" item="229"/>
          <tpl fld="4" item="33"/>
        </tpls>
      </m>
      <m in="0">
        <tpls c="3">
          <tpl fld="0" item="0"/>
          <tpl fld="1" item="297"/>
          <tpl fld="4" item="30"/>
        </tpls>
      </m>
      <m in="0">
        <tpls c="3">
          <tpl fld="0" item="0"/>
          <tpl fld="1" item="43"/>
          <tpl fld="4" item="25"/>
        </tpls>
      </m>
      <m in="0">
        <tpls c="3">
          <tpl fld="0" item="0"/>
          <tpl fld="1" item="113"/>
          <tpl fld="4" item="26"/>
        </tpls>
      </m>
      <m in="0">
        <tpls c="3">
          <tpl fld="0" item="0"/>
          <tpl fld="1" item="410"/>
          <tpl fld="4" item="32"/>
        </tpls>
      </m>
      <m in="0">
        <tpls c="3">
          <tpl fld="0" item="0"/>
          <tpl fld="1" item="208"/>
          <tpl fld="4" item="31"/>
        </tpls>
      </m>
      <m in="0">
        <tpls c="3">
          <tpl fld="0" item="0"/>
          <tpl fld="1" item="234"/>
          <tpl fld="4" item="31"/>
        </tpls>
      </m>
      <m in="0">
        <tpls c="3">
          <tpl fld="0" item="0"/>
          <tpl fld="1" item="17"/>
          <tpl fld="4" item="33"/>
        </tpls>
      </m>
      <m in="0">
        <tpls c="3">
          <tpl fld="0" item="0"/>
          <tpl fld="1" item="356"/>
          <tpl fld="4" item="30"/>
        </tpls>
      </m>
      <m in="0">
        <tpls c="3">
          <tpl fld="0" item="0"/>
          <tpl fld="1" item="289"/>
          <tpl fld="4" item="34"/>
        </tpls>
      </m>
      <m in="0">
        <tpls c="3">
          <tpl fld="0" item="0"/>
          <tpl fld="1" item="356"/>
          <tpl fld="4" item="32"/>
        </tpls>
      </m>
      <m in="0">
        <tpls c="3">
          <tpl fld="0" item="0"/>
          <tpl fld="1" item="136"/>
          <tpl fld="4" item="34"/>
        </tpls>
      </m>
      <m in="0">
        <tpls c="3">
          <tpl fld="0" item="0"/>
          <tpl fld="1" item="445"/>
          <tpl fld="4" item="35"/>
        </tpls>
      </m>
      <m in="0">
        <tpls c="3">
          <tpl fld="0" item="0"/>
          <tpl fld="1" item="310"/>
          <tpl fld="4" item="30"/>
        </tpls>
      </m>
      <m in="0">
        <tpls c="3">
          <tpl fld="0" item="0"/>
          <tpl fld="1" item="227"/>
          <tpl fld="4" item="35"/>
        </tpls>
      </m>
      <n v="5" in="0">
        <tpls c="3">
          <tpl fld="0" item="0"/>
          <tpl fld="1" item="5"/>
          <tpl fld="4" item="25"/>
        </tpls>
      </n>
      <m in="0">
        <tpls c="3">
          <tpl fld="0" item="0"/>
          <tpl fld="1" item="190"/>
          <tpl fld="4" item="34"/>
        </tpls>
      </m>
      <n v="1" in="0">
        <tpls c="3">
          <tpl fld="0" item="0"/>
          <tpl fld="1" item="266"/>
          <tpl fld="4" item="35"/>
        </tpls>
      </n>
      <n v="9" in="0">
        <tpls c="3">
          <tpl fld="0" item="0"/>
          <tpl fld="1" item="310"/>
          <tpl fld="4" item="25"/>
        </tpls>
      </n>
      <m in="0">
        <tpls c="3">
          <tpl fld="0" item="0"/>
          <tpl fld="1" item="363"/>
          <tpl fld="4" item="31"/>
        </tpls>
      </m>
      <m in="0">
        <tpls c="3">
          <tpl fld="0" item="0"/>
          <tpl fld="1" item="442"/>
          <tpl fld="4" item="32"/>
        </tpls>
      </m>
      <m in="0">
        <tpls c="3">
          <tpl fld="0" item="0"/>
          <tpl fld="1" item="449"/>
          <tpl fld="4" item="33"/>
        </tpls>
      </m>
      <m in="0">
        <tpls c="3">
          <tpl fld="0" item="0"/>
          <tpl fld="1" item="97"/>
          <tpl fld="4" item="30"/>
        </tpls>
      </m>
      <m in="0">
        <tpls c="3">
          <tpl fld="0" item="0"/>
          <tpl fld="1" item="205"/>
          <tpl fld="4" item="35"/>
        </tpls>
      </m>
      <n v="573" in="0">
        <tpls c="3">
          <tpl fld="0" item="0"/>
          <tpl fld="1" item="281"/>
          <tpl fld="4" item="25"/>
        </tpls>
      </n>
      <n v="1" in="0">
        <tpls c="3">
          <tpl fld="0" item="0"/>
          <tpl fld="1" item="75"/>
          <tpl fld="4" item="24"/>
        </tpls>
      </n>
      <m in="0">
        <tpls c="3">
          <tpl fld="0" item="0"/>
          <tpl fld="2" item="0"/>
          <tpl fld="4" item="32"/>
        </tpls>
      </m>
      <m in="0">
        <tpls c="3">
          <tpl fld="0" item="0"/>
          <tpl fld="1" item="12"/>
          <tpl fld="4" item="32"/>
        </tpls>
      </m>
      <m in="0">
        <tpls c="3">
          <tpl fld="0" item="0"/>
          <tpl fld="1" item="190"/>
          <tpl fld="4" item="33"/>
        </tpls>
      </m>
      <m in="0">
        <tpls c="3">
          <tpl fld="0" item="0"/>
          <tpl fld="1" item="450"/>
          <tpl fld="4" item="30"/>
        </tpls>
      </m>
      <m in="0">
        <tpls c="3">
          <tpl fld="0" item="0"/>
          <tpl fld="1" item="362"/>
          <tpl fld="4" item="21"/>
        </tpls>
      </m>
      <m in="0">
        <tpls c="3">
          <tpl fld="0" item="0"/>
          <tpl fld="1" item="182"/>
          <tpl fld="4" item="31"/>
        </tpls>
      </m>
      <m in="0">
        <tpls c="3">
          <tpl fld="0" item="0"/>
          <tpl fld="1" item="334"/>
          <tpl fld="4" item="31"/>
        </tpls>
      </m>
      <m in="0">
        <tpls c="3">
          <tpl fld="0" item="0"/>
          <tpl fld="1" item="236"/>
          <tpl fld="4" item="30"/>
        </tpls>
      </m>
      <m in="0">
        <tpls c="3">
          <tpl fld="0" item="0"/>
          <tpl fld="1" item="1"/>
          <tpl fld="4" item="23"/>
        </tpls>
      </m>
      <m in="0">
        <tpls c="3">
          <tpl fld="0" item="0"/>
          <tpl fld="1" item="223"/>
          <tpl fld="4" item="32"/>
        </tpls>
      </m>
      <m in="0">
        <tpls c="3">
          <tpl fld="0" item="0"/>
          <tpl fld="1" item="252"/>
          <tpl fld="4" item="32"/>
        </tpls>
      </m>
      <n v="3" in="0">
        <tpls c="3">
          <tpl fld="0" item="0"/>
          <tpl fld="1" item="313"/>
          <tpl fld="4" item="30"/>
        </tpls>
      </n>
      <n v="234" in="0">
        <tpls c="3">
          <tpl fld="0" item="0"/>
          <tpl fld="1" item="117"/>
          <tpl fld="4" item="27"/>
        </tpls>
      </n>
      <m in="0">
        <tpls c="3">
          <tpl fld="0" item="0"/>
          <tpl fld="1" item="60"/>
          <tpl fld="4" item="31"/>
        </tpls>
      </m>
      <m in="0">
        <tpls c="3">
          <tpl fld="0" item="0"/>
          <tpl fld="1" item="392"/>
          <tpl fld="4" item="31"/>
        </tpls>
      </m>
      <m in="0">
        <tpls c="3">
          <tpl fld="0" item="0"/>
          <tpl fld="1" item="210"/>
          <tpl fld="4" item="31"/>
        </tpls>
      </m>
      <n v="22" in="0">
        <tpls c="3">
          <tpl fld="0" item="0"/>
          <tpl fld="1" item="385"/>
          <tpl fld="4" item="22"/>
        </tpls>
      </n>
      <n v="3" in="0">
        <tpls c="3">
          <tpl fld="0" item="0"/>
          <tpl fld="1" item="332"/>
          <tpl fld="4" item="16"/>
        </tpls>
      </n>
      <n v="287" in="0">
        <tpls c="3">
          <tpl fld="0" item="0"/>
          <tpl fld="1" item="262"/>
          <tpl fld="4" item="25"/>
        </tpls>
      </n>
      <m in="0">
        <tpls c="3">
          <tpl fld="0" item="0"/>
          <tpl fld="1" item="153"/>
          <tpl fld="4" item="21"/>
        </tpls>
      </m>
      <n v="349" in="0">
        <tpls c="3">
          <tpl fld="0" item="0"/>
          <tpl fld="1" item="141"/>
          <tpl fld="4" item="27"/>
        </tpls>
      </n>
      <n v="22" in="0">
        <tpls c="3">
          <tpl fld="0" item="0"/>
          <tpl fld="1" item="312"/>
          <tpl fld="4" item="22"/>
        </tpls>
      </n>
      <m in="0">
        <tpls c="3">
          <tpl fld="0" item="0"/>
          <tpl fld="1" item="16"/>
          <tpl fld="4" item="26"/>
        </tpls>
      </m>
      <n v="16" in="0">
        <tpls c="3">
          <tpl fld="0" item="0"/>
          <tpl fld="1" item="27"/>
          <tpl fld="4" item="24"/>
        </tpls>
      </n>
      <m in="0">
        <tpls c="3">
          <tpl fld="0" item="0"/>
          <tpl fld="1" item="166"/>
          <tpl fld="4" item="24"/>
        </tpls>
      </m>
      <m in="0">
        <tpls c="3">
          <tpl fld="0" item="0"/>
          <tpl fld="1" item="62"/>
          <tpl fld="4" item="18"/>
        </tpls>
      </m>
      <m in="0">
        <tpls c="3">
          <tpl fld="0" item="0"/>
          <tpl fld="3" item="0"/>
          <tpl fld="4" item="22"/>
        </tpls>
      </m>
      <n v="49" in="0">
        <tpls c="3">
          <tpl fld="0" item="0"/>
          <tpl fld="1" item="308"/>
          <tpl fld="4" item="25"/>
        </tpls>
      </n>
      <n v="745" in="0">
        <tpls c="3">
          <tpl fld="0" item="0"/>
          <tpl fld="1" item="149"/>
          <tpl fld="4" item="23"/>
        </tpls>
      </n>
      <n v="7" in="0">
        <tpls c="3">
          <tpl fld="0" item="0"/>
          <tpl fld="1" item="182"/>
          <tpl fld="4" item="26"/>
        </tpls>
      </n>
      <n v="5" in="0">
        <tpls c="3">
          <tpl fld="0" item="0"/>
          <tpl fld="1" item="383"/>
          <tpl fld="4" item="24"/>
        </tpls>
      </n>
      <m in="0">
        <tpls c="3">
          <tpl fld="0" item="0"/>
          <tpl fld="1" item="128"/>
          <tpl fld="4" item="33"/>
        </tpls>
      </m>
      <m in="0">
        <tpls c="3">
          <tpl fld="0" item="0"/>
          <tpl fld="1" item="215"/>
          <tpl fld="4" item="30"/>
        </tpls>
      </m>
      <n v="17" in="0">
        <tpls c="3">
          <tpl fld="0" item="0"/>
          <tpl fld="1" item="264"/>
          <tpl fld="4" item="17"/>
        </tpls>
      </n>
      <m in="0">
        <tpls c="3">
          <tpl fld="0" item="0"/>
          <tpl fld="1" item="457"/>
          <tpl fld="4" item="24"/>
        </tpls>
      </m>
      <m in="0">
        <tpls c="3">
          <tpl fld="0" item="0"/>
          <tpl fld="1" item="314"/>
          <tpl fld="4" item="22"/>
        </tpls>
      </m>
      <n v="15" in="0">
        <tpls c="3">
          <tpl fld="0" item="0"/>
          <tpl fld="1" item="173"/>
          <tpl fld="4" item="24"/>
        </tpls>
      </n>
      <m in="0">
        <tpls c="3">
          <tpl fld="0" item="0"/>
          <tpl fld="1" item="92"/>
          <tpl fld="4" item="32"/>
        </tpls>
      </m>
      <m in="0">
        <tpls c="3">
          <tpl fld="0" item="0"/>
          <tpl fld="1" item="227"/>
          <tpl fld="4" item="33"/>
        </tpls>
      </m>
      <m in="0">
        <tpls c="3">
          <tpl fld="0" item="0"/>
          <tpl fld="1" item="291"/>
          <tpl fld="4" item="30"/>
        </tpls>
      </m>
      <m in="0">
        <tpls c="3">
          <tpl fld="0" item="0"/>
          <tpl fld="1" item="338"/>
          <tpl fld="4" item="27"/>
        </tpls>
      </m>
      <n v="158" in="0">
        <tpls c="3">
          <tpl fld="0" item="0"/>
          <tpl fld="1" item="49"/>
          <tpl fld="4" item="24"/>
        </tpls>
      </n>
      <n v="5" in="0">
        <tpls c="3">
          <tpl fld="0" item="0"/>
          <tpl fld="1" item="165"/>
          <tpl fld="4" item="24"/>
        </tpls>
      </n>
      <m in="0">
        <tpls c="3">
          <tpl fld="0" item="0"/>
          <tpl fld="1" item="457"/>
          <tpl fld="4" item="32"/>
        </tpls>
      </m>
      <m in="0">
        <tpls c="3">
          <tpl fld="0" item="0"/>
          <tpl fld="1" item="94"/>
          <tpl fld="4" item="32"/>
        </tpls>
      </m>
      <m in="0">
        <tpls c="3">
          <tpl fld="0" item="0"/>
          <tpl fld="1" item="133"/>
          <tpl fld="4" item="33"/>
        </tpls>
      </m>
      <m in="0">
        <tpls c="3">
          <tpl fld="0" item="0"/>
          <tpl fld="1" item="291"/>
          <tpl fld="4" item="28"/>
        </tpls>
      </m>
      <n v="7" in="0">
        <tpls c="3">
          <tpl fld="0" item="0"/>
          <tpl fld="1" item="134"/>
          <tpl fld="4" item="24"/>
        </tpls>
      </n>
      <m in="0">
        <tpls c="3">
          <tpl fld="0" item="0"/>
          <tpl fld="1" item="361"/>
          <tpl fld="4" item="32"/>
        </tpls>
      </m>
      <m in="0">
        <tpls c="3">
          <tpl fld="0" item="0"/>
          <tpl fld="1" item="153"/>
          <tpl fld="4" item="32"/>
        </tpls>
      </m>
      <m in="0">
        <tpls c="3">
          <tpl fld="0" item="0"/>
          <tpl fld="1" item="54"/>
          <tpl fld="4" item="33"/>
        </tpls>
      </m>
      <m in="0">
        <tpls c="3">
          <tpl fld="0" item="0"/>
          <tpl fld="1" item="72"/>
          <tpl fld="4" item="34"/>
        </tpls>
      </m>
      <m in="0">
        <tpls c="3">
          <tpl fld="0" item="0"/>
          <tpl fld="1" item="162"/>
          <tpl fld="4" item="35"/>
        </tpls>
      </m>
      <n v="17" in="0">
        <tpls c="3">
          <tpl fld="0" item="0"/>
          <tpl fld="1" item="125"/>
          <tpl fld="4" item="28"/>
        </tpls>
      </n>
      <n v="59" in="0">
        <tpls c="3">
          <tpl fld="0" item="0"/>
          <tpl fld="1" item="418"/>
          <tpl fld="4" item="24"/>
        </tpls>
      </n>
      <n v="8" in="0">
        <tpls c="3">
          <tpl fld="0" item="0"/>
          <tpl fld="1" item="53"/>
          <tpl fld="4" item="23"/>
        </tpls>
      </n>
      <n v="72" in="0">
        <tpls c="3">
          <tpl fld="0" item="0"/>
          <tpl fld="1" item="172"/>
          <tpl fld="4" item="23"/>
        </tpls>
      </n>
      <n v="22" in="0">
        <tpls c="3">
          <tpl fld="0" item="0"/>
          <tpl fld="1" item="343"/>
          <tpl fld="4" item="29"/>
        </tpls>
      </n>
      <n v="1" in="0">
        <tpls c="3">
          <tpl fld="0" item="0"/>
          <tpl fld="1" item="7"/>
          <tpl fld="4" item="30"/>
        </tpls>
      </n>
      <m in="0">
        <tpls c="3">
          <tpl fld="0" item="0"/>
          <tpl fld="1" item="421"/>
          <tpl fld="4" item="34"/>
        </tpls>
      </m>
      <m in="0">
        <tpls c="3">
          <tpl fld="0" item="0"/>
          <tpl fld="1" item="211"/>
          <tpl fld="4" item="23"/>
        </tpls>
      </m>
      <n v="447" in="0">
        <tpls c="3">
          <tpl fld="0" item="0"/>
          <tpl fld="1" item="68"/>
          <tpl fld="4" item="24"/>
        </tpls>
      </n>
      <n v="13" in="0">
        <tpls c="3">
          <tpl fld="0" item="0"/>
          <tpl fld="1" item="174"/>
          <tpl fld="4" item="28"/>
        </tpls>
      </n>
      <m in="0">
        <tpls c="3">
          <tpl fld="0" item="0"/>
          <tpl fld="1" item="446"/>
          <tpl fld="4" item="27"/>
        </tpls>
      </m>
      <m in="0">
        <tpls c="3">
          <tpl fld="0" item="0"/>
          <tpl fld="1" item="21"/>
          <tpl fld="4" item="33"/>
        </tpls>
      </m>
      <m in="0">
        <tpls c="3">
          <tpl fld="0" item="0"/>
          <tpl fld="1" item="440"/>
          <tpl fld="4" item="30"/>
        </tpls>
      </m>
      <m in="0">
        <tpls c="3">
          <tpl fld="0" item="0"/>
          <tpl fld="1" item="45"/>
          <tpl fld="4" item="34"/>
        </tpls>
      </m>
      <n v="6" in="0">
        <tpls c="3">
          <tpl fld="0" item="0"/>
          <tpl fld="1" item="344"/>
          <tpl fld="4" item="23"/>
        </tpls>
      </n>
      <n v="2" in="0">
        <tpls c="3">
          <tpl fld="0" item="0"/>
          <tpl fld="1" item="425"/>
          <tpl fld="4" item="24"/>
        </tpls>
      </n>
      <m in="0">
        <tpls c="3">
          <tpl fld="0" item="0"/>
          <tpl fld="1" item="87"/>
          <tpl fld="4" item="32"/>
        </tpls>
      </m>
      <m in="0">
        <tpls c="3">
          <tpl fld="0" item="0"/>
          <tpl fld="1" item="205"/>
          <tpl fld="4" item="32"/>
        </tpls>
      </m>
      <m in="0">
        <tpls c="3">
          <tpl fld="0" item="0"/>
          <tpl fld="1" item="322"/>
          <tpl fld="4" item="33"/>
        </tpls>
      </m>
      <m in="0">
        <tpls c="3">
          <tpl fld="0" item="0"/>
          <tpl fld="1" item="24"/>
          <tpl fld="4" item="34"/>
        </tpls>
      </m>
      <m in="0">
        <tpls c="3">
          <tpl fld="0" item="0"/>
          <tpl fld="1" item="375"/>
          <tpl fld="4" item="27"/>
        </tpls>
      </m>
      <m in="0">
        <tpls c="3">
          <tpl fld="0" item="0"/>
          <tpl fld="1" item="248"/>
          <tpl fld="4" item="32"/>
        </tpls>
      </m>
      <m in="0">
        <tpls c="3">
          <tpl fld="0" item="0"/>
          <tpl fld="1" item="306"/>
          <tpl fld="4" item="31"/>
        </tpls>
      </m>
      <n v="34" in="0">
        <tpls c="3">
          <tpl fld="0" item="0"/>
          <tpl fld="1" item="14"/>
          <tpl fld="4" item="23"/>
        </tpls>
      </n>
      <n v="2" in="0">
        <tpls c="3">
          <tpl fld="0" item="0"/>
          <tpl fld="1" item="324"/>
          <tpl fld="4" item="33"/>
        </tpls>
      </n>
      <m in="0">
        <tpls c="3">
          <tpl fld="0" item="0"/>
          <tpl fld="1" item="122"/>
          <tpl fld="4" item="30"/>
        </tpls>
      </m>
      <n v="1" in="0">
        <tpls c="3">
          <tpl fld="0" item="0"/>
          <tpl fld="1" item="296"/>
          <tpl fld="4" item="34"/>
        </tpls>
      </n>
      <m in="0">
        <tpls c="3">
          <tpl fld="0" item="0"/>
          <tpl fld="1" item="350"/>
          <tpl fld="4" item="33"/>
        </tpls>
      </m>
      <m in="0">
        <tpls c="3">
          <tpl fld="0" item="0"/>
          <tpl fld="1" item="200"/>
          <tpl fld="4" item="35"/>
        </tpls>
      </m>
      <n v="15" in="0">
        <tpls c="3">
          <tpl fld="0" item="0"/>
          <tpl fld="1" item="284"/>
          <tpl fld="4" item="25"/>
        </tpls>
      </n>
      <m in="0">
        <tpls c="3">
          <tpl fld="0" item="0"/>
          <tpl fld="1" item="211"/>
          <tpl fld="4" item="34"/>
        </tpls>
      </m>
      <m in="0">
        <tpls c="3">
          <tpl fld="0" item="0"/>
          <tpl fld="1" item="335"/>
          <tpl fld="4" item="35"/>
        </tpls>
      </m>
      <m in="0">
        <tpls c="3">
          <tpl fld="0" item="0"/>
          <tpl fld="1" item="158"/>
          <tpl fld="4" item="32"/>
        </tpls>
      </m>
      <m in="0">
        <tpls c="3">
          <tpl fld="0" item="0"/>
          <tpl fld="1" item="112"/>
          <tpl fld="4" item="34"/>
        </tpls>
      </m>
      <m in="0">
        <tpls c="3">
          <tpl fld="0" item="0"/>
          <tpl fld="1" item="179"/>
          <tpl fld="4" item="35"/>
        </tpls>
      </m>
      <m in="0">
        <tpls c="3">
          <tpl fld="0" item="0"/>
          <tpl fld="1" item="252"/>
          <tpl fld="4" item="26"/>
        </tpls>
      </m>
      <m in="0">
        <tpls c="3">
          <tpl fld="0" item="0"/>
          <tpl fld="1" item="336"/>
          <tpl fld="4" item="32"/>
        </tpls>
      </m>
      <m in="0">
        <tpls c="3">
          <tpl fld="0" item="0"/>
          <tpl fld="1" item="5"/>
          <tpl fld="4" item="24"/>
        </tpls>
      </m>
      <m in="0">
        <tpls c="3">
          <tpl fld="0" item="0"/>
          <tpl fld="1" item="260"/>
          <tpl fld="4" item="33"/>
        </tpls>
      </m>
      <n v="1" in="0">
        <tpls c="3">
          <tpl fld="0" item="0"/>
          <tpl fld="1" item="377"/>
          <tpl fld="4" item="30"/>
        </tpls>
      </n>
      <m in="0">
        <tpls c="3">
          <tpl fld="0" item="0"/>
          <tpl fld="1" item="399"/>
          <tpl fld="4" item="34"/>
        </tpls>
      </m>
      <n v="1" in="0">
        <tpls c="3">
          <tpl fld="0" item="0"/>
          <tpl fld="1" item="55"/>
          <tpl fld="4" item="26"/>
        </tpls>
      </n>
      <n v="29" in="0">
        <tpls c="3">
          <tpl fld="0" item="0"/>
          <tpl fld="1" item="394"/>
          <tpl fld="4" item="25"/>
        </tpls>
      </n>
      <n v="88" in="0">
        <tpls c="3">
          <tpl fld="0" item="0"/>
          <tpl fld="1" item="255"/>
          <tpl fld="4" item="24"/>
        </tpls>
      </n>
      <m in="0">
        <tpls c="3">
          <tpl fld="0" item="0"/>
          <tpl fld="1" item="197"/>
          <tpl fld="4" item="32"/>
        </tpls>
      </m>
      <m in="0">
        <tpls c="3">
          <tpl fld="0" item="0"/>
          <tpl fld="1" item="92"/>
          <tpl fld="4" item="33"/>
        </tpls>
      </m>
      <m in="0">
        <tpls c="3">
          <tpl fld="0" item="0"/>
          <tpl fld="1" item="29"/>
          <tpl fld="4" item="30"/>
        </tpls>
      </m>
      <m in="0">
        <tpls c="3">
          <tpl fld="0" item="0"/>
          <tpl fld="1" item="129"/>
          <tpl fld="4" item="17"/>
        </tpls>
      </m>
      <m in="0">
        <tpls c="3">
          <tpl fld="0" item="0"/>
          <tpl fld="1" item="306"/>
          <tpl fld="4" item="22"/>
        </tpls>
      </m>
      <m in="0">
        <tpls c="3">
          <tpl fld="0" item="0"/>
          <tpl fld="1" item="438"/>
          <tpl fld="4" item="31"/>
        </tpls>
      </m>
      <m in="0">
        <tpls c="3">
          <tpl fld="0" item="0"/>
          <tpl fld="1" item="251"/>
          <tpl fld="4" item="31"/>
        </tpls>
      </m>
      <n v="10" in="0">
        <tpls c="3">
          <tpl fld="0" item="0"/>
          <tpl fld="1" item="189"/>
          <tpl fld="4" item="24"/>
        </tpls>
      </n>
      <m in="0">
        <tpls c="3">
          <tpl fld="0" item="0"/>
          <tpl fld="1" item="200"/>
          <tpl fld="4" item="30"/>
        </tpls>
      </m>
      <m in="0">
        <tpls c="3">
          <tpl fld="0" item="0"/>
          <tpl fld="1" item="212"/>
          <tpl fld="4" item="34"/>
        </tpls>
      </m>
      <m in="0">
        <tpls c="3">
          <tpl fld="0" item="0"/>
          <tpl fld="1" item="278"/>
          <tpl fld="4" item="22"/>
        </tpls>
      </m>
      <m in="0">
        <tpls c="3">
          <tpl fld="0" item="0"/>
          <tpl fld="1" item="376"/>
          <tpl fld="4" item="27"/>
        </tpls>
      </m>
      <m in="0">
        <tpls c="3">
          <tpl fld="0" item="0"/>
          <tpl fld="1" item="355"/>
          <tpl fld="4" item="24"/>
        </tpls>
      </m>
      <m in="0">
        <tpls c="3">
          <tpl fld="0" item="0"/>
          <tpl fld="1" item="251"/>
          <tpl fld="4" item="24"/>
        </tpls>
      </m>
      <m in="0">
        <tpls c="3">
          <tpl fld="0" item="0"/>
          <tpl fld="1" item="372"/>
          <tpl fld="4" item="33"/>
        </tpls>
      </m>
      <n v="1" in="0">
        <tpls c="3">
          <tpl fld="0" item="0"/>
          <tpl fld="1" item="20"/>
          <tpl fld="4" item="30"/>
        </tpls>
      </n>
      <m in="0">
        <tpls c="3">
          <tpl fld="0" item="0"/>
          <tpl fld="1" item="16"/>
          <tpl fld="4" item="35"/>
        </tpls>
      </m>
      <m in="0">
        <tpls c="3">
          <tpl fld="0" item="0"/>
          <tpl fld="1" item="73"/>
          <tpl fld="4" item="30"/>
        </tpls>
      </m>
      <m in="0">
        <tpls c="3">
          <tpl fld="0" item="0"/>
          <tpl fld="1" item="58"/>
          <tpl fld="4" item="35"/>
        </tpls>
      </m>
      <m in="0">
        <tpls c="3">
          <tpl fld="0" item="0"/>
          <tpl fld="1" item="355"/>
          <tpl fld="4" item="31"/>
        </tpls>
      </m>
      <m in="0">
        <tpls c="3">
          <tpl fld="0" item="0"/>
          <tpl fld="1" item="127"/>
          <tpl fld="4" item="34"/>
        </tpls>
      </m>
      <m in="0">
        <tpls c="3">
          <tpl fld="0" item="0"/>
          <tpl fld="1" item="385"/>
          <tpl fld="4" item="35"/>
        </tpls>
      </m>
      <m in="0">
        <tpls c="3">
          <tpl fld="0" item="0"/>
          <tpl fld="1" item="136"/>
          <tpl fld="4" item="31"/>
        </tpls>
      </m>
      <m in="0">
        <tpls c="3">
          <tpl fld="0" item="0"/>
          <tpl fld="1" item="340"/>
          <tpl fld="4" item="33"/>
        </tpls>
      </m>
      <m in="0">
        <tpls c="3">
          <tpl fld="0" item="0"/>
          <tpl fld="1" item="257"/>
          <tpl fld="4" item="24"/>
        </tpls>
      </m>
      <m in="0">
        <tpls c="3">
          <tpl fld="0" item="0"/>
          <tpl fld="1" item="127"/>
          <tpl fld="4" item="22"/>
        </tpls>
      </m>
      <m in="0">
        <tpls c="3">
          <tpl fld="0" item="0"/>
          <tpl fld="1" item="257"/>
          <tpl fld="4" item="31"/>
        </tpls>
      </m>
      <m in="0">
        <tpls c="3">
          <tpl fld="0" item="0"/>
          <tpl fld="1" item="217"/>
          <tpl fld="4" item="33"/>
        </tpls>
      </m>
      <m in="0">
        <tpls c="3">
          <tpl fld="0" item="0"/>
          <tpl fld="1" item="339"/>
          <tpl fld="4" item="30"/>
        </tpls>
      </m>
      <n v="8" in="0">
        <tpls c="3">
          <tpl fld="0" item="0"/>
          <tpl fld="1" item="79"/>
          <tpl fld="4" item="24"/>
        </tpls>
      </n>
      <m in="0">
        <tpls c="3">
          <tpl fld="0" item="0"/>
          <tpl fld="1" item="45"/>
          <tpl fld="4" item="32"/>
        </tpls>
      </m>
      <m in="0">
        <tpls c="3">
          <tpl fld="0" item="0"/>
          <tpl fld="1" item="46"/>
          <tpl fld="4" item="31"/>
        </tpls>
      </m>
      <m in="0">
        <tpls c="3">
          <tpl fld="0" item="0"/>
          <tpl fld="1" item="327"/>
          <tpl fld="4" item="31"/>
        </tpls>
      </m>
      <n v="7" in="0">
        <tpls c="3">
          <tpl fld="0" item="0"/>
          <tpl fld="1" item="447"/>
          <tpl fld="4" item="33"/>
        </tpls>
      </n>
      <m in="0">
        <tpls c="3">
          <tpl fld="0" item="0"/>
          <tpl fld="1" item="1"/>
          <tpl fld="4" item="30"/>
        </tpls>
      </m>
      <m in="0">
        <tpls c="3">
          <tpl fld="0" item="0"/>
          <tpl fld="1" item="238"/>
          <tpl fld="4" item="23"/>
        </tpls>
      </m>
      <n v="227" in="0">
        <tpls c="3">
          <tpl fld="0" item="0"/>
          <tpl fld="1" item="279"/>
          <tpl fld="4" item="25"/>
        </tpls>
      </n>
      <m in="0">
        <tpls c="3">
          <tpl fld="0" item="0"/>
          <tpl fld="1" item="271"/>
          <tpl fld="4" item="31"/>
        </tpls>
      </m>
      <m in="0">
        <tpls c="3">
          <tpl fld="0" item="0"/>
          <tpl fld="1" item="238"/>
          <tpl fld="4" item="29"/>
        </tpls>
      </m>
      <m in="0">
        <tpls c="3">
          <tpl fld="0" item="0"/>
          <tpl fld="1" item="388"/>
          <tpl fld="4" item="26"/>
        </tpls>
      </m>
      <m in="0">
        <tpls c="3">
          <tpl fld="0" item="0"/>
          <tpl fld="1" item="121"/>
          <tpl fld="4" item="33"/>
        </tpls>
      </m>
      <m in="0">
        <tpls c="3">
          <tpl fld="0" item="0"/>
          <tpl fld="1" item="370"/>
          <tpl fld="4" item="30"/>
        </tpls>
      </m>
      <n v="385" in="0">
        <tpls c="3">
          <tpl fld="0" item="0"/>
          <tpl fld="1" item="125"/>
          <tpl fld="4" item="29"/>
        </tpls>
      </n>
      <m in="0">
        <tpls c="3">
          <tpl fld="0" item="0"/>
          <tpl fld="1" item="23"/>
          <tpl fld="4" item="32"/>
        </tpls>
      </m>
      <m in="0">
        <tpls c="3">
          <tpl fld="0" item="0"/>
          <tpl fld="1" item="283"/>
          <tpl fld="4" item="32"/>
        </tpls>
      </m>
      <m in="0">
        <tpls c="3">
          <tpl fld="0" item="0"/>
          <tpl fld="1" item="56"/>
          <tpl fld="4" item="31"/>
        </tpls>
      </m>
      <m in="0">
        <tpls c="3">
          <tpl fld="0" item="0"/>
          <tpl fld="1" item="15"/>
          <tpl fld="4" item="33"/>
        </tpls>
      </m>
      <m in="0">
        <tpls c="3">
          <tpl fld="0" item="0"/>
          <tpl fld="1" item="390"/>
          <tpl fld="4" item="34"/>
        </tpls>
      </m>
      <n v="7" in="0">
        <tpls c="3">
          <tpl fld="0" item="0"/>
          <tpl fld="1" item="217"/>
          <tpl fld="4" item="15"/>
        </tpls>
      </n>
      <m in="0">
        <tpls c="3">
          <tpl fld="0" item="0"/>
          <tpl fld="1" item="409"/>
          <tpl fld="4" item="30"/>
        </tpls>
      </m>
      <m in="0">
        <tpls c="3">
          <tpl fld="0" item="0"/>
          <tpl fld="1" item="65"/>
          <tpl fld="4" item="35"/>
        </tpls>
      </m>
      <n v="12" in="0">
        <tpls c="3">
          <tpl fld="0" item="0"/>
          <tpl fld="1" item="325"/>
          <tpl fld="4" item="24"/>
        </tpls>
      </n>
      <m in="0">
        <tpls c="3">
          <tpl fld="0" item="0"/>
          <tpl fld="1" item="49"/>
          <tpl fld="4" item="34"/>
        </tpls>
      </m>
      <m in="0">
        <tpls c="3">
          <tpl fld="0" item="0"/>
          <tpl fld="1" item="91"/>
          <tpl fld="4" item="35"/>
        </tpls>
      </m>
      <n v="10" in="0">
        <tpls c="3">
          <tpl fld="0" item="0"/>
          <tpl fld="1" item="206"/>
          <tpl fld="4" item="26"/>
        </tpls>
      </n>
      <m in="0">
        <tpls c="3">
          <tpl fld="0" item="0"/>
          <tpl fld="1" item="321"/>
          <tpl fld="4" item="32"/>
        </tpls>
      </m>
      <m in="0">
        <tpls c="3">
          <tpl fld="0" item="0"/>
          <tpl fld="1" item="155"/>
          <tpl fld="4" item="24"/>
        </tpls>
      </m>
      <n v="3" in="0">
        <tpls c="3">
          <tpl fld="0" item="0"/>
          <tpl fld="1" item="77"/>
          <tpl fld="4" item="33"/>
        </tpls>
      </n>
      <m in="0">
        <tpls c="3">
          <tpl fld="0" item="0"/>
          <tpl fld="1" item="361"/>
          <tpl fld="4" item="30"/>
        </tpls>
      </m>
      <m in="0">
        <tpls c="3">
          <tpl fld="0" item="0"/>
          <tpl fld="1" item="184"/>
          <tpl fld="4" item="35"/>
        </tpls>
      </m>
      <m in="0">
        <tpls c="3">
          <tpl fld="0" item="0"/>
          <tpl fld="1" item="133"/>
          <tpl fld="4" item="26"/>
        </tpls>
      </m>
      <n v="206" in="0">
        <tpls c="3">
          <tpl fld="0" item="0"/>
          <tpl fld="1" item="281"/>
          <tpl fld="4" item="24"/>
        </tpls>
      </n>
      <m in="0">
        <tpls c="3">
          <tpl fld="0" item="0"/>
          <tpl fld="1" item="327"/>
          <tpl fld="4" item="32"/>
        </tpls>
      </m>
      <m in="0">
        <tpls c="3">
          <tpl fld="0" item="0"/>
          <tpl fld="1" item="324"/>
          <tpl fld="4" item="32"/>
        </tpls>
      </m>
      <n v="1" in="0">
        <tpls c="3">
          <tpl fld="0" item="0"/>
          <tpl fld="1" item="432"/>
          <tpl fld="4" item="33"/>
        </tpls>
      </n>
      <m in="0">
        <tpls c="3">
          <tpl fld="0" item="0"/>
          <tpl fld="1" item="146"/>
          <tpl fld="4" item="30"/>
        </tpls>
      </m>
      <m in="0">
        <tpls c="3">
          <tpl fld="0" item="0"/>
          <tpl fld="1" item="16"/>
          <tpl fld="4" item="17"/>
        </tpls>
      </m>
      <n v="16" in="0">
        <tpls c="3">
          <tpl fld="0" item="0"/>
          <tpl fld="1" item="67"/>
          <tpl fld="4" item="26"/>
        </tpls>
      </n>
      <m in="0">
        <tpls c="3">
          <tpl fld="0" item="0"/>
          <tpl fld="1" item="74"/>
          <tpl fld="4" item="31"/>
        </tpls>
      </m>
      <m in="0">
        <tpls c="3">
          <tpl fld="0" item="0"/>
          <tpl fld="1" item="31"/>
          <tpl fld="4" item="26"/>
        </tpls>
      </m>
      <m in="0">
        <tpls c="3">
          <tpl fld="0" item="0"/>
          <tpl fld="1" item="100"/>
          <tpl fld="4" item="31"/>
        </tpls>
      </m>
      <m in="0">
        <tpls c="3">
          <tpl fld="0" item="0"/>
          <tpl fld="1" item="165"/>
          <tpl fld="4" item="30"/>
        </tpls>
      </m>
      <m in="0">
        <tpls c="3">
          <tpl fld="0" item="0"/>
          <tpl fld="1" item="89"/>
          <tpl fld="4" item="34"/>
        </tpls>
      </m>
      <n v="98" in="0">
        <tpls c="3">
          <tpl fld="0" item="0"/>
          <tpl fld="1" item="28"/>
          <tpl fld="4" item="25"/>
        </tpls>
      </n>
      <n v="2" in="0">
        <tpls c="3">
          <tpl fld="0" item="0"/>
          <tpl fld="1" item="325"/>
          <tpl fld="4" item="26"/>
        </tpls>
      </n>
      <n v="14" in="0">
        <tpls c="3">
          <tpl fld="0" item="0"/>
          <tpl fld="1" item="246"/>
          <tpl fld="4" item="24"/>
        </tpls>
      </n>
      <m in="0">
        <tpls c="3">
          <tpl fld="0" item="0"/>
          <tpl fld="1" item="215"/>
          <tpl fld="4" item="32"/>
        </tpls>
      </m>
      <m in="0">
        <tpls c="3">
          <tpl fld="0" item="0"/>
          <tpl fld="1" item="265"/>
          <tpl fld="4" item="33"/>
        </tpls>
      </m>
      <n v="1" in="0">
        <tpls c="3">
          <tpl fld="0" item="0"/>
          <tpl fld="1" item="417"/>
          <tpl fld="4" item="30"/>
        </tpls>
      </n>
      <m in="0">
        <tpls c="3">
          <tpl fld="0" item="0"/>
          <tpl fld="1" item="235"/>
          <tpl fld="4" item="35"/>
        </tpls>
      </m>
      <m in="0">
        <tpls c="3">
          <tpl fld="0" item="0"/>
          <tpl fld="1" item="96"/>
          <tpl fld="4" item="30"/>
        </tpls>
      </m>
      <m in="0">
        <tpls c="3">
          <tpl fld="0" item="0"/>
          <tpl fld="1" item="423"/>
          <tpl fld="4" item="35"/>
        </tpls>
      </m>
      <m in="0">
        <tpls c="3">
          <tpl fld="0" item="0"/>
          <tpl fld="1" item="10"/>
          <tpl fld="4" item="32"/>
        </tpls>
      </m>
      <m in="0">
        <tpls c="3">
          <tpl fld="0" item="0"/>
          <tpl fld="1" item="301"/>
          <tpl fld="4" item="34"/>
        </tpls>
      </m>
      <m in="0">
        <tpls c="3">
          <tpl fld="0" item="0"/>
          <tpl fld="1" item="378"/>
          <tpl fld="4" item="35"/>
        </tpls>
      </m>
      <m in="0">
        <tpls c="3">
          <tpl fld="0" item="0"/>
          <tpl fld="1" item="20"/>
          <tpl fld="4" item="34"/>
        </tpls>
      </m>
      <n v="7" in="0">
        <tpls c="3">
          <tpl fld="0" item="0"/>
          <tpl fld="1" item="258"/>
          <tpl fld="4" item="28"/>
        </tpls>
      </n>
      <m in="0">
        <tpls c="3">
          <tpl fld="0" item="0"/>
          <tpl fld="1" item="165"/>
          <tpl fld="4" item="34"/>
        </tpls>
      </m>
      <m in="0">
        <tpls c="3">
          <tpl fld="0" item="0"/>
          <tpl fld="1" item="327"/>
          <tpl fld="4" item="35"/>
        </tpls>
      </m>
      <m in="0">
        <tpls c="3">
          <tpl fld="0" item="0"/>
          <tpl fld="1" item="115"/>
          <tpl fld="4" item="17"/>
        </tpls>
      </m>
      <m in="0">
        <tpls c="3">
          <tpl fld="0" item="0"/>
          <tpl fld="1" item="359"/>
          <tpl fld="4" item="30"/>
        </tpls>
      </m>
      <m in="0">
        <tpls c="3">
          <tpl fld="0" item="0"/>
          <tpl fld="1" item="170"/>
          <tpl fld="4" item="35"/>
        </tpls>
      </m>
      <m in="0">
        <tpls c="3">
          <tpl fld="0" item="0"/>
          <tpl fld="1" item="278"/>
          <tpl fld="4" item="34"/>
        </tpls>
      </m>
      <m in="0">
        <tpls c="3">
          <tpl fld="0" item="0"/>
          <tpl fld="1" item="223"/>
          <tpl fld="4" item="33"/>
        </tpls>
      </m>
      <m in="0">
        <tpls c="3">
          <tpl fld="0" item="0"/>
          <tpl fld="1" item="438"/>
          <tpl fld="4" item="35"/>
        </tpls>
      </m>
      <m in="0">
        <tpls c="3">
          <tpl fld="0" item="0"/>
          <tpl fld="1" item="101"/>
          <tpl fld="4" item="30"/>
        </tpls>
      </m>
      <m in="0">
        <tpls c="3">
          <tpl fld="0" item="0"/>
          <tpl fld="1" item="106"/>
          <tpl fld="4" item="33"/>
        </tpls>
      </m>
      <n v="1" in="0">
        <tpls c="3">
          <tpl fld="0" item="0"/>
          <tpl fld="1" item="305"/>
          <tpl fld="4" item="26"/>
        </tpls>
      </n>
      <n v="391" in="0">
        <tpls c="3">
          <tpl fld="0" item="0"/>
          <tpl fld="1" item="160"/>
          <tpl fld="4" item="24"/>
        </tpls>
      </n>
      <m in="0">
        <tpls c="3">
          <tpl fld="0" item="0"/>
          <tpl fld="1" item="220"/>
          <tpl fld="4" item="31"/>
        </tpls>
      </m>
      <m in="0">
        <tpls c="3">
          <tpl fld="0" item="0"/>
          <tpl fld="1" item="403"/>
          <tpl fld="4" item="30"/>
        </tpls>
      </m>
      <m in="0">
        <tpls c="3">
          <tpl fld="0" item="0"/>
          <tpl fld="1" item="327"/>
          <tpl fld="4" item="34"/>
        </tpls>
      </m>
      <n v="4" in="0">
        <tpls c="3">
          <tpl fld="0" item="0"/>
          <tpl fld="1" item="249"/>
          <tpl fld="4" item="26"/>
        </tpls>
      </n>
      <m in="0">
        <tpls c="3">
          <tpl fld="0" item="0"/>
          <tpl fld="1" item="443"/>
          <tpl fld="4" item="31"/>
        </tpls>
      </m>
      <m in="0">
        <tpls c="3">
          <tpl fld="0" item="0"/>
          <tpl fld="1" item="293"/>
          <tpl fld="4" item="24"/>
        </tpls>
      </m>
      <m in="0">
        <tpls c="3">
          <tpl fld="0" item="0"/>
          <tpl fld="1" item="28"/>
          <tpl fld="4" item="31"/>
        </tpls>
      </m>
      <m in="0">
        <tpls c="3">
          <tpl fld="0" item="0"/>
          <tpl fld="1" item="200"/>
          <tpl fld="4" item="33"/>
        </tpls>
      </m>
      <n v="1" in="0">
        <tpls c="3">
          <tpl fld="0" item="0"/>
          <tpl fld="1" item="149"/>
          <tpl fld="4" item="30"/>
        </tpls>
      </n>
      <m in="0">
        <tpls c="3">
          <tpl fld="0" item="0"/>
          <tpl fld="1" item="215"/>
          <tpl fld="4" item="34"/>
        </tpls>
      </m>
      <n v="181" in="0">
        <tpls c="3">
          <tpl fld="0" item="0"/>
          <tpl fld="1" item="85"/>
          <tpl fld="4" item="24"/>
        </tpls>
      </n>
      <n v="67" in="0">
        <tpls c="3">
          <tpl fld="0" item="0"/>
          <tpl fld="1" item="282"/>
          <tpl fld="4" item="25"/>
        </tpls>
      </n>
      <m in="0">
        <tpls c="3">
          <tpl fld="0" item="0"/>
          <tpl fld="1" item="63"/>
          <tpl fld="4" item="32"/>
        </tpls>
      </m>
      <m in="0">
        <tpls c="3">
          <tpl fld="0" item="0"/>
          <tpl fld="1" item="348"/>
          <tpl fld="4" item="32"/>
        </tpls>
      </m>
      <m in="0">
        <tpls c="3">
          <tpl fld="0" item="0"/>
          <tpl fld="1" item="214"/>
          <tpl fld="4" item="33"/>
        </tpls>
      </m>
      <m in="0">
        <tpls c="3">
          <tpl fld="0" item="0"/>
          <tpl fld="1" item="137"/>
          <tpl fld="4" item="30"/>
        </tpls>
      </m>
      <n v="85" in="0">
        <tpls c="3">
          <tpl fld="0" item="0"/>
          <tpl fld="1" item="330"/>
          <tpl fld="4" item="24"/>
        </tpls>
      </n>
      <m in="0">
        <tpls c="3">
          <tpl fld="0" item="0"/>
          <tpl fld="1" item="232"/>
          <tpl fld="4" item="32"/>
        </tpls>
      </m>
      <n v="11" in="0">
        <tpls c="3">
          <tpl fld="0" item="0"/>
          <tpl fld="1" item="120"/>
          <tpl fld="4" item="17"/>
        </tpls>
      </n>
      <m in="0">
        <tpls c="3">
          <tpl fld="0" item="0"/>
          <tpl fld="1" item="429"/>
          <tpl fld="4" item="32"/>
        </tpls>
      </m>
      <m in="0">
        <tpls c="3">
          <tpl fld="0" item="0"/>
          <tpl fld="1" item="314"/>
          <tpl fld="4" item="33"/>
        </tpls>
      </m>
      <n v="2" in="0">
        <tpls c="3">
          <tpl fld="0" item="0"/>
          <tpl fld="1" item="262"/>
          <tpl fld="4" item="30"/>
        </tpls>
      </n>
      <m in="0">
        <tpls c="3">
          <tpl fld="0" item="0"/>
          <tpl fld="1" item="39"/>
          <tpl fld="4" item="34"/>
        </tpls>
      </m>
      <n v="2" in="0">
        <tpls c="3">
          <tpl fld="0" item="0"/>
          <tpl fld="1" item="85"/>
          <tpl fld="4" item="33"/>
        </tpls>
      </n>
      <m in="0">
        <tpls c="3">
          <tpl fld="0" item="0"/>
          <tpl fld="1" item="325"/>
          <tpl fld="4" item="35"/>
        </tpls>
      </m>
      <n v="3" in="0">
        <tpls c="3">
          <tpl fld="0" item="0"/>
          <tpl fld="1" item="89"/>
          <tpl fld="4" item="21"/>
        </tpls>
      </n>
      <m in="0">
        <tpls c="3">
          <tpl fld="0" item="0"/>
          <tpl fld="1" item="441"/>
          <tpl fld="4" item="30"/>
        </tpls>
      </m>
      <m in="0">
        <tpls c="3">
          <tpl fld="0" item="0"/>
          <tpl fld="1" item="290"/>
          <tpl fld="4" item="35"/>
        </tpls>
      </m>
      <m in="0">
        <tpls c="3">
          <tpl fld="0" item="0"/>
          <tpl fld="1" item="123"/>
          <tpl fld="4" item="32"/>
        </tpls>
      </m>
      <m in="0">
        <tpls c="3">
          <tpl fld="0" item="0"/>
          <tpl fld="1" item="237"/>
          <tpl fld="4" item="34"/>
        </tpls>
      </m>
      <m in="0">
        <tpls c="3">
          <tpl fld="0" item="0"/>
          <tpl fld="1" item="322"/>
          <tpl fld="4" item="35"/>
        </tpls>
      </m>
      <m in="0">
        <tpls c="3">
          <tpl fld="0" item="0"/>
          <tpl fld="1" item="211"/>
          <tpl fld="4" item="18"/>
        </tpls>
      </m>
      <n v="21" in="0">
        <tpls c="3">
          <tpl fld="0" item="0"/>
          <tpl fld="1" item="431"/>
          <tpl fld="4" item="24"/>
        </tpls>
      </n>
      <m in="0">
        <tpls c="3">
          <tpl fld="0" item="0"/>
          <tpl fld="1" item="363"/>
          <tpl fld="4" item="15"/>
        </tpls>
      </m>
      <m in="0">
        <tpls c="3">
          <tpl fld="0" item="0"/>
          <tpl fld="1" item="429"/>
          <tpl fld="4" item="31"/>
        </tpls>
      </m>
      <n v="1" in="0">
        <tpls c="3">
          <tpl fld="0" item="0"/>
          <tpl fld="1" item="427"/>
          <tpl fld="4" item="33"/>
        </tpls>
      </n>
      <m in="0">
        <tpls c="3">
          <tpl fld="0" item="0"/>
          <tpl fld="1" item="407"/>
          <tpl fld="4" item="30"/>
        </tpls>
      </m>
      <m in="0">
        <tpls c="3">
          <tpl fld="0" item="0"/>
          <tpl fld="1" item="122"/>
          <tpl fld="4" item="24"/>
        </tpls>
      </m>
      <m in="0">
        <tpls c="3">
          <tpl fld="0" item="0"/>
          <tpl fld="1" item="434"/>
          <tpl fld="4" item="31"/>
        </tpls>
      </m>
      <m in="0">
        <tpls c="3">
          <tpl fld="0" item="0"/>
          <tpl fld="1" item="119"/>
          <tpl fld="4" item="31"/>
        </tpls>
      </m>
      <m in="0">
        <tpls c="3">
          <tpl fld="0" item="0"/>
          <tpl fld="1" item="244"/>
          <tpl fld="4" item="28"/>
        </tpls>
      </m>
      <m in="0">
        <tpls c="3">
          <tpl fld="0" item="0"/>
          <tpl fld="1" item="19"/>
          <tpl fld="4" item="33"/>
        </tpls>
      </m>
      <m in="0">
        <tpls c="3">
          <tpl fld="0" item="0"/>
          <tpl fld="1" item="158"/>
          <tpl fld="4" item="30"/>
        </tpls>
      </m>
      <m in="0">
        <tpls c="3">
          <tpl fld="0" item="0"/>
          <tpl fld="1" item="243"/>
          <tpl fld="4" item="26"/>
        </tpls>
      </m>
      <n v="1" in="0">
        <tpls c="3">
          <tpl fld="0" item="0"/>
          <tpl fld="1" item="157"/>
          <tpl fld="4" item="25"/>
        </tpls>
      </n>
      <m in="0">
        <tpls c="3">
          <tpl fld="0" item="0"/>
          <tpl fld="1" item="278"/>
          <tpl fld="4" item="23"/>
        </tpls>
      </m>
      <n v="569" in="0">
        <tpls c="3">
          <tpl fld="0" item="0"/>
          <tpl fld="1" item="364"/>
          <tpl fld="4" item="25"/>
        </tpls>
      </n>
      <n v="1" in="0">
        <tpls c="3">
          <tpl fld="0" item="0"/>
          <tpl fld="1" item="124"/>
          <tpl fld="4" item="24"/>
        </tpls>
      </n>
      <m in="0">
        <tpls c="3">
          <tpl fld="0" item="0"/>
          <tpl fld="1" item="239"/>
          <tpl fld="4" item="33"/>
        </tpls>
      </m>
      <n v="3" in="0">
        <tpls c="3">
          <tpl fld="0" item="0"/>
          <tpl fld="1" item="174"/>
          <tpl fld="4" item="30"/>
        </tpls>
      </n>
      <m in="0">
        <tpls c="3">
          <tpl fld="0" item="0"/>
          <tpl fld="1" item="171"/>
          <tpl fld="4" item="16"/>
        </tpls>
      </m>
      <n v="68" in="0">
        <tpls c="3">
          <tpl fld="0" item="0"/>
          <tpl fld="1" item="382"/>
          <tpl fld="4" item="27"/>
        </tpls>
      </n>
      <m in="0">
        <tpls c="3">
          <tpl fld="0" item="0"/>
          <tpl fld="1" item="175"/>
          <tpl fld="4" item="32"/>
        </tpls>
      </m>
      <m in="0">
        <tpls c="3">
          <tpl fld="0" item="0"/>
          <tpl fld="1" item="71"/>
          <tpl fld="4" item="31"/>
        </tpls>
      </m>
      <m in="0">
        <tpls c="3">
          <tpl fld="0" item="0"/>
          <tpl fld="1" item="222"/>
          <tpl fld="4" item="31"/>
        </tpls>
      </m>
      <m in="0">
        <tpls c="3">
          <tpl fld="0" item="0"/>
          <tpl fld="1" item="422"/>
          <tpl fld="4" item="30"/>
        </tpls>
      </m>
      <m in="0">
        <tpls c="3">
          <tpl fld="0" item="0"/>
          <tpl fld="1" item="52"/>
          <tpl fld="4" item="34"/>
        </tpls>
      </m>
      <n v="14" in="0">
        <tpls c="3">
          <tpl fld="0" item="0"/>
          <tpl fld="1" item="364"/>
          <tpl fld="4" item="22"/>
        </tpls>
      </n>
      <m in="0">
        <tpls c="3">
          <tpl fld="0" item="0"/>
          <tpl fld="1" item="275"/>
          <tpl fld="4" item="34"/>
        </tpls>
      </m>
      <m in="0">
        <tpls c="3">
          <tpl fld="0" item="0"/>
          <tpl fld="1" item="376"/>
          <tpl fld="4" item="35"/>
        </tpls>
      </m>
      <m in="0">
        <tpls c="3">
          <tpl fld="0" item="0"/>
          <tpl fld="1" item="212"/>
          <tpl fld="4" item="22"/>
        </tpls>
      </m>
      <m in="0">
        <tpls c="3">
          <tpl fld="0" item="0"/>
          <tpl fld="1" item="222"/>
          <tpl fld="4" item="34"/>
        </tpls>
      </m>
      <m in="0">
        <tpls c="3">
          <tpl fld="0" item="0"/>
          <tpl fld="1" item="426"/>
          <tpl fld="4" item="35"/>
        </tpls>
      </m>
      <m in="0">
        <tpls c="3">
          <tpl fld="0" item="0"/>
          <tpl fld="1" item="167"/>
          <tpl fld="4" item="33"/>
        </tpls>
      </m>
      <n v="10" in="0">
        <tpls c="3">
          <tpl fld="0" item="0"/>
          <tpl fld="1" item="181"/>
          <tpl fld="4" item="23"/>
        </tpls>
      </n>
      <m in="0">
        <tpls c="3">
          <tpl fld="0" item="0"/>
          <tpl fld="1" item="336"/>
          <tpl fld="4" item="24"/>
        </tpls>
      </m>
      <m in="0">
        <tpls c="3">
          <tpl fld="0" item="0"/>
          <tpl fld="1" item="73"/>
          <tpl fld="4" item="32"/>
        </tpls>
      </m>
      <n v="13" in="0">
        <tpls c="3">
          <tpl fld="0" item="0"/>
          <tpl fld="1" item="45"/>
          <tpl fld="4" item="26"/>
        </tpls>
      </n>
      <m in="0">
        <tpls c="3">
          <tpl fld="0" item="0"/>
          <tpl fld="1" item="137"/>
          <tpl fld="4" item="33"/>
        </tpls>
      </m>
      <m in="0">
        <tpls c="3">
          <tpl fld="0" item="0"/>
          <tpl fld="1" item="307"/>
          <tpl fld="4" item="30"/>
        </tpls>
      </m>
      <n v="738" in="0">
        <tpls c="3">
          <tpl fld="0" item="0"/>
          <tpl fld="1" item="144"/>
          <tpl fld="4" item="23"/>
        </tpls>
      </n>
      <n v="9" in="0">
        <tpls c="3">
          <tpl fld="0" item="0"/>
          <tpl fld="1" item="97"/>
          <tpl fld="4" item="24"/>
        </tpls>
      </n>
      <m in="0">
        <tpls c="3">
          <tpl fld="0" item="0"/>
          <tpl fld="1" item="217"/>
          <tpl fld="4" item="32"/>
        </tpls>
      </m>
      <m in="0">
        <tpls c="3">
          <tpl fld="0" item="0"/>
          <tpl fld="1" item="242"/>
          <tpl fld="4" item="31"/>
        </tpls>
      </m>
      <m in="0">
        <tpls c="3">
          <tpl fld="0" item="0"/>
          <tpl fld="1" item="443"/>
          <tpl fld="4" item="33"/>
        </tpls>
      </m>
      <m in="0">
        <tpls c="3">
          <tpl fld="0" item="0"/>
          <tpl fld="1" item="368"/>
          <tpl fld="4" item="30"/>
        </tpls>
      </m>
      <n v="149" in="0">
        <tpls c="3">
          <tpl fld="0" item="0"/>
          <tpl fld="1" item="409"/>
          <tpl fld="4" item="15"/>
        </tpls>
      </n>
      <m in="0">
        <tpls c="3">
          <tpl fld="0" item="0"/>
          <tpl fld="1" item="391"/>
          <tpl fld="4" item="30"/>
        </tpls>
      </m>
      <m in="0">
        <tpls c="3">
          <tpl fld="0" item="0"/>
          <tpl fld="1" item="189"/>
          <tpl fld="4" item="31"/>
        </tpls>
      </m>
      <n v="82" in="0">
        <tpls c="3">
          <tpl fld="0" item="0"/>
          <tpl fld="1" item="305"/>
          <tpl fld="4" item="25"/>
        </tpls>
      </n>
      <m in="0">
        <tpls c="3">
          <tpl fld="0" item="0"/>
          <tpl fld="1" item="216"/>
          <tpl fld="4" item="33"/>
        </tpls>
      </m>
      <n v="6" in="0">
        <tpls c="3">
          <tpl fld="0" item="0"/>
          <tpl fld="1" item="246"/>
          <tpl fld="4" item="21"/>
        </tpls>
      </n>
      <m in="0">
        <tpls c="3">
          <tpl fld="0" item="0"/>
          <tpl fld="1" item="248"/>
          <tpl fld="4" item="31"/>
        </tpls>
      </m>
      <n v="7" in="0">
        <tpls c="3">
          <tpl fld="0" item="0"/>
          <tpl fld="1" item="410"/>
          <tpl fld="4" item="28"/>
        </tpls>
      </n>
      <n v="1" in="0">
        <tpls c="3">
          <tpl fld="0" item="0"/>
          <tpl fld="1" item="410"/>
          <tpl fld="4" item="33"/>
        </tpls>
      </n>
      <m in="0">
        <tpls c="3">
          <tpl fld="0" item="0"/>
          <tpl fld="1" item="15"/>
          <tpl fld="4" item="30"/>
        </tpls>
      </m>
      <n v="402" in="0">
        <tpls c="3">
          <tpl fld="0" item="0"/>
          <tpl fld="1" item="256"/>
          <tpl fld="4" item="27"/>
        </tpls>
      </n>
      <m in="0">
        <tpls c="3">
          <tpl fld="0" item="0"/>
          <tpl fld="1" item="268"/>
          <tpl fld="4" item="34"/>
        </tpls>
      </m>
      <m in="0">
        <tpls c="3">
          <tpl fld="0" item="0"/>
          <tpl fld="1" item="237"/>
          <tpl fld="4" item="25"/>
        </tpls>
      </m>
      <m in="0">
        <tpls c="3">
          <tpl fld="0" item="0"/>
          <tpl fld="1" item="238"/>
          <tpl fld="4" item="34"/>
        </tpls>
      </m>
      <n v="45" in="0">
        <tpls c="3">
          <tpl fld="0" item="0"/>
          <tpl fld="1" item="237"/>
          <tpl fld="4" item="27"/>
        </tpls>
      </n>
      <m in="0">
        <tpls c="3">
          <tpl fld="0" item="0"/>
          <tpl fld="1" item="211"/>
          <tpl fld="4" item="33"/>
        </tpls>
      </m>
      <n v="1" in="0">
        <tpls c="3">
          <tpl fld="0" item="0"/>
          <tpl fld="1" item="150"/>
          <tpl fld="4" item="31"/>
        </tpls>
      </n>
      <m in="0">
        <tpls c="3">
          <tpl fld="0" item="0"/>
          <tpl fld="1" item="1"/>
          <tpl fld="4" item="32"/>
        </tpls>
      </m>
      <m in="0">
        <tpls c="3">
          <tpl fld="0" item="0"/>
          <tpl fld="1" item="191"/>
          <tpl fld="4" item="33"/>
        </tpls>
      </m>
      <m in="0">
        <tpls c="3">
          <tpl fld="0" item="0"/>
          <tpl fld="1" item="420"/>
          <tpl fld="4" item="34"/>
        </tpls>
      </m>
      <n v="1" in="0">
        <tpls c="3">
          <tpl fld="0" item="0"/>
          <tpl fld="1" item="335"/>
          <tpl fld="4" item="26"/>
        </tpls>
      </n>
      <m in="0">
        <tpls c="3">
          <tpl fld="0" item="0"/>
          <tpl fld="1" item="247"/>
          <tpl fld="4" item="24"/>
        </tpls>
      </m>
      <n v="96" in="0">
        <tpls c="3">
          <tpl fld="0" item="0"/>
          <tpl fld="1" item="343"/>
          <tpl fld="4" item="24"/>
        </tpls>
      </n>
      <m in="0">
        <tpls c="3">
          <tpl fld="0" item="0"/>
          <tpl fld="1" item="323"/>
          <tpl fld="4" item="30"/>
        </tpls>
      </m>
      <m in="0">
        <tpls c="3">
          <tpl fld="0" item="0"/>
          <tpl fld="1" item="129"/>
          <tpl fld="4" item="28"/>
        </tpls>
      </m>
      <m in="0">
        <tpls c="3">
          <tpl fld="0" item="0"/>
          <tpl fld="1" item="316"/>
          <tpl fld="4" item="32"/>
        </tpls>
      </m>
      <m in="0">
        <tpls c="3">
          <tpl fld="0" item="0"/>
          <tpl fld="1" item="185"/>
          <tpl fld="4" item="32"/>
        </tpls>
      </m>
      <m in="0">
        <tpls c="3">
          <tpl fld="0" item="0"/>
          <tpl fld="1" item="263"/>
          <tpl fld="4" item="31"/>
        </tpls>
      </m>
      <m in="0">
        <tpls c="3">
          <tpl fld="0" item="0"/>
          <tpl fld="1" item="455"/>
          <tpl fld="4" item="33"/>
        </tpls>
      </m>
      <m in="0">
        <tpls c="3">
          <tpl fld="0" item="0"/>
          <tpl fld="1" item="429"/>
          <tpl fld="4" item="30"/>
        </tpls>
      </m>
      <m in="0">
        <tpls c="3">
          <tpl fld="0" item="0"/>
          <tpl fld="1" item="27"/>
          <tpl fld="4" item="17"/>
        </tpls>
      </m>
      <m in="0">
        <tpls c="3">
          <tpl fld="0" item="0"/>
          <tpl fld="1" item="400"/>
          <tpl fld="4" item="32"/>
        </tpls>
      </m>
      <m in="0">
        <tpls c="3">
          <tpl fld="0" item="0"/>
          <tpl fld="1" item="67"/>
          <tpl fld="4" item="32"/>
        </tpls>
      </m>
      <m in="0">
        <tpls c="3">
          <tpl fld="0" item="0"/>
          <tpl fld="1" item="430"/>
          <tpl fld="4" item="32"/>
        </tpls>
      </m>
      <m in="0">
        <tpls c="3">
          <tpl fld="0" item="0"/>
          <tpl fld="1" item="203"/>
          <tpl fld="4" item="32"/>
        </tpls>
      </m>
      <n v="3" in="0">
        <tpls c="3">
          <tpl fld="0" item="0"/>
          <tpl fld="1" item="132"/>
          <tpl fld="4" item="33"/>
        </tpls>
      </n>
      <m in="0">
        <tpls c="3">
          <tpl fld="0" item="0"/>
          <tpl fld="1" item="365"/>
          <tpl fld="4" item="30"/>
        </tpls>
      </m>
      <m in="0">
        <tpls c="3">
          <tpl fld="0" item="0"/>
          <tpl fld="1" item="84"/>
          <tpl fld="4" item="34"/>
        </tpls>
      </m>
      <m in="0">
        <tpls c="3">
          <tpl fld="0" item="0"/>
          <tpl fld="1" item="92"/>
          <tpl fld="4" item="26"/>
        </tpls>
      </m>
      <m in="0">
        <tpls c="3">
          <tpl fld="0" item="0"/>
          <tpl fld="1" item="105"/>
          <tpl fld="4" item="34"/>
        </tpls>
      </m>
      <m in="0">
        <tpls c="3">
          <tpl fld="0" item="0"/>
          <tpl fld="1" item="152"/>
          <tpl fld="4" item="35"/>
        </tpls>
      </m>
      <m in="0">
        <tpls c="3">
          <tpl fld="0" item="0"/>
          <tpl fld="1" item="456"/>
          <tpl fld="4" item="33"/>
        </tpls>
      </m>
      <m in="0">
        <tpls c="3">
          <tpl fld="0" item="0"/>
          <tpl fld="1" item="445"/>
          <tpl fld="4" item="24"/>
        </tpls>
      </m>
      <m in="0">
        <tpls c="3">
          <tpl fld="0" item="0"/>
          <tpl fld="1" item="206"/>
          <tpl fld="4" item="31"/>
        </tpls>
      </m>
      <m in="0">
        <tpls c="3">
          <tpl fld="0" item="0"/>
          <tpl fld="1" item="4"/>
          <tpl fld="4" item="32"/>
        </tpls>
      </m>
      <m in="0">
        <tpls c="3">
          <tpl fld="0" item="0"/>
          <tpl fld="1" item="211"/>
          <tpl fld="4" item="30"/>
        </tpls>
      </m>
      <m in="0">
        <tpls c="3">
          <tpl fld="0" item="0"/>
          <tpl fld="1" item="350"/>
          <tpl fld="4" item="34"/>
        </tpls>
      </m>
      <m in="0">
        <tpls c="3">
          <tpl fld="0" item="0"/>
          <tpl fld="1" item="170"/>
          <tpl fld="4" item="24"/>
        </tpls>
      </m>
      <m in="0">
        <tpls c="3">
          <tpl fld="0" item="0"/>
          <tpl fld="1" item="440"/>
          <tpl fld="4" item="32"/>
        </tpls>
      </m>
      <m in="0">
        <tpls c="3">
          <tpl fld="0" item="0"/>
          <tpl fld="1" item="314"/>
          <tpl fld="4" item="31"/>
        </tpls>
      </m>
      <m in="0">
        <tpls c="3">
          <tpl fld="0" item="0"/>
          <tpl fld="1" item="195"/>
          <tpl fld="4" item="31"/>
        </tpls>
      </m>
      <n v="3" in="0">
        <tpls c="3">
          <tpl fld="0" item="0"/>
          <tpl fld="1" item="447"/>
          <tpl fld="4" item="30"/>
        </tpls>
      </n>
      <m in="0">
        <tpls c="3">
          <tpl fld="0" item="0"/>
          <tpl fld="1" item="180"/>
          <tpl fld="4" item="34"/>
        </tpls>
      </m>
      <m in="0">
        <tpls c="3">
          <tpl fld="0" item="0"/>
          <tpl fld="1" item="401"/>
          <tpl fld="4" item="29"/>
        </tpls>
      </m>
      <n v="45" in="0">
        <tpls c="3">
          <tpl fld="0" item="0"/>
          <tpl fld="1" item="150"/>
          <tpl fld="4" item="23"/>
        </tpls>
      </n>
      <m in="0">
        <tpls c="3">
          <tpl fld="0" item="0"/>
          <tpl fld="3" item="0"/>
          <tpl fld="4" item="25"/>
        </tpls>
      </m>
      <n v="10" in="0">
        <tpls c="3">
          <tpl fld="0" item="0"/>
          <tpl fld="1" item="151"/>
          <tpl fld="4" item="24"/>
        </tpls>
      </n>
      <m in="0">
        <tpls c="3">
          <tpl fld="0" item="0"/>
          <tpl fld="1" item="189"/>
          <tpl fld="4" item="33"/>
        </tpls>
      </m>
      <m in="0">
        <tpls c="3">
          <tpl fld="0" item="0"/>
          <tpl fld="1" item="129"/>
          <tpl fld="4" item="30"/>
        </tpls>
      </m>
      <n v="65" in="0">
        <tpls c="3">
          <tpl fld="0" item="0"/>
          <tpl fld="1" item="231"/>
          <tpl fld="4" item="29"/>
        </tpls>
      </n>
      <m in="0">
        <tpls c="3">
          <tpl fld="0" item="0"/>
          <tpl fld="1" item="196"/>
          <tpl fld="4" item="24"/>
        </tpls>
      </m>
      <m in="0">
        <tpls c="3">
          <tpl fld="0" item="0"/>
          <tpl fld="1" item="126"/>
          <tpl fld="4" item="31"/>
        </tpls>
      </m>
      <m in="0">
        <tpls c="3">
          <tpl fld="0" item="0"/>
          <tpl fld="1" item="155"/>
          <tpl fld="4" item="31"/>
        </tpls>
      </m>
      <m in="0">
        <tpls c="3">
          <tpl fld="0" item="0"/>
          <tpl fld="1" item="385"/>
          <tpl fld="4" item="32"/>
        </tpls>
      </m>
      <m in="0">
        <tpls c="3">
          <tpl fld="0" item="0"/>
          <tpl fld="1" item="20"/>
          <tpl fld="4" item="33"/>
        </tpls>
      </m>
      <m in="0">
        <tpls c="3">
          <tpl fld="0" item="0"/>
          <tpl fld="1" item="455"/>
          <tpl fld="4" item="30"/>
        </tpls>
      </m>
      <m in="0">
        <tpls c="3">
          <tpl fld="0" item="0"/>
          <tpl fld="1" item="81"/>
          <tpl fld="4" item="34"/>
        </tpls>
      </m>
      <m in="0">
        <tpls c="3">
          <tpl fld="0" item="0"/>
          <tpl fld="1" item="280"/>
          <tpl fld="4" item="34"/>
        </tpls>
      </m>
      <m in="0">
        <tpls c="3">
          <tpl fld="0" item="0"/>
          <tpl fld="1" item="88"/>
          <tpl fld="4" item="35"/>
        </tpls>
      </m>
      <m in="0">
        <tpls c="3">
          <tpl fld="0" item="0"/>
          <tpl fld="1" item="17"/>
          <tpl fld="4" item="30"/>
        </tpls>
      </m>
      <m in="0">
        <tpls c="3">
          <tpl fld="0" item="0"/>
          <tpl fld="1" item="383"/>
          <tpl fld="4" item="35"/>
        </tpls>
      </m>
      <m in="0">
        <tpls c="3">
          <tpl fld="0" item="0"/>
          <tpl fld="1" item="253"/>
          <tpl fld="4" item="28"/>
        </tpls>
      </m>
      <m in="0">
        <tpls c="3">
          <tpl fld="0" item="0"/>
          <tpl fld="1" item="17"/>
          <tpl fld="4" item="34"/>
        </tpls>
      </m>
      <m in="0">
        <tpls c="3">
          <tpl fld="0" item="0"/>
          <tpl fld="1" item="368"/>
          <tpl fld="4" item="35"/>
        </tpls>
      </m>
      <m in="0">
        <tpls c="3">
          <tpl fld="0" item="0"/>
          <tpl fld="1" item="55"/>
          <tpl fld="4" item="33"/>
        </tpls>
      </m>
      <m in="0">
        <tpls c="3">
          <tpl fld="0" item="0"/>
          <tpl fld="1" item="206"/>
          <tpl fld="4" item="35"/>
        </tpls>
      </m>
      <m in="0">
        <tpls c="3">
          <tpl fld="0" item="0"/>
          <tpl fld="1" item="174"/>
          <tpl fld="4" item="34"/>
        </tpls>
      </m>
      <m in="0">
        <tpls c="3">
          <tpl fld="0" item="0"/>
          <tpl fld="1" item="210"/>
          <tpl fld="4" item="33"/>
        </tpls>
      </m>
      <m in="0">
        <tpls c="3">
          <tpl fld="0" item="0"/>
          <tpl fld="1" item="33"/>
          <tpl fld="4" item="35"/>
        </tpls>
      </m>
      <n v="34" in="0">
        <tpls c="3">
          <tpl fld="0" item="0"/>
          <tpl fld="1" item="347"/>
          <tpl fld="4" item="28"/>
        </tpls>
      </n>
      <m in="0">
        <tpls c="3">
          <tpl fld="0" item="0"/>
          <tpl fld="1" item="283"/>
          <tpl fld="4" item="31"/>
        </tpls>
      </m>
      <m in="0">
        <tpls c="3">
          <tpl fld="0" item="0"/>
          <tpl fld="1" item="122"/>
          <tpl fld="4" item="34"/>
        </tpls>
      </m>
      <m in="0">
        <tpls c="3">
          <tpl fld="0" item="0"/>
          <tpl fld="1" item="405"/>
          <tpl fld="4" item="35"/>
        </tpls>
      </m>
      <m in="0">
        <tpls c="3">
          <tpl fld="0" item="0"/>
          <tpl fld="1" item="358"/>
          <tpl fld="4" item="31"/>
        </tpls>
      </m>
      <m in="0">
        <tpls c="3">
          <tpl fld="0" item="0"/>
          <tpl fld="1" item="218"/>
          <tpl fld="4" item="34"/>
        </tpls>
      </m>
      <n v="1" in="0">
        <tpls c="3">
          <tpl fld="0" item="0"/>
          <tpl fld="1" item="287"/>
          <tpl fld="4" item="33"/>
        </tpls>
      </n>
      <m in="0">
        <tpls c="3">
          <tpl fld="0" item="0"/>
          <tpl fld="1" item="117"/>
          <tpl fld="4" item="35"/>
        </tpls>
      </m>
      <m in="0">
        <tpls c="3">
          <tpl fld="0" item="0"/>
          <tpl fld="1" item="384"/>
          <tpl fld="4" item="26"/>
        </tpls>
      </m>
      <m in="0">
        <tpls c="3">
          <tpl fld="0" item="0"/>
          <tpl fld="1" item="12"/>
          <tpl fld="4" item="35"/>
        </tpls>
      </m>
      <m in="0">
        <tpls c="3">
          <tpl fld="0" item="0"/>
          <tpl fld="1" item="431"/>
          <tpl fld="4" item="34"/>
        </tpls>
      </m>
      <m in="0">
        <tpls c="3">
          <tpl fld="0" item="0"/>
          <tpl fld="1" item="3"/>
          <tpl fld="4" item="34"/>
        </tpls>
      </m>
      <m in="0">
        <tpls c="3">
          <tpl fld="0" item="0"/>
          <tpl fld="1" item="228"/>
          <tpl fld="4" item="35"/>
        </tpls>
      </m>
      <m in="0">
        <tpls c="3">
          <tpl fld="0" item="0"/>
          <tpl fld="1" item="388"/>
          <tpl fld="4" item="35"/>
        </tpls>
      </m>
      <m in="0">
        <tpls c="3">
          <tpl fld="0" item="0"/>
          <tpl fld="1" item="324"/>
          <tpl fld="4" item="34"/>
        </tpls>
      </m>
      <m in="0">
        <tpls c="3">
          <tpl fld="0" item="0"/>
          <tpl fld="1" item="316"/>
          <tpl fld="4" item="4"/>
        </tpls>
      </m>
      <m in="0">
        <tpls c="3">
          <tpl fld="0" item="0"/>
          <tpl fld="1" item="104"/>
          <tpl fld="4" item="3"/>
        </tpls>
      </m>
      <m in="0">
        <tpls c="3">
          <tpl fld="0" item="0"/>
          <tpl fld="1" item="417"/>
          <tpl fld="4" item="0"/>
        </tpls>
      </m>
      <m in="0">
        <tpls c="3">
          <tpl fld="0" item="0"/>
          <tpl fld="1" item="73"/>
          <tpl fld="4" item="4"/>
        </tpls>
      </m>
      <m in="0">
        <tpls c="3">
          <tpl fld="0" item="0"/>
          <tpl fld="1" item="439"/>
          <tpl fld="4" item="0"/>
        </tpls>
      </m>
      <n v="4" in="0">
        <tpls c="3">
          <tpl fld="0" item="0"/>
          <tpl fld="1" item="331"/>
          <tpl fld="4" item="3"/>
        </tpls>
      </n>
      <m in="0">
        <tpls c="3">
          <tpl fld="0" item="0"/>
          <tpl fld="1" item="9"/>
          <tpl fld="4" item="4"/>
        </tpls>
      </m>
      <m in="0">
        <tpls c="3">
          <tpl fld="0" item="0"/>
          <tpl fld="1" item="403"/>
          <tpl fld="4" item="4"/>
        </tpls>
      </m>
      <m in="0">
        <tpls c="3">
          <tpl fld="0" item="0"/>
          <tpl fld="1" item="93"/>
          <tpl fld="4" item="0"/>
        </tpls>
      </m>
      <m in="0">
        <tpls c="3">
          <tpl fld="0" item="0"/>
          <tpl fld="1" item="206"/>
          <tpl fld="4" item="3"/>
        </tpls>
      </m>
      <m in="0">
        <tpls c="3">
          <tpl fld="0" item="0"/>
          <tpl fld="1" item="44"/>
          <tpl fld="4" item="4"/>
        </tpls>
      </m>
      <m in="0">
        <tpls c="3">
          <tpl fld="0" item="0"/>
          <tpl fld="1" item="268"/>
          <tpl fld="4" item="3"/>
        </tpls>
      </m>
      <m in="0">
        <tpls c="3">
          <tpl fld="0" item="0"/>
          <tpl fld="1" item="41"/>
          <tpl fld="4" item="4"/>
        </tpls>
      </m>
      <m in="0">
        <tpls c="3">
          <tpl fld="0" item="0"/>
          <tpl fld="1" item="291"/>
          <tpl fld="4" item="3"/>
        </tpls>
      </m>
      <m in="0">
        <tpls c="3">
          <tpl fld="0" item="0"/>
          <tpl fld="1" item="386"/>
          <tpl fld="4" item="4"/>
        </tpls>
      </m>
      <n v="1" in="0">
        <tpls c="3">
          <tpl fld="0" item="0"/>
          <tpl fld="1" item="320"/>
          <tpl fld="4" item="3"/>
        </tpls>
      </n>
      <n v="231" in="0">
        <tpls c="3">
          <tpl fld="0" item="0"/>
          <tpl fld="1" item="7"/>
          <tpl fld="4" item="36"/>
        </tpls>
      </n>
      <m in="0">
        <tpls c="3">
          <tpl fld="0" item="0"/>
          <tpl fld="1" item="183"/>
          <tpl fld="4" item="4"/>
        </tpls>
      </m>
      <m in="0">
        <tpls c="3">
          <tpl fld="0" item="0"/>
          <tpl fld="1" item="173"/>
          <tpl fld="4" item="2"/>
        </tpls>
      </m>
      <m in="0">
        <tpls c="3">
          <tpl fld="0" item="0"/>
          <tpl fld="1" item="264"/>
          <tpl fld="4" item="4"/>
        </tpls>
      </m>
      <m in="0">
        <tpls c="3">
          <tpl fld="0" item="0"/>
          <tpl fld="1" item="151"/>
          <tpl fld="4" item="2"/>
        </tpls>
      </m>
      <m in="0">
        <tpls c="3">
          <tpl fld="0" item="0"/>
          <tpl fld="1" item="47"/>
          <tpl fld="4" item="2"/>
        </tpls>
      </m>
      <n v="8" in="0">
        <tpls c="3">
          <tpl fld="0" item="0"/>
          <tpl fld="1" item="279"/>
          <tpl fld="4" item="39"/>
        </tpls>
      </n>
      <n v="256" in="0">
        <tpls c="3">
          <tpl fld="0" item="0"/>
          <tpl fld="1" item="67"/>
          <tpl fld="4" item="37"/>
        </tpls>
      </n>
      <m in="0">
        <tpls c="3">
          <tpl fld="0" item="0"/>
          <tpl fld="1" item="276"/>
          <tpl fld="4" item="2"/>
        </tpls>
      </m>
      <m in="0">
        <tpls c="3">
          <tpl fld="0" item="0"/>
          <tpl fld="1" item="30"/>
          <tpl fld="4" item="2"/>
        </tpls>
      </m>
      <m in="0">
        <tpls c="3">
          <tpl fld="0" item="0"/>
          <tpl fld="1" item="66"/>
          <tpl fld="4" item="36"/>
        </tpls>
      </m>
      <n v="49" in="0">
        <tpls c="3">
          <tpl fld="0" item="0"/>
          <tpl fld="1" item="324"/>
          <tpl fld="4" item="38"/>
        </tpls>
      </n>
      <m in="0">
        <tpls c="3">
          <tpl fld="0" item="0"/>
          <tpl fld="1" item="40"/>
          <tpl fld="4" item="36"/>
        </tpls>
      </m>
      <n v="23" in="0">
        <tpls c="3">
          <tpl fld="0" item="0"/>
          <tpl fld="1" item="356"/>
          <tpl fld="4" item="37"/>
        </tpls>
      </n>
      <m in="0">
        <tpls c="3">
          <tpl fld="0" item="0"/>
          <tpl fld="1" item="37"/>
          <tpl fld="4" item="2"/>
        </tpls>
      </m>
      <m in="0">
        <tpls c="3">
          <tpl fld="0" item="0"/>
          <tpl fld="1" item="24"/>
          <tpl fld="4" item="37"/>
        </tpls>
      </m>
      <m in="0">
        <tpls c="3">
          <tpl fld="0" item="0"/>
          <tpl fld="1" item="191"/>
          <tpl fld="4" item="36"/>
        </tpls>
      </m>
      <m in="0">
        <tpls c="3">
          <tpl fld="0" item="0"/>
          <tpl fld="1" item="109"/>
          <tpl fld="4" item="37"/>
        </tpls>
      </m>
      <n v="379" in="0">
        <tpls c="3">
          <tpl fld="0" item="0"/>
          <tpl fld="1" item="68"/>
          <tpl fld="4" item="36"/>
        </tpls>
      </n>
      <m in="0">
        <tpls c="3">
          <tpl fld="0" item="0"/>
          <tpl fld="1" item="298"/>
          <tpl fld="4" item="37"/>
        </tpls>
      </m>
      <m in="0">
        <tpls c="3">
          <tpl fld="0" item="0"/>
          <tpl fld="1" item="162"/>
          <tpl fld="4" item="36"/>
        </tpls>
      </m>
      <m in="0">
        <tpls c="3">
          <tpl fld="0" item="0"/>
          <tpl fld="1" item="310"/>
          <tpl fld="4" item="37"/>
        </tpls>
      </m>
      <n v="478" in="0">
        <tpls c="3">
          <tpl fld="0" item="0"/>
          <tpl fld="1" item="351"/>
          <tpl fld="4" item="37"/>
        </tpls>
      </n>
      <n v="2" in="0">
        <tpls c="3">
          <tpl fld="0" item="0"/>
          <tpl fld="1" item="57"/>
          <tpl fld="4" item="38"/>
        </tpls>
      </n>
      <n v="2" in="0">
        <tpls c="3">
          <tpl fld="0" item="0"/>
          <tpl fld="1" item="115"/>
          <tpl fld="4" item="43"/>
        </tpls>
      </n>
      <m in="0">
        <tpls c="3">
          <tpl fld="0" item="0"/>
          <tpl fld="1" item="157"/>
          <tpl fld="4" item="38"/>
        </tpls>
      </m>
      <n v="25" in="0">
        <tpls c="3">
          <tpl fld="0" item="0"/>
          <tpl fld="1" item="224"/>
          <tpl fld="4" item="37"/>
        </tpls>
      </n>
      <m in="0">
        <tpls c="3">
          <tpl fld="0" item="0"/>
          <tpl fld="1" item="168"/>
          <tpl fld="4" item="38"/>
        </tpls>
      </m>
      <m in="0">
        <tpls c="3">
          <tpl fld="0" item="0"/>
          <tpl fld="1" item="96"/>
          <tpl fld="4" item="37"/>
        </tpls>
      </m>
      <m in="0">
        <tpls c="3">
          <tpl fld="0" item="0"/>
          <tpl fld="1" item="437"/>
          <tpl fld="4" item="38"/>
        </tpls>
      </m>
      <m in="0">
        <tpls c="3">
          <tpl fld="0" item="0"/>
          <tpl fld="1" item="194"/>
          <tpl fld="4" item="35"/>
        </tpls>
      </m>
      <m in="0">
        <tpls c="3">
          <tpl fld="0" item="0"/>
          <tpl fld="1" item="439"/>
          <tpl fld="4" item="34"/>
        </tpls>
      </m>
      <m in="0">
        <tpls c="3">
          <tpl fld="0" item="0"/>
          <tpl fld="1" item="164"/>
          <tpl fld="4" item="24"/>
        </tpls>
      </m>
      <n v="10" in="0">
        <tpls c="3">
          <tpl fld="0" item="0"/>
          <tpl fld="1" item="312"/>
          <tpl fld="4" item="30"/>
        </tpls>
      </n>
      <m in="0">
        <tpls c="3">
          <tpl fld="0" item="0"/>
          <tpl fld="1" item="154"/>
          <tpl fld="4" item="35"/>
        </tpls>
      </m>
      <m in="0">
        <tpls c="3">
          <tpl fld="0" item="0"/>
          <tpl fld="1" item="215"/>
          <tpl fld="4" item="31"/>
        </tpls>
      </m>
      <m in="0">
        <tpls c="3">
          <tpl fld="0" item="0"/>
          <tpl fld="1" item="451"/>
          <tpl fld="4" item="35"/>
        </tpls>
      </m>
      <m in="0">
        <tpls c="3">
          <tpl fld="0" item="0"/>
          <tpl fld="1" item="135"/>
          <tpl fld="4" item="34"/>
        </tpls>
      </m>
      <m in="0">
        <tpls c="3">
          <tpl fld="0" item="0"/>
          <tpl fld="1" item="60"/>
          <tpl fld="4" item="34"/>
        </tpls>
      </m>
      <m in="0">
        <tpls c="3">
          <tpl fld="0" item="0"/>
          <tpl fld="1" item="434"/>
          <tpl fld="4" item="35"/>
        </tpls>
      </m>
      <m in="0">
        <tpls c="3">
          <tpl fld="0" item="0"/>
          <tpl fld="1" item="239"/>
          <tpl fld="4" item="0"/>
        </tpls>
      </m>
      <m in="0">
        <tpls c="3">
          <tpl fld="0" item="0"/>
          <tpl fld="1" item="383"/>
          <tpl fld="4" item="0"/>
        </tpls>
      </m>
      <m in="0">
        <tpls c="3">
          <tpl fld="0" item="0"/>
          <tpl fld="1" item="445"/>
          <tpl fld="4" item="0"/>
        </tpls>
      </m>
      <m in="0">
        <tpls c="3">
          <tpl fld="0" item="0"/>
          <tpl fld="1" item="267"/>
          <tpl fld="4" item="3"/>
        </tpls>
      </m>
      <m in="0">
        <tpls c="3">
          <tpl fld="0" item="0"/>
          <tpl fld="1" item="301"/>
          <tpl fld="4" item="4"/>
        </tpls>
      </m>
      <m in="0">
        <tpls c="3">
          <tpl fld="0" item="0"/>
          <tpl fld="1" item="285"/>
          <tpl fld="4" item="0"/>
        </tpls>
      </m>
      <m in="0">
        <tpls c="3">
          <tpl fld="0" item="0"/>
          <tpl fld="1" item="51"/>
          <tpl fld="4" item="3"/>
        </tpls>
      </m>
      <m in="0">
        <tpls c="3">
          <tpl fld="0" item="0"/>
          <tpl fld="1" item="195"/>
          <tpl fld="4" item="36"/>
        </tpls>
      </m>
      <m in="0">
        <tpls c="3">
          <tpl fld="0" item="0"/>
          <tpl fld="1" item="413"/>
          <tpl fld="4" item="4"/>
        </tpls>
      </m>
      <m in="0">
        <tpls c="3">
          <tpl fld="0" item="0"/>
          <tpl fld="1" item="381"/>
          <tpl fld="4" item="0"/>
        </tpls>
      </m>
      <m in="0">
        <tpls c="3">
          <tpl fld="0" item="0"/>
          <tpl fld="1" item="287"/>
          <tpl fld="4" item="3"/>
        </tpls>
      </m>
      <m in="0">
        <tpls c="3">
          <tpl fld="0" item="0"/>
          <tpl fld="1" item="304"/>
          <tpl fld="4" item="4"/>
        </tpls>
      </m>
      <m in="0">
        <tpls c="3">
          <tpl fld="0" item="0"/>
          <tpl fld="1" item="111"/>
          <tpl fld="4" item="3"/>
        </tpls>
      </m>
      <m in="0">
        <tpls c="3">
          <tpl fld="0" item="0"/>
          <tpl fld="1" item="16"/>
          <tpl fld="4" item="4"/>
        </tpls>
      </m>
      <m in="0">
        <tpls c="3">
          <tpl fld="0" item="0"/>
          <tpl fld="1" item="329"/>
          <tpl fld="4" item="3"/>
        </tpls>
      </m>
      <m in="0">
        <tpls c="3">
          <tpl fld="0" item="0"/>
          <tpl fld="1" item="166"/>
          <tpl fld="4" item="2"/>
        </tpls>
      </m>
      <m in="0">
        <tpls c="3">
          <tpl fld="0" item="0"/>
          <tpl fld="1" item="124"/>
          <tpl fld="4" item="4"/>
        </tpls>
      </m>
      <m in="0">
        <tpls c="3">
          <tpl fld="0" item="0"/>
          <tpl fld="1" item="211"/>
          <tpl fld="4" item="36"/>
        </tpls>
      </m>
      <m in="0">
        <tpls c="3">
          <tpl fld="0" item="0"/>
          <tpl fld="1" item="456"/>
          <tpl fld="4" item="4"/>
        </tpls>
      </m>
      <n v="238" in="0">
        <tpls c="3">
          <tpl fld="0" item="0"/>
          <tpl fld="1" item="400"/>
          <tpl fld="4" item="36"/>
        </tpls>
      </n>
      <m in="0">
        <tpls c="3">
          <tpl fld="0" item="0"/>
          <tpl fld="1" item="407"/>
          <tpl fld="4" item="4"/>
        </tpls>
      </m>
      <m in="0">
        <tpls c="3">
          <tpl fld="0" item="0"/>
          <tpl fld="1" item="457"/>
          <tpl fld="4" item="36"/>
        </tpls>
      </m>
      <n v="5" in="0">
        <tpls c="3">
          <tpl fld="0" item="0"/>
          <tpl fld="1" item="402"/>
          <tpl fld="4" item="36"/>
        </tpls>
      </n>
      <m in="0">
        <tpls c="3">
          <tpl fld="0" item="0"/>
          <tpl fld="1" item="111"/>
          <tpl fld="4" item="2"/>
        </tpls>
      </m>
      <m in="0">
        <tpls c="3">
          <tpl fld="0" item="0"/>
          <tpl fld="1" item="252"/>
          <tpl fld="4" item="4"/>
        </tpls>
      </m>
      <m in="0">
        <tpls c="3">
          <tpl fld="0" item="0"/>
          <tpl fld="1" item="286"/>
          <tpl fld="4" item="36"/>
        </tpls>
      </m>
      <m in="0">
        <tpls c="3">
          <tpl fld="0" item="0"/>
          <tpl fld="1" item="338"/>
          <tpl fld="4" item="36"/>
        </tpls>
      </m>
      <m in="0">
        <tpls c="3">
          <tpl fld="0" item="0"/>
          <tpl fld="1" item="436"/>
          <tpl fld="4" item="37"/>
        </tpls>
      </m>
      <m in="0">
        <tpls c="3">
          <tpl fld="0" item="0"/>
          <tpl fld="1" item="214"/>
          <tpl fld="4" item="2"/>
        </tpls>
      </m>
      <m in="0">
        <tpls c="3">
          <tpl fld="0" item="0"/>
          <tpl fld="1" item="72"/>
          <tpl fld="4" item="36"/>
        </tpls>
      </m>
      <n v="1" in="0">
        <tpls c="3">
          <tpl fld="0" item="0"/>
          <tpl fld="1" item="348"/>
          <tpl fld="4" item="38"/>
        </tpls>
      </n>
      <n v="42" in="0">
        <tpls c="3">
          <tpl fld="0" item="0"/>
          <tpl fld="1" item="442"/>
          <tpl fld="4" item="36"/>
        </tpls>
      </n>
      <m in="0">
        <tpls c="3">
          <tpl fld="0" item="0"/>
          <tpl fld="1" item="301"/>
          <tpl fld="4" item="37"/>
        </tpls>
      </m>
      <m in="0">
        <tpls c="3">
          <tpl fld="0" item="0"/>
          <tpl fld="1" item="51"/>
          <tpl fld="4" item="36"/>
        </tpls>
      </m>
      <m in="0">
        <tpls c="3">
          <tpl fld="0" item="0"/>
          <tpl fld="1" item="115"/>
          <tpl fld="4" item="39"/>
        </tpls>
      </m>
      <m in="0">
        <tpls c="3">
          <tpl fld="0" item="0"/>
          <tpl fld="1" item="391"/>
          <tpl fld="4" item="36"/>
        </tpls>
      </m>
      <n v="3" in="0">
        <tpls c="3">
          <tpl fld="0" item="0"/>
          <tpl fld="1" item="410"/>
          <tpl fld="4" item="39"/>
        </tpls>
      </n>
      <m in="0">
        <tpls c="3">
          <tpl fld="0" item="0"/>
          <tpl fld="1" item="119"/>
          <tpl fld="4" item="36"/>
        </tpls>
      </m>
      <m in="0">
        <tpls c="3">
          <tpl fld="0" item="0"/>
          <tpl fld="1" item="90"/>
          <tpl fld="4" item="37"/>
        </tpls>
      </m>
      <n v="14" in="0">
        <tpls c="3">
          <tpl fld="0" item="0"/>
          <tpl fld="1" item="320"/>
          <tpl fld="4" item="38"/>
        </tpls>
      </n>
      <m in="0">
        <tpls c="3">
          <tpl fld="0" item="0"/>
          <tpl fld="1" item="134"/>
          <tpl fld="4" item="39"/>
        </tpls>
      </m>
      <m in="0">
        <tpls c="3">
          <tpl fld="0" item="0"/>
          <tpl fld="1" item="115"/>
          <tpl fld="4" item="38"/>
        </tpls>
      </m>
      <m in="0">
        <tpls c="3">
          <tpl fld="0" item="0"/>
          <tpl fld="1" item="298"/>
          <tpl fld="4" item="39"/>
        </tpls>
      </m>
      <m in="0">
        <tpls c="3">
          <tpl fld="0" item="0"/>
          <tpl fld="1" item="389"/>
          <tpl fld="4" item="38"/>
        </tpls>
      </m>
      <m in="0">
        <tpls c="3">
          <tpl fld="0" item="0"/>
          <tpl fld="1" item="131"/>
          <tpl fld="4" item="39"/>
        </tpls>
      </m>
      <m in="0">
        <tpls c="3">
          <tpl fld="0" item="0"/>
          <tpl fld="1" item="307"/>
          <tpl fld="4" item="37"/>
        </tpls>
      </m>
      <m in="0">
        <tpls c="3">
          <tpl fld="0" item="0"/>
          <tpl fld="1" item="406"/>
          <tpl fld="4" item="39"/>
        </tpls>
      </m>
      <m in="0">
        <tpls c="3">
          <tpl fld="0" item="0"/>
          <tpl fld="1" item="207"/>
          <tpl fld="4" item="33"/>
        </tpls>
      </m>
      <m in="0">
        <tpls c="3">
          <tpl fld="0" item="0"/>
          <tpl fld="1" item="109"/>
          <tpl fld="4" item="29"/>
        </tpls>
      </m>
      <m in="0">
        <tpls c="3">
          <tpl fld="0" item="0"/>
          <tpl fld="1" item="264"/>
          <tpl fld="4" item="35"/>
        </tpls>
      </m>
      <m in="0">
        <tpls c="3">
          <tpl fld="0" item="0"/>
          <tpl fld="1" item="272"/>
          <tpl fld="4" item="28"/>
        </tpls>
      </m>
      <m in="0">
        <tpls c="3">
          <tpl fld="0" item="0"/>
          <tpl fld="1" item="346"/>
          <tpl fld="4" item="34"/>
        </tpls>
      </m>
      <n v="3" in="0">
        <tpls c="3">
          <tpl fld="0" item="0"/>
          <tpl fld="1" item="225"/>
          <tpl fld="4" item="30"/>
        </tpls>
      </n>
      <n v="1" in="0">
        <tpls c="3">
          <tpl fld="0" item="0"/>
          <tpl fld="1" item="343"/>
          <tpl fld="4" item="30"/>
        </tpls>
      </n>
      <m in="0">
        <tpls c="3">
          <tpl fld="0" item="0"/>
          <tpl fld="1" item="275"/>
          <tpl fld="4" item="35"/>
        </tpls>
      </m>
      <n v="9" in="0">
        <tpls c="3">
          <tpl fld="0" item="0"/>
          <tpl fld="1" item="279"/>
          <tpl fld="4" item="26"/>
        </tpls>
      </n>
      <m in="0">
        <tpls c="3">
          <tpl fld="0" item="0"/>
          <tpl fld="1" item="188"/>
          <tpl fld="4" item="34"/>
        </tpls>
      </m>
      <m in="0">
        <tpls c="3">
          <tpl fld="0" item="0"/>
          <tpl fld="1" item="177"/>
          <tpl fld="4" item="30"/>
        </tpls>
      </m>
      <m in="0">
        <tpls c="3">
          <tpl fld="0" item="0"/>
          <tpl fld="1" item="191"/>
          <tpl fld="4" item="3"/>
        </tpls>
      </m>
      <m in="0">
        <tpls c="3">
          <tpl fld="0" item="0"/>
          <tpl fld="1" item="45"/>
          <tpl fld="4" item="3"/>
        </tpls>
      </m>
      <m in="0">
        <tpls c="3">
          <tpl fld="0" item="0"/>
          <tpl fld="1" item="451"/>
          <tpl fld="4" item="0"/>
        </tpls>
      </m>
      <m in="0">
        <tpls c="3">
          <tpl fld="0" item="0"/>
          <tpl fld="1" item="360"/>
          <tpl fld="4" item="3"/>
        </tpls>
      </m>
      <n v="2" in="0">
        <tpls c="3">
          <tpl fld="0" item="0"/>
          <tpl fld="1" item="359"/>
          <tpl fld="4" item="36"/>
        </tpls>
      </n>
      <m in="0">
        <tpls c="3">
          <tpl fld="0" item="0"/>
          <tpl fld="1" item="181"/>
          <tpl fld="4" item="3"/>
        </tpls>
      </m>
      <m in="0">
        <tpls c="3">
          <tpl fld="0" item="0"/>
          <tpl fld="1" item="350"/>
          <tpl fld="4" item="4"/>
        </tpls>
      </m>
      <m in="0">
        <tpls c="3">
          <tpl fld="0" item="0"/>
          <tpl fld="1" item="259"/>
          <tpl fld="4" item="3"/>
        </tpls>
      </m>
      <n v="26" in="0">
        <tpls c="3">
          <tpl fld="0" item="0"/>
          <tpl fld="1" item="326"/>
          <tpl fld="4" item="36"/>
        </tpls>
      </n>
      <m in="0">
        <tpls c="3">
          <tpl fld="0" item="0"/>
          <tpl fld="1" item="33"/>
          <tpl fld="4" item="3"/>
        </tpls>
      </m>
      <m in="0">
        <tpls c="3">
          <tpl fld="0" item="0"/>
          <tpl fld="1" item="400"/>
          <tpl fld="4" item="4"/>
        </tpls>
      </m>
      <m in="0">
        <tpls c="3">
          <tpl fld="0" item="0"/>
          <tpl fld="1" item="27"/>
          <tpl fld="4" item="3"/>
        </tpls>
      </m>
      <m in="0">
        <tpls c="3">
          <tpl fld="0" item="0"/>
          <tpl fld="1" item="163"/>
          <tpl fld="4" item="4"/>
        </tpls>
      </m>
      <m in="0">
        <tpls c="3">
          <tpl fld="0" item="0"/>
          <tpl fld="1" item="370"/>
          <tpl fld="4" item="3"/>
        </tpls>
      </m>
      <m in="0">
        <tpls c="3">
          <tpl fld="0" item="0"/>
          <tpl fld="1" item="79"/>
          <tpl fld="4" item="4"/>
        </tpls>
      </m>
      <m in="0">
        <tpls c="3">
          <tpl fld="0" item="0"/>
          <tpl fld="1" item="311"/>
          <tpl fld="4" item="3"/>
        </tpls>
      </m>
      <m in="0">
        <tpls c="3">
          <tpl fld="0" item="0"/>
          <tpl fld="1" item="38"/>
          <tpl fld="4" item="2"/>
        </tpls>
      </m>
      <m in="0">
        <tpls c="3">
          <tpl fld="0" item="0"/>
          <tpl fld="1" item="103"/>
          <tpl fld="4" item="38"/>
        </tpls>
      </m>
      <m in="0">
        <tpls c="3">
          <tpl fld="0" item="0"/>
          <tpl fld="1" item="40"/>
          <tpl fld="4" item="2"/>
        </tpls>
      </m>
      <m in="0">
        <tpls c="3">
          <tpl fld="0" item="0"/>
          <tpl fld="1" item="193"/>
          <tpl fld="4" item="38"/>
        </tpls>
      </m>
      <m in="0">
        <tpls c="3">
          <tpl fld="0" item="0"/>
          <tpl fld="1" item="427"/>
          <tpl fld="4" item="2"/>
        </tpls>
      </m>
      <m in="0">
        <tpls c="3">
          <tpl fld="0" item="0"/>
          <tpl fld="1" item="374"/>
          <tpl fld="4" item="38"/>
        </tpls>
      </m>
      <n v="151" in="0">
        <tpls c="3">
          <tpl fld="0" item="0"/>
          <tpl fld="1" item="201"/>
          <tpl fld="4" item="37"/>
        </tpls>
      </n>
      <n v="69" in="0">
        <tpls c="3">
          <tpl fld="0" item="0"/>
          <tpl fld="1" item="139"/>
          <tpl fld="4" item="36"/>
        </tpls>
      </n>
      <m in="0">
        <tpls c="3">
          <tpl fld="0" item="0"/>
          <tpl fld="1" item="397"/>
          <tpl fld="4" item="2"/>
        </tpls>
      </m>
      <m in="0">
        <tpls c="3">
          <tpl fld="0" item="0"/>
          <tpl fld="1" item="68"/>
          <tpl fld="4" item="2"/>
        </tpls>
      </m>
      <m in="0">
        <tpls c="3">
          <tpl fld="0" item="0"/>
          <tpl fld="1" item="407"/>
          <tpl fld="4" item="38"/>
        </tpls>
      </m>
      <m in="0">
        <tpls c="3">
          <tpl fld="0" item="0"/>
          <tpl fld="1" item="58"/>
          <tpl fld="4" item="38"/>
        </tpls>
      </m>
      <m in="0">
        <tpls c="3">
          <tpl fld="0" item="0"/>
          <tpl fld="1" item="58"/>
          <tpl fld="4" item="36"/>
        </tpls>
      </m>
      <m in="0">
        <tpls c="3">
          <tpl fld="0" item="0"/>
          <tpl fld="1" item="29"/>
          <tpl fld="4" item="37"/>
        </tpls>
      </m>
      <m in="0">
        <tpls c="3">
          <tpl fld="0" item="0"/>
          <tpl fld="1" item="248"/>
          <tpl fld="4" item="2"/>
        </tpls>
      </m>
      <n v="21" in="0">
        <tpls c="3">
          <tpl fld="0" item="0"/>
          <tpl fld="1" item="402"/>
          <tpl fld="4" item="37"/>
        </tpls>
      </n>
      <m in="0">
        <tpls c="3">
          <tpl fld="0" item="0"/>
          <tpl fld="1" item="283"/>
          <tpl fld="4" item="39"/>
        </tpls>
      </m>
      <n v="347" in="0">
        <tpls c="3">
          <tpl fld="0" item="0"/>
          <tpl fld="1" item="114"/>
          <tpl fld="4" item="37"/>
        </tpls>
      </n>
      <n v="60" in="0">
        <tpls c="3">
          <tpl fld="0" item="0"/>
          <tpl fld="1" item="232"/>
          <tpl fld="4" item="36"/>
        </tpls>
      </n>
      <n v="32" in="0">
        <tpls c="3">
          <tpl fld="0" item="0"/>
          <tpl fld="1" item="18"/>
          <tpl fld="4" item="37"/>
        </tpls>
      </n>
      <m in="0">
        <tpls c="3">
          <tpl fld="0" item="0"/>
          <tpl fld="1" item="182"/>
          <tpl fld="4" item="34"/>
        </tpls>
      </m>
      <m in="0">
        <tpls c="3">
          <tpl fld="0" item="0"/>
          <tpl fld="1" item="441"/>
          <tpl fld="4" item="33"/>
        </tpls>
      </m>
      <m in="0">
        <tpls c="3">
          <tpl fld="0" item="0"/>
          <tpl fld="1" item="309"/>
          <tpl fld="4" item="35"/>
        </tpls>
      </m>
      <n v="29" in="0">
        <tpls c="3">
          <tpl fld="0" item="0"/>
          <tpl fld="1" item="37"/>
          <tpl fld="4" item="25"/>
        </tpls>
      </n>
      <n v="1" in="0">
        <tpls c="3">
          <tpl fld="0" item="0"/>
          <tpl fld="1" item="390"/>
          <tpl fld="4" item="35"/>
        </tpls>
      </n>
      <m in="0">
        <tpls c="3">
          <tpl fld="0" item="0"/>
          <tpl fld="1" item="363"/>
          <tpl fld="4" item="35"/>
        </tpls>
      </m>
      <m in="0">
        <tpls c="3">
          <tpl fld="0" item="0"/>
          <tpl fld="1" item="258"/>
          <tpl fld="4" item="34"/>
        </tpls>
      </m>
      <m in="0">
        <tpls c="3">
          <tpl fld="0" item="0"/>
          <tpl fld="1" item="87"/>
          <tpl fld="4" item="35"/>
        </tpls>
      </m>
      <m in="0">
        <tpls c="3">
          <tpl fld="0" item="0"/>
          <tpl fld="1" item="253"/>
          <tpl fld="4" item="33"/>
        </tpls>
      </m>
      <m in="0">
        <tpls c="3">
          <tpl fld="0" item="0"/>
          <tpl fld="1" item="123"/>
          <tpl fld="4" item="35"/>
        </tpls>
      </m>
      <m in="0">
        <tpls c="3">
          <tpl fld="0" item="0"/>
          <tpl fld="1" item="341"/>
          <tpl fld="4" item="34"/>
        </tpls>
      </m>
      <m in="0">
        <tpls c="3">
          <tpl fld="0" item="0"/>
          <tpl fld="1" item="147"/>
          <tpl fld="4" item="4"/>
        </tpls>
      </m>
      <m in="0">
        <tpls c="3">
          <tpl fld="0" item="0"/>
          <tpl fld="1" item="108"/>
          <tpl fld="4" item="4"/>
        </tpls>
      </m>
      <m in="0">
        <tpls c="3">
          <tpl fld="0" item="0"/>
          <tpl fld="1" item="37"/>
          <tpl fld="4" item="0"/>
        </tpls>
      </m>
      <m in="0">
        <tpls c="3">
          <tpl fld="0" item="0"/>
          <tpl fld="1" item="113"/>
          <tpl fld="4" item="4"/>
        </tpls>
      </m>
      <m in="0">
        <tpls c="3">
          <tpl fld="0" item="0"/>
          <tpl fld="1" item="404"/>
          <tpl fld="4" item="0"/>
        </tpls>
      </m>
      <m in="0">
        <tpls c="3">
          <tpl fld="0" item="0"/>
          <tpl fld="1" item="292"/>
          <tpl fld="4" item="3"/>
        </tpls>
      </m>
      <m in="0">
        <tpls c="3">
          <tpl fld="0" item="0"/>
          <tpl fld="1" item="48"/>
          <tpl fld="4" item="4"/>
        </tpls>
      </m>
      <m in="0">
        <tpls c="3">
          <tpl fld="0" item="0"/>
          <tpl fld="1" item="115"/>
          <tpl fld="4" item="4"/>
        </tpls>
      </m>
      <m in="0">
        <tpls c="3">
          <tpl fld="0" item="0"/>
          <tpl fld="1" item="261"/>
          <tpl fld="4" item="0"/>
        </tpls>
      </m>
      <m in="0">
        <tpls c="3">
          <tpl fld="0" item="0"/>
          <tpl fld="1" item="107"/>
          <tpl fld="4" item="3"/>
        </tpls>
      </m>
      <m in="0">
        <tpls c="3">
          <tpl fld="0" item="0"/>
          <tpl fld="1" item="190"/>
          <tpl fld="4" item="4"/>
        </tpls>
      </m>
      <n v="1" in="0">
        <tpls c="3">
          <tpl fld="0" item="0"/>
          <tpl fld="1" item="7"/>
          <tpl fld="4" item="3"/>
        </tpls>
      </n>
      <m in="0">
        <tpls c="3">
          <tpl fld="0" item="0"/>
          <tpl fld="1" item="450"/>
          <tpl fld="4" item="4"/>
        </tpls>
      </m>
      <m in="0">
        <tpls c="3">
          <tpl fld="0" item="0"/>
          <tpl fld="1" item="256"/>
          <tpl fld="4" item="3"/>
        </tpls>
      </m>
      <m in="0">
        <tpls c="3">
          <tpl fld="0" item="0"/>
          <tpl fld="1" item="449"/>
          <tpl fld="4" item="4"/>
        </tpls>
      </m>
      <m in="0">
        <tpls c="3">
          <tpl fld="0" item="0"/>
          <tpl fld="1" item="372"/>
          <tpl fld="4" item="4"/>
        </tpls>
      </m>
      <m in="0">
        <tpls c="3">
          <tpl fld="0" item="0"/>
          <tpl fld="1" item="124"/>
          <tpl fld="4" item="37"/>
        </tpls>
      </m>
      <m in="0">
        <tpls c="3">
          <tpl fld="0" item="0"/>
          <tpl fld="1" item="349"/>
          <tpl fld="4" item="4"/>
        </tpls>
      </m>
      <m in="0">
        <tpls c="3">
          <tpl fld="0" item="0"/>
          <tpl fld="1" item="215"/>
          <tpl fld="4" item="2"/>
        </tpls>
      </m>
      <m in="0">
        <tpls c="3">
          <tpl fld="0" item="0"/>
          <tpl fld="1" item="202"/>
          <tpl fld="4" item="4"/>
        </tpls>
      </m>
      <m in="0">
        <tpls c="3">
          <tpl fld="0" item="0"/>
          <tpl fld="1" item="454"/>
          <tpl fld="4" item="2"/>
        </tpls>
      </m>
      <m in="0">
        <tpls c="3">
          <tpl fld="0" item="0"/>
          <tpl fld="1" item="147"/>
          <tpl fld="4" item="2"/>
        </tpls>
      </m>
      <m in="0">
        <tpls c="3">
          <tpl fld="0" item="0"/>
          <tpl fld="1" item="56"/>
          <tpl fld="4" item="2"/>
        </tpls>
      </m>
      <m in="0">
        <tpls c="3">
          <tpl fld="0" item="0"/>
          <tpl fld="1" item="191"/>
          <tpl fld="4" item="37"/>
        </tpls>
      </m>
      <m in="0">
        <tpls c="3">
          <tpl fld="0" item="0"/>
          <tpl fld="1" item="13"/>
          <tpl fld="4" item="2"/>
        </tpls>
      </m>
      <m in="0">
        <tpls c="3">
          <tpl fld="0" item="0"/>
          <tpl fld="1" item="327"/>
          <tpl fld="4" item="2"/>
        </tpls>
      </m>
      <n v="17" in="0">
        <tpls c="3">
          <tpl fld="0" item="0"/>
          <tpl fld="1" item="205"/>
          <tpl fld="4" item="36"/>
        </tpls>
      </n>
      <n v="2" in="0">
        <tpls c="3">
          <tpl fld="0" item="0"/>
          <tpl fld="1" item="219"/>
          <tpl fld="4" item="39"/>
        </tpls>
      </n>
      <m in="0">
        <tpls c="3">
          <tpl fld="0" item="0"/>
          <tpl fld="1" item="170"/>
          <tpl fld="4" item="36"/>
        </tpls>
      </m>
      <m in="0">
        <tpls c="3">
          <tpl fld="0" item="0"/>
          <tpl fld="1" item="439"/>
          <tpl fld="4" item="37"/>
        </tpls>
      </m>
      <m in="0">
        <tpls c="3">
          <tpl fld="0" item="0"/>
          <tpl fld="1" item="297"/>
          <tpl fld="4" item="36"/>
        </tpls>
      </m>
      <m in="0">
        <tpls c="3">
          <tpl fld="0" item="0"/>
          <tpl fld="1" item="192"/>
          <tpl fld="4" item="37"/>
        </tpls>
      </m>
      <n v="8" in="0">
        <tpls c="3">
          <tpl fld="0" item="0"/>
          <tpl fld="1" item="194"/>
          <tpl fld="4" item="36"/>
        </tpls>
      </n>
      <m in="0">
        <tpls c="3">
          <tpl fld="0" item="0"/>
          <tpl fld="1" item="421"/>
          <tpl fld="4" item="37"/>
        </tpls>
      </m>
      <n v="3" in="0">
        <tpls c="3">
          <tpl fld="0" item="0"/>
          <tpl fld="1" item="208"/>
          <tpl fld="4" item="36"/>
        </tpls>
      </n>
      <m in="0">
        <tpls c="3">
          <tpl fld="0" item="0"/>
          <tpl fld="1" item="221"/>
          <tpl fld="4" item="37"/>
        </tpls>
      </m>
      <m in="0">
        <tpls c="3">
          <tpl fld="0" item="0"/>
          <tpl fld="1" item="116"/>
          <tpl fld="4" item="36"/>
        </tpls>
      </m>
      <m in="0">
        <tpls c="3">
          <tpl fld="0" item="0"/>
          <tpl fld="1" item="378"/>
          <tpl fld="4" item="37"/>
        </tpls>
      </m>
      <n v="17" in="0">
        <tpls c="3">
          <tpl fld="0" item="0"/>
          <tpl fld="1" item="372"/>
          <tpl fld="4" item="37"/>
        </tpls>
      </n>
      <n v="10" in="0">
        <tpls c="3">
          <tpl fld="0" item="0"/>
          <tpl fld="1" item="347"/>
          <tpl fld="4" item="38"/>
        </tpls>
      </n>
      <m in="0">
        <tpls c="3">
          <tpl fld="0" item="0"/>
          <tpl fld="1" item="168"/>
          <tpl fld="4" item="37"/>
        </tpls>
      </m>
      <m in="0">
        <tpls c="3">
          <tpl fld="0" item="0"/>
          <tpl fld="1" item="129"/>
          <tpl fld="4" item="38"/>
        </tpls>
      </m>
      <n v="16" in="0">
        <tpls c="3">
          <tpl fld="0" item="0"/>
          <tpl fld="1" item="186"/>
          <tpl fld="4" item="37"/>
        </tpls>
      </n>
      <n v="3" in="0">
        <tpls c="3">
          <tpl fld="0" item="0"/>
          <tpl fld="1" item="148"/>
          <tpl fld="4" item="38"/>
        </tpls>
      </n>
      <m in="0">
        <tpls c="3">
          <tpl fld="0" item="0"/>
          <tpl fld="1" item="147"/>
          <tpl fld="4" item="37"/>
        </tpls>
      </m>
      <m in="0">
        <tpls c="3">
          <tpl fld="0" item="0"/>
          <tpl fld="1" item="358"/>
          <tpl fld="4" item="38"/>
        </tpls>
      </m>
      <m in="0">
        <tpls c="3">
          <tpl fld="0" item="0"/>
          <tpl fld="1" item="353"/>
          <tpl fld="4" item="41"/>
        </tpls>
      </m>
      <m in="0">
        <tpls c="3">
          <tpl fld="0" item="0"/>
          <tpl fld="1" item="100"/>
          <tpl fld="4" item="39"/>
        </tpls>
      </m>
      <n v="11" in="0">
        <tpls c="3">
          <tpl fld="0" item="0"/>
          <tpl fld="1" item="438"/>
          <tpl fld="4" item="38"/>
        </tpls>
      </n>
      <n v="26" in="0">
        <tpls c="3">
          <tpl fld="0" item="0"/>
          <tpl fld="1" item="275"/>
          <tpl fld="4" item="40"/>
        </tpls>
      </n>
      <n v="25" in="0">
        <tpls c="3">
          <tpl fld="0" item="0"/>
          <tpl fld="1" item="80"/>
          <tpl fld="4" item="40"/>
        </tpls>
      </n>
      <m in="0">
        <tpls c="3">
          <tpl fld="0" item="0"/>
          <tpl fld="1" item="259"/>
          <tpl fld="4" item="34"/>
        </tpls>
      </m>
      <m in="0">
        <tpls c="3">
          <tpl fld="0" item="0"/>
          <tpl fld="1" item="279"/>
          <tpl fld="4" item="30"/>
        </tpls>
      </m>
      <m in="0">
        <tpls c="3">
          <tpl fld="0" item="0"/>
          <tpl fld="1" item="39"/>
          <tpl fld="4" item="35"/>
        </tpls>
      </m>
      <m in="0">
        <tpls c="3">
          <tpl fld="0" item="0"/>
          <tpl fld="1" item="146"/>
          <tpl fld="4" item="35"/>
        </tpls>
      </m>
      <n v="24" in="0">
        <tpls c="3">
          <tpl fld="0" item="0"/>
          <tpl fld="1" item="409"/>
          <tpl fld="4" item="28"/>
        </tpls>
      </n>
      <m in="0">
        <tpls c="3">
          <tpl fld="0" item="0"/>
          <tpl fld="1" item="358"/>
          <tpl fld="4" item="34"/>
        </tpls>
      </m>
      <n v="15" in="0">
        <tpls c="3">
          <tpl fld="0" item="0"/>
          <tpl fld="1" item="77"/>
          <tpl fld="4" item="31"/>
        </tpls>
      </n>
      <n v="5" in="0">
        <tpls c="3">
          <tpl fld="0" item="0"/>
          <tpl fld="1" item="438"/>
          <tpl fld="4" item="30"/>
        </tpls>
      </n>
      <m in="0">
        <tpls c="3">
          <tpl fld="0" item="0"/>
          <tpl fld="1" item="43"/>
          <tpl fld="4" item="35"/>
        </tpls>
      </m>
      <m in="0">
        <tpls c="3">
          <tpl fld="0" item="0"/>
          <tpl fld="1" item="289"/>
          <tpl fld="4" item="35"/>
        </tpls>
      </m>
      <m in="0">
        <tpls c="3">
          <tpl fld="0" item="0"/>
          <tpl fld="1" item="425"/>
          <tpl fld="4" item="0"/>
        </tpls>
      </m>
      <m in="0">
        <tpls c="3">
          <tpl fld="0" item="0"/>
          <tpl fld="1" item="69"/>
          <tpl fld="4" item="1"/>
        </tpls>
      </m>
      <m in="0">
        <tpls c="3">
          <tpl fld="0" item="0"/>
          <tpl fld="1" item="318"/>
          <tpl fld="4" item="0"/>
        </tpls>
      </m>
      <m in="0">
        <tpls c="3">
          <tpl fld="0" item="0"/>
          <tpl fld="1" item="52"/>
          <tpl fld="4" item="3"/>
        </tpls>
      </m>
      <m in="0">
        <tpls c="3">
          <tpl fld="0" item="0"/>
          <tpl fld="1" item="174"/>
          <tpl fld="4" item="4"/>
        </tpls>
      </m>
      <m in="0">
        <tpls c="3">
          <tpl fld="0" item="0"/>
          <tpl fld="1" item="242"/>
          <tpl fld="4" item="0"/>
        </tpls>
      </m>
      <m in="0">
        <tpls c="3">
          <tpl fld="0" item="0"/>
          <tpl fld="1" item="9"/>
          <tpl fld="4" item="3"/>
        </tpls>
      </m>
      <m in="0">
        <tpls c="3">
          <tpl fld="0" item="0"/>
          <tpl fld="1" item="241"/>
          <tpl fld="4" item="2"/>
        </tpls>
      </m>
      <m in="0">
        <tpls c="3">
          <tpl fld="0" item="0"/>
          <tpl fld="1" item="281"/>
          <tpl fld="4" item="4"/>
        </tpls>
      </m>
      <m in="0">
        <tpls c="3">
          <tpl fld="0" item="0"/>
          <tpl fld="1" item="23"/>
          <tpl fld="4" item="0"/>
        </tpls>
      </m>
      <m in="0">
        <tpls c="3">
          <tpl fld="0" item="0"/>
          <tpl fld="1" item="264"/>
          <tpl fld="4" item="3"/>
        </tpls>
      </m>
      <m in="0">
        <tpls c="3">
          <tpl fld="0" item="0"/>
          <tpl fld="1" item="171"/>
          <tpl fld="4" item="4"/>
        </tpls>
      </m>
      <m in="0">
        <tpls c="3">
          <tpl fld="0" item="0"/>
          <tpl fld="1" item="323"/>
          <tpl fld="4" item="3"/>
        </tpls>
      </m>
      <m in="0">
        <tpls c="3">
          <tpl fld="0" item="0"/>
          <tpl fld="1" item="65"/>
          <tpl fld="4" item="4"/>
        </tpls>
      </m>
      <m in="0">
        <tpls c="3">
          <tpl fld="0" item="0"/>
          <tpl fld="1" item="216"/>
          <tpl fld="4" item="3"/>
        </tpls>
      </m>
      <m in="0">
        <tpls c="3">
          <tpl fld="0" item="0"/>
          <tpl fld="1" item="284"/>
          <tpl fld="4" item="4"/>
        </tpls>
      </m>
      <m in="0">
        <tpls c="3">
          <tpl fld="0" item="0"/>
          <tpl fld="1" item="457"/>
          <tpl fld="4" item="4"/>
        </tpls>
      </m>
      <m in="0">
        <tpls c="3">
          <tpl fld="0" item="0"/>
          <tpl fld="1" item="305"/>
          <tpl fld="4" item="2"/>
        </tpls>
      </m>
      <m in="0">
        <tpls c="3">
          <tpl fld="0" item="0"/>
          <tpl fld="1" item="229"/>
          <tpl fld="4" item="4"/>
        </tpls>
      </m>
      <m in="0">
        <tpls c="3">
          <tpl fld="0" item="0"/>
          <tpl fld="1" item="322"/>
          <tpl fld="4" item="2"/>
        </tpls>
      </m>
      <m in="0">
        <tpls c="3">
          <tpl fld="0" item="0"/>
          <tpl fld="1" item="408"/>
          <tpl fld="4" item="4"/>
        </tpls>
      </m>
      <m in="0">
        <tpls c="3">
          <tpl fld="0" item="0"/>
          <tpl fld="1" item="48"/>
          <tpl fld="4" item="2"/>
        </tpls>
      </m>
      <m in="0">
        <tpls c="3">
          <tpl fld="0" item="0"/>
          <tpl fld="1" item="358"/>
          <tpl fld="4" item="2"/>
        </tpls>
      </m>
      <m in="0">
        <tpls c="3">
          <tpl fld="0" item="0"/>
          <tpl fld="1" item="7"/>
          <tpl fld="4" item="2"/>
        </tpls>
      </m>
      <m in="0">
        <tpls c="3">
          <tpl fld="0" item="0"/>
          <tpl fld="1" item="124"/>
          <tpl fld="4" item="38"/>
        </tpls>
      </m>
      <m in="0">
        <tpls c="3">
          <tpl fld="0" item="0"/>
          <tpl fld="1" item="188"/>
          <tpl fld="4" item="2"/>
        </tpls>
      </m>
      <m in="0">
        <tpls c="3">
          <tpl fld="0" item="0"/>
          <tpl fld="1" item="366"/>
          <tpl fld="4" item="2"/>
        </tpls>
      </m>
      <m in="0">
        <tpls c="3">
          <tpl fld="0" item="0"/>
          <tpl fld="1" item="260"/>
          <tpl fld="4" item="37"/>
        </tpls>
      </m>
      <m in="0">
        <tpls c="3">
          <tpl fld="0" item="0"/>
          <tpl fld="1" item="210"/>
          <tpl fld="4" item="2"/>
        </tpls>
      </m>
      <m in="0">
        <tpls c="3">
          <tpl fld="0" item="0"/>
          <tpl fld="1" item="193"/>
          <tpl fld="4" item="36"/>
        </tpls>
      </m>
      <m in="0">
        <tpls c="3">
          <tpl fld="0" item="0"/>
          <tpl fld="1" item="69"/>
          <tpl fld="4" item="37"/>
        </tpls>
      </m>
      <n v="75" in="0">
        <tpls c="3">
          <tpl fld="0" item="0"/>
          <tpl fld="1" item="206"/>
          <tpl fld="4" item="36"/>
        </tpls>
      </n>
      <n v="4" in="0">
        <tpls c="3">
          <tpl fld="0" item="0"/>
          <tpl fld="1" item="181"/>
          <tpl fld="4" item="37"/>
        </tpls>
      </n>
      <m in="0">
        <tpls c="3">
          <tpl fld="0" item="0"/>
          <tpl fld="1" item="293"/>
          <tpl fld="4" item="36"/>
        </tpls>
      </m>
      <m in="0">
        <tpls c="3">
          <tpl fld="0" item="0"/>
          <tpl fld="1" item="248"/>
          <tpl fld="4" item="38"/>
        </tpls>
      </m>
      <n v="42" in="0">
        <tpls c="3">
          <tpl fld="0" item="0"/>
          <tpl fld="1" item="57"/>
          <tpl fld="4" item="36"/>
        </tpls>
      </n>
      <m in="0">
        <tpls c="3">
          <tpl fld="0" item="0"/>
          <tpl fld="1" item="113"/>
          <tpl fld="4" item="38"/>
        </tpls>
      </m>
      <n v="12" in="0">
        <tpls c="3">
          <tpl fld="0" item="0"/>
          <tpl fld="1" item="18"/>
          <tpl fld="4" item="36"/>
        </tpls>
      </n>
      <n v="129" in="0">
        <tpls c="3">
          <tpl fld="0" item="0"/>
          <tpl fld="1" item="10"/>
          <tpl fld="4" item="37"/>
        </tpls>
      </n>
      <m in="0">
        <tpls c="3">
          <tpl fld="0" item="0"/>
          <tpl fld="1" item="91"/>
          <tpl fld="4" item="37"/>
        </tpls>
      </m>
      <m in="0">
        <tpls c="3">
          <tpl fld="0" item="0"/>
          <tpl fld="1" item="291"/>
          <tpl fld="4" item="39"/>
        </tpls>
      </m>
      <m in="0">
        <tpls c="3">
          <tpl fld="0" item="0"/>
          <tpl fld="1" item="53"/>
          <tpl fld="4" item="37"/>
        </tpls>
      </m>
      <m in="0">
        <tpls c="3">
          <tpl fld="0" item="0"/>
          <tpl fld="1" item="450"/>
          <tpl fld="4" item="39"/>
        </tpls>
      </m>
      <m in="0">
        <tpls c="3">
          <tpl fld="0" item="0"/>
          <tpl fld="1" item="223"/>
          <tpl fld="4" item="35"/>
        </tpls>
      </m>
      <m in="0">
        <tpls c="3">
          <tpl fld="0" item="0"/>
          <tpl fld="1" item="424"/>
          <tpl fld="4" item="34"/>
        </tpls>
      </m>
      <m in="0">
        <tpls c="3">
          <tpl fld="0" item="0"/>
          <tpl fld="1" item="120"/>
          <tpl fld="4" item="34"/>
        </tpls>
      </m>
      <m in="0">
        <tpls c="3">
          <tpl fld="0" item="0"/>
          <tpl fld="1" item="277"/>
          <tpl fld="4" item="34"/>
        </tpls>
      </m>
      <m in="0">
        <tpls c="3">
          <tpl fld="0" item="0"/>
          <tpl fld="1" item="66"/>
          <tpl fld="4" item="35"/>
        </tpls>
      </m>
      <m in="0">
        <tpls c="3">
          <tpl fld="0" item="0"/>
          <tpl fld="1" item="410"/>
          <tpl fld="4" item="35"/>
        </tpls>
      </m>
      <m in="0">
        <tpls c="3">
          <tpl fld="0" item="0"/>
          <tpl fld="1" item="355"/>
          <tpl fld="4" item="27"/>
        </tpls>
      </m>
      <m in="0">
        <tpls c="3">
          <tpl fld="0" item="0"/>
          <tpl fld="1" item="170"/>
          <tpl fld="4" item="34"/>
        </tpls>
      </m>
      <m in="0">
        <tpls c="3">
          <tpl fld="0" item="0"/>
          <tpl fld="1" item="263"/>
          <tpl fld="4" item="35"/>
        </tpls>
      </m>
      <m in="0">
        <tpls c="3">
          <tpl fld="0" item="0"/>
          <tpl fld="1" item="385"/>
          <tpl fld="4" item="0"/>
        </tpls>
      </m>
      <m in="0">
        <tpls c="3">
          <tpl fld="0" item="0"/>
          <tpl fld="1" item="287"/>
          <tpl fld="4" item="0"/>
        </tpls>
      </m>
      <m in="0">
        <tpls c="3">
          <tpl fld="0" item="0"/>
          <tpl fld="1" item="333"/>
          <tpl fld="4" item="0"/>
        </tpls>
      </m>
      <m in="0">
        <tpls c="3">
          <tpl fld="0" item="0"/>
          <tpl fld="1" item="276"/>
          <tpl fld="4" item="3"/>
        </tpls>
      </m>
      <m in="0">
        <tpls c="3">
          <tpl fld="0" item="0"/>
          <tpl fld="1" item="311"/>
          <tpl fld="4" item="4"/>
        </tpls>
      </m>
      <m in="0">
        <tpls c="3">
          <tpl fld="0" item="0"/>
          <tpl fld="1" item="388"/>
          <tpl fld="4" item="3"/>
        </tpls>
      </m>
      <m in="0">
        <tpls c="3">
          <tpl fld="0" item="0"/>
          <tpl fld="1" item="150"/>
          <tpl fld="4" item="4"/>
        </tpls>
      </m>
      <m in="0">
        <tpls c="3">
          <tpl fld="0" item="0"/>
          <tpl fld="1" item="145"/>
          <tpl fld="4" item="3"/>
        </tpls>
      </m>
      <m in="0">
        <tpls c="3">
          <tpl fld="0" item="0"/>
          <tpl fld="1" item="296"/>
          <tpl fld="4" item="4"/>
        </tpls>
      </m>
      <m in="0">
        <tpls c="3">
          <tpl fld="0" item="0"/>
          <tpl fld="1" item="289"/>
          <tpl fld="4" item="0"/>
        </tpls>
      </m>
      <m in="0">
        <tpls c="3">
          <tpl fld="0" item="0"/>
          <tpl fld="1" item="373"/>
          <tpl fld="4" item="3"/>
        </tpls>
      </m>
      <m in="0">
        <tpls c="3">
          <tpl fld="0" item="0"/>
          <tpl fld="1" item="375"/>
          <tpl fld="4" item="2"/>
        </tpls>
      </m>
      <m in="0">
        <tpls c="3">
          <tpl fld="0" item="0"/>
          <tpl fld="1" item="234"/>
          <tpl fld="4" item="3"/>
        </tpls>
      </m>
      <m in="0">
        <tpls c="3">
          <tpl fld="0" item="0"/>
          <tpl fld="1" item="239"/>
          <tpl fld="4" item="2"/>
        </tpls>
      </m>
      <m in="0">
        <tpls c="3">
          <tpl fld="0" item="0"/>
          <tpl fld="1" item="228"/>
          <tpl fld="4" item="3"/>
        </tpls>
      </m>
      <m in="0">
        <tpls c="3">
          <tpl fld="0" item="0"/>
          <tpl fld="1" item="259"/>
          <tpl fld="4" item="2"/>
        </tpls>
      </m>
      <m in="0">
        <tpls c="3">
          <tpl fld="0" item="0"/>
          <tpl fld="1" item="13"/>
          <tpl fld="4" item="4"/>
        </tpls>
      </m>
      <n v="59" in="0">
        <tpls c="3">
          <tpl fld="0" item="0"/>
          <tpl fld="1" item="348"/>
          <tpl fld="4" item="36"/>
        </tpls>
      </n>
      <m in="0">
        <tpls c="3">
          <tpl fld="0" item="0"/>
          <tpl fld="1" item="452"/>
          <tpl fld="4" item="4"/>
        </tpls>
      </m>
      <n v="6" in="0">
        <tpls c="3">
          <tpl fld="0" item="0"/>
          <tpl fld="1" item="276"/>
          <tpl fld="4" item="36"/>
        </tpls>
      </n>
      <m in="0">
        <tpls c="3">
          <tpl fld="0" item="0"/>
          <tpl fld="1" item="0"/>
          <tpl fld="4" item="4"/>
        </tpls>
      </m>
      <n v="26" in="0">
        <tpls c="3">
          <tpl fld="0" item="0"/>
          <tpl fld="1" item="430"/>
          <tpl fld="4" item="36"/>
        </tpls>
      </n>
      <m in="0">
        <tpls c="3">
          <tpl fld="0" item="0"/>
          <tpl fld="1" item="413"/>
          <tpl fld="4" item="36"/>
        </tpls>
      </m>
      <m in="0">
        <tpls c="3">
          <tpl fld="0" item="0"/>
          <tpl fld="1" item="302"/>
          <tpl fld="4" item="2"/>
        </tpls>
      </m>
      <m in="0">
        <tpls c="3">
          <tpl fld="0" item="0"/>
          <tpl fld="1" item="389"/>
          <tpl fld="4" item="2"/>
        </tpls>
      </m>
      <m in="0">
        <tpls c="3">
          <tpl fld="0" item="0"/>
          <tpl fld="1" item="223"/>
          <tpl fld="4" item="36"/>
        </tpls>
      </m>
      <n v="22" in="0">
        <tpls c="3">
          <tpl fld="0" item="0"/>
          <tpl fld="1" item="94"/>
          <tpl fld="4" item="36"/>
        </tpls>
      </n>
      <m in="0">
        <tpls c="3">
          <tpl fld="0" item="0"/>
          <tpl fld="1" item="190"/>
          <tpl fld="4" item="37"/>
        </tpls>
      </m>
      <m in="0">
        <tpls c="3">
          <tpl fld="0" item="0"/>
          <tpl fld="1" item="82"/>
          <tpl fld="4" item="2"/>
        </tpls>
      </m>
      <m in="0">
        <tpls c="3">
          <tpl fld="0" item="0"/>
          <tpl fld="1" item="373"/>
          <tpl fld="4" item="37"/>
        </tpls>
      </m>
      <n v="14" in="0">
        <tpls c="3">
          <tpl fld="0" item="0"/>
          <tpl fld="1" item="330"/>
          <tpl fld="4" item="40"/>
        </tpls>
      </n>
      <m in="0">
        <tpls c="3">
          <tpl fld="0" item="0"/>
          <tpl fld="1" item="270"/>
          <tpl fld="4" item="36"/>
        </tpls>
      </m>
      <m in="0">
        <tpls c="3">
          <tpl fld="0" item="0"/>
          <tpl fld="1" item="72"/>
          <tpl fld="4" item="37"/>
        </tpls>
      </m>
      <m in="0">
        <tpls c="3">
          <tpl fld="0" item="0"/>
          <tpl fld="1" item="108"/>
          <tpl fld="4" item="37"/>
        </tpls>
      </m>
      <m in="0">
        <tpls c="3">
          <tpl fld="0" item="0"/>
          <tpl fld="1" item="248"/>
          <tpl fld="4" item="36"/>
        </tpls>
      </m>
      <n v="47" in="0">
        <tpls c="3">
          <tpl fld="0" item="0"/>
          <tpl fld="1" item="231"/>
          <tpl fld="4" item="37"/>
        </tpls>
      </n>
      <m in="0">
        <tpls c="3">
          <tpl fld="0" item="0"/>
          <tpl fld="1" item="282"/>
          <tpl fld="4" item="2"/>
        </tpls>
      </m>
      <n v="2" in="0">
        <tpls c="3">
          <tpl fld="0" item="0"/>
          <tpl fld="1" item="444"/>
          <tpl fld="4" item="36"/>
        </tpls>
      </n>
      <n v="5" in="0">
        <tpls c="3">
          <tpl fld="0" item="0"/>
          <tpl fld="1" item="174"/>
          <tpl fld="4" item="38"/>
        </tpls>
      </n>
      <m in="0">
        <tpls c="3">
          <tpl fld="0" item="0"/>
          <tpl fld="1" item="197"/>
          <tpl fld="4" item="38"/>
        </tpls>
      </m>
      <m in="0">
        <tpls c="3">
          <tpl fld="0" item="0"/>
          <tpl fld="1" item="315"/>
          <tpl fld="4" item="39"/>
        </tpls>
      </m>
      <n v="12" in="0">
        <tpls c="3">
          <tpl fld="0" item="0"/>
          <tpl fld="1" item="45"/>
          <tpl fld="4" item="38"/>
        </tpls>
      </n>
      <n v="10" in="0">
        <tpls c="3">
          <tpl fld="0" item="0"/>
          <tpl fld="1" item="320"/>
          <tpl fld="4" item="39"/>
        </tpls>
      </n>
      <m in="0">
        <tpls c="3">
          <tpl fld="0" item="0"/>
          <tpl fld="1" item="345"/>
          <tpl fld="4" item="38"/>
        </tpls>
      </m>
      <n v="25" in="0">
        <tpls c="3">
          <tpl fld="0" item="0"/>
          <tpl fld="1" item="175"/>
          <tpl fld="4" item="40"/>
        </tpls>
      </n>
      <n v="3" in="0">
        <tpls c="3">
          <tpl fld="0" item="0"/>
          <tpl fld="1" item="367"/>
          <tpl fld="4" item="38"/>
        </tpls>
      </n>
      <m in="0">
        <tpls c="3">
          <tpl fld="0" item="0"/>
          <tpl fld="1" item="221"/>
          <tpl fld="4" item="39"/>
        </tpls>
      </m>
      <m in="0">
        <tpls c="3">
          <tpl fld="0" item="0"/>
          <tpl fld="1" item="221"/>
          <tpl fld="4" item="34"/>
        </tpls>
      </m>
      <m in="0">
        <tpls c="3">
          <tpl fld="0" item="0"/>
          <tpl fld="1" item="371"/>
          <tpl fld="4" item="30"/>
        </tpls>
      </m>
      <m in="0">
        <tpls c="3">
          <tpl fld="0" item="0"/>
          <tpl fld="1" item="169"/>
          <tpl fld="4" item="35"/>
        </tpls>
      </m>
      <m in="0">
        <tpls c="3">
          <tpl fld="0" item="0"/>
          <tpl fld="1" item="131"/>
          <tpl fld="4" item="24"/>
        </tpls>
      </m>
      <m in="0">
        <tpls c="3">
          <tpl fld="0" item="0"/>
          <tpl fld="1" item="449"/>
          <tpl fld="4" item="35"/>
        </tpls>
      </m>
      <m in="0">
        <tpls c="3">
          <tpl fld="0" item="0"/>
          <tpl fld="1" item="397"/>
          <tpl fld="4" item="35"/>
        </tpls>
      </m>
      <m in="0">
        <tpls c="3">
          <tpl fld="0" item="0"/>
          <tpl fld="1" item="353"/>
          <tpl fld="4" item="34"/>
        </tpls>
      </m>
      <n v="41" in="0">
        <tpls c="3">
          <tpl fld="0" item="0"/>
          <tpl fld="1" item="87"/>
          <tpl fld="4" item="13"/>
        </tpls>
      </n>
      <m in="0">
        <tpls c="3">
          <tpl fld="0" item="0"/>
          <tpl fld="1" item="188"/>
          <tpl fld="4" item="33"/>
        </tpls>
      </m>
      <n v="1087" in="0">
        <tpls c="3">
          <tpl fld="0" item="0"/>
          <tpl fld="1" item="385"/>
          <tpl fld="4" item="20"/>
        </tpls>
      </n>
      <m in="0">
        <tpls c="3">
          <tpl fld="0" item="0"/>
          <tpl fld="1" item="265"/>
          <tpl fld="4" item="31"/>
        </tpls>
      </m>
      <n v="4" in="0">
        <tpls c="3">
          <tpl fld="0" item="0"/>
          <tpl fld="1" item="327"/>
          <tpl fld="4" item="28"/>
        </tpls>
      </n>
      <m in="0">
        <tpls c="3">
          <tpl fld="0" item="0"/>
          <tpl fld="1" item="206"/>
          <tpl fld="4" item="30"/>
        </tpls>
      </m>
      <n v="12" in="0">
        <tpls c="3">
          <tpl fld="0" item="0"/>
          <tpl fld="1" item="13"/>
          <tpl fld="4" item="15"/>
        </tpls>
      </n>
      <m in="0">
        <tpls c="3">
          <tpl fld="0" item="0"/>
          <tpl fld="1" item="161"/>
          <tpl fld="4" item="32"/>
        </tpls>
      </m>
      <n v="45" in="0">
        <tpls c="3">
          <tpl fld="0" item="0"/>
          <tpl fld="1" item="397"/>
          <tpl fld="4" item="24"/>
        </tpls>
      </n>
      <m in="0">
        <tpls c="3">
          <tpl fld="0" item="0"/>
          <tpl fld="2" item="0"/>
          <tpl fld="4" item="33"/>
        </tpls>
      </m>
      <m in="0">
        <tpls c="3">
          <tpl fld="0" item="0"/>
          <tpl fld="1" item="453"/>
          <tpl fld="4" item="30"/>
        </tpls>
      </m>
      <m in="0">
        <tpls c="3">
          <tpl fld="0" item="0"/>
          <tpl fld="1" item="189"/>
          <tpl fld="4" item="32"/>
        </tpls>
      </m>
      <m in="0">
        <tpls c="3">
          <tpl fld="0" item="0"/>
          <tpl fld="1" item="311"/>
          <tpl fld="4" item="34"/>
        </tpls>
      </m>
      <m in="0">
        <tpls c="3">
          <tpl fld="0" item="0"/>
          <tpl fld="1" item="223"/>
          <tpl fld="4" item="21"/>
        </tpls>
      </m>
      <m in="0">
        <tpls c="3">
          <tpl fld="0" item="0"/>
          <tpl fld="1" item="0"/>
          <tpl fld="4" item="34"/>
        </tpls>
      </m>
      <m in="0">
        <tpls c="3">
          <tpl fld="0" item="0"/>
          <tpl fld="1" item="110"/>
          <tpl fld="4" item="32"/>
        </tpls>
      </m>
      <n v="51" in="0">
        <tpls c="3">
          <tpl fld="0" item="0"/>
          <tpl fld="1" item="377"/>
          <tpl fld="4" item="17"/>
        </tpls>
      </n>
      <n v="97" in="0">
        <tpls c="3">
          <tpl fld="0" item="0"/>
          <tpl fld="1" item="453"/>
          <tpl fld="4" item="25"/>
        </tpls>
      </n>
      <m in="0">
        <tpls c="3">
          <tpl fld="0" item="0"/>
          <tpl fld="1" item="254"/>
          <tpl fld="4" item="31"/>
        </tpls>
      </m>
      <n v="3" in="0">
        <tpls c="3">
          <tpl fld="0" item="0"/>
          <tpl fld="1" item="395"/>
          <tpl fld="4" item="33"/>
        </tpls>
      </n>
      <m in="0">
        <tpls c="3">
          <tpl fld="0" item="0"/>
          <tpl fld="1" item="450"/>
          <tpl fld="4" item="34"/>
        </tpls>
      </m>
      <n v="64" in="0">
        <tpls c="3">
          <tpl fld="0" item="0"/>
          <tpl fld="1" item="120"/>
          <tpl fld="4" item="20"/>
        </tpls>
      </n>
      <m in="0">
        <tpls c="3">
          <tpl fld="0" item="0"/>
          <tpl fld="1" item="400"/>
          <tpl fld="4" item="31"/>
        </tpls>
      </m>
      <m in="0">
        <tpls c="3">
          <tpl fld="0" item="0"/>
          <tpl fld="1" item="31"/>
          <tpl fld="4" item="32"/>
        </tpls>
      </m>
      <m in="0">
        <tpls c="3">
          <tpl fld="0" item="0"/>
          <tpl fld="1" item="123"/>
          <tpl fld="4" item="33"/>
        </tpls>
      </m>
      <m in="0">
        <tpls c="3">
          <tpl fld="0" item="0"/>
          <tpl fld="1" item="437"/>
          <tpl fld="4" item="30"/>
        </tpls>
      </m>
      <n v="11" in="0">
        <tpls c="3">
          <tpl fld="0" item="0"/>
          <tpl fld="1" item="273"/>
          <tpl fld="4" item="28"/>
        </tpls>
      </n>
      <n v="50" in="0">
        <tpls c="3">
          <tpl fld="0" item="0"/>
          <tpl fld="1" item="452"/>
          <tpl fld="4" item="21"/>
        </tpls>
      </n>
      <m in="0">
        <tpls c="3">
          <tpl fld="0" item="0"/>
          <tpl fld="1" item="270"/>
          <tpl fld="4" item="26"/>
        </tpls>
      </m>
      <m in="0">
        <tpls c="3">
          <tpl fld="0" item="0"/>
          <tpl fld="1" item="416"/>
          <tpl fld="4" item="24"/>
        </tpls>
      </m>
      <m in="0">
        <tpls c="3">
          <tpl fld="0" item="0"/>
          <tpl fld="1" item="28"/>
          <tpl fld="4" item="33"/>
        </tpls>
      </m>
      <m in="0">
        <tpls c="3">
          <tpl fld="0" item="0"/>
          <tpl fld="1" item="311"/>
          <tpl fld="4" item="30"/>
        </tpls>
      </m>
      <n v="98" in="0">
        <tpls c="3">
          <tpl fld="0" item="0"/>
          <tpl fld="1" item="285"/>
          <tpl fld="4" item="23"/>
        </tpls>
      </n>
      <n v="81" in="0">
        <tpls c="3">
          <tpl fld="0" item="0"/>
          <tpl fld="1" item="101"/>
          <tpl fld="4" item="24"/>
        </tpls>
      </n>
      <m in="0">
        <tpls c="3">
          <tpl fld="0" item="0"/>
          <tpl fld="1" item="277"/>
          <tpl fld="4" item="31"/>
        </tpls>
      </m>
      <m in="0">
        <tpls c="3">
          <tpl fld="0" item="0"/>
          <tpl fld="1" item="300"/>
          <tpl fld="4" item="31"/>
        </tpls>
      </m>
      <m in="0">
        <tpls c="3">
          <tpl fld="0" item="0"/>
          <tpl fld="1" item="413"/>
          <tpl fld="4" item="24"/>
        </tpls>
      </m>
      <m in="0">
        <tpls c="3">
          <tpl fld="0" item="0"/>
          <tpl fld="1" item="335"/>
          <tpl fld="4" item="33"/>
        </tpls>
      </m>
      <m in="0">
        <tpls c="3">
          <tpl fld="0" item="0"/>
          <tpl fld="1" item="430"/>
          <tpl fld="4" item="30"/>
        </tpls>
      </m>
      <m in="0">
        <tpls c="3">
          <tpl fld="0" item="0"/>
          <tpl fld="1" item="50"/>
          <tpl fld="4" item="34"/>
        </tpls>
      </m>
      <m in="0">
        <tpls c="3">
          <tpl fld="0" item="0"/>
          <tpl fld="1" item="93"/>
          <tpl fld="4" item="34"/>
        </tpls>
      </m>
      <m in="0">
        <tpls c="3">
          <tpl fld="0" item="0"/>
          <tpl fld="1" item="369"/>
          <tpl fld="4" item="35"/>
        </tpls>
      </m>
      <m in="0">
        <tpls c="3">
          <tpl fld="0" item="0"/>
          <tpl fld="1" item="355"/>
          <tpl fld="4" item="30"/>
        </tpls>
      </m>
      <m in="0">
        <tpls c="3">
          <tpl fld="0" item="0"/>
          <tpl fld="1" item="188"/>
          <tpl fld="4" item="21"/>
        </tpls>
      </m>
      <n v="10" in="0">
        <tpls c="3">
          <tpl fld="0" item="0"/>
          <tpl fld="1" item="339"/>
          <tpl fld="4" item="28"/>
        </tpls>
      </n>
      <m in="0">
        <tpls c="3">
          <tpl fld="0" item="0"/>
          <tpl fld="1" item="0"/>
          <tpl fld="4" item="31"/>
        </tpls>
      </m>
      <n v="1" in="0">
        <tpls c="3">
          <tpl fld="0" item="0"/>
          <tpl fld="1" item="204"/>
          <tpl fld="4" item="30"/>
        </tpls>
      </n>
      <m in="0">
        <tpls c="3">
          <tpl fld="0" item="0"/>
          <tpl fld="1" item="55"/>
          <tpl fld="4" item="34"/>
        </tpls>
      </m>
      <m in="0">
        <tpls c="3">
          <tpl fld="0" item="0"/>
          <tpl fld="1" item="392"/>
          <tpl fld="4" item="21"/>
        </tpls>
      </m>
      <n v="127" in="0">
        <tpls c="3">
          <tpl fld="0" item="0"/>
          <tpl fld="1" item="454"/>
          <tpl fld="4" item="23"/>
        </tpls>
      </n>
      <m in="0">
        <tpls c="3">
          <tpl fld="0" item="0"/>
          <tpl fld="1" item="302"/>
          <tpl fld="4" item="18"/>
        </tpls>
      </m>
      <m in="0">
        <tpls c="3">
          <tpl fld="0" item="0"/>
          <tpl fld="1" item="194"/>
          <tpl fld="4" item="29"/>
        </tpls>
      </m>
      <n v="2" in="0">
        <tpls c="3">
          <tpl fld="0" item="0"/>
          <tpl fld="1" item="149"/>
          <tpl fld="4" item="33"/>
        </tpls>
      </n>
      <m in="0">
        <tpls c="3">
          <tpl fld="0" item="0"/>
          <tpl fld="1" item="102"/>
          <tpl fld="4" item="30"/>
        </tpls>
      </m>
      <m in="0">
        <tpls c="3">
          <tpl fld="0" item="0"/>
          <tpl fld="1" item="325"/>
          <tpl fld="4" item="34"/>
        </tpls>
      </m>
      <m in="0">
        <tpls c="3">
          <tpl fld="0" item="0"/>
          <tpl fld="1" item="138"/>
          <tpl fld="4" item="28"/>
        </tpls>
      </m>
      <n v="7" in="0">
        <tpls c="3">
          <tpl fld="0" item="0"/>
          <tpl fld="1" item="282"/>
          <tpl fld="4" item="24"/>
        </tpls>
      </n>
      <m in="0">
        <tpls c="3">
          <tpl fld="0" item="0"/>
          <tpl fld="1" item="268"/>
          <tpl fld="4" item="32"/>
        </tpls>
      </m>
      <m in="0">
        <tpls c="3">
          <tpl fld="0" item="0"/>
          <tpl fld="1" item="54"/>
          <tpl fld="4" item="32"/>
        </tpls>
      </m>
      <m in="0">
        <tpls c="3">
          <tpl fld="0" item="0"/>
          <tpl fld="1" item="180"/>
          <tpl fld="4" item="33"/>
        </tpls>
      </m>
      <m in="0">
        <tpls c="3">
          <tpl fld="0" item="0"/>
          <tpl fld="1" item="12"/>
          <tpl fld="4" item="34"/>
        </tpls>
      </m>
      <n v="1194" in="0">
        <tpls c="3">
          <tpl fld="0" item="0"/>
          <tpl fld="1" item="160"/>
          <tpl fld="4" item="29"/>
        </tpls>
      </n>
      <m in="0">
        <tpls c="3">
          <tpl fld="0" item="0"/>
          <tpl fld="1" item="425"/>
          <tpl fld="4" item="32"/>
        </tpls>
      </m>
      <m in="0">
        <tpls c="3">
          <tpl fld="0" item="0"/>
          <tpl fld="1" item="394"/>
          <tpl fld="4" item="31"/>
        </tpls>
      </m>
      <m in="0">
        <tpls c="3">
          <tpl fld="0" item="0"/>
          <tpl fld="1" item="131"/>
          <tpl fld="4" item="28"/>
        </tpls>
      </m>
      <m in="0">
        <tpls c="3">
          <tpl fld="0" item="0"/>
          <tpl fld="1" item="250"/>
          <tpl fld="4" item="33"/>
        </tpls>
      </m>
      <m in="0">
        <tpls c="3">
          <tpl fld="0" item="0"/>
          <tpl fld="1" item="431"/>
          <tpl fld="4" item="30"/>
        </tpls>
      </m>
      <m in="0">
        <tpls c="3">
          <tpl fld="0" item="0"/>
          <tpl fld="1" item="155"/>
          <tpl fld="4" item="34"/>
        </tpls>
      </m>
      <m in="0">
        <tpls c="3">
          <tpl fld="0" item="0"/>
          <tpl fld="1" item="302"/>
          <tpl fld="4" item="33"/>
        </tpls>
      </m>
      <m in="0">
        <tpls c="3">
          <tpl fld="0" item="0"/>
          <tpl fld="1" item="118"/>
          <tpl fld="4" item="35"/>
        </tpls>
      </m>
      <m in="0">
        <tpls c="3">
          <tpl fld="0" item="0"/>
          <tpl fld="1" item="437"/>
          <tpl fld="4" item="26"/>
        </tpls>
      </m>
      <m in="0">
        <tpls c="3">
          <tpl fld="0" item="0"/>
          <tpl fld="1" item="226"/>
          <tpl fld="4" item="34"/>
        </tpls>
      </m>
      <m in="0">
        <tpls c="3">
          <tpl fld="0" item="0"/>
          <tpl fld="1" item="30"/>
          <tpl fld="4" item="35"/>
        </tpls>
      </m>
      <n v="20" in="0">
        <tpls c="3">
          <tpl fld="0" item="0"/>
          <tpl fld="1" item="111"/>
          <tpl fld="4" item="26"/>
        </tpls>
      </n>
      <m in="0">
        <tpls c="3">
          <tpl fld="0" item="0"/>
          <tpl fld="1" item="110"/>
          <tpl fld="4" item="34"/>
        </tpls>
      </m>
      <m in="0">
        <tpls c="3">
          <tpl fld="0" item="0"/>
          <tpl fld="1" item="343"/>
          <tpl fld="4" item="35"/>
        </tpls>
      </m>
      <n v="3" in="0">
        <tpls c="3">
          <tpl fld="0" item="0"/>
          <tpl fld="1" item="395"/>
          <tpl fld="4" item="30"/>
        </tpls>
      </n>
      <m in="0">
        <tpls c="3">
          <tpl fld="0" item="0"/>
          <tpl fld="1" item="32"/>
          <tpl fld="4" item="35"/>
        </tpls>
      </m>
      <m in="0">
        <tpls c="3">
          <tpl fld="0" item="0"/>
          <tpl fld="1" item="69"/>
          <tpl fld="4" item="35"/>
        </tpls>
      </m>
      <m in="0">
        <tpls c="3">
          <tpl fld="0" item="0"/>
          <tpl fld="1" item="81"/>
          <tpl fld="4" item="30"/>
        </tpls>
      </m>
      <m in="0">
        <tpls c="3">
          <tpl fld="0" item="0"/>
          <tpl fld="1" item="89"/>
          <tpl fld="4" item="35"/>
        </tpls>
      </m>
      <m in="0">
        <tpls c="3">
          <tpl fld="0" item="0"/>
          <tpl fld="1" item="76"/>
          <tpl fld="4" item="33"/>
        </tpls>
      </m>
      <m in="0">
        <tpls c="3">
          <tpl fld="0" item="0"/>
          <tpl fld="1" item="320"/>
          <tpl fld="4" item="34"/>
        </tpls>
      </m>
      <n v="1" in="0">
        <tpls c="3">
          <tpl fld="0" item="0"/>
          <tpl fld="1" item="115"/>
          <tpl fld="4" item="26"/>
        </tpls>
      </n>
      <m in="0">
        <tpls c="3">
          <tpl fld="0" item="0"/>
          <tpl fld="1" item="19"/>
          <tpl fld="4" item="23"/>
        </tpls>
      </m>
      <m in="0">
        <tpls c="3">
          <tpl fld="0" item="0"/>
          <tpl fld="1" item="265"/>
          <tpl fld="4" item="34"/>
        </tpls>
      </m>
      <m in="0">
        <tpls c="3">
          <tpl fld="0" item="0"/>
          <tpl fld="1" item="14"/>
          <tpl fld="4" item="30"/>
        </tpls>
      </m>
      <m in="0">
        <tpls c="3">
          <tpl fld="0" item="0"/>
          <tpl fld="1" item="5"/>
          <tpl fld="4" item="35"/>
        </tpls>
      </m>
      <n v="2" in="0">
        <tpls c="3">
          <tpl fld="0" item="0"/>
          <tpl fld="1" item="275"/>
          <tpl fld="4" item="31"/>
        </tpls>
      </n>
      <m in="0">
        <tpls c="3">
          <tpl fld="0" item="0"/>
          <tpl fld="1" item="197"/>
          <tpl fld="4" item="35"/>
        </tpls>
      </m>
      <m in="0">
        <tpls c="3">
          <tpl fld="0" item="0"/>
          <tpl fld="1" item="50"/>
          <tpl fld="4" item="35"/>
        </tpls>
      </m>
      <m in="0">
        <tpls c="3">
          <tpl fld="0" item="0"/>
          <tpl fld="1" item="404"/>
          <tpl fld="4" item="34"/>
        </tpls>
      </m>
      <m in="0">
        <tpls c="3">
          <tpl fld="0" item="0"/>
          <tpl fld="1" item="272"/>
          <tpl fld="4" item="29"/>
        </tpls>
      </m>
      <m in="0">
        <tpls c="3">
          <tpl fld="0" item="0"/>
          <tpl fld="1" item="16"/>
          <tpl fld="4" item="33"/>
        </tpls>
      </m>
      <m in="0">
        <tpls c="3">
          <tpl fld="0" item="0"/>
          <tpl fld="1" item="3"/>
          <tpl fld="4" item="35"/>
        </tpls>
      </m>
      <m in="0">
        <tpls c="3">
          <tpl fld="0" item="0"/>
          <tpl fld="1" item="125"/>
          <tpl fld="4" item="35"/>
        </tpls>
      </m>
      <n v="1793" in="0">
        <tpls c="3">
          <tpl fld="0" item="0"/>
          <tpl fld="1" item="313"/>
          <tpl fld="4" item="37"/>
        </tpls>
      </n>
      <m in="0">
        <tpls c="3">
          <tpl fld="0" item="0"/>
          <tpl fld="1" item="77"/>
          <tpl fld="4" item="2"/>
        </tpls>
      </m>
      <m in="0">
        <tpls c="3">
          <tpl fld="0" item="0"/>
          <tpl fld="1" item="326"/>
          <tpl fld="4" item="3"/>
        </tpls>
      </m>
      <m in="0">
        <tpls c="3">
          <tpl fld="0" item="0"/>
          <tpl fld="1" item="364"/>
          <tpl fld="4" item="4"/>
        </tpls>
      </m>
      <m in="0">
        <tpls c="3">
          <tpl fld="0" item="0"/>
          <tpl fld="1" item="196"/>
          <tpl fld="4" item="0"/>
        </tpls>
      </m>
      <m in="0">
        <tpls c="3">
          <tpl fld="0" item="0"/>
          <tpl fld="1" item="330"/>
          <tpl fld="4" item="3"/>
        </tpls>
      </m>
      <m in="0">
        <tpls c="3">
          <tpl fld="0" item="0"/>
          <tpl fld="1" item="352"/>
          <tpl fld="4" item="4"/>
        </tpls>
      </m>
      <m in="0">
        <tpls c="3">
          <tpl fld="0" item="0"/>
          <tpl fld="1" item="206"/>
          <tpl fld="4" item="4"/>
        </tpls>
      </m>
      <m in="0">
        <tpls c="3">
          <tpl fld="0" item="0"/>
          <tpl fld="1" item="257"/>
          <tpl fld="4" item="0"/>
        </tpls>
      </m>
      <m in="0">
        <tpls c="3">
          <tpl fld="0" item="0"/>
          <tpl fld="1" item="365"/>
          <tpl fld="4" item="3"/>
        </tpls>
      </m>
      <m in="0">
        <tpls c="3">
          <tpl fld="0" item="0"/>
          <tpl fld="1" item="119"/>
          <tpl fld="4" item="4"/>
        </tpls>
      </m>
      <m in="0">
        <tpls c="3">
          <tpl fld="0" item="0"/>
          <tpl fld="1" item="190"/>
          <tpl fld="4" item="3"/>
        </tpls>
      </m>
      <m in="0">
        <tpls c="3">
          <tpl fld="0" item="0"/>
          <tpl fld="1" item="404"/>
          <tpl fld="4" item="4"/>
        </tpls>
      </m>
      <m in="0">
        <tpls c="3">
          <tpl fld="0" item="0"/>
          <tpl fld="1" item="395"/>
          <tpl fld="4" item="3"/>
        </tpls>
      </m>
      <m in="0">
        <tpls c="3">
          <tpl fld="0" item="0"/>
          <tpl fld="1" item="446"/>
          <tpl fld="4" item="4"/>
        </tpls>
      </m>
      <m in="0">
        <tpls c="3">
          <tpl fld="0" item="0"/>
          <tpl fld="1" item="24"/>
          <tpl fld="4" item="4"/>
        </tpls>
      </m>
      <m in="0">
        <tpls c="3">
          <tpl fld="0" item="0"/>
          <tpl fld="1" item="369"/>
          <tpl fld="4" item="2"/>
        </tpls>
      </m>
      <m in="0">
        <tpls c="3">
          <tpl fld="0" item="0"/>
          <tpl fld="1" item="381"/>
          <tpl fld="4" item="4"/>
        </tpls>
      </m>
      <m in="0">
        <tpls c="3">
          <tpl fld="0" item="0"/>
          <tpl fld="1" item="4"/>
          <tpl fld="4" item="2"/>
        </tpls>
      </m>
      <m in="0">
        <tpls c="3">
          <tpl fld="0" item="0"/>
          <tpl fld="1" item="299"/>
          <tpl fld="4" item="4"/>
        </tpls>
      </m>
      <m in="0">
        <tpls c="3">
          <tpl fld="0" item="0"/>
          <tpl fld="1" item="330"/>
          <tpl fld="4" item="2"/>
        </tpls>
      </m>
      <m in="0">
        <tpls c="3">
          <tpl fld="0" item="0"/>
          <tpl fld="1" item="198"/>
          <tpl fld="4" item="2"/>
        </tpls>
      </m>
      <m in="0">
        <tpls c="3">
          <tpl fld="0" item="0"/>
          <tpl fld="1" item="301"/>
          <tpl fld="4" item="2"/>
        </tpls>
      </m>
      <n v="437" in="0">
        <tpls c="3">
          <tpl fld="0" item="0"/>
          <tpl fld="1" item="144"/>
          <tpl fld="4" item="37"/>
        </tpls>
      </n>
      <m in="0">
        <tpls c="3">
          <tpl fld="0" item="0"/>
          <tpl fld="1" item="311"/>
          <tpl fld="4" item="2"/>
        </tpls>
      </m>
      <m in="0">
        <tpls c="3">
          <tpl fld="0" item="0"/>
          <tpl fld="1" item="112"/>
          <tpl fld="4" item="2"/>
        </tpls>
      </m>
      <n v="20" in="0">
        <tpls c="3">
          <tpl fld="0" item="0"/>
          <tpl fld="1" item="16"/>
          <tpl fld="4" item="37"/>
        </tpls>
      </n>
      <n v="1" in="0">
        <tpls c="3">
          <tpl fld="0" item="0"/>
          <tpl fld="1" item="171"/>
          <tpl fld="4" item="40"/>
        </tpls>
      </n>
      <n v="17" in="0">
        <tpls c="3">
          <tpl fld="0" item="0"/>
          <tpl fld="1" item="427"/>
          <tpl fld="4" item="36"/>
        </tpls>
      </n>
      <n v="766" in="0">
        <tpls c="3">
          <tpl fld="0" item="0"/>
          <tpl fld="1" item="385"/>
          <tpl fld="4" item="37"/>
        </tpls>
      </n>
      <n v="7" in="0">
        <tpls c="3">
          <tpl fld="0" item="0"/>
          <tpl fld="1" item="200"/>
          <tpl fld="4" item="36"/>
        </tpls>
      </n>
      <m in="0">
        <tpls c="3">
          <tpl fld="0" item="0"/>
          <tpl fld="1" item="23"/>
          <tpl fld="4" item="37"/>
        </tpls>
      </m>
      <m in="0">
        <tpls c="3">
          <tpl fld="0" item="0"/>
          <tpl fld="1" item="134"/>
          <tpl fld="4" item="36"/>
        </tpls>
      </m>
      <n v="640" in="0">
        <tpls c="3">
          <tpl fld="0" item="0"/>
          <tpl fld="1" item="447"/>
          <tpl fld="4" item="37"/>
        </tpls>
      </n>
      <m in="0">
        <tpls c="3">
          <tpl fld="0" item="0"/>
          <tpl fld="1" item="303"/>
          <tpl fld="4" item="36"/>
        </tpls>
      </m>
      <m in="0">
        <tpls c="3">
          <tpl fld="0" item="0"/>
          <tpl fld="1" item="391"/>
          <tpl fld="4" item="37"/>
        </tpls>
      </m>
      <m in="0">
        <tpls c="3">
          <tpl fld="0" item="0"/>
          <tpl fld="1" item="198"/>
          <tpl fld="4" item="36"/>
        </tpls>
      </m>
      <m in="0">
        <tpls c="3">
          <tpl fld="0" item="0"/>
          <tpl fld="1" item="40"/>
          <tpl fld="4" item="37"/>
        </tpls>
      </m>
      <m in="0">
        <tpls c="3">
          <tpl fld="0" item="0"/>
          <tpl fld="1" item="93"/>
          <tpl fld="4" item="37"/>
        </tpls>
      </m>
      <m in="0">
        <tpls c="3">
          <tpl fld="0" item="0"/>
          <tpl fld="1" item="23"/>
          <tpl fld="4" item="39"/>
        </tpls>
      </m>
      <n v="9" in="0">
        <tpls c="3">
          <tpl fld="0" item="0"/>
          <tpl fld="1" item="359"/>
          <tpl fld="4" item="37"/>
        </tpls>
      </n>
      <n v="10" in="0">
        <tpls c="3">
          <tpl fld="0" item="0"/>
          <tpl fld="1" item="281"/>
          <tpl fld="4" item="39"/>
        </tpls>
      </n>
      <n v="5" in="0">
        <tpls c="3">
          <tpl fld="0" item="0"/>
          <tpl fld="1" item="129"/>
          <tpl fld="4" item="37"/>
        </tpls>
      </n>
      <m in="0">
        <tpls c="3">
          <tpl fld="0" item="0"/>
          <tpl fld="1" item="445"/>
          <tpl fld="4" item="39"/>
        </tpls>
      </m>
      <n v="14" in="0">
        <tpls c="3">
          <tpl fld="0" item="0"/>
          <tpl fld="1" item="142"/>
          <tpl fld="4" item="37"/>
        </tpls>
      </n>
      <n v="1" in="0">
        <tpls c="3">
          <tpl fld="0" item="0"/>
          <tpl fld="1" item="224"/>
          <tpl fld="4" item="38"/>
        </tpls>
      </n>
      <m in="0">
        <tpls c="3">
          <tpl fld="0" item="0"/>
          <tpl fld="1" item="300"/>
          <tpl fld="4" item="35"/>
        </tpls>
      </m>
      <m in="0">
        <tpls c="3">
          <tpl fld="0" item="0"/>
          <tpl fld="1" item="28"/>
          <tpl fld="4" item="34"/>
        </tpls>
      </m>
      <m in="0">
        <tpls c="3">
          <tpl fld="0" item="0"/>
          <tpl fld="1" item="131"/>
          <tpl fld="4" item="34"/>
        </tpls>
      </m>
      <m in="0">
        <tpls c="3">
          <tpl fld="0" item="0"/>
          <tpl fld="1" item="83"/>
          <tpl fld="4" item="30"/>
        </tpls>
      </m>
      <m in="0">
        <tpls c="3">
          <tpl fld="0" item="0"/>
          <tpl fld="1" item="143"/>
          <tpl fld="4" item="35"/>
        </tpls>
      </m>
      <m in="0">
        <tpls c="3">
          <tpl fld="0" item="0"/>
          <tpl fld="1" item="234"/>
          <tpl fld="4" item="32"/>
        </tpls>
      </m>
      <m in="0">
        <tpls c="3">
          <tpl fld="0" item="0"/>
          <tpl fld="1" item="107"/>
          <tpl fld="4" item="35"/>
        </tpls>
      </m>
      <m in="0">
        <tpls c="3">
          <tpl fld="0" item="0"/>
          <tpl fld="1" item="83"/>
          <tpl fld="4" item="35"/>
        </tpls>
      </m>
      <m in="0">
        <tpls c="3">
          <tpl fld="0" item="0"/>
          <tpl fld="1" item="233"/>
          <tpl fld="4" item="34"/>
        </tpls>
      </m>
      <m in="0">
        <tpls c="3">
          <tpl fld="0" item="0"/>
          <tpl fld="1" item="418"/>
          <tpl fld="4" item="35"/>
        </tpls>
      </m>
      <m in="0">
        <tpls c="3">
          <tpl fld="0" item="0"/>
          <tpl fld="1" item="244"/>
          <tpl fld="4" item="0"/>
        </tpls>
      </m>
      <m in="0">
        <tpls c="3">
          <tpl fld="0" item="0"/>
          <tpl fld="1" item="335"/>
          <tpl fld="4" item="0"/>
        </tpls>
      </m>
      <m in="0">
        <tpls c="3">
          <tpl fld="0" item="0"/>
          <tpl fld="1" item="290"/>
          <tpl fld="4" item="0"/>
        </tpls>
      </m>
      <m in="0">
        <tpls c="3">
          <tpl fld="0" item="0"/>
          <tpl fld="1" item="10"/>
          <tpl fld="4" item="3"/>
        </tpls>
      </m>
      <m in="0">
        <tpls c="3">
          <tpl fld="0" item="0"/>
          <tpl fld="1" item="429"/>
          <tpl fld="4" item="4"/>
        </tpls>
      </m>
      <m in="0">
        <tpls c="3">
          <tpl fld="0" item="0"/>
          <tpl fld="1" item="253"/>
          <tpl fld="4" item="0"/>
        </tpls>
      </m>
      <m in="0">
        <tpls c="3">
          <tpl fld="0" item="0"/>
          <tpl fld="1" item="360"/>
          <tpl fld="4" item="4"/>
        </tpls>
      </m>
      <m in="0">
        <tpls c="3">
          <tpl fld="0" item="0"/>
          <tpl fld="1" item="207"/>
          <tpl fld="4" item="3"/>
        </tpls>
      </m>
      <m in="0">
        <tpls c="3">
          <tpl fld="0" item="0"/>
          <tpl fld="1" item="308"/>
          <tpl fld="4" item="4"/>
        </tpls>
      </m>
      <m in="0">
        <tpls c="3">
          <tpl fld="0" item="0"/>
          <tpl fld="1" item="455"/>
          <tpl fld="4" item="0"/>
        </tpls>
      </m>
      <m in="0">
        <tpls c="3">
          <tpl fld="0" item="0"/>
          <tpl fld="1" item="88"/>
          <tpl fld="4" item="3"/>
        </tpls>
      </m>
      <m in="0">
        <tpls c="3">
          <tpl fld="0" item="0"/>
          <tpl fld="1" item="218"/>
          <tpl fld="4" item="2"/>
        </tpls>
      </m>
      <m in="0">
        <tpls c="3">
          <tpl fld="0" item="0"/>
          <tpl fld="1" item="76"/>
          <tpl fld="4" item="3"/>
        </tpls>
      </m>
      <m in="0">
        <tpls c="3">
          <tpl fld="0" item="0"/>
          <tpl fld="1" item="192"/>
          <tpl fld="4" item="2"/>
        </tpls>
      </m>
      <m in="0">
        <tpls c="3">
          <tpl fld="0" item="0"/>
          <tpl fld="1" item="246"/>
          <tpl fld="4" item="3"/>
        </tpls>
      </m>
      <m in="0">
        <tpls c="3">
          <tpl fld="0" item="0"/>
          <tpl fld="1" item="435"/>
          <tpl fld="4" item="2"/>
        </tpls>
      </m>
      <m in="0">
        <tpls c="3">
          <tpl fld="0" item="0"/>
          <tpl fld="1" item="237"/>
          <tpl fld="4" item="4"/>
        </tpls>
      </m>
      <m in="0">
        <tpls c="3">
          <tpl fld="0" item="0"/>
          <tpl fld="1" item="435"/>
          <tpl fld="4" item="36"/>
        </tpls>
      </m>
      <m in="0">
        <tpls c="3">
          <tpl fld="0" item="0"/>
          <tpl fld="1" item="62"/>
          <tpl fld="4" item="4"/>
        </tpls>
      </m>
      <n v="13" in="0">
        <tpls c="3">
          <tpl fld="0" item="0"/>
          <tpl fld="1" item="386"/>
          <tpl fld="4" item="36"/>
        </tpls>
      </n>
      <m in="0">
        <tpls c="3">
          <tpl fld="0" item="0"/>
          <tpl fld="1" item="280"/>
          <tpl fld="4" item="4"/>
        </tpls>
      </m>
      <n v="793" in="0">
        <tpls c="3">
          <tpl fld="0" item="0"/>
          <tpl fld="1" item="380"/>
          <tpl fld="4" item="36"/>
        </tpls>
      </n>
      <m in="0">
        <tpls c="3">
          <tpl fld="0" item="0"/>
          <tpl fld="1" item="414"/>
          <tpl fld="4" item="36"/>
        </tpls>
      </m>
      <m in="0">
        <tpls c="3">
          <tpl fld="0" item="0"/>
          <tpl fld="1" item="50"/>
          <tpl fld="4" item="2"/>
        </tpls>
      </m>
      <m in="0">
        <tpls c="3">
          <tpl fld="0" item="0"/>
          <tpl fld="1" item="168"/>
          <tpl fld="4" item="2"/>
        </tpls>
      </m>
      <n v="17" in="0">
        <tpls c="3">
          <tpl fld="0" item="0"/>
          <tpl fld="1" item="4"/>
          <tpl fld="4" item="36"/>
        </tpls>
      </n>
      <n v="10" in="0">
        <tpls c="3">
          <tpl fld="0" item="0"/>
          <tpl fld="1" item="173"/>
          <tpl fld="4" item="36"/>
        </tpls>
      </n>
      <m in="0">
        <tpls c="3">
          <tpl fld="0" item="0"/>
          <tpl fld="1" item="1"/>
          <tpl fld="4" item="37"/>
        </tpls>
      </m>
      <m in="0">
        <tpls c="3">
          <tpl fld="0" item="0"/>
          <tpl fld="1" item="122"/>
          <tpl fld="4" item="2"/>
        </tpls>
      </m>
      <m in="0">
        <tpls c="3">
          <tpl fld="0" item="0"/>
          <tpl fld="1" item="416"/>
          <tpl fld="4" item="36"/>
        </tpls>
      </m>
      <m in="0">
        <tpls c="3">
          <tpl fld="0" item="0"/>
          <tpl fld="1" item="404"/>
          <tpl fld="4" item="39"/>
        </tpls>
      </m>
      <n v="16" in="0">
        <tpls c="3">
          <tpl fld="0" item="0"/>
          <tpl fld="1" item="290"/>
          <tpl fld="4" item="36"/>
        </tpls>
      </n>
      <m in="0">
        <tpls c="3">
          <tpl fld="0" item="0"/>
          <tpl fld="1" item="88"/>
          <tpl fld="4" item="37"/>
        </tpls>
      </m>
      <n v="51" in="0">
        <tpls c="3">
          <tpl fld="0" item="0"/>
          <tpl fld="1" item="205"/>
          <tpl fld="4" item="37"/>
        </tpls>
      </n>
      <m in="0">
        <tpls c="3">
          <tpl fld="0" item="0"/>
          <tpl fld="1" item="0"/>
          <tpl fld="4" item="2"/>
        </tpls>
      </m>
      <m in="0">
        <tpls c="3">
          <tpl fld="0" item="0"/>
          <tpl fld="1" item="113"/>
          <tpl fld="4" item="37"/>
        </tpls>
      </m>
      <m in="0">
        <tpls c="3">
          <tpl fld="0" item="0"/>
          <tpl fld="1" item="446"/>
          <tpl fld="4" item="2"/>
        </tpls>
      </m>
      <m in="0">
        <tpls c="3">
          <tpl fld="0" item="0"/>
          <tpl fld="1" item="13"/>
          <tpl fld="4" item="36"/>
        </tpls>
      </m>
      <m in="0">
        <tpls c="3">
          <tpl fld="0" item="0"/>
          <tpl fld="1" item="297"/>
          <tpl fld="4" item="38"/>
        </tpls>
      </m>
      <n v="38" in="0">
        <tpls c="3">
          <tpl fld="0" item="0"/>
          <tpl fld="1" item="107"/>
          <tpl fld="4" item="38"/>
        </tpls>
      </n>
      <m in="0">
        <tpls c="3">
          <tpl fld="0" item="0"/>
          <tpl fld="1" item="40"/>
          <tpl fld="4" item="39"/>
        </tpls>
      </m>
      <m in="0">
        <tpls c="3">
          <tpl fld="0" item="0"/>
          <tpl fld="1" item="44"/>
          <tpl fld="4" item="38"/>
        </tpls>
      </m>
      <m in="0">
        <tpls c="3">
          <tpl fld="0" item="0"/>
          <tpl fld="1" item="93"/>
          <tpl fld="4" item="39"/>
        </tpls>
      </m>
      <n v="3" in="0">
        <tpls c="3">
          <tpl fld="0" item="0"/>
          <tpl fld="1" item="41"/>
          <tpl fld="4" item="38"/>
        </tpls>
      </n>
      <m in="0">
        <tpls c="3">
          <tpl fld="0" item="0"/>
          <tpl fld="1" item="15"/>
          <tpl fld="4" item="39"/>
        </tpls>
      </m>
      <m in="0">
        <tpls c="3">
          <tpl fld="0" item="0"/>
          <tpl fld="1" item="195"/>
          <tpl fld="4" item="38"/>
        </tpls>
      </m>
      <m in="0">
        <tpls c="3">
          <tpl fld="0" item="0"/>
          <tpl fld="1" item="270"/>
          <tpl fld="4" item="39"/>
        </tpls>
      </m>
      <m in="0">
        <tpls c="3">
          <tpl fld="0" item="0"/>
          <tpl fld="1" item="406"/>
          <tpl fld="4" item="34"/>
        </tpls>
      </m>
      <m in="0">
        <tpls c="3">
          <tpl fld="0" item="0"/>
          <tpl fld="1" item="1"/>
          <tpl fld="4" item="33"/>
        </tpls>
      </m>
      <m in="0">
        <tpls c="3">
          <tpl fld="0" item="0"/>
          <tpl fld="1" item="380"/>
          <tpl fld="4" item="35"/>
        </tpls>
      </m>
      <m in="0">
        <tpls c="3">
          <tpl fld="0" item="0"/>
          <tpl fld="1" item="335"/>
          <tpl fld="4" item="31"/>
        </tpls>
      </m>
      <m in="0">
        <tpls c="3">
          <tpl fld="0" item="0"/>
          <tpl fld="1" item="2"/>
          <tpl fld="4" item="35"/>
        </tpls>
      </m>
      <m in="0">
        <tpls c="3">
          <tpl fld="0" item="0"/>
          <tpl fld="1" item="396"/>
          <tpl fld="4" item="35"/>
        </tpls>
      </m>
      <m in="0">
        <tpls c="3">
          <tpl fld="0" item="0"/>
          <tpl fld="1" item="43"/>
          <tpl fld="4" item="34"/>
        </tpls>
      </m>
      <m in="0">
        <tpls c="3">
          <tpl fld="0" item="0"/>
          <tpl fld="1" item="308"/>
          <tpl fld="4" item="35"/>
        </tpls>
      </m>
      <n v="6" in="0">
        <tpls c="3">
          <tpl fld="0" item="0"/>
          <tpl fld="1" item="47"/>
          <tpl fld="4" item="33"/>
        </tpls>
      </n>
      <m in="0">
        <tpls c="3">
          <tpl fld="0" item="0"/>
          <tpl fld="1" item="326"/>
          <tpl fld="4" item="35"/>
        </tpls>
      </m>
      <m in="0">
        <tpls c="3">
          <tpl fld="0" item="0"/>
          <tpl fld="1" item="91"/>
          <tpl fld="4" item="34"/>
        </tpls>
      </m>
      <m in="0">
        <tpls c="3">
          <tpl fld="0" item="0"/>
          <tpl fld="1" item="213"/>
          <tpl fld="4" item="4"/>
        </tpls>
      </m>
      <m in="0">
        <tpls c="3">
          <tpl fld="0" item="0"/>
          <tpl fld="1" item="425"/>
          <tpl fld="4" item="4"/>
        </tpls>
      </m>
      <m in="0">
        <tpls c="3">
          <tpl fld="0" item="0"/>
          <tpl fld="1" item="453"/>
          <tpl fld="4" item="0"/>
        </tpls>
      </m>
      <m in="0">
        <tpls c="3">
          <tpl fld="0" item="0"/>
          <tpl fld="1" item="228"/>
          <tpl fld="4" item="4"/>
        </tpls>
      </m>
      <m in="0">
        <tpls c="3">
          <tpl fld="0" item="0"/>
          <tpl fld="1" item="216"/>
          <tpl fld="4" item="0"/>
        </tpls>
      </m>
      <m in="0">
        <tpls c="3">
          <tpl fld="0" item="0"/>
          <tpl fld="1" item="210"/>
          <tpl fld="4" item="3"/>
        </tpls>
      </m>
      <m in="0">
        <tpls c="3">
          <tpl fld="0" item="0"/>
          <tpl fld="1" item="5"/>
          <tpl fld="4" item="4"/>
        </tpls>
      </m>
      <m in="0">
        <tpls c="3">
          <tpl fld="0" item="0"/>
          <tpl fld="1" item="33"/>
          <tpl fld="4" item="4"/>
        </tpls>
      </m>
      <m in="0">
        <tpls c="3">
          <tpl fld="0" item="0"/>
          <tpl fld="1" item="24"/>
          <tpl fld="4" item="0"/>
        </tpls>
      </m>
      <m in="0">
        <tpls c="3">
          <tpl fld="0" item="0"/>
          <tpl fld="1" item="371"/>
          <tpl fld="4" item="3"/>
        </tpls>
      </m>
      <m in="0">
        <tpls c="3">
          <tpl fld="0" item="0"/>
          <tpl fld="1" item="371"/>
          <tpl fld="4" item="4"/>
        </tpls>
      </m>
      <m in="0">
        <tpls c="3">
          <tpl fld="0" item="0"/>
          <tpl fld="1" item="204"/>
          <tpl fld="4" item="3"/>
        </tpls>
      </m>
      <m in="0">
        <tpls c="3">
          <tpl fld="0" item="0"/>
          <tpl fld="1" item="410"/>
          <tpl fld="4" item="4"/>
        </tpls>
      </m>
      <m in="0">
        <tpls c="3">
          <tpl fld="0" item="0"/>
          <tpl fld="1" item="35"/>
          <tpl fld="4" item="3"/>
        </tpls>
      </m>
      <m in="0">
        <tpls c="3">
          <tpl fld="0" item="0"/>
          <tpl fld="1" item="361"/>
          <tpl fld="4" item="4"/>
        </tpls>
      </m>
      <m in="0">
        <tpls c="3">
          <tpl fld="0" item="0"/>
          <tpl fld="1" item="0"/>
          <tpl fld="4" item="3"/>
        </tpls>
      </m>
      <n v="11" in="0">
        <tpls c="3">
          <tpl fld="0" item="0"/>
          <tpl fld="1" item="37"/>
          <tpl fld="4" item="36"/>
        </tpls>
      </n>
      <m in="0">
        <tpls c="3">
          <tpl fld="0" item="0"/>
          <tpl fld="1" item="25"/>
          <tpl fld="4" item="4"/>
        </tpls>
      </m>
      <m in="0">
        <tpls c="3">
          <tpl fld="0" item="0"/>
          <tpl fld="1" item="316"/>
          <tpl fld="4" item="2"/>
        </tpls>
      </m>
      <m in="0">
        <tpls c="3">
          <tpl fld="0" item="0"/>
          <tpl fld="1" item="344"/>
          <tpl fld="4" item="4"/>
        </tpls>
      </m>
      <m in="0">
        <tpls c="3">
          <tpl fld="0" item="0"/>
          <tpl fld="1" item="449"/>
          <tpl fld="4" item="2"/>
        </tpls>
      </m>
      <m in="0">
        <tpls c="3">
          <tpl fld="0" item="0"/>
          <tpl fld="1" item="170"/>
          <tpl fld="4" item="2"/>
        </tpls>
      </m>
      <m in="0">
        <tpls c="3">
          <tpl fld="0" item="0"/>
          <tpl fld="1" item="156"/>
          <tpl fld="4" item="2"/>
        </tpls>
      </m>
      <n v="1985" in="0">
        <tpls c="3">
          <tpl fld="0" item="0"/>
          <tpl fld="1" item="107"/>
          <tpl fld="4" item="37"/>
        </tpls>
      </n>
      <m in="0">
        <tpls c="3">
          <tpl fld="0" item="0"/>
          <tpl fld="1" item="351"/>
          <tpl fld="4" item="2"/>
        </tpls>
      </m>
      <m in="0">
        <tpls c="3">
          <tpl fld="0" item="0"/>
          <tpl fld="1" item="438"/>
          <tpl fld="4" item="2"/>
        </tpls>
      </m>
      <n v="136" in="0">
        <tpls c="3">
          <tpl fld="0" item="0"/>
          <tpl fld="1" item="447"/>
          <tpl fld="4" item="36"/>
        </tpls>
      </n>
      <m in="0">
        <tpls c="3">
          <tpl fld="0" item="0"/>
          <tpl fld="1" item="180"/>
          <tpl fld="4" item="38"/>
        </tpls>
      </m>
      <n v="61" in="0">
        <tpls c="3">
          <tpl fld="0" item="0"/>
          <tpl fld="1" item="279"/>
          <tpl fld="4" item="36"/>
        </tpls>
      </n>
      <m in="0">
        <tpls c="3">
          <tpl fld="0" item="0"/>
          <tpl fld="1" item="220"/>
          <tpl fld="4" item="37"/>
        </tpls>
      </m>
      <m in="0">
        <tpls c="3">
          <tpl fld="0" item="0"/>
          <tpl fld="1" item="135"/>
          <tpl fld="4" item="36"/>
        </tpls>
      </m>
      <n v="108" in="0">
        <tpls c="3">
          <tpl fld="0" item="0"/>
          <tpl fld="1" item="77"/>
          <tpl fld="4" item="37"/>
        </tpls>
      </n>
      <m in="0">
        <tpls c="3">
          <tpl fld="0" item="0"/>
          <tpl fld="1" item="355"/>
          <tpl fld="4" item="36"/>
        </tpls>
      </m>
      <m in="0">
        <tpls c="3">
          <tpl fld="0" item="0"/>
          <tpl fld="1" item="112"/>
          <tpl fld="4" item="37"/>
        </tpls>
      </m>
      <m in="0">
        <tpls c="3">
          <tpl fld="0" item="0"/>
          <tpl fld="1" item="353"/>
          <tpl fld="4" item="36"/>
        </tpls>
      </m>
      <m in="0">
        <tpls c="3">
          <tpl fld="0" item="0"/>
          <tpl fld="1" item="95"/>
          <tpl fld="4" item="37"/>
        </tpls>
      </m>
      <m in="0">
        <tpls c="3">
          <tpl fld="0" item="0"/>
          <tpl fld="1" item="53"/>
          <tpl fld="4" item="34"/>
        </tpls>
      </m>
      <n v="1" in="0">
        <tpls c="3">
          <tpl fld="0" item="0"/>
          <tpl fld="1" item="175"/>
          <tpl fld="4" item="30"/>
        </tpls>
      </n>
      <m in="0">
        <tpls c="3">
          <tpl fld="0" item="0"/>
          <tpl fld="1" item="186"/>
          <tpl fld="4" item="35"/>
        </tpls>
      </m>
      <m in="0">
        <tpls c="3">
          <tpl fld="0" item="0"/>
          <tpl fld="1" item="237"/>
          <tpl fld="4" item="24"/>
        </tpls>
      </m>
      <m in="0">
        <tpls c="3">
          <tpl fld="0" item="0"/>
          <tpl fld="1" item="395"/>
          <tpl fld="4" item="35"/>
        </tpls>
      </m>
      <m in="0">
        <tpls c="3">
          <tpl fld="0" item="0"/>
          <tpl fld="1" item="268"/>
          <tpl fld="4" item="20"/>
        </tpls>
      </m>
      <m in="0">
        <tpls c="3">
          <tpl fld="0" item="0"/>
          <tpl fld="1" item="145"/>
          <tpl fld="4" item="34"/>
        </tpls>
      </m>
      <m in="0">
        <tpls c="3">
          <tpl fld="0" item="0"/>
          <tpl fld="1" item="62"/>
          <tpl fld="4" item="31"/>
        </tpls>
      </m>
      <m in="0">
        <tpls c="3">
          <tpl fld="0" item="0"/>
          <tpl fld="1" item="293"/>
          <tpl fld="4" item="30"/>
        </tpls>
      </m>
      <m in="0">
        <tpls c="3">
          <tpl fld="0" item="0"/>
          <tpl fld="1" item="414"/>
          <tpl fld="4" item="35"/>
        </tpls>
      </m>
      <m in="0">
        <tpls c="3">
          <tpl fld="0" item="0"/>
          <tpl fld="1" item="84"/>
          <tpl fld="4" item="35"/>
        </tpls>
      </m>
      <m in="0">
        <tpls c="3">
          <tpl fld="0" item="0"/>
          <tpl fld="1" item="262"/>
          <tpl fld="4" item="0"/>
        </tpls>
      </m>
      <m in="0">
        <tpls c="3">
          <tpl fld="0" item="0"/>
          <tpl fld="1" item="54"/>
          <tpl fld="4" item="6"/>
        </tpls>
      </m>
      <m in="0">
        <tpls c="3">
          <tpl fld="0" item="0"/>
          <tpl fld="1" item="421"/>
          <tpl fld="4" item="0"/>
        </tpls>
      </m>
      <m in="0">
        <tpls c="3">
          <tpl fld="0" item="0"/>
          <tpl fld="1" item="245"/>
          <tpl fld="4" item="3"/>
        </tpls>
      </m>
      <m in="0">
        <tpls c="3">
          <tpl fld="0" item="0"/>
          <tpl fld="1" item="128"/>
          <tpl fld="4" item="4"/>
        </tpls>
      </m>
      <n v="1" in="0">
        <tpls c="3">
          <tpl fld="0" item="0"/>
          <tpl fld="1" item="437"/>
          <tpl fld="4" item="0"/>
        </tpls>
      </n>
      <m in="0">
        <tpls c="3">
          <tpl fld="0" item="0"/>
          <tpl fld="1" item="175"/>
          <tpl fld="4" item="3"/>
        </tpls>
      </m>
      <m in="0">
        <tpls c="3">
          <tpl fld="0" item="0"/>
          <tpl fld="1" item="53"/>
          <tpl fld="4" item="2"/>
        </tpls>
      </m>
      <m in="0">
        <tpls c="3">
          <tpl fld="0" item="0"/>
          <tpl fld="1" item="310"/>
          <tpl fld="4" item="4"/>
        </tpls>
      </m>
      <m in="0">
        <tpls c="3">
          <tpl fld="0" item="0"/>
          <tpl fld="1" item="227"/>
          <tpl fld="4" item="0"/>
        </tpls>
      </m>
      <m in="0">
        <tpls c="3">
          <tpl fld="0" item="0"/>
          <tpl fld="1" item="130"/>
          <tpl fld="4" item="3"/>
        </tpls>
      </m>
      <m in="0">
        <tpls c="3">
          <tpl fld="0" item="0"/>
          <tpl fld="1" item="100"/>
          <tpl fld="4" item="4"/>
        </tpls>
      </m>
      <m in="0">
        <tpls c="3">
          <tpl fld="0" item="0"/>
          <tpl fld="1" item="450"/>
          <tpl fld="4" item="3"/>
        </tpls>
      </m>
      <m in="0">
        <tpls c="3">
          <tpl fld="0" item="0"/>
          <tpl fld="1" item="29"/>
          <tpl fld="4" item="4"/>
        </tpls>
      </m>
      <m in="0">
        <tpls c="3">
          <tpl fld="0" item="0"/>
          <tpl fld="1" item="386"/>
          <tpl fld="4" item="3"/>
        </tpls>
      </m>
      <m in="0">
        <tpls c="3">
          <tpl fld="0" item="0"/>
          <tpl fld="1" item="282"/>
          <tpl fld="4" item="4"/>
        </tpls>
      </m>
      <m in="0">
        <tpls c="3">
          <tpl fld="0" item="0"/>
          <tpl fld="1" item="192"/>
          <tpl fld="4" item="4"/>
        </tpls>
      </m>
      <m in="0">
        <tpls c="3">
          <tpl fld="0" item="0"/>
          <tpl fld="1" item="186"/>
          <tpl fld="4" item="2"/>
        </tpls>
      </m>
      <m in="0">
        <tpls c="3">
          <tpl fld="0" item="0"/>
          <tpl fld="1" item="196"/>
          <tpl fld="4" item="4"/>
        </tpls>
      </m>
      <m in="0">
        <tpls c="3">
          <tpl fld="0" item="0"/>
          <tpl fld="1" item="263"/>
          <tpl fld="4" item="2"/>
        </tpls>
      </m>
      <m in="0">
        <tpls c="3">
          <tpl fld="0" item="0"/>
          <tpl fld="1" item="244"/>
          <tpl fld="4" item="4"/>
        </tpls>
      </m>
      <m in="0">
        <tpls c="3">
          <tpl fld="0" item="0"/>
          <tpl fld="1" item="368"/>
          <tpl fld="4" item="2"/>
        </tpls>
      </m>
      <m in="0">
        <tpls c="3">
          <tpl fld="0" item="0"/>
          <tpl fld="1" item="455"/>
          <tpl fld="4" item="2"/>
        </tpls>
      </m>
      <m in="0">
        <tpls c="3">
          <tpl fld="0" item="0"/>
          <tpl fld="1" item="240"/>
          <tpl fld="4" item="2"/>
        </tpls>
      </m>
      <m in="0">
        <tpls c="3">
          <tpl fld="0" item="0"/>
          <tpl fld="1" item="162"/>
          <tpl fld="4" item="38"/>
        </tpls>
      </m>
      <m in="0">
        <tpls c="3">
          <tpl fld="0" item="0"/>
          <tpl fld="1" item="433"/>
          <tpl fld="4" item="2"/>
        </tpls>
      </m>
      <m in="0">
        <tpls c="3">
          <tpl fld="0" item="0"/>
          <tpl fld="1" item="318"/>
          <tpl fld="4" item="2"/>
        </tpls>
      </m>
      <m in="0">
        <tpls c="3">
          <tpl fld="0" item="0"/>
          <tpl fld="1" item="188"/>
          <tpl fld="4" item="37"/>
        </tpls>
      </m>
      <m in="0">
        <tpls c="3">
          <tpl fld="0" item="0"/>
          <tpl fld="1" item="336"/>
          <tpl fld="4" item="2"/>
        </tpls>
      </m>
      <n v="333" in="0">
        <tpls c="3">
          <tpl fld="0" item="0"/>
          <tpl fld="1" item="377"/>
          <tpl fld="4" item="36"/>
        </tpls>
      </n>
      <n v="21" in="0">
        <tpls c="3">
          <tpl fld="0" item="0"/>
          <tpl fld="1" item="214"/>
          <tpl fld="4" item="37"/>
        </tpls>
      </n>
      <m in="0">
        <tpls c="3">
          <tpl fld="0" item="0"/>
          <tpl fld="1" item="131"/>
          <tpl fld="4" item="36"/>
        </tpls>
      </m>
      <m in="0">
        <tpls c="3">
          <tpl fld="0" item="0"/>
          <tpl fld="1" item="445"/>
          <tpl fld="4" item="37"/>
        </tpls>
      </m>
      <n v="233" in="0">
        <tpls c="3">
          <tpl fld="0" item="0"/>
          <tpl fld="1" item="144"/>
          <tpl fld="4" item="36"/>
        </tpls>
      </n>
      <n v="3" in="0">
        <tpls c="3">
          <tpl fld="0" item="0"/>
          <tpl fld="1" item="322"/>
          <tpl fld="4" item="38"/>
        </tpls>
      </n>
      <n v="1" in="0">
        <tpls c="3">
          <tpl fld="0" item="0"/>
          <tpl fld="1" item="81"/>
          <tpl fld="4" item="36"/>
        </tpls>
      </n>
      <m in="0">
        <tpls c="3">
          <tpl fld="0" item="0"/>
          <tpl fld="1" item="315"/>
          <tpl fld="4" item="38"/>
        </tpls>
      </m>
      <m in="0">
        <tpls c="3">
          <tpl fld="0" item="0"/>
          <tpl fld="1" item="29"/>
          <tpl fld="4" item="36"/>
        </tpls>
      </m>
      <m in="0">
        <tpls c="3">
          <tpl fld="0" item="0"/>
          <tpl fld="1" item="353"/>
          <tpl fld="4" item="37"/>
        </tpls>
      </m>
      <m in="0">
        <tpls c="3">
          <tpl fld="0" item="0"/>
          <tpl fld="1" item="263"/>
          <tpl fld="4" item="37"/>
        </tpls>
      </m>
      <n v="23" in="0">
        <tpls c="3">
          <tpl fld="0" item="0"/>
          <tpl fld="1" item="400"/>
          <tpl fld="4" item="39"/>
        </tpls>
      </n>
      <m in="0">
        <tpls c="3">
          <tpl fld="0" item="0"/>
          <tpl fld="1" item="34"/>
          <tpl fld="4" item="37"/>
        </tpls>
      </m>
      <m in="0">
        <tpls c="3">
          <tpl fld="0" item="0"/>
          <tpl fld="1" item="340"/>
          <tpl fld="4" item="39"/>
        </tpls>
      </m>
      <m in="0">
        <tpls c="3">
          <tpl fld="0" item="0"/>
          <tpl fld="1" item="73"/>
          <tpl fld="4" item="37"/>
        </tpls>
      </m>
      <n v="1" in="0">
        <tpls c="3">
          <tpl fld="0" item="0"/>
          <tpl fld="1" item="267"/>
          <tpl fld="4" item="39"/>
        </tpls>
      </n>
      <m in="0">
        <tpls c="3">
          <tpl fld="0" item="0"/>
          <tpl fld="1" item="5"/>
          <tpl fld="4" item="37"/>
        </tpls>
      </m>
      <n v="4" in="0">
        <tpls c="3">
          <tpl fld="0" item="0"/>
          <tpl fld="1" item="249"/>
          <tpl fld="4" item="38"/>
        </tpls>
      </n>
      <m in="0">
        <tpls c="3">
          <tpl fld="0" item="0"/>
          <tpl fld="1" item="236"/>
          <tpl fld="4" item="38"/>
        </tpls>
      </m>
      <m in="0">
        <tpls c="3">
          <tpl fld="0" item="0"/>
          <tpl fld="1" item="387"/>
          <tpl fld="4" item="39"/>
        </tpls>
      </m>
      <n v="1" in="0">
        <tpls c="3">
          <tpl fld="0" item="0"/>
          <tpl fld="1" item="25"/>
          <tpl fld="4" item="38"/>
        </tpls>
      </n>
      <n v="3" in="0">
        <tpls c="3">
          <tpl fld="0" item="0"/>
          <tpl fld="1" item="290"/>
          <tpl fld="4" item="40"/>
        </tpls>
      </n>
      <n v="17" in="0">
        <tpls c="3">
          <tpl fld="0" item="0"/>
          <tpl fld="1" item="89"/>
          <tpl fld="4" item="40"/>
        </tpls>
      </n>
      <m in="0">
        <tpls c="3">
          <tpl fld="0" item="0"/>
          <tpl fld="1" item="219"/>
          <tpl fld="4" item="35"/>
        </tpls>
      </m>
      <m in="0">
        <tpls c="3">
          <tpl fld="0" item="0"/>
          <tpl fld="1" item="58"/>
          <tpl fld="4" item="34"/>
        </tpls>
      </m>
      <n v="1" in="0">
        <tpls c="3">
          <tpl fld="0" item="0"/>
          <tpl fld="1" item="199"/>
          <tpl fld="4" item="35"/>
        </tpls>
      </n>
      <m in="0">
        <tpls c="3">
          <tpl fld="0" item="0"/>
          <tpl fld="1" item="282"/>
          <tpl fld="4" item="33"/>
        </tpls>
      </m>
      <m in="0">
        <tpls c="3">
          <tpl fld="0" item="0"/>
          <tpl fld="1" item="436"/>
          <tpl fld="4" item="35"/>
        </tpls>
      </m>
      <m in="0">
        <tpls c="3">
          <tpl fld="0" item="0"/>
          <tpl fld="1" item="229"/>
          <tpl fld="4" item="23"/>
        </tpls>
      </m>
      <m in="0">
        <tpls c="3">
          <tpl fld="0" item="0"/>
          <tpl fld="1" item="359"/>
          <tpl fld="4" item="34"/>
        </tpls>
      </m>
      <m in="0">
        <tpls c="3">
          <tpl fld="0" item="0"/>
          <tpl fld="1" item="383"/>
          <tpl fld="4" item="34"/>
        </tpls>
      </m>
      <n v="4" in="0">
        <tpls c="3">
          <tpl fld="0" item="0"/>
          <tpl fld="1" item="347"/>
          <tpl fld="4" item="30"/>
        </tpls>
      </n>
      <m in="0">
        <tpls c="3">
          <tpl fld="0" item="0"/>
          <tpl fld="1" item="229"/>
          <tpl fld="4" item="35"/>
        </tpls>
      </m>
      <m in="0">
        <tpls c="3">
          <tpl fld="0" item="0"/>
          <tpl fld="1" item="454"/>
          <tpl fld="4" item="0"/>
        </tpls>
      </m>
      <m in="0">
        <tpls c="3">
          <tpl fld="0" item="0"/>
          <tpl fld="1" item="160"/>
          <tpl fld="4" item="0"/>
        </tpls>
      </m>
      <m in="0">
        <tpls c="3">
          <tpl fld="0" item="0"/>
          <tpl fld="1" item="277"/>
          <tpl fld="4" item="0"/>
        </tpls>
      </m>
      <m in="0">
        <tpls c="3">
          <tpl fld="0" item="0"/>
          <tpl fld="1" item="79"/>
          <tpl fld="4" item="3"/>
        </tpls>
      </m>
      <m in="0">
        <tpls c="3">
          <tpl fld="0" item="0"/>
          <tpl fld="1" item="288"/>
          <tpl fld="4" item="4"/>
        </tpls>
      </m>
      <m in="0">
        <tpls c="3">
          <tpl fld="0" item="0"/>
          <tpl fld="1" item="329"/>
          <tpl fld="4" item="0"/>
        </tpls>
      </m>
      <m in="0">
        <tpls c="3">
          <tpl fld="0" item="0"/>
          <tpl fld="1" item="251"/>
          <tpl fld="4" item="3"/>
        </tpls>
      </m>
      <m in="0">
        <tpls c="3">
          <tpl fld="0" item="0"/>
          <tpl fld="1" item="36"/>
          <tpl fld="4" item="2"/>
        </tpls>
      </m>
      <m in="0">
        <tpls c="3">
          <tpl fld="0" item="0"/>
          <tpl fld="1" item="353"/>
          <tpl fld="4" item="4"/>
        </tpls>
      </m>
      <n v="2" in="0">
        <tpls c="3">
          <tpl fld="0" item="0"/>
          <tpl fld="1" item="232"/>
          <tpl fld="4" item="0"/>
        </tpls>
      </n>
      <n v="2" in="0">
        <tpls c="3">
          <tpl fld="0" item="0"/>
          <tpl fld="1" item="380"/>
          <tpl fld="4" item="3"/>
        </tpls>
      </n>
      <m in="0">
        <tpls c="3">
          <tpl fld="0" item="0"/>
          <tpl fld="1" item="81"/>
          <tpl fld="4" item="4"/>
        </tpls>
      </m>
      <m in="0">
        <tpls c="3">
          <tpl fld="0" item="0"/>
          <tpl fld="1" item="397"/>
          <tpl fld="4" item="3"/>
        </tpls>
      </m>
      <m in="0">
        <tpls c="3">
          <tpl fld="0" item="0"/>
          <tpl fld="1" item="168"/>
          <tpl fld="4" item="4"/>
        </tpls>
      </m>
      <m in="0">
        <tpls c="3">
          <tpl fld="0" item="0"/>
          <tpl fld="1" item="110"/>
          <tpl fld="4" item="3"/>
        </tpls>
      </m>
      <m in="0">
        <tpls c="3">
          <tpl fld="0" item="0"/>
          <tpl fld="1" item="259"/>
          <tpl fld="4" item="4"/>
        </tpls>
      </m>
      <m in="0">
        <tpls c="3">
          <tpl fld="0" item="0"/>
          <tpl fld="1" item="272"/>
          <tpl fld="4" item="4"/>
        </tpls>
      </m>
      <m in="0">
        <tpls c="3">
          <tpl fld="0" item="0"/>
          <tpl fld="1" item="399"/>
          <tpl fld="4" item="2"/>
        </tpls>
      </m>
      <m in="0">
        <tpls c="3">
          <tpl fld="0" item="0"/>
          <tpl fld="1" item="86"/>
          <tpl fld="4" item="4"/>
        </tpls>
      </m>
      <m in="0">
        <tpls c="3">
          <tpl fld="0" item="0"/>
          <tpl fld="1" item="452"/>
          <tpl fld="4" item="2"/>
        </tpls>
      </m>
      <m in="0">
        <tpls c="3">
          <tpl fld="0" item="0"/>
          <tpl fld="1" item="266"/>
          <tpl fld="4" item="4"/>
        </tpls>
      </m>
      <n v="168" in="0">
        <tpls c="3">
          <tpl fld="0" item="0"/>
          <tpl fld="1" item="87"/>
          <tpl fld="4" item="36"/>
        </tpls>
      </n>
      <m in="0">
        <tpls c="3">
          <tpl fld="0" item="0"/>
          <tpl fld="1" item="69"/>
          <tpl fld="4" item="2"/>
        </tpls>
      </m>
      <m in="0">
        <tpls c="3">
          <tpl fld="0" item="0"/>
          <tpl fld="1" item="356"/>
          <tpl fld="4" item="2"/>
        </tpls>
      </m>
      <m in="0">
        <tpls c="3">
          <tpl fld="0" item="0"/>
          <tpl fld="1" item="424"/>
          <tpl fld="4" item="4"/>
        </tpls>
      </m>
      <n v="88" in="0">
        <tpls c="3">
          <tpl fld="0" item="0"/>
          <tpl fld="1" item="415"/>
          <tpl fld="4" item="36"/>
        </tpls>
      </n>
      <n v="2" in="0">
        <tpls c="3">
          <tpl fld="0" item="0"/>
          <tpl fld="1" item="425"/>
          <tpl fld="4" item="36"/>
        </tpls>
      </n>
      <m in="0">
        <tpls c="3">
          <tpl fld="0" item="0"/>
          <tpl fld="1" item="428"/>
          <tpl fld="4" item="37"/>
        </tpls>
      </m>
      <m in="0">
        <tpls c="3">
          <tpl fld="0" item="0"/>
          <tpl fld="1" item="250"/>
          <tpl fld="4" item="2"/>
        </tpls>
      </m>
      <n v="18" in="0">
        <tpls c="3">
          <tpl fld="0" item="0"/>
          <tpl fld="1" item="120"/>
          <tpl fld="4" item="36"/>
        </tpls>
      </n>
      <m in="0">
        <tpls c="3">
          <tpl fld="0" item="0"/>
          <tpl fld="1" item="137"/>
          <tpl fld="4" item="38"/>
        </tpls>
      </m>
      <n v="2" in="0">
        <tpls c="3">
          <tpl fld="0" item="0"/>
          <tpl fld="1" item="35"/>
          <tpl fld="4" item="36"/>
        </tpls>
      </n>
      <n v="775" in="0">
        <tpls c="3">
          <tpl fld="0" item="0"/>
          <tpl fld="1" item="377"/>
          <tpl fld="4" item="37"/>
        </tpls>
      </n>
      <m in="0">
        <tpls c="3">
          <tpl fld="0" item="0"/>
          <tpl fld="1" item="129"/>
          <tpl fld="4" item="36"/>
        </tpls>
      </m>
      <m in="0">
        <tpls c="3">
          <tpl fld="0" item="0"/>
          <tpl fld="1" item="216"/>
          <tpl fld="4" item="38"/>
        </tpls>
      </m>
      <n v="9" in="0">
        <tpls c="3">
          <tpl fld="0" item="0"/>
          <tpl fld="1" item="325"/>
          <tpl fld="4" item="36"/>
        </tpls>
      </n>
      <n v="9" in="0">
        <tpls c="3">
          <tpl fld="0" item="0"/>
          <tpl fld="1" item="42"/>
          <tpl fld="4" item="38"/>
        </tpls>
      </n>
      <n v="275" in="0">
        <tpls c="3">
          <tpl fld="0" item="0"/>
          <tpl fld="1" item="381"/>
          <tpl fld="4" item="36"/>
        </tpls>
      </n>
      <n v="14" in="0">
        <tpls c="3">
          <tpl fld="0" item="0"/>
          <tpl fld="1" item="276"/>
          <tpl fld="4" item="37"/>
        </tpls>
      </n>
      <m in="0">
        <tpls c="3">
          <tpl fld="0" item="0"/>
          <tpl fld="1" item="16"/>
          <tpl fld="4" item="38"/>
        </tpls>
      </m>
      <m in="0">
        <tpls c="3">
          <tpl fld="0" item="0"/>
          <tpl fld="1" item="138"/>
          <tpl fld="4" item="39"/>
        </tpls>
      </m>
      <n v="1" in="0">
        <tpls c="3">
          <tpl fld="0" item="0"/>
          <tpl fld="1" item="366"/>
          <tpl fld="4" item="38"/>
        </tpls>
      </n>
      <m in="0">
        <tpls c="3">
          <tpl fld="0" item="0"/>
          <tpl fld="1" item="106"/>
          <tpl fld="4" item="35"/>
        </tpls>
      </m>
      <m in="0">
        <tpls c="3">
          <tpl fld="0" item="0"/>
          <tpl fld="1" item="342"/>
          <tpl fld="4" item="26"/>
        </tpls>
      </m>
      <m in="0">
        <tpls c="3">
          <tpl fld="0" item="0"/>
          <tpl fld="1" item="283"/>
          <tpl fld="4" item="35"/>
        </tpls>
      </m>
      <n v="2" in="0">
        <tpls c="3">
          <tpl fld="0" item="0"/>
          <tpl fld="1" item="430"/>
          <tpl fld="4" item="35"/>
        </tpls>
      </n>
      <m in="0">
        <tpls c="3">
          <tpl fld="0" item="0"/>
          <tpl fld="1" item="147"/>
          <tpl fld="4" item="34"/>
        </tpls>
      </m>
      <m in="0">
        <tpls c="3">
          <tpl fld="0" item="0"/>
          <tpl fld="1" item="446"/>
          <tpl fld="4" item="23"/>
        </tpls>
      </m>
      <m in="0">
        <tpls c="3">
          <tpl fld="0" item="0"/>
          <tpl fld="1" item="42"/>
          <tpl fld="4" item="33"/>
        </tpls>
      </m>
      <m in="0">
        <tpls c="3">
          <tpl fld="0" item="0"/>
          <tpl fld="1" item="100"/>
          <tpl fld="4" item="35"/>
        </tpls>
      </m>
      <n v="18" in="0">
        <tpls c="3">
          <tpl fld="0" item="0"/>
          <tpl fld="1" item="433"/>
          <tpl fld="4" item="24"/>
        </tpls>
      </n>
      <m in="0">
        <tpls c="3">
          <tpl fld="0" item="0"/>
          <tpl fld="1" item="418"/>
          <tpl fld="4" item="34"/>
        </tpls>
      </m>
      <n v="7" in="0">
        <tpls c="3">
          <tpl fld="0" item="0"/>
          <tpl fld="1" item="284"/>
          <tpl fld="4" item="24"/>
        </tpls>
      </n>
      <m in="0">
        <tpls c="3">
          <tpl fld="0" item="0"/>
          <tpl fld="1" item="73"/>
          <tpl fld="4" item="0"/>
        </tpls>
      </m>
      <m in="0">
        <tpls c="3">
          <tpl fld="0" item="0"/>
          <tpl fld="1" item="308"/>
          <tpl fld="4" item="0"/>
        </tpls>
      </m>
      <m in="0">
        <tpls c="3">
          <tpl fld="0" item="0"/>
          <tpl fld="1" item="446"/>
          <tpl fld="4" item="0"/>
        </tpls>
      </m>
      <m in="0">
        <tpls c="3">
          <tpl fld="0" item="0"/>
          <tpl fld="1" item="57"/>
          <tpl fld="4" item="3"/>
        </tpls>
      </m>
      <m in="0">
        <tpls c="3">
          <tpl fld="0" item="0"/>
          <tpl fld="1" item="2"/>
          <tpl fld="4" item="2"/>
        </tpls>
      </m>
      <m in="0">
        <tpls c="3">
          <tpl fld="0" item="0"/>
          <tpl fld="1" item="449"/>
          <tpl fld="4" item="3"/>
        </tpls>
      </m>
      <m in="0">
        <tpls c="3">
          <tpl fld="0" item="0"/>
          <tpl fld="1" item="227"/>
          <tpl fld="4" item="4"/>
        </tpls>
      </m>
      <m in="0">
        <tpls c="3">
          <tpl fld="0" item="0"/>
          <tpl fld="1" item="308"/>
          <tpl fld="4" item="3"/>
        </tpls>
      </m>
      <m in="0">
        <tpls c="3">
          <tpl fld="0" item="0"/>
          <tpl fld="1" item="261"/>
          <tpl fld="4" item="2"/>
        </tpls>
      </m>
      <m in="0">
        <tpls c="3">
          <tpl fld="0" item="0"/>
          <tpl fld="1" item="368"/>
          <tpl fld="4" item="0"/>
        </tpls>
      </m>
      <m in="0">
        <tpls c="3">
          <tpl fld="0" item="0"/>
          <tpl fld="1" item="195"/>
          <tpl fld="4" item="3"/>
        </tpls>
      </m>
      <m in="0">
        <tpls c="3">
          <tpl fld="0" item="0"/>
          <tpl fld="1" item="341"/>
          <tpl fld="4" item="2"/>
        </tpls>
      </m>
      <m in="0">
        <tpls c="3">
          <tpl fld="0" item="0"/>
          <tpl fld="1" item="392"/>
          <tpl fld="4" item="3"/>
        </tpls>
      </m>
      <n v="10" in="0">
        <tpls c="3">
          <tpl fld="0" item="0"/>
          <tpl fld="1" item="52"/>
          <tpl fld="4" item="36"/>
        </tpls>
      </n>
      <m in="0">
        <tpls c="3">
          <tpl fld="0" item="0"/>
          <tpl fld="1" item="396"/>
          <tpl fld="4" item="4"/>
        </tpls>
      </m>
      <m in="0">
        <tpls c="3">
          <tpl fld="0" item="0"/>
          <tpl fld="1" item="303"/>
          <tpl fld="4" item="3"/>
        </tpls>
      </m>
      <m in="0">
        <tpls c="3">
          <tpl fld="0" item="0"/>
          <tpl fld="1" item="283"/>
          <tpl fld="4" item="4"/>
        </tpls>
      </m>
      <n v="12" in="0">
        <tpls c="3">
          <tpl fld="0" item="0"/>
          <tpl fld="1" item="0"/>
          <tpl fld="4" item="36"/>
        </tpls>
      </n>
      <m in="0">
        <tpls c="3">
          <tpl fld="0" item="0"/>
          <tpl fld="1" item="245"/>
          <tpl fld="4" item="2"/>
        </tpls>
      </m>
      <m in="0">
        <tpls c="3">
          <tpl fld="0" item="0"/>
          <tpl fld="1" item="83"/>
          <tpl fld="4" item="37"/>
        </tpls>
      </m>
      <m in="0">
        <tpls c="3">
          <tpl fld="0" item="0"/>
          <tpl fld="1" item="231"/>
          <tpl fld="4" item="2"/>
        </tpls>
      </m>
      <m in="0">
        <tpls c="3">
          <tpl fld="0" item="0"/>
          <tpl fld="1" item="164"/>
          <tpl fld="4" item="37"/>
        </tpls>
      </m>
      <m in="0">
        <tpls c="3">
          <tpl fld="0" item="0"/>
          <tpl fld="1" item="76"/>
          <tpl fld="4" item="36"/>
        </tpls>
      </m>
      <n v="32" in="0">
        <tpls c="3">
          <tpl fld="0" item="0"/>
          <tpl fld="1" item="106"/>
          <tpl fld="4" item="36"/>
        </tpls>
      </n>
      <m in="0">
        <tpls c="3">
          <tpl fld="0" item="0"/>
          <tpl fld="1" item="371"/>
          <tpl fld="4" item="2"/>
        </tpls>
      </m>
      <m in="0">
        <tpls c="3">
          <tpl fld="0" item="0"/>
          <tpl fld="1" item="207"/>
          <tpl fld="4" item="37"/>
        </tpls>
      </m>
      <n v="10" in="0">
        <tpls c="3">
          <tpl fld="0" item="0"/>
          <tpl fld="1" item="2"/>
          <tpl fld="4" item="37"/>
        </tpls>
      </n>
      <n v="144" in="0">
        <tpls c="3">
          <tpl fld="0" item="0"/>
          <tpl fld="1" item="175"/>
          <tpl fld="4" item="37"/>
        </tpls>
      </n>
      <m in="0">
        <tpls c="3">
          <tpl fld="0" item="0"/>
          <tpl fld="1" item="53"/>
          <tpl fld="4" item="36"/>
        </tpls>
      </m>
      <n v="1" in="0">
        <tpls c="3">
          <tpl fld="0" item="0"/>
          <tpl fld="1" item="236"/>
          <tpl fld="4" item="37"/>
        </tpls>
      </n>
      <m in="0">
        <tpls c="3">
          <tpl fld="0" item="0"/>
          <tpl fld="1" item="86"/>
          <tpl fld="4" item="2"/>
        </tpls>
      </m>
      <n v="41" in="0">
        <tpls c="3">
          <tpl fld="0" item="0"/>
          <tpl fld="1" item="255"/>
          <tpl fld="4" item="36"/>
        </tpls>
      </n>
      <m in="0">
        <tpls c="3">
          <tpl fld="0" item="0"/>
          <tpl fld="1" item="106"/>
          <tpl fld="4" item="38"/>
        </tpls>
      </m>
      <n v="15" in="0">
        <tpls c="3">
          <tpl fld="0" item="0"/>
          <tpl fld="1" item="8"/>
          <tpl fld="4" item="37"/>
        </tpls>
      </n>
      <m in="0">
        <tpls c="3">
          <tpl fld="0" item="0"/>
          <tpl fld="1" item="21"/>
          <tpl fld="4" item="36"/>
        </tpls>
      </m>
      <m in="0">
        <tpls c="3">
          <tpl fld="0" item="0"/>
          <tpl fld="1" item="133"/>
          <tpl fld="4" item="37"/>
        </tpls>
      </m>
      <m in="0">
        <tpls c="3">
          <tpl fld="0" item="0"/>
          <tpl fld="1" item="278"/>
          <tpl fld="4" item="2"/>
        </tpls>
      </m>
      <m in="0">
        <tpls c="3">
          <tpl fld="0" item="0"/>
          <tpl fld="1" item="440"/>
          <tpl fld="4" item="36"/>
        </tpls>
      </m>
      <m in="0">
        <tpls c="3">
          <tpl fld="0" item="0"/>
          <tpl fld="1" item="293"/>
          <tpl fld="4" item="38"/>
        </tpls>
      </m>
      <n v="2" in="0">
        <tpls c="3">
          <tpl fld="0" item="0"/>
          <tpl fld="1" item="173"/>
          <tpl fld="4" item="38"/>
        </tpls>
      </n>
      <n v="10" in="0">
        <tpls c="3">
          <tpl fld="0" item="0"/>
          <tpl fld="1" item="301"/>
          <tpl fld="4" item="40"/>
        </tpls>
      </n>
      <m in="0">
        <tpls c="3">
          <tpl fld="0" item="0"/>
          <tpl fld="1" item="361"/>
          <tpl fld="4" item="38"/>
        </tpls>
      </m>
      <n v="78" in="0">
        <tpls c="3">
          <tpl fld="0" item="0"/>
          <tpl fld="1" item="438"/>
          <tpl fld="4" item="40"/>
        </tpls>
      </n>
      <m in="0">
        <tpls c="3">
          <tpl fld="0" item="0"/>
          <tpl fld="1" item="449"/>
          <tpl fld="4" item="38"/>
        </tpls>
      </m>
      <n v="20" in="0">
        <tpls c="3">
          <tpl fld="0" item="0"/>
          <tpl fld="1" item="442"/>
          <tpl fld="4" item="40"/>
        </tpls>
      </n>
      <m in="0">
        <tpls c="3">
          <tpl fld="0" item="0"/>
          <tpl fld="1" item="212"/>
          <tpl fld="4" item="38"/>
        </tpls>
      </m>
      <n v="1" in="0">
        <tpls c="3">
          <tpl fld="0" item="0"/>
          <tpl fld="1" item="403"/>
          <tpl fld="4" item="39"/>
        </tpls>
      </n>
      <m in="0">
        <tpls c="3">
          <tpl fld="0" item="0"/>
          <tpl fld="1" item="341"/>
          <tpl fld="4" item="35"/>
        </tpls>
      </m>
      <m in="0">
        <tpls c="3">
          <tpl fld="0" item="0"/>
          <tpl fld="1" item="253"/>
          <tpl fld="4" item="30"/>
        </tpls>
      </m>
      <m in="0">
        <tpls c="3">
          <tpl fld="0" item="0"/>
          <tpl fld="1" item="321"/>
          <tpl fld="4" item="35"/>
        </tpls>
      </m>
      <m in="0">
        <tpls c="3">
          <tpl fld="0" item="0"/>
          <tpl fld="1" item="323"/>
          <tpl fld="4" item="35"/>
        </tpls>
      </m>
      <m in="0">
        <tpls c="3">
          <tpl fld="0" item="0"/>
          <tpl fld="1" item="196"/>
          <tpl fld="4" item="21"/>
        </tpls>
      </m>
      <m in="0">
        <tpls c="3">
          <tpl fld="0" item="0"/>
          <tpl fld="1" item="54"/>
          <tpl fld="4" item="31"/>
        </tpls>
      </m>
      <m in="0">
        <tpls c="3">
          <tpl fld="0" item="0"/>
          <tpl fld="1" item="218"/>
          <tpl fld="4" item="23"/>
        </tpls>
      </m>
      <m in="0">
        <tpls c="3">
          <tpl fld="0" item="0"/>
          <tpl fld="1" item="193"/>
          <tpl fld="4" item="30"/>
        </tpls>
      </m>
      <n v="346" in="0">
        <tpls c="3">
          <tpl fld="0" item="0"/>
          <tpl fld="1" item="140"/>
          <tpl fld="4" item="25"/>
        </tpls>
      </n>
      <m in="0">
        <tpls c="3">
          <tpl fld="0" item="0"/>
          <tpl fld="1" item="285"/>
          <tpl fld="4" item="31"/>
        </tpls>
      </m>
      <m in="0">
        <tpls c="3">
          <tpl fld="0" item="0"/>
          <tpl fld="1" item="140"/>
          <tpl fld="4" item="32"/>
        </tpls>
      </m>
      <n v="3" in="0">
        <tpls c="3">
          <tpl fld="0" item="0"/>
          <tpl fld="1" item="10"/>
          <tpl fld="4" item="33"/>
        </tpls>
      </n>
      <m in="0">
        <tpls c="3">
          <tpl fld="0" item="0"/>
          <tpl fld="1" item="375"/>
          <tpl fld="4" item="34"/>
        </tpls>
      </m>
      <m in="0">
        <tpls c="3">
          <tpl fld="0" item="0"/>
          <tpl fld="1" item="85"/>
          <tpl fld="4" item="31"/>
        </tpls>
      </m>
      <m in="0">
        <tpls c="3">
          <tpl fld="0" item="0"/>
          <tpl fld="1" item="25"/>
          <tpl fld="4" item="35"/>
        </tpls>
      </m>
      <n v="2278" in="0">
        <tpls c="3">
          <tpl fld="0" item="0"/>
          <tpl fld="1" item="313"/>
          <tpl fld="4" item="25"/>
        </tpls>
      </n>
      <m in="0">
        <tpls c="3">
          <tpl fld="0" item="0"/>
          <tpl fld="1" item="364"/>
          <tpl fld="4" item="35"/>
        </tpls>
      </m>
      <m in="0">
        <tpls c="3">
          <tpl fld="0" item="0"/>
          <tpl fld="1" item="158"/>
          <tpl fld="4" item="31"/>
        </tpls>
      </m>
      <n v="1" in="0">
        <tpls c="3">
          <tpl fld="0" item="0"/>
          <tpl fld="1" item="386"/>
          <tpl fld="4" item="26"/>
        </tpls>
      </n>
      <m in="0">
        <tpls c="3">
          <tpl fld="0" item="0"/>
          <tpl fld="1" item="152"/>
          <tpl fld="4" item="31"/>
        </tpls>
      </m>
      <m in="0">
        <tpls c="3">
          <tpl fld="0" item="0"/>
          <tpl fld="1" item="422"/>
          <tpl fld="4" item="32"/>
        </tpls>
      </m>
      <m in="0">
        <tpls c="3">
          <tpl fld="0" item="0"/>
          <tpl fld="1" item="13"/>
          <tpl fld="4" item="33"/>
        </tpls>
      </m>
      <m in="0">
        <tpls c="3">
          <tpl fld="0" item="0"/>
          <tpl fld="1" item="16"/>
          <tpl fld="4" item="34"/>
        </tpls>
      </m>
      <m in="0">
        <tpls c="3">
          <tpl fld="0" item="0"/>
          <tpl fld="1" item="96"/>
          <tpl fld="4" item="25"/>
        </tpls>
      </m>
      <m in="0">
        <tpls c="3">
          <tpl fld="0" item="0"/>
          <tpl fld="1" item="336"/>
          <tpl fld="4" item="26"/>
        </tpls>
      </m>
      <n v="1" in="0">
        <tpls c="3">
          <tpl fld="0" item="0"/>
          <tpl fld="1" item="104"/>
          <tpl fld="4" item="31"/>
        </tpls>
      </n>
      <m in="0">
        <tpls c="3">
          <tpl fld="0" item="0"/>
          <tpl fld="1" item="126"/>
          <tpl fld="4" item="33"/>
        </tpls>
      </m>
      <m in="0">
        <tpls c="3">
          <tpl fld="0" item="0"/>
          <tpl fld="1" item="278"/>
          <tpl fld="4" item="30"/>
        </tpls>
      </m>
      <n v="67" in="0">
        <tpls c="3">
          <tpl fld="0" item="0"/>
          <tpl fld="1" item="126"/>
          <tpl fld="4" item="23"/>
        </tpls>
      </n>
      <n v="430" in="0">
        <tpls c="3">
          <tpl fld="0" item="0"/>
          <tpl fld="1" item="377"/>
          <tpl fld="4" item="24"/>
        </tpls>
      </n>
      <m in="0">
        <tpls c="3">
          <tpl fld="0" item="0"/>
          <tpl fld="1" item="279"/>
          <tpl fld="4" item="32"/>
        </tpls>
      </m>
      <m in="0">
        <tpls c="3">
          <tpl fld="0" item="0"/>
          <tpl fld="1" item="339"/>
          <tpl fld="4" item="32"/>
        </tpls>
      </m>
      <m in="0">
        <tpls c="3">
          <tpl fld="0" item="0"/>
          <tpl fld="1" item="318"/>
          <tpl fld="4" item="33"/>
        </tpls>
      </m>
      <m in="0">
        <tpls c="3">
          <tpl fld="0" item="0"/>
          <tpl fld="1" item="203"/>
          <tpl fld="4" item="30"/>
        </tpls>
      </m>
      <m in="0">
        <tpls c="3">
          <tpl fld="0" item="0"/>
          <tpl fld="1" item="234"/>
          <tpl fld="4" item="23"/>
        </tpls>
      </m>
      <m in="0">
        <tpls c="3">
          <tpl fld="0" item="0"/>
          <tpl fld="1" item="5"/>
          <tpl fld="4" item="32"/>
        </tpls>
      </m>
      <m in="0">
        <tpls c="3">
          <tpl fld="0" item="0"/>
          <tpl fld="1" item="294"/>
          <tpl fld="4" item="32"/>
        </tpls>
      </m>
      <m in="0">
        <tpls c="3">
          <tpl fld="0" item="0"/>
          <tpl fld="1" item="98"/>
          <tpl fld="4" item="31"/>
        </tpls>
      </m>
      <m in="0">
        <tpls c="3">
          <tpl fld="0" item="0"/>
          <tpl fld="1" item="94"/>
          <tpl fld="4" item="33"/>
        </tpls>
      </m>
      <m in="0">
        <tpls c="3">
          <tpl fld="0" item="0"/>
          <tpl fld="1" item="57"/>
          <tpl fld="4" item="30"/>
        </tpls>
      </m>
      <m in="0">
        <tpls c="3">
          <tpl fld="0" item="0"/>
          <tpl fld="1" item="295"/>
          <tpl fld="4" item="34"/>
        </tpls>
      </m>
      <m in="0">
        <tpls c="3">
          <tpl fld="0" item="0"/>
          <tpl fld="1" item="65"/>
          <tpl fld="4" item="33"/>
        </tpls>
      </m>
      <m in="0">
        <tpls c="3">
          <tpl fld="0" item="0"/>
          <tpl fld="1" item="64"/>
          <tpl fld="4" item="35"/>
        </tpls>
      </m>
      <m in="0">
        <tpls c="3">
          <tpl fld="0" item="0"/>
          <tpl fld="1" item="234"/>
          <tpl fld="4" item="27"/>
        </tpls>
      </m>
      <m in="0">
        <tpls c="3">
          <tpl fld="0" item="0"/>
          <tpl fld="1" item="399"/>
          <tpl fld="4" item="30"/>
        </tpls>
      </m>
      <n v="4" in="0">
        <tpls c="3">
          <tpl fld="0" item="0"/>
          <tpl fld="1" item="224"/>
          <tpl fld="4" item="22"/>
        </tpls>
      </n>
      <n v="1" in="0">
        <tpls c="3">
          <tpl fld="0" item="0"/>
          <tpl fld="1" item="137"/>
          <tpl fld="4" item="24"/>
        </tpls>
      </n>
      <m in="0">
        <tpls c="3">
          <tpl fld="0" item="0"/>
          <tpl fld="1" item="142"/>
          <tpl fld="4" item="26"/>
        </tpls>
      </m>
      <n v="1" in="0">
        <tpls c="3">
          <tpl fld="0" item="0"/>
          <tpl fld="1" item="38"/>
          <tpl fld="4" item="30"/>
        </tpls>
      </n>
      <m in="0">
        <tpls c="3">
          <tpl fld="0" item="0"/>
          <tpl fld="1" item="388"/>
          <tpl fld="4" item="34"/>
        </tpls>
      </m>
      <m in="0">
        <tpls c="3">
          <tpl fld="0" item="0"/>
          <tpl fld="1" item="157"/>
          <tpl fld="4" item="22"/>
        </tpls>
      </m>
      <n v="3" in="0">
        <tpls c="3">
          <tpl fld="0" item="0"/>
          <tpl fld="1" item="283"/>
          <tpl fld="4" item="27"/>
        </tpls>
      </n>
      <n v="26" in="0">
        <tpls c="3">
          <tpl fld="0" item="0"/>
          <tpl fld="1" item="3"/>
          <tpl fld="4" item="24"/>
        </tpls>
      </n>
      <m in="0">
        <tpls c="3">
          <tpl fld="0" item="0"/>
          <tpl fld="1" item="73"/>
          <tpl fld="4" item="24"/>
        </tpls>
      </m>
      <n v="6" in="0">
        <tpls c="3">
          <tpl fld="0" item="0"/>
          <tpl fld="1" item="41"/>
          <tpl fld="4" item="33"/>
        </tpls>
      </n>
      <m in="0">
        <tpls c="3">
          <tpl fld="0" item="0"/>
          <tpl fld="1" item="445"/>
          <tpl fld="4" item="30"/>
        </tpls>
      </m>
      <m in="0">
        <tpls c="3">
          <tpl fld="0" item="0"/>
          <tpl fld="1" item="170"/>
          <tpl fld="4" item="20"/>
        </tpls>
      </m>
      <n v="19" in="0">
        <tpls c="3">
          <tpl fld="0" item="0"/>
          <tpl fld="1" item="114"/>
          <tpl fld="4" item="22"/>
        </tpls>
      </n>
      <m in="0">
        <tpls c="3">
          <tpl fld="0" item="0"/>
          <tpl fld="1" item="148"/>
          <tpl fld="4" item="32"/>
        </tpls>
      </m>
      <m in="0">
        <tpls c="3">
          <tpl fld="0" item="0"/>
          <tpl fld="1" item="145"/>
          <tpl fld="4" item="31"/>
        </tpls>
      </m>
      <n v="2" in="0">
        <tpls c="3">
          <tpl fld="0" item="0"/>
          <tpl fld="1" item="199"/>
          <tpl fld="4" item="31"/>
        </tpls>
      </n>
      <n v="4" in="0">
        <tpls c="3">
          <tpl fld="0" item="0"/>
          <tpl fld="1" item="33"/>
          <tpl fld="4" item="30"/>
        </tpls>
      </n>
      <m in="0">
        <tpls c="3">
          <tpl fld="0" item="0"/>
          <tpl fld="1" item="66"/>
          <tpl fld="4" item="34"/>
        </tpls>
      </m>
      <n v="680" in="0">
        <tpls c="3">
          <tpl fld="0" item="0"/>
          <tpl fld="1" item="351"/>
          <tpl fld="4" item="29"/>
        </tpls>
      </n>
      <m in="0">
        <tpls c="3">
          <tpl fld="0" item="0"/>
          <tpl fld="1" item="445"/>
          <tpl fld="4" item="23"/>
        </tpls>
      </m>
      <n v="59" in="0">
        <tpls c="3">
          <tpl fld="0" item="0"/>
          <tpl fld="1" item="350"/>
          <tpl fld="4" item="25"/>
        </tpls>
      </n>
      <m in="0">
        <tpls c="3">
          <tpl fld="0" item="0"/>
          <tpl fld="1" item="133"/>
          <tpl fld="4" item="24"/>
        </tpls>
      </m>
      <m in="0">
        <tpls c="3">
          <tpl fld="0" item="0"/>
          <tpl fld="1" item="293"/>
          <tpl fld="4" item="33"/>
        </tpls>
      </m>
      <m in="0">
        <tpls c="3">
          <tpl fld="0" item="0"/>
          <tpl fld="1" item="114"/>
          <tpl fld="4" item="30"/>
        </tpls>
      </m>
      <m in="0">
        <tpls c="3">
          <tpl fld="0" item="0"/>
          <tpl fld="1" item="405"/>
          <tpl fld="4" item="34"/>
        </tpls>
      </m>
      <m in="0">
        <tpls c="3">
          <tpl fld="0" item="0"/>
          <tpl fld="1" item="118"/>
          <tpl fld="4" item="30"/>
        </tpls>
      </m>
      <m in="0">
        <tpls c="3">
          <tpl fld="0" item="0"/>
          <tpl fld="1" item="128"/>
          <tpl fld="4" item="35"/>
        </tpls>
      </m>
      <m in="0">
        <tpls c="3">
          <tpl fld="0" item="0"/>
          <tpl fld="1" item="170"/>
          <tpl fld="4" item="22"/>
        </tpls>
      </m>
      <m in="0">
        <tpls c="3">
          <tpl fld="0" item="0"/>
          <tpl fld="1" item="340"/>
          <tpl fld="4" item="34"/>
        </tpls>
      </m>
      <m in="0">
        <tpls c="3">
          <tpl fld="0" item="0"/>
          <tpl fld="1" item="42"/>
          <tpl fld="4" item="35"/>
        </tpls>
      </m>
      <n v="120" in="0">
        <tpls c="3">
          <tpl fld="0" item="0"/>
          <tpl fld="1" item="41"/>
          <tpl fld="4" item="24"/>
        </tpls>
      </n>
      <m in="0">
        <tpls c="3">
          <tpl fld="0" item="0"/>
          <tpl fld="1" item="143"/>
          <tpl fld="4" item="34"/>
        </tpls>
      </m>
      <m in="0">
        <tpls c="3">
          <tpl fld="0" item="0"/>
          <tpl fld="1" item="2"/>
          <tpl fld="4" item="26"/>
        </tpls>
      </m>
      <m in="0">
        <tpls c="3">
          <tpl fld="0" item="0"/>
          <tpl fld="1" item="283"/>
          <tpl fld="4" item="30"/>
        </tpls>
      </m>
      <m in="0">
        <tpls c="3">
          <tpl fld="0" item="0"/>
          <tpl fld="1" item="26"/>
          <tpl fld="4" item="35"/>
        </tpls>
      </m>
      <m in="0">
        <tpls c="3">
          <tpl fld="0" item="0"/>
          <tpl fld="1" item="305"/>
          <tpl fld="4" item="35"/>
        </tpls>
      </m>
      <m in="0">
        <tpls c="3">
          <tpl fld="0" item="0"/>
          <tpl fld="1" item="237"/>
          <tpl fld="4" item="30"/>
        </tpls>
      </m>
      <m in="0">
        <tpls c="3">
          <tpl fld="0" item="0"/>
          <tpl fld="1" item="450"/>
          <tpl fld="4" item="35"/>
        </tpls>
      </m>
      <m in="0">
        <tpls c="3">
          <tpl fld="0" item="0"/>
          <tpl fld="1" item="173"/>
          <tpl fld="4" item="34"/>
        </tpls>
      </m>
      <n v="3" in="0">
        <tpls c="3">
          <tpl fld="0" item="0"/>
          <tpl fld="1" item="152"/>
          <tpl fld="4" item="33"/>
        </tpls>
      </n>
      <m in="0">
        <tpls c="3">
          <tpl fld="0" item="0"/>
          <tpl fld="1" item="400"/>
          <tpl fld="4" item="35"/>
        </tpls>
      </m>
      <m in="0">
        <tpls c="3">
          <tpl fld="0" item="0"/>
          <tpl fld="1" item="108"/>
          <tpl fld="4" item="35"/>
        </tpls>
      </m>
      <m in="0">
        <tpls c="3">
          <tpl fld="0" item="0"/>
          <tpl fld="1" item="200"/>
          <tpl fld="4" item="34"/>
        </tpls>
      </m>
      <m in="0">
        <tpls c="3">
          <tpl fld="0" item="0"/>
          <tpl fld="1" item="105"/>
          <tpl fld="4" item="35"/>
        </tpls>
      </m>
      <m in="0">
        <tpls c="3">
          <tpl fld="0" item="0"/>
          <tpl fld="1" item="244"/>
          <tpl fld="4" item="33"/>
        </tpls>
      </m>
      <m in="0">
        <tpls c="3">
          <tpl fld="0" item="0"/>
          <tpl fld="1" item="158"/>
          <tpl fld="4" item="35"/>
        </tpls>
      </m>
      <n v="15" in="0">
        <tpls c="3">
          <tpl fld="0" item="0"/>
          <tpl fld="1" item="48"/>
          <tpl fld="4" item="25"/>
        </tpls>
      </n>
      <m in="0">
        <tpls c="3">
          <tpl fld="0" item="0"/>
          <tpl fld="1" item="263"/>
          <tpl fld="4" item="34"/>
        </tpls>
      </m>
      <m in="0">
        <tpls c="3">
          <tpl fld="0" item="0"/>
          <tpl fld="1" item="373"/>
          <tpl fld="4" item="33"/>
        </tpls>
      </m>
      <m in="0">
        <tpls c="3">
          <tpl fld="0" item="0"/>
          <tpl fld="1" item="336"/>
          <tpl fld="4" item="30"/>
        </tpls>
      </m>
      <m in="0">
        <tpls c="3">
          <tpl fld="0" item="0"/>
          <tpl fld="1" item="18"/>
          <tpl fld="4" item="35"/>
        </tpls>
      </m>
      <m in="0">
        <tpls c="3">
          <tpl fld="0" item="0"/>
          <tpl fld="1" item="123"/>
          <tpl fld="4" item="0"/>
        </tpls>
      </m>
      <m in="0">
        <tpls c="3">
          <tpl fld="0" item="0"/>
          <tpl fld="1" item="118"/>
          <tpl fld="4" item="0"/>
        </tpls>
      </m>
      <m in="0">
        <tpls c="3">
          <tpl fld="0" item="0"/>
          <tpl fld="1" item="389"/>
          <tpl fld="4" item="0"/>
        </tpls>
      </m>
      <m in="0">
        <tpls c="3">
          <tpl fld="0" item="0"/>
          <tpl fld="1" item="310"/>
          <tpl fld="4" item="3"/>
        </tpls>
      </m>
      <m in="0">
        <tpls c="3">
          <tpl fld="0" item="0"/>
          <tpl fld="1" item="99"/>
          <tpl fld="4" item="4"/>
        </tpls>
      </m>
      <m in="0">
        <tpls c="3">
          <tpl fld="0" item="0"/>
          <tpl fld="1" item="13"/>
          <tpl fld="4" item="0"/>
        </tpls>
      </m>
      <m in="0">
        <tpls c="3">
          <tpl fld="0" item="0"/>
          <tpl fld="1" item="16"/>
          <tpl fld="4" item="3"/>
        </tpls>
      </m>
      <m in="0">
        <tpls c="3">
          <tpl fld="0" item="0"/>
          <tpl fld="1" item="174"/>
          <tpl fld="4" item="2"/>
        </tpls>
      </m>
      <m in="0">
        <tpls c="3">
          <tpl fld="0" item="0"/>
          <tpl fld="1" item="355"/>
          <tpl fld="4" item="4"/>
        </tpls>
      </m>
      <m in="0">
        <tpls c="3">
          <tpl fld="0" item="0"/>
          <tpl fld="1" item="438"/>
          <tpl fld="4" item="0"/>
        </tpls>
      </m>
      <m in="0">
        <tpls c="3">
          <tpl fld="0" item="0"/>
          <tpl fld="1" item="349"/>
          <tpl fld="4" item="3"/>
        </tpls>
      </m>
      <m in="0">
        <tpls c="3">
          <tpl fld="0" item="0"/>
          <tpl fld="1" item="145"/>
          <tpl fld="4" item="4"/>
        </tpls>
      </m>
      <m in="0">
        <tpls c="3">
          <tpl fld="0" item="0"/>
          <tpl fld="1" item="442"/>
          <tpl fld="4" item="3"/>
        </tpls>
      </m>
      <m in="0">
        <tpls c="3">
          <tpl fld="0" item="0"/>
          <tpl fld="1" item="141"/>
          <tpl fld="4" item="4"/>
        </tpls>
      </m>
      <m in="0">
        <tpls c="3">
          <tpl fld="0" item="0"/>
          <tpl fld="1" item="237"/>
          <tpl fld="4" item="3"/>
        </tpls>
      </m>
      <m in="0">
        <tpls c="3">
          <tpl fld="0" item="0"/>
          <tpl fld="1" item="346"/>
          <tpl fld="4" item="4"/>
        </tpls>
      </m>
      <m in="0">
        <tpls c="3">
          <tpl fld="0" item="0"/>
          <tpl fld="1" item="204"/>
          <tpl fld="4" item="4"/>
        </tpls>
      </m>
      <m in="0">
        <tpls c="3">
          <tpl fld="0" item="0"/>
          <tpl fld="1" item="421"/>
          <tpl fld="4" item="2"/>
        </tpls>
      </m>
      <m in="0">
        <tpls c="3">
          <tpl fld="0" item="0"/>
          <tpl fld="1" item="287"/>
          <tpl fld="4" item="4"/>
        </tpls>
      </m>
      <m in="0">
        <tpls c="3">
          <tpl fld="0" item="0"/>
          <tpl fld="1" item="73"/>
          <tpl fld="4" item="2"/>
        </tpls>
      </m>
      <m in="0">
        <tpls c="3">
          <tpl fld="0" item="0"/>
          <tpl fld="1" item="270"/>
          <tpl fld="4" item="4"/>
        </tpls>
      </m>
      <m in="0">
        <tpls c="3">
          <tpl fld="0" item="0"/>
          <tpl fld="1" item="313"/>
          <tpl fld="4" item="2"/>
        </tpls>
      </m>
      <m in="0">
        <tpls c="3">
          <tpl fld="0" item="0"/>
          <tpl fld="1" item="308"/>
          <tpl fld="4" item="2"/>
        </tpls>
      </m>
      <m in="0">
        <tpls c="3">
          <tpl fld="0" item="0"/>
          <tpl fld="1" item="119"/>
          <tpl fld="4" item="2"/>
        </tpls>
      </m>
      <m in="0">
        <tpls c="3">
          <tpl fld="0" item="0"/>
          <tpl fld="1" item="305"/>
          <tpl fld="4" item="4"/>
        </tpls>
      </m>
      <m in="0">
        <tpls c="3">
          <tpl fld="0" item="0"/>
          <tpl fld="1" item="321"/>
          <tpl fld="4" item="36"/>
        </tpls>
      </m>
      <m in="0">
        <tpls c="3">
          <tpl fld="0" item="0"/>
          <tpl fld="1" item="62"/>
          <tpl fld="4" item="2"/>
        </tpls>
      </m>
      <n v="491" in="0">
        <tpls c="3">
          <tpl fld="0" item="0"/>
          <tpl fld="1" item="400"/>
          <tpl fld="4" item="37"/>
        </tpls>
      </n>
      <m in="0">
        <tpls c="3">
          <tpl fld="0" item="0"/>
          <tpl fld="1" item="177"/>
          <tpl fld="4" item="2"/>
        </tpls>
      </m>
      <m in="0">
        <tpls c="3">
          <tpl fld="0" item="0"/>
          <tpl fld="1" item="109"/>
          <tpl fld="4" item="36"/>
        </tpls>
      </m>
      <m in="0">
        <tpls c="3">
          <tpl fld="0" item="0"/>
          <tpl fld="1" item="137"/>
          <tpl fld="4" item="37"/>
        </tpls>
      </m>
      <n v="3" in="0">
        <tpls c="3">
          <tpl fld="0" item="0"/>
          <tpl fld="1" item="274"/>
          <tpl fld="4" item="36"/>
        </tpls>
      </n>
      <m in="0">
        <tpls c="3">
          <tpl fld="0" item="0"/>
          <tpl fld="1" item="272"/>
          <tpl fld="4" item="37"/>
        </tpls>
      </m>
      <n v="103" in="0">
        <tpls c="3">
          <tpl fld="0" item="0"/>
          <tpl fld="1" item="39"/>
          <tpl fld="4" item="36"/>
        </tpls>
      </n>
      <m in="0">
        <tpls c="3">
          <tpl fld="0" item="0"/>
          <tpl fld="1" item="36"/>
          <tpl fld="4" item="38"/>
        </tpls>
      </m>
      <n v="59" in="0">
        <tpls c="3">
          <tpl fld="0" item="0"/>
          <tpl fld="1" item="249"/>
          <tpl fld="4" item="36"/>
        </tpls>
      </n>
      <m in="0">
        <tpls c="3">
          <tpl fld="0" item="0"/>
          <tpl fld="1" item="190"/>
          <tpl fld="4" item="38"/>
        </tpls>
      </m>
      <m in="0">
        <tpls c="3">
          <tpl fld="0" item="0"/>
          <tpl fld="1" item="383"/>
          <tpl fld="4" item="36"/>
        </tpls>
      </m>
      <m in="0">
        <tpls c="3">
          <tpl fld="0" item="0"/>
          <tpl fld="1" item="171"/>
          <tpl fld="4" item="37"/>
        </tpls>
      </m>
      <n v="280" in="0">
        <tpls c="3">
          <tpl fld="0" item="0"/>
          <tpl fld="1" item="320"/>
          <tpl fld="4" item="37"/>
        </tpls>
      </n>
      <n v="6" in="0">
        <tpls c="3">
          <tpl fld="0" item="0"/>
          <tpl fld="1" item="125"/>
          <tpl fld="4" item="39"/>
        </tpls>
      </n>
      <m in="0">
        <tpls c="3">
          <tpl fld="0" item="0"/>
          <tpl fld="1" item="247"/>
          <tpl fld="4" item="37"/>
        </tpls>
      </m>
      <m in="0">
        <tpls c="3">
          <tpl fld="0" item="0"/>
          <tpl fld="1" item="124"/>
          <tpl fld="4" item="39"/>
        </tpls>
      </m>
      <m in="0">
        <tpls c="3">
          <tpl fld="0" item="0"/>
          <tpl fld="1" item="402"/>
          <tpl fld="4" item="38"/>
        </tpls>
      </m>
      <m in="0">
        <tpls c="3">
          <tpl fld="0" item="0"/>
          <tpl fld="1" item="170"/>
          <tpl fld="4" item="39"/>
        </tpls>
      </m>
      <n v="18" in="0">
        <tpls c="3">
          <tpl fld="0" item="0"/>
          <tpl fld="1" item="425"/>
          <tpl fld="4" item="37"/>
        </tpls>
      </n>
      <m in="0">
        <tpls c="3">
          <tpl fld="0" item="0"/>
          <tpl fld="1" item="10"/>
          <tpl fld="4" item="34"/>
        </tpls>
      </m>
      <m in="0">
        <tpls c="3">
          <tpl fld="0" item="0"/>
          <tpl fld="1" item="238"/>
          <tpl fld="4" item="15"/>
        </tpls>
      </m>
      <m in="0">
        <tpls c="3">
          <tpl fld="0" item="0"/>
          <tpl fld="1" item="254"/>
          <tpl fld="4" item="34"/>
        </tpls>
      </m>
      <m in="0">
        <tpls c="3">
          <tpl fld="0" item="0"/>
          <tpl fld="1" item="257"/>
          <tpl fld="4" item="35"/>
        </tpls>
      </m>
      <m in="0">
        <tpls c="3">
          <tpl fld="0" item="0"/>
          <tpl fld="1" item="395"/>
          <tpl fld="4" item="34"/>
        </tpls>
      </m>
      <m in="0">
        <tpls c="3">
          <tpl fld="0" item="0"/>
          <tpl fld="1" item="101"/>
          <tpl fld="4" item="35"/>
        </tpls>
      </m>
      <m in="0">
        <tpls c="3">
          <tpl fld="0" item="0"/>
          <tpl fld="1" item="445"/>
          <tpl fld="4" item="33"/>
        </tpls>
      </m>
      <m in="0">
        <tpls c="3">
          <tpl fld="0" item="0"/>
          <tpl fld="1" item="340"/>
          <tpl fld="4" item="35"/>
        </tpls>
      </m>
      <n v="80" in="0">
        <tpls c="3">
          <tpl fld="0" item="0"/>
          <tpl fld="1" item="103"/>
          <tpl fld="4" item="24"/>
        </tpls>
      </n>
      <m in="0">
        <tpls c="3">
          <tpl fld="0" item="0"/>
          <tpl fld="1" item="285"/>
          <tpl fld="4" item="34"/>
        </tpls>
      </m>
      <m in="0">
        <tpls c="3">
          <tpl fld="0" item="0"/>
          <tpl fld="1" item="315"/>
          <tpl fld="4" item="35"/>
        </tpls>
      </m>
      <n v="1" in="0">
        <tpls c="3">
          <tpl fld="0" item="0"/>
          <tpl fld="1" item="275"/>
          <tpl fld="4" item="0"/>
        </tpls>
      </n>
      <m in="0">
        <tpls c="3">
          <tpl fld="0" item="0"/>
          <tpl fld="1" item="265"/>
          <tpl fld="4" item="0"/>
        </tpls>
      </m>
      <m in="0">
        <tpls c="3">
          <tpl fld="0" item="0"/>
          <tpl fld="1" item="190"/>
          <tpl fld="4" item="0"/>
        </tpls>
      </m>
      <m in="0">
        <tpls c="3">
          <tpl fld="0" item="0"/>
          <tpl fld="1" item="4"/>
          <tpl fld="4" item="3"/>
        </tpls>
      </m>
      <m in="0">
        <tpls c="3">
          <tpl fld="0" item="0"/>
          <tpl fld="1" item="416"/>
          <tpl fld="4" item="4"/>
        </tpls>
      </m>
      <m in="0">
        <tpls c="3">
          <tpl fld="0" item="0"/>
          <tpl fld="1" item="394"/>
          <tpl fld="4" item="3"/>
        </tpls>
      </m>
      <m in="0">
        <tpls c="3">
          <tpl fld="0" item="0"/>
          <tpl fld="1" item="11"/>
          <tpl fld="4" item="4"/>
        </tpls>
      </m>
      <m in="0">
        <tpls c="3">
          <tpl fld="0" item="0"/>
          <tpl fld="1" item="201"/>
          <tpl fld="4" item="3"/>
        </tpls>
      </m>
      <m in="0">
        <tpls c="3">
          <tpl fld="0" item="0"/>
          <tpl fld="1" item="391"/>
          <tpl fld="4" item="4"/>
        </tpls>
      </m>
      <m in="0">
        <tpls c="3">
          <tpl fld="0" item="0"/>
          <tpl fld="1" item="214"/>
          <tpl fld="4" item="0"/>
        </tpls>
      </m>
      <m in="0">
        <tpls c="3">
          <tpl fld="0" item="0"/>
          <tpl fld="1" item="304"/>
          <tpl fld="4" item="3"/>
        </tpls>
      </m>
      <m in="0">
        <tpls c="3">
          <tpl fld="0" item="0"/>
          <tpl fld="1" item="291"/>
          <tpl fld="4" item="2"/>
        </tpls>
      </m>
      <m in="0">
        <tpls c="3">
          <tpl fld="0" item="0"/>
          <tpl fld="1" item="6"/>
          <tpl fld="4" item="3"/>
        </tpls>
      </m>
      <m in="0">
        <tpls c="3">
          <tpl fld="0" item="0"/>
          <tpl fld="1" item="216"/>
          <tpl fld="4" item="2"/>
        </tpls>
      </m>
      <m in="0">
        <tpls c="3">
          <tpl fld="0" item="0"/>
          <tpl fld="1" item="339"/>
          <tpl fld="4" item="4"/>
        </tpls>
      </m>
      <n v="19" in="0">
        <tpls c="3">
          <tpl fld="0" item="0"/>
          <tpl fld="1" item="151"/>
          <tpl fld="4" item="37"/>
        </tpls>
      </n>
      <m in="0">
        <tpls c="3">
          <tpl fld="0" item="0"/>
          <tpl fld="1" item="101"/>
          <tpl fld="4" item="4"/>
        </tpls>
      </m>
      <m in="0">
        <tpls c="3">
          <tpl fld="0" item="0"/>
          <tpl fld="1" item="421"/>
          <tpl fld="4" item="36"/>
        </tpls>
      </m>
      <m in="0">
        <tpls c="3">
          <tpl fld="0" item="0"/>
          <tpl fld="1" item="118"/>
          <tpl fld="4" item="2"/>
        </tpls>
      </m>
      <m in="0">
        <tpls c="3">
          <tpl fld="0" item="0"/>
          <tpl fld="1" item="159"/>
          <tpl fld="4" item="36"/>
        </tpls>
      </m>
      <m in="0">
        <tpls c="3">
          <tpl fld="0" item="0"/>
          <tpl fld="1" item="113"/>
          <tpl fld="4" item="2"/>
        </tpls>
      </m>
      <m in="0">
        <tpls c="3">
          <tpl fld="0" item="0"/>
          <tpl fld="1" item="6"/>
          <tpl fld="4" item="36"/>
        </tpls>
      </m>
      <n v="19" in="0">
        <tpls c="3">
          <tpl fld="0" item="0"/>
          <tpl fld="1" item="397"/>
          <tpl fld="4" item="36"/>
        </tpls>
      </n>
      <n v="128" in="0">
        <tpls c="3">
          <tpl fld="0" item="0"/>
          <tpl fld="1" item="20"/>
          <tpl fld="4" item="36"/>
        </tpls>
      </n>
      <m in="0">
        <tpls c="3">
          <tpl fld="0" item="0"/>
          <tpl fld="1" item="277"/>
          <tpl fld="4" item="2"/>
        </tpls>
      </m>
      <m in="0">
        <tpls c="3">
          <tpl fld="0" item="0"/>
          <tpl fld="1" item="131"/>
          <tpl fld="4" item="37"/>
        </tpls>
      </m>
      <n v="15" in="0">
        <tpls c="3">
          <tpl fld="0" item="0"/>
          <tpl fld="1" item="366"/>
          <tpl fld="4" item="36"/>
        </tpls>
      </n>
      <n v="143" in="0">
        <tpls c="3">
          <tpl fld="0" item="0"/>
          <tpl fld="1" item="287"/>
          <tpl fld="4" item="37"/>
        </tpls>
      </n>
      <m in="0">
        <tpls c="3">
          <tpl fld="0" item="0"/>
          <tpl fld="1" item="203"/>
          <tpl fld="4" item="2"/>
        </tpls>
      </m>
      <n v="27" in="0">
        <tpls c="3">
          <tpl fld="0" item="0"/>
          <tpl fld="1" item="63"/>
          <tpl fld="4" item="37"/>
        </tpls>
      </n>
      <m in="0">
        <tpls c="3">
          <tpl fld="0" item="0"/>
          <tpl fld="1" item="287"/>
          <tpl fld="4" item="2"/>
        </tpls>
      </m>
      <n v="954" in="0">
        <tpls c="3">
          <tpl fld="0" item="0"/>
          <tpl fld="1" item="266"/>
          <tpl fld="4" item="36"/>
        </tpls>
      </n>
      <n v="1" in="0">
        <tpls c="3">
          <tpl fld="0" item="0"/>
          <tpl fld="1" item="325"/>
          <tpl fld="4" item="38"/>
        </tpls>
      </n>
      <n v="43" in="0">
        <tpls c="3">
          <tpl fld="0" item="0"/>
          <tpl fld="1" item="161"/>
          <tpl fld="4" item="37"/>
        </tpls>
      </n>
      <m in="0">
        <tpls c="3">
          <tpl fld="0" item="0"/>
          <tpl fld="1" item="166"/>
          <tpl fld="4" item="36"/>
        </tpls>
      </m>
      <n v="7" in="0">
        <tpls c="3">
          <tpl fld="0" item="0"/>
          <tpl fld="1" item="56"/>
          <tpl fld="4" item="37"/>
        </tpls>
      </n>
      <m in="0">
        <tpls c="3">
          <tpl fld="0" item="0"/>
          <tpl fld="1" item="284"/>
          <tpl fld="4" item="2"/>
        </tpls>
      </m>
      <m in="0">
        <tpls c="3">
          <tpl fld="0" item="0"/>
          <tpl fld="1" item="426"/>
          <tpl fld="4" item="36"/>
        </tpls>
      </m>
      <m in="0">
        <tpls c="3">
          <tpl fld="0" item="0"/>
          <tpl fld="1" item="71"/>
          <tpl fld="4" item="38"/>
        </tpls>
      </m>
      <m in="0">
        <tpls c="3">
          <tpl fld="0" item="0"/>
          <tpl fld="1" item="196"/>
          <tpl fld="4" item="38"/>
        </tpls>
      </m>
      <m in="0">
        <tpls c="3">
          <tpl fld="0" item="0"/>
          <tpl fld="1" item="166"/>
          <tpl fld="4" item="40"/>
        </tpls>
      </m>
      <n v="14" in="0">
        <tpls c="3">
          <tpl fld="0" item="0"/>
          <tpl fld="1" item="183"/>
          <tpl fld="4" item="38"/>
        </tpls>
      </n>
      <n v="5" in="0">
        <tpls c="3">
          <tpl fld="0" item="0"/>
          <tpl fld="1" item="163"/>
          <tpl fld="4" item="40"/>
        </tpls>
      </n>
      <n v="3" in="0">
        <tpls c="3">
          <tpl fld="0" item="0"/>
          <tpl fld="1" item="182"/>
          <tpl fld="4" item="38"/>
        </tpls>
      </n>
      <n v="39" in="0">
        <tpls c="3">
          <tpl fld="0" item="0"/>
          <tpl fld="1" item="7"/>
          <tpl fld="4" item="40"/>
        </tpls>
      </n>
      <m in="0">
        <tpls c="3">
          <tpl fld="0" item="0"/>
          <tpl fld="1" item="240"/>
          <tpl fld="4" item="38"/>
        </tpls>
      </m>
      <n v="5" in="0">
        <tpls c="3">
          <tpl fld="0" item="0"/>
          <tpl fld="1" item="415"/>
          <tpl fld="4" item="39"/>
        </tpls>
      </n>
      <m in="0">
        <tpls c="3">
          <tpl fld="0" item="0"/>
          <tpl fld="1" item="251"/>
          <tpl fld="4" item="34"/>
        </tpls>
      </m>
      <m in="0">
        <tpls c="3">
          <tpl fld="0" item="0"/>
          <tpl fld="1" item="314"/>
          <tpl fld="4" item="30"/>
        </tpls>
      </m>
      <m in="0">
        <tpls c="3">
          <tpl fld="0" item="0"/>
          <tpl fld="1" item="104"/>
          <tpl fld="4" item="35"/>
        </tpls>
      </m>
      <m in="0">
        <tpls c="3">
          <tpl fld="0" item="0"/>
          <tpl fld="1" item="425"/>
          <tpl fld="4" item="31"/>
        </tpls>
      </m>
      <m in="0">
        <tpls c="3">
          <tpl fld="0" item="0"/>
          <tpl fld="1" item="41"/>
          <tpl fld="4" item="35"/>
        </tpls>
      </m>
      <m in="0">
        <tpls c="3">
          <tpl fld="0" item="0"/>
          <tpl fld="1" item="239"/>
          <tpl fld="4" item="21"/>
        </tpls>
      </m>
      <m in="0">
        <tpls c="3">
          <tpl fld="0" item="0"/>
          <tpl fld="1" item="422"/>
          <tpl fld="4" item="34"/>
        </tpls>
      </m>
      <m in="0">
        <tpls c="3">
          <tpl fld="0" item="0"/>
          <tpl fld="1" item="270"/>
          <tpl fld="4" item="32"/>
        </tpls>
      </m>
      <m in="0">
        <tpls c="3">
          <tpl fld="0" item="0"/>
          <tpl fld="1" item="108"/>
          <tpl fld="4" item="30"/>
        </tpls>
      </m>
      <m in="0">
        <tpls c="3">
          <tpl fld="0" item="0"/>
          <tpl fld="1" item="7"/>
          <tpl fld="4" item="35"/>
        </tpls>
      </m>
      <m in="0">
        <tpls c="3">
          <tpl fld="0" item="0"/>
          <tpl fld="1" item="333"/>
          <tpl fld="4" item="35"/>
        </tpls>
      </m>
      <m in="0">
        <tpls c="3">
          <tpl fld="0" item="0"/>
          <tpl fld="1" item="58"/>
          <tpl fld="4" item="6"/>
        </tpls>
      </m>
      <n v="1" in="0">
        <tpls c="3">
          <tpl fld="0" item="0"/>
          <tpl fld="1" item="134"/>
          <tpl fld="4" item="37"/>
        </tpls>
      </n>
      <m in="0">
        <tpls c="3">
          <tpl fld="0" item="0"/>
          <tpl fld="1" item="108"/>
          <tpl fld="4" item="3"/>
        </tpls>
      </m>
      <m in="0">
        <tpls c="3">
          <tpl fld="0" item="0"/>
          <tpl fld="1" item="438"/>
          <tpl fld="4" item="4"/>
        </tpls>
      </m>
      <m in="0">
        <tpls c="3">
          <tpl fld="0" item="0"/>
          <tpl fld="1" item="422"/>
          <tpl fld="4" item="0"/>
        </tpls>
      </m>
      <m in="0">
        <tpls c="3">
          <tpl fld="0" item="0"/>
          <tpl fld="1" item="271"/>
          <tpl fld="4" item="3"/>
        </tpls>
      </m>
      <m in="0">
        <tpls c="3">
          <tpl fld="0" item="0"/>
          <tpl fld="1" item="384"/>
          <tpl fld="4" item="2"/>
        </tpls>
      </m>
      <m in="0">
        <tpls c="3">
          <tpl fld="0" item="0"/>
          <tpl fld="1" item="178"/>
          <tpl fld="4" item="4"/>
        </tpls>
      </m>
      <n v="4" in="0">
        <tpls c="3">
          <tpl fld="0" item="0"/>
          <tpl fld="1" item="281"/>
          <tpl fld="4" item="0"/>
        </tpls>
      </n>
      <m in="0">
        <tpls c="3">
          <tpl fld="0" item="0"/>
          <tpl fld="1" item="243"/>
          <tpl fld="4" item="3"/>
        </tpls>
      </m>
      <m in="0">
        <tpls c="3">
          <tpl fld="0" item="0"/>
          <tpl fld="1" item="30"/>
          <tpl fld="4" item="4"/>
        </tpls>
      </m>
      <n v="222" in="0">
        <tpls c="3">
          <tpl fld="0" item="0"/>
          <tpl fld="1" item="99"/>
          <tpl fld="4" item="3"/>
        </tpls>
      </n>
      <m in="0">
        <tpls c="3">
          <tpl fld="0" item="0"/>
          <tpl fld="1" item="221"/>
          <tpl fld="4" item="4"/>
        </tpls>
      </m>
      <m in="0">
        <tpls c="3">
          <tpl fld="0" item="0"/>
          <tpl fld="1" item="439"/>
          <tpl fld="4" item="3"/>
        </tpls>
      </m>
      <m in="0">
        <tpls c="3">
          <tpl fld="0" item="0"/>
          <tpl fld="1" item="324"/>
          <tpl fld="4" item="4"/>
        </tpls>
      </m>
      <m in="0">
        <tpls c="3">
          <tpl fld="0" item="0"/>
          <tpl fld="1" item="77"/>
          <tpl fld="4" item="4"/>
        </tpls>
      </m>
      <m in="0">
        <tpls c="3">
          <tpl fld="0" item="0"/>
          <tpl fld="1" item="5"/>
          <tpl fld="4" item="2"/>
        </tpls>
      </m>
      <m in="0">
        <tpls c="3">
          <tpl fld="0" item="0"/>
          <tpl fld="1" item="370"/>
          <tpl fld="4" item="4"/>
        </tpls>
      </m>
      <m in="0">
        <tpls c="3">
          <tpl fld="0" item="0"/>
          <tpl fld="1" item="444"/>
          <tpl fld="4" item="2"/>
        </tpls>
      </m>
      <m in="0">
        <tpls c="3">
          <tpl fld="0" item="0"/>
          <tpl fld="1" item="36"/>
          <tpl fld="4" item="4"/>
        </tpls>
      </m>
      <m in="0">
        <tpls c="3">
          <tpl fld="0" item="0"/>
          <tpl fld="1" item="456"/>
          <tpl fld="4" item="2"/>
        </tpls>
      </m>
      <m in="0">
        <tpls c="3">
          <tpl fld="0" item="0"/>
          <tpl fld="1" item="237"/>
          <tpl fld="4" item="2"/>
        </tpls>
      </m>
      <m in="0">
        <tpls c="3">
          <tpl fld="0" item="0"/>
          <tpl fld="1" item="267"/>
          <tpl fld="4" item="2"/>
        </tpls>
      </m>
      <m in="0">
        <tpls c="3">
          <tpl fld="0" item="0"/>
          <tpl fld="1" item="176"/>
          <tpl fld="4" item="37"/>
        </tpls>
      </m>
      <m in="0">
        <tpls c="3">
          <tpl fld="0" item="0"/>
          <tpl fld="1" item="180"/>
          <tpl fld="4" item="2"/>
        </tpls>
      </m>
      <m in="0">
        <tpls c="3">
          <tpl fld="0" item="0"/>
          <tpl fld="1" item="378"/>
          <tpl fld="4" item="2"/>
        </tpls>
      </m>
      <n v="32" in="0">
        <tpls c="3">
          <tpl fld="0" item="0"/>
          <tpl fld="1" item="403"/>
          <tpl fld="4" item="37"/>
        </tpls>
      </n>
      <m in="0">
        <tpls c="3">
          <tpl fld="0" item="0"/>
          <tpl fld="1" item="331"/>
          <tpl fld="4" item="2"/>
        </tpls>
      </m>
      <n v="69" in="0">
        <tpls c="3">
          <tpl fld="0" item="0"/>
          <tpl fld="1" item="65"/>
          <tpl fld="4" item="36"/>
        </tpls>
      </n>
      <n v="38" in="0">
        <tpls c="3">
          <tpl fld="0" item="0"/>
          <tpl fld="1" item="308"/>
          <tpl fld="4" item="37"/>
        </tpls>
      </n>
      <n v="4" in="0">
        <tpls c="3">
          <tpl fld="0" item="0"/>
          <tpl fld="1" item="165"/>
          <tpl fld="4" item="36"/>
        </tpls>
      </n>
      <m in="0">
        <tpls c="3">
          <tpl fld="0" item="0"/>
          <tpl fld="1" item="213"/>
          <tpl fld="4" item="37"/>
        </tpls>
      </m>
      <m in="0">
        <tpls c="3">
          <tpl fld="0" item="0"/>
          <tpl fld="1" item="110"/>
          <tpl fld="4" item="36"/>
        </tpls>
      </m>
      <n v="507" in="0">
        <tpls c="3">
          <tpl fld="0" item="0"/>
          <tpl fld="1" item="452"/>
          <tpl fld="4" item="37"/>
        </tpls>
      </n>
      <n v="6" in="0">
        <tpls c="3">
          <tpl fld="0" item="0"/>
          <tpl fld="1" item="282"/>
          <tpl fld="4" item="36"/>
        </tpls>
      </n>
      <m in="0">
        <tpls c="3">
          <tpl fld="0" item="0"/>
          <tpl fld="1" item="234"/>
          <tpl fld="4" item="38"/>
        </tpls>
      </m>
      <m in="0">
        <tpls c="3">
          <tpl fld="0" item="0"/>
          <tpl fld="1" item="178"/>
          <tpl fld="4" item="35"/>
        </tpls>
      </m>
      <m in="0">
        <tpls c="3">
          <tpl fld="0" item="0"/>
          <tpl fld="1" item="370"/>
          <tpl fld="4" item="34"/>
        </tpls>
      </m>
      <m in="0">
        <tpls c="3">
          <tpl fld="0" item="0"/>
          <tpl fld="1" item="320"/>
          <tpl fld="4" item="35"/>
        </tpls>
      </m>
      <m in="0">
        <tpls c="3">
          <tpl fld="0" item="0"/>
          <tpl fld="1" item="446"/>
          <tpl fld="4" item="33"/>
        </tpls>
      </m>
      <m in="0">
        <tpls c="3">
          <tpl fld="0" item="0"/>
          <tpl fld="1" item="210"/>
          <tpl fld="4" item="35"/>
        </tpls>
      </m>
      <m in="0">
        <tpls c="3">
          <tpl fld="0" item="0"/>
          <tpl fld="1" item="275"/>
          <tpl fld="4" item="32"/>
        </tpls>
      </m>
      <m in="0">
        <tpls c="3">
          <tpl fld="0" item="0"/>
          <tpl fld="1" item="441"/>
          <tpl fld="4" item="34"/>
        </tpls>
      </m>
      <m in="0">
        <tpls c="3">
          <tpl fld="0" item="0"/>
          <tpl fld="1" item="273"/>
          <tpl fld="4" item="34"/>
        </tpls>
      </m>
      <m in="0">
        <tpls c="3">
          <tpl fld="0" item="0"/>
          <tpl fld="1" item="421"/>
          <tpl fld="4" item="30"/>
        </tpls>
      </m>
      <m in="0">
        <tpls c="3">
          <tpl fld="0" item="0"/>
          <tpl fld="1" item="171"/>
          <tpl fld="4" item="35"/>
        </tpls>
      </m>
      <m in="0">
        <tpls c="3">
          <tpl fld="0" item="0"/>
          <tpl fld="1" item="156"/>
          <tpl fld="4" item="0"/>
        </tpls>
      </m>
      <m in="0">
        <tpls c="3">
          <tpl fld="0" item="0"/>
          <tpl fld="1" item="245"/>
          <tpl fld="4" item="0"/>
        </tpls>
      </m>
      <m in="0">
        <tpls c="3">
          <tpl fld="0" item="0"/>
          <tpl fld="1" item="415"/>
          <tpl fld="4" item="0"/>
        </tpls>
      </m>
      <m in="0">
        <tpls c="3">
          <tpl fld="0" item="0"/>
          <tpl fld="1" item="314"/>
          <tpl fld="4" item="3"/>
        </tpls>
      </m>
      <m in="0">
        <tpls c="3">
          <tpl fld="0" item="0"/>
          <tpl fld="1" item="332"/>
          <tpl fld="4" item="4"/>
        </tpls>
      </m>
      <m in="0">
        <tpls c="3">
          <tpl fld="0" item="0"/>
          <tpl fld="1" item="224"/>
          <tpl fld="4" item="0"/>
        </tpls>
      </m>
      <m in="0">
        <tpls c="3">
          <tpl fld="0" item="0"/>
          <tpl fld="1" item="346"/>
          <tpl fld="4" item="3"/>
        </tpls>
      </m>
      <m in="0">
        <tpls c="3">
          <tpl fld="0" item="0"/>
          <tpl fld="1" item="183"/>
          <tpl fld="4" item="2"/>
        </tpls>
      </m>
      <m in="0">
        <tpls c="3">
          <tpl fld="0" item="0"/>
          <tpl fld="1" item="146"/>
          <tpl fld="4" item="4"/>
        </tpls>
      </m>
      <m in="0">
        <tpls c="3">
          <tpl fld="0" item="0"/>
          <tpl fld="1" item="183"/>
          <tpl fld="4" item="0"/>
        </tpls>
      </m>
      <m in="0">
        <tpls c="3">
          <tpl fld="0" item="0"/>
          <tpl fld="3" item="0"/>
          <tpl fld="4" item="3"/>
        </tpls>
      </m>
      <m in="0">
        <tpls c="3">
          <tpl fld="0" item="0"/>
          <tpl fld="1" item="201"/>
          <tpl fld="4" item="4"/>
        </tpls>
      </m>
      <m in="0">
        <tpls c="3">
          <tpl fld="0" item="0"/>
          <tpl fld="1" item="401"/>
          <tpl fld="4" item="3"/>
        </tpls>
      </m>
      <m in="0">
        <tpls c="3">
          <tpl fld="0" item="0"/>
          <tpl fld="1" item="300"/>
          <tpl fld="4" item="4"/>
        </tpls>
      </m>
      <m in="0">
        <tpls c="3">
          <tpl fld="0" item="0"/>
          <tpl fld="1" item="169"/>
          <tpl fld="4" item="3"/>
        </tpls>
      </m>
      <m in="0">
        <tpls c="3">
          <tpl fld="0" item="0"/>
          <tpl fld="1" item="433"/>
          <tpl fld="4" item="4"/>
        </tpls>
      </m>
      <m in="0">
        <tpls c="3">
          <tpl fld="0" item="0"/>
          <tpl fld="1" item="43"/>
          <tpl fld="4" item="4"/>
        </tpls>
      </m>
      <m in="0">
        <tpls c="3">
          <tpl fld="0" item="0"/>
          <tpl fld="1" item="64"/>
          <tpl fld="4" item="2"/>
        </tpls>
      </m>
      <m in="0">
        <tpls c="3">
          <tpl fld="0" item="0"/>
          <tpl fld="1" item="385"/>
          <tpl fld="4" item="4"/>
        </tpls>
      </m>
      <m in="0">
        <tpls c="3">
          <tpl fld="0" item="0"/>
          <tpl fld="1" item="320"/>
          <tpl fld="4" item="2"/>
        </tpls>
      </m>
      <m in="0">
        <tpls c="3">
          <tpl fld="0" item="0"/>
          <tpl fld="1" item="222"/>
          <tpl fld="4" item="4"/>
        </tpls>
      </m>
      <m in="0">
        <tpls c="3">
          <tpl fld="0" item="0"/>
          <tpl fld="1" item="352"/>
          <tpl fld="4" item="2"/>
        </tpls>
      </m>
      <m in="0">
        <tpls c="3">
          <tpl fld="0" item="0"/>
          <tpl fld="1" item="87"/>
          <tpl fld="4" item="2"/>
        </tpls>
      </m>
      <m in="0">
        <tpls c="3">
          <tpl fld="0" item="0"/>
          <tpl fld="1" item="333"/>
          <tpl fld="4" item="2"/>
        </tpls>
      </m>
      <m in="0">
        <tpls c="3">
          <tpl fld="0" item="0"/>
          <tpl fld="1" item="122"/>
          <tpl fld="4" item="4"/>
        </tpls>
      </m>
      <m in="0">
        <tpls c="3">
          <tpl fld="0" item="0"/>
          <tpl fld="1" item="363"/>
          <tpl fld="4" item="36"/>
        </tpls>
      </m>
      <m in="0">
        <tpls c="3">
          <tpl fld="0" item="0"/>
          <tpl fld="1" item="405"/>
          <tpl fld="4" item="2"/>
        </tpls>
      </m>
      <m in="0">
        <tpls c="3">
          <tpl fld="0" item="0"/>
          <tpl fld="1" item="22"/>
          <tpl fld="4" item="37"/>
        </tpls>
      </m>
      <m in="0">
        <tpls c="3">
          <tpl fld="0" item="0"/>
          <tpl fld="1" item="94"/>
          <tpl fld="4" item="2"/>
        </tpls>
      </m>
      <n v="5" in="0">
        <tpls c="3">
          <tpl fld="0" item="0"/>
          <tpl fld="1" item="28"/>
          <tpl fld="4" item="36"/>
        </tpls>
      </n>
      <m in="0">
        <tpls c="3">
          <tpl fld="0" item="0"/>
          <tpl fld="1" item="226"/>
          <tpl fld="4" item="38"/>
        </tpls>
      </m>
      <m in="0">
        <tpls c="3">
          <tpl fld="0" item="0"/>
          <tpl fld="1" item="96"/>
          <tpl fld="4" item="36"/>
        </tpls>
      </m>
      <n v="188" in="0">
        <tpls c="3">
          <tpl fld="0" item="0"/>
          <tpl fld="1" item="65"/>
          <tpl fld="4" item="37"/>
        </tpls>
      </n>
      <m in="0">
        <tpls c="3">
          <tpl fld="0" item="0"/>
          <tpl fld="1" item="328"/>
          <tpl fld="4" item="36"/>
        </tpls>
      </m>
      <n v="2" in="0">
        <tpls c="3">
          <tpl fld="0" item="0"/>
          <tpl fld="1" item="427"/>
          <tpl fld="4" item="38"/>
        </tpls>
      </n>
      <n v="8" in="0">
        <tpls c="3">
          <tpl fld="0" item="0"/>
          <tpl fld="1" item="224"/>
          <tpl fld="4" item="36"/>
        </tpls>
      </n>
      <n v="1" in="0">
        <tpls c="3">
          <tpl fld="0" item="0"/>
          <tpl fld="1" item="208"/>
          <tpl fld="4" item="38"/>
        </tpls>
      </n>
      <n v="16" in="0">
        <tpls c="3">
          <tpl fld="0" item="0"/>
          <tpl fld="1" item="138"/>
          <tpl fld="4" item="36"/>
        </tpls>
      </n>
      <n v="31" in="0">
        <tpls c="3">
          <tpl fld="0" item="0"/>
          <tpl fld="1" item="350"/>
          <tpl fld="4" item="37"/>
        </tpls>
      </n>
      <m in="0">
        <tpls c="3">
          <tpl fld="0" item="0"/>
          <tpl fld="1" item="372"/>
          <tpl fld="4" item="38"/>
        </tpls>
      </m>
      <n v="22" in="0">
        <tpls c="3">
          <tpl fld="0" item="0"/>
          <tpl fld="1" item="377"/>
          <tpl fld="4" item="39"/>
        </tpls>
      </n>
      <m in="0">
        <tpls c="3">
          <tpl fld="0" item="0"/>
          <tpl fld="1" item="72"/>
          <tpl fld="4" item="38"/>
        </tpls>
      </m>
      <m in="0">
        <tpls c="3">
          <tpl fld="0" item="0"/>
          <tpl fld="1" item="336"/>
          <tpl fld="4" item="39"/>
        </tpls>
      </m>
      <n v="5" in="0">
        <tpls c="3">
          <tpl fld="0" item="0"/>
          <tpl fld="1" item="140"/>
          <tpl fld="4" item="38"/>
        </tpls>
      </n>
      <m in="0">
        <tpls c="3">
          <tpl fld="0" item="0"/>
          <tpl fld="1" item="61"/>
          <tpl fld="4" item="39"/>
        </tpls>
      </m>
      <n v="8" in="0">
        <tpls c="3">
          <tpl fld="0" item="0"/>
          <tpl fld="1" item="28"/>
          <tpl fld="4" item="37"/>
        </tpls>
      </n>
      <m in="0">
        <tpls c="3">
          <tpl fld="0" item="0"/>
          <tpl fld="1" item="8"/>
          <tpl fld="4" item="39"/>
        </tpls>
      </m>
      <m in="0">
        <tpls c="3">
          <tpl fld="0" item="0"/>
          <tpl fld="1" item="340"/>
          <tpl fld="4" item="38"/>
        </tpls>
      </m>
      <m in="0">
        <tpls c="3">
          <tpl fld="0" item="0"/>
          <tpl fld="1" item="195"/>
          <tpl fld="4" item="39"/>
        </tpls>
      </m>
      <n v="3" in="0">
        <tpls c="3">
          <tpl fld="0" item="0"/>
          <tpl fld="1" item="430"/>
          <tpl fld="4" item="38"/>
        </tpls>
      </n>
      <n v="38" in="0">
        <tpls c="3">
          <tpl fld="0" item="0"/>
          <tpl fld="1" item="226"/>
          <tpl fld="4" item="41"/>
        </tpls>
      </n>
      <n v="6" in="0">
        <tpls c="3">
          <tpl fld="0" item="0"/>
          <tpl fld="1" item="196"/>
          <tpl fld="4" item="41"/>
        </tpls>
      </n>
      <m in="0">
        <tpls c="3">
          <tpl fld="0" item="0"/>
          <tpl fld="1" item="147"/>
          <tpl fld="4" item="35"/>
        </tpls>
      </m>
      <m in="0">
        <tpls c="3">
          <tpl fld="0" item="0"/>
          <tpl fld="1" item="117"/>
          <tpl fld="4" item="34"/>
        </tpls>
      </m>
      <n v="7" in="0">
        <tpls c="3">
          <tpl fld="0" item="0"/>
          <tpl fld="1" item="33"/>
          <tpl fld="4" item="33"/>
        </tpls>
      </n>
      <m in="0">
        <tpls c="3">
          <tpl fld="0" item="0"/>
          <tpl fld="1" item="127"/>
          <tpl fld="4" item="30"/>
        </tpls>
      </m>
      <m in="0">
        <tpls c="3">
          <tpl fld="0" item="0"/>
          <tpl fld="1" item="357"/>
          <tpl fld="4" item="35"/>
        </tpls>
      </m>
      <n v="27" in="0">
        <tpls c="3">
          <tpl fld="0" item="0"/>
          <tpl fld="1" item="348"/>
          <tpl fld="4" item="21"/>
        </tpls>
      </n>
      <m in="0">
        <tpls c="3">
          <tpl fld="0" item="0"/>
          <tpl fld="1" item="261"/>
          <tpl fld="4" item="35"/>
        </tpls>
      </m>
      <m in="0">
        <tpls c="3">
          <tpl fld="0" item="0"/>
          <tpl fld="1" item="36"/>
          <tpl fld="4" item="35"/>
        </tpls>
      </m>
      <m in="0">
        <tpls c="3">
          <tpl fld="0" item="0"/>
          <tpl fld="1" item="334"/>
          <tpl fld="4" item="34"/>
        </tpls>
      </m>
      <m in="0">
        <tpls c="3">
          <tpl fld="0" item="0"/>
          <tpl fld="1" item="1"/>
          <tpl fld="4" item="35"/>
        </tpls>
      </m>
      <m in="0">
        <tpls c="3">
          <tpl fld="0" item="0"/>
          <tpl fld="1" item="194"/>
          <tpl fld="4" item="0"/>
        </tpls>
      </m>
      <m in="0">
        <tpls c="3">
          <tpl fld="0" item="0"/>
          <tpl fld="1" item="332"/>
          <tpl fld="4" item="0"/>
        </tpls>
      </m>
      <m in="0">
        <tpls c="3">
          <tpl fld="0" item="0"/>
          <tpl fld="1" item="240"/>
          <tpl fld="4" item="0"/>
        </tpls>
      </m>
      <m in="0">
        <tpls c="3">
          <tpl fld="0" item="0"/>
          <tpl fld="1" item="451"/>
          <tpl fld="4" item="21"/>
        </tpls>
      </m>
      <m in="0">
        <tpls c="3">
          <tpl fld="0" item="0"/>
          <tpl fld="1" item="428"/>
          <tpl fld="4" item="25"/>
        </tpls>
      </m>
      <m in="0">
        <tpls c="3">
          <tpl fld="0" item="0"/>
          <tpl fld="1" item="284"/>
          <tpl fld="4" item="30"/>
        </tpls>
      </m>
      <m in="0">
        <tpls c="3">
          <tpl fld="0" item="0"/>
          <tpl fld="1" item="51"/>
          <tpl fld="4" item="24"/>
        </tpls>
      </m>
      <n v="774" in="0">
        <tpls c="3">
          <tpl fld="0" item="0"/>
          <tpl fld="1" item="202"/>
          <tpl fld="4" item="25"/>
        </tpls>
      </n>
      <n v="1" in="0">
        <tpls c="3">
          <tpl fld="0" item="0"/>
          <tpl fld="1" item="159"/>
          <tpl fld="4" item="23"/>
        </tpls>
      </n>
      <m in="0">
        <tpls c="3">
          <tpl fld="0" item="0"/>
          <tpl fld="1" item="425"/>
          <tpl fld="4" item="33"/>
        </tpls>
      </m>
      <m in="0">
        <tpls c="3">
          <tpl fld="0" item="0"/>
          <tpl fld="1" item="47"/>
          <tpl fld="4" item="34"/>
        </tpls>
      </m>
      <m in="0">
        <tpls c="3">
          <tpl fld="0" item="0"/>
          <tpl fld="1" item="309"/>
          <tpl fld="4" item="31"/>
        </tpls>
      </m>
      <m in="0">
        <tpls c="3">
          <tpl fld="0" item="0"/>
          <tpl fld="1" item="301"/>
          <tpl fld="4" item="35"/>
        </tpls>
      </m>
      <m in="0">
        <tpls c="3">
          <tpl fld="0" item="0"/>
          <tpl fld="1" item="36"/>
          <tpl fld="4" item="33"/>
        </tpls>
      </m>
      <m in="0">
        <tpls c="3">
          <tpl fld="0" item="0"/>
          <tpl fld="1" item="427"/>
          <tpl fld="4" item="35"/>
        </tpls>
      </m>
      <m in="0">
        <tpls c="3">
          <tpl fld="0" item="0"/>
          <tpl fld="1" item="91"/>
          <tpl fld="4" item="29"/>
        </tpls>
      </m>
      <m in="0">
        <tpls c="3">
          <tpl fld="0" item="0"/>
          <tpl fld="1" item="361"/>
          <tpl fld="4" item="31"/>
        </tpls>
      </m>
      <n v="15" in="0">
        <tpls c="3">
          <tpl fld="0" item="0"/>
          <tpl fld="1" item="17"/>
          <tpl fld="4" item="29"/>
        </tpls>
      </n>
      <n v="1" in="0">
        <tpls c="3">
          <tpl fld="0" item="0"/>
          <tpl fld="1" item="424"/>
          <tpl fld="4" item="33"/>
        </tpls>
      </n>
      <m in="0">
        <tpls c="3">
          <tpl fld="0" item="0"/>
          <tpl fld="1" item="252"/>
          <tpl fld="4" item="34"/>
        </tpls>
      </m>
      <n v="1" in="0">
        <tpls c="3">
          <tpl fld="0" item="0"/>
          <tpl fld="1" item="53"/>
          <tpl fld="4" item="24"/>
        </tpls>
      </n>
      <m in="0">
        <tpls c="3">
          <tpl fld="0" item="0"/>
          <tpl fld="1" item="413"/>
          <tpl fld="4" item="32"/>
        </tpls>
      </m>
      <m in="0">
        <tpls c="3">
          <tpl fld="0" item="0"/>
          <tpl fld="1" item="185"/>
          <tpl fld="4" item="23"/>
        </tpls>
      </m>
      <m in="0">
        <tpls c="3">
          <tpl fld="0" item="0"/>
          <tpl fld="1" item="74"/>
          <tpl fld="4" item="33"/>
        </tpls>
      </m>
      <m in="0">
        <tpls c="3">
          <tpl fld="0" item="0"/>
          <tpl fld="1" item="176"/>
          <tpl fld="4" item="30"/>
        </tpls>
      </m>
      <m in="0">
        <tpls c="3">
          <tpl fld="0" item="0"/>
          <tpl fld="1" item="217"/>
          <tpl fld="4" item="28"/>
        </tpls>
      </m>
      <m in="0">
        <tpls c="3">
          <tpl fld="0" item="0"/>
          <tpl fld="1" item="325"/>
          <tpl fld="4" item="32"/>
        </tpls>
      </m>
      <m in="0">
        <tpls c="3">
          <tpl fld="0" item="0"/>
          <tpl fld="1" item="19"/>
          <tpl fld="4" item="31"/>
        </tpls>
      </m>
      <m in="0">
        <tpls c="3">
          <tpl fld="0" item="0"/>
          <tpl fld="1" item="186"/>
          <tpl fld="4" item="31"/>
        </tpls>
      </m>
      <m in="0">
        <tpls c="3">
          <tpl fld="0" item="0"/>
          <tpl fld="1" item="275"/>
          <tpl fld="4" item="30"/>
        </tpls>
      </m>
      <m in="0">
        <tpls c="3">
          <tpl fld="0" item="0"/>
          <tpl fld="1" item="257"/>
          <tpl fld="4" item="34"/>
        </tpls>
      </m>
      <m in="0">
        <tpls c="3">
          <tpl fld="0" item="0"/>
          <tpl fld="1" item="448"/>
          <tpl fld="4" item="23"/>
        </tpls>
      </m>
      <m in="0">
        <tpls c="3">
          <tpl fld="0" item="0"/>
          <tpl fld="1" item="115"/>
          <tpl fld="4" item="28"/>
        </tpls>
      </m>
      <n v="31" in="0">
        <tpls c="3">
          <tpl fld="0" item="0"/>
          <tpl fld="1" item="68"/>
          <tpl fld="4" item="26"/>
        </tpls>
      </n>
      <n v="665" in="0">
        <tpls c="3">
          <tpl fld="0" item="0"/>
          <tpl fld="1" item="390"/>
          <tpl fld="4" item="24"/>
        </tpls>
      </n>
      <n v="4" in="0">
        <tpls c="3">
          <tpl fld="0" item="0"/>
          <tpl fld="1" item="87"/>
          <tpl fld="4" item="33"/>
        </tpls>
      </n>
      <m in="0">
        <tpls c="3">
          <tpl fld="0" item="0"/>
          <tpl fld="1" item="426"/>
          <tpl fld="4" item="30"/>
        </tpls>
      </m>
      <m in="0">
        <tpls c="3">
          <tpl fld="0" item="0"/>
          <tpl fld="1" item="352"/>
          <tpl fld="4" item="34"/>
        </tpls>
      </m>
      <m in="0">
        <tpls c="3">
          <tpl fld="0" item="0"/>
          <tpl fld="1" item="304"/>
          <tpl fld="4" item="33"/>
        </tpls>
      </m>
      <m in="0">
        <tpls c="3">
          <tpl fld="0" item="0"/>
          <tpl fld="1" item="11"/>
          <tpl fld="4" item="35"/>
        </tpls>
      </m>
      <n v="1096" in="0">
        <tpls c="3">
          <tpl fld="0" item="0"/>
          <tpl fld="1" item="266"/>
          <tpl fld="4" item="24"/>
        </tpls>
      </n>
      <m in="0">
        <tpls c="3">
          <tpl fld="0" item="0"/>
          <tpl fld="1" item="371"/>
          <tpl fld="4" item="33"/>
        </tpls>
      </m>
      <n v="8" in="0">
        <tpls c="3">
          <tpl fld="0" item="0"/>
          <tpl fld="1" item="110"/>
          <tpl fld="4" item="25"/>
        </tpls>
      </n>
      <m in="0">
        <tpls c="3">
          <tpl fld="0" item="0"/>
          <tpl fld="1" item="439"/>
          <tpl fld="4" item="31"/>
        </tpls>
      </m>
      <m in="0">
        <tpls c="3">
          <tpl fld="0" item="0"/>
          <tpl fld="1" item="179"/>
          <tpl fld="4" item="32"/>
        </tpls>
      </m>
      <m in="0">
        <tpls c="3">
          <tpl fld="0" item="0"/>
          <tpl fld="1" item="428"/>
          <tpl fld="4" item="33"/>
        </tpls>
      </m>
      <m in="0">
        <tpls c="3">
          <tpl fld="0" item="0"/>
          <tpl fld="1" item="303"/>
          <tpl fld="4" item="30"/>
        </tpls>
      </m>
      <m in="0">
        <tpls c="3">
          <tpl fld="0" item="0"/>
          <tpl fld="1" item="241"/>
          <tpl fld="4" item="35"/>
        </tpls>
      </m>
      <n v="514" in="0">
        <tpls c="3">
          <tpl fld="0" item="0"/>
          <tpl fld="1" item="144"/>
          <tpl fld="4" item="25"/>
        </tpls>
      </n>
      <m in="0">
        <tpls c="3">
          <tpl fld="0" item="0"/>
          <tpl fld="1" item="411"/>
          <tpl fld="4" item="32"/>
        </tpls>
      </m>
      <m in="0">
        <tpls c="3">
          <tpl fld="0" item="0"/>
          <tpl fld="1" item="76"/>
          <tpl fld="4" item="32"/>
        </tpls>
      </m>
      <m in="0">
        <tpls c="3">
          <tpl fld="0" item="0"/>
          <tpl fld="1" item="326"/>
          <tpl fld="4" item="31"/>
        </tpls>
      </m>
      <n v="1" in="0">
        <tpls c="3">
          <tpl fld="0" item="0"/>
          <tpl fld="1" item="301"/>
          <tpl fld="4" item="33"/>
        </tpls>
      </n>
      <m in="0">
        <tpls c="3">
          <tpl fld="0" item="0"/>
          <tpl fld="1" item="182"/>
          <tpl fld="4" item="30"/>
        </tpls>
      </m>
      <m in="0">
        <tpls c="3">
          <tpl fld="0" item="0"/>
          <tpl fld="1" item="433"/>
          <tpl fld="4" item="17"/>
        </tpls>
      </m>
      <m in="0">
        <tpls c="3">
          <tpl fld="0" item="0"/>
          <tpl fld="1" item="37"/>
          <tpl fld="4" item="26"/>
        </tpls>
      </m>
      <m in="0">
        <tpls c="3">
          <tpl fld="0" item="0"/>
          <tpl fld="1" item="301"/>
          <tpl fld="4" item="29"/>
        </tpls>
      </m>
      <n v="117" in="0">
        <tpls c="3">
          <tpl fld="0" item="0"/>
          <tpl fld="1" item="174"/>
          <tpl fld="4" item="15"/>
        </tpls>
      </n>
      <n v="172" in="0">
        <tpls c="3">
          <tpl fld="0" item="0"/>
          <tpl fld="1" item="42"/>
          <tpl fld="4" item="29"/>
        </tpls>
      </n>
      <m in="0">
        <tpls c="3">
          <tpl fld="0" item="0"/>
          <tpl fld="1" item="131"/>
          <tpl fld="4" item="33"/>
        </tpls>
      </m>
      <m in="0">
        <tpls c="3">
          <tpl fld="0" item="0"/>
          <tpl fld="1" item="6"/>
          <tpl fld="4" item="30"/>
        </tpls>
      </m>
      <m in="0">
        <tpls c="3">
          <tpl fld="0" item="0"/>
          <tpl fld="1" item="133"/>
          <tpl fld="4" item="34"/>
        </tpls>
      </m>
      <m in="0">
        <tpls c="3">
          <tpl fld="0" item="0"/>
          <tpl fld="1" item="61"/>
          <tpl fld="4" item="28"/>
        </tpls>
      </m>
      <n v="11" in="0">
        <tpls c="3">
          <tpl fld="0" item="0"/>
          <tpl fld="1" item="357"/>
          <tpl fld="4" item="24"/>
        </tpls>
      </n>
      <m in="0">
        <tpls c="3">
          <tpl fld="0" item="0"/>
          <tpl fld="1" item="446"/>
          <tpl fld="4" item="32"/>
        </tpls>
      </m>
      <m in="0">
        <tpls c="3">
          <tpl fld="0" item="0"/>
          <tpl fld="1" item="91"/>
          <tpl fld="4" item="32"/>
        </tpls>
      </m>
      <m in="0">
        <tpls c="3">
          <tpl fld="0" item="0"/>
          <tpl fld="1" item="93"/>
          <tpl fld="4" item="33"/>
        </tpls>
      </m>
      <m in="0">
        <tpls c="3">
          <tpl fld="0" item="0"/>
          <tpl fld="1" item="234"/>
          <tpl fld="4" item="34"/>
        </tpls>
      </m>
      <m in="0">
        <tpls c="3">
          <tpl fld="0" item="0"/>
          <tpl fld="1" item="412"/>
          <tpl fld="4" item="35"/>
        </tpls>
      </m>
      <m in="0">
        <tpls c="3">
          <tpl fld="0" item="0"/>
          <tpl fld="1" item="134"/>
          <tpl fld="4" item="30"/>
        </tpls>
      </m>
      <m in="0">
        <tpls c="3">
          <tpl fld="0" item="0"/>
          <tpl fld="1" item="267"/>
          <tpl fld="4" item="35"/>
        </tpls>
      </m>
      <m in="0">
        <tpls c="3">
          <tpl fld="0" item="0"/>
          <tpl fld="1" item="102"/>
          <tpl fld="4" item="32"/>
        </tpls>
      </m>
      <m in="0">
        <tpls c="3">
          <tpl fld="0" item="0"/>
          <tpl fld="1" item="151"/>
          <tpl fld="4" item="34"/>
        </tpls>
      </m>
      <m in="0">
        <tpls c="3">
          <tpl fld="0" item="0"/>
          <tpl fld="1" item="384"/>
          <tpl fld="4" item="35"/>
        </tpls>
      </m>
      <m in="0">
        <tpls c="3">
          <tpl fld="0" item="0"/>
          <tpl fld="1" item="23"/>
          <tpl fld="4" item="33"/>
        </tpls>
      </m>
      <m in="0">
        <tpls c="3">
          <tpl fld="0" item="0"/>
          <tpl fld="1" item="28"/>
          <tpl fld="4" item="35"/>
        </tpls>
      </m>
      <m in="0">
        <tpls c="3">
          <tpl fld="0" item="0"/>
          <tpl fld="1" item="278"/>
          <tpl fld="4" item="25"/>
        </tpls>
      </m>
      <m in="0">
        <tpls c="3">
          <tpl fld="0" item="0"/>
          <tpl fld="1" item="128"/>
          <tpl fld="4" item="34"/>
        </tpls>
      </m>
      <m in="0">
        <tpls c="3">
          <tpl fld="0" item="0"/>
          <tpl fld="1" item="237"/>
          <tpl fld="4" item="35"/>
        </tpls>
      </m>
      <n v="9" in="0">
        <tpls c="3">
          <tpl fld="0" item="0"/>
          <tpl fld="1" item="25"/>
          <tpl fld="4" item="23"/>
        </tpls>
      </n>
      <m in="0">
        <tpls c="3">
          <tpl fld="0" item="0"/>
          <tpl fld="1" item="389"/>
          <tpl fld="4" item="34"/>
        </tpls>
      </m>
      <m in="0">
        <tpls c="3">
          <tpl fld="0" item="0"/>
          <tpl fld="1" item="292"/>
          <tpl fld="4" item="35"/>
        </tpls>
      </m>
      <m in="0">
        <tpls c="3">
          <tpl fld="0" item="0"/>
          <tpl fld="1" item="212"/>
          <tpl fld="4" item="35"/>
        </tpls>
      </m>
      <m in="0">
        <tpls c="3">
          <tpl fld="0" item="0"/>
          <tpl fld="1" item="79"/>
          <tpl fld="4" item="30"/>
        </tpls>
      </m>
      <m in="0">
        <tpls c="3">
          <tpl fld="0" item="0"/>
          <tpl fld="1" item="294"/>
          <tpl fld="4" item="35"/>
        </tpls>
      </m>
      <m in="0">
        <tpls c="3">
          <tpl fld="0" item="0"/>
          <tpl fld="1" item="345"/>
          <tpl fld="4" item="34"/>
        </tpls>
      </m>
      <m in="0">
        <tpls c="3">
          <tpl fld="0" item="0"/>
          <tpl fld="1" item="100"/>
          <tpl fld="4" item="33"/>
        </tpls>
      </m>
      <m in="0">
        <tpls c="3">
          <tpl fld="0" item="0"/>
          <tpl fld="1" item="196"/>
          <tpl fld="4" item="35"/>
        </tpls>
      </m>
      <m in="0">
        <tpls c="3">
          <tpl fld="0" item="0"/>
          <tpl fld="1" item="279"/>
          <tpl fld="4" item="34"/>
        </tpls>
      </m>
      <m in="0">
        <tpls c="3">
          <tpl fld="0" item="0"/>
          <tpl fld="1" item="404"/>
          <tpl fld="4" item="24"/>
        </tpls>
      </m>
      <n v="1" in="0">
        <tpls c="3">
          <tpl fld="0" item="0"/>
          <tpl fld="1" item="390"/>
          <tpl fld="4" item="30"/>
        </tpls>
      </n>
      <m in="0">
        <tpls c="3">
          <tpl fld="0" item="0"/>
          <tpl fld="1" item="446"/>
          <tpl fld="4" item="35"/>
        </tpls>
      </m>
      <m in="0">
        <tpls c="3">
          <tpl fld="0" item="0"/>
          <tpl fld="1" item="370"/>
          <tpl fld="4" item="32"/>
        </tpls>
      </m>
      <m in="0">
        <tpls c="3">
          <tpl fld="0" item="0"/>
          <tpl fld="1" item="70"/>
          <tpl fld="4" item="34"/>
        </tpls>
      </m>
      <m in="0">
        <tpls c="3">
          <tpl fld="0" item="0"/>
          <tpl fld="1" item="214"/>
          <tpl fld="4" item="34"/>
        </tpls>
      </m>
      <m in="0">
        <tpls c="3">
          <tpl fld="0" item="0"/>
          <tpl fld="1" item="92"/>
          <tpl fld="4" item="34"/>
        </tpls>
      </m>
      <m in="0">
        <tpls c="3">
          <tpl fld="0" item="0"/>
          <tpl fld="1" item="419"/>
          <tpl fld="4" item="35"/>
        </tpls>
      </m>
      <m in="0">
        <tpls c="3">
          <tpl fld="0" item="0"/>
          <tpl fld="1" item="362"/>
          <tpl fld="4" item="0"/>
        </tpls>
      </m>
      <m in="0">
        <tpls c="3">
          <tpl fld="0" item="0"/>
          <tpl fld="1" item="114"/>
          <tpl fld="4" item="0"/>
        </tpls>
      </m>
      <m in="0">
        <tpls c="3">
          <tpl fld="0" item="0"/>
          <tpl fld="1" item="181"/>
          <tpl fld="4" item="0"/>
        </tpls>
      </m>
      <m in="0">
        <tpls c="3">
          <tpl fld="0" item="0"/>
          <tpl fld="1" item="413"/>
          <tpl fld="4" item="3"/>
        </tpls>
      </m>
      <m in="0">
        <tpls c="3">
          <tpl fld="0" item="0"/>
          <tpl fld="1" item="133"/>
          <tpl fld="4" item="4"/>
        </tpls>
      </m>
      <m in="0">
        <tpls c="3">
          <tpl fld="0" item="0"/>
          <tpl fld="1" item="300"/>
          <tpl fld="4" item="0"/>
        </tpls>
      </m>
      <m in="0">
        <tpls c="3">
          <tpl fld="0" item="0"/>
          <tpl fld="1" item="254"/>
          <tpl fld="4" item="3"/>
        </tpls>
      </m>
      <m in="0">
        <tpls c="3">
          <tpl fld="0" item="0"/>
          <tpl fld="1" item="429"/>
          <tpl fld="4" item="2"/>
        </tpls>
      </m>
      <m in="0">
        <tpls c="3">
          <tpl fld="0" item="0"/>
          <tpl fld="1" item="327"/>
          <tpl fld="4" item="4"/>
        </tpls>
      </m>
      <m in="0">
        <tpls c="3">
          <tpl fld="0" item="0"/>
          <tpl fld="1" item="138"/>
          <tpl fld="4" item="0"/>
        </tpls>
      </m>
      <m in="0">
        <tpls c="3">
          <tpl fld="0" item="0"/>
          <tpl fld="1" item="193"/>
          <tpl fld="4" item="3"/>
        </tpls>
      </m>
      <m in="0">
        <tpls c="3">
          <tpl fld="0" item="0"/>
          <tpl fld="1" item="321"/>
          <tpl fld="4" item="4"/>
        </tpls>
      </m>
      <m in="0">
        <tpls c="3">
          <tpl fld="0" item="0"/>
          <tpl fld="1" item="270"/>
          <tpl fld="4" item="3"/>
        </tpls>
      </m>
      <m in="0">
        <tpls c="3">
          <tpl fld="0" item="0"/>
          <tpl fld="1" item="246"/>
          <tpl fld="4" item="4"/>
        </tpls>
      </m>
      <m in="0">
        <tpls c="3">
          <tpl fld="0" item="0"/>
          <tpl fld="1" item="120"/>
          <tpl fld="4" item="3"/>
        </tpls>
      </m>
      <m in="0">
        <tpls c="3">
          <tpl fld="0" item="0"/>
          <tpl fld="1" item="24"/>
          <tpl fld="4" item="2"/>
        </tpls>
      </m>
      <m in="0">
        <tpls c="3">
          <tpl fld="0" item="0"/>
          <tpl fld="1" item="68"/>
          <tpl fld="4" item="4"/>
        </tpls>
      </m>
      <m in="0">
        <tpls c="3">
          <tpl fld="0" item="0"/>
          <tpl fld="1" item="228"/>
          <tpl fld="4" item="36"/>
        </tpls>
      </m>
      <m in="0">
        <tpls c="3">
          <tpl fld="0" item="0"/>
          <tpl fld="1" item="76"/>
          <tpl fld="4" item="4"/>
        </tpls>
      </m>
      <m in="0">
        <tpls c="3">
          <tpl fld="0" item="0"/>
          <tpl fld="1" item="389"/>
          <tpl fld="4" item="36"/>
        </tpls>
      </m>
      <m in="0">
        <tpls c="3">
          <tpl fld="0" item="0"/>
          <tpl fld="1" item="384"/>
          <tpl fld="4" item="4"/>
        </tpls>
      </m>
      <n v="34" in="0">
        <tpls c="3">
          <tpl fld="0" item="0"/>
          <tpl fld="1" item="77"/>
          <tpl fld="4" item="36"/>
        </tpls>
      </n>
      <m in="0">
        <tpls c="3">
          <tpl fld="0" item="0"/>
          <tpl fld="1" item="307"/>
          <tpl fld="4" item="2"/>
        </tpls>
      </m>
      <m in="0">
        <tpls c="3">
          <tpl fld="0" item="0"/>
          <tpl fld="1" item="437"/>
          <tpl fld="4" item="2"/>
        </tpls>
      </m>
      <m in="0">
        <tpls c="3">
          <tpl fld="0" item="0"/>
          <tpl fld="1" item="382"/>
          <tpl fld="4" item="4"/>
        </tpls>
      </m>
      <m in="0">
        <tpls c="3">
          <tpl fld="0" item="0"/>
          <tpl fld="1" item="340"/>
          <tpl fld="4" item="36"/>
        </tpls>
      </m>
      <m in="0">
        <tpls c="3">
          <tpl fld="0" item="0"/>
          <tpl fld="1" item="192"/>
          <tpl fld="4" item="36"/>
        </tpls>
      </m>
      <n v="26" in="0">
        <tpls c="3">
          <tpl fld="0" item="0"/>
          <tpl fld="1" item="334"/>
          <tpl fld="4" item="37"/>
        </tpls>
      </n>
      <m in="0">
        <tpls c="3">
          <tpl fld="0" item="0"/>
          <tpl fld="1" item="9"/>
          <tpl fld="4" item="2"/>
        </tpls>
      </m>
      <m in="0">
        <tpls c="3">
          <tpl fld="0" item="0"/>
          <tpl fld="1" item="387"/>
          <tpl fld="4" item="36"/>
        </tpls>
      </m>
      <m in="0">
        <tpls c="3">
          <tpl fld="0" item="0"/>
          <tpl fld="1" item="272"/>
          <tpl fld="4" item="38"/>
        </tpls>
      </m>
      <m in="0">
        <tpls c="3">
          <tpl fld="0" item="0"/>
          <tpl fld="1" item="220"/>
          <tpl fld="4" item="36"/>
        </tpls>
      </m>
      <n v="29" in="0">
        <tpls c="3">
          <tpl fld="0" item="0"/>
          <tpl fld="1" item="89"/>
          <tpl fld="4" item="37"/>
        </tpls>
      </n>
      <n v="140" in="0">
        <tpls c="3">
          <tpl fld="0" item="0"/>
          <tpl fld="1" item="82"/>
          <tpl fld="4" item="36"/>
        </tpls>
      </n>
      <m in="0">
        <tpls c="3">
          <tpl fld="0" item="0"/>
          <tpl fld="1" item="392"/>
          <tpl fld="4" item="38"/>
        </tpls>
      </m>
      <m in="0">
        <tpls c="3">
          <tpl fld="0" item="0"/>
          <tpl fld="1" item="259"/>
          <tpl fld="4" item="36"/>
        </tpls>
      </m>
      <m in="0">
        <tpls c="3">
          <tpl fld="0" item="0"/>
          <tpl fld="1" item="345"/>
          <tpl fld="4" item="39"/>
        </tpls>
      </m>
      <n v="11" in="0">
        <tpls c="3">
          <tpl fld="0" item="0"/>
          <tpl fld="1" item="14"/>
          <tpl fld="4" item="36"/>
        </tpls>
      </n>
      <n v="44" in="0">
        <tpls c="3">
          <tpl fld="0" item="0"/>
          <tpl fld="1" item="305"/>
          <tpl fld="4" item="37"/>
        </tpls>
      </n>
      <m in="0">
        <tpls c="3">
          <tpl fld="0" item="0"/>
          <tpl fld="1" item="388"/>
          <tpl fld="4" item="38"/>
        </tpls>
      </m>
      <m in="0">
        <tpls c="3">
          <tpl fld="0" item="0"/>
          <tpl fld="1" item="237"/>
          <tpl fld="4" item="39"/>
        </tpls>
      </m>
      <n v="41" in="0">
        <tpls c="3">
          <tpl fld="0" item="0"/>
          <tpl fld="1" item="33"/>
          <tpl fld="4" item="38"/>
        </tpls>
      </n>
      <n v="8" in="0">
        <tpls c="3">
          <tpl fld="0" item="0"/>
          <tpl fld="1" item="141"/>
          <tpl fld="4" item="39"/>
        </tpls>
      </n>
      <m in="0">
        <tpls c="3">
          <tpl fld="0" item="0"/>
          <tpl fld="1" item="27"/>
          <tpl fld="4" item="38"/>
        </tpls>
      </m>
      <n v="3" in="0">
        <tpls c="3">
          <tpl fld="0" item="0"/>
          <tpl fld="1" item="201"/>
          <tpl fld="4" item="39"/>
        </tpls>
      </n>
      <m in="0">
        <tpls c="3">
          <tpl fld="0" item="0"/>
          <tpl fld="1" item="51"/>
          <tpl fld="4" item="37"/>
        </tpls>
      </m>
      <m in="0">
        <tpls c="3">
          <tpl fld="0" item="0"/>
          <tpl fld="1" item="329"/>
          <tpl fld="4" item="35"/>
        </tpls>
      </m>
      <m in="0">
        <tpls c="3">
          <tpl fld="0" item="0"/>
          <tpl fld="1" item="50"/>
          <tpl fld="4" item="31"/>
        </tpls>
      </m>
      <m in="0">
        <tpls c="3">
          <tpl fld="0" item="0"/>
          <tpl fld="1" item="131"/>
          <tpl fld="4" item="35"/>
        </tpls>
      </m>
      <n v="170" in="0">
        <tpls c="3">
          <tpl fld="0" item="0"/>
          <tpl fld="1" item="410"/>
          <tpl fld="4" item="25"/>
        </tpls>
      </n>
      <m in="0">
        <tpls c="3">
          <tpl fld="0" item="0"/>
          <tpl fld="1" item="276"/>
          <tpl fld="4" item="34"/>
        </tpls>
      </m>
      <m in="0">
        <tpls c="3">
          <tpl fld="0" item="0"/>
          <tpl fld="1" item="37"/>
          <tpl fld="4" item="32"/>
        </tpls>
      </m>
      <m in="0">
        <tpls c="3">
          <tpl fld="0" item="0"/>
          <tpl fld="1" item="379"/>
          <tpl fld="4" item="30"/>
        </tpls>
      </m>
      <m in="0">
        <tpls c="3">
          <tpl fld="0" item="0"/>
          <tpl fld="1" item="437"/>
          <tpl fld="4" item="35"/>
        </tpls>
      </m>
      <m in="0">
        <tpls c="3">
          <tpl fld="0" item="0"/>
          <tpl fld="1" item="376"/>
          <tpl fld="4" item="31"/>
        </tpls>
      </m>
      <m in="0">
        <tpls c="3">
          <tpl fld="0" item="0"/>
          <tpl fld="1" item="271"/>
          <tpl fld="4" item="34"/>
        </tpls>
      </m>
      <m in="0">
        <tpls c="3">
          <tpl fld="0" item="0"/>
          <tpl fld="1" item="90"/>
          <tpl fld="4" item="21"/>
        </tpls>
      </m>
      <m in="0">
        <tpls c="3">
          <tpl fld="0" item="0"/>
          <tpl fld="1" item="402"/>
          <tpl fld="4" item="3"/>
        </tpls>
      </m>
      <m in="0">
        <tpls c="3">
          <tpl fld="0" item="0"/>
          <tpl fld="1" item="205"/>
          <tpl fld="4" item="0"/>
        </tpls>
      </m>
      <m in="0">
        <tpls c="3">
          <tpl fld="0" item="0"/>
          <tpl fld="1" item="282"/>
          <tpl fld="4" item="0"/>
        </tpls>
      </m>
      <m in="0">
        <tpls c="3">
          <tpl fld="0" item="0"/>
          <tpl fld="1" item="325"/>
          <tpl fld="4" item="3"/>
        </tpls>
      </m>
      <m in="0">
        <tpls c="3">
          <tpl fld="0" item="0"/>
          <tpl fld="1" item="107"/>
          <tpl fld="4" item="2"/>
        </tpls>
      </m>
      <m in="0">
        <tpls c="3">
          <tpl fld="0" item="0"/>
          <tpl fld="1" item="317"/>
          <tpl fld="4" item="3"/>
        </tpls>
      </m>
      <m in="0">
        <tpls c="3">
          <tpl fld="0" item="0"/>
          <tpl fld="1" item="365"/>
          <tpl fld="4" item="4"/>
        </tpls>
      </m>
      <m in="0">
        <tpls c="3">
          <tpl fld="0" item="0"/>
          <tpl fld="1" item="72"/>
          <tpl fld="4" item="3"/>
        </tpls>
      </m>
      <m in="0">
        <tpls c="3">
          <tpl fld="0" item="0"/>
          <tpl fld="1" item="44"/>
          <tpl fld="4" item="2"/>
        </tpls>
      </m>
      <m in="0">
        <tpls c="3">
          <tpl fld="0" item="0"/>
          <tpl fld="1" item="440"/>
          <tpl fld="4" item="0"/>
        </tpls>
      </m>
      <m in="0">
        <tpls c="3">
          <tpl fld="0" item="0"/>
          <tpl fld="1" item="159"/>
          <tpl fld="4" item="4"/>
        </tpls>
      </m>
      <n v="765" in="0">
        <tpls c="3">
          <tpl fld="0" item="0"/>
          <tpl fld="1" item="47"/>
          <tpl fld="4" item="37"/>
        </tpls>
      </n>
      <m in="0">
        <tpls c="3">
          <tpl fld="0" item="0"/>
          <tpl fld="1" item="54"/>
          <tpl fld="4" item="4"/>
        </tpls>
      </m>
      <n v="4" in="0">
        <tpls c="3">
          <tpl fld="0" item="0"/>
          <tpl fld="1" item="99"/>
          <tpl fld="4" item="38"/>
        </tpls>
      </n>
      <m in="0">
        <tpls c="3">
          <tpl fld="0" item="0"/>
          <tpl fld="1" item="46"/>
          <tpl fld="4" item="4"/>
        </tpls>
      </m>
      <m in="0">
        <tpls c="3">
          <tpl fld="0" item="0"/>
          <tpl fld="1" item="300"/>
          <tpl fld="4" item="3"/>
        </tpls>
      </m>
      <m in="0">
        <tpls c="3">
          <tpl fld="0" item="0"/>
          <tpl fld="1" item="66"/>
          <tpl fld="4" item="2"/>
        </tpls>
      </m>
      <m in="0">
        <tpls c="3">
          <tpl fld="0" item="0"/>
          <tpl fld="1" item="375"/>
          <tpl fld="4" item="37"/>
        </tpls>
      </m>
      <m in="0">
        <tpls c="3">
          <tpl fld="0" item="0"/>
          <tpl fld="1" item="414"/>
          <tpl fld="4" item="2"/>
        </tpls>
      </m>
      <n v="26" in="0">
        <tpls c="3">
          <tpl fld="0" item="0"/>
          <tpl fld="1" item="267"/>
          <tpl fld="4" item="37"/>
        </tpls>
      </n>
      <m in="0">
        <tpls c="3">
          <tpl fld="0" item="0"/>
          <tpl fld="1" item="213"/>
          <tpl fld="4" item="2"/>
        </tpls>
      </m>
      <n v="2" in="0">
        <tpls c="3">
          <tpl fld="0" item="0"/>
          <tpl fld="1" item="127"/>
          <tpl fld="4" item="37"/>
        </tpls>
      </n>
      <m in="0">
        <tpls c="3">
          <tpl fld="0" item="0"/>
          <tpl fld="1" item="135"/>
          <tpl fld="4" item="37"/>
        </tpls>
      </m>
      <m in="0">
        <tpls c="3">
          <tpl fld="0" item="0"/>
          <tpl fld="1" item="450"/>
          <tpl fld="4" item="36"/>
        </tpls>
      </m>
      <m in="0">
        <tpls c="3">
          <tpl fld="0" item="0"/>
          <tpl fld="1" item="406"/>
          <tpl fld="4" item="2"/>
        </tpls>
      </m>
      <n v="7" in="0">
        <tpls c="3">
          <tpl fld="0" item="0"/>
          <tpl fld="1" item="81"/>
          <tpl fld="4" item="37"/>
        </tpls>
      </n>
      <m in="0">
        <tpls c="3">
          <tpl fld="0" item="0"/>
          <tpl fld="1" item="78"/>
          <tpl fld="4" item="37"/>
        </tpls>
      </m>
      <n v="9" in="0">
        <tpls c="3">
          <tpl fld="0" item="0"/>
          <tpl fld="1" item="252"/>
          <tpl fld="4" item="37"/>
        </tpls>
      </n>
      <m in="0">
        <tpls c="3">
          <tpl fld="0" item="0"/>
          <tpl fld="1" item="218"/>
          <tpl fld="4" item="36"/>
        </tpls>
      </m>
      <n v="1" in="0">
        <tpls c="3">
          <tpl fld="0" item="0"/>
          <tpl fld="1" item="204"/>
          <tpl fld="4" item="37"/>
        </tpls>
      </n>
      <m in="0">
        <tpls c="3">
          <tpl fld="0" item="0"/>
          <tpl fld="1" item="105"/>
          <tpl fld="4" item="2"/>
        </tpls>
      </m>
      <m in="0">
        <tpls c="3">
          <tpl fld="0" item="0"/>
          <tpl fld="1" item="155"/>
          <tpl fld="4" item="36"/>
        </tpls>
      </m>
      <n v="5" in="0">
        <tpls c="3">
          <tpl fld="0" item="0"/>
          <tpl fld="1" item="11"/>
          <tpl fld="4" item="38"/>
        </tpls>
      </n>
      <m in="0">
        <tpls c="3">
          <tpl fld="0" item="0"/>
          <tpl fld="1" item="362"/>
          <tpl fld="4" item="37"/>
        </tpls>
      </m>
      <n v="6" in="0">
        <tpls c="3">
          <tpl fld="0" item="0"/>
          <tpl fld="1" item="44"/>
          <tpl fld="4" item="36"/>
        </tpls>
      </n>
      <n v="24" in="0">
        <tpls c="3">
          <tpl fld="0" item="0"/>
          <tpl fld="1" item="432"/>
          <tpl fld="4" item="37"/>
        </tpls>
      </n>
      <m in="0">
        <tpls c="3">
          <tpl fld="0" item="0"/>
          <tpl fld="1" item="226"/>
          <tpl fld="4" item="2"/>
        </tpls>
      </m>
      <m in="0">
        <tpls c="3">
          <tpl fld="0" item="0"/>
          <tpl fld="1" item="203"/>
          <tpl fld="4" item="36"/>
        </tpls>
      </m>
      <m in="0">
        <tpls c="3">
          <tpl fld="0" item="0"/>
          <tpl fld="1" item="260"/>
          <tpl fld="4" item="39"/>
        </tpls>
      </m>
      <n v="21" in="0">
        <tpls c="3">
          <tpl fld="0" item="0"/>
          <tpl fld="1" item="202"/>
          <tpl fld="4" item="38"/>
        </tpls>
      </n>
      <m in="0">
        <tpls c="3">
          <tpl fld="0" item="0"/>
          <tpl fld="1" item="376"/>
          <tpl fld="4" item="40"/>
        </tpls>
      </m>
      <m in="0">
        <tpls c="3">
          <tpl fld="0" item="0"/>
          <tpl fld="1" item="406"/>
          <tpl fld="4" item="38"/>
        </tpls>
      </m>
      <m in="0">
        <tpls c="3">
          <tpl fld="0" item="0"/>
          <tpl fld="1" item="244"/>
          <tpl fld="4" item="40"/>
        </tpls>
      </m>
      <m in="0">
        <tpls c="3">
          <tpl fld="0" item="0"/>
          <tpl fld="1" item="229"/>
          <tpl fld="4" item="38"/>
        </tpls>
      </m>
      <n v="7" in="0">
        <tpls c="3">
          <tpl fld="0" item="0"/>
          <tpl fld="1" item="134"/>
          <tpl fld="4" item="40"/>
        </tpls>
      </n>
      <m in="0">
        <tpls c="3">
          <tpl fld="0" item="0"/>
          <tpl fld="1" item="327"/>
          <tpl fld="4" item="38"/>
        </tpls>
      </m>
      <m in="0">
        <tpls c="3">
          <tpl fld="0" item="0"/>
          <tpl fld="1" item="63"/>
          <tpl fld="4" item="40"/>
        </tpls>
      </m>
      <m in="0">
        <tpls c="3">
          <tpl fld="0" item="0"/>
          <tpl fld="1" item="79"/>
          <tpl fld="4" item="35"/>
        </tpls>
      </m>
      <m in="0">
        <tpls c="3">
          <tpl fld="0" item="0"/>
          <tpl fld="1" item="152"/>
          <tpl fld="4" item="34"/>
        </tpls>
      </m>
      <m in="0">
        <tpls c="3">
          <tpl fld="0" item="0"/>
          <tpl fld="1" item="62"/>
          <tpl fld="4" item="35"/>
        </tpls>
      </m>
      <m in="0">
        <tpls c="3">
          <tpl fld="0" item="0"/>
          <tpl fld="1" item="119"/>
          <tpl fld="4" item="33"/>
        </tpls>
      </m>
      <m in="0">
        <tpls c="3">
          <tpl fld="0" item="0"/>
          <tpl fld="1" item="336"/>
          <tpl fld="4" item="35"/>
        </tpls>
      </m>
      <m in="0">
        <tpls c="3">
          <tpl fld="0" item="0"/>
          <tpl fld="1" item="253"/>
          <tpl fld="4" item="21"/>
        </tpls>
      </m>
      <m in="0">
        <tpls c="3">
          <tpl fld="0" item="0"/>
          <tpl fld="1" item="69"/>
          <tpl fld="4" item="34"/>
        </tpls>
      </m>
      <m in="0">
        <tpls c="3">
          <tpl fld="0" item="0"/>
          <tpl fld="1" item="95"/>
          <tpl fld="4" item="30"/>
        </tpls>
      </m>
      <m in="0">
        <tpls c="3">
          <tpl fld="0" item="0"/>
          <tpl fld="1" item="144"/>
          <tpl fld="4" item="30"/>
        </tpls>
      </m>
      <m in="0">
        <tpls c="3">
          <tpl fld="0" item="0"/>
          <tpl fld="1" item="420"/>
          <tpl fld="4" item="35"/>
        </tpls>
      </m>
      <n v="18" in="0">
        <tpls c="3">
          <tpl fld="0" item="0"/>
          <tpl fld="1" item="364"/>
          <tpl fld="4" item="0"/>
        </tpls>
      </n>
      <m in="0">
        <tpls c="3">
          <tpl fld="0" item="0"/>
          <tpl fld="1" item="367"/>
          <tpl fld="4" item="0"/>
        </tpls>
      </m>
      <m in="0">
        <tpls c="3">
          <tpl fld="0" item="0"/>
          <tpl fld="1" item="400"/>
          <tpl fld="4" item="0"/>
        </tpls>
      </m>
      <m in="0">
        <tpls c="3">
          <tpl fld="0" item="0"/>
          <tpl fld="1" item="219"/>
          <tpl fld="4" item="3"/>
        </tpls>
      </m>
      <m in="0">
        <tpls c="3">
          <tpl fld="0" item="0"/>
          <tpl fld="1" item="3"/>
          <tpl fld="4" item="4"/>
        </tpls>
      </m>
      <m in="0">
        <tpls c="3">
          <tpl fld="0" item="0"/>
          <tpl fld="1" item="186"/>
          <tpl fld="4" item="0"/>
        </tpls>
      </m>
      <m in="0">
        <tpls c="3">
          <tpl fld="0" item="0"/>
          <tpl fld="1" item="321"/>
          <tpl fld="4" item="3"/>
        </tpls>
      </m>
      <m in="0">
        <tpls c="3">
          <tpl fld="0" item="0"/>
          <tpl fld="1" item="244"/>
          <tpl fld="4" item="2"/>
        </tpls>
      </m>
      <m in="0">
        <tpls c="3">
          <tpl fld="0" item="0"/>
          <tpl fld="1" item="432"/>
          <tpl fld="4" item="4"/>
        </tpls>
      </m>
      <m in="0">
        <tpls c="3">
          <tpl fld="0" item="0"/>
          <tpl fld="1" item="45"/>
          <tpl fld="4" item="0"/>
        </tpls>
      </m>
      <m in="0">
        <tpls c="3">
          <tpl fld="0" item="0"/>
          <tpl fld="1" item="182"/>
          <tpl fld="4" item="3"/>
        </tpls>
      </m>
      <m in="0">
        <tpls c="3">
          <tpl fld="0" item="0"/>
          <tpl fld="1" item="418"/>
          <tpl fld="4" item="4"/>
        </tpls>
      </m>
      <m in="0">
        <tpls c="3">
          <tpl fld="0" item="0"/>
          <tpl fld="1" item="348"/>
          <tpl fld="4" item="3"/>
        </tpls>
      </m>
      <m in="0">
        <tpls c="3">
          <tpl fld="0" item="0"/>
          <tpl fld="1" item="144"/>
          <tpl fld="4" item="4"/>
        </tpls>
      </m>
      <m in="0">
        <tpls c="3">
          <tpl fld="0" item="0"/>
          <tpl fld="1" item="134"/>
          <tpl fld="4" item="3"/>
        </tpls>
      </m>
      <m in="0">
        <tpls c="3">
          <tpl fld="0" item="0"/>
          <tpl fld="1" item="180"/>
          <tpl fld="4" item="4"/>
        </tpls>
      </m>
      <m in="0">
        <tpls c="3">
          <tpl fld="0" item="0"/>
          <tpl fld="1" item="414"/>
          <tpl fld="4" item="4"/>
        </tpls>
      </m>
      <m in="0">
        <tpls c="3">
          <tpl fld="0" item="0"/>
          <tpl fld="1" item="280"/>
          <tpl fld="4" item="2"/>
        </tpls>
      </m>
      <m in="0">
        <tpls c="3">
          <tpl fld="0" item="0"/>
          <tpl fld="1" item="109"/>
          <tpl fld="4" item="4"/>
        </tpls>
      </m>
      <m in="0">
        <tpls c="3">
          <tpl fld="0" item="0"/>
          <tpl fld="1" item="254"/>
          <tpl fld="4" item="2"/>
        </tpls>
      </m>
      <m in="0">
        <tpls c="3">
          <tpl fld="0" item="0"/>
          <tpl fld="1" item="142"/>
          <tpl fld="4" item="4"/>
        </tpls>
      </m>
      <m in="0">
        <tpls c="3">
          <tpl fld="0" item="0"/>
          <tpl fld="1" item="205"/>
          <tpl fld="4" item="2"/>
        </tpls>
      </m>
      <m in="0">
        <tpls c="3">
          <tpl fld="0" item="0"/>
          <tpl fld="1" item="359"/>
          <tpl fld="4" item="2"/>
        </tpls>
      </m>
      <m in="0">
        <tpls c="3">
          <tpl fld="0" item="0"/>
          <tpl fld="1" item="1"/>
          <tpl fld="4" item="2"/>
        </tpls>
      </m>
      <m in="0">
        <tpls c="3">
          <tpl fld="0" item="0"/>
          <tpl fld="1" item="431"/>
          <tpl fld="4" item="4"/>
        </tpls>
      </m>
      <m in="0">
        <tpls c="3">
          <tpl fld="0" item="0"/>
          <tpl fld="1" item="27"/>
          <tpl fld="4" item="36"/>
        </tpls>
      </m>
      <m in="0">
        <tpls c="3">
          <tpl fld="0" item="0"/>
          <tpl fld="1" item="51"/>
          <tpl fld="4" item="2"/>
        </tpls>
      </m>
      <n v="58" in="0">
        <tpls c="3">
          <tpl fld="0" item="0"/>
          <tpl fld="1" item="277"/>
          <tpl fld="4" item="37"/>
        </tpls>
      </n>
      <m in="0">
        <tpls c="3">
          <tpl fld="0" item="0"/>
          <tpl fld="1" item="145"/>
          <tpl fld="4" item="2"/>
        </tpls>
      </m>
      <m in="0">
        <tpls c="3">
          <tpl fld="0" item="0"/>
          <tpl fld="1" item="86"/>
          <tpl fld="4" item="36"/>
        </tpls>
      </m>
      <m in="0">
        <tpls c="3">
          <tpl fld="0" item="0"/>
          <tpl fld="1" item="69"/>
          <tpl fld="4" item="38"/>
        </tpls>
      </m>
      <n v="6" in="0">
        <tpls c="3">
          <tpl fld="0" item="0"/>
          <tpl fld="1" item="227"/>
          <tpl fld="4" item="36"/>
        </tpls>
      </n>
      <n v="218" in="0">
        <tpls c="3">
          <tpl fld="0" item="0"/>
          <tpl fld="1" item="99"/>
          <tpl fld="4" item="37"/>
        </tpls>
      </n>
      <m in="0">
        <tpls c="3">
          <tpl fld="0" item="0"/>
          <tpl fld="1" item="91"/>
          <tpl fld="4" item="36"/>
        </tpls>
      </m>
      <m in="0">
        <tpls c="3">
          <tpl fld="0" item="0"/>
          <tpl fld="1" item="397"/>
          <tpl fld="4" item="38"/>
        </tpls>
      </m>
      <m in="0">
        <tpls c="3">
          <tpl fld="0" item="0"/>
          <tpl fld="1" item="278"/>
          <tpl fld="4" item="36"/>
        </tpls>
      </m>
      <m in="0">
        <tpls c="3">
          <tpl fld="0" item="0"/>
          <tpl fld="1" item="349"/>
          <tpl fld="4" item="38"/>
        </tpls>
      </m>
      <m in="0">
        <tpls c="3">
          <tpl fld="0" item="0"/>
          <tpl fld="1" item="61"/>
          <tpl fld="4" item="35"/>
        </tpls>
      </m>
      <m in="0">
        <tpls c="3">
          <tpl fld="0" item="0"/>
          <tpl fld="1" item="376"/>
          <tpl fld="4" item="34"/>
        </tpls>
      </m>
      <m in="0">
        <tpls c="3">
          <tpl fld="0" item="0"/>
          <tpl fld="1" item="410"/>
          <tpl fld="4" item="30"/>
        </tpls>
      </m>
      <m in="0">
        <tpls c="3">
          <tpl fld="0" item="0"/>
          <tpl fld="1" item="282"/>
          <tpl fld="4" item="35"/>
        </tpls>
      </m>
      <m in="0">
        <tpls c="3">
          <tpl fld="0" item="0"/>
          <tpl fld="1" item="141"/>
          <tpl fld="4" item="32"/>
        </tpls>
      </m>
      <m in="0">
        <tpls c="3">
          <tpl fld="0" item="0"/>
          <tpl fld="1" item="260"/>
          <tpl fld="4" item="35"/>
        </tpls>
      </m>
      <m in="0">
        <tpls c="3">
          <tpl fld="0" item="0"/>
          <tpl fld="1" item="457"/>
          <tpl fld="4" item="35"/>
        </tpls>
      </m>
      <m in="0">
        <tpls c="3">
          <tpl fld="0" item="0"/>
          <tpl fld="1" item="209"/>
          <tpl fld="4" item="34"/>
        </tpls>
      </m>
      <m in="0">
        <tpls c="3">
          <tpl fld="0" item="0"/>
          <tpl fld="1" item="353"/>
          <tpl fld="4" item="35"/>
        </tpls>
      </m>
      <m in="0">
        <tpls c="3">
          <tpl fld="0" item="0"/>
          <tpl fld="1" item="323"/>
          <tpl fld="4" item="0"/>
        </tpls>
      </m>
      <m in="0">
        <tpls c="3">
          <tpl fld="0" item="0"/>
          <tpl fld="1" item="414"/>
          <tpl fld="4" item="0"/>
        </tpls>
      </m>
      <m in="0">
        <tpls c="3">
          <tpl fld="0" item="0"/>
          <tpl fld="1" item="258"/>
          <tpl fld="4" item="0"/>
        </tpls>
      </m>
      <m in="0">
        <tpls c="3">
          <tpl fld="0" item="0"/>
          <tpl fld="1" item="161"/>
          <tpl fld="4" item="3"/>
        </tpls>
      </m>
      <m in="0">
        <tpls c="3">
          <tpl fld="0" item="0"/>
          <tpl fld="1" item="309"/>
          <tpl fld="4" item="4"/>
        </tpls>
      </m>
      <m in="0">
        <tpls c="3">
          <tpl fld="0" item="0"/>
          <tpl fld="1" item="411"/>
          <tpl fld="4" item="0"/>
        </tpls>
      </m>
      <m in="0">
        <tpls c="3">
          <tpl fld="0" item="0"/>
          <tpl fld="1" item="70"/>
          <tpl fld="4" item="3"/>
        </tpls>
      </m>
      <n v="69" in="0">
        <tpls c="3">
          <tpl fld="0" item="0"/>
          <tpl fld="1" item="201"/>
          <tpl fld="4" item="36"/>
        </tpls>
      </n>
      <m in="0">
        <tpls c="3">
          <tpl fld="0" item="0"/>
          <tpl fld="1" item="422"/>
          <tpl fld="4" item="4"/>
        </tpls>
      </m>
      <m in="0">
        <tpls c="3">
          <tpl fld="0" item="0"/>
          <tpl fld="1" item="344"/>
          <tpl fld="4" item="0"/>
        </tpls>
      </m>
      <m in="0">
        <tpls c="3">
          <tpl fld="0" item="0"/>
          <tpl fld="1" item="109"/>
          <tpl fld="4" item="3"/>
        </tpls>
      </m>
      <m in="0">
        <tpls c="3">
          <tpl fld="0" item="0"/>
          <tpl fld="1" item="152"/>
          <tpl fld="4" item="4"/>
        </tpls>
      </m>
      <m in="0">
        <tpls c="3">
          <tpl fld="0" item="0"/>
          <tpl fld="1" item="222"/>
          <tpl fld="4" item="3"/>
        </tpls>
      </m>
      <m in="0">
        <tpls c="3">
          <tpl fld="0" item="0"/>
          <tpl fld="1" item="354"/>
          <tpl fld="4" item="4"/>
        </tpls>
      </m>
      <m in="0">
        <tpls c="3">
          <tpl fld="0" item="0"/>
          <tpl fld="1" item="407"/>
          <tpl fld="4" item="3"/>
        </tpls>
      </m>
      <m in="0">
        <tpls c="3">
          <tpl fld="0" item="0"/>
          <tpl fld="1" item="116"/>
          <tpl fld="4" item="2"/>
        </tpls>
      </m>
      <m in="0">
        <tpls c="3">
          <tpl fld="0" item="0"/>
          <tpl fld="1" item="336"/>
          <tpl fld="4" item="4"/>
        </tpls>
      </m>
      <n v="153" in="0">
        <tpls c="3">
          <tpl fld="0" item="0"/>
          <tpl fld="1" item="364"/>
          <tpl fld="4" item="36"/>
        </tpls>
      </n>
      <m in="0">
        <tpls c="3">
          <tpl fld="0" item="0"/>
          <tpl fld="1" item="373"/>
          <tpl fld="4" item="4"/>
        </tpls>
      </m>
      <m in="0">
        <tpls c="3">
          <tpl fld="0" item="0"/>
          <tpl fld="1" item="272"/>
          <tpl fld="4" item="36"/>
        </tpls>
      </m>
      <m in="0">
        <tpls c="3">
          <tpl fld="0" item="0"/>
          <tpl fld="1" item="347"/>
          <tpl fld="4" item="4"/>
        </tpls>
      </m>
      <n v="612" in="0">
        <tpls c="3">
          <tpl fld="0" item="0"/>
          <tpl fld="1" item="107"/>
          <tpl fld="4" item="36"/>
        </tpls>
      </n>
      <n v="33" in="0">
        <tpls c="3">
          <tpl fld="0" item="0"/>
          <tpl fld="1" item="280"/>
          <tpl fld="4" item="36"/>
        </tpls>
      </n>
      <m in="0">
        <tpls c="3">
          <tpl fld="0" item="0"/>
          <tpl fld="1" item="144"/>
          <tpl fld="4" item="2"/>
        </tpls>
      </m>
      <m in="0">
        <tpls c="3">
          <tpl fld="0" item="0"/>
          <tpl fld="1" item="226"/>
          <tpl fld="4" item="4"/>
        </tpls>
      </m>
      <m in="0">
        <tpls c="3">
          <tpl fld="0" item="0"/>
          <tpl fld="1" item="124"/>
          <tpl fld="4" item="36"/>
        </tpls>
      </m>
      <m in="0">
        <tpls c="3">
          <tpl fld="0" item="0"/>
          <tpl fld="1" item="239"/>
          <tpl fld="4" item="36"/>
        </tpls>
      </m>
      <m in="0">
        <tpls c="3">
          <tpl fld="0" item="0"/>
          <tpl fld="1" item="286"/>
          <tpl fld="4" item="37"/>
        </tpls>
      </m>
      <m in="0">
        <tpls c="3">
          <tpl fld="0" item="0"/>
          <tpl fld="1" item="104"/>
          <tpl fld="4" item="2"/>
        </tpls>
      </m>
      <n v="27" in="0">
        <tpls c="3">
          <tpl fld="0" item="0"/>
          <tpl fld="1" item="382"/>
          <tpl fld="4" item="36"/>
        </tpls>
      </n>
      <m in="0">
        <tpls c="3">
          <tpl fld="0" item="0"/>
          <tpl fld="1" item="194"/>
          <tpl fld="4" item="38"/>
        </tpls>
      </m>
      <m in="0">
        <tpls c="3">
          <tpl fld="0" item="0"/>
          <tpl fld="1" item="1"/>
          <tpl fld="4" item="36"/>
        </tpls>
      </m>
      <n v="884" in="0">
        <tpls c="3">
          <tpl fld="0" item="0"/>
          <tpl fld="1" item="177"/>
          <tpl fld="4" item="37"/>
        </tpls>
      </n>
      <m in="0">
        <tpls c="3">
          <tpl fld="0" item="0"/>
          <tpl fld="1" item="70"/>
          <tpl fld="4" item="36"/>
        </tpls>
      </m>
      <n v="2" in="0">
        <tpls c="3">
          <tpl fld="0" item="0"/>
          <tpl fld="1" item="175"/>
          <tpl fld="4" item="39"/>
        </tpls>
      </n>
      <n v="9" in="0">
        <tpls c="3">
          <tpl fld="0" item="0"/>
          <tpl fld="1" item="357"/>
          <tpl fld="4" item="37"/>
        </tpls>
      </n>
      <n v="3" in="0">
        <tpls c="3">
          <tpl fld="0" item="0"/>
          <tpl fld="1" item="0"/>
          <tpl fld="4" item="39"/>
        </tpls>
      </n>
      <n v="39" in="0">
        <tpls c="3">
          <tpl fld="0" item="0"/>
          <tpl fld="1" item="422"/>
          <tpl fld="4" item="36"/>
        </tpls>
      </n>
      <n v="46" in="0">
        <tpls c="3">
          <tpl fld="0" item="0"/>
          <tpl fld="1" item="342"/>
          <tpl fld="4" item="37"/>
        </tpls>
      </n>
      <m in="0">
        <tpls c="3">
          <tpl fld="0" item="0"/>
          <tpl fld="1" item="218"/>
          <tpl fld="4" item="38"/>
        </tpls>
      </m>
      <m in="0">
        <tpls c="3">
          <tpl fld="0" item="0"/>
          <tpl fld="1" item="218"/>
          <tpl fld="4" item="39"/>
        </tpls>
      </m>
      <m in="0">
        <tpls c="3">
          <tpl fld="0" item="0"/>
          <tpl fld="1" item="123"/>
          <tpl fld="4" item="38"/>
        </tpls>
      </m>
      <m in="0">
        <tpls c="3">
          <tpl fld="0" item="0"/>
          <tpl fld="1" item="220"/>
          <tpl fld="4" item="39"/>
        </tpls>
      </m>
      <n v="18" in="0">
        <tpls c="3">
          <tpl fld="0" item="0"/>
          <tpl fld="1" item="400"/>
          <tpl fld="4" item="38"/>
        </tpls>
      </n>
      <m in="0">
        <tpls c="3">
          <tpl fld="0" item="0"/>
          <tpl fld="1" item="81"/>
          <tpl fld="4" item="39"/>
        </tpls>
      </m>
      <m in="0">
        <tpls c="3">
          <tpl fld="0" item="0"/>
          <tpl fld="1" item="189"/>
          <tpl fld="4" item="38"/>
        </tpls>
      </m>
      <m in="0">
        <tpls c="3">
          <tpl fld="0" item="0"/>
          <tpl fld="1" item="119"/>
          <tpl fld="4" item="39"/>
        </tpls>
      </m>
      <m in="0">
        <tpls c="3">
          <tpl fld="0" item="0"/>
          <tpl fld="1" item="376"/>
          <tpl fld="4" item="38"/>
        </tpls>
      </m>
      <n v="14" in="0">
        <tpls c="3">
          <tpl fld="0" item="0"/>
          <tpl fld="1" item="258"/>
          <tpl fld="4" item="40"/>
        </tpls>
      </n>
      <n v="6" in="0">
        <tpls c="3">
          <tpl fld="0" item="0"/>
          <tpl fld="1" item="262"/>
          <tpl fld="4" item="38"/>
        </tpls>
      </n>
      <n v="9" in="0">
        <tpls c="3">
          <tpl fld="0" item="0"/>
          <tpl fld="1" item="82"/>
          <tpl fld="4" item="42"/>
        </tpls>
      </n>
      <m in="0">
        <tpls c="3">
          <tpl fld="0" item="0"/>
          <tpl fld="1" item="5"/>
          <tpl fld="4" item="40"/>
        </tpls>
      </m>
      <m in="0">
        <tpls c="3">
          <tpl fld="0" item="0"/>
          <tpl fld="1" item="441"/>
          <tpl fld="4" item="35"/>
        </tpls>
      </m>
      <m in="0">
        <tpls c="3">
          <tpl fld="0" item="0"/>
          <tpl fld="1" item="384"/>
          <tpl fld="4" item="34"/>
        </tpls>
      </m>
      <m in="0">
        <tpls c="3">
          <tpl fld="0" item="0"/>
          <tpl fld="1" item="314"/>
          <tpl fld="4" item="34"/>
        </tpls>
      </m>
      <m in="0">
        <tpls c="3">
          <tpl fld="0" item="0"/>
          <tpl fld="1" item="400"/>
          <tpl fld="4" item="34"/>
        </tpls>
      </m>
      <m in="0">
        <tpls c="3">
          <tpl fld="0" item="0"/>
          <tpl fld="1" item="31"/>
          <tpl fld="4" item="35"/>
        </tpls>
      </m>
      <m in="0">
        <tpls c="3">
          <tpl fld="0" item="0"/>
          <tpl fld="1" item="245"/>
          <tpl fld="4" item="31"/>
        </tpls>
      </m>
      <m in="0">
        <tpls c="3">
          <tpl fld="0" item="0"/>
          <tpl fld="1" item="319"/>
          <tpl fld="4" item="35"/>
        </tpls>
      </m>
      <n v="1" in="0">
        <tpls c="3">
          <tpl fld="0" item="0"/>
          <tpl fld="1" item="352"/>
          <tpl fld="4" item="23"/>
        </tpls>
      </n>
      <m in="0">
        <tpls c="3">
          <tpl fld="0" item="0"/>
          <tpl fld="1" item="229"/>
          <tpl fld="4" item="34"/>
        </tpls>
      </m>
      <m in="0">
        <tpls c="3">
          <tpl fld="0" item="0"/>
          <tpl fld="1" item="81"/>
          <tpl fld="4" item="35"/>
        </tpls>
      </m>
      <m in="0">
        <tpls c="3">
          <tpl fld="0" item="0"/>
          <tpl fld="1" item="134"/>
          <tpl fld="4" item="0"/>
        </tpls>
      </m>
      <m in="0">
        <tpls c="3">
          <tpl fld="0" item="0"/>
          <tpl fld="1" item="309"/>
          <tpl fld="4" item="0"/>
        </tpls>
      </m>
      <m in="0">
        <tpls c="3">
          <tpl fld="0" item="0"/>
          <tpl fld="1" item="397"/>
          <tpl fld="4" item="0"/>
        </tpls>
      </m>
      <m in="0">
        <tpls c="3">
          <tpl fld="0" item="0"/>
          <tpl fld="1" item="117"/>
          <tpl fld="4" item="3"/>
        </tpls>
      </m>
      <m in="0">
        <tpls c="3">
          <tpl fld="0" item="0"/>
          <tpl fld="1" item="322"/>
          <tpl fld="4" item="4"/>
        </tpls>
      </m>
      <m in="0">
        <tpls c="3">
          <tpl fld="0" item="0"/>
          <tpl fld="1" item="248"/>
          <tpl fld="4" item="3"/>
        </tpls>
      </m>
      <m in="0">
        <tpls c="3">
          <tpl fld="0" item="0"/>
          <tpl fld="1" item="60"/>
          <tpl fld="4" item="4"/>
        </tpls>
      </m>
      <m in="0">
        <tpls c="3">
          <tpl fld="0" item="0"/>
          <tpl fld="1" item="100"/>
          <tpl fld="4" item="3"/>
        </tpls>
      </m>
      <m in="0">
        <tpls c="3">
          <tpl fld="0" item="0"/>
          <tpl fld="1" item="297"/>
          <tpl fld="4" item="4"/>
        </tpls>
      </m>
      <m in="0">
        <tpls c="3">
          <tpl fld="0" item="0"/>
          <tpl fld="1" item="330"/>
          <tpl fld="4" item="0"/>
        </tpls>
      </m>
      <m in="0">
        <tpls c="3">
          <tpl fld="0" item="0"/>
          <tpl fld="1" item="221"/>
          <tpl fld="4" item="3"/>
        </tpls>
      </m>
      <m in="0">
        <tpls c="3">
          <tpl fld="0" item="0"/>
          <tpl fld="1" item="257"/>
          <tpl fld="4" item="2"/>
        </tpls>
      </m>
      <m in="0">
        <tpls c="3">
          <tpl fld="0" item="0"/>
          <tpl fld="1" item="347"/>
          <tpl fld="4" item="3"/>
        </tpls>
      </m>
      <m in="0">
        <tpls c="3">
          <tpl fld="0" item="0"/>
          <tpl fld="1" item="58"/>
          <tpl fld="4" item="2"/>
        </tpls>
      </m>
      <m in="0">
        <tpls c="3">
          <tpl fld="0" item="0"/>
          <tpl fld="1" item="188"/>
          <tpl fld="4" item="3"/>
        </tpls>
      </m>
      <m in="0">
        <tpls c="3">
          <tpl fld="0" item="0"/>
          <tpl fld="1" item="31"/>
          <tpl fld="4" item="2"/>
        </tpls>
      </m>
      <m in="0">
        <tpls c="3">
          <tpl fld="0" item="0"/>
          <tpl fld="1" item="110"/>
          <tpl fld="4" item="4"/>
        </tpls>
      </m>
      <n v="14" in="0">
        <tpls c="3">
          <tpl fld="0" item="0"/>
          <tpl fld="1" item="291"/>
          <tpl fld="4" item="36"/>
        </tpls>
      </n>
      <m in="0">
        <tpls c="3">
          <tpl fld="0" item="0"/>
          <tpl fld="1" item="253"/>
          <tpl fld="4" item="4"/>
        </tpls>
      </m>
      <m in="0">
        <tpls c="3">
          <tpl fld="0" item="0"/>
          <tpl fld="1" item="17"/>
          <tpl fld="4" item="36"/>
        </tpls>
      </m>
      <m in="0">
        <tpls c="3">
          <tpl fld="0" item="0"/>
          <tpl fld="1" item="199"/>
          <tpl fld="4" item="4"/>
        </tpls>
      </m>
      <n v="118" in="0">
        <tpls c="3">
          <tpl fld="0" item="0"/>
          <tpl fld="1" item="230"/>
          <tpl fld="4" item="36"/>
        </tpls>
      </n>
      <m in="0">
        <tpls c="3">
          <tpl fld="0" item="0"/>
          <tpl fld="1" item="133"/>
          <tpl fld="4" item="36"/>
        </tpls>
      </m>
      <m in="0">
        <tpls c="3">
          <tpl fld="0" item="0"/>
          <tpl fld="1" item="235"/>
          <tpl fld="4" item="2"/>
        </tpls>
      </m>
      <m in="0">
        <tpls c="3">
          <tpl fld="0" item="0"/>
          <tpl fld="1" item="27"/>
          <tpl fld="4" item="2"/>
        </tpls>
      </m>
      <n v="1" in="0">
        <tpls c="3">
          <tpl fld="0" item="0"/>
          <tpl fld="1" item="157"/>
          <tpl fld="4" item="36"/>
        </tpls>
      </n>
      <n v="181" in="0">
        <tpls c="3">
          <tpl fld="0" item="0"/>
          <tpl fld="1" item="269"/>
          <tpl fld="4" item="36"/>
        </tpls>
      </n>
      <m in="0">
        <tpls c="3">
          <tpl fld="0" item="0"/>
          <tpl fld="1" item="240"/>
          <tpl fld="4" item="37"/>
        </tpls>
      </m>
      <m in="0">
        <tpls c="3">
          <tpl fld="0" item="0"/>
          <tpl fld="1" item="447"/>
          <tpl fld="4" item="2"/>
        </tpls>
      </m>
      <n v="38" in="0">
        <tpls c="3">
          <tpl fld="0" item="0"/>
          <tpl fld="1" item="120"/>
          <tpl fld="4" item="37"/>
        </tpls>
      </n>
      <m in="0">
        <tpls c="3">
          <tpl fld="0" item="0"/>
          <tpl fld="1" item="445"/>
          <tpl fld="4" item="40"/>
        </tpls>
      </m>
      <n v="98" in="0">
        <tpls c="3">
          <tpl fld="0" item="0"/>
          <tpl fld="1" item="49"/>
          <tpl fld="4" item="36"/>
        </tpls>
      </n>
      <n v="60" in="0">
        <tpls c="3">
          <tpl fld="0" item="0"/>
          <tpl fld="1" item="296"/>
          <tpl fld="4" item="37"/>
        </tpls>
      </n>
      <n v="1029" in="0">
        <tpls c="3">
          <tpl fld="0" item="0"/>
          <tpl fld="1" item="390"/>
          <tpl fld="4" item="37"/>
        </tpls>
      </n>
      <m in="0">
        <tpls c="3">
          <tpl fld="0" item="0"/>
          <tpl fld="1" item="136"/>
          <tpl fld="4" item="36"/>
        </tpls>
      </m>
      <n v="4" in="0">
        <tpls c="3">
          <tpl fld="0" item="0"/>
          <tpl fld="1" item="394"/>
          <tpl fld="4" item="37"/>
        </tpls>
      </n>
      <m in="0">
        <tpls c="3">
          <tpl fld="0" item="0"/>
          <tpl fld="1" item="167"/>
          <tpl fld="4" item="2"/>
        </tpls>
      </m>
      <m in="0">
        <tpls c="3">
          <tpl fld="0" item="0"/>
          <tpl fld="1" item="95"/>
          <tpl fld="4" item="36"/>
        </tpls>
      </m>
      <m in="0">
        <tpls c="3">
          <tpl fld="0" item="0"/>
          <tpl fld="1" item="245"/>
          <tpl fld="4" item="38"/>
        </tpls>
      </m>
      <n v="1" in="0">
        <tpls c="3">
          <tpl fld="0" item="0"/>
          <tpl fld="1" item="420"/>
          <tpl fld="4" item="38"/>
        </tpls>
      </n>
      <n v="45" in="0">
        <tpls c="3">
          <tpl fld="0" item="0"/>
          <tpl fld="1" item="33"/>
          <tpl fld="4" item="39"/>
        </tpls>
      </n>
      <n v="18" in="0">
        <tpls c="3">
          <tpl fld="0" item="0"/>
          <tpl fld="1" item="365"/>
          <tpl fld="4" item="38"/>
        </tpls>
      </n>
      <m in="0">
        <tpls c="3">
          <tpl fld="0" item="0"/>
          <tpl fld="1" item="239"/>
          <tpl fld="4" item="30"/>
        </tpls>
      </m>
      <n v="1" in="0">
        <tpls c="3">
          <tpl fld="0" item="0"/>
          <tpl fld="1" item="405"/>
          <tpl fld="4" item="33"/>
        </tpls>
      </n>
      <m in="0">
        <tpls c="3">
          <tpl fld="0" item="0"/>
          <tpl fld="1" item="59"/>
          <tpl fld="4" item="35"/>
        </tpls>
      </m>
      <n v="446" in="0">
        <tpls c="3">
          <tpl fld="0" item="0"/>
          <tpl fld="1" item="11"/>
          <tpl fld="4" item="27"/>
        </tpls>
      </n>
      <m in="0">
        <tpls c="3">
          <tpl fld="0" item="0"/>
          <tpl fld="1" item="205"/>
          <tpl fld="4" item="34"/>
        </tpls>
      </m>
      <m in="0">
        <tpls c="3">
          <tpl fld="0" item="0"/>
          <tpl fld="1" item="243"/>
          <tpl fld="4" item="34"/>
        </tpls>
      </m>
      <m in="0">
        <tpls c="3">
          <tpl fld="0" item="0"/>
          <tpl fld="1" item="412"/>
          <tpl fld="4" item="34"/>
        </tpls>
      </m>
      <m in="0">
        <tpls c="3">
          <tpl fld="0" item="0"/>
          <tpl fld="1" item="304"/>
          <tpl fld="4" item="35"/>
        </tpls>
      </m>
      <m in="0">
        <tpls c="3">
          <tpl fld="0" item="0"/>
          <tpl fld="1" item="207"/>
          <tpl fld="4" item="31"/>
        </tpls>
      </m>
      <m in="0">
        <tpls c="3">
          <tpl fld="0" item="0"/>
          <tpl fld="1" item="176"/>
          <tpl fld="4" item="34"/>
        </tpls>
      </m>
      <m in="0">
        <tpls c="3">
          <tpl fld="0" item="0"/>
          <tpl fld="1" item="267"/>
          <tpl fld="4" item="34"/>
        </tpls>
      </m>
      <m in="0">
        <tpls c="3">
          <tpl fld="0" item="0"/>
          <tpl fld="1" item="437"/>
          <tpl fld="4" item="3"/>
        </tpls>
      </m>
      <m in="0">
        <tpls c="3">
          <tpl fld="0" item="0"/>
          <tpl fld="1" item="229"/>
          <tpl fld="4" item="3"/>
        </tpls>
      </m>
      <m in="0">
        <tpls c="3">
          <tpl fld="0" item="0"/>
          <tpl fld="1" item="248"/>
          <tpl fld="4" item="0"/>
        </tpls>
      </m>
      <m in="0">
        <tpls c="3">
          <tpl fld="0" item="0"/>
          <tpl fld="1" item="179"/>
          <tpl fld="4" item="4"/>
        </tpls>
      </m>
      <n v="28" in="0">
        <tpls c="3">
          <tpl fld="0" item="0"/>
          <tpl fld="1" item="200"/>
          <tpl fld="4" item="37"/>
        </tpls>
      </n>
      <n v="6" in="0">
        <tpls c="3">
          <tpl fld="0" item="0"/>
          <tpl fld="1" item="288"/>
          <tpl fld="4" item="3"/>
        </tpls>
      </n>
      <m in="0">
        <tpls c="3">
          <tpl fld="0" item="0"/>
          <tpl fld="1" item="303"/>
          <tpl fld="4" item="4"/>
        </tpls>
      </m>
      <m in="0">
        <tpls c="3">
          <tpl fld="0" item="0"/>
          <tpl fld="1" item="293"/>
          <tpl fld="4" item="4"/>
        </tpls>
      </m>
      <n v="22" in="0">
        <tpls c="3">
          <tpl fld="0" item="0"/>
          <tpl fld="1" item="44"/>
          <tpl fld="4" item="37"/>
        </tpls>
      </n>
      <m in="0">
        <tpls c="3">
          <tpl fld="0" item="0"/>
          <tpl fld="1" item="123"/>
          <tpl fld="4" item="3"/>
        </tpls>
      </m>
      <m in="0">
        <tpls c="3">
          <tpl fld="0" item="0"/>
          <tpl fld="1" item="434"/>
          <tpl fld="4" item="4"/>
        </tpls>
      </m>
      <m in="0">
        <tpls c="3">
          <tpl fld="0" item="0"/>
          <tpl fld="1" item="400"/>
          <tpl fld="4" item="3"/>
        </tpls>
      </m>
      <m in="0">
        <tpls c="3">
          <tpl fld="0" item="0"/>
          <tpl fld="1" item="89"/>
          <tpl fld="4" item="4"/>
        </tpls>
      </m>
      <m in="0">
        <tpls c="3">
          <tpl fld="0" item="0"/>
          <tpl fld="1" item="213"/>
          <tpl fld="4" item="3"/>
        </tpls>
      </m>
      <m in="0">
        <tpls c="3">
          <tpl fld="0" item="0"/>
          <tpl fld="1" item="185"/>
          <tpl fld="4" item="4"/>
        </tpls>
      </m>
      <m in="0">
        <tpls c="3">
          <tpl fld="0" item="0"/>
          <tpl fld="1" item="217"/>
          <tpl fld="4" item="3"/>
        </tpls>
      </m>
      <m in="0">
        <tpls c="3">
          <tpl fld="0" item="0"/>
          <tpl fld="1" item="171"/>
          <tpl fld="4" item="2"/>
        </tpls>
      </m>
      <m in="0">
        <tpls c="3">
          <tpl fld="0" item="0"/>
          <tpl fld="1" item="342"/>
          <tpl fld="4" item="39"/>
        </tpls>
      </m>
      <m in="0">
        <tpls c="3">
          <tpl fld="0" item="0"/>
          <tpl fld="1" item="59"/>
          <tpl fld="4" item="2"/>
        </tpls>
      </m>
      <m in="0">
        <tpls c="3">
          <tpl fld="0" item="0"/>
          <tpl fld="1" item="420"/>
          <tpl fld="4" item="4"/>
        </tpls>
      </m>
      <m in="0">
        <tpls c="3">
          <tpl fld="0" item="0"/>
          <tpl fld="1" item="353"/>
          <tpl fld="4" item="2"/>
        </tpls>
      </m>
      <m in="0">
        <tpls c="3">
          <tpl fld="0" item="0"/>
          <tpl fld="1" item="185"/>
          <tpl fld="4" item="2"/>
        </tpls>
      </m>
      <m in="0">
        <tpls c="3">
          <tpl fld="0" item="0"/>
          <tpl fld="1" item="326"/>
          <tpl fld="4" item="38"/>
        </tpls>
      </m>
      <m in="0">
        <tpls c="3">
          <tpl fld="0" item="0"/>
          <tpl fld="1" item="12"/>
          <tpl fld="4" item="36"/>
        </tpls>
      </m>
      <m in="0">
        <tpls c="3">
          <tpl fld="0" item="0"/>
          <tpl fld="1" item="161"/>
          <tpl fld="4" item="2"/>
        </tpls>
      </m>
      <m in="0">
        <tpls c="3">
          <tpl fld="0" item="0"/>
          <tpl fld="1" item="348"/>
          <tpl fld="4" item="2"/>
        </tpls>
      </m>
      <m in="0">
        <tpls c="3">
          <tpl fld="0" item="0"/>
          <tpl fld="1" item="441"/>
          <tpl fld="4" item="36"/>
        </tpls>
      </m>
      <m in="0">
        <tpls c="3">
          <tpl fld="0" item="0"/>
          <tpl fld="1" item="61"/>
          <tpl fld="4" item="38"/>
        </tpls>
      </m>
      <n v="210" in="0">
        <tpls c="3">
          <tpl fld="0" item="0"/>
          <tpl fld="1" item="132"/>
          <tpl fld="4" item="36"/>
        </tpls>
      </n>
      <n v="341" in="0">
        <tpls c="3">
          <tpl fld="0" item="0"/>
          <tpl fld="1" item="230"/>
          <tpl fld="4" item="37"/>
        </tpls>
      </n>
      <m in="0">
        <tpls c="3">
          <tpl fld="0" item="0"/>
          <tpl fld="1" item="417"/>
          <tpl fld="4" item="2"/>
        </tpls>
      </m>
      <m in="0">
        <tpls c="3">
          <tpl fld="0" item="0"/>
          <tpl fld="1" item="223"/>
          <tpl fld="4" item="37"/>
        </tpls>
      </m>
      <n v="49" in="0">
        <tpls c="3">
          <tpl fld="0" item="0"/>
          <tpl fld="1" item="64"/>
          <tpl fld="4" item="41"/>
        </tpls>
      </n>
      <m in="0">
        <tpls c="3">
          <tpl fld="0" item="0"/>
          <tpl fld="1" item="193"/>
          <tpl fld="4" item="37"/>
        </tpls>
      </m>
      <m in="0">
        <tpls c="3">
          <tpl fld="0" item="0"/>
          <tpl fld="1" item="30"/>
          <tpl fld="4" item="36"/>
        </tpls>
      </m>
      <n v="3" in="0">
        <tpls c="3">
          <tpl fld="0" item="0"/>
          <tpl fld="1" item="437"/>
          <tpl fld="4" item="37"/>
        </tpls>
      </n>
      <n v="17" in="0">
        <tpls c="3">
          <tpl fld="0" item="0"/>
          <tpl fld="1" item="148"/>
          <tpl fld="4" item="36"/>
        </tpls>
      </n>
      <n v="814" in="0">
        <tpls c="3">
          <tpl fld="0" item="0"/>
          <tpl fld="1" item="160"/>
          <tpl fld="4" item="37"/>
        </tpls>
      </n>
      <n v="88" in="0">
        <tpls c="3">
          <tpl fld="0" item="0"/>
          <tpl fld="1" item="430"/>
          <tpl fld="4" item="37"/>
        </tpls>
      </n>
      <m in="0">
        <tpls c="3">
          <tpl fld="0" item="0"/>
          <tpl fld="1" item="300"/>
          <tpl fld="4" item="38"/>
        </tpls>
      </m>
      <n v="15" in="0">
        <tpls c="3">
          <tpl fld="0" item="0"/>
          <tpl fld="1" item="195"/>
          <tpl fld="4" item="41"/>
        </tpls>
      </n>
      <m in="0">
        <tpls c="3">
          <tpl fld="0" item="0"/>
          <tpl fld="1" item="384"/>
          <tpl fld="4" item="38"/>
        </tpls>
      </m>
      <m in="0">
        <tpls c="3">
          <tpl fld="0" item="0"/>
          <tpl fld="1" item="355"/>
          <tpl fld="4" item="42"/>
        </tpls>
      </m>
      <m in="0">
        <tpls c="3">
          <tpl fld="0" item="0"/>
          <tpl fld="1" item="221"/>
          <tpl fld="4" item="38"/>
        </tpls>
      </m>
      <n v="3" in="0">
        <tpls c="3">
          <tpl fld="0" item="0"/>
          <tpl fld="1" item="255"/>
          <tpl fld="4" item="42"/>
        </tpls>
      </n>
      <m in="0">
        <tpls c="3">
          <tpl fld="0" item="0"/>
          <tpl fld="1" item="393"/>
          <tpl fld="4" item="38"/>
        </tpls>
      </m>
      <n v="11" in="0">
        <tpls c="3">
          <tpl fld="0" item="0"/>
          <tpl fld="1" item="357"/>
          <tpl fld="4" item="40"/>
        </tpls>
      </n>
      <m in="0">
        <tpls c="3">
          <tpl fld="0" item="0"/>
          <tpl fld="1" item="111"/>
          <tpl fld="4" item="35"/>
        </tpls>
      </m>
      <m in="0">
        <tpls c="3">
          <tpl fld="0" item="0"/>
          <tpl fld="1" item="94"/>
          <tpl fld="4" item="34"/>
        </tpls>
      </m>
      <m in="0">
        <tpls c="3">
          <tpl fld="0" item="0"/>
          <tpl fld="1" item="178"/>
          <tpl fld="4" item="30"/>
        </tpls>
      </m>
      <m in="0">
        <tpls c="3">
          <tpl fld="0" item="0"/>
          <tpl fld="1" item="110"/>
          <tpl fld="4" item="30"/>
        </tpls>
      </m>
      <m in="0">
        <tpls c="3">
          <tpl fld="0" item="0"/>
          <tpl fld="1" item="431"/>
          <tpl fld="4" item="35"/>
        </tpls>
      </m>
      <m in="0">
        <tpls c="3">
          <tpl fld="0" item="0"/>
          <tpl fld="1" item="97"/>
          <tpl fld="4" item="32"/>
        </tpls>
      </m>
      <m in="0">
        <tpls c="3">
          <tpl fld="0" item="0"/>
          <tpl fld="1" item="163"/>
          <tpl fld="4" item="35"/>
        </tpls>
      </m>
      <m in="0">
        <tpls c="3">
          <tpl fld="0" item="0"/>
          <tpl fld="1" item="393"/>
          <tpl fld="4" item="35"/>
        </tpls>
      </m>
      <m in="0">
        <tpls c="3">
          <tpl fld="0" item="0"/>
          <tpl fld="1" item="454"/>
          <tpl fld="4" item="34"/>
        </tpls>
      </m>
      <m in="0">
        <tpls c="3">
          <tpl fld="0" item="0"/>
          <tpl fld="1" item="276"/>
          <tpl fld="4" item="35"/>
        </tpls>
      </m>
      <m in="0">
        <tpls c="3">
          <tpl fld="0" item="0"/>
          <tpl fld="1" item="173"/>
          <tpl fld="4" item="0"/>
        </tpls>
      </m>
      <m in="0">
        <tpls c="3">
          <tpl fld="0" item="0"/>
          <tpl fld="1" item="353"/>
          <tpl fld="4" item="0"/>
        </tpls>
      </m>
      <m in="0">
        <tpls c="3">
          <tpl fld="0" item="0"/>
          <tpl fld="1" item="349"/>
          <tpl fld="4" item="0"/>
        </tpls>
      </m>
      <m in="0">
        <tpls c="3">
          <tpl fld="0" item="0"/>
          <tpl fld="1" item="408"/>
          <tpl fld="4" item="3"/>
        </tpls>
      </m>
      <m in="0">
        <tpls c="3">
          <tpl fld="0" item="0"/>
          <tpl fld="1" item="169"/>
          <tpl fld="4" item="4"/>
        </tpls>
      </m>
      <m in="0">
        <tpls c="3">
          <tpl fld="0" item="0"/>
          <tpl fld="1" item="388"/>
          <tpl fld="4" item="0"/>
        </tpls>
      </m>
      <m in="0">
        <tpls c="3">
          <tpl fld="0" item="0"/>
          <tpl fld="1" item="143"/>
          <tpl fld="4" item="4"/>
        </tpls>
      </m>
      <n v="1" in="0">
        <tpls c="3">
          <tpl fld="0" item="0"/>
          <tpl fld="1" item="65"/>
          <tpl fld="4" item="3"/>
        </tpls>
      </n>
      <m in="0">
        <tpls c="3">
          <tpl fld="0" item="0"/>
          <tpl fld="1" item="358"/>
          <tpl fld="4" item="4"/>
        </tpls>
      </m>
      <m in="0">
        <tpls c="3">
          <tpl fld="0" item="0"/>
          <tpl fld="1" item="268"/>
          <tpl fld="4" item="0"/>
        </tpls>
      </m>
      <n v="2" in="0">
        <tpls c="3">
          <tpl fld="0" item="0"/>
          <tpl fld="1" item="269"/>
          <tpl fld="4" item="3"/>
        </tpls>
      </n>
      <m in="0">
        <tpls c="3">
          <tpl fld="0" item="0"/>
          <tpl fld="1" item="402"/>
          <tpl fld="4" item="2"/>
        </tpls>
      </m>
      <m in="0">
        <tpls c="3">
          <tpl fld="0" item="0"/>
          <tpl fld="1" item="252"/>
          <tpl fld="4" item="3"/>
        </tpls>
      </m>
      <m in="0">
        <tpls c="3">
          <tpl fld="0" item="0"/>
          <tpl fld="1" item="101"/>
          <tpl fld="4" item="2"/>
        </tpls>
      </m>
      <m in="0">
        <tpls c="3">
          <tpl fld="0" item="0"/>
          <tpl fld="1" item="157"/>
          <tpl fld="4" item="3"/>
        </tpls>
      </m>
      <m in="0">
        <tpls c="3">
          <tpl fld="0" item="0"/>
          <tpl fld="1" item="365"/>
          <tpl fld="4" item="2"/>
        </tpls>
      </m>
      <m in="0">
        <tpls c="3">
          <tpl fld="0" item="0"/>
          <tpl fld="1" item="220"/>
          <tpl fld="4" item="4"/>
        </tpls>
      </m>
      <m in="0">
        <tpls c="3">
          <tpl fld="0" item="0"/>
          <tpl fld="1" item="445"/>
          <tpl fld="4" item="36"/>
        </tpls>
      </m>
      <m in="0">
        <tpls c="3">
          <tpl fld="0" item="0"/>
          <tpl fld="1" item="224"/>
          <tpl fld="4" item="4"/>
        </tpls>
      </m>
      <m in="0">
        <tpls c="3">
          <tpl fld="0" item="0"/>
          <tpl fld="1" item="301"/>
          <tpl fld="4" item="36"/>
        </tpls>
      </m>
      <m in="0">
        <tpls c="3">
          <tpl fld="0" item="0"/>
          <tpl fld="1" item="105"/>
          <tpl fld="4" item="4"/>
        </tpls>
      </m>
      <m in="0">
        <tpls c="3">
          <tpl fld="0" item="0"/>
          <tpl fld="1" item="406"/>
          <tpl fld="4" item="36"/>
        </tpls>
      </m>
      <m in="0">
        <tpls c="3">
          <tpl fld="0" item="0"/>
          <tpl fld="1" item="245"/>
          <tpl fld="4" item="36"/>
        </tpls>
      </m>
      <m in="0">
        <tpls c="3">
          <tpl fld="0" item="0"/>
          <tpl fld="1" item="249"/>
          <tpl fld="4" item="2"/>
        </tpls>
      </m>
      <m in="0">
        <tpls c="3">
          <tpl fld="0" item="0"/>
          <tpl fld="1" item="307"/>
          <tpl fld="4" item="4"/>
        </tpls>
      </m>
      <m in="0">
        <tpls c="3">
          <tpl fld="0" item="0"/>
          <tpl fld="1" item="158"/>
          <tpl fld="4" item="36"/>
        </tpls>
      </m>
      <n v="7" in="0">
        <tpls c="3">
          <tpl fld="0" item="0"/>
          <tpl fld="1" item="323"/>
          <tpl fld="4" item="36"/>
        </tpls>
      </n>
      <m in="0">
        <tpls c="3">
          <tpl fld="0" item="0"/>
          <tpl fld="1" item="146"/>
          <tpl fld="4" item="37"/>
        </tpls>
      </m>
      <m in="0">
        <tpls c="3">
          <tpl fld="0" item="0"/>
          <tpl fld="1" item="346"/>
          <tpl fld="4" item="2"/>
        </tpls>
      </m>
      <n v="68" in="0">
        <tpls c="3">
          <tpl fld="0" item="0"/>
          <tpl fld="1" item="226"/>
          <tpl fld="4" item="36"/>
        </tpls>
      </n>
      <n v="8" in="0">
        <tpls c="3">
          <tpl fld="0" item="0"/>
          <tpl fld="1" item="175"/>
          <tpl fld="4" item="38"/>
        </tpls>
      </n>
      <n v="8" in="0">
        <tpls c="3">
          <tpl fld="0" item="0"/>
          <tpl fld="1" item="334"/>
          <tpl fld="4" item="36"/>
        </tpls>
      </n>
      <m in="0">
        <tpls c="3">
          <tpl fld="0" item="0"/>
          <tpl fld="1" item="250"/>
          <tpl fld="4" item="37"/>
        </tpls>
      </m>
      <m in="0">
        <tpls c="3">
          <tpl fld="0" item="0"/>
          <tpl fld="1" item="12"/>
          <tpl fld="4" item="37"/>
        </tpls>
      </m>
      <m in="0">
        <tpls c="3">
          <tpl fld="0" item="0"/>
          <tpl fld="1" item="295"/>
          <tpl fld="4" item="40"/>
        </tpls>
      </m>
      <n v="79" in="0">
        <tpls c="3">
          <tpl fld="0" item="0"/>
          <tpl fld="1" item="411"/>
          <tpl fld="4" item="37"/>
        </tpls>
      </n>
      <m in="0">
        <tpls c="3">
          <tpl fld="0" item="0"/>
          <tpl fld="1" item="19"/>
          <tpl fld="4" item="35"/>
        </tpls>
      </m>
      <m in="0">
        <tpls c="3">
          <tpl fld="0" item="0"/>
          <tpl fld="1" item="111"/>
          <tpl fld="4" item="32"/>
        </tpls>
      </m>
      <m in="0">
        <tpls c="3">
          <tpl fld="0" item="0"/>
          <tpl fld="1" item="77"/>
          <tpl fld="4" item="35"/>
        </tpls>
      </m>
      <m in="0">
        <tpls c="3">
          <tpl fld="0" item="0"/>
          <tpl fld="1" item="246"/>
          <tpl fld="4" item="35"/>
        </tpls>
      </m>
      <m in="0">
        <tpls c="3">
          <tpl fld="0" item="0"/>
          <tpl fld="1" item="30"/>
          <tpl fld="4" item="34"/>
        </tpls>
      </m>
      <m in="0">
        <tpls c="3">
          <tpl fld="0" item="0"/>
          <tpl fld="1" item="229"/>
          <tpl fld="4" item="24"/>
        </tpls>
      </m>
      <m in="0">
        <tpls c="3">
          <tpl fld="0" item="0"/>
          <tpl fld="1" item="421"/>
          <tpl fld="4" item="33"/>
        </tpls>
      </m>
      <m in="0">
        <tpls c="3">
          <tpl fld="0" item="0"/>
          <tpl fld="1" item="439"/>
          <tpl fld="4" item="35"/>
        </tpls>
      </m>
      <m in="0">
        <tpls c="3">
          <tpl fld="0" item="0"/>
          <tpl fld="1" item="36"/>
          <tpl fld="4" item="26"/>
        </tpls>
      </m>
      <m in="0">
        <tpls c="3">
          <tpl fld="0" item="0"/>
          <tpl fld="1" item="291"/>
          <tpl fld="4" item="34"/>
        </tpls>
      </m>
      <m in="0">
        <tpls c="3">
          <tpl fld="0" item="0"/>
          <tpl fld="1" item="455"/>
          <tpl fld="4" item="31"/>
        </tpls>
      </m>
      <m in="0">
        <tpls c="3">
          <tpl fld="0" item="0"/>
          <tpl fld="1" item="254"/>
          <tpl fld="4" item="0"/>
        </tpls>
      </m>
      <m in="0">
        <tpls c="3">
          <tpl fld="0" item="0"/>
          <tpl fld="1" item="313"/>
          <tpl fld="4" item="0"/>
        </tpls>
      </m>
      <m in="0">
        <tpls c="3">
          <tpl fld="0" item="0"/>
          <tpl fld="1" item="303"/>
          <tpl fld="4" item="0"/>
        </tpls>
      </m>
      <m in="0">
        <tpls c="3">
          <tpl fld="0" item="0"/>
          <tpl fld="1" item="122"/>
          <tpl fld="4" item="3"/>
        </tpls>
      </m>
      <m in="0">
        <tpls c="3">
          <tpl fld="0" item="0"/>
          <tpl fld="1" item="236"/>
          <tpl fld="4" item="2"/>
        </tpls>
      </m>
      <m in="0">
        <tpls c="3">
          <tpl fld="0" item="0"/>
          <tpl fld="1" item="215"/>
          <tpl fld="4" item="3"/>
        </tpls>
      </m>
      <m in="0">
        <tpls c="3">
          <tpl fld="0" item="0"/>
          <tpl fld="1" item="256"/>
          <tpl fld="4" item="4"/>
        </tpls>
      </m>
      <m in="0">
        <tpls c="3">
          <tpl fld="0" item="0"/>
          <tpl fld="1" item="214"/>
          <tpl fld="4" item="3"/>
        </tpls>
      </m>
      <m in="0">
        <tpls c="3">
          <tpl fld="0" item="0"/>
          <tpl fld="1" item="149"/>
          <tpl fld="4" item="2"/>
        </tpls>
      </m>
      <m in="0">
        <tpls c="3">
          <tpl fld="0" item="0"/>
          <tpl fld="1" item="295"/>
          <tpl fld="4" item="0"/>
        </tpls>
      </m>
      <m in="0">
        <tpls c="3">
          <tpl fld="0" item="0"/>
          <tpl fld="1" item="337"/>
          <tpl fld="4" item="3"/>
        </tpls>
      </m>
      <m in="0">
        <tpls c="3">
          <tpl fld="0" item="0"/>
          <tpl fld="1" item="439"/>
          <tpl fld="4" item="36"/>
        </tpls>
      </m>
      <m in="0">
        <tpls c="3">
          <tpl fld="0" item="0"/>
          <tpl fld="1" item="37"/>
          <tpl fld="4" item="3"/>
        </tpls>
      </m>
      <m in="0">
        <tpls c="3">
          <tpl fld="0" item="0"/>
          <tpl fld="1" item="251"/>
          <tpl fld="4" item="36"/>
        </tpls>
      </m>
      <m in="0">
        <tpls c="3">
          <tpl fld="0" item="0"/>
          <tpl fld="1" item="241"/>
          <tpl fld="4" item="4"/>
        </tpls>
      </m>
      <m in="0">
        <tpls c="3">
          <tpl fld="0" item="0"/>
          <tpl fld="1" item="282"/>
          <tpl fld="4" item="3"/>
        </tpls>
      </m>
      <m in="0">
        <tpls c="3">
          <tpl fld="0" item="0"/>
          <tpl fld="1" item="387"/>
          <tpl fld="4" item="28"/>
        </tpls>
      </m>
      <n v="22" in="0">
        <tpls c="3">
          <tpl fld="0" item="0"/>
          <tpl fld="1" item="85"/>
          <tpl fld="4" item="22"/>
        </tpls>
      </n>
      <m in="0">
        <tpls c="3">
          <tpl fld="0" item="0"/>
          <tpl fld="1" item="98"/>
          <tpl fld="4" item="30"/>
        </tpls>
      </m>
      <n v="259" in="0">
        <tpls c="3">
          <tpl fld="0" item="0"/>
          <tpl fld="1" item="395"/>
          <tpl fld="4" item="25"/>
        </tpls>
      </n>
      <m in="0">
        <tpls c="3">
          <tpl fld="0" item="0"/>
          <tpl fld="1" item="365"/>
          <tpl fld="4" item="32"/>
        </tpls>
      </m>
      <m in="0">
        <tpls c="3">
          <tpl fld="0" item="0"/>
          <tpl fld="1" item="277"/>
          <tpl fld="4" item="30"/>
        </tpls>
      </m>
      <m in="0">
        <tpls c="3">
          <tpl fld="0" item="0"/>
          <tpl fld="1" item="349"/>
          <tpl fld="4" item="34"/>
        </tpls>
      </m>
      <n v="13" in="0">
        <tpls c="3">
          <tpl fld="0" item="0"/>
          <tpl fld="1" item="347"/>
          <tpl fld="4" item="33"/>
        </tpls>
      </n>
      <m in="0">
        <tpls c="3">
          <tpl fld="0" item="0"/>
          <tpl fld="1" item="94"/>
          <tpl fld="4" item="35"/>
        </tpls>
      </m>
      <m in="0">
        <tpls c="3">
          <tpl fld="0" item="0"/>
          <tpl fld="1" item="252"/>
          <tpl fld="4" item="33"/>
        </tpls>
      </m>
      <m in="0">
        <tpls c="3">
          <tpl fld="0" item="0"/>
          <tpl fld="1" item="374"/>
          <tpl fld="4" item="35"/>
        </tpls>
      </m>
      <m in="0">
        <tpls c="3">
          <tpl fld="0" item="0"/>
          <tpl fld="1" item="185"/>
          <tpl fld="4" item="30"/>
        </tpls>
      </m>
      <n v="3" in="0">
        <tpls c="3">
          <tpl fld="0" item="0"/>
          <tpl fld="1" item="8"/>
          <tpl fld="4" item="26"/>
        </tpls>
      </n>
      <m in="0">
        <tpls c="3">
          <tpl fld="0" item="0"/>
          <tpl fld="1" item="196"/>
          <tpl fld="4" item="31"/>
        </tpls>
      </m>
      <m in="0">
        <tpls c="3">
          <tpl fld="0" item="0"/>
          <tpl fld="1" item="72"/>
          <tpl fld="4" item="32"/>
        </tpls>
      </m>
      <m in="0">
        <tpls c="3">
          <tpl fld="0" item="0"/>
          <tpl fld="1" item="113"/>
          <tpl fld="4" item="30"/>
        </tpls>
      </m>
      <m in="0">
        <tpls c="3">
          <tpl fld="0" item="0"/>
          <tpl fld="1" item="63"/>
          <tpl fld="4" item="35"/>
        </tpls>
      </m>
      <m in="0">
        <tpls c="3">
          <tpl fld="0" item="0"/>
          <tpl fld="1" item="149"/>
          <tpl fld="4" item="31"/>
        </tpls>
      </m>
      <m in="0">
        <tpls c="3">
          <tpl fld="0" item="0"/>
          <tpl fld="1" item="26"/>
          <tpl fld="4" item="31"/>
        </tpls>
      </m>
      <m in="0">
        <tpls c="3">
          <tpl fld="0" item="0"/>
          <tpl fld="1" item="137"/>
          <tpl fld="4" item="32"/>
        </tpls>
      </m>
      <m in="0">
        <tpls c="3">
          <tpl fld="0" item="0"/>
          <tpl fld="1" item="221"/>
          <tpl fld="4" item="33"/>
        </tpls>
      </m>
      <m in="0">
        <tpls c="3">
          <tpl fld="0" item="0"/>
          <tpl fld="1" item="85"/>
          <tpl fld="4" item="34"/>
        </tpls>
      </m>
      <n v="12" in="0">
        <tpls c="3">
          <tpl fld="0" item="0"/>
          <tpl fld="1" item="256"/>
          <tpl fld="4" item="26"/>
        </tpls>
      </n>
      <m in="0">
        <tpls c="3">
          <tpl fld="0" item="0"/>
          <tpl fld="1" item="16"/>
          <tpl fld="4" item="31"/>
        </tpls>
      </m>
      <m in="0">
        <tpls c="3">
          <tpl fld="0" item="0"/>
          <tpl fld="1" item="9"/>
          <tpl fld="4" item="31"/>
        </tpls>
      </m>
      <m in="0">
        <tpls c="3">
          <tpl fld="0" item="0"/>
          <tpl fld="1" item="30"/>
          <tpl fld="4" item="23"/>
        </tpls>
      </m>
      <m in="0">
        <tpls c="3">
          <tpl fld="0" item="0"/>
          <tpl fld="1" item="367"/>
          <tpl fld="4" item="33"/>
        </tpls>
      </m>
      <m in="0">
        <tpls c="3">
          <tpl fld="0" item="0"/>
          <tpl fld="1" item="156"/>
          <tpl fld="4" item="30"/>
        </tpls>
      </m>
      <m in="0">
        <tpls c="3">
          <tpl fld="0" item="0"/>
          <tpl fld="1" item="41"/>
          <tpl fld="4" item="34"/>
        </tpls>
      </m>
      <m in="0">
        <tpls c="3">
          <tpl fld="0" item="0"/>
          <tpl fld="1" item="392"/>
          <tpl fld="4" item="28"/>
        </tpls>
      </m>
      <m in="0">
        <tpls c="3">
          <tpl fld="0" item="0"/>
          <tpl fld="1" item="61"/>
          <tpl fld="4" item="24"/>
        </tpls>
      </m>
      <m in="0">
        <tpls c="3">
          <tpl fld="0" item="0"/>
          <tpl fld="1" item="65"/>
          <tpl fld="4" item="32"/>
        </tpls>
      </m>
      <m in="0">
        <tpls c="3">
          <tpl fld="0" item="0"/>
          <tpl fld="1" item="120"/>
          <tpl fld="4" item="32"/>
        </tpls>
      </m>
      <m in="0">
        <tpls c="3">
          <tpl fld="0" item="0"/>
          <tpl fld="1" item="275"/>
          <tpl fld="4" item="33"/>
        </tpls>
      </m>
      <n v="4" in="0">
        <tpls c="3">
          <tpl fld="0" item="0"/>
          <tpl fld="1" item="37"/>
          <tpl fld="4" item="30"/>
        </tpls>
      </n>
      <m in="0">
        <tpls c="3">
          <tpl fld="0" item="0"/>
          <tpl fld="1" item="211"/>
          <tpl fld="4" item="35"/>
        </tpls>
      </m>
      <m in="0">
        <tpls c="3">
          <tpl fld="0" item="0"/>
          <tpl fld="1" item="210"/>
          <tpl fld="4" item="30"/>
        </tpls>
      </m>
      <m in="0">
        <tpls c="3">
          <tpl fld="0" item="0"/>
          <tpl fld="1" item="413"/>
          <tpl fld="4" item="35"/>
        </tpls>
      </m>
      <m in="0">
        <tpls c="3">
          <tpl fld="0" item="0"/>
          <tpl fld="1" item="71"/>
          <tpl fld="4" item="24"/>
        </tpls>
      </m>
      <n v="19" in="0">
        <tpls c="3">
          <tpl fld="0" item="0"/>
          <tpl fld="1" item="214"/>
          <tpl fld="4" item="15"/>
        </tpls>
      </n>
      <m in="0">
        <tpls c="3">
          <tpl fld="0" item="0"/>
          <tpl fld="1" item="27"/>
          <tpl fld="4" item="32"/>
        </tpls>
      </m>
      <m in="0">
        <tpls c="3">
          <tpl fld="0" item="0"/>
          <tpl fld="1" item="373"/>
          <tpl fld="4" item="29"/>
        </tpls>
      </m>
      <m in="0">
        <tpls c="3">
          <tpl fld="0" item="0"/>
          <tpl fld="1" item="210"/>
          <tpl fld="4" item="24"/>
        </tpls>
      </m>
      <m in="0">
        <tpls c="3">
          <tpl fld="0" item="0"/>
          <tpl fld="1" item="332"/>
          <tpl fld="4" item="33"/>
        </tpls>
      </m>
      <m in="0">
        <tpls c="3">
          <tpl fld="0" item="0"/>
          <tpl fld="1" item="234"/>
          <tpl fld="4" item="30"/>
        </tpls>
      </m>
      <m in="0">
        <tpls c="3">
          <tpl fld="0" item="0"/>
          <tpl fld="1" item="301"/>
          <tpl fld="4" item="17"/>
        </tpls>
      </m>
      <m in="0">
        <tpls c="3">
          <tpl fld="0" item="0"/>
          <tpl fld="1" item="389"/>
          <tpl fld="4" item="32"/>
        </tpls>
      </m>
      <m in="0">
        <tpls c="3">
          <tpl fld="0" item="0"/>
          <tpl fld="1" item="43"/>
          <tpl fld="4" item="31"/>
        </tpls>
      </m>
      <m in="0">
        <tpls c="3">
          <tpl fld="0" item="0"/>
          <tpl fld="1" item="143"/>
          <tpl fld="4" item="31"/>
        </tpls>
      </m>
      <m in="0">
        <tpls c="3">
          <tpl fld="0" item="0"/>
          <tpl fld="1" item="127"/>
          <tpl fld="4" item="32"/>
        </tpls>
      </m>
      <m in="0">
        <tpls c="3">
          <tpl fld="0" item="0"/>
          <tpl fld="1" item="403"/>
          <tpl fld="4" item="33"/>
        </tpls>
      </m>
      <n v="1" in="0">
        <tpls c="3">
          <tpl fld="0" item="0"/>
          <tpl fld="1" item="242"/>
          <tpl fld="4" item="30"/>
        </tpls>
      </n>
      <n v="39" in="0">
        <tpls c="3">
          <tpl fld="0" item="0"/>
          <tpl fld="1" item="38"/>
          <tpl fld="4" item="24"/>
        </tpls>
      </n>
      <m in="0">
        <tpls c="3">
          <tpl fld="0" item="0"/>
          <tpl fld="1" item="24"/>
          <tpl fld="4" item="24"/>
        </tpls>
      </m>
      <m in="0">
        <tpls c="3">
          <tpl fld="0" item="0"/>
          <tpl fld="1" item="346"/>
          <tpl fld="4" item="22"/>
        </tpls>
      </m>
      <m in="0">
        <tpls c="3">
          <tpl fld="0" item="0"/>
          <tpl fld="1" item="375"/>
          <tpl fld="4" item="24"/>
        </tpls>
      </m>
      <n v="23" in="0">
        <tpls c="3">
          <tpl fld="0" item="0"/>
          <tpl fld="1" item="148"/>
          <tpl fld="4" item="24"/>
        </tpls>
      </n>
      <m in="0">
        <tpls c="3">
          <tpl fld="0" item="0"/>
          <tpl fld="1" item="294"/>
          <tpl fld="4" item="33"/>
        </tpls>
      </m>
      <m in="0">
        <tpls c="3">
          <tpl fld="0" item="0"/>
          <tpl fld="1" item="8"/>
          <tpl fld="4" item="30"/>
        </tpls>
      </m>
      <n v="130" in="0">
        <tpls c="3">
          <tpl fld="0" item="0"/>
          <tpl fld="1" item="333"/>
          <tpl fld="4" item="15"/>
        </tpls>
      </n>
      <m in="0">
        <tpls c="3">
          <tpl fld="0" item="0"/>
          <tpl fld="1" item="450"/>
          <tpl fld="4" item="22"/>
        </tpls>
      </m>
      <m in="0">
        <tpls c="3">
          <tpl fld="0" item="0"/>
          <tpl fld="1" item="302"/>
          <tpl fld="4" item="32"/>
        </tpls>
      </m>
      <m in="0">
        <tpls c="3">
          <tpl fld="0" item="0"/>
          <tpl fld="1" item="94"/>
          <tpl fld="4" item="31"/>
        </tpls>
      </m>
      <m in="0">
        <tpls c="3">
          <tpl fld="0" item="0"/>
          <tpl fld="1" item="382"/>
          <tpl fld="4" item="31"/>
        </tpls>
      </m>
      <m in="0">
        <tpls c="3">
          <tpl fld="0" item="0"/>
          <tpl fld="1" item="260"/>
          <tpl fld="4" item="30"/>
        </tpls>
      </m>
      <m in="0">
        <tpls c="3">
          <tpl fld="0" item="0"/>
          <tpl fld="1" item="48"/>
          <tpl fld="4" item="34"/>
        </tpls>
      </m>
      <m in="0">
        <tpls c="3">
          <tpl fld="0" item="0"/>
          <tpl fld="1" item="22"/>
          <tpl fld="4" item="26"/>
        </tpls>
      </m>
      <m in="0">
        <tpls c="3">
          <tpl fld="0" item="0"/>
          <tpl fld="1" item="363"/>
          <tpl fld="4" item="34"/>
        </tpls>
      </m>
      <m in="0">
        <tpls c="3">
          <tpl fld="0" item="0"/>
          <tpl fld="1" item="121"/>
          <tpl fld="4" item="35"/>
        </tpls>
      </m>
      <m in="0">
        <tpls c="3">
          <tpl fld="0" item="0"/>
          <tpl fld="1" item="243"/>
          <tpl fld="4" item="31"/>
        </tpls>
      </m>
      <m in="0">
        <tpls c="3">
          <tpl fld="0" item="0"/>
          <tpl fld="1" item="316"/>
          <tpl fld="4" item="34"/>
        </tpls>
      </m>
      <m in="0">
        <tpls c="3">
          <tpl fld="0" item="0"/>
          <tpl fld="1" item="135"/>
          <tpl fld="4" item="35"/>
        </tpls>
      </m>
      <m in="0">
        <tpls c="3">
          <tpl fld="0" item="0"/>
          <tpl fld="1" item="284"/>
          <tpl fld="4" item="33"/>
        </tpls>
      </m>
      <n v="1" in="0">
        <tpls c="3">
          <tpl fld="0" item="0"/>
          <tpl fld="1" item="160"/>
          <tpl fld="4" item="35"/>
        </tpls>
      </n>
      <n v="188" in="0">
        <tpls c="3">
          <tpl fld="0" item="0"/>
          <tpl fld="1" item="367"/>
          <tpl fld="4" item="29"/>
        </tpls>
      </n>
      <m in="0">
        <tpls c="3">
          <tpl fld="0" item="0"/>
          <tpl fld="1" item="230"/>
          <tpl fld="4" item="34"/>
        </tpls>
      </m>
      <m in="0">
        <tpls c="3">
          <tpl fld="0" item="0"/>
          <tpl fld="1" item="429"/>
          <tpl fld="4" item="35"/>
        </tpls>
      </m>
      <m in="0">
        <tpls c="3">
          <tpl fld="0" item="0"/>
          <tpl fld="1" item="262"/>
          <tpl fld="4" item="32"/>
        </tpls>
      </m>
      <m in="0">
        <tpls c="3">
          <tpl fld="0" item="0"/>
          <tpl fld="1" item="264"/>
          <tpl fld="4" item="34"/>
        </tpls>
      </m>
      <m in="0">
        <tpls c="3">
          <tpl fld="0" item="0"/>
          <tpl fld="1" item="303"/>
          <tpl fld="4" item="35"/>
        </tpls>
      </m>
      <n v="2" in="0">
        <tpls c="3">
          <tpl fld="0" item="0"/>
          <tpl fld="1" item="138"/>
          <tpl fld="4" item="17"/>
        </tpls>
      </n>
      <m in="0">
        <tpls c="3">
          <tpl fld="0" item="0"/>
          <tpl fld="1" item="54"/>
          <tpl fld="4" item="30"/>
        </tpls>
      </m>
      <m in="0">
        <tpls c="3">
          <tpl fld="0" item="0"/>
          <tpl fld="1" item="124"/>
          <tpl fld="4" item="35"/>
        </tpls>
      </m>
      <m in="0">
        <tpls c="3">
          <tpl fld="0" item="0"/>
          <tpl fld="1" item="203"/>
          <tpl fld="4" item="34"/>
        </tpls>
      </m>
      <m in="0">
        <tpls c="3">
          <tpl fld="0" item="0"/>
          <tpl fld="1" item="248"/>
          <tpl fld="4" item="30"/>
        </tpls>
      </m>
      <m in="0">
        <tpls c="3">
          <tpl fld="0" item="0"/>
          <tpl fld="1" item="224"/>
          <tpl fld="4" item="35"/>
        </tpls>
      </m>
      <n v="1" in="0">
        <tpls c="3">
          <tpl fld="0" item="0"/>
          <tpl fld="1" item="225"/>
          <tpl fld="4" item="34"/>
        </tpls>
      </n>
      <m in="0">
        <tpls c="3">
          <tpl fld="0" item="0"/>
          <tpl fld="1" item="115"/>
          <tpl fld="4" item="34"/>
        </tpls>
      </m>
      <m in="0">
        <tpls c="3">
          <tpl fld="0" item="0"/>
          <tpl fld="1" item="50"/>
          <tpl fld="4" item="30"/>
        </tpls>
      </m>
      <m in="0">
        <tpls c="3">
          <tpl fld="0" item="0"/>
          <tpl fld="1" item="6"/>
          <tpl fld="4" item="35"/>
        </tpls>
      </m>
      <m in="0">
        <tpls c="3">
          <tpl fld="0" item="0"/>
          <tpl fld="1" item="158"/>
          <tpl fld="4" item="24"/>
        </tpls>
      </m>
      <m in="0">
        <tpls c="3">
          <tpl fld="0" item="0"/>
          <tpl fld="1" item="334"/>
          <tpl fld="4" item="35"/>
        </tpls>
      </m>
      <m in="0">
        <tpls c="3">
          <tpl fld="0" item="0"/>
          <tpl fld="1" item="187"/>
          <tpl fld="4" item="35"/>
        </tpls>
      </m>
      <m in="0">
        <tpls c="3">
          <tpl fld="0" item="0"/>
          <tpl fld="1" item="125"/>
          <tpl fld="4" item="34"/>
        </tpls>
      </m>
      <m in="0">
        <tpls c="3">
          <tpl fld="0" item="0"/>
          <tpl fld="1" item="398"/>
          <tpl fld="4" item="35"/>
        </tpls>
      </m>
      <m in="0">
        <tpls c="3">
          <tpl fld="0" item="0"/>
          <tpl fld="1" item="204"/>
          <tpl fld="4" item="0"/>
        </tpls>
      </m>
      <m in="0">
        <tpls c="3">
          <tpl fld="0" item="0"/>
          <tpl fld="1" item="336"/>
          <tpl fld="4" item="0"/>
        </tpls>
      </m>
      <m in="0">
        <tpls c="3">
          <tpl fld="0" item="0"/>
          <tpl fld="1" item="442"/>
          <tpl fld="4" item="0"/>
        </tpls>
      </m>
      <n v="1" in="0">
        <tpls c="3">
          <tpl fld="0" item="0"/>
          <tpl fld="1" item="230"/>
          <tpl fld="4" item="3"/>
        </tpls>
      </n>
      <m in="0">
        <tpls c="3">
          <tpl fld="0" item="0"/>
          <tpl fld="1" item="289"/>
          <tpl fld="4" item="4"/>
        </tpls>
      </m>
      <m in="0">
        <tpls c="3">
          <tpl fld="0" item="0"/>
          <tpl fld="1" item="399"/>
          <tpl fld="4" item="0"/>
        </tpls>
      </m>
      <m in="0">
        <tpls c="3">
          <tpl fld="0" item="0"/>
          <tpl fld="1" item="306"/>
          <tpl fld="4" item="4"/>
        </tpls>
      </m>
      <m in="0">
        <tpls c="3">
          <tpl fld="0" item="0"/>
          <tpl fld="1" item="377"/>
          <tpl fld="4" item="3"/>
        </tpls>
      </m>
      <m in="0">
        <tpls c="3">
          <tpl fld="0" item="0"/>
          <tpl fld="1" item="189"/>
          <tpl fld="4" item="4"/>
        </tpls>
      </m>
      <m in="0">
        <tpls c="3">
          <tpl fld="0" item="0"/>
          <tpl fld="1" item="430"/>
          <tpl fld="4" item="0"/>
        </tpls>
      </m>
      <m in="0">
        <tpls c="3">
          <tpl fld="0" item="0"/>
          <tpl fld="1" item="372"/>
          <tpl fld="4" item="3"/>
        </tpls>
      </m>
      <m in="0">
        <tpls c="3">
          <tpl fld="0" item="0"/>
          <tpl fld="1" item="67"/>
          <tpl fld="4" item="2"/>
        </tpls>
      </m>
      <m in="0">
        <tpls c="3">
          <tpl fld="0" item="0"/>
          <tpl fld="1" item="421"/>
          <tpl fld="4" item="3"/>
        </tpls>
      </m>
      <m in="0">
        <tpls c="3">
          <tpl fld="0" item="0"/>
          <tpl fld="1" item="200"/>
          <tpl fld="4" item="2"/>
        </tpls>
      </m>
      <m in="0">
        <tpls c="3">
          <tpl fld="0" item="0"/>
          <tpl fld="1" item="278"/>
          <tpl fld="4" item="3"/>
        </tpls>
      </m>
      <m in="0">
        <tpls c="3">
          <tpl fld="0" item="0"/>
          <tpl fld="1" item="127"/>
          <tpl fld="4" item="2"/>
        </tpls>
      </m>
      <m in="0">
        <tpls c="3">
          <tpl fld="0" item="0"/>
          <tpl fld="1" item="268"/>
          <tpl fld="4" item="4"/>
        </tpls>
      </m>
      <m in="0">
        <tpls c="3">
          <tpl fld="0" item="0"/>
          <tpl fld="1" item="22"/>
          <tpl fld="4" item="36"/>
        </tpls>
      </m>
      <m in="0">
        <tpls c="3">
          <tpl fld="0" item="0"/>
          <tpl fld="1" item="342"/>
          <tpl fld="4" item="4"/>
        </tpls>
      </m>
      <m in="0">
        <tpls c="3">
          <tpl fld="0" item="0"/>
          <tpl fld="1" item="146"/>
          <tpl fld="4" item="36"/>
        </tpls>
      </m>
      <m in="0">
        <tpls c="3">
          <tpl fld="0" item="0"/>
          <tpl fld="1" item="295"/>
          <tpl fld="4" item="4"/>
        </tpls>
      </m>
      <n v="150" in="0">
        <tpls c="3">
          <tpl fld="0" item="0"/>
          <tpl fld="1" item="99"/>
          <tpl fld="4" item="36"/>
        </tpls>
      </n>
      <m in="0">
        <tpls c="3">
          <tpl fld="0" item="0"/>
          <tpl fld="1" item="204"/>
          <tpl fld="4" item="36"/>
        </tpls>
      </m>
      <m in="0">
        <tpls c="3">
          <tpl fld="0" item="0"/>
          <tpl fld="1" item="328"/>
          <tpl fld="4" item="2"/>
        </tpls>
      </m>
      <m in="0">
        <tpls c="3">
          <tpl fld="0" item="0"/>
          <tpl fld="1" item="293"/>
          <tpl fld="4" item="2"/>
        </tpls>
      </m>
      <n v="10" in="0">
        <tpls c="3">
          <tpl fld="0" item="0"/>
          <tpl fld="1" item="455"/>
          <tpl fld="4" item="36"/>
        </tpls>
      </n>
      <n v="42" in="0">
        <tpls c="3">
          <tpl fld="0" item="0"/>
          <tpl fld="1" item="182"/>
          <tpl fld="4" item="36"/>
        </tpls>
      </n>
      <n v="140" in="0">
        <tpls c="3">
          <tpl fld="0" item="0"/>
          <tpl fld="1" item="348"/>
          <tpl fld="4" item="37"/>
        </tpls>
      </n>
      <m in="0">
        <tpls c="3">
          <tpl fld="0" item="0"/>
          <tpl fld="1" item="189"/>
          <tpl fld="4" item="2"/>
        </tpls>
      </m>
      <m in="0">
        <tpls c="3">
          <tpl fld="0" item="0"/>
          <tpl fld="1" item="302"/>
          <tpl fld="4" item="36"/>
        </tpls>
      </m>
      <n v="15" in="0">
        <tpls c="3">
          <tpl fld="0" item="0"/>
          <tpl fld="1" item="11"/>
          <tpl fld="4" item="39"/>
        </tpls>
      </n>
      <n v="142" in="0">
        <tpls c="3">
          <tpl fld="0" item="0"/>
          <tpl fld="1" item="256"/>
          <tpl fld="4" item="36"/>
        </tpls>
      </n>
      <m in="0">
        <tpls c="3">
          <tpl fld="0" item="0"/>
          <tpl fld="1" item="13"/>
          <tpl fld="4" item="37"/>
        </tpls>
      </m>
      <n v="90" in="0">
        <tpls c="3">
          <tpl fld="0" item="0"/>
          <tpl fld="1" item="280"/>
          <tpl fld="4" item="37"/>
        </tpls>
      </n>
      <m in="0">
        <tpls c="3">
          <tpl fld="0" item="0"/>
          <tpl fld="1" item="199"/>
          <tpl fld="4" item="2"/>
        </tpls>
      </m>
      <n v="33" in="0">
        <tpls c="3">
          <tpl fld="0" item="0"/>
          <tpl fld="1" item="417"/>
          <tpl fld="4" item="37"/>
        </tpls>
      </n>
      <m in="0">
        <tpls c="3">
          <tpl fld="0" item="0"/>
          <tpl fld="1" item="97"/>
          <tpl fld="4" item="2"/>
        </tpls>
      </m>
      <m in="0">
        <tpls c="3">
          <tpl fld="0" item="0"/>
          <tpl fld="1" item="298"/>
          <tpl fld="4" item="36"/>
        </tpls>
      </m>
      <m in="0">
        <tpls c="3">
          <tpl fld="0" item="0"/>
          <tpl fld="1" item="271"/>
          <tpl fld="4" item="38"/>
        </tpls>
      </m>
      <n v="1" in="0">
        <tpls c="3">
          <tpl fld="0" item="0"/>
          <tpl fld="1" item="209"/>
          <tpl fld="4" item="38"/>
        </tpls>
      </n>
      <m in="0">
        <tpls c="3">
          <tpl fld="0" item="0"/>
          <tpl fld="1" item="113"/>
          <tpl fld="4" item="39"/>
        </tpls>
      </m>
      <m in="0">
        <tpls c="3">
          <tpl fld="0" item="0"/>
          <tpl fld="1" item="128"/>
          <tpl fld="4" item="38"/>
        </tpls>
      </m>
      <n v="4" in="0">
        <tpls c="3">
          <tpl fld="0" item="0"/>
          <tpl fld="1" item="395"/>
          <tpl fld="4" item="39"/>
        </tpls>
      </n>
      <m in="0">
        <tpls c="3">
          <tpl fld="0" item="0"/>
          <tpl fld="1" item="198"/>
          <tpl fld="4" item="38"/>
        </tpls>
      </m>
      <m in="0">
        <tpls c="3">
          <tpl fld="0" item="0"/>
          <tpl fld="1" item="379"/>
          <tpl fld="4" item="39"/>
        </tpls>
      </m>
      <n v="7" in="0">
        <tpls c="3">
          <tpl fld="0" item="0"/>
          <tpl fld="1" item="20"/>
          <tpl fld="4" item="38"/>
        </tpls>
      </n>
      <m in="0">
        <tpls c="3">
          <tpl fld="0" item="0"/>
          <tpl fld="1" item="341"/>
          <tpl fld="4" item="33"/>
        </tpls>
      </m>
      <m in="0">
        <tpls c="3">
          <tpl fld="0" item="0"/>
          <tpl fld="1" item="299"/>
          <tpl fld="4" item="28"/>
        </tpls>
      </m>
      <m in="0">
        <tpls c="3">
          <tpl fld="0" item="0"/>
          <tpl fld="1" item="130"/>
          <tpl fld="4" item="35"/>
        </tpls>
      </m>
      <n v="40" in="0">
        <tpls c="3">
          <tpl fld="0" item="0"/>
          <tpl fld="1" item="280"/>
          <tpl fld="4" item="24"/>
        </tpls>
      </n>
      <m in="0">
        <tpls c="3">
          <tpl fld="0" item="0"/>
          <tpl fld="1" item="297"/>
          <tpl fld="4" item="34"/>
        </tpls>
      </m>
      <n v="1" in="0">
        <tpls c="3">
          <tpl fld="0" item="0"/>
          <tpl fld="1" item="125"/>
          <tpl fld="4" item="30"/>
        </tpls>
      </n>
      <m in="0">
        <tpls c="3">
          <tpl fld="0" item="0"/>
          <tpl fld="1" item="9"/>
          <tpl fld="4" item="30"/>
        </tpls>
      </m>
      <m in="0">
        <tpls c="3">
          <tpl fld="0" item="0"/>
          <tpl fld="1" item="316"/>
          <tpl fld="4" item="35"/>
        </tpls>
      </m>
      <m in="0">
        <tpls c="3">
          <tpl fld="0" item="0"/>
          <tpl fld="1" item="391"/>
          <tpl fld="4" item="32"/>
        </tpls>
      </m>
      <m in="0">
        <tpls c="3">
          <tpl fld="0" item="0"/>
          <tpl fld="1" item="440"/>
          <tpl fld="4" item="34"/>
        </tpls>
      </m>
      <m in="0">
        <tpls c="3">
          <tpl fld="0" item="0"/>
          <tpl fld="1" item="94"/>
          <tpl fld="4" item="30"/>
        </tpls>
      </m>
      <m in="0">
        <tpls c="3">
          <tpl fld="0" item="0"/>
          <tpl fld="1" item="355"/>
          <tpl fld="4" item="3"/>
        </tpls>
      </m>
      <m in="0">
        <tpls c="3">
          <tpl fld="0" item="0"/>
          <tpl fld="1" item="227"/>
          <tpl fld="4" item="3"/>
        </tpls>
      </m>
      <m in="0">
        <tpls c="3">
          <tpl fld="0" item="0"/>
          <tpl fld="1" item="387"/>
          <tpl fld="4" item="0"/>
        </tpls>
      </m>
      <m in="0">
        <tpls c="3">
          <tpl fld="0" item="0"/>
          <tpl fld="1" item="64"/>
          <tpl fld="4" item="3"/>
        </tpls>
      </m>
      <m in="0">
        <tpls c="3">
          <tpl fld="0" item="0"/>
          <tpl fld="1" item="343"/>
          <tpl fld="4" item="2"/>
        </tpls>
      </m>
      <m in="0">
        <tpls c="3">
          <tpl fld="0" item="0"/>
          <tpl fld="1" item="357"/>
          <tpl fld="4" item="3"/>
        </tpls>
      </m>
      <m in="0">
        <tpls c="3">
          <tpl fld="0" item="0"/>
          <tpl fld="1" item="17"/>
          <tpl fld="4" item="4"/>
        </tpls>
      </m>
      <m in="0">
        <tpls c="3">
          <tpl fld="0" item="0"/>
          <tpl fld="1" item="205"/>
          <tpl fld="4" item="3"/>
        </tpls>
      </m>
      <m in="0">
        <tpls c="3">
          <tpl fld="0" item="0"/>
          <tpl fld="1" item="157"/>
          <tpl fld="4" item="2"/>
        </tpls>
      </m>
      <m in="0">
        <tpls c="3">
          <tpl fld="0" item="0"/>
          <tpl fld="1" item="62"/>
          <tpl fld="4" item="3"/>
        </tpls>
      </m>
      <m in="0">
        <tpls c="3">
          <tpl fld="0" item="0"/>
          <tpl fld="1" item="363"/>
          <tpl fld="4" item="4"/>
        </tpls>
      </m>
      <m in="0">
        <tpls c="3">
          <tpl fld="0" item="0"/>
          <tpl fld="1" item="260"/>
          <tpl fld="4" item="3"/>
        </tpls>
      </m>
      <m in="0">
        <tpls c="3">
          <tpl fld="0" item="0"/>
          <tpl fld="1" item="80"/>
          <tpl fld="4" item="4"/>
        </tpls>
      </m>
      <m in="0">
        <tpls c="3">
          <tpl fld="0" item="0"/>
          <tpl fld="1" item="374"/>
          <tpl fld="4" item="3"/>
        </tpls>
      </m>
      <m in="0">
        <tpls c="3">
          <tpl fld="0" item="0"/>
          <tpl fld="1" item="294"/>
          <tpl fld="4" item="4"/>
        </tpls>
      </m>
      <m in="0">
        <tpls c="3">
          <tpl fld="0" item="0"/>
          <tpl fld="1" item="98"/>
          <tpl fld="4" item="3"/>
        </tpls>
      </m>
      <m in="0">
        <tpls c="3">
          <tpl fld="0" item="0"/>
          <tpl fld="1" item="130"/>
          <tpl fld="4" item="2"/>
        </tpls>
      </m>
      <m in="0">
        <tpls c="3">
          <tpl fld="0" item="0"/>
          <tpl fld="1" item="426"/>
          <tpl fld="4" item="38"/>
        </tpls>
      </m>
      <m in="0">
        <tpls c="3">
          <tpl fld="0" item="0"/>
          <tpl fld="1" item="428"/>
          <tpl fld="4" item="2"/>
        </tpls>
      </m>
      <m in="0">
        <tpls c="3">
          <tpl fld="0" item="0"/>
          <tpl fld="1" item="395"/>
          <tpl fld="4" item="38"/>
        </tpls>
      </m>
      <m in="0">
        <tpls c="3">
          <tpl fld="0" item="0"/>
          <tpl fld="1" item="204"/>
          <tpl fld="4" item="2"/>
        </tpls>
      </m>
      <m in="0">
        <tpls c="3">
          <tpl fld="0" item="0"/>
          <tpl fld="1" item="286"/>
          <tpl fld="4" item="38"/>
        </tpls>
      </m>
      <n v="75" in="0">
        <tpls c="3">
          <tpl fld="0" item="0"/>
          <tpl fld="1" item="422"/>
          <tpl fld="4" item="37"/>
        </tpls>
      </n>
      <n v="637" in="0">
        <tpls c="3">
          <tpl fld="0" item="0"/>
          <tpl fld="1" item="324"/>
          <tpl fld="4" item="36"/>
        </tpls>
      </n>
      <m in="0">
        <tpls c="3">
          <tpl fld="0" item="0"/>
          <tpl fld="1" item="380"/>
          <tpl fld="4" item="2"/>
        </tpls>
      </m>
      <m in="0">
        <tpls c="3">
          <tpl fld="0" item="0"/>
          <tpl fld="1" item="219"/>
          <tpl fld="4" item="2"/>
        </tpls>
      </m>
      <n v="2" in="0">
        <tpls c="3">
          <tpl fld="0" item="0"/>
          <tpl fld="1" item="117"/>
          <tpl fld="4" item="38"/>
        </tpls>
      </n>
      <m in="0">
        <tpls c="3">
          <tpl fld="0" item="0"/>
          <tpl fld="1" item="52"/>
          <tpl fld="4" item="38"/>
        </tpls>
      </m>
      <n v="80" in="0">
        <tpls c="3">
          <tpl fld="0" item="0"/>
          <tpl fld="1" item="174"/>
          <tpl fld="4" item="36"/>
        </tpls>
      </n>
      <m in="0">
        <tpls c="3">
          <tpl fld="0" item="0"/>
          <tpl fld="1" item="344"/>
          <tpl fld="4" item="37"/>
        </tpls>
      </m>
      <m in="0">
        <tpls c="3">
          <tpl fld="0" item="0"/>
          <tpl fld="1" item="238"/>
          <tpl fld="4" item="2"/>
        </tpls>
      </m>
      <n v="10" in="0">
        <tpls c="3">
          <tpl fld="0" item="0"/>
          <tpl fld="1" item="405"/>
          <tpl fld="4" item="36"/>
        </tpls>
      </n>
      <n v="11" in="0">
        <tpls c="3">
          <tpl fld="0" item="0"/>
          <tpl fld="1" item="105"/>
          <tpl fld="4" item="39"/>
        </tpls>
      </n>
      <n v="2" in="0">
        <tpls c="3">
          <tpl fld="0" item="0"/>
          <tpl fld="1" item="61"/>
          <tpl fld="4" item="37"/>
        </tpls>
      </n>
      <n v="97" in="0">
        <tpls c="3">
          <tpl fld="0" item="0"/>
          <tpl fld="1" item="125"/>
          <tpl fld="4" item="36"/>
        </tpls>
      </n>
      <m in="0">
        <tpls c="3">
          <tpl fld="0" item="0"/>
          <tpl fld="1" item="340"/>
          <tpl fld="4" item="37"/>
        </tpls>
      </m>
      <n v="3" in="0">
        <tpls c="3">
          <tpl fld="0" item="0"/>
          <tpl fld="1" item="55"/>
          <tpl fld="4" item="36"/>
        </tpls>
      </n>
      <m in="0">
        <tpls c="3">
          <tpl fld="0" item="0"/>
          <tpl fld="1" item="218"/>
          <tpl fld="4" item="37"/>
        </tpls>
      </m>
      <m in="0">
        <tpls c="3">
          <tpl fld="0" item="0"/>
          <tpl fld="1" item="158"/>
          <tpl fld="4" item="37"/>
        </tpls>
      </m>
      <n v="13" in="0">
        <tpls c="3">
          <tpl fld="0" item="0"/>
          <tpl fld="1" item="111"/>
          <tpl fld="4" item="38"/>
        </tpls>
      </n>
      <n v="80" in="0">
        <tpls c="3">
          <tpl fld="0" item="0"/>
          <tpl fld="1" item="7"/>
          <tpl fld="4" item="41"/>
        </tpls>
      </n>
      <m in="0">
        <tpls c="3">
          <tpl fld="0" item="0"/>
          <tpl fld="1" item="169"/>
          <tpl fld="4" item="38"/>
        </tpls>
      </m>
      <m in="0">
        <tpls c="3">
          <tpl fld="0" item="0"/>
          <tpl fld="1" item="448"/>
          <tpl fld="4" item="41"/>
        </tpls>
      </m>
      <m in="0">
        <tpls c="3">
          <tpl fld="0" item="0"/>
          <tpl fld="1" item="167"/>
          <tpl fld="4" item="38"/>
        </tpls>
      </m>
      <n v="26" in="0">
        <tpls c="3">
          <tpl fld="0" item="0"/>
          <tpl fld="1" item="455"/>
          <tpl fld="4" item="41"/>
        </tpls>
      </n>
      <m in="0">
        <tpls c="3">
          <tpl fld="0" item="0"/>
          <tpl fld="1" item="133"/>
          <tpl fld="4" item="38"/>
        </tpls>
      </m>
      <n v="3" in="0">
        <tpls c="3">
          <tpl fld="0" item="0"/>
          <tpl fld="1" item="208"/>
          <tpl fld="4" item="40"/>
        </tpls>
      </n>
      <m in="0">
        <tpls c="3">
          <tpl fld="0" item="0"/>
          <tpl fld="1" item="381"/>
          <tpl fld="4" item="35"/>
        </tpls>
      </m>
      <m in="0">
        <tpls c="3">
          <tpl fld="0" item="0"/>
          <tpl fld="1" item="207"/>
          <tpl fld="4" item="34"/>
        </tpls>
      </m>
      <m in="0">
        <tpls c="3">
          <tpl fld="0" item="0"/>
          <tpl fld="1" item="190"/>
          <tpl fld="4" item="32"/>
        </tpls>
      </m>
      <m in="0">
        <tpls c="3">
          <tpl fld="0" item="0"/>
          <tpl fld="1" item="121"/>
          <tpl fld="4" item="30"/>
        </tpls>
      </m>
      <m in="0">
        <tpls c="3">
          <tpl fld="0" item="0"/>
          <tpl fld="1" item="167"/>
          <tpl fld="4" item="35"/>
        </tpls>
      </m>
      <n v="545" in="0">
        <tpls c="3">
          <tpl fld="0" item="0"/>
          <tpl fld="1" item="105"/>
          <tpl fld="4" item="25"/>
        </tpls>
      </n>
      <m in="0">
        <tpls c="3">
          <tpl fld="0" item="0"/>
          <tpl fld="1" item="53"/>
          <tpl fld="4" item="35"/>
        </tpls>
      </m>
      <m in="0">
        <tpls c="3">
          <tpl fld="0" item="0"/>
          <tpl fld="1" item="24"/>
          <tpl fld="4" item="35"/>
        </tpls>
      </m>
      <m in="0">
        <tpls c="3">
          <tpl fld="0" item="0"/>
          <tpl fld="1" item="149"/>
          <tpl fld="4" item="34"/>
        </tpls>
      </m>
      <m in="0">
        <tpls c="3">
          <tpl fld="0" item="0"/>
          <tpl fld="1" item="190"/>
          <tpl fld="4" item="35"/>
        </tpls>
      </m>
      <m in="0">
        <tpls c="3">
          <tpl fld="0" item="0"/>
          <tpl fld="1" item="68"/>
          <tpl fld="4" item="0"/>
        </tpls>
      </m>
      <m in="0">
        <tpls c="3">
          <tpl fld="0" item="0"/>
          <tpl fld="1" item="434"/>
          <tpl fld="4" item="0"/>
        </tpls>
      </m>
      <m in="0">
        <tpls c="3">
          <tpl fld="0" item="0"/>
          <tpl fld="1" item="435"/>
          <tpl fld="4" item="0"/>
        </tpls>
      </m>
      <m in="0">
        <tpls c="3">
          <tpl fld="0" item="0"/>
          <tpl fld="1" item="224"/>
          <tpl fld="4" item="3"/>
        </tpls>
      </m>
      <m in="0">
        <tpls c="3">
          <tpl fld="0" item="0"/>
          <tpl fld="1" item="348"/>
          <tpl fld="4" item="4"/>
        </tpls>
      </m>
      <m in="0">
        <tpls c="3">
          <tpl fld="0" item="0"/>
          <tpl fld="1" item="234"/>
          <tpl fld="4" item="0"/>
        </tpls>
      </m>
      <m in="0">
        <tpls c="3">
          <tpl fld="0" item="0"/>
          <tpl fld="1" item="307"/>
          <tpl fld="4" item="3"/>
        </tpls>
      </m>
      <m in="0">
        <tpls c="3">
          <tpl fld="0" item="0"/>
          <tpl fld="1" item="362"/>
          <tpl fld="4" item="36"/>
        </tpls>
      </m>
      <m in="0">
        <tpls c="3">
          <tpl fld="0" item="0"/>
          <tpl fld="1" item="401"/>
          <tpl fld="4" item="4"/>
        </tpls>
      </m>
      <m in="0">
        <tpls c="3">
          <tpl fld="0" item="0"/>
          <tpl fld="1" item="61"/>
          <tpl fld="4" item="0"/>
        </tpls>
      </m>
      <m in="0">
        <tpls c="3">
          <tpl fld="0" item="0"/>
          <tpl fld="1" item="42"/>
          <tpl fld="4" item="3"/>
        </tpls>
      </m>
      <m in="0">
        <tpls c="3">
          <tpl fld="0" item="0"/>
          <tpl fld="1" item="285"/>
          <tpl fld="4" item="4"/>
        </tpls>
      </m>
      <m in="0">
        <tpls c="3">
          <tpl fld="0" item="0"/>
          <tpl fld="1" item="142"/>
          <tpl fld="4" item="3"/>
        </tpls>
      </m>
      <m in="0">
        <tpls c="3">
          <tpl fld="0" item="0"/>
          <tpl fld="1" item="248"/>
          <tpl fld="4" item="4"/>
        </tpls>
      </m>
      <m in="0">
        <tpls c="3">
          <tpl fld="0" item="0"/>
          <tpl fld="1" item="384"/>
          <tpl fld="4" item="3"/>
        </tpls>
      </m>
      <m in="0">
        <tpls c="3">
          <tpl fld="0" item="0"/>
          <tpl fld="1" item="150"/>
          <tpl fld="4" item="2"/>
        </tpls>
      </m>
      <m in="0">
        <tpls c="3">
          <tpl fld="0" item="0"/>
          <tpl fld="1" item="393"/>
          <tpl fld="4" item="4"/>
        </tpls>
      </m>
      <m in="0">
        <tpls c="3">
          <tpl fld="0" item="0"/>
          <tpl fld="1" item="394"/>
          <tpl fld="4" item="36"/>
        </tpls>
      </m>
      <m in="0">
        <tpls c="3">
          <tpl fld="0" item="0"/>
          <tpl fld="1" item="271"/>
          <tpl fld="4" item="4"/>
        </tpls>
      </m>
      <n v="27" in="0">
        <tpls c="3">
          <tpl fld="0" item="0"/>
          <tpl fld="1" item="277"/>
          <tpl fld="4" item="36"/>
        </tpls>
      </n>
      <m in="0">
        <tpls c="3">
          <tpl fld="0" item="0"/>
          <tpl fld="1" item="139"/>
          <tpl fld="4" item="4"/>
        </tpls>
      </m>
      <m in="0">
        <tpls c="3">
          <tpl fld="0" item="0"/>
          <tpl fld="1" item="257"/>
          <tpl fld="4" item="36"/>
        </tpls>
      </m>
      <n v="44" in="0">
        <tpls c="3">
          <tpl fld="0" item="0"/>
          <tpl fld="1" item="322"/>
          <tpl fld="4" item="36"/>
        </tpls>
      </n>
      <m in="0">
        <tpls c="3">
          <tpl fld="0" item="0"/>
          <tpl fld="1" item="418"/>
          <tpl fld="4" item="2"/>
        </tpls>
      </m>
      <m in="0">
        <tpls c="3">
          <tpl fld="0" item="0"/>
          <tpl fld="1" item="379"/>
          <tpl fld="4" item="4"/>
        </tpls>
      </m>
      <m in="0">
        <tpls c="3">
          <tpl fld="0" item="0"/>
          <tpl fld="1" item="436"/>
          <tpl fld="4" item="36"/>
        </tpls>
      </m>
      <n v="17" in="0">
        <tpls c="3">
          <tpl fld="0" item="0"/>
          <tpl fld="1" item="121"/>
          <tpl fld="4" item="36"/>
        </tpls>
      </n>
      <n v="9" in="0">
        <tpls c="3">
          <tpl fld="0" item="0"/>
          <tpl fld="1" item="383"/>
          <tpl fld="4" item="37"/>
        </tpls>
      </n>
      <m in="0">
        <tpls c="3">
          <tpl fld="0" item="0"/>
          <tpl fld="1" item="179"/>
          <tpl fld="4" item="2"/>
        </tpls>
      </m>
      <m in="0">
        <tpls c="3">
          <tpl fld="0" item="0"/>
          <tpl fld="1" item="15"/>
          <tpl fld="4" item="36"/>
        </tpls>
      </m>
      <m in="0">
        <tpls c="3">
          <tpl fld="0" item="0"/>
          <tpl fld="1" item="181"/>
          <tpl fld="4" item="38"/>
        </tpls>
      </m>
      <m in="0">
        <tpls c="3">
          <tpl fld="0" item="0"/>
          <tpl fld="3" item="0"/>
          <tpl fld="4" item="36"/>
        </tpls>
      </m>
      <m in="0">
        <tpls c="3">
          <tpl fld="0" item="0"/>
          <tpl fld="1" item="59"/>
          <tpl fld="4" item="37"/>
        </tpls>
      </m>
      <m in="0">
        <tpls c="3">
          <tpl fld="0" item="0"/>
          <tpl fld="1" item="307"/>
          <tpl fld="4" item="36"/>
        </tpls>
      </m>
      <m in="0">
        <tpls c="3">
          <tpl fld="0" item="0"/>
          <tpl fld="1" item="236"/>
          <tpl fld="4" item="39"/>
        </tpls>
      </m>
      <m in="0">
        <tpls c="3">
          <tpl fld="0" item="0"/>
          <tpl fld="1" item="176"/>
          <tpl fld="4" item="36"/>
        </tpls>
      </m>
      <m in="0">
        <tpls c="3">
          <tpl fld="0" item="0"/>
          <tpl fld="1" item="95"/>
          <tpl fld="4" item="39"/>
        </tpls>
      </m>
      <m in="0">
        <tpls c="3">
          <tpl fld="0" item="0"/>
          <tpl fld="1" item="75"/>
          <tpl fld="4" item="35"/>
        </tpls>
      </m>
      <m in="0">
        <tpls c="3">
          <tpl fld="0" item="0"/>
          <tpl fld="1" item="308"/>
          <tpl fld="4" item="34"/>
        </tpls>
      </m>
      <m in="0">
        <tpls c="3">
          <tpl fld="0" item="0"/>
          <tpl fld="1" item="216"/>
          <tpl fld="4" item="34"/>
        </tpls>
      </m>
      <m in="0">
        <tpls c="3">
          <tpl fld="0" item="0"/>
          <tpl fld="1" item="260"/>
          <tpl fld="4" item="34"/>
        </tpls>
      </m>
      <m in="0">
        <tpls c="3">
          <tpl fld="0" item="0"/>
          <tpl fld="1" item="296"/>
          <tpl fld="4" item="35"/>
        </tpls>
      </m>
      <n v="436" in="0">
        <tpls c="3">
          <tpl fld="0" item="0"/>
          <tpl fld="1" item="452"/>
          <tpl fld="4" item="24"/>
        </tpls>
      </n>
      <m in="0">
        <tpls c="3">
          <tpl fld="0" item="0"/>
          <tpl fld="1" item="375"/>
          <tpl fld="4" item="35"/>
        </tpls>
      </m>
      <m in="0">
        <tpls c="3">
          <tpl fld="0" item="0"/>
          <tpl fld="1" item="414"/>
          <tpl fld="4" item="28"/>
        </tpls>
      </m>
      <m in="0">
        <tpls c="3">
          <tpl fld="0" item="0"/>
          <tpl fld="1" item="126"/>
          <tpl fld="4" item="34"/>
        </tpls>
      </m>
      <m in="0">
        <tpls c="3">
          <tpl fld="0" item="0"/>
          <tpl fld="1" item="112"/>
          <tpl fld="4" item="35"/>
        </tpls>
      </m>
      <m in="0">
        <tpls c="3">
          <tpl fld="0" item="0"/>
          <tpl fld="1" item="145"/>
          <tpl fld="4" item="0"/>
        </tpls>
      </m>
      <m in="0">
        <tpls c="3">
          <tpl fld="0" item="0"/>
          <tpl fld="1" item="35"/>
          <tpl fld="4" item="0"/>
        </tpls>
      </m>
      <m in="0">
        <tpls c="3">
          <tpl fld="0" item="0"/>
          <tpl fld="1" item="401"/>
          <tpl fld="4" item="0"/>
        </tpls>
      </m>
      <m in="0">
        <tpls c="3">
          <tpl fld="0" item="0"/>
          <tpl fld="1" item="299"/>
          <tpl fld="4" item="3"/>
        </tpls>
      </m>
      <m in="0">
        <tpls c="3">
          <tpl fld="0" item="0"/>
          <tpl fld="1" item="87"/>
          <tpl fld="4" item="4"/>
        </tpls>
      </m>
      <m in="0">
        <tpls c="3">
          <tpl fld="0" item="0"/>
          <tpl fld="1" item="318"/>
          <tpl fld="4" item="3"/>
        </tpls>
      </m>
      <m in="0">
        <tpls c="3">
          <tpl fld="0" item="0"/>
          <tpl fld="1" item="218"/>
          <tpl fld="4" item="4"/>
        </tpls>
      </m>
      <m in="0">
        <tpls c="3">
          <tpl fld="0" item="0"/>
          <tpl fld="1" item="361"/>
          <tpl fld="4" item="3"/>
        </tpls>
      </m>
      <m in="0">
        <tpls c="3">
          <tpl fld="0" item="0"/>
          <tpl fld="1" item="357"/>
          <tpl fld="4" item="4"/>
        </tpls>
      </m>
      <m in="0">
        <tpls c="3">
          <tpl fld="0" item="0"/>
          <tpl fld="1" item="351"/>
          <tpl fld="4" item="0"/>
        </tpls>
      </m>
      <m in="0">
        <tpls c="3">
          <tpl fld="0" item="0"/>
          <tpl fld="1" item="187"/>
          <tpl fld="4" item="3"/>
        </tpls>
      </m>
      <m in="0">
        <tpls c="3">
          <tpl fld="0" item="0"/>
          <tpl fld="1" item="131"/>
          <tpl fld="4" item="2"/>
        </tpls>
      </m>
      <m in="0">
        <tpls c="3">
          <tpl fld="0" item="0"/>
          <tpl fld="1" item="189"/>
          <tpl fld="4" item="3"/>
        </tpls>
      </m>
      <m in="0">
        <tpls c="3">
          <tpl fld="0" item="0"/>
          <tpl fld="1" item="209"/>
          <tpl fld="4" item="2"/>
        </tpls>
      </m>
      <m in="0">
        <tpls c="3">
          <tpl fld="0" item="0"/>
          <tpl fld="1" item="403"/>
          <tpl fld="4" item="3"/>
        </tpls>
      </m>
      <m in="0">
        <tpls c="3">
          <tpl fld="0" item="0"/>
          <tpl fld="1" item="23"/>
          <tpl fld="4" item="2"/>
        </tpls>
      </m>
      <m in="0">
        <tpls c="3">
          <tpl fld="0" item="0"/>
          <tpl fld="1" item="369"/>
          <tpl fld="4" item="4"/>
        </tpls>
      </m>
      <n v="3" in="0">
        <tpls c="3">
          <tpl fld="0" item="0"/>
          <tpl fld="1" item="151"/>
          <tpl fld="4" item="36"/>
        </tpls>
      </n>
      <m in="0">
        <tpls c="3">
          <tpl fld="0" item="0"/>
          <tpl fld="1" item="399"/>
          <tpl fld="4" item="4"/>
        </tpls>
      </m>
      <m in="0">
        <tpls c="3">
          <tpl fld="0" item="0"/>
          <tpl fld="1" item="423"/>
          <tpl fld="4" item="36"/>
        </tpls>
      </m>
      <m in="0">
        <tpls c="3">
          <tpl fld="0" item="0"/>
          <tpl fld="1" item="320"/>
          <tpl fld="4" item="4"/>
        </tpls>
      </m>
      <n v="13" in="0">
        <tpls c="3">
          <tpl fld="0" item="0"/>
          <tpl fld="1" item="126"/>
          <tpl fld="4" item="36"/>
        </tpls>
      </n>
      <n v="214" in="0">
        <tpls c="3">
          <tpl fld="0" item="0"/>
          <tpl fld="1" item="183"/>
          <tpl fld="4" item="36"/>
        </tpls>
      </n>
      <m in="0">
        <tpls c="3">
          <tpl fld="0" item="0"/>
          <tpl fld="1" item="217"/>
          <tpl fld="4" item="2"/>
        </tpls>
      </m>
      <m in="0">
        <tpls c="3">
          <tpl fld="0" item="0"/>
          <tpl fld="1" item="260"/>
          <tpl fld="4" item="2"/>
        </tpls>
      </m>
      <n v="75" in="0">
        <tpls c="3">
          <tpl fld="0" item="0"/>
          <tpl fld="1" item="187"/>
          <tpl fld="4" item="36"/>
        </tpls>
      </n>
      <m in="0">
        <tpls c="3">
          <tpl fld="0" item="0"/>
          <tpl fld="1" item="229"/>
          <tpl fld="4" item="36"/>
        </tpls>
      </m>
      <n v="26" in="0">
        <tpls c="3">
          <tpl fld="0" item="0"/>
          <tpl fld="1" item="419"/>
          <tpl fld="4" item="37"/>
        </tpls>
      </n>
      <m in="0">
        <tpls c="3">
          <tpl fld="0" item="0"/>
          <tpl fld="1" item="403"/>
          <tpl fld="4" item="2"/>
        </tpls>
      </m>
      <n v="479" in="0">
        <tpls c="3">
          <tpl fld="0" item="0"/>
          <tpl fld="1" item="87"/>
          <tpl fld="4" item="37"/>
        </tpls>
      </n>
      <m in="0">
        <tpls c="3">
          <tpl fld="0" item="0"/>
          <tpl fld="1" item="296"/>
          <tpl fld="4" item="39"/>
        </tpls>
      </m>
      <n v="17" in="0">
        <tpls c="3">
          <tpl fld="0" item="0"/>
          <tpl fld="1" item="172"/>
          <tpl fld="4" item="36"/>
        </tpls>
      </n>
      <n v="18" in="0">
        <tpls c="3">
          <tpl fld="0" item="0"/>
          <tpl fld="1" item="325"/>
          <tpl fld="4" item="37"/>
        </tpls>
      </n>
      <n v="48" in="0">
        <tpls c="3">
          <tpl fld="0" item="0"/>
          <tpl fld="1" item="326"/>
          <tpl fld="4" item="37"/>
        </tpls>
      </n>
      <n v="5" in="0">
        <tpls c="3">
          <tpl fld="0" item="0"/>
          <tpl fld="1" item="180"/>
          <tpl fld="4" item="36"/>
        </tpls>
      </n>
      <n v="2" in="0">
        <tpls c="3">
          <tpl fld="0" item="0"/>
          <tpl fld="1" item="412"/>
          <tpl fld="4" item="37"/>
        </tpls>
      </n>
      <m in="0">
        <tpls c="3">
          <tpl fld="0" item="0"/>
          <tpl fld="1" item="303"/>
          <tpl fld="4" item="2"/>
        </tpls>
      </m>
      <n v="11" in="0">
        <tpls c="3">
          <tpl fld="0" item="0"/>
          <tpl fld="1" item="9"/>
          <tpl fld="4" item="36"/>
        </tpls>
      </n>
      <m in="0">
        <tpls c="3">
          <tpl fld="0" item="0"/>
          <tpl fld="1" item="241"/>
          <tpl fld="4" item="38"/>
        </tpls>
      </m>
      <n v="2" in="0">
        <tpls c="3">
          <tpl fld="0" item="0"/>
          <tpl fld="1" item="219"/>
          <tpl fld="4" item="38"/>
        </tpls>
      </n>
      <m in="0">
        <tpls c="3">
          <tpl fld="0" item="0"/>
          <tpl fld="1" item="321"/>
          <tpl fld="4" item="39"/>
        </tpls>
      </m>
      <m in="0">
        <tpls c="3">
          <tpl fld="0" item="0"/>
          <tpl fld="1" item="448"/>
          <tpl fld="4" item="38"/>
        </tpls>
      </m>
      <n v="2" in="0">
        <tpls c="3">
          <tpl fld="0" item="0"/>
          <tpl fld="1" item="411"/>
          <tpl fld="4" item="39"/>
        </tpls>
      </n>
      <m in="0">
        <tpls c="3">
          <tpl fld="0" item="0"/>
          <tpl fld="1" item="432"/>
          <tpl fld="4" item="38"/>
        </tpls>
      </m>
      <m in="0">
        <tpls c="3">
          <tpl fld="0" item="0"/>
          <tpl fld="1" item="388"/>
          <tpl fld="4" item="39"/>
        </tpls>
      </m>
      <m in="0">
        <tpls c="3">
          <tpl fld="0" item="0"/>
          <tpl fld="1" item="2"/>
          <tpl fld="4" item="38"/>
        </tpls>
      </m>
      <n v="41" in="0">
        <tpls c="3">
          <tpl fld="0" item="0"/>
          <tpl fld="1" item="266"/>
          <tpl fld="4" item="39"/>
        </tpls>
      </n>
      <m in="0">
        <tpls c="3">
          <tpl fld="0" item="0"/>
          <tpl fld="1" item="336"/>
          <tpl fld="4" item="38"/>
        </tpls>
      </m>
      <m in="0">
        <tpls c="3">
          <tpl fld="0" item="0"/>
          <tpl fld="1" item="384"/>
          <tpl fld="4" item="40"/>
        </tpls>
      </m>
      <m in="0">
        <tpls c="3">
          <tpl fld="0" item="0"/>
          <tpl fld="1" item="178"/>
          <tpl fld="4" item="39"/>
        </tpls>
      </m>
      <m in="0">
        <tpls c="3">
          <tpl fld="0" item="0"/>
          <tpl fld="1" item="103"/>
          <tpl fld="4" item="39"/>
        </tpls>
      </m>
      <m in="0">
        <tpls c="3">
          <tpl fld="0" item="0"/>
          <tpl fld="1" item="72"/>
          <tpl fld="4" item="35"/>
        </tpls>
      </m>
      <m in="0">
        <tpls c="3">
          <tpl fld="0" item="0"/>
          <tpl fld="1" item="248"/>
          <tpl fld="4" item="27"/>
        </tpls>
      </m>
      <n v="1" in="0">
        <tpls c="3">
          <tpl fld="0" item="0"/>
          <tpl fld="1" item="347"/>
          <tpl fld="4" item="35"/>
        </tpls>
      </n>
      <m in="0">
        <tpls c="3">
          <tpl fld="0" item="0"/>
          <tpl fld="1" item="240"/>
          <tpl fld="4" item="35"/>
        </tpls>
      </m>
      <m in="0">
        <tpls c="3">
          <tpl fld="0" item="0"/>
          <tpl fld="1" item="158"/>
          <tpl fld="4" item="34"/>
        </tpls>
      </m>
      <m in="0">
        <tpls c="3">
          <tpl fld="0" item="0"/>
          <tpl fld="1" item="70"/>
          <tpl fld="4" item="35"/>
        </tpls>
      </m>
      <n v="7" in="0">
        <tpls c="3">
          <tpl fld="0" item="0"/>
          <tpl fld="1" item="331"/>
          <tpl fld="4" item="33"/>
        </tpls>
      </n>
      <m in="0">
        <tpls c="3">
          <tpl fld="0" item="0"/>
          <tpl fld="1" item="151"/>
          <tpl fld="4" item="35"/>
        </tpls>
      </m>
      <m in="0">
        <tpls c="3">
          <tpl fld="0" item="0"/>
          <tpl fld="1" item="19"/>
          <tpl fld="4" item="29"/>
        </tpls>
      </m>
      <m in="0">
        <tpls c="3">
          <tpl fld="0" item="0"/>
          <tpl fld="1" item="134"/>
          <tpl fld="4" item="34"/>
        </tpls>
      </m>
      <m in="0">
        <tpls c="3">
          <tpl fld="0" item="0"/>
          <tpl fld="1" item="349"/>
          <tpl fld="4" item="25"/>
        </tpls>
      </m>
      <m in="0">
        <tpls c="3">
          <tpl fld="0" item="0"/>
          <tpl fld="1" item="379"/>
          <tpl fld="4" item="0"/>
        </tpls>
      </m>
      <m in="0">
        <tpls c="3">
          <tpl fld="0" item="0"/>
          <tpl fld="1" item="343"/>
          <tpl fld="4" item="0"/>
        </tpls>
      </m>
      <m in="0">
        <tpls c="3">
          <tpl fld="0" item="0"/>
          <tpl fld="1" item="97"/>
          <tpl fld="4" item="0"/>
        </tpls>
      </m>
      <m in="0">
        <tpls c="3">
          <tpl fld="0" item="0"/>
          <tpl fld="1" item="139"/>
          <tpl fld="4" item="3"/>
        </tpls>
      </m>
      <m in="0">
        <tpls c="3">
          <tpl fld="0" item="0"/>
          <tpl fld="1" item="34"/>
          <tpl fld="4" item="2"/>
        </tpls>
      </m>
      <m in="0">
        <tpls c="3">
          <tpl fld="0" item="0"/>
          <tpl fld="1" item="106"/>
          <tpl fld="4" item="3"/>
        </tpls>
      </m>
      <m in="0">
        <tpls c="3">
          <tpl fld="0" item="0"/>
          <tpl fld="1" item="103"/>
          <tpl fld="4" item="4"/>
        </tpls>
      </m>
      <m in="0">
        <tpls c="3">
          <tpl fld="0" item="0"/>
          <tpl fld="1" item="263"/>
          <tpl fld="4" item="3"/>
        </tpls>
      </m>
      <m in="0">
        <tpls c="3">
          <tpl fld="0" item="0"/>
          <tpl fld="1" item="33"/>
          <tpl fld="4" item="2"/>
        </tpls>
      </m>
      <m in="0">
        <tpls c="3">
          <tpl fld="0" item="0"/>
          <tpl fld="1" item="378"/>
          <tpl fld="4" item="0"/>
        </tpls>
      </m>
      <m in="0">
        <tpls c="3">
          <tpl fld="0" item="0"/>
          <tpl fld="1" item="306"/>
          <tpl fld="4" item="3"/>
        </tpls>
      </m>
      <m in="0">
        <tpls c="3">
          <tpl fld="0" item="0"/>
          <tpl fld="1" item="289"/>
          <tpl fld="4" item="2"/>
        </tpls>
      </m>
      <m in="0">
        <tpls c="3">
          <tpl fld="0" item="0"/>
          <tpl fld="1" item="417"/>
          <tpl fld="4" item="3"/>
        </tpls>
      </m>
      <m in="0">
        <tpls c="3">
          <tpl fld="0" item="0"/>
          <tpl fld="1" item="148"/>
          <tpl fld="4" item="2"/>
        </tpls>
      </m>
      <m in="0">
        <tpls c="3">
          <tpl fld="0" item="0"/>
          <tpl fld="1" item="341"/>
          <tpl fld="4" item="4"/>
        </tpls>
      </m>
      <m in="0">
        <tpls c="3">
          <tpl fld="0" item="0"/>
          <tpl fld="1" item="154"/>
          <tpl fld="4" item="3"/>
        </tpls>
      </m>
      <m in="0">
        <tpls c="3">
          <tpl fld="0" item="0"/>
          <tpl fld="1" item="91"/>
          <tpl fld="4" item="4"/>
        </tpls>
      </m>
      <n v="2" in="0">
        <tpls c="3">
          <tpl fld="0" item="0"/>
          <tpl fld="1" item="283"/>
          <tpl fld="4" item="36"/>
        </tpls>
      </n>
      <m in="0">
        <tpls c="3">
          <tpl fld="0" item="0"/>
          <tpl fld="1" item="108"/>
          <tpl fld="4" item="2"/>
        </tpls>
      </m>
      <m in="0">
        <tpls c="3">
          <tpl fld="0" item="0"/>
          <tpl fld="1" item="387"/>
          <tpl fld="4" item="37"/>
        </tpls>
      </m>
      <m in="0">
        <tpls c="3">
          <tpl fld="0" item="0"/>
          <tpl fld="1" item="394"/>
          <tpl fld="4" item="2"/>
        </tpls>
      </m>
      <n v="128" in="0">
        <tpls c="3">
          <tpl fld="0" item="0"/>
          <tpl fld="1" item="139"/>
          <tpl fld="4" item="37"/>
        </tpls>
      </n>
      <n v="1" in="0">
        <tpls c="3">
          <tpl fld="0" item="0"/>
          <tpl fld="1" item="284"/>
          <tpl fld="4" item="36"/>
        </tpls>
      </n>
      <n v="25" in="0">
        <tpls c="3">
          <tpl fld="0" item="0"/>
          <tpl fld="1" item="231"/>
          <tpl fld="4" item="36"/>
        </tpls>
      </n>
      <m in="0">
        <tpls c="3">
          <tpl fld="0" item="0"/>
          <tpl fld="1" item="294"/>
          <tpl fld="4" item="2"/>
        </tpls>
      </m>
      <m in="0">
        <tpls c="3">
          <tpl fld="0" item="0"/>
          <tpl fld="1" item="327"/>
          <tpl fld="4" item="37"/>
        </tpls>
      </m>
      <m in="0">
        <tpls c="3">
          <tpl fld="0" item="0"/>
          <tpl fld="1" item="295"/>
          <tpl fld="4" item="37"/>
        </tpls>
      </m>
      <m in="0">
        <tpls c="3">
          <tpl fld="0" item="0"/>
          <tpl fld="1" item="86"/>
          <tpl fld="4" item="37"/>
        </tpls>
      </m>
      <n v="181" in="0">
        <tpls c="3">
          <tpl fld="0" item="0"/>
          <tpl fld="1" item="409"/>
          <tpl fld="4" item="36"/>
        </tpls>
      </n>
      <m in="0">
        <tpls c="3">
          <tpl fld="0" item="0"/>
          <tpl fld="1" item="46"/>
          <tpl fld="4" item="37"/>
        </tpls>
      </m>
      <m in="0">
        <tpls c="3">
          <tpl fld="0" item="0"/>
          <tpl fld="1" item="385"/>
          <tpl fld="4" item="2"/>
        </tpls>
      </m>
      <m in="0">
        <tpls c="3">
          <tpl fld="0" item="0"/>
          <tpl fld="1" item="168"/>
          <tpl fld="4" item="36"/>
        </tpls>
      </m>
      <m in="0">
        <tpls c="3">
          <tpl fld="0" item="0"/>
          <tpl fld="1" item="412"/>
          <tpl fld="4" item="38"/>
        </tpls>
      </m>
      <m in="0">
        <tpls c="3">
          <tpl fld="0" item="0"/>
          <tpl fld="1" item="58"/>
          <tpl fld="4" item="37"/>
        </tpls>
      </m>
      <n v="36" in="0">
        <tpls c="3">
          <tpl fld="0" item="0"/>
          <tpl fld="1" item="163"/>
          <tpl fld="4" item="36"/>
        </tpls>
      </n>
      <n v="25" in="0">
        <tpls c="3">
          <tpl fld="0" item="0"/>
          <tpl fld="1" item="227"/>
          <tpl fld="4" item="37"/>
        </tpls>
      </n>
      <m in="0">
        <tpls c="3">
          <tpl fld="0" item="0"/>
          <tpl fld="1" item="140"/>
          <tpl fld="4" item="2"/>
        </tpls>
      </m>
      <n v="72" in="0">
        <tpls c="3">
          <tpl fld="0" item="0"/>
          <tpl fld="1" item="140"/>
          <tpl fld="4" item="36"/>
        </tpls>
      </n>
      <m in="0">
        <tpls c="3">
          <tpl fld="0" item="0"/>
          <tpl fld="1" item="95"/>
          <tpl fld="4" item="38"/>
        </tpls>
      </m>
      <n v="8" in="0">
        <tpls c="3">
          <tpl fld="0" item="0"/>
          <tpl fld="1" item="230"/>
          <tpl fld="4" item="38"/>
        </tpls>
      </n>
      <n v="6" in="0">
        <tpls c="3">
          <tpl fld="0" item="0"/>
          <tpl fld="1" item="227"/>
          <tpl fld="4" item="40"/>
        </tpls>
      </n>
      <m in="0">
        <tpls c="3">
          <tpl fld="0" item="0"/>
          <tpl fld="1" item="151"/>
          <tpl fld="4" item="38"/>
        </tpls>
      </m>
      <m in="0">
        <tpls c="3">
          <tpl fld="0" item="0"/>
          <tpl fld="1" item="109"/>
          <tpl fld="4" item="34"/>
        </tpls>
      </m>
      <m in="0">
        <tpls c="3">
          <tpl fld="0" item="0"/>
          <tpl fld="1" item="21"/>
          <tpl fld="4" item="30"/>
        </tpls>
      </m>
      <m in="0">
        <tpls c="3">
          <tpl fld="0" item="0"/>
          <tpl fld="1" item="134"/>
          <tpl fld="4" item="35"/>
        </tpls>
      </m>
      <m in="0">
        <tpls c="3">
          <tpl fld="0" item="0"/>
          <tpl fld="1" item="368"/>
          <tpl fld="4" item="31"/>
        </tpls>
      </m>
      <m in="0">
        <tpls c="3">
          <tpl fld="0" item="0"/>
          <tpl fld="1" item="277"/>
          <tpl fld="4" item="35"/>
        </tpls>
      </m>
      <m in="0">
        <tpls c="3">
          <tpl fld="0" item="0"/>
          <tpl fld="1" item="448"/>
          <tpl fld="4" item="35"/>
        </tpls>
      </m>
      <m in="0">
        <tpls c="3">
          <tpl fld="0" item="0"/>
          <tpl fld="1" item="244"/>
          <tpl fld="4" item="34"/>
        </tpls>
      </m>
      <m in="0">
        <tpls c="3">
          <tpl fld="0" item="0"/>
          <tpl fld="1" item="307"/>
          <tpl fld="4" item="35"/>
        </tpls>
      </m>
      <m in="0">
        <tpls c="3">
          <tpl fld="0" item="0"/>
          <tpl fld="1" item="154"/>
          <tpl fld="4" item="33"/>
        </tpls>
      </m>
      <m in="0">
        <tpls c="3">
          <tpl fld="0" item="0"/>
          <tpl fld="1" item="116"/>
          <tpl fld="4" item="35"/>
        </tpls>
      </m>
      <m in="0">
        <tpls c="3">
          <tpl fld="0" item="0"/>
          <tpl fld="1" item="403"/>
          <tpl fld="4" item="35"/>
        </tpls>
      </m>
      <m in="0">
        <tpls c="3">
          <tpl fld="0" item="0"/>
          <tpl fld="1" item="278"/>
          <tpl fld="4" item="4"/>
        </tpls>
      </m>
      <m in="0">
        <tpls c="3">
          <tpl fld="0" item="0"/>
          <tpl fld="1" item="151"/>
          <tpl fld="4" item="4"/>
        </tpls>
      </m>
      <m in="0">
        <tpls c="3">
          <tpl fld="0" item="0"/>
          <tpl fld="1" item="152"/>
          <tpl fld="4" item="3"/>
        </tpls>
      </m>
      <m in="0">
        <tpls c="3">
          <tpl fld="0" item="0"/>
          <tpl fld="1" item="412"/>
          <tpl fld="4" item="4"/>
        </tpls>
      </m>
      <m in="0">
        <tpls c="3">
          <tpl fld="0" item="0"/>
          <tpl fld="1" item="356"/>
          <tpl fld="4" item="0"/>
        </tpls>
      </m>
      <m in="0">
        <tpls c="3">
          <tpl fld="0" item="0"/>
          <tpl fld="1" item="455"/>
          <tpl fld="4" item="3"/>
        </tpls>
      </m>
      <m in="0">
        <tpls c="3">
          <tpl fld="0" item="0"/>
          <tpl fld="1" item="263"/>
          <tpl fld="4" item="4"/>
        </tpls>
      </m>
      <m in="0">
        <tpls c="3">
          <tpl fld="0" item="0"/>
          <tpl fld="1" item="123"/>
          <tpl fld="4" item="4"/>
        </tpls>
      </m>
      <m in="0">
        <tpls c="3">
          <tpl fld="0" item="0"/>
          <tpl fld="1" item="192"/>
          <tpl fld="4" item="0"/>
        </tpls>
      </m>
      <m in="0">
        <tpls c="3">
          <tpl fld="0" item="0"/>
          <tpl fld="1" item="375"/>
          <tpl fld="4" item="3"/>
        </tpls>
      </m>
      <m in="0">
        <tpls c="3">
          <tpl fld="0" item="0"/>
          <tpl fld="1" item="362"/>
          <tpl fld="4" item="4"/>
        </tpls>
      </m>
      <m in="0">
        <tpls c="3">
          <tpl fld="0" item="0"/>
          <tpl fld="1" item="43"/>
          <tpl fld="4" item="3"/>
        </tpls>
      </m>
      <m in="0">
        <tpls c="3">
          <tpl fld="0" item="0"/>
          <tpl fld="1" item="340"/>
          <tpl fld="4" item="4"/>
        </tpls>
      </m>
      <m in="0">
        <tpls c="3">
          <tpl fld="0" item="0"/>
          <tpl fld="1" item="362"/>
          <tpl fld="4" item="3"/>
        </tpls>
      </m>
      <m in="0">
        <tpls c="3">
          <tpl fld="0" item="0"/>
          <tpl fld="1" item="439"/>
          <tpl fld="4" item="4"/>
        </tpls>
      </m>
      <m in="0">
        <tpls c="3">
          <tpl fld="0" item="0"/>
          <tpl fld="1" item="155"/>
          <tpl fld="4" item="4"/>
        </tpls>
      </m>
      <m in="0">
        <tpls c="3">
          <tpl fld="0" item="0"/>
          <tpl fld="1" item="29"/>
          <tpl fld="4" item="2"/>
        </tpls>
      </m>
      <m in="0">
        <tpls c="3">
          <tpl fld="0" item="0"/>
          <tpl fld="1" item="290"/>
          <tpl fld="4" item="4"/>
        </tpls>
      </m>
      <m in="0">
        <tpls c="3">
          <tpl fld="0" item="0"/>
          <tpl fld="1" item="84"/>
          <tpl fld="4" item="2"/>
        </tpls>
      </m>
      <m in="0">
        <tpls c="3">
          <tpl fld="0" item="0"/>
          <tpl fld="1" item="194"/>
          <tpl fld="4" item="4"/>
        </tpls>
      </m>
      <m in="0">
        <tpls c="3">
          <tpl fld="0" item="0"/>
          <tpl fld="1" item="49"/>
          <tpl fld="4" item="2"/>
        </tpls>
      </m>
      <m in="0">
        <tpls c="3">
          <tpl fld="0" item="0"/>
          <tpl fld="2" item="0"/>
          <tpl fld="4" item="2"/>
        </tpls>
      </m>
      <m in="0">
        <tpls c="3">
          <tpl fld="0" item="0"/>
          <tpl fld="1" item="448"/>
          <tpl fld="4" item="2"/>
        </tpls>
      </m>
      <m in="0">
        <tpls c="3">
          <tpl fld="0" item="0"/>
          <tpl fld="1" item="17"/>
          <tpl fld="4" item="37"/>
        </tpls>
      </m>
      <m in="0">
        <tpls c="3">
          <tpl fld="0" item="0"/>
          <tpl fld="1" item="424"/>
          <tpl fld="4" item="2"/>
        </tpls>
      </m>
      <m in="0">
        <tpls c="3">
          <tpl fld="0" item="0"/>
          <tpl fld="1" item="430"/>
          <tpl fld="4" item="2"/>
        </tpls>
      </m>
      <m in="0">
        <tpls c="3">
          <tpl fld="0" item="0"/>
          <tpl fld="1" item="253"/>
          <tpl fld="4" item="36"/>
        </tpls>
      </m>
      <m in="0">
        <tpls c="3">
          <tpl fld="0" item="0"/>
          <tpl fld="1" item="222"/>
          <tpl fld="4" item="39"/>
        </tpls>
      </m>
      <n v="7" in="0">
        <tpls c="3">
          <tpl fld="0" item="0"/>
          <tpl fld="2" item="0"/>
          <tpl fld="4" item="36"/>
        </tpls>
      </n>
      <m in="0">
        <tpls c="3">
          <tpl fld="0" item="0"/>
          <tpl fld="1" item="374"/>
          <tpl fld="4" item="37"/>
        </tpls>
      </m>
      <m in="0">
        <tpls c="3">
          <tpl fld="0" item="0"/>
          <tpl fld="1" item="83"/>
          <tpl fld="4" item="36"/>
        </tpls>
      </m>
      <m in="0">
        <tpls c="3">
          <tpl fld="0" item="0"/>
          <tpl fld="1" item="338"/>
          <tpl fld="4" item="37"/>
        </tpls>
      </m>
      <n v="106" in="0">
        <tpls c="3">
          <tpl fld="0" item="0"/>
          <tpl fld="1" item="309"/>
          <tpl fld="4" item="36"/>
        </tpls>
      </n>
      <n v="64" in="0">
        <tpls c="3">
          <tpl fld="0" item="0"/>
          <tpl fld="1" item="54"/>
          <tpl fld="4" item="37"/>
        </tpls>
      </n>
      <n v="6" in="0">
        <tpls c="3">
          <tpl fld="0" item="0"/>
          <tpl fld="1" item="97"/>
          <tpl fld="4" item="36"/>
        </tpls>
      </n>
      <n v="2" in="0">
        <tpls c="3">
          <tpl fld="0" item="0"/>
          <tpl fld="1" item="50"/>
          <tpl fld="4" item="37"/>
        </tpls>
      </n>
      <m in="0">
        <tpls c="3">
          <tpl fld="0" item="0"/>
          <tpl fld="1" item="240"/>
          <tpl fld="4" item="36"/>
        </tpls>
      </m>
      <m in="0">
        <tpls c="3">
          <tpl fld="0" item="0"/>
          <tpl fld="1" item="243"/>
          <tpl fld="4" item="37"/>
        </tpls>
      </m>
      <m in="0">
        <tpls c="3">
          <tpl fld="0" item="0"/>
          <tpl fld="1" item="384"/>
          <tpl fld="4" item="37"/>
        </tpls>
      </m>
      <m in="0">
        <tpls c="3">
          <tpl fld="0" item="0"/>
          <tpl fld="1" item="235"/>
          <tpl fld="4" item="38"/>
        </tpls>
      </m>
      <m in="0">
        <tpls c="3">
          <tpl fld="0" item="0"/>
          <tpl fld="1" item="75"/>
          <tpl fld="4" item="37"/>
        </tpls>
      </m>
      <m in="0">
        <tpls c="3">
          <tpl fld="0" item="0"/>
          <tpl fld="1" item="416"/>
          <tpl fld="4" item="38"/>
        </tpls>
      </m>
      <n v="16" in="0">
        <tpls c="3">
          <tpl fld="0" item="0"/>
          <tpl fld="1" item="55"/>
          <tpl fld="4" item="37"/>
        </tpls>
      </n>
      <m in="0">
        <tpls c="3">
          <tpl fld="0" item="0"/>
          <tpl fld="1" item="37"/>
          <tpl fld="4" item="38"/>
        </tpls>
      </m>
      <n v="161" in="0">
        <tpls c="3">
          <tpl fld="0" item="0"/>
          <tpl fld="1" item="49"/>
          <tpl fld="4" item="37"/>
        </tpls>
      </n>
      <m in="0">
        <tpls c="3">
          <tpl fld="0" item="0"/>
          <tpl fld="1" item="289"/>
          <tpl fld="4" item="38"/>
        </tpls>
      </m>
      <m in="0">
        <tpls c="3">
          <tpl fld="0" item="0"/>
          <tpl fld="1" item="12"/>
          <tpl fld="4" item="41"/>
        </tpls>
      </m>
      <m in="0">
        <tpls c="3">
          <tpl fld="0" item="0"/>
          <tpl fld="1" item="54"/>
          <tpl fld="4" item="35"/>
        </tpls>
      </m>
      <m in="0">
        <tpls c="3">
          <tpl fld="0" item="0"/>
          <tpl fld="1" item="223"/>
          <tpl fld="4" item="34"/>
        </tpls>
      </m>
      <m in="0">
        <tpls c="3">
          <tpl fld="0" item="0"/>
          <tpl fld="1" item="366"/>
          <tpl fld="4" item="34"/>
        </tpls>
      </m>
      <m in="0">
        <tpls c="3">
          <tpl fld="0" item="0"/>
          <tpl fld="1" item="22"/>
          <tpl fld="4" item="34"/>
        </tpls>
      </m>
      <m in="0">
        <tpls c="3">
          <tpl fld="0" item="0"/>
          <tpl fld="1" item="195"/>
          <tpl fld="4" item="35"/>
        </tpls>
      </m>
      <m in="0">
        <tpls c="3">
          <tpl fld="0" item="0"/>
          <tpl fld="1" item="35"/>
          <tpl fld="4" item="35"/>
        </tpls>
      </m>
      <m in="0">
        <tpls c="3">
          <tpl fld="0" item="0"/>
          <tpl fld="1" item="373"/>
          <tpl fld="4" item="27"/>
        </tpls>
      </m>
      <m in="0">
        <tpls c="3">
          <tpl fld="0" item="0"/>
          <tpl fld="1" item="380"/>
          <tpl fld="4" item="34"/>
        </tpls>
      </m>
      <m in="0">
        <tpls c="3">
          <tpl fld="0" item="0"/>
          <tpl fld="1" item="214"/>
          <tpl fld="4" item="35"/>
        </tpls>
      </m>
      <m in="0">
        <tpls c="3">
          <tpl fld="0" item="0"/>
          <tpl fld="1" item="112"/>
          <tpl fld="4" item="0"/>
        </tpls>
      </m>
      <m in="0">
        <tpls c="3">
          <tpl fld="0" item="0"/>
          <tpl fld="1" item="398"/>
          <tpl fld="4" item="0"/>
        </tpls>
      </m>
      <m in="0">
        <tpls c="3">
          <tpl fld="0" item="0"/>
          <tpl fld="1" item="93"/>
          <tpl fld="4" item="26"/>
        </tpls>
      </m>
      <m in="0">
        <tpls c="3">
          <tpl fld="0" item="0"/>
          <tpl fld="1" item="313"/>
          <tpl fld="4" item="32"/>
        </tpls>
      </m>
      <n v="5" in="0">
        <tpls c="3">
          <tpl fld="0" item="0"/>
          <tpl fld="1" item="320"/>
          <tpl fld="4" item="33"/>
        </tpls>
      </n>
      <m in="0">
        <tpls c="3">
          <tpl fld="0" item="0"/>
          <tpl fld="1" item="198"/>
          <tpl fld="4" item="34"/>
        </tpls>
      </m>
      <n v="5" in="0">
        <tpls c="3">
          <tpl fld="0" item="0"/>
          <tpl fld="1" item="115"/>
          <tpl fld="4" item="24"/>
        </tpls>
      </n>
      <m in="0">
        <tpls c="3">
          <tpl fld="0" item="0"/>
          <tpl fld="1" item="374"/>
          <tpl fld="4" item="31"/>
        </tpls>
      </m>
      <m in="0">
        <tpls c="3">
          <tpl fld="0" item="0"/>
          <tpl fld="1" item="397"/>
          <tpl fld="4" item="6"/>
        </tpls>
      </m>
      <m in="0">
        <tpls c="3">
          <tpl fld="0" item="0"/>
          <tpl fld="1" item="274"/>
          <tpl fld="4" item="30"/>
        </tpls>
      </m>
      <m in="0">
        <tpls c="3">
          <tpl fld="0" item="0"/>
          <tpl fld="1" item="378"/>
          <tpl fld="4" item="34"/>
        </tpls>
      </m>
      <m in="0">
        <tpls c="3">
          <tpl fld="0" item="0"/>
          <tpl fld="1" item="170"/>
          <tpl fld="4" item="30"/>
        </tpls>
      </m>
      <m in="0">
        <tpls c="3">
          <tpl fld="0" item="0"/>
          <tpl fld="1" item="76"/>
          <tpl fld="4" item="35"/>
        </tpls>
      </m>
      <n v="1" in="0">
        <tpls c="3">
          <tpl fld="0" item="0"/>
          <tpl fld="1" item="427"/>
          <tpl fld="4" item="30"/>
        </tpls>
      </n>
      <m in="0">
        <tpls c="3">
          <tpl fld="0" item="0"/>
          <tpl fld="1" item="120"/>
          <tpl fld="4" item="35"/>
        </tpls>
      </m>
      <m in="0">
        <tpls c="3">
          <tpl fld="0" item="0"/>
          <tpl fld="1" item="456"/>
          <tpl fld="4" item="30"/>
        </tpls>
      </m>
      <n v="56" in="0">
        <tpls c="3">
          <tpl fld="0" item="0"/>
          <tpl fld="1" item="84"/>
          <tpl fld="4" item="20"/>
        </tpls>
      </n>
      <n v="22" in="0">
        <tpls c="3">
          <tpl fld="0" item="0"/>
          <tpl fld="1" item="230"/>
          <tpl fld="4" item="28"/>
        </tpls>
      </n>
      <m in="0">
        <tpls c="3">
          <tpl fld="0" item="0"/>
          <tpl fld="1" item="315"/>
          <tpl fld="4" item="31"/>
        </tpls>
      </m>
      <n v="4" in="0">
        <tpls c="3">
          <tpl fld="0" item="0"/>
          <tpl fld="1" item="319"/>
          <tpl fld="4" item="30"/>
        </tpls>
      </n>
      <n v="153" in="0">
        <tpls c="3">
          <tpl fld="0" item="0"/>
          <tpl fld="1" item="324"/>
          <tpl fld="4" item="21"/>
        </tpls>
      </n>
      <m in="0">
        <tpls c="3">
          <tpl fld="0" item="0"/>
          <tpl fld="1" item="93"/>
          <tpl fld="4" item="24"/>
        </tpls>
      </m>
      <m in="0">
        <tpls c="3">
          <tpl fld="0" item="0"/>
          <tpl fld="1" item="303"/>
          <tpl fld="4" item="31"/>
        </tpls>
      </m>
      <n v="30" in="0">
        <tpls c="3">
          <tpl fld="0" item="0"/>
          <tpl fld="1" item="372"/>
          <tpl fld="4" item="25"/>
        </tpls>
      </n>
      <m in="0">
        <tpls c="3">
          <tpl fld="0" item="0"/>
          <tpl fld="1" item="69"/>
          <tpl fld="4" item="33"/>
        </tpls>
      </m>
      <m in="0">
        <tpls c="3">
          <tpl fld="0" item="0"/>
          <tpl fld="1" item="317"/>
          <tpl fld="4" item="34"/>
        </tpls>
      </m>
      <n v="4" in="0">
        <tpls c="3">
          <tpl fld="0" item="0"/>
          <tpl fld="1" item="352"/>
          <tpl fld="4" item="25"/>
        </tpls>
      </n>
      <m in="0">
        <tpls c="3">
          <tpl fld="0" item="0"/>
          <tpl fld="1" item="396"/>
          <tpl fld="4" item="29"/>
        </tpls>
      </m>
      <n v="95" in="0">
        <tpls c="3">
          <tpl fld="0" item="0"/>
          <tpl fld="1" item="54"/>
          <tpl fld="4" item="25"/>
        </tpls>
      </n>
      <m in="0">
        <tpls c="3">
          <tpl fld="0" item="0"/>
          <tpl fld="1" item="168"/>
          <tpl fld="4" item="24"/>
        </tpls>
      </m>
      <m in="0">
        <tpls c="3">
          <tpl fld="0" item="0"/>
          <tpl fld="1" item="375"/>
          <tpl fld="4" item="33"/>
        </tpls>
      </m>
      <m in="0">
        <tpls c="3">
          <tpl fld="0" item="0"/>
          <tpl fld="1" item="58"/>
          <tpl fld="4" item="30"/>
        </tpls>
      </m>
      <m in="0">
        <tpls c="3">
          <tpl fld="0" item="0"/>
          <tpl fld="1" item="253"/>
          <tpl fld="4" item="19"/>
        </tpls>
      </m>
      <m in="0">
        <tpls c="3">
          <tpl fld="0" item="0"/>
          <tpl fld="1" item="166"/>
          <tpl fld="4" item="22"/>
        </tpls>
      </m>
      <m in="0">
        <tpls c="3">
          <tpl fld="0" item="0"/>
          <tpl fld="1" item="373"/>
          <tpl fld="4" item="32"/>
        </tpls>
      </m>
      <m in="0">
        <tpls c="3">
          <tpl fld="0" item="0"/>
          <tpl fld="1" item="30"/>
          <tpl fld="4" item="31"/>
        </tpls>
      </m>
      <m in="0">
        <tpls c="3">
          <tpl fld="0" item="0"/>
          <tpl fld="1" item="39"/>
          <tpl fld="4" item="31"/>
        </tpls>
      </m>
      <m in="0">
        <tpls c="3">
          <tpl fld="0" item="0"/>
          <tpl fld="1" item="16"/>
          <tpl fld="4" item="30"/>
        </tpls>
      </m>
      <m in="0">
        <tpls c="3">
          <tpl fld="0" item="0"/>
          <tpl fld="1" item="312"/>
          <tpl fld="4" item="34"/>
        </tpls>
      </m>
      <n v="1" in="0">
        <tpls c="3">
          <tpl fld="0" item="0"/>
          <tpl fld="1" item="444"/>
          <tpl fld="4" item="26"/>
        </tpls>
      </n>
      <m in="0">
        <tpls c="3">
          <tpl fld="0" item="0"/>
          <tpl fld="1" item="27"/>
          <tpl fld="4" item="34"/>
        </tpls>
      </m>
      <m in="0">
        <tpls c="3">
          <tpl fld="0" item="0"/>
          <tpl fld="1" item="356"/>
          <tpl fld="4" item="35"/>
        </tpls>
      </m>
      <m in="0">
        <tpls c="3">
          <tpl fld="0" item="0"/>
          <tpl fld="1" item="371"/>
          <tpl fld="4" item="32"/>
        </tpls>
      </m>
      <n v="115" in="0">
        <tpls c="3">
          <tpl fld="0" item="0"/>
          <tpl fld="1" item="57"/>
          <tpl fld="4" item="27"/>
        </tpls>
      </n>
      <n v="107" in="0">
        <tpls c="3">
          <tpl fld="0" item="0"/>
          <tpl fld="1" item="187"/>
          <tpl fld="4" item="24"/>
        </tpls>
      </n>
      <m in="0">
        <tpls c="3">
          <tpl fld="0" item="0"/>
          <tpl fld="1" item="227"/>
          <tpl fld="4" item="32"/>
        </tpls>
      </m>
      <n v="476" in="0">
        <tpls c="3">
          <tpl fld="0" item="0"/>
          <tpl fld="1" item="33"/>
          <tpl fld="4" item="24"/>
        </tpls>
      </n>
      <m in="0">
        <tpls c="3">
          <tpl fld="0" item="0"/>
          <tpl fld="1" item="60"/>
          <tpl fld="4" item="33"/>
        </tpls>
      </m>
      <m in="0">
        <tpls c="3">
          <tpl fld="0" item="0"/>
          <tpl fld="1" item="70"/>
          <tpl fld="4" item="30"/>
        </tpls>
      </m>
      <n v="1" in="0">
        <tpls c="3">
          <tpl fld="0" item="0"/>
          <tpl fld="1" item="53"/>
          <tpl fld="4" item="27"/>
        </tpls>
      </n>
      <n v="7" in="0">
        <tpls c="3">
          <tpl fld="0" item="0"/>
          <tpl fld="1" item="271"/>
          <tpl fld="4" item="24"/>
        </tpls>
      </n>
      <m in="0">
        <tpls c="3">
          <tpl fld="0" item="0"/>
          <tpl fld="1" item="164"/>
          <tpl fld="4" item="32"/>
        </tpls>
      </m>
      <n v="32" in="0">
        <tpls c="3">
          <tpl fld="0" item="0"/>
          <tpl fld="1" item="82"/>
          <tpl fld="4" item="21"/>
        </tpls>
      </n>
      <m in="0">
        <tpls c="3">
          <tpl fld="0" item="0"/>
          <tpl fld="1" item="398"/>
          <tpl fld="4" item="33"/>
        </tpls>
      </m>
      <m in="0">
        <tpls c="3">
          <tpl fld="0" item="0"/>
          <tpl fld="1" item="168"/>
          <tpl fld="4" item="30"/>
        </tpls>
      </m>
      <m in="0">
        <tpls c="3">
          <tpl fld="0" item="0"/>
          <tpl fld="3" item="0"/>
          <tpl fld="4" item="28"/>
        </tpls>
      </m>
      <m in="0">
        <tpls c="3">
          <tpl fld="0" item="0"/>
          <tpl fld="1" item="251"/>
          <tpl fld="4" item="17"/>
        </tpls>
      </m>
      <m in="0">
        <tpls c="3">
          <tpl fld="0" item="0"/>
          <tpl fld="1" item="260"/>
          <tpl fld="4" item="32"/>
        </tpls>
      </m>
      <m in="0">
        <tpls c="3">
          <tpl fld="0" item="0"/>
          <tpl fld="1" item="456"/>
          <tpl fld="4" item="32"/>
        </tpls>
      </m>
      <m in="0">
        <tpls c="3">
          <tpl fld="0" item="0"/>
          <tpl fld="1" item="390"/>
          <tpl fld="4" item="31"/>
        </tpls>
      </m>
      <m in="0">
        <tpls c="3">
          <tpl fld="0" item="0"/>
          <tpl fld="1" item="383"/>
          <tpl fld="4" item="33"/>
        </tpls>
      </m>
      <m in="0">
        <tpls c="3">
          <tpl fld="0" item="0"/>
          <tpl fld="1" item="290"/>
          <tpl fld="4" item="30"/>
        </tpls>
      </m>
      <n v="2" in="0">
        <tpls c="3">
          <tpl fld="0" item="0"/>
          <tpl fld="1" item="54"/>
          <tpl fld="4" item="21"/>
        </tpls>
      </n>
      <n v="50" in="0">
        <tpls c="3">
          <tpl fld="0" item="0"/>
          <tpl fld="1" item="425"/>
          <tpl fld="4" item="25"/>
        </tpls>
      </n>
      <m in="0">
        <tpls c="3">
          <tpl fld="0" item="0"/>
          <tpl fld="1" item="435"/>
          <tpl fld="4" item="27"/>
        </tpls>
      </m>
      <m in="0">
        <tpls c="3">
          <tpl fld="0" item="0"/>
          <tpl fld="1" item="243"/>
          <tpl fld="4" item="17"/>
        </tpls>
      </m>
      <n v="165" in="0">
        <tpls c="3">
          <tpl fld="0" item="0"/>
          <tpl fld="1" item="368"/>
          <tpl fld="4" item="29"/>
        </tpls>
      </n>
      <n v="1" in="0">
        <tpls c="3">
          <tpl fld="0" item="0"/>
          <tpl fld="1" item="415"/>
          <tpl fld="4" item="33"/>
        </tpls>
      </n>
      <m in="0">
        <tpls c="3">
          <tpl fld="0" item="0"/>
          <tpl fld="1" item="318"/>
          <tpl fld="4" item="30"/>
        </tpls>
      </m>
      <m in="0">
        <tpls c="3">
          <tpl fld="0" item="0"/>
          <tpl fld="1" item="96"/>
          <tpl fld="4" item="34"/>
        </tpls>
      </m>
      <m in="0">
        <tpls c="3">
          <tpl fld="0" item="0"/>
          <tpl fld="1" item="181"/>
          <tpl fld="4" item="31"/>
        </tpls>
      </m>
      <m in="0">
        <tpls c="3">
          <tpl fld="0" item="0"/>
          <tpl fld="1" item="286"/>
          <tpl fld="4" item="34"/>
        </tpls>
      </m>
      <m in="0">
        <tpls c="3">
          <tpl fld="0" item="0"/>
          <tpl fld="1" item="324"/>
          <tpl fld="4" item="35"/>
        </tpls>
      </m>
      <m in="0">
        <tpls c="3">
          <tpl fld="0" item="0"/>
          <tpl fld="1" item="262"/>
          <tpl fld="4" item="31"/>
        </tpls>
      </m>
      <m in="0">
        <tpls c="3">
          <tpl fld="0" item="0"/>
          <tpl fld="1" item="343"/>
          <tpl fld="4" item="34"/>
        </tpls>
      </m>
      <m in="0">
        <tpls c="3">
          <tpl fld="0" item="0"/>
          <tpl fld="1" item="74"/>
          <tpl fld="4" item="35"/>
        </tpls>
      </m>
      <m in="0">
        <tpls c="3">
          <tpl fld="0" item="0"/>
          <tpl fld="1" item="78"/>
          <tpl fld="4" item="30"/>
        </tpls>
      </m>
      <m in="0">
        <tpls c="3">
          <tpl fld="0" item="0"/>
          <tpl fld="1" item="78"/>
          <tpl fld="4" item="35"/>
        </tpls>
      </m>
      <n v="18" in="0">
        <tpls c="3">
          <tpl fld="0" item="0"/>
          <tpl fld="1" item="207"/>
          <tpl fld="4" item="25"/>
        </tpls>
      </n>
      <m in="0">
        <tpls c="3">
          <tpl fld="0" item="0"/>
          <tpl fld="1" item="298"/>
          <tpl fld="4" item="34"/>
        </tpls>
      </m>
      <m in="0">
        <tpls c="3">
          <tpl fld="0" item="0"/>
          <tpl fld="1" item="251"/>
          <tpl fld="4" item="35"/>
        </tpls>
      </m>
      <m in="0">
        <tpls c="3">
          <tpl fld="0" item="0"/>
          <tpl fld="1" item="17"/>
          <tpl fld="4" item="32"/>
        </tpls>
      </m>
      <m in="0">
        <tpls c="3">
          <tpl fld="0" item="0"/>
          <tpl fld="1" item="292"/>
          <tpl fld="4" item="34"/>
        </tpls>
      </m>
      <m in="0">
        <tpls c="3">
          <tpl fld="0" item="0"/>
          <tpl fld="1" item="424"/>
          <tpl fld="4" item="35"/>
        </tpls>
      </m>
      <m in="0">
        <tpls c="3">
          <tpl fld="0" item="0"/>
          <tpl fld="1" item="208"/>
          <tpl fld="4" item="22"/>
        </tpls>
      </m>
      <m in="0">
        <tpls c="3">
          <tpl fld="0" item="0"/>
          <tpl fld="1" item="448"/>
          <tpl fld="4" item="34"/>
        </tpls>
      </m>
      <m in="0">
        <tpls c="3">
          <tpl fld="0" item="0"/>
          <tpl fld="1" item="10"/>
          <tpl fld="4" item="35"/>
        </tpls>
      </m>
      <m in="0">
        <tpls c="3">
          <tpl fld="0" item="0"/>
          <tpl fld="1" item="351"/>
          <tpl fld="4" item="35"/>
        </tpls>
      </m>
      <m in="0">
        <tpls c="3">
          <tpl fld="0" item="0"/>
          <tpl fld="1" item="414"/>
          <tpl fld="4" item="34"/>
        </tpls>
      </m>
      <m in="0">
        <tpls c="3">
          <tpl fld="0" item="0"/>
          <tpl fld="1" item="450"/>
          <tpl fld="4" item="18"/>
        </tpls>
      </m>
      <m in="0">
        <tpls c="3">
          <tpl fld="0" item="0"/>
          <tpl fld="1" item="313"/>
          <tpl fld="4" item="34"/>
        </tpls>
      </m>
      <m in="0">
        <tpls c="3">
          <tpl fld="0" item="0"/>
          <tpl fld="1" item="218"/>
          <tpl fld="4" item="35"/>
        </tpls>
      </m>
      <m in="0">
        <tpls c="3">
          <tpl fld="0" item="0"/>
          <tpl fld="1" item="103"/>
          <tpl fld="4" item="34"/>
        </tpls>
      </m>
      <m in="0">
        <tpls c="3">
          <tpl fld="0" item="0"/>
          <tpl fld="1" item="247"/>
          <tpl fld="4" item="35"/>
        </tpls>
      </m>
      <m in="0">
        <tpls c="3">
          <tpl fld="0" item="0"/>
          <tpl fld="1" item="163"/>
          <tpl fld="4" item="33"/>
        </tpls>
      </m>
      <m in="0">
        <tpls c="3">
          <tpl fld="0" item="0"/>
          <tpl fld="1" item="362"/>
          <tpl fld="4" item="35"/>
        </tpls>
      </m>
      <n v="11" in="0">
        <tpls c="3">
          <tpl fld="0" item="0"/>
          <tpl fld="1" item="339"/>
          <tpl fld="4" item="22"/>
        </tpls>
      </n>
      <m in="0">
        <tpls c="3">
          <tpl fld="0" item="0"/>
          <tpl fld="1" item="210"/>
          <tpl fld="4" item="34"/>
        </tpls>
      </m>
      <m in="0">
        <tpls c="3">
          <tpl fld="0" item="0"/>
          <tpl fld="1" item="382"/>
          <tpl fld="4" item="35"/>
        </tpls>
      </m>
      <m in="0">
        <tpls c="3">
          <tpl fld="0" item="0"/>
          <tpl fld="1" item="271"/>
          <tpl fld="4" item="0"/>
        </tpls>
      </m>
      <m in="0">
        <tpls c="3">
          <tpl fld="0" item="0"/>
          <tpl fld="1" item="225"/>
          <tpl fld="4" item="0"/>
        </tpls>
      </m>
      <m in="0">
        <tpls c="3">
          <tpl fld="0" item="0"/>
          <tpl fld="1" item="198"/>
          <tpl fld="4" item="0"/>
        </tpls>
      </m>
      <m in="0">
        <tpls c="3">
          <tpl fld="0" item="0"/>
          <tpl fld="1" item="418"/>
          <tpl fld="4" item="3"/>
        </tpls>
      </m>
      <m in="0">
        <tpls c="3">
          <tpl fld="0" item="0"/>
          <tpl fld="1" item="164"/>
          <tpl fld="4" item="4"/>
        </tpls>
      </m>
      <m in="0">
        <tpls c="3">
          <tpl fld="0" item="0"/>
          <tpl fld="1" item="412"/>
          <tpl fld="4" item="3"/>
        </tpls>
      </m>
      <m in="0">
        <tpls c="3">
          <tpl fld="0" item="0"/>
          <tpl fld="1" item="209"/>
          <tpl fld="4" item="4"/>
        </tpls>
      </m>
      <m in="0">
        <tpls c="3">
          <tpl fld="0" item="0"/>
          <tpl fld="1" item="324"/>
          <tpl fld="4" item="3"/>
        </tpls>
      </m>
      <m in="0">
        <tpls c="3">
          <tpl fld="0" item="0"/>
          <tpl fld="1" item="64"/>
          <tpl fld="4" item="4"/>
        </tpls>
      </m>
      <m in="0">
        <tpls c="3">
          <tpl fld="0" item="0"/>
          <tpl fld="1" item="31"/>
          <tpl fld="4" item="0"/>
        </tpls>
      </m>
      <m in="0">
        <tpls c="3">
          <tpl fld="0" item="0"/>
          <tpl fld="1" item="359"/>
          <tpl fld="4" item="3"/>
        </tpls>
      </m>
      <m in="0">
        <tpls c="3">
          <tpl fld="0" item="0"/>
          <tpl fld="1" item="450"/>
          <tpl fld="4" item="2"/>
        </tpls>
      </m>
      <m in="0">
        <tpls c="3">
          <tpl fld="0" item="0"/>
          <tpl fld="1" item="382"/>
          <tpl fld="4" item="3"/>
        </tpls>
      </m>
      <m in="0">
        <tpls c="3">
          <tpl fld="0" item="0"/>
          <tpl fld="1" item="45"/>
          <tpl fld="4" item="2"/>
        </tpls>
      </m>
      <m in="0">
        <tpls c="3">
          <tpl fld="0" item="0"/>
          <tpl fld="1" item="452"/>
          <tpl fld="4" item="3"/>
        </tpls>
      </m>
      <m in="0">
        <tpls c="3">
          <tpl fld="0" item="0"/>
          <tpl fld="1" item="341"/>
          <tpl fld="4" item="36"/>
        </tpls>
      </m>
      <m in="0">
        <tpls c="3">
          <tpl fld="0" item="0"/>
          <tpl fld="1" item="75"/>
          <tpl fld="4" item="4"/>
        </tpls>
      </m>
      <m in="0">
        <tpls c="3">
          <tpl fld="0" item="0"/>
          <tpl fld="1" item="112"/>
          <tpl fld="4" item="36"/>
        </tpls>
      </m>
      <m in="0">
        <tpls c="3">
          <tpl fld="0" item="0"/>
          <tpl fld="1" item="143"/>
          <tpl fld="4" item="2"/>
        </tpls>
      </m>
      <m in="0">
        <tpls c="3">
          <tpl fld="0" item="0"/>
          <tpl fld="1" item="90"/>
          <tpl fld="4" item="36"/>
        </tpls>
      </m>
      <m in="0">
        <tpls c="3">
          <tpl fld="0" item="0"/>
          <tpl fld="1" item="342"/>
          <tpl fld="4" item="2"/>
        </tpls>
      </m>
      <m in="0">
        <tpls c="3">
          <tpl fld="0" item="0"/>
          <tpl fld="1" item="265"/>
          <tpl fld="4" item="36"/>
        </tpls>
      </m>
      <m in="0">
        <tpls c="3">
          <tpl fld="0" item="0"/>
          <tpl fld="1" item="243"/>
          <tpl fld="4" item="36"/>
        </tpls>
      </m>
      <m in="0">
        <tpls c="3">
          <tpl fld="0" item="0"/>
          <tpl fld="1" item="48"/>
          <tpl fld="4" item="36"/>
        </tpls>
      </m>
      <m in="0">
        <tpls c="3">
          <tpl fld="0" item="0"/>
          <tpl fld="1" item="415"/>
          <tpl fld="4" item="2"/>
        </tpls>
      </m>
      <n v="2" in="0">
        <tpls c="3">
          <tpl fld="0" item="0"/>
          <tpl fld="1" item="115"/>
          <tpl fld="4" item="37"/>
        </tpls>
      </n>
      <n v="2" in="0">
        <tpls c="3">
          <tpl fld="0" item="0"/>
          <tpl fld="1" item="456"/>
          <tpl fld="4" item="36"/>
        </tpls>
      </n>
      <n v="447" in="0">
        <tpls c="3">
          <tpl fld="0" item="0"/>
          <tpl fld="1" item="269"/>
          <tpl fld="4" item="37"/>
        </tpls>
      </n>
      <m in="0">
        <tpls c="3">
          <tpl fld="0" item="0"/>
          <tpl fld="1" item="337"/>
          <tpl fld="4" item="2"/>
        </tpls>
      </m>
      <n v="68" in="0">
        <tpls c="3">
          <tpl fld="0" item="0"/>
          <tpl fld="1" item="148"/>
          <tpl fld="4" item="37"/>
        </tpls>
      </n>
      <m in="0">
        <tpls c="3">
          <tpl fld="0" item="0"/>
          <tpl fld="1" item="374"/>
          <tpl fld="4" item="2"/>
        </tpls>
      </m>
      <m in="0">
        <tpls c="3">
          <tpl fld="0" item="0"/>
          <tpl fld="1" item="222"/>
          <tpl fld="4" item="36"/>
        </tpls>
      </m>
      <n v="11" in="0">
        <tpls c="3">
          <tpl fld="0" item="0"/>
          <tpl fld="1" item="37"/>
          <tpl fld="4" item="37"/>
        </tpls>
      </n>
      <n v="485" in="0">
        <tpls c="3">
          <tpl fld="0" item="0"/>
          <tpl fld="1" item="312"/>
          <tpl fld="4" item="37"/>
        </tpls>
      </n>
      <n v="3" in="0">
        <tpls c="3">
          <tpl fld="0" item="0"/>
          <tpl fld="1" item="2"/>
          <tpl fld="4" item="36"/>
        </tpls>
      </n>
      <n v="238" in="0">
        <tpls c="3">
          <tpl fld="0" item="0"/>
          <tpl fld="1" item="438"/>
          <tpl fld="4" item="37"/>
        </tpls>
      </n>
      <m in="0">
        <tpls c="3">
          <tpl fld="0" item="0"/>
          <tpl fld="1" item="75"/>
          <tpl fld="4" item="2"/>
        </tpls>
      </m>
      <m in="0">
        <tpls c="3">
          <tpl fld="0" item="0"/>
          <tpl fld="1" item="143"/>
          <tpl fld="4" item="36"/>
        </tpls>
      </m>
      <n v="22" in="0">
        <tpls c="3">
          <tpl fld="0" item="0"/>
          <tpl fld="1" item="381"/>
          <tpl fld="4" item="38"/>
        </tpls>
      </n>
      <n v="1" in="0">
        <tpls c="3">
          <tpl fld="0" item="0"/>
          <tpl fld="1" item="454"/>
          <tpl fld="4" item="38"/>
        </tpls>
      </n>
      <m in="0">
        <tpls c="3">
          <tpl fld="0" item="0"/>
          <tpl fld="1" item="234"/>
          <tpl fld="4" item="40"/>
        </tpls>
      </m>
      <m in="0">
        <tpls c="3">
          <tpl fld="0" item="0"/>
          <tpl fld="1" item="244"/>
          <tpl fld="4" item="38"/>
        </tpls>
      </m>
      <n v="1" in="0">
        <tpls c="3">
          <tpl fld="0" item="0"/>
          <tpl fld="1" item="162"/>
          <tpl fld="4" item="40"/>
        </tpls>
      </n>
      <m in="0">
        <tpls c="3">
          <tpl fld="0" item="0"/>
          <tpl fld="1" item="450"/>
          <tpl fld="4" item="38"/>
        </tpls>
      </m>
      <n v="3" in="0">
        <tpls c="3">
          <tpl fld="0" item="0"/>
          <tpl fld="1" item="116"/>
          <tpl fld="4" item="40"/>
        </tpls>
      </n>
      <m in="0">
        <tpls c="3">
          <tpl fld="0" item="0"/>
          <tpl fld="1" item="21"/>
          <tpl fld="4" item="38"/>
        </tpls>
      </m>
      <m in="0">
        <tpls c="3">
          <tpl fld="0" item="0"/>
          <tpl fld="1" item="25"/>
          <tpl fld="4" item="34"/>
        </tpls>
      </m>
      <m in="0">
        <tpls c="3">
          <tpl fld="0" item="0"/>
          <tpl fld="1" item="86"/>
          <tpl fld="4" item="33"/>
        </tpls>
      </m>
      <m in="0">
        <tpls c="3">
          <tpl fld="0" item="0"/>
          <tpl fld="1" item="288"/>
          <tpl fld="4" item="35"/>
        </tpls>
      </m>
      <m in="0">
        <tpls c="3">
          <tpl fld="0" item="0"/>
          <tpl fld="1" item="119"/>
          <tpl fld="4" item="32"/>
        </tpls>
      </m>
      <m in="0">
        <tpls c="3">
          <tpl fld="0" item="0"/>
          <tpl fld="1" item="306"/>
          <tpl fld="4" item="35"/>
        </tpls>
      </m>
      <m in="0">
        <tpls c="3">
          <tpl fld="0" item="0"/>
          <tpl fld="1" item="307"/>
          <tpl fld="4" item="34"/>
        </tpls>
      </m>
      <m in="0">
        <tpls c="3">
          <tpl fld="0" item="0"/>
          <tpl fld="1" item="7"/>
          <tpl fld="4" item="34"/>
        </tpls>
      </m>
      <m in="0">
        <tpls c="3">
          <tpl fld="0" item="0"/>
          <tpl fld="1" item="352"/>
          <tpl fld="4" item="35"/>
        </tpls>
      </m>
      <m in="0">
        <tpls c="3">
          <tpl fld="0" item="0"/>
          <tpl fld="1" item="205"/>
          <tpl fld="4" item="33"/>
        </tpls>
      </m>
      <m in="0">
        <tpls c="3">
          <tpl fld="0" item="0"/>
          <tpl fld="1" item="67"/>
          <tpl fld="4" item="35"/>
        </tpls>
      </m>
      <m in="0">
        <tpls c="3">
          <tpl fld="0" item="0"/>
          <tpl fld="1" item="387"/>
          <tpl fld="4" item="34"/>
        </tpls>
      </m>
      <m in="0">
        <tpls c="3">
          <tpl fld="0" item="0"/>
          <tpl fld="1" item="390"/>
          <tpl fld="4" item="4"/>
        </tpls>
      </m>
      <m in="0">
        <tpls c="3">
          <tpl fld="0" item="0"/>
          <tpl fld="1" item="350"/>
          <tpl fld="4" item="3"/>
        </tpls>
      </m>
      <m in="0">
        <tpls c="3">
          <tpl fld="0" item="0"/>
          <tpl fld="1" item="392"/>
          <tpl fld="4" item="0"/>
        </tpls>
      </m>
      <m in="0">
        <tpls c="3">
          <tpl fld="0" item="0"/>
          <tpl fld="1" item="315"/>
          <tpl fld="4" item="4"/>
        </tpls>
      </m>
      <m in="0">
        <tpls c="3">
          <tpl fld="0" item="0"/>
          <tpl fld="1" item="386"/>
          <tpl fld="4" item="0"/>
        </tpls>
      </m>
      <m in="0">
        <tpls c="3">
          <tpl fld="0" item="0"/>
          <tpl fld="1" item="336"/>
          <tpl fld="4" item="3"/>
        </tpls>
      </m>
      <m in="0">
        <tpls c="3">
          <tpl fld="0" item="0"/>
          <tpl fld="1" item="255"/>
          <tpl fld="4" item="4"/>
        </tpls>
      </m>
      <m in="0">
        <tpls c="3">
          <tpl fld="0" item="0"/>
          <tpl fld="1" item="235"/>
          <tpl fld="4" item="4"/>
        </tpls>
      </m>
      <m in="0">
        <tpls c="3">
          <tpl fld="0" item="0"/>
          <tpl fld="1" item="15"/>
          <tpl fld="4" item="0"/>
        </tpls>
      </m>
      <m in="0">
        <tpls c="3">
          <tpl fld="0" item="0"/>
          <tpl fld="1" item="156"/>
          <tpl fld="4" item="3"/>
        </tpls>
      </m>
      <m in="0">
        <tpls c="3">
          <tpl fld="0" item="0"/>
          <tpl fld="1" item="317"/>
          <tpl fld="4" item="4"/>
        </tpls>
      </m>
      <m in="0">
        <tpls c="3">
          <tpl fld="0" item="0"/>
          <tpl fld="1" item="121"/>
          <tpl fld="4" item="3"/>
        </tpls>
      </m>
      <m in="0">
        <tpls c="3">
          <tpl fld="0" item="0"/>
          <tpl fld="1" item="319"/>
          <tpl fld="4" item="4"/>
        </tpls>
      </m>
      <m in="0">
        <tpls c="3">
          <tpl fld="0" item="0"/>
          <tpl fld="1" item="410"/>
          <tpl fld="4" item="3"/>
        </tpls>
      </m>
      <m in="0">
        <tpls c="3">
          <tpl fld="0" item="0"/>
          <tpl fld="1" item="19"/>
          <tpl fld="4" item="4"/>
        </tpls>
      </m>
      <n v="1" in="0">
        <tpls c="3">
          <tpl fld="0" item="0"/>
          <tpl fld="1" item="199"/>
          <tpl fld="4" item="3"/>
        </tpls>
      </n>
      <m in="0">
        <tpls c="3">
          <tpl fld="0" item="0"/>
          <tpl fld="1" item="408"/>
          <tpl fld="4" item="36"/>
        </tpls>
      </m>
      <m in="0">
        <tpls c="3">
          <tpl fld="0" item="0"/>
          <tpl fld="1" item="127"/>
          <tpl fld="4" item="4"/>
        </tpls>
      </m>
      <m in="0">
        <tpls c="3">
          <tpl fld="0" item="0"/>
          <tpl fld="1" item="361"/>
          <tpl fld="4" item="2"/>
        </tpls>
      </m>
      <m in="0">
        <tpls c="3">
          <tpl fld="0" item="0"/>
          <tpl fld="1" item="38"/>
          <tpl fld="4" item="4"/>
        </tpls>
      </m>
      <m in="0">
        <tpls c="3">
          <tpl fld="0" item="0"/>
          <tpl fld="1" item="419"/>
          <tpl fld="4" item="2"/>
        </tpls>
      </m>
      <m in="0">
        <tpls c="3">
          <tpl fld="0" item="0"/>
          <tpl fld="1" item="288"/>
          <tpl fld="4" item="2"/>
        </tpls>
      </m>
      <n v="22" in="0">
        <tpls c="3">
          <tpl fld="0" item="0"/>
          <tpl fld="1" item="333"/>
          <tpl fld="4" item="40"/>
        </tpls>
      </n>
      <n v="321" in="0">
        <tpls c="3">
          <tpl fld="0" item="0"/>
          <tpl fld="1" item="80"/>
          <tpl fld="4" item="37"/>
        </tpls>
      </n>
      <m in="0">
        <tpls c="3">
          <tpl fld="0" item="0"/>
          <tpl fld="1" item="134"/>
          <tpl fld="4" item="2"/>
        </tpls>
      </m>
      <m in="0">
        <tpls c="3">
          <tpl fld="0" item="0"/>
          <tpl fld="1" item="61"/>
          <tpl fld="4" item="2"/>
        </tpls>
      </m>
      <n v="5" in="0">
        <tpls c="3">
          <tpl fld="0" item="0"/>
          <tpl fld="1" item="311"/>
          <tpl fld="4" item="36"/>
        </tpls>
      </n>
      <m in="0">
        <tpls c="3">
          <tpl fld="0" item="0"/>
          <tpl fld="1" item="456"/>
          <tpl fld="4" item="38"/>
        </tpls>
      </m>
      <n v="11" in="0">
        <tpls c="3">
          <tpl fld="0" item="0"/>
          <tpl fld="1" item="332"/>
          <tpl fld="4" item="36"/>
        </tpls>
      </n>
      <n v="27" in="0">
        <tpls c="3">
          <tpl fld="0" item="0"/>
          <tpl fld="1" item="79"/>
          <tpl fld="4" item="37"/>
        </tpls>
      </n>
      <n v="58" in="0">
        <tpls c="3">
          <tpl fld="0" item="0"/>
          <tpl fld="1" item="262"/>
          <tpl fld="4" item="36"/>
        </tpls>
      </n>
      <m in="0">
        <tpls c="3">
          <tpl fld="0" item="0"/>
          <tpl fld="1" item="261"/>
          <tpl fld="4" item="37"/>
        </tpls>
      </m>
      <n v="256" in="0">
        <tpls c="3">
          <tpl fld="0" item="0"/>
          <tpl fld="1" item="202"/>
          <tpl fld="4" item="36"/>
        </tpls>
      </n>
      <n v="2" in="0">
        <tpls c="3">
          <tpl fld="0" item="0"/>
          <tpl fld="1" item="167"/>
          <tpl fld="4" item="37"/>
        </tpls>
      </n>
      <n v="62" in="0">
        <tpls c="3">
          <tpl fld="0" item="0"/>
          <tpl fld="1" item="264"/>
          <tpl fld="4" item="36"/>
        </tpls>
      </n>
      <m in="0">
        <tpls c="3">
          <tpl fld="0" item="0"/>
          <tpl fld="1" item="159"/>
          <tpl fld="4" item="37"/>
        </tpls>
      </m>
      <m in="0">
        <tpls c="3">
          <tpl fld="0" item="0"/>
          <tpl fld="1" item="46"/>
          <tpl fld="4" item="36"/>
        </tpls>
      </m>
      <n v="374" in="0">
        <tpls c="3">
          <tpl fld="0" item="0"/>
          <tpl fld="1" item="281"/>
          <tpl fld="4" item="37"/>
        </tpls>
      </n>
      <n v="97" in="0">
        <tpls c="3">
          <tpl fld="0" item="0"/>
          <tpl fld="1" item="330"/>
          <tpl fld="4" item="37"/>
        </tpls>
      </n>
      <n v="10" in="0">
        <tpls c="3">
          <tpl fld="0" item="0"/>
          <tpl fld="1" item="409"/>
          <tpl fld="4" item="38"/>
        </tpls>
      </n>
      <n v="1187" in="0">
        <tpls c="3">
          <tpl fld="0" item="0"/>
          <tpl fld="1" item="225"/>
          <tpl fld="4" item="37"/>
        </tpls>
      </n>
      <n v="4" in="0">
        <tpls c="3">
          <tpl fld="0" item="0"/>
          <tpl fld="1" item="120"/>
          <tpl fld="4" item="38"/>
        </tpls>
      </n>
      <n v="11" in="0">
        <tpls c="3">
          <tpl fld="0" item="0"/>
          <tpl fld="1" item="429"/>
          <tpl fld="4" item="37"/>
        </tpls>
      </n>
      <m in="0">
        <tpls c="3">
          <tpl fld="0" item="0"/>
          <tpl fld="1" item="342"/>
          <tpl fld="4" item="38"/>
        </tpls>
      </m>
      <n v="3" in="0">
        <tpls c="3">
          <tpl fld="0" item="0"/>
          <tpl fld="1" item="35"/>
          <tpl fld="4" item="37"/>
        </tpls>
      </n>
      <n v="1" in="0">
        <tpls c="3">
          <tpl fld="0" item="0"/>
          <tpl fld="1" item="242"/>
          <tpl fld="4" item="38"/>
        </tpls>
      </n>
      <n v="257" in="0">
        <tpls c="3">
          <tpl fld="0" item="0"/>
          <tpl fld="1" item="160"/>
          <tpl fld="4" item="41"/>
        </tpls>
      </n>
      <m in="0">
        <tpls c="3">
          <tpl fld="0" item="0"/>
          <tpl fld="1" item="255"/>
          <tpl fld="4" item="35"/>
        </tpls>
      </m>
      <m in="0">
        <tpls c="3">
          <tpl fld="0" item="0"/>
          <tpl fld="1" item="31"/>
          <tpl fld="4" item="34"/>
        </tpls>
      </m>
      <m in="0">
        <tpls c="3">
          <tpl fld="0" item="0"/>
          <tpl fld="1" item="427"/>
          <tpl fld="4" item="34"/>
        </tpls>
      </m>
      <m in="0">
        <tpls c="3">
          <tpl fld="0" item="0"/>
          <tpl fld="1" item="405"/>
          <tpl fld="4" item="30"/>
        </tpls>
      </m>
      <m in="0">
        <tpls c="3">
          <tpl fld="0" item="0"/>
          <tpl fld="1" item="295"/>
          <tpl fld="4" item="35"/>
        </tpls>
      </m>
      <m in="0">
        <tpls c="3">
          <tpl fld="0" item="0"/>
          <tpl fld="1" item="223"/>
          <tpl fld="4" item="29"/>
        </tpls>
      </m>
      <m in="0">
        <tpls c="3">
          <tpl fld="0" item="0"/>
          <tpl fld="1" item="239"/>
          <tpl fld="4" item="35"/>
        </tpls>
      </m>
      <n v="3" in="0">
        <tpls c="3">
          <tpl fld="0" item="0"/>
          <tpl fld="1" item="271"/>
          <tpl fld="4" item="17"/>
        </tpls>
      </n>
      <m in="0">
        <tpls c="3">
          <tpl fld="0" item="0"/>
          <tpl fld="1" item="40"/>
          <tpl fld="4" item="34"/>
        </tpls>
      </m>
      <m in="0">
        <tpls c="3">
          <tpl fld="0" item="0"/>
          <tpl fld="1" item="4"/>
          <tpl fld="4" item="35"/>
        </tpls>
      </m>
      <m in="0">
        <tpls c="3">
          <tpl fld="0" item="0"/>
          <tpl fld="1" item="172"/>
          <tpl fld="4" item="0"/>
        </tpls>
      </m>
      <m in="0">
        <tpls c="3">
          <tpl fld="0" item="0"/>
          <tpl fld="1" item="215"/>
          <tpl fld="4" item="0"/>
        </tpls>
      </m>
      <m in="0">
        <tpls c="3">
          <tpl fld="0" item="0"/>
          <tpl fld="1" item="348"/>
          <tpl fld="4" item="0"/>
        </tpls>
      </m>
      <m in="0">
        <tpls c="3">
          <tpl fld="0" item="0"/>
          <tpl fld="1" item="173"/>
          <tpl fld="4" item="3"/>
        </tpls>
      </m>
      <m in="0">
        <tpls c="3">
          <tpl fld="0" item="0"/>
          <tpl fld="1" item="265"/>
          <tpl fld="4" item="4"/>
        </tpls>
      </m>
      <m in="0">
        <tpls c="3">
          <tpl fld="0" item="0"/>
          <tpl fld="1" item="452"/>
          <tpl fld="4" item="0"/>
        </tpls>
      </m>
      <m in="0">
        <tpls c="3">
          <tpl fld="0" item="0"/>
          <tpl fld="1" item="92"/>
          <tpl fld="4" item="4"/>
        </tpls>
      </m>
      <m in="0">
        <tpls c="3">
          <tpl fld="0" item="0"/>
          <tpl fld="1" item="151"/>
          <tpl fld="4" item="3"/>
        </tpls>
      </m>
      <m in="0">
        <tpls c="3">
          <tpl fld="0" item="0"/>
          <tpl fld="1" item="186"/>
          <tpl fld="4" item="4"/>
        </tpls>
      </m>
      <m in="0">
        <tpls c="3">
          <tpl fld="0" item="0"/>
          <tpl fld="1" item="369"/>
          <tpl fld="4" item="0"/>
        </tpls>
      </m>
      <m in="0">
        <tpls c="3">
          <tpl fld="0" item="0"/>
          <tpl fld="1" item="265"/>
          <tpl fld="4" item="3"/>
        </tpls>
      </m>
      <m in="0">
        <tpls c="3">
          <tpl fld="0" item="0"/>
          <tpl fld="1" item="46"/>
          <tpl fld="4" item="2"/>
        </tpls>
      </m>
      <m in="0">
        <tpls c="3">
          <tpl fld="0" item="0"/>
          <tpl fld="1" item="456"/>
          <tpl fld="4" item="3"/>
        </tpls>
      </m>
      <m in="0">
        <tpls c="3">
          <tpl fld="0" item="0"/>
          <tpl fld="1" item="163"/>
          <tpl fld="4" item="2"/>
        </tpls>
      </m>
      <n v="1" in="0">
        <tpls c="3">
          <tpl fld="0" item="0"/>
          <tpl fld="1" item="275"/>
          <tpl fld="4" item="3"/>
        </tpls>
      </n>
      <m in="0">
        <tpls c="3">
          <tpl fld="0" item="0"/>
          <tpl fld="1" item="26"/>
          <tpl fld="4" item="2"/>
        </tpls>
      </m>
      <m in="0">
        <tpls c="3">
          <tpl fld="0" item="0"/>
          <tpl fld="1" item="242"/>
          <tpl fld="4" item="4"/>
        </tpls>
      </m>
      <m in="0">
        <tpls c="3">
          <tpl fld="0" item="0"/>
          <tpl fld="1" item="59"/>
          <tpl fld="4" item="36"/>
        </tpls>
      </m>
      <m in="0">
        <tpls c="3">
          <tpl fld="0" item="0"/>
          <tpl fld="1" item="205"/>
          <tpl fld="4" item="4"/>
        </tpls>
      </m>
      <m in="0">
        <tpls c="3">
          <tpl fld="0" item="0"/>
          <tpl fld="1" item="299"/>
          <tpl fld="4" item="36"/>
        </tpls>
      </m>
      <m in="0">
        <tpls c="3">
          <tpl fld="0" item="0"/>
          <tpl fld="1" item="417"/>
          <tpl fld="4" item="4"/>
        </tpls>
      </m>
      <m in="0">
        <tpls c="3">
          <tpl fld="0" item="0"/>
          <tpl fld="1" item="210"/>
          <tpl fld="4" item="36"/>
        </tpls>
      </m>
      <m in="0">
        <tpls c="3">
          <tpl fld="0" item="0"/>
          <tpl fld="1" item="181"/>
          <tpl fld="4" item="36"/>
        </tpls>
      </m>
      <m in="0">
        <tpls c="3">
          <tpl fld="0" item="0"/>
          <tpl fld="1" item="16"/>
          <tpl fld="4" item="2"/>
        </tpls>
      </m>
      <m in="0">
        <tpls c="3">
          <tpl fld="0" item="0"/>
          <tpl fld="1" item="93"/>
          <tpl fld="4" item="2"/>
        </tpls>
      </m>
      <n v="4" in="0">
        <tpls c="3">
          <tpl fld="0" item="0"/>
          <tpl fld="1" item="372"/>
          <tpl fld="4" item="36"/>
        </tpls>
      </n>
      <m in="0">
        <tpls c="3">
          <tpl fld="0" item="0"/>
          <tpl fld="1" item="100"/>
          <tpl fld="4" item="36"/>
        </tpls>
      </m>
      <n v="10" in="0">
        <tpls c="3">
          <tpl fld="0" item="0"/>
          <tpl fld="2" item="0"/>
          <tpl fld="4" item="37"/>
        </tpls>
      </n>
      <m in="0">
        <tpls c="3">
          <tpl fld="0" item="0"/>
          <tpl fld="1" item="12"/>
          <tpl fld="4" item="2"/>
        </tpls>
      </m>
      <m in="0">
        <tpls c="3">
          <tpl fld="0" item="0"/>
          <tpl fld="1" item="247"/>
          <tpl fld="4" item="36"/>
        </tpls>
      </m>
      <m in="0">
        <tpls c="3">
          <tpl fld="0" item="0"/>
          <tpl fld="1" item="349"/>
          <tpl fld="4" item="39"/>
        </tpls>
      </m>
      <n v="1" in="0">
        <tpls c="3">
          <tpl fld="0" item="0"/>
          <tpl fld="1" item="401"/>
          <tpl fld="4" item="36"/>
        </tpls>
      </n>
      <n v="192" in="0">
        <tpls c="3">
          <tpl fld="0" item="0"/>
          <tpl fld="1" item="187"/>
          <tpl fld="4" item="37"/>
        </tpls>
      </n>
      <m in="0">
        <tpls c="3">
          <tpl fld="0" item="0"/>
          <tpl fld="1" item="118"/>
          <tpl fld="4" item="37"/>
        </tpls>
      </m>
      <m in="0">
        <tpls c="3">
          <tpl fld="0" item="0"/>
          <tpl fld="1" item="300"/>
          <tpl fld="4" item="36"/>
        </tpls>
      </m>
      <m in="0">
        <tpls c="3">
          <tpl fld="0" item="0"/>
          <tpl fld="1" item="211"/>
          <tpl fld="4" item="37"/>
        </tpls>
      </m>
      <n v="1" in="0">
        <tpls c="3">
          <tpl fld="0" item="0"/>
          <tpl fld="1" item="140"/>
          <tpl fld="4" item="34"/>
        </tpls>
      </n>
      <n v="79" in="0">
        <tpls c="3">
          <tpl fld="0" item="0"/>
          <tpl fld="1" item="313"/>
          <tpl fld="4" item="28"/>
        </tpls>
      </n>
      <m in="0">
        <tpls c="3">
          <tpl fld="0" item="0"/>
          <tpl fld="1" item="199"/>
          <tpl fld="4" item="34"/>
        </tpls>
      </m>
      <m in="0">
        <tpls c="3">
          <tpl fld="0" item="0"/>
          <tpl fld="1" item="408"/>
          <tpl fld="4" item="35"/>
        </tpls>
      </m>
      <m in="0">
        <tpls c="3">
          <tpl fld="0" item="0"/>
          <tpl fld="1" item="435"/>
          <tpl fld="4" item="34"/>
        </tpls>
      </m>
      <m in="0">
        <tpls c="3">
          <tpl fld="0" item="0"/>
          <tpl fld="1" item="425"/>
          <tpl fld="4" item="35"/>
        </tpls>
      </m>
      <m in="0">
        <tpls c="3">
          <tpl fld="0" item="0"/>
          <tpl fld="1" item="61"/>
          <tpl fld="4" item="33"/>
        </tpls>
      </m>
      <n v="1" in="0">
        <tpls c="3">
          <tpl fld="0" item="0"/>
          <tpl fld="1" item="331"/>
          <tpl fld="4" item="35"/>
        </tpls>
      </n>
      <n v="258" in="0">
        <tpls c="3">
          <tpl fld="0" item="0"/>
          <tpl fld="1" item="144"/>
          <tpl fld="4" item="24"/>
        </tpls>
      </n>
      <m in="0">
        <tpls c="3">
          <tpl fld="0" item="0"/>
          <tpl fld="1" item="287"/>
          <tpl fld="4" item="34"/>
        </tpls>
      </m>
      <m in="0">
        <tpls c="3">
          <tpl fld="0" item="0"/>
          <tpl fld="1" item="247"/>
          <tpl fld="4" item="22"/>
        </tpls>
      </m>
      <m in="0">
        <tpls c="3">
          <tpl fld="0" item="0"/>
          <tpl fld="1" item="263"/>
          <tpl fld="4" item="0"/>
        </tpls>
      </m>
      <m in="0">
        <tpls c="3">
          <tpl fld="0" item="0"/>
          <tpl fld="1" item="373"/>
          <tpl fld="4" item="0"/>
        </tpls>
      </m>
      <m in="0">
        <tpls c="3">
          <tpl fld="0" item="0"/>
          <tpl fld="1" item="350"/>
          <tpl fld="4" item="0"/>
        </tpls>
      </m>
      <m in="0">
        <tpls c="3">
          <tpl fld="0" item="0"/>
          <tpl fld="1" item="262"/>
          <tpl fld="4" item="3"/>
        </tpls>
      </m>
      <m in="0">
        <tpls c="3">
          <tpl fld="0" item="0"/>
          <tpl fld="1" item="88"/>
          <tpl fld="4" item="2"/>
        </tpls>
      </m>
      <n v="42" in="0">
        <tpls c="3">
          <tpl fld="0" item="0"/>
          <tpl fld="1" item="364"/>
          <tpl fld="4" item="3"/>
        </tpls>
      </n>
      <m in="0">
        <tpls c="3">
          <tpl fld="0" item="0"/>
          <tpl fld="1" item="274"/>
          <tpl fld="4" item="4"/>
        </tpls>
      </m>
      <m in="0">
        <tpls c="3">
          <tpl fld="0" item="0"/>
          <tpl fld="1" item="387"/>
          <tpl fld="4" item="3"/>
        </tpls>
      </m>
      <m in="0">
        <tpls c="3">
          <tpl fld="0" item="0"/>
          <tpl fld="1" item="451"/>
          <tpl fld="4" item="2"/>
        </tpls>
      </m>
      <m in="0">
        <tpls c="3">
          <tpl fld="0" item="0"/>
          <tpl fld="1" item="346"/>
          <tpl fld="4" item="0"/>
        </tpls>
      </m>
      <m in="0">
        <tpls c="3">
          <tpl fld="0" item="0"/>
          <tpl fld="1" item="226"/>
          <tpl fld="4" item="3"/>
        </tpls>
      </m>
      <m in="0">
        <tpls c="3">
          <tpl fld="0" item="0"/>
          <tpl fld="1" item="100"/>
          <tpl fld="4" item="2"/>
        </tpls>
      </m>
      <m in="0">
        <tpls c="3">
          <tpl fld="0" item="0"/>
          <tpl fld="1" item="235"/>
          <tpl fld="4" item="3"/>
        </tpls>
      </m>
      <m in="0">
        <tpls c="3">
          <tpl fld="0" item="0"/>
          <tpl fld="1" item="76"/>
          <tpl fld="4" item="2"/>
        </tpls>
      </m>
      <m in="0">
        <tpls c="3">
          <tpl fld="0" item="0"/>
          <tpl fld="1" item="98"/>
          <tpl fld="4" item="4"/>
        </tpls>
      </m>
      <m in="0">
        <tpls c="3">
          <tpl fld="0" item="0"/>
          <tpl fld="1" item="446"/>
          <tpl fld="4" item="3"/>
        </tpls>
      </m>
      <m in="0">
        <tpls c="3">
          <tpl fld="0" item="0"/>
          <tpl fld="1" item="378"/>
          <tpl fld="4" item="4"/>
        </tpls>
      </m>
      <m in="0">
        <tpls c="3">
          <tpl fld="0" item="0"/>
          <tpl fld="1" item="304"/>
          <tpl fld="4" item="36"/>
        </tpls>
      </m>
      <m in="0">
        <tpls c="3">
          <tpl fld="0" item="0"/>
          <tpl fld="1" item="390"/>
          <tpl fld="4" item="2"/>
        </tpls>
      </m>
      <n v="10" in="0">
        <tpls c="3">
          <tpl fld="0" item="0"/>
          <tpl fld="1" item="254"/>
          <tpl fld="4" item="36"/>
        </tpls>
      </n>
      <m in="0">
        <tpls c="3">
          <tpl fld="0" item="0"/>
          <tpl fld="1" item="412"/>
          <tpl fld="4" item="2"/>
        </tpls>
      </m>
      <n v="10" in="0">
        <tpls c="3">
          <tpl fld="0" item="0"/>
          <tpl fld="1" item="417"/>
          <tpl fld="4" item="36"/>
        </tpls>
      </n>
      <n v="194" in="0">
        <tpls c="3">
          <tpl fld="0" item="0"/>
          <tpl fld="1" item="351"/>
          <tpl fld="4" item="36"/>
        </tpls>
      </n>
      <m in="0">
        <tpls c="3">
          <tpl fld="0" item="0"/>
          <tpl fld="1" item="412"/>
          <tpl fld="4" item="36"/>
        </tpls>
      </m>
      <m in="0">
        <tpls c="3">
          <tpl fld="0" item="0"/>
          <tpl fld="1" item="197"/>
          <tpl fld="4" item="2"/>
        </tpls>
      </m>
      <m in="0">
        <tpls c="3">
          <tpl fld="0" item="0"/>
          <tpl fld="1" item="423"/>
          <tpl fld="4" item="37"/>
        </tpls>
      </m>
      <n v="11" in="0">
        <tpls c="3">
          <tpl fld="0" item="0"/>
          <tpl fld="1" item="199"/>
          <tpl fld="4" item="36"/>
        </tpls>
      </n>
      <n v="83" in="0">
        <tpls c="3">
          <tpl fld="0" item="0"/>
          <tpl fld="1" item="418"/>
          <tpl fld="4" item="37"/>
        </tpls>
      </n>
      <n v="33" in="0">
        <tpls c="3">
          <tpl fld="0" item="0"/>
          <tpl fld="1" item="275"/>
          <tpl fld="4" item="36"/>
        </tpls>
      </n>
      <n v="4" in="0">
        <tpls c="3">
          <tpl fld="0" item="0"/>
          <tpl fld="1" item="162"/>
          <tpl fld="4" item="37"/>
        </tpls>
      </n>
      <m in="0">
        <tpls c="3">
          <tpl fld="0" item="0"/>
          <tpl fld="1" item="109"/>
          <tpl fld="4" item="2"/>
        </tpls>
      </m>
      <n v="32" in="0">
        <tpls c="3">
          <tpl fld="0" item="0"/>
          <tpl fld="1" item="368"/>
          <tpl fld="4" item="36"/>
        </tpls>
      </n>
      <n v="1" in="0">
        <tpls c="3">
          <tpl fld="0" item="0"/>
          <tpl fld="1" item="63"/>
          <tpl fld="4" item="38"/>
        </tpls>
      </n>
      <n v="188" in="0">
        <tpls c="3">
          <tpl fld="0" item="0"/>
          <tpl fld="1" item="174"/>
          <tpl fld="4" item="37"/>
        </tpls>
      </n>
      <n v="118" in="0">
        <tpls c="3">
          <tpl fld="0" item="0"/>
          <tpl fld="1" item="80"/>
          <tpl fld="4" item="36"/>
        </tpls>
      </n>
      <n v="67" in="0">
        <tpls c="3">
          <tpl fld="0" item="0"/>
          <tpl fld="1" item="103"/>
          <tpl fld="4" item="37"/>
        </tpls>
      </n>
      <m in="0">
        <tpls c="3">
          <tpl fld="0" item="0"/>
          <tpl fld="1" item="409"/>
          <tpl fld="4" item="2"/>
        </tpls>
      </m>
      <n v="10" in="0">
        <tpls c="3">
          <tpl fld="0" item="0"/>
          <tpl fld="1" item="16"/>
          <tpl fld="4" item="36"/>
        </tpls>
      </n>
      <m in="0">
        <tpls c="3">
          <tpl fld="0" item="0"/>
          <tpl fld="1" item="250"/>
          <tpl fld="4" item="38"/>
        </tpls>
      </m>
      <m in="0">
        <tpls c="3">
          <tpl fld="0" item="0"/>
          <tpl fld="1" item="232"/>
          <tpl fld="4" item="38"/>
        </tpls>
      </m>
      <m in="0">
        <tpls c="3">
          <tpl fld="0" item="0"/>
          <tpl fld="1" item="240"/>
          <tpl fld="4" item="40"/>
        </tpls>
      </m>
      <n v="13" in="0">
        <tpls c="3">
          <tpl fld="0" item="0"/>
          <tpl fld="1" item="377"/>
          <tpl fld="4" item="38"/>
        </tpls>
      </n>
      <n v="41" in="0">
        <tpls c="3">
          <tpl fld="0" item="0"/>
          <tpl fld="1" item="420"/>
          <tpl fld="4" item="40"/>
        </tpls>
      </n>
      <m in="0">
        <tpls c="3">
          <tpl fld="0" item="0"/>
          <tpl fld="2" item="0"/>
          <tpl fld="4" item="38"/>
        </tpls>
      </m>
      <n v="20" in="0">
        <tpls c="3">
          <tpl fld="0" item="0"/>
          <tpl fld="1" item="256"/>
          <tpl fld="4" item="40"/>
        </tpls>
      </n>
      <m in="0">
        <tpls c="3">
          <tpl fld="0" item="0"/>
          <tpl fld="1" item="375"/>
          <tpl fld="4" item="38"/>
        </tpls>
      </m>
      <m in="0">
        <tpls c="3">
          <tpl fld="0" item="0"/>
          <tpl fld="1" item="66"/>
          <tpl fld="4" item="39"/>
        </tpls>
      </m>
      <m in="0">
        <tpls c="3">
          <tpl fld="0" item="0"/>
          <tpl fld="1" item="421"/>
          <tpl fld="4" item="38"/>
        </tpls>
      </m>
      <n v="1" in="0">
        <tpls c="3">
          <tpl fld="0" item="0"/>
          <tpl fld="1" item="116"/>
          <tpl fld="4" item="42"/>
        </tpls>
      </n>
      <n v="25" in="0">
        <tpls c="3">
          <tpl fld="0" item="0"/>
          <tpl fld="1" item="68"/>
          <tpl fld="4" item="39"/>
        </tpls>
      </n>
      <n v="2" in="0">
        <tpls c="3">
          <tpl fld="0" item="0"/>
          <tpl fld="1" item="290"/>
          <tpl fld="4" item="39"/>
        </tpls>
      </n>
      <n v="1" in="0">
        <tpls c="3">
          <tpl fld="0" item="0"/>
          <tpl fld="1" item="204"/>
          <tpl fld="4" item="18"/>
        </tpls>
      </n>
      <m in="0">
        <tpls c="3">
          <tpl fld="0" item="0"/>
          <tpl fld="1" item="183"/>
          <tpl fld="4" item="31"/>
        </tpls>
      </m>
      <m in="0">
        <tpls c="3">
          <tpl fld="0" item="0"/>
          <tpl fld="1" item="428"/>
          <tpl fld="4" item="35"/>
        </tpls>
      </m>
      <n v="262" in="0">
        <tpls c="3">
          <tpl fld="0" item="0"/>
          <tpl fld="1" item="201"/>
          <tpl fld="4" item="23"/>
        </tpls>
      </n>
      <m in="0">
        <tpls c="3">
          <tpl fld="0" item="0"/>
          <tpl fld="1" item="184"/>
          <tpl fld="4" item="34"/>
        </tpls>
      </m>
      <n v="8" in="0">
        <tpls c="3">
          <tpl fld="0" item="0"/>
          <tpl fld="1" item="163"/>
          <tpl fld="4" item="26"/>
        </tpls>
      </n>
      <m in="0">
        <tpls c="3">
          <tpl fld="0" item="0"/>
          <tpl fld="1" item="219"/>
          <tpl fld="4" item="30"/>
        </tpls>
      </m>
      <m in="0">
        <tpls c="3">
          <tpl fld="0" item="0"/>
          <tpl fld="1" item="298"/>
          <tpl fld="4" item="35"/>
        </tpls>
      </m>
      <m in="0">
        <tpls c="3">
          <tpl fld="0" item="0"/>
          <tpl fld="1" item="384"/>
          <tpl fld="4" item="31"/>
        </tpls>
      </m>
      <m in="0">
        <tpls c="3">
          <tpl fld="0" item="0"/>
          <tpl fld="1" item="444"/>
          <tpl fld="4" item="34"/>
        </tpls>
      </m>
      <m in="0">
        <tpls c="3">
          <tpl fld="0" item="0"/>
          <tpl fld="1" item="334"/>
          <tpl fld="4" item="33"/>
        </tpls>
      </m>
      <m in="0">
        <tpls c="3">
          <tpl fld="0" item="0"/>
          <tpl fld="1" item="236"/>
          <tpl fld="4" item="3"/>
        </tpls>
      </m>
      <m in="0">
        <tpls c="3">
          <tpl fld="0" item="0"/>
          <tpl fld="1" item="315"/>
          <tpl fld="4" item="3"/>
        </tpls>
      </m>
      <m in="0">
        <tpls c="3">
          <tpl fld="0" item="0"/>
          <tpl fld="1" item="316"/>
          <tpl fld="4" item="0"/>
        </tpls>
      </m>
      <m in="0">
        <tpls c="3">
          <tpl fld="0" item="0"/>
          <tpl fld="1" item="223"/>
          <tpl fld="4" item="3"/>
        </tpls>
      </m>
      <m in="0">
        <tpls c="3">
          <tpl fld="0" item="0"/>
          <tpl fld="1" item="355"/>
          <tpl fld="4" item="2"/>
        </tpls>
      </m>
      <m in="0">
        <tpls c="3">
          <tpl fld="0" item="0"/>
          <tpl fld="1" item="78"/>
          <tpl fld="4" item="3"/>
        </tpls>
      </m>
      <m in="0">
        <tpls c="3">
          <tpl fld="0" item="0"/>
          <tpl fld="1" item="10"/>
          <tpl fld="4" item="4"/>
        </tpls>
      </m>
      <m in="0">
        <tpls c="3">
          <tpl fld="0" item="0"/>
          <tpl fld="1" item="155"/>
          <tpl fld="4" item="3"/>
        </tpls>
      </m>
      <m in="0">
        <tpls c="3">
          <tpl fld="0" item="0"/>
          <tpl fld="1" item="264"/>
          <tpl fld="4" item="2"/>
        </tpls>
      </m>
      <m in="0">
        <tpls c="3">
          <tpl fld="0" item="0"/>
          <tpl fld="1" item="354"/>
          <tpl fld="4" item="0"/>
        </tpls>
      </m>
      <m in="0">
        <tpls c="3">
          <tpl fld="0" item="0"/>
          <tpl fld="1" item="217"/>
          <tpl fld="4" item="4"/>
        </tpls>
      </m>
      <m in="0">
        <tpls c="3">
          <tpl fld="0" item="0"/>
          <tpl fld="1" item="352"/>
          <tpl fld="4" item="0"/>
        </tpls>
      </m>
      <m in="0">
        <tpls c="3">
          <tpl fld="0" item="0"/>
          <tpl fld="1" item="388"/>
          <tpl fld="4" item="4"/>
        </tpls>
      </m>
      <m in="0">
        <tpls c="3">
          <tpl fld="0" item="0"/>
          <tpl fld="1" item="166"/>
          <tpl fld="4" item="3"/>
        </tpls>
      </m>
      <m in="0">
        <tpls c="3">
          <tpl fld="0" item="0"/>
          <tpl fld="1" item="85"/>
          <tpl fld="4" item="4"/>
        </tpls>
      </m>
      <m in="0">
        <tpls c="3">
          <tpl fld="0" item="0"/>
          <tpl fld="1" item="255"/>
          <tpl fld="4" item="3"/>
        </tpls>
      </m>
      <m in="0">
        <tpls c="3">
          <tpl fld="0" item="0"/>
          <tpl fld="1" item="165"/>
          <tpl fld="4" item="2"/>
        </tpls>
      </m>
      <n v="334" in="0">
        <tpls c="3">
          <tpl fld="0" item="0"/>
          <tpl fld="1" item="333"/>
          <tpl fld="4" item="37"/>
        </tpls>
      </n>
      <m in="0">
        <tpls c="3">
          <tpl fld="0" item="0"/>
          <tpl fld="1" item="340"/>
          <tpl fld="4" item="2"/>
        </tpls>
      </m>
      <n v="1989" in="0">
        <tpls c="3">
          <tpl fld="0" item="0"/>
          <tpl fld="1" item="380"/>
          <tpl fld="4" item="37"/>
        </tpls>
      </n>
      <m in="0">
        <tpls c="3">
          <tpl fld="0" item="0"/>
          <tpl fld="1" item="78"/>
          <tpl fld="4" item="2"/>
        </tpls>
      </m>
      <n v="25" in="0">
        <tpls c="3">
          <tpl fld="0" item="0"/>
          <tpl fld="1" item="208"/>
          <tpl fld="4" item="37"/>
        </tpls>
      </n>
      <n v="331" in="0">
        <tpls c="3">
          <tpl fld="0" item="0"/>
          <tpl fld="1" item="11"/>
          <tpl fld="4" item="37"/>
        </tpls>
      </n>
      <n v="69" in="0">
        <tpls c="3">
          <tpl fld="0" item="0"/>
          <tpl fld="1" item="10"/>
          <tpl fld="4" item="36"/>
        </tpls>
      </n>
      <m in="0">
        <tpls c="3">
          <tpl fld="0" item="0"/>
          <tpl fld="1" item="281"/>
          <tpl fld="4" item="2"/>
        </tpls>
      </m>
      <m in="0">
        <tpls c="3">
          <tpl fld="0" item="0"/>
          <tpl fld="1" item="299"/>
          <tpl fld="4" item="38"/>
        </tpls>
      </m>
      <m in="0">
        <tpls c="3">
          <tpl fld="0" item="0"/>
          <tpl fld="1" item="153"/>
          <tpl fld="4" item="37"/>
        </tpls>
      </m>
      <m in="0">
        <tpls c="3">
          <tpl fld="0" item="0"/>
          <tpl fld="1" item="253"/>
          <tpl fld="4" item="37"/>
        </tpls>
      </m>
      <n v="224" in="0">
        <tpls c="3">
          <tpl fld="0" item="0"/>
          <tpl fld="1" item="149"/>
          <tpl fld="4" item="36"/>
        </tpls>
      </n>
      <m in="0">
        <tpls c="3">
          <tpl fld="0" item="0"/>
          <tpl fld="1" item="43"/>
          <tpl fld="4" item="37"/>
        </tpls>
      </m>
      <m in="0">
        <tpls c="3">
          <tpl fld="0" item="0"/>
          <tpl fld="1" item="295"/>
          <tpl fld="4" item="2"/>
        </tpls>
      </m>
      <m in="0">
        <tpls c="3">
          <tpl fld="0" item="0"/>
          <tpl fld="1" item="234"/>
          <tpl fld="4" item="36"/>
        </tpls>
      </m>
      <n v="44" in="0">
        <tpls c="3">
          <tpl fld="0" item="0"/>
          <tpl fld="1" item="266"/>
          <tpl fld="4" item="38"/>
        </tpls>
      </n>
      <m in="0">
        <tpls c="3">
          <tpl fld="0" item="0"/>
          <tpl fld="1" item="355"/>
          <tpl fld="4" item="37"/>
        </tpls>
      </m>
      <m in="0">
        <tpls c="3">
          <tpl fld="0" item="0"/>
          <tpl fld="1" item="171"/>
          <tpl fld="4" item="36"/>
        </tpls>
      </m>
      <n v="41" in="0">
        <tpls c="3">
          <tpl fld="0" item="0"/>
          <tpl fld="1" item="194"/>
          <tpl fld="4" item="37"/>
        </tpls>
      </n>
      <m in="0">
        <tpls c="3">
          <tpl fld="0" item="0"/>
          <tpl fld="1" item="396"/>
          <tpl fld="4" item="2"/>
        </tpls>
      </m>
      <m in="0">
        <tpls c="3">
          <tpl fld="0" item="0"/>
          <tpl fld="1" item="143"/>
          <tpl fld="4" item="37"/>
        </tpls>
      </m>
      <m in="0">
        <tpls c="3">
          <tpl fld="0" item="0"/>
          <tpl fld="1" item="218"/>
          <tpl fld="4" item="41"/>
        </tpls>
      </m>
      <m in="0">
        <tpls c="3">
          <tpl fld="0" item="0"/>
          <tpl fld="1" item="119"/>
          <tpl fld="4" item="38"/>
        </tpls>
      </m>
      <n v="18" in="0">
        <tpls c="3">
          <tpl fld="0" item="0"/>
          <tpl fld="1" item="201"/>
          <tpl fld="4" item="40"/>
        </tpls>
      </n>
      <m in="0">
        <tpls c="3">
          <tpl fld="0" item="0"/>
          <tpl fld="1" item="1"/>
          <tpl fld="4" item="38"/>
        </tpls>
      </m>
      <m in="0">
        <tpls c="3">
          <tpl fld="0" item="0"/>
          <tpl fld="1" item="453"/>
          <tpl fld="4" item="34"/>
        </tpls>
      </m>
      <m in="0">
        <tpls c="3">
          <tpl fld="0" item="0"/>
          <tpl fld="1" item="223"/>
          <tpl fld="4" item="30"/>
        </tpls>
      </m>
      <m in="0">
        <tpls c="3">
          <tpl fld="0" item="0"/>
          <tpl fld="1" item="238"/>
          <tpl fld="4" item="35"/>
        </tpls>
      </m>
      <m in="0">
        <tpls c="3">
          <tpl fld="0" item="0"/>
          <tpl fld="1" item="99"/>
          <tpl fld="4" item="35"/>
        </tpls>
      </m>
      <n v="249" in="0">
        <tpls c="3">
          <tpl fld="0" item="0"/>
          <tpl fld="1" item="319"/>
          <tpl fld="4" item="29"/>
        </tpls>
      </n>
      <m in="0">
        <tpls c="3">
          <tpl fld="0" item="0"/>
          <tpl fld="1" item="201"/>
          <tpl fld="4" item="34"/>
        </tpls>
      </m>
      <m in="0">
        <tpls c="3">
          <tpl fld="0" item="0"/>
          <tpl fld="1" item="386"/>
          <tpl fld="4" item="31"/>
        </tpls>
      </m>
      <m in="0">
        <tpls c="3">
          <tpl fld="0" item="0"/>
          <tpl fld="1" item="294"/>
          <tpl fld="4" item="30"/>
        </tpls>
      </m>
      <m in="0">
        <tpls c="3">
          <tpl fld="0" item="0"/>
          <tpl fld="1" item="365"/>
          <tpl fld="4" item="35"/>
        </tpls>
      </m>
      <m in="0">
        <tpls c="3">
          <tpl fld="0" item="0"/>
          <tpl fld="1" item="180"/>
          <tpl fld="4" item="35"/>
        </tpls>
      </m>
      <n v="1" in="0">
        <tpls c="3">
          <tpl fld="0" item="0"/>
          <tpl fld="1" item="409"/>
          <tpl fld="4" item="0"/>
        </tpls>
      </n>
      <m in="0">
        <tpls c="3">
          <tpl fld="0" item="0"/>
          <tpl fld="1" item="252"/>
          <tpl fld="4" item="0"/>
        </tpls>
      </m>
      <m in="0">
        <tpls c="3">
          <tpl fld="0" item="0"/>
          <tpl fld="1" item="297"/>
          <tpl fld="4" item="0"/>
        </tpls>
      </m>
      <m in="0">
        <tpls c="3">
          <tpl fld="0" item="0"/>
          <tpl fld="1" item="312"/>
          <tpl fld="4" item="3"/>
        </tpls>
      </m>
      <m in="0">
        <tpls c="3">
          <tpl fld="0" item="0"/>
          <tpl fld="1" item="58"/>
          <tpl fld="4" item="4"/>
        </tpls>
      </m>
      <m in="0">
        <tpls c="3">
          <tpl fld="0" item="0"/>
          <tpl fld="1" item="141"/>
          <tpl fld="4" item="0"/>
        </tpls>
      </m>
      <m in="0">
        <tpls c="3">
          <tpl fld="0" item="0"/>
          <tpl fld="1" item="95"/>
          <tpl fld="4" item="3"/>
        </tpls>
      </m>
      <m in="0">
        <tpls c="3">
          <tpl fld="0" item="0"/>
          <tpl fld="1" item="123"/>
          <tpl fld="4" item="2"/>
        </tpls>
      </m>
      <m in="0">
        <tpls c="3">
          <tpl fld="0" item="0"/>
          <tpl fld="1" item="219"/>
          <tpl fld="4" item="4"/>
        </tpls>
      </m>
      <m in="0">
        <tpls c="3">
          <tpl fld="0" item="0"/>
          <tpl fld="1" item="327"/>
          <tpl fld="4" item="0"/>
        </tpls>
      </m>
      <m in="0">
        <tpls c="3">
          <tpl fld="0" item="0"/>
          <tpl fld="1" item="38"/>
          <tpl fld="4" item="3"/>
        </tpls>
      </m>
      <m in="0">
        <tpls c="3">
          <tpl fld="0" item="0"/>
          <tpl fld="1" item="442"/>
          <tpl fld="4" item="4"/>
        </tpls>
      </m>
      <m in="0">
        <tpls c="3">
          <tpl fld="0" item="0"/>
          <tpl fld="1" item="448"/>
          <tpl fld="4" item="3"/>
        </tpls>
      </m>
      <m in="0">
        <tpls c="3">
          <tpl fld="0" item="0"/>
          <tpl fld="1" item="331"/>
          <tpl fld="4" item="4"/>
        </tpls>
      </m>
      <m in="0">
        <tpls c="3">
          <tpl fld="0" item="0"/>
          <tpl fld="1" item="404"/>
          <tpl fld="4" item="3"/>
        </tpls>
      </m>
      <m in="0">
        <tpls c="3">
          <tpl fld="0" item="0"/>
          <tpl fld="1" item="104"/>
          <tpl fld="4" item="4"/>
        </tpls>
      </m>
      <m in="0">
        <tpls c="3">
          <tpl fld="0" item="0"/>
          <tpl fld="1" item="338"/>
          <tpl fld="4" item="4"/>
        </tpls>
      </m>
      <m in="0">
        <tpls c="3">
          <tpl fld="0" item="0"/>
          <tpl fld="1" item="72"/>
          <tpl fld="4" item="2"/>
        </tpls>
      </m>
      <m in="0">
        <tpls c="3">
          <tpl fld="0" item="0"/>
          <tpl fld="1" item="230"/>
          <tpl fld="4" item="4"/>
        </tpls>
      </m>
      <m in="0">
        <tpls c="3">
          <tpl fld="0" item="0"/>
          <tpl fld="1" item="15"/>
          <tpl fld="4" item="2"/>
        </tpls>
      </m>
      <m in="0">
        <tpls c="3">
          <tpl fld="0" item="0"/>
          <tpl fld="1" item="377"/>
          <tpl fld="4" item="4"/>
        </tpls>
      </m>
      <m in="0">
        <tpls c="3">
          <tpl fld="0" item="0"/>
          <tpl fld="1" item="223"/>
          <tpl fld="4" item="2"/>
        </tpls>
      </m>
      <m in="0">
        <tpls c="3">
          <tpl fld="0" item="0"/>
          <tpl fld="1" item="266"/>
          <tpl fld="4" item="2"/>
        </tpls>
      </m>
      <m in="0">
        <tpls c="3">
          <tpl fld="0" item="0"/>
          <tpl fld="1" item="349"/>
          <tpl fld="4" item="2"/>
        </tpls>
      </m>
      <n v="17" in="0">
        <tpls c="3">
          <tpl fld="0" item="0"/>
          <tpl fld="1" item="385"/>
          <tpl fld="4" item="38"/>
        </tpls>
      </n>
      <m in="0">
        <tpls c="3">
          <tpl fld="0" item="0"/>
          <tpl fld="1" item="360"/>
          <tpl fld="4" item="2"/>
        </tpls>
      </m>
      <m in="0">
        <tpls c="3">
          <tpl fld="0" item="0"/>
          <tpl fld="1" item="426"/>
          <tpl fld="4" item="2"/>
        </tpls>
      </m>
      <n v="2" in="0">
        <tpls c="3">
          <tpl fld="0" item="0"/>
          <tpl fld="1" item="27"/>
          <tpl fld="4" item="37"/>
        </tpls>
      </n>
      <m in="0">
        <tpls c="3">
          <tpl fld="0" item="0"/>
          <tpl fld="1" item="292"/>
          <tpl fld="4" item="2"/>
        </tpls>
      </m>
      <m in="0">
        <tpls c="3">
          <tpl fld="0" item="0"/>
          <tpl fld="1" item="374"/>
          <tpl fld="4" item="36"/>
        </tpls>
      </m>
      <m in="0">
        <tpls c="3">
          <tpl fld="0" item="0"/>
          <tpl fld="1" item="251"/>
          <tpl fld="4" item="37"/>
        </tpls>
      </m>
      <n v="3" in="0">
        <tpls c="3">
          <tpl fld="0" item="0"/>
          <tpl fld="1" item="156"/>
          <tpl fld="4" item="36"/>
        </tpls>
      </n>
      <n v="845" in="0">
        <tpls c="3">
          <tpl fld="0" item="0"/>
          <tpl fld="1" item="68"/>
          <tpl fld="4" item="37"/>
        </tpls>
      </n>
      <n v="7" in="0">
        <tpls c="3">
          <tpl fld="0" item="0"/>
          <tpl fld="1" item="429"/>
          <tpl fld="4" item="36"/>
        </tpls>
      </n>
      <m in="0">
        <tpls c="3">
          <tpl fld="0" item="0"/>
          <tpl fld="1" item="118"/>
          <tpl fld="4" item="38"/>
        </tpls>
      </m>
      <n v="9" in="0">
        <tpls c="3">
          <tpl fld="0" item="0"/>
          <tpl fld="1" item="431"/>
          <tpl fld="4" item="36"/>
        </tpls>
      </n>
      <m in="0">
        <tpls c="3">
          <tpl fld="0" item="0"/>
          <tpl fld="1" item="394"/>
          <tpl fld="4" item="38"/>
        </tpls>
      </m>
      <n v="16" in="0">
        <tpls c="3">
          <tpl fld="0" item="0"/>
          <tpl fld="1" item="38"/>
          <tpl fld="4" item="36"/>
        </tpls>
      </n>
      <m in="0">
        <tpls c="3">
          <tpl fld="0" item="0"/>
          <tpl fld="1" item="336"/>
          <tpl fld="4" item="37"/>
        </tpls>
      </m>
      <m in="0">
        <tpls c="3">
          <tpl fld="0" item="0"/>
          <tpl fld="1" item="426"/>
          <tpl fld="4" item="37"/>
        </tpls>
      </m>
      <n v="12" in="0">
        <tpls c="3">
          <tpl fld="0" item="0"/>
          <tpl fld="1" item="183"/>
          <tpl fld="4" item="39"/>
        </tpls>
      </n>
      <m in="0">
        <tpls c="3">
          <tpl fld="0" item="0"/>
          <tpl fld="1" item="306"/>
          <tpl fld="4" item="37"/>
        </tpls>
      </m>
      <m in="0">
        <tpls c="3">
          <tpl fld="0" item="0"/>
          <tpl fld="1" item="60"/>
          <tpl fld="4" item="39"/>
        </tpls>
      </m>
      <n v="66" in="0">
        <tpls c="3">
          <tpl fld="0" item="0"/>
          <tpl fld="1" item="360"/>
          <tpl fld="4" item="37"/>
        </tpls>
      </n>
      <n v="16" in="0">
        <tpls c="3">
          <tpl fld="0" item="0"/>
          <tpl fld="1" item="114"/>
          <tpl fld="4" item="39"/>
        </tpls>
      </n>
      <n v="33" in="0">
        <tpls c="3">
          <tpl fld="0" item="0"/>
          <tpl fld="1" item="431"/>
          <tpl fld="4" item="37"/>
        </tpls>
      </n>
      <m in="0">
        <tpls c="3">
          <tpl fld="0" item="0"/>
          <tpl fld="1" item="152"/>
          <tpl fld="4" item="38"/>
        </tpls>
      </m>
      <m in="0">
        <tpls c="3">
          <tpl fld="0" item="0"/>
          <tpl fld="1" item="220"/>
          <tpl fld="4" item="35"/>
        </tpls>
      </m>
      <n v="16" in="0">
        <tpls c="3">
          <tpl fld="0" item="0"/>
          <tpl fld="1" item="167"/>
          <tpl fld="4" item="25"/>
        </tpls>
      </n>
      <m in="0">
        <tpls c="3">
          <tpl fld="0" item="0"/>
          <tpl fld="1" item="137"/>
          <tpl fld="4" item="35"/>
        </tpls>
      </m>
      <m in="0">
        <tpls c="3">
          <tpl fld="0" item="0"/>
          <tpl fld="1" item="265"/>
          <tpl fld="4" item="35"/>
        </tpls>
      </m>
      <m in="0">
        <tpls c="3">
          <tpl fld="0" item="0"/>
          <tpl fld="1" item="1"/>
          <tpl fld="4" item="34"/>
        </tpls>
      </m>
      <m in="0">
        <tpls c="3">
          <tpl fld="0" item="0"/>
          <tpl fld="1" item="356"/>
          <tpl fld="4" item="22"/>
        </tpls>
      </m>
      <n v="20" in="0">
        <tpls c="3">
          <tpl fld="0" item="0"/>
          <tpl fld="1" item="323"/>
          <tpl fld="4" item="25"/>
        </tpls>
      </n>
      <m in="0">
        <tpls c="3">
          <tpl fld="0" item="0"/>
          <tpl fld="1" item="193"/>
          <tpl fld="4" item="31"/>
        </tpls>
      </m>
      <m in="0">
        <tpls c="3">
          <tpl fld="0" item="0"/>
          <tpl fld="1" item="336"/>
          <tpl fld="4" item="33"/>
        </tpls>
      </m>
      <m in="0">
        <tpls c="3">
          <tpl fld="0" item="0"/>
          <tpl fld="1" item="355"/>
          <tpl fld="4" item="26"/>
        </tpls>
      </m>
      <m in="0">
        <tpls c="3">
          <tpl fld="0" item="0"/>
          <tpl fld="1" item="399"/>
          <tpl fld="4" item="23"/>
        </tpls>
      </m>
      <n v="221" in="0">
        <tpls c="3">
          <tpl fld="0" item="0"/>
          <tpl fld="1" item="255"/>
          <tpl fld="4" item="25"/>
        </tpls>
      </n>
      <m in="0">
        <tpls c="3">
          <tpl fld="0" item="0"/>
          <tpl fld="1" item="307"/>
          <tpl fld="4" item="33"/>
        </tpls>
      </m>
      <m in="0">
        <tpls c="3">
          <tpl fld="0" item="0"/>
          <tpl fld="1" item="233"/>
          <tpl fld="4" item="30"/>
        </tpls>
      </m>
      <m in="0">
        <tpls c="3">
          <tpl fld="0" item="0"/>
          <tpl fld="1" item="360"/>
          <tpl fld="4" item="34"/>
        </tpls>
      </m>
      <m in="0">
        <tpls c="3">
          <tpl fld="0" item="0"/>
          <tpl fld="1" item="227"/>
          <tpl fld="4" item="34"/>
        </tpls>
      </m>
      <m in="0">
        <tpls c="3">
          <tpl fld="0" item="0"/>
          <tpl fld="1" item="318"/>
          <tpl fld="4" item="35"/>
        </tpls>
      </m>
      <m in="0">
        <tpls c="3">
          <tpl fld="0" item="0"/>
          <tpl fld="1" item="204"/>
          <tpl fld="4" item="34"/>
        </tpls>
      </m>
      <m in="0">
        <tpls c="3">
          <tpl fld="0" item="0"/>
          <tpl fld="1" item="452"/>
          <tpl fld="4" item="35"/>
        </tpls>
      </m>
      <m in="0">
        <tpls c="3">
          <tpl fld="0" item="0"/>
          <tpl fld="1" item="73"/>
          <tpl fld="4" item="34"/>
        </tpls>
      </m>
      <n v="103" in="0">
        <tpls c="3">
          <tpl fld="0" item="0"/>
          <tpl fld="1" item="38"/>
          <tpl fld="4" item="25"/>
        </tpls>
      </n>
      <m in="0">
        <tpls c="3">
          <tpl fld="0" item="0"/>
          <tpl fld="1" item="31"/>
          <tpl fld="4" item="31"/>
        </tpls>
      </m>
      <m in="0">
        <tpls c="3">
          <tpl fld="0" item="0"/>
          <tpl fld="1" item="154"/>
          <tpl fld="4" item="30"/>
        </tpls>
      </m>
      <n v="10" in="0">
        <tpls c="3">
          <tpl fld="0" item="0"/>
          <tpl fld="1" item="39"/>
          <tpl fld="4" item="26"/>
        </tpls>
      </n>
      <m in="0">
        <tpls c="3">
          <tpl fld="0" item="0"/>
          <tpl fld="1" item="273"/>
          <tpl fld="4" item="32"/>
        </tpls>
      </m>
      <m in="0">
        <tpls c="3">
          <tpl fld="0" item="0"/>
          <tpl fld="1" item="112"/>
          <tpl fld="4" item="32"/>
        </tpls>
      </m>
      <m in="0">
        <tpls c="3">
          <tpl fld="0" item="0"/>
          <tpl fld="1" item="184"/>
          <tpl fld="4" item="30"/>
        </tpls>
      </m>
      <n v="6" in="0">
        <tpls c="3">
          <tpl fld="0" item="0"/>
          <tpl fld="1" item="136"/>
          <tpl fld="4" item="15"/>
        </tpls>
      </n>
      <m in="0">
        <tpls c="3">
          <tpl fld="0" item="0"/>
          <tpl fld="1" item="363"/>
          <tpl fld="4" item="32"/>
        </tpls>
      </m>
      <m in="0">
        <tpls c="3">
          <tpl fld="0" item="0"/>
          <tpl fld="1" item="435"/>
          <tpl fld="4" item="32"/>
        </tpls>
      </m>
      <m in="0">
        <tpls c="3">
          <tpl fld="0" item="0"/>
          <tpl fld="1" item="301"/>
          <tpl fld="4" item="32"/>
        </tpls>
      </m>
      <m in="0">
        <tpls c="3">
          <tpl fld="0" item="0"/>
          <tpl fld="1" item="337"/>
          <tpl fld="4" item="32"/>
        </tpls>
      </m>
      <m in="0">
        <tpls c="3">
          <tpl fld="0" item="0"/>
          <tpl fld="1" item="220"/>
          <tpl fld="4" item="33"/>
        </tpls>
      </m>
      <m in="0">
        <tpls c="3">
          <tpl fld="0" item="0"/>
          <tpl fld="1" item="362"/>
          <tpl fld="4" item="30"/>
        </tpls>
      </m>
      <m in="0">
        <tpls c="3">
          <tpl fld="0" item="0"/>
          <tpl fld="1" item="247"/>
          <tpl fld="4" item="15"/>
        </tpls>
      </m>
      <n v="11" in="0">
        <tpls c="3">
          <tpl fld="0" item="0"/>
          <tpl fld="1" item="230"/>
          <tpl fld="4" item="26"/>
        </tpls>
      </n>
      <m in="0">
        <tpls c="3">
          <tpl fld="0" item="0"/>
          <tpl fld="1" item="403"/>
          <tpl fld="4" item="31"/>
        </tpls>
      </m>
      <m in="0">
        <tpls c="3">
          <tpl fld="0" item="0"/>
          <tpl fld="1" item="140"/>
          <tpl fld="4" item="31"/>
        </tpls>
      </m>
      <n v="28" in="0">
        <tpls c="3">
          <tpl fld="0" item="0"/>
          <tpl fld="1" item="142"/>
          <tpl fld="4" item="23"/>
        </tpls>
      </n>
      <m in="0">
        <tpls c="3">
          <tpl fld="0" item="0"/>
          <tpl fld="1" item="150"/>
          <tpl fld="4" item="33"/>
        </tpls>
      </m>
      <m in="0">
        <tpls c="3">
          <tpl fld="0" item="0"/>
          <tpl fld="1" item="229"/>
          <tpl fld="4" item="30"/>
        </tpls>
      </m>
      <m in="0">
        <tpls c="3">
          <tpl fld="0" item="0"/>
          <tpl fld="1" item="294"/>
          <tpl fld="4" item="34"/>
        </tpls>
      </m>
      <m in="0">
        <tpls c="3">
          <tpl fld="0" item="0"/>
          <tpl fld="1" item="77"/>
          <tpl fld="4" item="32"/>
        </tpls>
      </m>
      <m in="0">
        <tpls c="3">
          <tpl fld="0" item="0"/>
          <tpl fld="1" item="71"/>
          <tpl fld="4" item="34"/>
        </tpls>
      </m>
      <m in="0">
        <tpls c="3">
          <tpl fld="0" item="0"/>
          <tpl fld="1" item="250"/>
          <tpl fld="4" item="35"/>
        </tpls>
      </m>
      <m in="0">
        <tpls c="3">
          <tpl fld="0" item="0"/>
          <tpl fld="1" item="286"/>
          <tpl fld="4" item="32"/>
        </tpls>
      </m>
      <n v="15" in="0">
        <tpls c="3">
          <tpl fld="0" item="0"/>
          <tpl fld="1" item="276"/>
          <tpl fld="4" item="25"/>
        </tpls>
      </n>
      <n v="1" in="0">
        <tpls c="3">
          <tpl fld="0" item="0"/>
          <tpl fld="1" item="65"/>
          <tpl fld="4" item="31"/>
        </tpls>
      </n>
      <m in="0">
        <tpls c="3">
          <tpl fld="0" item="0"/>
          <tpl fld="1" item="321"/>
          <tpl fld="4" item="31"/>
        </tpls>
      </m>
      <m in="0">
        <tpls c="3">
          <tpl fld="0" item="0"/>
          <tpl fld="1" item="195"/>
          <tpl fld="4" item="32"/>
        </tpls>
      </m>
      <m in="0">
        <tpls c="3">
          <tpl fld="0" item="0"/>
          <tpl fld="1" item="394"/>
          <tpl fld="4" item="33"/>
        </tpls>
      </m>
      <m in="0">
        <tpls c="3">
          <tpl fld="0" item="0"/>
          <tpl fld="1" item="371"/>
          <tpl fld="4" item="34"/>
        </tpls>
      </m>
      <n v="1" in="0">
        <tpls c="3">
          <tpl fld="0" item="0"/>
          <tpl fld="1" item="7"/>
          <tpl fld="4" item="18"/>
        </tpls>
      </n>
      <m in="0">
        <tpls c="3">
          <tpl fld="0" item="0"/>
          <tpl fld="1" item="147"/>
          <tpl fld="4" item="31"/>
        </tpls>
      </m>
      <m in="0">
        <tpls c="3">
          <tpl fld="0" item="0"/>
          <tpl fld="1" item="240"/>
          <tpl fld="4" item="25"/>
        </tpls>
      </m>
      <n v="69" in="0">
        <tpls c="3">
          <tpl fld="0" item="0"/>
          <tpl fld="1" item="232"/>
          <tpl fld="4" item="24"/>
        </tpls>
      </n>
      <m in="0">
        <tpls c="3">
          <tpl fld="0" item="0"/>
          <tpl fld="1" item="105"/>
          <tpl fld="4" item="33"/>
        </tpls>
      </m>
      <m in="0">
        <tpls c="3">
          <tpl fld="0" item="0"/>
          <tpl fld="1" item="246"/>
          <tpl fld="4" item="30"/>
        </tpls>
      </m>
      <m in="0">
        <tpls c="3">
          <tpl fld="0" item="0"/>
          <tpl fld="1" item="70"/>
          <tpl fld="4" item="23"/>
        </tpls>
      </m>
      <n v="89" in="0">
        <tpls c="3">
          <tpl fld="0" item="0"/>
          <tpl fld="1" item="264"/>
          <tpl fld="4" item="24"/>
        </tpls>
      </n>
      <m in="0">
        <tpls c="3">
          <tpl fld="0" item="0"/>
          <tpl fld="1" item="291"/>
          <tpl fld="4" item="31"/>
        </tpls>
      </m>
      <m in="0">
        <tpls c="3">
          <tpl fld="0" item="0"/>
          <tpl fld="1" item="295"/>
          <tpl fld="4" item="31"/>
        </tpls>
      </m>
      <m in="0">
        <tpls c="3">
          <tpl fld="0" item="0"/>
          <tpl fld="1" item="30"/>
          <tpl fld="4" item="32"/>
        </tpls>
      </m>
      <m in="0">
        <tpls c="3">
          <tpl fld="0" item="0"/>
          <tpl fld="1" item="440"/>
          <tpl fld="4" item="33"/>
        </tpls>
      </m>
      <m in="0">
        <tpls c="3">
          <tpl fld="0" item="0"/>
          <tpl fld="1" item="443"/>
          <tpl fld="4" item="30"/>
        </tpls>
      </m>
      <n v="114" in="0">
        <tpls c="3">
          <tpl fld="0" item="0"/>
          <tpl fld="1" item="117"/>
          <tpl fld="4" item="24"/>
        </tpls>
      </n>
      <m in="0">
        <tpls c="3">
          <tpl fld="0" item="0"/>
          <tpl fld="1" item="261"/>
          <tpl fld="4" item="24"/>
        </tpls>
      </m>
      <n v="1" in="0">
        <tpls c="3">
          <tpl fld="0" item="0"/>
          <tpl fld="1" item="116"/>
          <tpl fld="4" item="22"/>
        </tpls>
      </n>
      <m in="0">
        <tpls c="3">
          <tpl fld="0" item="0"/>
          <tpl fld="1" item="29"/>
          <tpl fld="4" item="24"/>
        </tpls>
      </m>
      <m in="0">
        <tpls c="3">
          <tpl fld="0" item="0"/>
          <tpl fld="1" item="391"/>
          <tpl fld="4" item="24"/>
        </tpls>
      </m>
      <m in="0">
        <tpls c="3">
          <tpl fld="0" item="0"/>
          <tpl fld="1" item="43"/>
          <tpl fld="4" item="33"/>
        </tpls>
      </m>
      <m in="0">
        <tpls c="3">
          <tpl fld="0" item="0"/>
          <tpl fld="1" item="227"/>
          <tpl fld="4" item="30"/>
        </tpls>
      </m>
      <m in="0">
        <tpls c="3">
          <tpl fld="0" item="0"/>
          <tpl fld="1" item="59"/>
          <tpl fld="4" item="34"/>
        </tpls>
      </m>
      <n v="1305" in="0">
        <tpls c="3">
          <tpl fld="0" item="0"/>
          <tpl fld="1" item="160"/>
          <tpl fld="4" item="23"/>
        </tpls>
      </n>
      <m in="0">
        <tpls c="3">
          <tpl fld="0" item="0"/>
          <tpl fld="1" item="423"/>
          <tpl fld="4" item="34"/>
        </tpls>
      </m>
      <m in="0">
        <tpls c="3">
          <tpl fld="0" item="0"/>
          <tpl fld="1" item="293"/>
          <tpl fld="4" item="35"/>
        </tpls>
      </m>
      <n v="1" in="0">
        <tpls c="3">
          <tpl fld="0" item="0"/>
          <tpl fld="1" item="264"/>
          <tpl fld="4" item="33"/>
        </tpls>
      </n>
      <m in="0">
        <tpls c="3">
          <tpl fld="0" item="0"/>
          <tpl fld="1" item="440"/>
          <tpl fld="4" item="35"/>
        </tpls>
      </m>
      <n v="4" in="0">
        <tpls c="3">
          <tpl fld="0" item="0"/>
          <tpl fld="1" item="227"/>
          <tpl fld="4" item="22"/>
        </tpls>
      </n>
      <n v="1" in="0">
        <tpls c="3">
          <tpl fld="0" item="0"/>
          <tpl fld="1" item="152"/>
          <tpl fld="4" item="30"/>
        </tpls>
      </n>
      <m in="0">
        <tpls c="3">
          <tpl fld="0" item="0"/>
          <tpl fld="1" item="401"/>
          <tpl fld="4" item="35"/>
        </tpls>
      </m>
      <m in="0">
        <tpls c="3">
          <tpl fld="0" item="0"/>
          <tpl fld="1" item="374"/>
          <tpl fld="4" item="24"/>
        </tpls>
      </m>
      <m in="0">
        <tpls c="3">
          <tpl fld="0" item="0"/>
          <tpl fld="1" item="157"/>
          <tpl fld="4" item="34"/>
        </tpls>
      </m>
      <n v="6" in="0">
        <tpls c="3">
          <tpl fld="0" item="0"/>
          <tpl fld="1" item="108"/>
          <tpl fld="4" item="27"/>
        </tpls>
      </n>
      <m in="0">
        <tpls c="3">
          <tpl fld="0" item="0"/>
          <tpl fld="1" item="360"/>
          <tpl fld="4" item="31"/>
        </tpls>
      </m>
      <m in="0">
        <tpls c="3">
          <tpl fld="0" item="0"/>
          <tpl fld="1" item="159"/>
          <tpl fld="4" item="34"/>
        </tpls>
      </m>
      <m in="0">
        <tpls c="3">
          <tpl fld="0" item="0"/>
          <tpl fld="1" item="280"/>
          <tpl fld="4" item="35"/>
        </tpls>
      </m>
      <m in="0">
        <tpls c="3">
          <tpl fld="0" item="0"/>
          <tpl fld="1" item="320"/>
          <tpl fld="4" item="32"/>
        </tpls>
      </m>
      <m in="0">
        <tpls c="3">
          <tpl fld="0" item="0"/>
          <tpl fld="1" item="124"/>
          <tpl fld="4" item="34"/>
        </tpls>
      </m>
      <m in="0">
        <tpls c="3">
          <tpl fld="0" item="0"/>
          <tpl fld="1" item="159"/>
          <tpl fld="4" item="35"/>
        </tpls>
      </m>
      <n v="40" in="0">
        <tpls c="3">
          <tpl fld="0" item="0"/>
          <tpl fld="1" item="65"/>
          <tpl fld="4" item="27"/>
        </tpls>
      </n>
      <m in="0">
        <tpls c="3">
          <tpl fld="0" item="0"/>
          <tpl fld="1" item="287"/>
          <tpl fld="4" item="35"/>
        </tpls>
      </m>
      <m in="0">
        <tpls c="3">
          <tpl fld="0" item="0"/>
          <tpl fld="1" item="9"/>
          <tpl fld="4" item="32"/>
        </tpls>
      </m>
      <m in="0">
        <tpls c="3">
          <tpl fld="0" item="0"/>
          <tpl fld="1" item="150"/>
          <tpl fld="4" item="35"/>
        </tpls>
      </m>
      <m in="0">
        <tpls c="3">
          <tpl fld="0" item="0"/>
          <tpl fld="1" item="60"/>
          <tpl fld="4" item="18"/>
        </tpls>
      </m>
      <m in="0">
        <tpls c="3">
          <tpl fld="0" item="0"/>
          <tpl fld="1" item="309"/>
          <tpl fld="4" item="34"/>
        </tpls>
      </m>
      <m in="0">
        <tpls c="3">
          <tpl fld="0" item="0"/>
          <tpl fld="1" item="167"/>
          <tpl fld="4" item="27"/>
        </tpls>
      </m>
      <m in="0">
        <tpls c="3">
          <tpl fld="0" item="0"/>
          <tpl fld="1" item="325"/>
          <tpl fld="4" item="33"/>
        </tpls>
      </m>
      <m in="0">
        <tpls c="3">
          <tpl fld="0" item="0"/>
          <tpl fld="1" item="422"/>
          <tpl fld="4" item="35"/>
        </tpls>
      </m>
      <m in="0">
        <tpls c="3">
          <tpl fld="0" item="0"/>
          <tpl fld="1" item="288"/>
          <tpl fld="4" item="32"/>
        </tpls>
      </m>
      <m in="0">
        <tpls c="3">
          <tpl fld="0" item="0"/>
          <tpl fld="1" item="402"/>
          <tpl fld="4" item="34"/>
        </tpls>
      </m>
      <m in="0">
        <tpls c="3">
          <tpl fld="0" item="0"/>
          <tpl fld="1" item="373"/>
          <tpl fld="4" item="31"/>
        </tpls>
      </m>
      <m in="0">
        <tpls c="3">
          <tpl fld="0" item="0"/>
          <tpl fld="1" item="307"/>
          <tpl fld="4" item="0"/>
        </tpls>
      </m>
      <m in="0">
        <tpls c="3">
          <tpl fld="0" item="0"/>
          <tpl fld="1" item="315"/>
          <tpl fld="4" item="0"/>
        </tpls>
      </m>
      <m in="0">
        <tpls c="3">
          <tpl fld="0" item="0"/>
          <tpl fld="1" item="167"/>
          <tpl fld="4" item="0"/>
        </tpls>
      </m>
      <m in="0">
        <tpls c="3">
          <tpl fld="0" item="0"/>
          <tpl fld="1" item="424"/>
          <tpl fld="4" item="3"/>
        </tpls>
      </m>
      <m in="0">
        <tpls c="3">
          <tpl fld="0" item="0"/>
          <tpl fld="1" item="206"/>
          <tpl fld="4" item="2"/>
        </tpls>
      </m>
      <m in="0">
        <tpls c="3">
          <tpl fld="0" item="0"/>
          <tpl fld="1" item="44"/>
          <tpl fld="4" item="3"/>
        </tpls>
      </m>
      <m in="0">
        <tpls c="3">
          <tpl fld="0" item="0"/>
          <tpl fld="1" item="286"/>
          <tpl fld="4" item="4"/>
        </tpls>
      </m>
      <m in="0">
        <tpls c="3">
          <tpl fld="0" item="0"/>
          <tpl fld="1" item="84"/>
          <tpl fld="4" item="3"/>
        </tpls>
      </m>
      <m in="0">
        <tpls c="3">
          <tpl fld="0" item="0"/>
          <tpl fld="1" item="85"/>
          <tpl fld="4" item="2"/>
        </tpls>
      </m>
      <m in="0">
        <tpls c="3">
          <tpl fld="0" item="0"/>
          <tpl fld="1" item="226"/>
          <tpl fld="4" item="0"/>
        </tpls>
      </m>
      <m in="0">
        <tpls c="3">
          <tpl fld="0" item="0"/>
          <tpl fld="1" item="203"/>
          <tpl fld="4" item="3"/>
        </tpls>
      </m>
      <n v="79" in="0">
        <tpls c="3">
          <tpl fld="0" item="0"/>
          <tpl fld="1" item="179"/>
          <tpl fld="4" item="36"/>
        </tpls>
      </n>
      <m in="0">
        <tpls c="3">
          <tpl fld="0" item="0"/>
          <tpl fld="1" item="387"/>
          <tpl fld="4" item="4"/>
        </tpls>
      </m>
      <n v="655" in="0">
        <tpls c="3">
          <tpl fld="0" item="0"/>
          <tpl fld="1" item="132"/>
          <tpl fld="4" item="37"/>
        </tpls>
      </n>
      <m in="0">
        <tpls c="3">
          <tpl fld="0" item="0"/>
          <tpl fld="1" item="162"/>
          <tpl fld="4" item="4"/>
        </tpls>
      </m>
      <m in="0">
        <tpls c="3">
          <tpl fld="0" item="0"/>
          <tpl fld="1" item="159"/>
          <tpl fld="4" item="3"/>
        </tpls>
      </m>
      <m in="0">
        <tpls c="3">
          <tpl fld="0" item="0"/>
          <tpl fld="1" item="339"/>
          <tpl fld="4" item="2"/>
        </tpls>
      </m>
      <m in="0">
        <tpls c="3">
          <tpl fld="0" item="0"/>
          <tpl fld="1" item="21"/>
          <tpl fld="4" item="37"/>
        </tpls>
      </m>
      <m in="0">
        <tpls c="3">
          <tpl fld="0" item="0"/>
          <tpl fld="1" item="181"/>
          <tpl fld="4" item="2"/>
        </tpls>
      </m>
      <n v="23" in="0">
        <tpls c="3">
          <tpl fld="0" item="0"/>
          <tpl fld="1" item="317"/>
          <tpl fld="4" item="37"/>
        </tpls>
      </n>
      <m in="0">
        <tpls c="3">
          <tpl fld="0" item="0"/>
          <tpl fld="1" item="272"/>
          <tpl fld="4" item="2"/>
        </tpls>
      </m>
      <m in="0">
        <tpls c="3">
          <tpl fld="0" item="0"/>
          <tpl fld="1" item="294"/>
          <tpl fld="4" item="37"/>
        </tpls>
      </m>
      <m in="0">
        <tpls c="3">
          <tpl fld="0" item="0"/>
          <tpl fld="1" item="392"/>
          <tpl fld="4" item="36"/>
        </tpls>
      </m>
      <m in="0">
        <tpls c="3">
          <tpl fld="0" item="0"/>
          <tpl fld="1" item="178"/>
          <tpl fld="4" item="36"/>
        </tpls>
      </m>
      <m in="0">
        <tpls c="3">
          <tpl fld="0" item="0"/>
          <tpl fld="1" item="383"/>
          <tpl fld="4" item="2"/>
        </tpls>
      </m>
      <n v="8" in="0">
        <tpls c="3">
          <tpl fld="0" item="0"/>
          <tpl fld="1" item="284"/>
          <tpl fld="4" item="37"/>
        </tpls>
      </n>
      <m in="0">
        <tpls c="3">
          <tpl fld="0" item="0"/>
          <tpl fld="1" item="349"/>
          <tpl fld="4" item="37"/>
        </tpls>
      </m>
      <m in="0">
        <tpls c="3">
          <tpl fld="0" item="0"/>
          <tpl fld="1" item="98"/>
          <tpl fld="4" item="37"/>
        </tpls>
      </m>
      <m in="0">
        <tpls c="3">
          <tpl fld="0" item="0"/>
          <tpl fld="1" item="92"/>
          <tpl fld="4" item="36"/>
        </tpls>
      </m>
      <m in="0">
        <tpls c="3">
          <tpl fld="0" item="0"/>
          <tpl fld="1" item="371"/>
          <tpl fld="4" item="37"/>
        </tpls>
      </m>
      <m in="0">
        <tpls c="3">
          <tpl fld="0" item="0"/>
          <tpl fld="1" item="187"/>
          <tpl fld="4" item="2"/>
        </tpls>
      </m>
      <m in="0">
        <tpls c="3">
          <tpl fld="0" item="0"/>
          <tpl fld="1" item="379"/>
          <tpl fld="4" item="36"/>
        </tpls>
      </m>
      <m in="0">
        <tpls c="3">
          <tpl fld="0" item="0"/>
          <tpl fld="1" item="17"/>
          <tpl fld="4" item="38"/>
        </tpls>
      </m>
      <n v="214" in="0">
        <tpls c="3">
          <tpl fld="0" item="0"/>
          <tpl fld="1" item="264"/>
          <tpl fld="4" item="37"/>
        </tpls>
      </n>
      <n v="79" in="0">
        <tpls c="3">
          <tpl fld="0" item="0"/>
          <tpl fld="1" item="215"/>
          <tpl fld="4" item="36"/>
        </tpls>
      </n>
      <n v="142" in="0">
        <tpls c="3">
          <tpl fld="0" item="0"/>
          <tpl fld="1" item="420"/>
          <tpl fld="4" item="37"/>
        </tpls>
      </n>
      <m in="0">
        <tpls c="3">
          <tpl fld="0" item="0"/>
          <tpl fld="1" item="325"/>
          <tpl fld="4" item="2"/>
        </tpls>
      </m>
      <n v="64" in="0">
        <tpls c="3">
          <tpl fld="0" item="0"/>
          <tpl fld="1" item="337"/>
          <tpl fld="4" item="36"/>
        </tpls>
      </n>
      <n v="10" in="0">
        <tpls c="3">
          <tpl fld="0" item="0"/>
          <tpl fld="1" item="49"/>
          <tpl fld="4" item="39"/>
        </tpls>
      </n>
      <m in="0">
        <tpls c="3">
          <tpl fld="0" item="0"/>
          <tpl fld="1" item="89"/>
          <tpl fld="4" item="38"/>
        </tpls>
      </m>
      <n v="32" in="0">
        <tpls c="3">
          <tpl fld="0" item="0"/>
          <tpl fld="1" item="348"/>
          <tpl fld="4" item="40"/>
        </tpls>
      </n>
      <n v="24" in="0">
        <tpls c="3">
          <tpl fld="0" item="0"/>
          <tpl fld="1" item="68"/>
          <tpl fld="4" item="38"/>
        </tpls>
      </n>
      <m in="0">
        <tpls c="3">
          <tpl fld="0" item="0"/>
          <tpl fld="1" item="74"/>
          <tpl fld="4" item="40"/>
        </tpls>
      </m>
      <n v="8" in="0">
        <tpls c="3">
          <tpl fld="0" item="0"/>
          <tpl fld="1" item="264"/>
          <tpl fld="4" item="38"/>
        </tpls>
      </n>
      <n v="4" in="0">
        <tpls c="3">
          <tpl fld="0" item="0"/>
          <tpl fld="1" item="172"/>
          <tpl fld="4" item="40"/>
        </tpls>
      </n>
      <n v="1" in="0">
        <tpls c="3">
          <tpl fld="0" item="0"/>
          <tpl fld="1" item="121"/>
          <tpl fld="4" item="38"/>
        </tpls>
      </n>
      <m in="0">
        <tpls c="3">
          <tpl fld="0" item="0"/>
          <tpl fld="1" item="75"/>
          <tpl fld="4" item="34"/>
        </tpls>
      </m>
      <m in="0">
        <tpls c="3">
          <tpl fld="0" item="0"/>
          <tpl fld="1" item="26"/>
          <tpl fld="4" item="30"/>
        </tpls>
      </m>
      <m in="0">
        <tpls c="3">
          <tpl fld="0" item="0"/>
          <tpl fld="1" item="284"/>
          <tpl fld="4" item="35"/>
        </tpls>
      </m>
      <n v="92" in="0">
        <tpls c="3">
          <tpl fld="0" item="0"/>
          <tpl fld="1" item="179"/>
          <tpl fld="4" item="24"/>
        </tpls>
      </n>
      <m in="0">
        <tpls c="3">
          <tpl fld="0" item="0"/>
          <tpl fld="1" item="198"/>
          <tpl fld="4" item="35"/>
        </tpls>
      </m>
      <m in="0">
        <tpls c="3">
          <tpl fld="0" item="0"/>
          <tpl fld="1" item="51"/>
          <tpl fld="4" item="35"/>
        </tpls>
      </m>
      <m in="0">
        <tpls c="3">
          <tpl fld="0" item="0"/>
          <tpl fld="1" item="100"/>
          <tpl fld="4" item="34"/>
        </tpls>
      </m>
      <m in="0">
        <tpls c="3">
          <tpl fld="0" item="0"/>
          <tpl fld="1" item="116"/>
          <tpl fld="4" item="32"/>
        </tpls>
      </m>
      <n v="1" in="0">
        <tpls c="3">
          <tpl fld="0" item="0"/>
          <tpl fld="1" item="359"/>
          <tpl fld="4" item="33"/>
        </tpls>
      </n>
      <m in="0">
        <tpls c="3">
          <tpl fld="0" item="0"/>
          <tpl fld="1" item="204"/>
          <tpl fld="4" item="35"/>
        </tpls>
      </m>
      <m in="0">
        <tpls c="3">
          <tpl fld="0" item="0"/>
          <tpl fld="1" item="349"/>
          <tpl fld="4" item="35"/>
        </tpls>
      </m>
      <m in="0">
        <tpls c="3">
          <tpl fld="0" item="0"/>
          <tpl fld="1" item="374"/>
          <tpl fld="4" item="1"/>
        </tpls>
      </m>
      <m in="0">
        <tpls c="3">
          <tpl fld="0" item="0"/>
          <tpl fld="1" item="229"/>
          <tpl fld="4" item="2"/>
        </tpls>
      </m>
      <m in="0">
        <tpls c="3">
          <tpl fld="0" item="0"/>
          <tpl fld="1" item="390"/>
          <tpl fld="4" item="3"/>
        </tpls>
      </m>
      <m in="0">
        <tpls c="3">
          <tpl fld="0" item="0"/>
          <tpl fld="1" item="106"/>
          <tpl fld="4" item="4"/>
        </tpls>
      </m>
      <m in="0">
        <tpls c="3">
          <tpl fld="0" item="0"/>
          <tpl fld="1" item="450"/>
          <tpl fld="4" item="0"/>
        </tpls>
      </m>
      <m in="0">
        <tpls c="3">
          <tpl fld="0" item="0"/>
          <tpl fld="1" item="289"/>
          <tpl fld="4" item="3"/>
        </tpls>
      </m>
      <m in="0">
        <tpls c="3">
          <tpl fld="0" item="0"/>
          <tpl fld="1" item="37"/>
          <tpl fld="4" item="4"/>
        </tpls>
      </m>
      <m in="0">
        <tpls c="3">
          <tpl fld="0" item="0"/>
          <tpl fld="1" item="156"/>
          <tpl fld="4" item="4"/>
        </tpls>
      </m>
      <m in="0">
        <tpls c="3">
          <tpl fld="0" item="0"/>
          <tpl fld="1" item="319"/>
          <tpl fld="4" item="0"/>
        </tpls>
      </m>
      <n v="2" in="0">
        <tpls c="3">
          <tpl fld="0" item="0"/>
          <tpl fld="1" item="202"/>
          <tpl fld="4" item="3"/>
        </tpls>
      </n>
      <m in="0">
        <tpls c="3">
          <tpl fld="0" item="0"/>
          <tpl fld="1" item="1"/>
          <tpl fld="4" item="4"/>
        </tpls>
      </m>
      <m in="0">
        <tpls c="3">
          <tpl fld="0" item="0"/>
          <tpl fld="1" item="146"/>
          <tpl fld="4" item="3"/>
        </tpls>
      </m>
      <m in="0">
        <tpls c="3">
          <tpl fld="0" item="0"/>
          <tpl fld="1" item="210"/>
          <tpl fld="4" item="4"/>
        </tpls>
      </m>
      <m in="0">
        <tpls c="3">
          <tpl fld="0" item="0"/>
          <tpl fld="1" item="124"/>
          <tpl fld="4" item="3"/>
        </tpls>
      </m>
      <m in="0">
        <tpls c="3">
          <tpl fld="0" item="0"/>
          <tpl fld="1" item="398"/>
          <tpl fld="4" item="4"/>
        </tpls>
      </m>
      <m in="0">
        <tpls c="3">
          <tpl fld="0" item="0"/>
          <tpl fld="1" item="261"/>
          <tpl fld="4" item="4"/>
        </tpls>
      </m>
      <m in="0">
        <tpls c="3">
          <tpl fld="0" item="0"/>
          <tpl fld="1" item="298"/>
          <tpl fld="4" item="2"/>
        </tpls>
      </m>
      <m in="0">
        <tpls c="3">
          <tpl fld="0" item="0"/>
          <tpl fld="1" item="61"/>
          <tpl fld="4" item="4"/>
        </tpls>
      </m>
      <m in="0">
        <tpls c="3">
          <tpl fld="0" item="0"/>
          <tpl fld="1" item="357"/>
          <tpl fld="4" item="2"/>
        </tpls>
      </m>
      <m in="0">
        <tpls c="3">
          <tpl fld="0" item="0"/>
          <tpl fld="1" item="117"/>
          <tpl fld="4" item="4"/>
        </tpls>
      </m>
      <m in="0">
        <tpls c="3">
          <tpl fld="0" item="0"/>
          <tpl fld="1" item="252"/>
          <tpl fld="4" item="2"/>
        </tpls>
      </m>
      <m in="0">
        <tpls c="3">
          <tpl fld="0" item="0"/>
          <tpl fld="1" item="146"/>
          <tpl fld="4" item="2"/>
        </tpls>
      </m>
      <m in="0">
        <tpls c="3">
          <tpl fld="0" item="0"/>
          <tpl fld="1" item="413"/>
          <tpl fld="4" item="2"/>
        </tpls>
      </m>
      <n v="17" in="0">
        <tpls c="3">
          <tpl fld="0" item="0"/>
          <tpl fld="1" item="343"/>
          <tpl fld="4" item="37"/>
        </tpls>
      </n>
      <m in="0">
        <tpls c="3">
          <tpl fld="0" item="0"/>
          <tpl fld="1" item="387"/>
          <tpl fld="4" item="2"/>
        </tpls>
      </m>
      <m in="0">
        <tpls c="3">
          <tpl fld="0" item="0"/>
          <tpl fld="1" item="90"/>
          <tpl fld="4" item="2"/>
        </tpls>
      </m>
      <m in="0">
        <tpls c="3">
          <tpl fld="0" item="0"/>
          <tpl fld="1" item="441"/>
          <tpl fld="4" item="37"/>
        </tpls>
      </m>
      <n v="8" in="0">
        <tpls c="3">
          <tpl fld="0" item="0"/>
          <tpl fld="1" item="383"/>
          <tpl fld="4" item="41"/>
        </tpls>
      </n>
      <m in="0">
        <tpls c="3">
          <tpl fld="0" item="0"/>
          <tpl fld="1" item="71"/>
          <tpl fld="4" item="36"/>
        </tpls>
      </m>
      <n v="48" in="0">
        <tpls c="3">
          <tpl fld="0" item="0"/>
          <tpl fld="1" item="282"/>
          <tpl fld="4" item="37"/>
        </tpls>
      </n>
      <m in="0">
        <tpls c="3">
          <tpl fld="0" item="0"/>
          <tpl fld="1" item="123"/>
          <tpl fld="4" item="36"/>
        </tpls>
      </m>
      <n v="68" in="0">
        <tpls c="3">
          <tpl fld="0" item="0"/>
          <tpl fld="1" item="454"/>
          <tpl fld="4" item="37"/>
        </tpls>
      </n>
      <n v="6" in="0">
        <tpls c="3">
          <tpl fld="0" item="0"/>
          <tpl fld="1" item="169"/>
          <tpl fld="4" item="36"/>
        </tpls>
      </n>
      <m in="0">
        <tpls c="3">
          <tpl fld="0" item="0"/>
          <tpl fld="1" item="399"/>
          <tpl fld="4" item="37"/>
        </tpls>
      </m>
      <m in="0">
        <tpls c="3">
          <tpl fld="0" item="0"/>
          <tpl fld="1" item="167"/>
          <tpl fld="4" item="36"/>
        </tpls>
      </m>
      <m in="0">
        <tpls c="3">
          <tpl fld="0" item="0"/>
          <tpl fld="1" item="31"/>
          <tpl fld="4" item="38"/>
        </tpls>
      </m>
      <n v="74" in="0">
        <tpls c="3">
          <tpl fld="0" item="0"/>
          <tpl fld="1" item="41"/>
          <tpl fld="4" item="36"/>
        </tpls>
      </n>
      <n v="18" in="0">
        <tpls c="3">
          <tpl fld="0" item="0"/>
          <tpl fld="1" item="332"/>
          <tpl fld="4" item="37"/>
        </tpls>
      </n>
      <m in="0">
        <tpls c="3">
          <tpl fld="0" item="0"/>
          <tpl fld="1" item="346"/>
          <tpl fld="4" item="37"/>
        </tpls>
      </m>
      <m in="0">
        <tpls c="3">
          <tpl fld="0" item="0"/>
          <tpl fld="1" item="274"/>
          <tpl fld="4" item="39"/>
        </tpls>
      </m>
      <n v="32" in="0">
        <tpls c="3">
          <tpl fld="0" item="0"/>
          <tpl fld="1" item="246"/>
          <tpl fld="4" item="37"/>
        </tpls>
      </n>
      <m in="0">
        <tpls c="3">
          <tpl fld="0" item="0"/>
          <tpl fld="1" item="294"/>
          <tpl fld="4" item="39"/>
        </tpls>
      </m>
      <n v="230" in="0">
        <tpls c="3">
          <tpl fld="0" item="0"/>
          <tpl fld="1" item="273"/>
          <tpl fld="4" item="37"/>
        </tpls>
      </n>
      <m in="0">
        <tpls c="3">
          <tpl fld="0" item="0"/>
          <tpl fld="1" item="116"/>
          <tpl fld="4" item="39"/>
        </tpls>
      </m>
      <m in="0">
        <tpls c="3">
          <tpl fld="0" item="0"/>
          <tpl fld="1" item="222"/>
          <tpl fld="4" item="37"/>
        </tpls>
      </m>
      <m in="0">
        <tpls c="3">
          <tpl fld="0" item="0"/>
          <tpl fld="1" item="318"/>
          <tpl fld="4" item="38"/>
        </tpls>
      </m>
      <m in="0">
        <tpls c="3">
          <tpl fld="0" item="0"/>
          <tpl fld="1" item="13"/>
          <tpl fld="4" item="34"/>
        </tpls>
      </m>
      <n v="9" in="0">
        <tpls c="3">
          <tpl fld="0" item="0"/>
          <tpl fld="1" item="342"/>
          <tpl fld="4" item="28"/>
        </tpls>
      </n>
      <m in="0">
        <tpls c="3">
          <tpl fld="0" item="0"/>
          <tpl fld="1" item="137"/>
          <tpl fld="4" item="34"/>
        </tpls>
      </m>
      <m in="0">
        <tpls c="3">
          <tpl fld="0" item="0"/>
          <tpl fld="1" item="454"/>
          <tpl fld="4" item="35"/>
        </tpls>
      </m>
      <m in="0">
        <tpls c="3">
          <tpl fld="0" item="0"/>
          <tpl fld="1" item="6"/>
          <tpl fld="4" item="34"/>
        </tpls>
      </m>
      <m in="0">
        <tpls c="3">
          <tpl fld="0" item="0"/>
          <tpl fld="1" item="328"/>
          <tpl fld="4" item="35"/>
        </tpls>
      </m>
      <m in="0">
        <tpls c="3">
          <tpl fld="0" item="0"/>
          <tpl fld="1" item="243"/>
          <tpl fld="4" item="33"/>
        </tpls>
      </m>
      <m in="0">
        <tpls c="3">
          <tpl fld="0" item="0"/>
          <tpl fld="3" item="0"/>
          <tpl fld="4" item="35"/>
        </tpls>
      </m>
      <m in="0">
        <tpls c="3">
          <tpl fld="0" item="0"/>
          <tpl fld="1" item="60"/>
          <tpl fld="4" item="23"/>
        </tpls>
      </m>
      <m in="0">
        <tpls c="3">
          <tpl fld="0" item="0"/>
          <tpl fld="1" item="269"/>
          <tpl fld="4" item="34"/>
        </tpls>
      </m>
      <m in="0">
        <tpls c="3">
          <tpl fld="0" item="0"/>
          <tpl fld="1" item="315"/>
          <tpl fld="4" item="28"/>
        </tpls>
      </m>
      <m in="0">
        <tpls c="3">
          <tpl fld="0" item="0"/>
          <tpl fld="1" item="311"/>
          <tpl fld="4" item="0"/>
        </tpls>
      </m>
      <m in="0">
        <tpls c="3">
          <tpl fld="0" item="0"/>
          <tpl fld="1" item="339"/>
          <tpl fld="4" item="0"/>
        </tpls>
      </m>
      <m in="0">
        <tpls c="3">
          <tpl fld="0" item="0"/>
          <tpl fld="1" item="406"/>
          <tpl fld="4" item="0"/>
        </tpls>
      </m>
      <m in="0">
        <tpls c="3">
          <tpl fld="0" item="0"/>
          <tpl fld="1" item="112"/>
          <tpl fld="4" item="3"/>
        </tpls>
      </m>
      <m in="0">
        <tpls c="3">
          <tpl fld="0" item="0"/>
          <tpl fld="1" item="203"/>
          <tpl fld="4" item="4"/>
        </tpls>
      </m>
      <m in="0">
        <tpls c="3">
          <tpl fld="0" item="0"/>
          <tpl fld="1" item="231"/>
          <tpl fld="4" item="3"/>
        </tpls>
      </m>
      <m in="0">
        <tpls c="3">
          <tpl fld="0" item="0"/>
          <tpl fld="1" item="56"/>
          <tpl fld="4" item="4"/>
        </tpls>
      </m>
      <m in="0">
        <tpls c="3">
          <tpl fld="0" item="0"/>
          <tpl fld="1" item="225"/>
          <tpl fld="4" item="3"/>
        </tpls>
      </m>
      <m in="0">
        <tpls c="3">
          <tpl fld="0" item="0"/>
          <tpl fld="1" item="28"/>
          <tpl fld="4" item="2"/>
        </tpls>
      </m>
      <m in="0">
        <tpls c="3">
          <tpl fld="0" item="0"/>
          <tpl fld="1" item="347"/>
          <tpl fld="4" item="0"/>
        </tpls>
      </m>
      <m in="0">
        <tpls c="3">
          <tpl fld="0" item="0"/>
          <tpl fld="1" item="102"/>
          <tpl fld="4" item="3"/>
        </tpls>
      </m>
      <m in="0">
        <tpls c="3">
          <tpl fld="0" item="0"/>
          <tpl fld="1" item="17"/>
          <tpl fld="4" item="2"/>
        </tpls>
      </m>
      <m in="0">
        <tpls c="3">
          <tpl fld="0" item="0"/>
          <tpl fld="1" item="313"/>
          <tpl fld="4" item="3"/>
        </tpls>
      </m>
      <m in="0">
        <tpls c="3">
          <tpl fld="0" item="0"/>
          <tpl fld="1" item="89"/>
          <tpl fld="4" item="2"/>
        </tpls>
      </m>
      <m in="0">
        <tpls c="3">
          <tpl fld="0" item="0"/>
          <tpl fld="1" item="93"/>
          <tpl fld="4" item="4"/>
        </tpls>
      </m>
      <m in="0">
        <tpls c="3">
          <tpl fld="0" item="0"/>
          <tpl fld="1" item="81"/>
          <tpl fld="4" item="38"/>
        </tpls>
      </m>
      <m in="0">
        <tpls c="3">
          <tpl fld="0" item="0"/>
          <tpl fld="1" item="359"/>
          <tpl fld="4" item="4"/>
        </tpls>
      </m>
      <n v="4" in="0">
        <tpls c="3">
          <tpl fld="0" item="0"/>
          <tpl fld="1" item="189"/>
          <tpl fld="4" item="36"/>
        </tpls>
      </n>
      <m in="0">
        <tpls c="3">
          <tpl fld="0" item="0"/>
          <tpl fld="1" item="326"/>
          <tpl fld="4" item="2"/>
        </tpls>
      </m>
      <m in="0">
        <tpls c="3">
          <tpl fld="0" item="0"/>
          <tpl fld="1" item="31"/>
          <tpl fld="4" item="36"/>
        </tpls>
      </m>
      <m in="0">
        <tpls c="3">
          <tpl fld="0" item="0"/>
          <tpl fld="1" item="211"/>
          <tpl fld="4" item="2"/>
        </tpls>
      </m>
      <n v="61" in="0">
        <tpls c="3">
          <tpl fld="0" item="0"/>
          <tpl fld="1" item="175"/>
          <tpl fld="4" item="36"/>
        </tpls>
      </n>
      <m in="0">
        <tpls c="3">
          <tpl fld="0" item="0"/>
          <tpl fld="1" item="145"/>
          <tpl fld="4" item="36"/>
        </tpls>
      </m>
      <m in="0">
        <tpls c="3">
          <tpl fld="0" item="0"/>
          <tpl fld="1" item="113"/>
          <tpl fld="4" item="36"/>
        </tpls>
      </m>
      <m in="0">
        <tpls c="3">
          <tpl fld="0" item="0"/>
          <tpl fld="1" item="420"/>
          <tpl fld="4" item="2"/>
        </tpls>
      </m>
      <n v="193" in="0">
        <tpls c="3">
          <tpl fld="0" item="0"/>
          <tpl fld="1" item="215"/>
          <tpl fld="4" item="37"/>
        </tpls>
      </n>
      <n v="29" in="0">
        <tpls c="3">
          <tpl fld="0" item="0"/>
          <tpl fld="1" item="411"/>
          <tpl fld="4" item="36"/>
        </tpls>
      </n>
      <m in="0">
        <tpls c="3">
          <tpl fld="0" item="0"/>
          <tpl fld="1" item="154"/>
          <tpl fld="4" item="37"/>
        </tpls>
      </m>
      <m in="0">
        <tpls c="3">
          <tpl fld="0" item="0"/>
          <tpl fld="1" item="357"/>
          <tpl fld="4" item="36"/>
        </tpls>
      </m>
      <m in="0">
        <tpls c="3">
          <tpl fld="0" item="0"/>
          <tpl fld="1" item="241"/>
          <tpl fld="4" item="37"/>
        </tpls>
      </m>
      <m in="0">
        <tpls c="3">
          <tpl fld="0" item="0"/>
          <tpl fld="1" item="42"/>
          <tpl fld="4" item="2"/>
        </tpls>
      </m>
      <n v="1" in="0">
        <tpls c="3">
          <tpl fld="0" item="0"/>
          <tpl fld="1" item="50"/>
          <tpl fld="4" item="36"/>
        </tpls>
      </n>
      <n v="1" in="0">
        <tpls c="3">
          <tpl fld="0" item="0"/>
          <tpl fld="1" item="403"/>
          <tpl fld="4" item="38"/>
        </tpls>
      </n>
      <m in="0">
        <tpls c="3">
          <tpl fld="0" item="0"/>
          <tpl fld="1" item="128"/>
          <tpl fld="4" item="37"/>
        </tpls>
      </m>
      <n v="48" in="0">
        <tpls c="3">
          <tpl fld="0" item="0"/>
          <tpl fld="1" item="367"/>
          <tpl fld="4" item="36"/>
        </tpls>
      </n>
      <n v="14" in="0">
        <tpls c="3">
          <tpl fld="0" item="0"/>
          <tpl fld="1" item="274"/>
          <tpl fld="4" item="37"/>
        </tpls>
      </n>
      <m in="0">
        <tpls c="3">
          <tpl fld="0" item="0"/>
          <tpl fld="1" item="432"/>
          <tpl fld="4" item="35"/>
        </tpls>
      </m>
      <m in="0">
        <tpls c="3">
          <tpl fld="0" item="0"/>
          <tpl fld="1" item="118"/>
          <tpl fld="4" item="24"/>
        </tpls>
      </m>
      <m in="0">
        <tpls c="3">
          <tpl fld="0" item="0"/>
          <tpl fld="1" item="344"/>
          <tpl fld="4" item="35"/>
        </tpls>
      </m>
      <n v="612" in="0">
        <tpls c="3">
          <tpl fld="0" item="0"/>
          <tpl fld="1" item="85"/>
          <tpl fld="4" item="23"/>
        </tpls>
      </n>
      <m in="0">
        <tpls c="3">
          <tpl fld="0" item="0"/>
          <tpl fld="1" item="4"/>
          <tpl fld="4" item="34"/>
        </tpls>
      </m>
      <n v="236" in="0">
        <tpls c="3">
          <tpl fld="0" item="0"/>
          <tpl fld="1" item="287"/>
          <tpl fld="4" item="29"/>
        </tpls>
      </n>
      <m in="0">
        <tpls c="3">
          <tpl fld="0" item="0"/>
          <tpl fld="1" item="309"/>
          <tpl fld="4" item="30"/>
        </tpls>
      </m>
      <m in="0">
        <tpls c="3">
          <tpl fld="0" item="0"/>
          <tpl fld="1" item="358"/>
          <tpl fld="4" item="35"/>
        </tpls>
      </m>
      <m in="0">
        <tpls c="3">
          <tpl fld="0" item="0"/>
          <tpl fld="1" item="305"/>
          <tpl fld="4" item="32"/>
        </tpls>
      </m>
      <m in="0">
        <tpls c="3">
          <tpl fld="0" item="0"/>
          <tpl fld="1" item="168"/>
          <tpl fld="4" item="34"/>
        </tpls>
      </m>
      <m in="0">
        <tpls c="3">
          <tpl fld="0" item="0"/>
          <tpl fld="1" item="307"/>
          <tpl fld="4" item="31"/>
        </tpls>
      </m>
      <m in="0">
        <tpls c="3">
          <tpl fld="0" item="0"/>
          <tpl fld="1" item="261"/>
          <tpl fld="4" item="3"/>
        </tpls>
      </m>
      <m in="0">
        <tpls c="3">
          <tpl fld="0" item="0"/>
          <tpl fld="1" item="293"/>
          <tpl fld="4" item="3"/>
        </tpls>
      </m>
      <m in="0">
        <tpls c="3">
          <tpl fld="0" item="0"/>
          <tpl fld="1" item="255"/>
          <tpl fld="4" item="0"/>
        </tpls>
      </m>
      <m in="0">
        <tpls c="3">
          <tpl fld="0" item="0"/>
          <tpl fld="1" item="441"/>
          <tpl fld="4" item="3"/>
        </tpls>
      </m>
      <m in="0">
        <tpls c="3">
          <tpl fld="0" item="0"/>
          <tpl fld="1" item="32"/>
          <tpl fld="4" item="2"/>
        </tpls>
      </m>
      <m in="0">
        <tpls c="3">
          <tpl fld="0" item="0"/>
          <tpl fld="1" item="438"/>
          <tpl fld="4" item="3"/>
        </tpls>
      </m>
      <m in="0">
        <tpls c="3">
          <tpl fld="0" item="0"/>
          <tpl fld="1" item="182"/>
          <tpl fld="4" item="4"/>
        </tpls>
      </m>
      <m in="0">
        <tpls c="3">
          <tpl fld="0" item="0"/>
          <tpl fld="1" item="295"/>
          <tpl fld="4" item="3"/>
        </tpls>
      </m>
      <m in="0">
        <tpls c="3">
          <tpl fld="0" item="0"/>
          <tpl fld="1" item="332"/>
          <tpl fld="4" item="2"/>
        </tpls>
      </m>
      <m in="0">
        <tpls c="3">
          <tpl fld="0" item="0"/>
          <tpl fld="1" item="396"/>
          <tpl fld="4" item="0"/>
        </tpls>
      </m>
      <m in="0">
        <tpls c="3">
          <tpl fld="0" item="0"/>
          <tpl fld="1" item="441"/>
          <tpl fld="4" item="4"/>
        </tpls>
      </m>
      <m in="0">
        <tpls c="3">
          <tpl fld="0" item="0"/>
          <tpl fld="1" item="360"/>
          <tpl fld="4" item="0"/>
        </tpls>
      </m>
      <m in="0">
        <tpls c="3">
          <tpl fld="0" item="0"/>
          <tpl fld="1" item="440"/>
          <tpl fld="4" item="4"/>
        </tpls>
      </m>
      <m in="0">
        <tpls c="3">
          <tpl fld="0" item="0"/>
          <tpl fld="1" item="2"/>
          <tpl fld="4" item="3"/>
        </tpls>
      </m>
      <m in="0">
        <tpls c="3">
          <tpl fld="0" item="0"/>
          <tpl fld="1" item="116"/>
          <tpl fld="4" item="4"/>
        </tpls>
      </m>
      <m in="0">
        <tpls c="3">
          <tpl fld="0" item="0"/>
          <tpl fld="1" item="168"/>
          <tpl fld="4" item="3"/>
        </tpls>
      </m>
      <m in="0">
        <tpls c="3">
          <tpl fld="0" item="0"/>
          <tpl fld="1" item="162"/>
          <tpl fld="4" item="2"/>
        </tpls>
      </m>
      <n v="208" in="0">
        <tpls c="3">
          <tpl fld="0" item="0"/>
          <tpl fld="1" item="125"/>
          <tpl fld="4" item="37"/>
        </tpls>
      </n>
      <m in="0">
        <tpls c="3">
          <tpl fld="0" item="0"/>
          <tpl fld="1" item="178"/>
          <tpl fld="4" item="2"/>
        </tpls>
      </m>
      <m in="0">
        <tpls c="3">
          <tpl fld="0" item="0"/>
          <tpl fld="1" item="361"/>
          <tpl fld="4" item="37"/>
        </tpls>
      </m>
      <m in="0">
        <tpls c="3">
          <tpl fld="0" item="0"/>
          <tpl fld="1" item="128"/>
          <tpl fld="4" item="2"/>
        </tpls>
      </m>
      <m in="0">
        <tpls c="3">
          <tpl fld="0" item="0"/>
          <tpl fld="1" item="74"/>
          <tpl fld="4" item="37"/>
        </tpls>
      </m>
      <n v="9" in="0">
        <tpls c="3">
          <tpl fld="0" item="0"/>
          <tpl fld="1" item="165"/>
          <tpl fld="4" item="37"/>
        </tpls>
      </n>
      <m in="0">
        <tpls c="3">
          <tpl fld="0" item="0"/>
          <tpl fld="1" item="233"/>
          <tpl fld="4" item="36"/>
        </tpls>
      </m>
      <m in="0">
        <tpls c="3">
          <tpl fld="0" item="0"/>
          <tpl fld="1" item="212"/>
          <tpl fld="4" item="2"/>
        </tpls>
      </m>
      <m in="0">
        <tpls c="3">
          <tpl fld="0" item="0"/>
          <tpl fld="1" item="231"/>
          <tpl fld="4" item="38"/>
        </tpls>
      </m>
      <m in="0">
        <tpls c="3">
          <tpl fld="0" item="0"/>
          <tpl fld="1" item="244"/>
          <tpl fld="4" item="37"/>
        </tpls>
      </m>
      <n v="10" in="0">
        <tpls c="3">
          <tpl fld="0" item="0"/>
          <tpl fld="1" item="195"/>
          <tpl fld="4" item="37"/>
        </tpls>
      </n>
      <n v="14" in="0">
        <tpls c="3">
          <tpl fld="0" item="0"/>
          <tpl fld="1" item="150"/>
          <tpl fld="4" item="36"/>
        </tpls>
      </n>
      <m in="0">
        <tpls c="3">
          <tpl fld="0" item="0"/>
          <tpl fld="1" item="414"/>
          <tpl fld="4" item="37"/>
        </tpls>
      </m>
      <m in="0">
        <tpls c="3">
          <tpl fld="0" item="0"/>
          <tpl fld="1" item="347"/>
          <tpl fld="4" item="2"/>
        </tpls>
      </m>
      <n v="99" in="0">
        <tpls c="3">
          <tpl fld="0" item="0"/>
          <tpl fld="1" item="273"/>
          <tpl fld="4" item="36"/>
        </tpls>
      </n>
      <n v="6" in="0">
        <tpls c="3">
          <tpl fld="0" item="0"/>
          <tpl fld="1" item="287"/>
          <tpl fld="4" item="38"/>
        </tpls>
      </n>
      <n v="136" in="0">
        <tpls c="3">
          <tpl fld="0" item="0"/>
          <tpl fld="1" item="410"/>
          <tpl fld="4" item="37"/>
        </tpls>
      </n>
      <m in="0">
        <tpls c="3">
          <tpl fld="0" item="0"/>
          <tpl fld="1" item="434"/>
          <tpl fld="4" item="36"/>
        </tpls>
      </m>
      <n v="481" in="0">
        <tpls c="3">
          <tpl fld="0" item="0"/>
          <tpl fld="1" item="183"/>
          <tpl fld="4" item="37"/>
        </tpls>
      </n>
      <m in="0">
        <tpls c="3">
          <tpl fld="0" item="0"/>
          <tpl fld="1" item="306"/>
          <tpl fld="4" item="2"/>
        </tpls>
      </m>
      <m in="0">
        <tpls c="3">
          <tpl fld="0" item="0"/>
          <tpl fld="1" item="318"/>
          <tpl fld="4" item="37"/>
        </tpls>
      </m>
      <m in="0">
        <tpls c="3">
          <tpl fld="0" item="0"/>
          <tpl fld="1" item="59"/>
          <tpl fld="4" item="40"/>
        </tpls>
      </m>
      <n v="3" in="0">
        <tpls c="3">
          <tpl fld="0" item="0"/>
          <tpl fld="1" item="279"/>
          <tpl fld="4" item="38"/>
        </tpls>
      </n>
      <n v="11" in="0">
        <tpls c="3">
          <tpl fld="0" item="0"/>
          <tpl fld="1" item="455"/>
          <tpl fld="4" item="40"/>
        </tpls>
      </n>
      <m in="0">
        <tpls c="3">
          <tpl fld="0" item="0"/>
          <tpl fld="3" item="0"/>
          <tpl fld="4" item="38"/>
        </tpls>
      </m>
      <n v="1" in="0">
        <tpls c="3">
          <tpl fld="0" item="0"/>
          <tpl fld="1" item="289"/>
          <tpl fld="4" item="40"/>
        </tpls>
      </n>
      <m in="0">
        <tpls c="3">
          <tpl fld="0" item="0"/>
          <tpl fld="1" item="404"/>
          <tpl fld="4" item="38"/>
        </tpls>
      </m>
      <n v="7" in="0">
        <tpls c="3">
          <tpl fld="0" item="0"/>
          <tpl fld="1" item="263"/>
          <tpl fld="4" item="40"/>
        </tpls>
      </n>
      <m in="0">
        <tpls c="3">
          <tpl fld="0" item="0"/>
          <tpl fld="1" item="14"/>
          <tpl fld="4" item="38"/>
        </tpls>
      </m>
      <n v="9" in="0">
        <tpls c="3">
          <tpl fld="0" item="0"/>
          <tpl fld="1" item="206"/>
          <tpl fld="4" item="40"/>
        </tpls>
      </n>
      <n v="3" in="0">
        <tpls c="3">
          <tpl fld="0" item="0"/>
          <tpl fld="1" item="417"/>
          <tpl fld="4" item="38"/>
        </tpls>
      </n>
      <m in="0">
        <tpls c="3">
          <tpl fld="0" item="0"/>
          <tpl fld="1" item="83"/>
          <tpl fld="4" item="38"/>
        </tpls>
      </m>
      <n v="1" in="0">
        <tpls c="3">
          <tpl fld="0" item="0"/>
          <tpl fld="1" item="422"/>
          <tpl fld="4" item="39"/>
        </tpls>
      </n>
      <n v="62" in="0">
        <tpls c="3">
          <tpl fld="0" item="0"/>
          <tpl fld="1" item="324"/>
          <tpl fld="4" item="39"/>
        </tpls>
      </n>
      <m in="0">
        <tpls c="3">
          <tpl fld="0" item="0"/>
          <tpl fld="1" item="37"/>
          <tpl fld="4" item="33"/>
        </tpls>
      </m>
      <m in="0">
        <tpls c="3">
          <tpl fld="0" item="0"/>
          <tpl fld="1" item="332"/>
          <tpl fld="4" item="35"/>
        </tpls>
      </m>
      <m in="0">
        <tpls c="3">
          <tpl fld="0" item="0"/>
          <tpl fld="1" item="238"/>
          <tpl fld="4" item="32"/>
        </tpls>
      </m>
      <m in="0">
        <tpls c="3">
          <tpl fld="0" item="0"/>
          <tpl fld="1" item="306"/>
          <tpl fld="4" item="34"/>
        </tpls>
      </m>
      <m in="0">
        <tpls c="3">
          <tpl fld="0" item="0"/>
          <tpl fld="1" item="8"/>
          <tpl fld="4" item="34"/>
        </tpls>
      </m>
      <m in="0">
        <tpls c="3">
          <tpl fld="0" item="0"/>
          <tpl fld="1" item="452"/>
          <tpl fld="4" item="30"/>
        </tpls>
      </m>
      <m in="0">
        <tpls c="3">
          <tpl fld="0" item="0"/>
          <tpl fld="1" item="359"/>
          <tpl fld="4" item="35"/>
        </tpls>
      </m>
      <m in="0">
        <tpls c="3">
          <tpl fld="0" item="0"/>
          <tpl fld="1" item="449"/>
          <tpl fld="4" item="31"/>
        </tpls>
      </m>
      <m in="0">
        <tpls c="3">
          <tpl fld="0" item="0"/>
          <tpl fld="1" item="416"/>
          <tpl fld="4" item="34"/>
        </tpls>
      </m>
      <m in="0">
        <tpls c="3">
          <tpl fld="0" item="0"/>
          <tpl fld="1" item="11"/>
          <tpl fld="4" item="34"/>
        </tpls>
      </m>
      <m in="0">
        <tpls c="3">
          <tpl fld="0" item="0"/>
          <tpl fld="1" item="208"/>
          <tpl fld="4" item="3"/>
        </tpls>
      </m>
      <m in="0">
        <tpls c="3">
          <tpl fld="0" item="0"/>
          <tpl fld="1" item="319"/>
          <tpl fld="4" item="3"/>
        </tpls>
      </m>
      <m in="0">
        <tpls c="3">
          <tpl fld="0" item="0"/>
          <tpl fld="1" item="132"/>
          <tpl fld="4" item="32"/>
        </tpls>
      </m>
      <m in="0">
        <tpls c="3">
          <tpl fld="0" item="0"/>
          <tpl fld="1" item="185"/>
          <tpl fld="4" item="31"/>
        </tpls>
      </m>
      <n v="2" in="0">
        <tpls c="3">
          <tpl fld="0" item="0"/>
          <tpl fld="1" item="430"/>
          <tpl fld="4" item="33"/>
        </tpls>
      </n>
      <m in="0">
        <tpls c="3">
          <tpl fld="0" item="0"/>
          <tpl fld="1" item="440"/>
          <tpl fld="4" item="26"/>
        </tpls>
      </m>
      <m in="0">
        <tpls c="3">
          <tpl fld="0" item="0"/>
          <tpl fld="1" item="441"/>
          <tpl fld="4" item="24"/>
        </tpls>
      </m>
      <m in="0">
        <tpls c="3">
          <tpl fld="0" item="0"/>
          <tpl fld="1" item="351"/>
          <tpl fld="4" item="32"/>
        </tpls>
      </m>
      <m in="0">
        <tpls c="3">
          <tpl fld="0" item="0"/>
          <tpl fld="1" item="7"/>
          <tpl fld="4" item="33"/>
        </tpls>
      </m>
      <m in="0">
        <tpls c="3">
          <tpl fld="0" item="0"/>
          <tpl fld="1" item="84"/>
          <tpl fld="4" item="30"/>
        </tpls>
      </m>
      <m in="0">
        <tpls c="3">
          <tpl fld="0" item="0"/>
          <tpl fld="1" item="113"/>
          <tpl fld="4" item="35"/>
        </tpls>
      </m>
      <m in="0">
        <tpls c="3">
          <tpl fld="0" item="0"/>
          <tpl fld="1" item="336"/>
          <tpl fld="4" item="34"/>
        </tpls>
      </m>
      <m in="0">
        <tpls c="3">
          <tpl fld="0" item="0"/>
          <tpl fld="1" item="244"/>
          <tpl fld="4" item="35"/>
        </tpls>
      </m>
      <m in="0">
        <tpls c="3">
          <tpl fld="0" item="0"/>
          <tpl fld="1" item="386"/>
          <tpl fld="4" item="34"/>
        </tpls>
      </m>
      <m in="0">
        <tpls c="3">
          <tpl fld="0" item="0"/>
          <tpl fld="1" item="99"/>
          <tpl fld="4" item="34"/>
        </tpls>
      </m>
      <m in="0">
        <tpls c="3">
          <tpl fld="0" item="0"/>
          <tpl fld="1" item="143"/>
          <tpl fld="4" item="24"/>
        </tpls>
      </m>
      <m in="0">
        <tpls c="3">
          <tpl fld="0" item="0"/>
          <tpl fld="1" item="374"/>
          <tpl fld="4" item="29"/>
        </tpls>
      </m>
      <m in="0">
        <tpls c="3">
          <tpl fld="0" item="0"/>
          <tpl fld="1" item="249"/>
          <tpl fld="4" item="6"/>
        </tpls>
      </m>
      <m in="0">
        <tpls c="3">
          <tpl fld="0" item="0"/>
          <tpl fld="1" item="357"/>
          <tpl fld="4" item="30"/>
        </tpls>
      </m>
      <m in="0">
        <tpls c="3">
          <tpl fld="0" item="0"/>
          <tpl fld="1" item="399"/>
          <tpl fld="4" item="29"/>
        </tpls>
      </m>
      <m in="0">
        <tpls c="3">
          <tpl fld="0" item="0"/>
          <tpl fld="1" item="378"/>
          <tpl fld="4" item="31"/>
        </tpls>
      </m>
      <m in="0">
        <tpls c="3">
          <tpl fld="0" item="0"/>
          <tpl fld="1" item="420"/>
          <tpl fld="4" item="31"/>
        </tpls>
      </m>
      <m in="0">
        <tpls c="3">
          <tpl fld="0" item="0"/>
          <tpl fld="1" item="209"/>
          <tpl fld="4" item="30"/>
        </tpls>
      </m>
      <m in="0">
        <tpls c="3">
          <tpl fld="0" item="0"/>
          <tpl fld="1" item="197"/>
          <tpl fld="4" item="25"/>
        </tpls>
      </m>
      <n v="224" in="0">
        <tpls c="3">
          <tpl fld="0" item="0"/>
          <tpl fld="1" item="337"/>
          <tpl fld="4" item="25"/>
        </tpls>
      </n>
      <m in="0">
        <tpls c="3">
          <tpl fld="0" item="0"/>
          <tpl fld="1" item="415"/>
          <tpl fld="4" item="31"/>
        </tpls>
      </m>
      <m in="0">
        <tpls c="3">
          <tpl fld="0" item="0"/>
          <tpl fld="1" item="159"/>
          <tpl fld="4" item="31"/>
        </tpls>
      </m>
      <n v="100" in="0">
        <tpls c="3">
          <tpl fld="0" item="0"/>
          <tpl fld="1" item="139"/>
          <tpl fld="4" item="24"/>
        </tpls>
      </n>
      <m in="0">
        <tpls c="3">
          <tpl fld="0" item="0"/>
          <tpl fld="1" item="356"/>
          <tpl fld="4" item="33"/>
        </tpls>
      </m>
      <m in="0">
        <tpls c="3">
          <tpl fld="0" item="0"/>
          <tpl fld="1" item="276"/>
          <tpl fld="4" item="30"/>
        </tpls>
      </m>
      <m in="0">
        <tpls c="3">
          <tpl fld="0" item="0"/>
          <tpl fld="1" item="362"/>
          <tpl fld="4" item="25"/>
        </tpls>
      </m>
      <n v="47" in="0">
        <tpls c="3">
          <tpl fld="0" item="0"/>
          <tpl fld="1" item="405"/>
          <tpl fld="4" item="25"/>
        </tpls>
      </n>
      <n v="175" in="0">
        <tpls c="3">
          <tpl fld="0" item="0"/>
          <tpl fld="1" item="367"/>
          <tpl fld="4" item="27"/>
        </tpls>
      </n>
      <n v="78" in="0">
        <tpls c="3">
          <tpl fld="0" item="0"/>
          <tpl fld="1" item="360"/>
          <tpl fld="4" item="25"/>
        </tpls>
      </n>
      <n v="5" in="0">
        <tpls c="3">
          <tpl fld="0" item="0"/>
          <tpl fld="1" item="444"/>
          <tpl fld="4" item="24"/>
        </tpls>
      </n>
      <m in="0">
        <tpls c="3">
          <tpl fld="0" item="0"/>
          <tpl fld="1" item="414"/>
          <tpl fld="4" item="33"/>
        </tpls>
      </m>
      <m in="0">
        <tpls c="3">
          <tpl fld="0" item="0"/>
          <tpl fld="1" item="103"/>
          <tpl fld="4" item="30"/>
        </tpls>
      </m>
      <m in="0">
        <tpls c="3">
          <tpl fld="0" item="0"/>
          <tpl fld="1" item="232"/>
          <tpl fld="4" item="34"/>
        </tpls>
      </m>
      <m in="0">
        <tpls c="3">
          <tpl fld="0" item="0"/>
          <tpl fld="1" item="421"/>
          <tpl fld="4" item="31"/>
        </tpls>
      </m>
      <m in="0">
        <tpls c="3">
          <tpl fld="0" item="0"/>
          <tpl fld="1" item="419"/>
          <tpl fld="4" item="34"/>
        </tpls>
      </m>
      <m in="0">
        <tpls c="3">
          <tpl fld="0" item="0"/>
          <tpl fld="1" item="456"/>
          <tpl fld="4" item="35"/>
        </tpls>
      </m>
      <m in="0">
        <tpls c="3">
          <tpl fld="0" item="0"/>
          <tpl fld="1" item="40"/>
          <tpl fld="4" item="33"/>
        </tpls>
      </m>
      <m in="0">
        <tpls c="3">
          <tpl fld="0" item="0"/>
          <tpl fld="1" item="254"/>
          <tpl fld="4" item="27"/>
        </tpls>
      </m>
      <m in="0">
        <tpls c="3">
          <tpl fld="0" item="0"/>
          <tpl fld="1" item="127"/>
          <tpl fld="4" item="24"/>
        </tpls>
      </m>
      <m in="0">
        <tpls c="3">
          <tpl fld="0" item="0"/>
          <tpl fld="1" item="444"/>
          <tpl fld="4" item="22"/>
        </tpls>
      </m>
      <m in="0">
        <tpls c="3">
          <tpl fld="0" item="0"/>
          <tpl fld="1" item="69"/>
          <tpl fld="4" item="31"/>
        </tpls>
      </m>
      <m in="0">
        <tpls c="3">
          <tpl fld="0" item="0"/>
          <tpl fld="1" item="6"/>
          <tpl fld="4" item="33"/>
        </tpls>
      </m>
      <n v="1" in="0">
        <tpls c="3">
          <tpl fld="0" item="0"/>
          <tpl fld="1" item="32"/>
          <tpl fld="4" item="34"/>
        </tpls>
      </n>
      <m in="0">
        <tpls c="3">
          <tpl fld="0" item="0"/>
          <tpl fld="1" item="83"/>
          <tpl fld="4" item="22"/>
        </tpls>
      </m>
      <m in="0">
        <tpls c="3">
          <tpl fld="0" item="0"/>
          <tpl fld="1" item="435"/>
          <tpl fld="4" item="24"/>
        </tpls>
      </m>
      <m in="0">
        <tpls c="3">
          <tpl fld="0" item="0"/>
          <tpl fld="1" item="100"/>
          <tpl fld="4" item="32"/>
        </tpls>
      </m>
      <m in="0">
        <tpls c="3">
          <tpl fld="0" item="0"/>
          <tpl fld="1" item="6"/>
          <tpl fld="4" item="32"/>
        </tpls>
      </m>
      <m in="0">
        <tpls c="3">
          <tpl fld="0" item="0"/>
          <tpl fld="1" item="72"/>
          <tpl fld="4" item="33"/>
        </tpls>
      </m>
      <m in="0">
        <tpls c="3">
          <tpl fld="0" item="0"/>
          <tpl fld="1" item="379"/>
          <tpl fld="4" item="34"/>
        </tpls>
      </m>
      <m in="0">
        <tpls c="3">
          <tpl fld="0" item="0"/>
          <tpl fld="1" item="6"/>
          <tpl fld="4" item="29"/>
        </tpls>
      </m>
      <m in="0">
        <tpls c="3">
          <tpl fld="0" item="0"/>
          <tpl fld="1" item="177"/>
          <tpl fld="4" item="32"/>
        </tpls>
      </m>
      <m in="0">
        <tpls c="3">
          <tpl fld="0" item="0"/>
          <tpl fld="1" item="53"/>
          <tpl fld="4" item="31"/>
        </tpls>
      </m>
      <m in="0">
        <tpls c="3">
          <tpl fld="0" item="0"/>
          <tpl fld="1" item="440"/>
          <tpl fld="4" item="28"/>
        </tpls>
      </m>
      <m in="0">
        <tpls c="3">
          <tpl fld="0" item="0"/>
          <tpl fld="1" item="369"/>
          <tpl fld="4" item="33"/>
        </tpls>
      </m>
      <n v="1" in="0">
        <tpls c="3">
          <tpl fld="0" item="0"/>
          <tpl fld="1" item="104"/>
          <tpl fld="4" item="30"/>
        </tpls>
      </n>
      <m in="0">
        <tpls c="3">
          <tpl fld="0" item="0"/>
          <tpl fld="1" item="167"/>
          <tpl fld="4" item="28"/>
        </tpls>
      </m>
      <m in="0">
        <tpls c="3">
          <tpl fld="0" item="0"/>
          <tpl fld="1" item="102"/>
          <tpl fld="4" item="21"/>
        </tpls>
      </m>
      <m in="0">
        <tpls c="3">
          <tpl fld="0" item="0"/>
          <tpl fld="1" item="345"/>
          <tpl fld="4" item="32"/>
        </tpls>
      </m>
      <m in="0">
        <tpls c="3">
          <tpl fld="0" item="0"/>
          <tpl fld="1" item="244"/>
          <tpl fld="4" item="32"/>
        </tpls>
      </m>
      <m in="0">
        <tpls c="3">
          <tpl fld="0" item="0"/>
          <tpl fld="1" item="108"/>
          <tpl fld="4" item="31"/>
        </tpls>
      </m>
      <m in="0">
        <tpls c="3">
          <tpl fld="0" item="0"/>
          <tpl fld="1" item="71"/>
          <tpl fld="4" item="33"/>
        </tpls>
      </m>
      <m in="0">
        <tpls c="3">
          <tpl fld="0" item="0"/>
          <tpl fld="1" item="439"/>
          <tpl fld="4" item="30"/>
        </tpls>
      </m>
      <m in="0">
        <tpls c="3">
          <tpl fld="0" item="0"/>
          <tpl fld="1" item="430"/>
          <tpl fld="4" item="34"/>
        </tpls>
      </m>
      <n v="1" in="0">
        <tpls c="3">
          <tpl fld="0" item="0"/>
          <tpl fld="1" item="50"/>
          <tpl fld="4" item="27"/>
        </tpls>
      </n>
      <m in="0">
        <tpls c="3">
          <tpl fld="0" item="0"/>
          <tpl fld="1" item="305"/>
          <tpl fld="4" item="34"/>
        </tpls>
      </m>
      <m in="0">
        <tpls c="3">
          <tpl fld="0" item="0"/>
          <tpl fld="1" item="188"/>
          <tpl fld="4" item="35"/>
        </tpls>
      </m>
      <m in="0">
        <tpls c="3">
          <tpl fld="0" item="0"/>
          <tpl fld="1" item="238"/>
          <tpl fld="4" item="33"/>
        </tpls>
      </m>
      <m in="0">
        <tpls c="3">
          <tpl fld="0" item="0"/>
          <tpl fld="1" item="161"/>
          <tpl fld="4" item="35"/>
        </tpls>
      </m>
      <n v="32" in="0">
        <tpls c="3">
          <tpl fld="0" item="0"/>
          <tpl fld="1" item="263"/>
          <tpl fld="4" item="25"/>
        </tpls>
      </n>
      <m in="0">
        <tpls c="3">
          <tpl fld="0" item="0"/>
          <tpl fld="1" item="23"/>
          <tpl fld="4" item="34"/>
        </tpls>
      </m>
      <m in="0">
        <tpls c="3">
          <tpl fld="0" item="0"/>
          <tpl fld="1" item="49"/>
          <tpl fld="4" item="35"/>
        </tpls>
      </m>
      <m in="0">
        <tpls c="3">
          <tpl fld="0" item="0"/>
          <tpl fld="1" item="454"/>
          <tpl fld="4" item="33"/>
        </tpls>
      </m>
      <m in="0">
        <tpls c="3">
          <tpl fld="0" item="0"/>
          <tpl fld="1" item="189"/>
          <tpl fld="4" item="35"/>
        </tpls>
      </m>
      <m in="0">
        <tpls c="3">
          <tpl fld="0" item="0"/>
          <tpl fld="1" item="130"/>
          <tpl fld="4" item="33"/>
        </tpls>
      </m>
      <m in="0">
        <tpls c="3">
          <tpl fld="0" item="0"/>
          <tpl fld="1" item="248"/>
          <tpl fld="4" item="34"/>
        </tpls>
      </m>
      <m in="0">
        <tpls c="3">
          <tpl fld="0" item="0"/>
          <tpl fld="1" item="354"/>
          <tpl fld="4" item="35"/>
        </tpls>
      </m>
      <m in="0">
        <tpls c="3">
          <tpl fld="0" item="0"/>
          <tpl fld="1" item="250"/>
          <tpl fld="4" item="31"/>
        </tpls>
      </m>
      <m in="0">
        <tpls c="3">
          <tpl fld="0" item="0"/>
          <tpl fld="1" item="111"/>
          <tpl fld="4" item="34"/>
        </tpls>
      </m>
      <m in="0">
        <tpls c="3">
          <tpl fld="0" item="0"/>
          <tpl fld="1" item="366"/>
          <tpl fld="4" item="35"/>
        </tpls>
      </m>
      <m in="0">
        <tpls c="3">
          <tpl fld="0" item="0"/>
          <tpl fld="1" item="388"/>
          <tpl fld="4" item="32"/>
        </tpls>
      </m>
      <n v="7" in="0">
        <tpls c="3">
          <tpl fld="0" item="0"/>
          <tpl fld="1" item="29"/>
          <tpl fld="4" item="15"/>
        </tpls>
      </n>
      <n v="1" in="0">
        <tpls c="3">
          <tpl fld="0" item="0"/>
          <tpl fld="1" item="266"/>
          <tpl fld="4" item="31"/>
        </tpls>
      </n>
      <m in="0">
        <tpls c="3">
          <tpl fld="0" item="0"/>
          <tpl fld="1" item="243"/>
          <tpl fld="4" item="35"/>
        </tpls>
      </m>
      <m in="0">
        <tpls c="3">
          <tpl fld="0" item="0"/>
          <tpl fld="1" item="415"/>
          <tpl fld="4" item="32"/>
        </tpls>
      </m>
      <m in="0">
        <tpls c="3">
          <tpl fld="0" item="0"/>
          <tpl fld="1" item="255"/>
          <tpl fld="4" item="34"/>
        </tpls>
      </m>
      <m in="0">
        <tpls c="3">
          <tpl fld="0" item="0"/>
          <tpl fld="1" item="80"/>
          <tpl fld="4" item="30"/>
        </tpls>
      </m>
      <m in="0">
        <tpls c="3">
          <tpl fld="0" item="0"/>
          <tpl fld="1" item="201"/>
          <tpl fld="4" item="30"/>
        </tpls>
      </m>
      <m in="0">
        <tpls c="3">
          <tpl fld="0" item="0"/>
          <tpl fld="1" item="95"/>
          <tpl fld="4" item="35"/>
        </tpls>
      </m>
      <m in="0">
        <tpls c="3">
          <tpl fld="0" item="0"/>
          <tpl fld="1" item="421"/>
          <tpl fld="4" item="24"/>
        </tpls>
      </m>
      <m in="0">
        <tpls c="3">
          <tpl fld="0" item="0"/>
          <tpl fld="1" item="129"/>
          <tpl fld="4" item="34"/>
        </tpls>
      </m>
      <m in="0">
        <tpls c="3">
          <tpl fld="0" item="0"/>
          <tpl fld="1" item="133"/>
          <tpl fld="4" item="30"/>
        </tpls>
      </m>
      <m in="0">
        <tpls c="3">
          <tpl fld="0" item="0"/>
          <tpl fld="1" item="29"/>
          <tpl fld="4" item="3"/>
        </tpls>
      </m>
      <m in="0">
        <tpls c="3">
          <tpl fld="0" item="0"/>
          <tpl fld="1" item="197"/>
          <tpl fld="4" item="3"/>
        </tpls>
      </m>
      <m in="0">
        <tpls c="3">
          <tpl fld="0" item="0"/>
          <tpl fld="1" item="296"/>
          <tpl fld="4" item="0"/>
        </tpls>
      </m>
      <m in="0">
        <tpls c="3">
          <tpl fld="0" item="0"/>
          <tpl fld="1" item="341"/>
          <tpl fld="4" item="3"/>
        </tpls>
      </m>
      <m in="0">
        <tpls c="3">
          <tpl fld="0" item="0"/>
          <tpl fld="1" item="270"/>
          <tpl fld="4" item="2"/>
        </tpls>
      </m>
      <m in="0">
        <tpls c="3">
          <tpl fld="0" item="0"/>
          <tpl fld="1" item="286"/>
          <tpl fld="4" item="3"/>
        </tpls>
      </m>
      <m in="0">
        <tpls c="3">
          <tpl fld="0" item="0"/>
          <tpl fld="1" item="130"/>
          <tpl fld="4" item="4"/>
        </tpls>
      </m>
      <m in="0">
        <tpls c="3">
          <tpl fld="0" item="0"/>
          <tpl fld="1" item="283"/>
          <tpl fld="4" item="3"/>
        </tpls>
      </m>
      <m in="0">
        <tpls c="3">
          <tpl fld="0" item="0"/>
          <tpl fld="1" item="110"/>
          <tpl fld="4" item="2"/>
        </tpls>
      </m>
      <m in="0">
        <tpls c="3">
          <tpl fld="0" item="0"/>
          <tpl fld="1" item="180"/>
          <tpl fld="4" item="3"/>
        </tpls>
      </m>
      <m in="0">
        <tpls c="3">
          <tpl fld="0" item="0"/>
          <tpl fld="1" item="389"/>
          <tpl fld="4" item="4"/>
        </tpls>
      </m>
      <m in="0">
        <tpls c="3">
          <tpl fld="0" item="0"/>
          <tpl fld="1" item="280"/>
          <tpl fld="4" item="3"/>
        </tpls>
      </m>
      <m in="0">
        <tpls c="3">
          <tpl fld="0" item="0"/>
          <tpl fld="1" item="367"/>
          <tpl fld="4" item="4"/>
        </tpls>
      </m>
      <m in="0">
        <tpls c="3">
          <tpl fld="0" item="0"/>
          <tpl fld="1" item="21"/>
          <tpl fld="4" item="3"/>
        </tpls>
      </m>
      <m in="0">
        <tpls c="3">
          <tpl fld="0" item="0"/>
          <tpl fld="1" item="375"/>
          <tpl fld="4" item="4"/>
        </tpls>
      </m>
      <m in="0">
        <tpls c="3">
          <tpl fld="0" item="0"/>
          <tpl fld="1" item="297"/>
          <tpl fld="4" item="3"/>
        </tpls>
      </m>
      <m in="0">
        <tpls c="3">
          <tpl fld="0" item="0"/>
          <tpl fld="1" item="432"/>
          <tpl fld="4" item="2"/>
        </tpls>
      </m>
      <m in="0">
        <tpls c="3">
          <tpl fld="0" item="0"/>
          <tpl fld="1" item="248"/>
          <tpl fld="4" item="37"/>
        </tpls>
      </m>
      <m in="0">
        <tpls c="3">
          <tpl fld="0" item="0"/>
          <tpl fld="1" item="362"/>
          <tpl fld="4" item="2"/>
        </tpls>
      </m>
      <n v="13" in="0">
        <tpls c="3">
          <tpl fld="0" item="0"/>
          <tpl fld="1" item="82"/>
          <tpl fld="4" item="38"/>
        </tpls>
      </n>
      <m in="0">
        <tpls c="3">
          <tpl fld="0" item="0"/>
          <tpl fld="1" item="22"/>
          <tpl fld="4" item="2"/>
        </tpls>
      </m>
      <m in="0">
        <tpls c="3">
          <tpl fld="0" item="0"/>
          <tpl fld="1" item="51"/>
          <tpl fld="4" item="38"/>
        </tpls>
      </m>
      <m in="0">
        <tpls c="3">
          <tpl fld="0" item="0"/>
          <tpl fld="1" item="434"/>
          <tpl fld="4" item="37"/>
        </tpls>
      </m>
      <m in="0">
        <tpls c="3">
          <tpl fld="0" item="0"/>
          <tpl fld="1" item="443"/>
          <tpl fld="4" item="36"/>
        </tpls>
      </m>
      <m in="0">
        <tpls c="3">
          <tpl fld="0" item="0"/>
          <tpl fld="3" item="0"/>
          <tpl fld="4" item="2"/>
        </tpls>
      </m>
      <m in="0">
        <tpls c="3">
          <tpl fld="0" item="0"/>
          <tpl fld="1" item="370"/>
          <tpl fld="4" item="2"/>
        </tpls>
      </m>
      <n v="7" in="0">
        <tpls c="3">
          <tpl fld="0" item="0"/>
          <tpl fld="1" item="364"/>
          <tpl fld="4" item="38"/>
        </tpls>
      </n>
      <m in="0">
        <tpls c="3">
          <tpl fld="0" item="0"/>
          <tpl fld="1" item="211"/>
          <tpl fld="4" item="38"/>
        </tpls>
      </m>
      <m in="0">
        <tpls c="3">
          <tpl fld="0" item="0"/>
          <tpl fld="1" item="128"/>
          <tpl fld="4" item="36"/>
        </tpls>
      </m>
      <n v="70" in="0">
        <tpls c="3">
          <tpl fld="0" item="0"/>
          <tpl fld="1" item="38"/>
          <tpl fld="4" item="37"/>
        </tpls>
      </n>
      <m in="0">
        <tpls c="3">
          <tpl fld="0" item="0"/>
          <tpl fld="1" item="425"/>
          <tpl fld="4" item="2"/>
        </tpls>
      </m>
      <m in="0">
        <tpls c="3">
          <tpl fld="0" item="0"/>
          <tpl fld="1" item="352"/>
          <tpl fld="4" item="36"/>
        </tpls>
      </m>
      <m in="0">
        <tpls c="3">
          <tpl fld="0" item="0"/>
          <tpl fld="1" item="361"/>
          <tpl fld="4" item="39"/>
        </tpls>
      </m>
      <n v="582" in="0">
        <tpls c="3">
          <tpl fld="0" item="0"/>
          <tpl fld="1" item="381"/>
          <tpl fld="4" item="37"/>
        </tpls>
      </n>
      <m in="0">
        <tpls c="3">
          <tpl fld="0" item="0"/>
          <tpl fld="1" item="349"/>
          <tpl fld="4" item="36"/>
        </tpls>
      </m>
      <m in="0">
        <tpls c="3">
          <tpl fld="0" item="0"/>
          <tpl fld="1" item="292"/>
          <tpl fld="4" item="37"/>
        </tpls>
      </m>
      <m in="0">
        <tpls c="3">
          <tpl fld="0" item="0"/>
          <tpl fld="1" item="378"/>
          <tpl fld="4" item="36"/>
        </tpls>
      </m>
      <m in="0">
        <tpls c="3">
          <tpl fld="0" item="0"/>
          <tpl fld="1" item="92"/>
          <tpl fld="4" item="37"/>
        </tpls>
      </m>
      <m in="0">
        <tpls c="3">
          <tpl fld="0" item="0"/>
          <tpl fld="1" item="196"/>
          <tpl fld="4" item="37"/>
        </tpls>
      </m>
      <m in="0">
        <tpls c="3">
          <tpl fld="0" item="0"/>
          <tpl fld="1" item="270"/>
          <tpl fld="4" item="38"/>
        </tpls>
      </m>
      <m in="0">
        <tpls c="3">
          <tpl fld="0" item="0"/>
          <tpl fld="1" item="389"/>
          <tpl fld="4" item="41"/>
        </tpls>
      </m>
      <m in="0">
        <tpls c="3">
          <tpl fld="0" item="0"/>
          <tpl fld="1" item="134"/>
          <tpl fld="4" item="38"/>
        </tpls>
      </m>
      <n v="201" in="0">
        <tpls c="3">
          <tpl fld="0" item="0"/>
          <tpl fld="1" item="41"/>
          <tpl fld="4" item="41"/>
        </tpls>
      </n>
      <m in="0">
        <tpls c="3">
          <tpl fld="0" item="0"/>
          <tpl fld="1" item="303"/>
          <tpl fld="4" item="38"/>
        </tpls>
      </m>
      <m in="0">
        <tpls c="3">
          <tpl fld="0" item="0"/>
          <tpl fld="1" item="371"/>
          <tpl fld="4" item="41"/>
        </tpls>
      </m>
      <m in="0">
        <tpls c="3">
          <tpl fld="0" item="0"/>
          <tpl fld="1" item="334"/>
          <tpl fld="4" item="38"/>
        </tpls>
      </m>
      <m in="0">
        <tpls c="3">
          <tpl fld="0" item="0"/>
          <tpl fld="1" item="149"/>
          <tpl fld="4" item="35"/>
        </tpls>
      </m>
      <m in="0">
        <tpls c="3">
          <tpl fld="0" item="0"/>
          <tpl fld="1" item="206"/>
          <tpl fld="4" item="34"/>
        </tpls>
      </m>
      <m in="0">
        <tpls c="3">
          <tpl fld="0" item="0"/>
          <tpl fld="1" item="93"/>
          <tpl fld="4" item="35"/>
        </tpls>
      </m>
      <n v="5" in="0">
        <tpls c="3">
          <tpl fld="0" item="0"/>
          <tpl fld="1" item="313"/>
          <tpl fld="4" item="33"/>
        </tpls>
      </n>
      <m in="0">
        <tpls c="3">
          <tpl fld="0" item="0"/>
          <tpl fld="1" item="208"/>
          <tpl fld="4" item="35"/>
        </tpls>
      </m>
      <n v="51" in="0">
        <tpls c="3">
          <tpl fld="0" item="0"/>
          <tpl fld="1" item="77"/>
          <tpl fld="4" item="24"/>
        </tpls>
      </n>
      <m in="0">
        <tpls c="3">
          <tpl fld="0" item="0"/>
          <tpl fld="1" item="329"/>
          <tpl fld="4" item="34"/>
        </tpls>
      </m>
      <m in="0">
        <tpls c="3">
          <tpl fld="0" item="0"/>
          <tpl fld="1" item="194"/>
          <tpl fld="4" item="30"/>
        </tpls>
      </m>
      <m in="0">
        <tpls c="3">
          <tpl fld="0" item="0"/>
          <tpl fld="1" item="153"/>
          <tpl fld="4" item="30"/>
        </tpls>
      </m>
      <m in="0">
        <tpls c="3">
          <tpl fld="0" item="0"/>
          <tpl fld="1" item="233"/>
          <tpl fld="4" item="35"/>
        </tpls>
      </m>
      <m in="0">
        <tpls c="3">
          <tpl fld="0" item="0"/>
          <tpl fld="1" item="236"/>
          <tpl fld="4" item="0"/>
        </tpls>
      </m>
      <m in="0">
        <tpls c="3">
          <tpl fld="0" item="0"/>
          <tpl fld="1" item="218"/>
          <tpl fld="4" item="0"/>
        </tpls>
      </m>
      <m in="0">
        <tpls c="3">
          <tpl fld="0" item="0"/>
          <tpl fld="1" item="363"/>
          <tpl fld="4" item="0"/>
        </tpls>
      </m>
      <n v="12" in="0">
        <tpls c="3">
          <tpl fld="0" item="0"/>
          <tpl fld="1" item="281"/>
          <tpl fld="4" item="3"/>
        </tpls>
      </n>
      <m in="0">
        <tpls c="3">
          <tpl fld="0" item="0"/>
          <tpl fld="1" item="267"/>
          <tpl fld="4" item="4"/>
        </tpls>
      </m>
      <m in="0">
        <tpls c="3">
          <tpl fld="0" item="0"/>
          <tpl fld="1" item="305"/>
          <tpl fld="4" item="0"/>
        </tpls>
      </m>
      <m in="0">
        <tpls c="3">
          <tpl fld="0" item="0"/>
          <tpl fld="1" item="48"/>
          <tpl fld="4" item="3"/>
        </tpls>
      </m>
      <m in="0">
        <tpls c="3">
          <tpl fld="0" item="0"/>
          <tpl fld="1" item="319"/>
          <tpl fld="4" item="2"/>
        </tpls>
      </m>
      <m in="0">
        <tpls c="3">
          <tpl fld="0" item="0"/>
          <tpl fld="1" item="323"/>
          <tpl fld="4" item="4"/>
        </tpls>
      </m>
      <m in="0">
        <tpls c="3">
          <tpl fld="0" item="0"/>
          <tpl fld="1" item="365"/>
          <tpl fld="4" item="0"/>
        </tpls>
      </m>
      <m in="0">
        <tpls c="3">
          <tpl fld="0" item="0"/>
          <tpl fld="1" item="158"/>
          <tpl fld="4" item="3"/>
        </tpls>
      </m>
      <m in="0">
        <tpls c="3">
          <tpl fld="0" item="0"/>
          <tpl fld="1" item="154"/>
          <tpl fld="4" item="4"/>
        </tpls>
      </m>
      <m in="0">
        <tpls c="3">
          <tpl fld="0" item="0"/>
          <tpl fld="1" item="290"/>
          <tpl fld="4" item="3"/>
        </tpls>
      </m>
      <m in="0">
        <tpls c="3">
          <tpl fld="0" item="0"/>
          <tpl fld="1" item="351"/>
          <tpl fld="4" item="4"/>
        </tpls>
      </m>
      <m in="0">
        <tpls c="3">
          <tpl fld="0" item="0"/>
          <tpl fld="1" item="153"/>
          <tpl fld="4" item="3"/>
        </tpls>
      </m>
      <m in="0">
        <tpls c="3">
          <tpl fld="0" item="0"/>
          <tpl fld="1" item="129"/>
          <tpl fld="4" item="4"/>
        </tpls>
      </m>
      <m in="0">
        <tpls c="3">
          <tpl fld="0" item="0"/>
          <tpl fld="1" item="7"/>
          <tpl fld="4" item="4"/>
        </tpls>
      </m>
      <m in="0">
        <tpls c="3">
          <tpl fld="0" item="0"/>
          <tpl fld="1" item="411"/>
          <tpl fld="4" item="2"/>
        </tpls>
      </m>
      <m in="0">
        <tpls c="3">
          <tpl fld="0" item="0"/>
          <tpl fld="1" item="42"/>
          <tpl fld="4" item="4"/>
        </tpls>
      </m>
      <m in="0">
        <tpls c="3">
          <tpl fld="0" item="0"/>
          <tpl fld="1" item="283"/>
          <tpl fld="4" item="2"/>
        </tpls>
      </m>
      <m in="0">
        <tpls c="3">
          <tpl fld="0" item="0"/>
          <tpl fld="1" item="111"/>
          <tpl fld="4" item="4"/>
        </tpls>
      </m>
      <m in="0">
        <tpls c="3">
          <tpl fld="0" item="0"/>
          <tpl fld="1" item="315"/>
          <tpl fld="4" item="2"/>
        </tpls>
      </m>
      <m in="0">
        <tpls c="3">
          <tpl fld="0" item="0"/>
          <tpl fld="1" item="234"/>
          <tpl fld="4" item="2"/>
        </tpls>
      </m>
      <m in="0">
        <tpls c="3">
          <tpl fld="0" item="0"/>
          <tpl fld="1" item="377"/>
          <tpl fld="4" item="2"/>
        </tpls>
      </m>
      <m in="0">
        <tpls c="3">
          <tpl fld="0" item="0"/>
          <tpl fld="1" item="57"/>
          <tpl fld="4" item="4"/>
        </tpls>
      </m>
      <m in="0">
        <tpls c="3">
          <tpl fld="0" item="0"/>
          <tpl fld="1" item="188"/>
          <tpl fld="4" item="36"/>
        </tpls>
      </m>
      <m in="0">
        <tpls c="3">
          <tpl fld="0" item="0"/>
          <tpl fld="1" item="388"/>
          <tpl fld="4" item="2"/>
        </tpls>
      </m>
      <n v="149" in="0">
        <tpls c="3">
          <tpl fld="0" item="0"/>
          <tpl fld="1" item="415"/>
          <tpl fld="4" item="37"/>
        </tpls>
      </n>
      <m in="0">
        <tpls c="3">
          <tpl fld="0" item="0"/>
          <tpl fld="1" item="314"/>
          <tpl fld="4" item="2"/>
        </tpls>
      </m>
      <n v="281" in="0">
        <tpls c="3">
          <tpl fld="0" item="0"/>
          <tpl fld="1" item="385"/>
          <tpl fld="4" item="36"/>
        </tpls>
      </n>
      <m in="0">
        <tpls c="3">
          <tpl fld="0" item="0"/>
          <tpl fld="1" item="203"/>
          <tpl fld="4" item="37"/>
        </tpls>
      </m>
      <n v="27" in="0">
        <tpls c="3">
          <tpl fld="0" item="0"/>
          <tpl fld="1" item="103"/>
          <tpl fld="4" item="36"/>
        </tpls>
      </n>
      <n v="158" in="0">
        <tpls c="3">
          <tpl fld="0" item="0"/>
          <tpl fld="1" item="395"/>
          <tpl fld="4" item="37"/>
        </tpls>
      </n>
      <m in="0">
        <tpls c="3">
          <tpl fld="0" item="0"/>
          <tpl fld="1" item="263"/>
          <tpl fld="4" item="36"/>
        </tpls>
      </m>
      <n v="3" in="0">
        <tpls c="3">
          <tpl fld="0" item="0"/>
          <tpl fld="1" item="32"/>
          <tpl fld="4" item="38"/>
        </tpls>
      </n>
      <m in="0">
        <tpls c="3">
          <tpl fld="0" item="0"/>
          <tpl fld="1" item="34"/>
          <tpl fld="4" item="36"/>
        </tpls>
      </m>
      <m in="0">
        <tpls c="3">
          <tpl fld="0" item="0"/>
          <tpl fld="1" item="19"/>
          <tpl fld="4" item="38"/>
        </tpls>
      </m>
      <n v="339" in="0">
        <tpls c="3">
          <tpl fld="0" item="0"/>
          <tpl fld="1" item="288"/>
          <tpl fld="4" item="36"/>
        </tpls>
      </n>
      <m in="0">
        <tpls c="3">
          <tpl fld="0" item="0"/>
          <tpl fld="1" item="450"/>
          <tpl fld="4" item="37"/>
        </tpls>
      </m>
      <n v="38" in="0">
        <tpls c="3">
          <tpl fld="0" item="0"/>
          <tpl fld="1" item="199"/>
          <tpl fld="4" item="37"/>
        </tpls>
      </n>
      <n v="1" in="0">
        <tpls c="3">
          <tpl fld="0" item="0"/>
          <tpl fld="1" item="442"/>
          <tpl fld="4" item="39"/>
        </tpls>
      </n>
      <m in="0">
        <tpls c="3">
          <tpl fld="0" item="0"/>
          <tpl fld="1" item="28"/>
          <tpl fld="4" item="38"/>
        </tpls>
      </m>
      <m in="0">
        <tpls c="3">
          <tpl fld="0" item="0"/>
          <tpl fld="1" item="59"/>
          <tpl fld="4" item="39"/>
        </tpls>
      </m>
      <n v="2" in="0">
        <tpls c="3">
          <tpl fld="0" item="0"/>
          <tpl fld="1" item="329"/>
          <tpl fld="4" item="38"/>
        </tpls>
      </n>
      <m in="0">
        <tpls c="3">
          <tpl fld="0" item="0"/>
          <tpl fld="1" item="216"/>
          <tpl fld="4" item="39"/>
        </tpls>
      </m>
      <n v="3" in="0">
        <tpls c="3">
          <tpl fld="0" item="0"/>
          <tpl fld="1" item="48"/>
          <tpl fld="4" item="37"/>
        </tpls>
      </n>
      <m in="0">
        <tpls c="3">
          <tpl fld="0" item="0"/>
          <tpl fld="1" item="310"/>
          <tpl fld="4" item="39"/>
        </tpls>
      </m>
      <m in="0">
        <tpls c="3">
          <tpl fld="0" item="0"/>
          <tpl fld="1" item="221"/>
          <tpl fld="4" item="35"/>
        </tpls>
      </m>
      <m in="0">
        <tpls c="3">
          <tpl fld="0" item="0"/>
          <tpl fld="1" item="164"/>
          <tpl fld="4" item="31"/>
        </tpls>
      </m>
      <m in="0">
        <tpls c="3">
          <tpl fld="0" item="0"/>
          <tpl fld="1" item="156"/>
          <tpl fld="4" item="35"/>
        </tpls>
      </m>
      <n v="31" in="0">
        <tpls c="3">
          <tpl fld="0" item="0"/>
          <tpl fld="1" item="7"/>
          <tpl fld="4" item="21"/>
        </tpls>
      </n>
      <m in="0">
        <tpls c="3">
          <tpl fld="0" item="0"/>
          <tpl fld="1" item="42"/>
          <tpl fld="4" item="34"/>
        </tpls>
      </m>
      <n v="1227" in="0">
        <tpls c="3">
          <tpl fld="0" item="0"/>
          <tpl fld="1" item="452"/>
          <tpl fld="4" item="23"/>
        </tpls>
      </n>
      <m in="0">
        <tpls c="3">
          <tpl fld="0" item="0"/>
          <tpl fld="1" item="367"/>
          <tpl fld="4" item="30"/>
        </tpls>
      </m>
      <m in="0">
        <tpls c="3">
          <tpl fld="0" item="0"/>
          <tpl fld="1" item="242"/>
          <tpl fld="4" item="35"/>
        </tpls>
      </m>
      <n v="21" in="0">
        <tpls c="3">
          <tpl fld="0" item="0"/>
          <tpl fld="1" item="254"/>
          <tpl fld="4" item="24"/>
        </tpls>
      </n>
      <m in="0">
        <tpls c="3">
          <tpl fld="0" item="0"/>
          <tpl fld="1" item="372"/>
          <tpl fld="4" item="34"/>
        </tpls>
      </m>
      <m in="0">
        <tpls c="3">
          <tpl fld="0" item="0"/>
          <tpl fld="1" item="115"/>
          <tpl fld="4" item="32"/>
        </tpls>
      </m>
      <m in="0">
        <tpls c="3">
          <tpl fld="0" item="0"/>
          <tpl fld="1" item="20"/>
          <tpl fld="4" item="3"/>
        </tpls>
      </m>
      <m in="0">
        <tpls c="3">
          <tpl fld="0" item="0"/>
          <tpl fld="1" item="391"/>
          <tpl fld="4" item="0"/>
        </tpls>
      </m>
      <m in="0">
        <tpls c="3">
          <tpl fld="0" item="0"/>
          <tpl fld="1" item="81"/>
          <tpl fld="4" item="0"/>
        </tpls>
      </m>
      <m in="0">
        <tpls c="3">
          <tpl fld="0" item="0"/>
          <tpl fld="1" item="238"/>
          <tpl fld="4" item="3"/>
        </tpls>
      </m>
      <m in="0">
        <tpls c="3">
          <tpl fld="0" item="0"/>
          <tpl fld="1" item="434"/>
          <tpl fld="4" item="2"/>
        </tpls>
      </m>
      <m in="0">
        <tpls c="3">
          <tpl fld="0" item="0"/>
          <tpl fld="1" item="179"/>
          <tpl fld="4" item="3"/>
        </tpls>
      </m>
      <m in="0">
        <tpls c="3">
          <tpl fld="0" item="0"/>
          <tpl fld="1" item="132"/>
          <tpl fld="4" item="4"/>
        </tpls>
      </m>
      <m in="0">
        <tpls c="3">
          <tpl fld="0" item="0"/>
          <tpl fld="1" item="143"/>
          <tpl fld="4" item="3"/>
        </tpls>
      </m>
      <m in="0">
        <tpls c="3">
          <tpl fld="0" item="0"/>
          <tpl fld="1" item="79"/>
          <tpl fld="4" item="2"/>
        </tpls>
      </m>
      <m in="0">
        <tpls c="3">
          <tpl fld="0" item="0"/>
          <tpl fld="1" item="306"/>
          <tpl fld="4" item="0"/>
        </tpls>
      </m>
      <m in="0">
        <tpls c="3">
          <tpl fld="0" item="0"/>
          <tpl fld="1" item="135"/>
          <tpl fld="4" item="4"/>
        </tpls>
      </m>
      <m in="0">
        <tpls c="3">
          <tpl fld="0" item="0"/>
          <tpl fld="1" item="274"/>
          <tpl fld="4" item="38"/>
        </tpls>
      </m>
      <m in="0">
        <tpls c="3">
          <tpl fld="0" item="0"/>
          <tpl fld="1" item="366"/>
          <tpl fld="4" item="4"/>
        </tpls>
      </m>
      <m in="0">
        <tpls c="3">
          <tpl fld="0" item="0"/>
          <tpl fld="1" item="67"/>
          <tpl fld="4" item="3"/>
        </tpls>
      </m>
      <m in="0">
        <tpls c="3">
          <tpl fld="0" item="0"/>
          <tpl fld="1" item="236"/>
          <tpl fld="4" item="4"/>
        </tpls>
      </m>
      <m in="0">
        <tpls c="3">
          <tpl fld="0" item="0"/>
          <tpl fld="1" item="368"/>
          <tpl fld="4" item="3"/>
        </tpls>
      </m>
      <m in="0">
        <tpls c="3">
          <tpl fld="0" item="0"/>
          <tpl fld="1" item="92"/>
          <tpl fld="4" item="2"/>
        </tpls>
      </m>
      <n v="282" in="0">
        <tpls c="3">
          <tpl fld="0" item="0"/>
          <tpl fld="1" item="256"/>
          <tpl fld="4" item="37"/>
        </tpls>
      </n>
      <m in="0">
        <tpls c="3">
          <tpl fld="0" item="0"/>
          <tpl fld="1" item="227"/>
          <tpl fld="4" item="2"/>
        </tpls>
      </m>
      <n v="149" in="0">
        <tpls c="3">
          <tpl fld="0" item="0"/>
          <tpl fld="1" item="279"/>
          <tpl fld="4" item="37"/>
        </tpls>
      </n>
      <m in="0">
        <tpls c="3">
          <tpl fld="0" item="0"/>
          <tpl fld="1" item="221"/>
          <tpl fld="4" item="2"/>
        </tpls>
      </m>
      <m in="0">
        <tpls c="3">
          <tpl fld="0" item="0"/>
          <tpl fld="1" item="229"/>
          <tpl fld="4" item="37"/>
        </tpls>
      </m>
      <n v="974" in="0">
        <tpls c="3">
          <tpl fld="0" item="0"/>
          <tpl fld="1" item="33"/>
          <tpl fld="4" item="37"/>
        </tpls>
      </n>
      <n v="2" in="0">
        <tpls c="3">
          <tpl fld="0" item="0"/>
          <tpl fld="1" item="432"/>
          <tpl fld="4" item="36"/>
        </tpls>
      </n>
      <m in="0">
        <tpls c="3">
          <tpl fld="0" item="0"/>
          <tpl fld="1" item="286"/>
          <tpl fld="4" item="2"/>
        </tpls>
      </m>
      <n v="7" in="0">
        <tpls c="3">
          <tpl fld="0" item="0"/>
          <tpl fld="1" item="339"/>
          <tpl fld="4" item="38"/>
        </tpls>
      </n>
      <n v="32" in="0">
        <tpls c="3">
          <tpl fld="0" item="0"/>
          <tpl fld="1" item="397"/>
          <tpl fld="4" item="37"/>
        </tpls>
      </n>
      <n v="7" in="0">
        <tpls c="3">
          <tpl fld="0" item="0"/>
          <tpl fld="1" item="155"/>
          <tpl fld="4" item="37"/>
        </tpls>
      </n>
      <m in="0">
        <tpls c="3">
          <tpl fld="0" item="0"/>
          <tpl fld="1" item="60"/>
          <tpl fld="4" item="36"/>
        </tpls>
      </m>
      <n v="478" in="0">
        <tpls c="3">
          <tpl fld="0" item="0"/>
          <tpl fld="1" item="7"/>
          <tpl fld="4" item="37"/>
        </tpls>
      </n>
      <m in="0">
        <tpls c="3">
          <tpl fld="0" item="0"/>
          <tpl fld="1" item="255"/>
          <tpl fld="4" item="2"/>
        </tpls>
      </m>
      <n v="11" in="0">
        <tpls c="3">
          <tpl fld="0" item="0"/>
          <tpl fld="1" item="246"/>
          <tpl fld="4" item="36"/>
        </tpls>
      </n>
      <m in="0">
        <tpls c="3">
          <tpl fld="0" item="0"/>
          <tpl fld="1" item="353"/>
          <tpl fld="4" item="38"/>
        </tpls>
      </m>
      <n v="271" in="0">
        <tpls c="3">
          <tpl fld="0" item="0"/>
          <tpl fld="1" item="365"/>
          <tpl fld="4" item="37"/>
        </tpls>
      </n>
      <n v="16" in="0">
        <tpls c="3">
          <tpl fld="0" item="0"/>
          <tpl fld="1" item="317"/>
          <tpl fld="4" item="36"/>
        </tpls>
      </n>
      <m in="0">
        <tpls c="3">
          <tpl fld="0" item="0"/>
          <tpl fld="1" item="435"/>
          <tpl fld="4" item="37"/>
        </tpls>
      </m>
      <m in="0">
        <tpls c="3">
          <tpl fld="0" item="0"/>
          <tpl fld="1" item="348"/>
          <tpl fld="4" item="33"/>
        </tpls>
      </m>
      <m in="0">
        <tpls c="3">
          <tpl fld="0" item="0"/>
          <tpl fld="1" item="291"/>
          <tpl fld="4" item="35"/>
        </tpls>
      </m>
      <m in="0">
        <tpls c="3">
          <tpl fld="0" item="0"/>
          <tpl fld="1" item="220"/>
          <tpl fld="4" item="24"/>
        </tpls>
      </m>
      <m in="0">
        <tpls c="3">
          <tpl fld="0" item="0"/>
          <tpl fld="1" item="382"/>
          <tpl fld="4" item="34"/>
        </tpls>
      </m>
      <m in="0">
        <tpls c="3">
          <tpl fld="0" item="0"/>
          <tpl fld="1" item="156"/>
          <tpl fld="4" item="34"/>
        </tpls>
      </m>
      <m in="0">
        <tpls c="3">
          <tpl fld="0" item="0"/>
          <tpl fld="1" item="388"/>
          <tpl fld="4" item="30"/>
        </tpls>
      </m>
      <m in="0">
        <tpls c="3">
          <tpl fld="0" item="0"/>
          <tpl fld="1" item="409"/>
          <tpl fld="4" item="35"/>
        </tpls>
      </m>
      <m in="0">
        <tpls c="3">
          <tpl fld="0" item="0"/>
          <tpl fld="1" item="341"/>
          <tpl fld="4" item="32"/>
        </tpls>
      </m>
      <m in="0">
        <tpls c="3">
          <tpl fld="0" item="0"/>
          <tpl fld="1" item="417"/>
          <tpl fld="4" item="34"/>
        </tpls>
      </m>
      <m in="0">
        <tpls c="3">
          <tpl fld="0" item="0"/>
          <tpl fld="1" item="123"/>
          <tpl fld="4" item="34"/>
        </tpls>
      </m>
      <m in="0">
        <tpls c="3">
          <tpl fld="0" item="0"/>
          <tpl fld="1" item="279"/>
          <tpl fld="4" item="3"/>
        </tpls>
      </m>
      <m in="0">
        <tpls c="3">
          <tpl fld="0" item="0"/>
          <tpl fld="1" item="183"/>
          <tpl fld="4" item="3"/>
        </tpls>
      </m>
      <m in="0">
        <tpls c="3">
          <tpl fld="0" item="0"/>
          <tpl fld="1" item="238"/>
          <tpl fld="4" item="0"/>
        </tpls>
      </m>
      <m in="0">
        <tpls c="3">
          <tpl fld="0" item="0"/>
          <tpl fld="1" item="352"/>
          <tpl fld="4" item="3"/>
        </tpls>
      </m>
      <m in="0">
        <tpls c="3">
          <tpl fld="0" item="0"/>
          <tpl fld="1" item="196"/>
          <tpl fld="4" item="36"/>
        </tpls>
      </m>
      <m in="0">
        <tpls c="3">
          <tpl fld="0" item="0"/>
          <tpl fld="1" item="427"/>
          <tpl fld="4" item="3"/>
        </tpls>
      </m>
      <m in="0">
        <tpls c="3">
          <tpl fld="0" item="0"/>
          <tpl fld="1" item="276"/>
          <tpl fld="4" item="4"/>
        </tpls>
      </m>
      <m in="0">
        <tpls c="3">
          <tpl fld="0" item="0"/>
          <tpl fld="1" item="391"/>
          <tpl fld="4" item="3"/>
        </tpls>
      </m>
      <n v="66" in="0">
        <tpls c="3">
          <tpl fld="0" item="0"/>
          <tpl fld="1" item="410"/>
          <tpl fld="4" item="36"/>
        </tpls>
      </n>
      <m in="0">
        <tpls c="3">
          <tpl fld="0" item="0"/>
          <tpl fld="1" item="115"/>
          <tpl fld="4" item="3"/>
        </tpls>
      </m>
      <m in="0">
        <tpls c="3">
          <tpl fld="0" item="0"/>
          <tpl fld="1" item="415"/>
          <tpl fld="4" item="4"/>
        </tpls>
      </m>
      <m in="0">
        <tpls c="3">
          <tpl fld="0" item="0"/>
          <tpl fld="1" item="389"/>
          <tpl fld="4" item="3"/>
        </tpls>
      </m>
      <m in="0">
        <tpls c="3">
          <tpl fld="0" item="0"/>
          <tpl fld="1" item="21"/>
          <tpl fld="4" item="4"/>
        </tpls>
      </m>
      <m in="0">
        <tpls c="3">
          <tpl fld="0" item="0"/>
          <tpl fld="1" item="23"/>
          <tpl fld="4" item="3"/>
        </tpls>
      </m>
      <m in="0">
        <tpls c="3">
          <tpl fld="0" item="0"/>
          <tpl fld="1" item="435"/>
          <tpl fld="4" item="4"/>
        </tpls>
      </m>
      <m in="0">
        <tpls c="3">
          <tpl fld="0" item="0"/>
          <tpl fld="1" item="129"/>
          <tpl fld="4" item="3"/>
        </tpls>
      </m>
      <m in="0">
        <tpls c="3">
          <tpl fld="0" item="0"/>
          <tpl fld="1" item="124"/>
          <tpl fld="4" item="2"/>
        </tpls>
      </m>
      <m in="0">
        <tpls c="3">
          <tpl fld="0" item="0"/>
          <tpl fld="1" item="323"/>
          <tpl fld="4" item="38"/>
        </tpls>
      </m>
      <m in="0">
        <tpls c="3">
          <tpl fld="0" item="0"/>
          <tpl fld="1" item="126"/>
          <tpl fld="4" item="2"/>
        </tpls>
      </m>
      <n v="5" in="0">
        <tpls c="3">
          <tpl fld="0" item="0"/>
          <tpl fld="1" item="174"/>
          <tpl fld="4" item="39"/>
        </tpls>
      </n>
      <m in="0">
        <tpls c="3">
          <tpl fld="0" item="0"/>
          <tpl fld="1" item="132"/>
          <tpl fld="4" item="2"/>
        </tpls>
      </m>
      <m in="0">
        <tpls c="3">
          <tpl fld="0" item="0"/>
          <tpl fld="1" item="162"/>
          <tpl fld="4" item="39"/>
        </tpls>
      </m>
      <n v="42" in="0">
        <tpls c="3">
          <tpl fld="0" item="0"/>
          <tpl fld="1" item="366"/>
          <tpl fld="4" item="37"/>
        </tpls>
      </n>
      <n v="11" in="0">
        <tpls c="3">
          <tpl fld="0" item="0"/>
          <tpl fld="1" item="214"/>
          <tpl fld="4" item="36"/>
        </tpls>
      </n>
      <m in="0">
        <tpls c="3">
          <tpl fld="0" item="0"/>
          <tpl fld="1" item="376"/>
          <tpl fld="4" item="2"/>
        </tpls>
      </m>
      <m in="0">
        <tpls c="3">
          <tpl fld="0" item="0"/>
          <tpl fld="1" item="442"/>
          <tpl fld="4" item="2"/>
        </tpls>
      </m>
      <m in="0">
        <tpls c="3">
          <tpl fld="0" item="0"/>
          <tpl fld="1" item="2"/>
          <tpl fld="4" item="39"/>
        </tpls>
      </m>
      <n v="11" in="0">
        <tpls c="3">
          <tpl fld="0" item="0"/>
          <tpl fld="1" item="256"/>
          <tpl fld="4" item="38"/>
        </tpls>
      </n>
      <n v="4" in="0">
        <tpls c="3">
          <tpl fld="0" item="0"/>
          <tpl fld="1" item="8"/>
          <tpl fld="4" item="36"/>
        </tpls>
      </n>
      <m in="0">
        <tpls c="3">
          <tpl fld="0" item="0"/>
          <tpl fld="1" item="71"/>
          <tpl fld="4" item="37"/>
        </tpls>
      </m>
      <m in="0">
        <tpls c="3">
          <tpl fld="0" item="0"/>
          <tpl fld="1" item="20"/>
          <tpl fld="4" item="2"/>
        </tpls>
      </m>
      <n v="88" in="0">
        <tpls c="3">
          <tpl fld="0" item="0"/>
          <tpl fld="1" item="249"/>
          <tpl fld="4" item="37"/>
        </tpls>
      </n>
      <n v="68" in="0">
        <tpls c="3">
          <tpl fld="0" item="0"/>
          <tpl fld="1" item="68"/>
          <tpl fld="4" item="40"/>
        </tpls>
      </n>
      <m in="0">
        <tpls c="3">
          <tpl fld="0" item="0"/>
          <tpl fld="1" item="130"/>
          <tpl fld="4" item="37"/>
        </tpls>
      </m>
      <m in="0">
        <tpls c="3">
          <tpl fld="0" item="0"/>
          <tpl fld="1" item="393"/>
          <tpl fld="4" item="36"/>
        </tpls>
      </m>
      <n v="33" in="0">
        <tpls c="3">
          <tpl fld="0" item="0"/>
          <tpl fld="1" item="386"/>
          <tpl fld="4" item="37"/>
        </tpls>
      </n>
      <m in="0">
        <tpls c="3">
          <tpl fld="0" item="0"/>
          <tpl fld="1" item="98"/>
          <tpl fld="4" item="36"/>
        </tpls>
      </m>
      <n v="21" in="0">
        <tpls c="3">
          <tpl fld="0" item="0"/>
          <tpl fld="1" item="150"/>
          <tpl fld="4" item="37"/>
        </tpls>
      </n>
      <m in="0">
        <tpls c="3">
          <tpl fld="0" item="0"/>
          <tpl fld="1" item="268"/>
          <tpl fld="4" item="37"/>
        </tpls>
      </m>
      <m in="0">
        <tpls c="3">
          <tpl fld="0" item="0"/>
          <tpl fld="1" item="222"/>
          <tpl fld="4" item="38"/>
        </tpls>
      </m>
      <n v="152" in="0">
        <tpls c="3">
          <tpl fld="0" item="0"/>
          <tpl fld="1" item="177"/>
          <tpl fld="4" item="41"/>
        </tpls>
      </n>
      <m in="0">
        <tpls c="3">
          <tpl fld="0" item="0"/>
          <tpl fld="1" item="13"/>
          <tpl fld="4" item="38"/>
        </tpls>
      </m>
      <n v="28" in="0">
        <tpls c="3">
          <tpl fld="0" item="0"/>
          <tpl fld="1" item="249"/>
          <tpl fld="4" item="41"/>
        </tpls>
      </n>
      <m in="0">
        <tpls c="3">
          <tpl fld="0" item="0"/>
          <tpl fld="1" item="9"/>
          <tpl fld="4" item="38"/>
        </tpls>
      </m>
      <n v="21" in="0">
        <tpls c="3">
          <tpl fld="0" item="0"/>
          <tpl fld="1" item="33"/>
          <tpl fld="4" item="42"/>
        </tpls>
      </n>
      <n v="5" in="0">
        <tpls c="3">
          <tpl fld="0" item="0"/>
          <tpl fld="1" item="258"/>
          <tpl fld="4" item="38"/>
        </tpls>
      </n>
      <n v="6" in="0">
        <tpls c="3">
          <tpl fld="0" item="0"/>
          <tpl fld="1" item="422"/>
          <tpl fld="4" item="40"/>
        </tpls>
      </n>
      <m in="0">
        <tpls c="3">
          <tpl fld="0" item="0"/>
          <tpl fld="1" item="127"/>
          <tpl fld="4" item="39"/>
        </tpls>
      </m>
      <m in="0">
        <tpls c="3">
          <tpl fld="0" item="0"/>
          <tpl fld="1" item="257"/>
          <tpl fld="4" item="38"/>
        </tpls>
      </m>
      <m in="0">
        <tpls c="3">
          <tpl fld="0" item="0"/>
          <tpl fld="1" item="456"/>
          <tpl fld="4" item="39"/>
        </tpls>
      </m>
      <m in="0">
        <tpls c="3">
          <tpl fld="0" item="0"/>
          <tpl fld="1" item="275"/>
          <tpl fld="4" item="39"/>
        </tpls>
      </m>
      <m in="0">
        <tpls c="3">
          <tpl fld="0" item="0"/>
          <tpl fld="1" item="335"/>
          <tpl fld="4" item="34"/>
        </tpls>
      </m>
      <m in="0">
        <tpls c="3">
          <tpl fld="0" item="0"/>
          <tpl fld="1" item="316"/>
          <tpl fld="4" item="30"/>
        </tpls>
      </m>
      <m in="0">
        <tpls c="3">
          <tpl fld="0" item="0"/>
          <tpl fld="1" item="153"/>
          <tpl fld="4" item="35"/>
        </tpls>
      </m>
      <m in="0">
        <tpls c="3">
          <tpl fld="0" item="0"/>
          <tpl fld="1" item="224"/>
          <tpl fld="4" item="32"/>
        </tpls>
      </m>
      <m in="0">
        <tpls c="3">
          <tpl fld="0" item="0"/>
          <tpl fld="1" item="165"/>
          <tpl fld="4" item="35"/>
        </tpls>
      </m>
      <m in="0">
        <tpls c="3">
          <tpl fld="0" item="0"/>
          <tpl fld="1" item="213"/>
          <tpl fld="4" item="35"/>
        </tpls>
      </m>
      <m in="0">
        <tpls c="3">
          <tpl fld="0" item="0"/>
          <tpl fld="1" item="432"/>
          <tpl fld="4" item="34"/>
        </tpls>
      </m>
      <m in="0">
        <tpls c="3">
          <tpl fld="0" item="0"/>
          <tpl fld="1" item="136"/>
          <tpl fld="4" item="35"/>
        </tpls>
      </m>
      <m in="0">
        <tpls c="3">
          <tpl fld="0" item="0"/>
          <tpl fld="1" item="151"/>
          <tpl fld="4" item="33"/>
        </tpls>
      </m>
      <m in="0">
        <tpls c="3">
          <tpl fld="0" item="0"/>
          <tpl fld="1" item="80"/>
          <tpl fld="4" item="35"/>
        </tpls>
      </m>
      <m in="0">
        <tpls c="3">
          <tpl fld="0" item="0"/>
          <tpl fld="1" item="302"/>
          <tpl fld="4" item="34"/>
        </tpls>
      </m>
      <m in="0">
        <tpls c="3">
          <tpl fld="0" item="0"/>
          <tpl fld="1" item="443"/>
          <tpl fld="4" item="4"/>
        </tpls>
      </m>
      <m in="0">
        <tpls c="3">
          <tpl fld="0" item="0"/>
          <tpl fld="1" item="445"/>
          <tpl fld="4" item="4"/>
        </tpls>
      </m>
      <m in="0">
        <tpls c="3">
          <tpl fld="0" item="0"/>
          <tpl fld="1" item="184"/>
          <tpl fld="4" item="3"/>
        </tpls>
      </m>
      <m in="0">
        <tpls c="3">
          <tpl fld="0" item="0"/>
          <tpl fld="1" item="211"/>
          <tpl fld="4" item="4"/>
        </tpls>
      </m>
      <m in="0">
        <tpls c="3">
          <tpl fld="0" item="0"/>
          <tpl fld="1" item="376"/>
          <tpl fld="4" item="0"/>
        </tpls>
      </m>
      <m in="0">
        <tpls c="3">
          <tpl fld="0" item="0"/>
          <tpl fld="1" item="430"/>
          <tpl fld="4" item="3"/>
        </tpls>
      </m>
      <m in="0">
        <tpls c="3">
          <tpl fld="0" item="0"/>
          <tpl fld="1" item="426"/>
          <tpl fld="4" item="4"/>
        </tpls>
      </m>
      <m in="0">
        <tpls c="3">
          <tpl fld="0" item="0"/>
          <tpl fld="1" item="200"/>
          <tpl fld="4" item="4"/>
        </tpls>
      </m>
      <n v="4" in="0">
        <tpls c="3">
          <tpl fld="0" item="0"/>
          <tpl fld="1" item="77"/>
          <tpl fld="4" item="0"/>
        </tpls>
      </n>
      <m in="0">
        <tpls c="3">
          <tpl fld="0" item="0"/>
          <tpl fld="1" item="239"/>
          <tpl fld="4" item="3"/>
        </tpls>
      </m>
      <m in="0">
        <tpls c="3">
          <tpl fld="0" item="0"/>
          <tpl fld="1" item="406"/>
          <tpl fld="4" item="4"/>
        </tpls>
      </m>
      <m in="0">
        <tpls c="3">
          <tpl fld="0" item="0"/>
          <tpl fld="1" item="414"/>
          <tpl fld="4" item="3"/>
        </tpls>
      </m>
      <m in="0">
        <tpls c="3">
          <tpl fld="0" item="0"/>
          <tpl fld="1" item="22"/>
          <tpl fld="4" item="4"/>
        </tpls>
      </m>
      <m in="0">
        <tpls c="3">
          <tpl fld="0" item="0"/>
          <tpl fld="1" item="258"/>
          <tpl fld="4" item="3"/>
        </tpls>
      </m>
      <m in="0">
        <tpls c="3">
          <tpl fld="0" item="0"/>
          <tpl fld="1" item="395"/>
          <tpl fld="4" item="4"/>
        </tpls>
      </m>
      <m in="0">
        <tpls c="3">
          <tpl fld="0" item="0"/>
          <tpl fld="1" item="66"/>
          <tpl fld="4" item="4"/>
        </tpls>
      </m>
      <m in="0">
        <tpls c="3">
          <tpl fld="0" item="0"/>
          <tpl fld="1" item="133"/>
          <tpl fld="4" item="39"/>
        </tpls>
      </m>
      <m in="0">
        <tpls c="3">
          <tpl fld="0" item="0"/>
          <tpl fld="1" item="383"/>
          <tpl fld="4" item="4"/>
        </tpls>
      </m>
      <m in="0">
        <tpls c="3">
          <tpl fld="0" item="0"/>
          <tpl fld="1" item="395"/>
          <tpl fld="4" item="2"/>
        </tpls>
      </m>
      <m in="0">
        <tpls c="3">
          <tpl fld="0" item="0"/>
          <tpl fld="1" item="18"/>
          <tpl fld="4" item="4"/>
        </tpls>
      </m>
      <m in="0">
        <tpls c="3">
          <tpl fld="0" item="0"/>
          <tpl fld="1" item="196"/>
          <tpl fld="4" item="2"/>
        </tpls>
      </m>
      <m in="0">
        <tpls c="3">
          <tpl fld="0" item="0"/>
          <tpl fld="1" item="207"/>
          <tpl fld="4" item="2"/>
        </tpls>
      </m>
      <m in="0">
        <tpls c="3">
          <tpl fld="0" item="0"/>
          <tpl fld="1" item="41"/>
          <tpl fld="4" item="2"/>
        </tpls>
      </m>
      <n v="2" in="0">
        <tpls c="3">
          <tpl fld="0" item="0"/>
          <tpl fld="1" item="25"/>
          <tpl fld="4" item="37"/>
        </tpls>
      </n>
      <m in="0">
        <tpls c="3">
          <tpl fld="0" item="0"/>
          <tpl fld="1" item="95"/>
          <tpl fld="4" item="2"/>
        </tpls>
      </m>
      <m in="0">
        <tpls c="3">
          <tpl fld="0" item="0"/>
          <tpl fld="1" item="309"/>
          <tpl fld="4" item="2"/>
        </tpls>
      </m>
      <m in="0">
        <tpls c="3">
          <tpl fld="0" item="0"/>
          <tpl fld="1" item="399"/>
          <tpl fld="4" item="36"/>
        </tpls>
      </m>
      <m in="0">
        <tpls c="3">
          <tpl fld="0" item="0"/>
          <tpl fld="1" item="439"/>
          <tpl fld="4" item="39"/>
        </tpls>
      </m>
      <n v="1" in="0">
        <tpls c="3">
          <tpl fld="0" item="0"/>
          <tpl fld="1" item="207"/>
          <tpl fld="4" item="36"/>
        </tpls>
      </n>
      <n v="900" in="0">
        <tpls c="3">
          <tpl fld="0" item="0"/>
          <tpl fld="1" item="331"/>
          <tpl fld="4" item="37"/>
        </tpls>
      </n>
      <m in="0">
        <tpls c="3">
          <tpl fld="0" item="0"/>
          <tpl fld="1" item="73"/>
          <tpl fld="4" item="36"/>
        </tpls>
      </m>
      <m in="0">
        <tpls c="3">
          <tpl fld="0" item="0"/>
          <tpl fld="1" item="457"/>
          <tpl fld="4" item="37"/>
        </tpls>
      </m>
      <m in="0">
        <tpls c="3">
          <tpl fld="0" item="0"/>
          <tpl fld="1" item="26"/>
          <tpl fld="4" item="36"/>
        </tpls>
      </m>
      <n v="10" in="0">
        <tpls c="3">
          <tpl fld="0" item="0"/>
          <tpl fld="1" item="456"/>
          <tpl fld="4" item="37"/>
        </tpls>
      </n>
      <n v="12" in="0">
        <tpls c="3">
          <tpl fld="0" item="0"/>
          <tpl fld="1" item="350"/>
          <tpl fld="4" item="36"/>
        </tpls>
      </n>
      <m in="0">
        <tpls c="3">
          <tpl fld="0" item="0"/>
          <tpl fld="1" item="234"/>
          <tpl fld="4" item="37"/>
        </tpls>
      </m>
      <n v="137" in="0">
        <tpls c="3">
          <tpl fld="0" item="0"/>
          <tpl fld="1" item="85"/>
          <tpl fld="4" item="36"/>
        </tpls>
      </n>
      <n v="27" in="0">
        <tpls c="3">
          <tpl fld="0" item="0"/>
          <tpl fld="1" item="291"/>
          <tpl fld="4" item="37"/>
        </tpls>
      </n>
      <n v="104" in="0">
        <tpls c="3">
          <tpl fld="0" item="0"/>
          <tpl fld="1" item="329"/>
          <tpl fld="4" item="37"/>
        </tpls>
      </n>
      <m in="0">
        <tpls c="3">
          <tpl fld="0" item="0"/>
          <tpl fld="1" item="304"/>
          <tpl fld="4" item="38"/>
        </tpls>
      </m>
      <n v="146" in="0">
        <tpls c="3">
          <tpl fld="0" item="0"/>
          <tpl fld="1" item="255"/>
          <tpl fld="4" item="37"/>
        </tpls>
      </n>
      <m in="0">
        <tpls c="3">
          <tpl fld="0" item="0"/>
          <tpl fld="1" item="164"/>
          <tpl fld="4" item="38"/>
        </tpls>
      </m>
      <m in="0">
        <tpls c="3">
          <tpl fld="0" item="0"/>
          <tpl fld="1" item="172"/>
          <tpl fld="4" item="35"/>
        </tpls>
      </m>
      <m in="0">
        <tpls c="3">
          <tpl fld="0" item="0"/>
          <tpl fld="1" item="437"/>
          <tpl fld="4" item="34"/>
        </tpls>
      </m>
      <n v="1" in="0">
        <tpls c="3">
          <tpl fld="0" item="0"/>
          <tpl fld="1" item="343"/>
          <tpl fld="4" item="33"/>
        </tpls>
      </n>
      <n v="5" in="0">
        <tpls c="3">
          <tpl fld="0" item="0"/>
          <tpl fld="1" item="331"/>
          <tpl fld="4" item="30"/>
        </tpls>
      </n>
      <m in="0">
        <tpls c="3">
          <tpl fld="0" item="0"/>
          <tpl fld="1" item="57"/>
          <tpl fld="4" item="35"/>
        </tpls>
      </m>
      <m in="0">
        <tpls c="3">
          <tpl fld="0" item="0"/>
          <tpl fld="1" item="36"/>
          <tpl fld="4" item="24"/>
        </tpls>
      </m>
      <m in="0">
        <tpls c="3">
          <tpl fld="0" item="0"/>
          <tpl fld="1" item="60"/>
          <tpl fld="4" item="35"/>
        </tpls>
      </m>
      <m in="0">
        <tpls c="3">
          <tpl fld="0" item="0"/>
          <tpl fld="1" item="14"/>
          <tpl fld="4" item="35"/>
        </tpls>
      </m>
      <m in="0">
        <tpls c="3">
          <tpl fld="0" item="0"/>
          <tpl fld="1" item="36"/>
          <tpl fld="4" item="34"/>
        </tpls>
      </m>
      <m in="0">
        <tpls c="3">
          <tpl fld="0" item="0"/>
          <tpl fld="1" item="269"/>
          <tpl fld="4" item="35"/>
        </tpls>
      </m>
      <m in="0">
        <tpls c="3">
          <tpl fld="0" item="0"/>
          <tpl fld="1" item="377"/>
          <tpl fld="4" item="0"/>
        </tpls>
      </m>
      <m in="0">
        <tpls c="3">
          <tpl fld="0" item="0"/>
          <tpl fld="1" item="279"/>
          <tpl fld="4" item="0"/>
        </tpls>
      </m>
      <m in="0">
        <tpls c="3">
          <tpl fld="0" item="0"/>
          <tpl fld="1" item="274"/>
          <tpl fld="4" item="0"/>
        </tpls>
      </m>
      <m in="0">
        <tpls c="3">
          <tpl fld="0" item="0"/>
          <tpl fld="1" item="435"/>
          <tpl fld="4" item="3"/>
        </tpls>
      </m>
      <m in="0">
        <tpls c="3">
          <tpl fld="0" item="0"/>
          <tpl fld="1" item="455"/>
          <tpl fld="4" item="4"/>
        </tpls>
      </m>
      <m in="0">
        <tpls c="3">
          <tpl fld="0" item="0"/>
          <tpl fld="1" item="283"/>
          <tpl fld="4" item="0"/>
        </tpls>
      </m>
      <m in="0">
        <tpls c="3">
          <tpl fld="0" item="0"/>
          <tpl fld="1" item="6"/>
          <tpl fld="4" item="4"/>
        </tpls>
      </m>
      <m in="0">
        <tpls c="3">
          <tpl fld="0" item="0"/>
          <tpl fld="1" item="15"/>
          <tpl fld="4" item="37"/>
        </tpls>
      </m>
      <m in="0">
        <tpls c="3">
          <tpl fld="0" item="0"/>
          <tpl fld="1" item="134"/>
          <tpl fld="4" item="4"/>
        </tpls>
      </m>
      <m in="0">
        <tpls c="3">
          <tpl fld="0" item="0"/>
          <tpl fld="1" item="132"/>
          <tpl fld="4" item="0"/>
        </tpls>
      </m>
      <m in="0">
        <tpls c="3">
          <tpl fld="0" item="0"/>
          <tpl fld="1" item="86"/>
          <tpl fld="4" item="3"/>
        </tpls>
      </m>
      <m in="0">
        <tpls c="3">
          <tpl fld="0" item="0"/>
          <tpl fld="1" item="337"/>
          <tpl fld="4" item="4"/>
        </tpls>
      </m>
      <m in="0">
        <tpls c="3">
          <tpl fld="0" item="0"/>
          <tpl fld="1" item="87"/>
          <tpl fld="4" item="3"/>
        </tpls>
      </m>
      <m in="0">
        <tpls c="3">
          <tpl fld="0" item="0"/>
          <tpl fld="1" item="81"/>
          <tpl fld="4" item="2"/>
        </tpls>
      </m>
      <m in="0">
        <tpls c="3">
          <tpl fld="0" item="0"/>
          <tpl fld="1" item="12"/>
          <tpl fld="4" item="3"/>
        </tpls>
      </m>
      <m in="0">
        <tpls c="3">
          <tpl fld="0" item="0"/>
          <tpl fld="1" item="43"/>
          <tpl fld="4" item="2"/>
        </tpls>
      </m>
      <m in="0">
        <tpls c="3">
          <tpl fld="0" item="0"/>
          <tpl fld="1" item="334"/>
          <tpl fld="4" item="4"/>
        </tpls>
      </m>
      <n v="21" in="0">
        <tpls c="3">
          <tpl fld="0" item="0"/>
          <tpl fld="1" item="454"/>
          <tpl fld="4" item="36"/>
        </tpls>
      </n>
      <m in="0">
        <tpls c="3">
          <tpl fld="0" item="0"/>
          <tpl fld="1" item="343"/>
          <tpl fld="4" item="4"/>
        </tpls>
      </m>
      <m in="0">
        <tpls c="3">
          <tpl fld="0" item="0"/>
          <tpl fld="1" item="316"/>
          <tpl fld="4" item="36"/>
        </tpls>
      </m>
      <m in="0">
        <tpls c="3">
          <tpl fld="0" item="0"/>
          <tpl fld="1" item="251"/>
          <tpl fld="4" item="4"/>
        </tpls>
      </m>
      <n v="1" in="0">
        <tpls c="3">
          <tpl fld="0" item="0"/>
          <tpl fld="1" item="25"/>
          <tpl fld="4" item="36"/>
        </tpls>
      </n>
      <n v="511" in="0">
        <tpls c="3">
          <tpl fld="0" item="0"/>
          <tpl fld="1" item="390"/>
          <tpl fld="4" item="36"/>
        </tpls>
      </n>
      <m in="0">
        <tpls c="3">
          <tpl fld="0" item="0"/>
          <tpl fld="1" item="39"/>
          <tpl fld="4" item="2"/>
        </tpls>
      </m>
      <m in="0">
        <tpls c="3">
          <tpl fld="0" item="0"/>
          <tpl fld="1" item="51"/>
          <tpl fld="4" item="4"/>
        </tpls>
      </m>
      <m in="0">
        <tpls c="3">
          <tpl fld="0" item="0"/>
          <tpl fld="1" item="292"/>
          <tpl fld="4" item="36"/>
        </tpls>
      </m>
      <m in="0">
        <tpls c="3">
          <tpl fld="0" item="0"/>
          <tpl fld="1" item="190"/>
          <tpl fld="4" item="36"/>
        </tpls>
      </m>
      <n v="42" in="0">
        <tpls c="3">
          <tpl fld="0" item="0"/>
          <tpl fld="1" item="427"/>
          <tpl fld="4" item="37"/>
        </tpls>
      </n>
      <m in="0">
        <tpls c="3">
          <tpl fld="0" item="0"/>
          <tpl fld="1" item="321"/>
          <tpl fld="4" item="2"/>
        </tpls>
      </m>
      <m in="0">
        <tpls c="3">
          <tpl fld="0" item="0"/>
          <tpl fld="1" item="238"/>
          <tpl fld="4" item="36"/>
        </tpls>
      </m>
      <m in="0">
        <tpls c="3">
          <tpl fld="0" item="0"/>
          <tpl fld="1" item="86"/>
          <tpl fld="4" item="38"/>
        </tpls>
      </m>
      <m in="0">
        <tpls c="3">
          <tpl fld="0" item="0"/>
          <tpl fld="1" item="74"/>
          <tpl fld="4" item="36"/>
        </tpls>
      </m>
      <n v="56" in="0">
        <tpls c="3">
          <tpl fld="0" item="0"/>
          <tpl fld="1" item="242"/>
          <tpl fld="4" item="37"/>
        </tpls>
      </n>
      <m in="0">
        <tpls c="3">
          <tpl fld="0" item="0"/>
          <tpl fld="1" item="102"/>
          <tpl fld="4" item="37"/>
        </tpls>
      </m>
      <m in="0">
        <tpls c="3">
          <tpl fld="0" item="0"/>
          <tpl fld="1" item="362"/>
          <tpl fld="4" item="40"/>
        </tpls>
      </m>
      <m in="0">
        <tpls c="3">
          <tpl fld="0" item="0"/>
          <tpl fld="1" item="238"/>
          <tpl fld="4" item="37"/>
        </tpls>
      </m>
      <m in="0">
        <tpls c="3">
          <tpl fld="0" item="0"/>
          <tpl fld="1" item="283"/>
          <tpl fld="4" item="40"/>
        </tpls>
      </m>
      <n v="35" in="0">
        <tpls c="3">
          <tpl fld="0" item="0"/>
          <tpl fld="1" item="242"/>
          <tpl fld="4" item="36"/>
        </tpls>
      </n>
      <m in="0">
        <tpls c="3">
          <tpl fld="0" item="0"/>
          <tpl fld="1" item="136"/>
          <tpl fld="4" item="37"/>
        </tpls>
      </m>
      <m in="0">
        <tpls c="3">
          <tpl fld="0" item="0"/>
          <tpl fld="1" item="150"/>
          <tpl fld="4" item="38"/>
        </tpls>
      </m>
      <m in="0">
        <tpls c="3">
          <tpl fld="0" item="0"/>
          <tpl fld="1" item="189"/>
          <tpl fld="4" item="39"/>
        </tpls>
      </m>
      <m in="0">
        <tpls c="3">
          <tpl fld="0" item="0"/>
          <tpl fld="1" item="131"/>
          <tpl fld="4" item="38"/>
        </tpls>
      </m>
      <m in="0">
        <tpls c="3">
          <tpl fld="0" item="0"/>
          <tpl fld="1" item="55"/>
          <tpl fld="4" item="39"/>
        </tpls>
      </m>
      <n v="3" in="0">
        <tpls c="3">
          <tpl fld="0" item="0"/>
          <tpl fld="1" item="277"/>
          <tpl fld="4" item="38"/>
        </tpls>
      </n>
      <n v="1" in="0">
        <tpls c="3">
          <tpl fld="0" item="0"/>
          <tpl fld="1" item="186"/>
          <tpl fld="4" item="39"/>
        </tpls>
      </n>
      <m in="0">
        <tpls c="3">
          <tpl fld="0" item="0"/>
          <tpl fld="1" item="91"/>
          <tpl fld="4" item="38"/>
        </tpls>
      </m>
      <n v="11" in="0">
        <tpls c="3">
          <tpl fld="0" item="0"/>
          <tpl fld="1" item="333"/>
          <tpl fld="4" item="39"/>
        </tpls>
      </n>
      <m in="0">
        <tpls c="3">
          <tpl fld="0" item="0"/>
          <tpl fld="1" item="292"/>
          <tpl fld="4" item="30"/>
        </tpls>
      </m>
      <m in="0">
        <tpls c="3">
          <tpl fld="0" item="0"/>
          <tpl fld="1" item="38"/>
          <tpl fld="4" item="33"/>
        </tpls>
      </m>
      <m in="0">
        <tpls c="3">
          <tpl fld="0" item="0"/>
          <tpl fld="1" item="173"/>
          <tpl fld="4" item="35"/>
        </tpls>
      </m>
      <m in="0">
        <tpls c="3">
          <tpl fld="0" item="0"/>
          <tpl fld="1" item="261"/>
          <tpl fld="4" item="32"/>
        </tpls>
      </m>
      <m in="0">
        <tpls c="3">
          <tpl fld="0" item="0"/>
          <tpl fld="1" item="392"/>
          <tpl fld="4" item="34"/>
        </tpls>
      </m>
      <m in="0">
        <tpls c="3">
          <tpl fld="0" item="0"/>
          <tpl fld="1" item="270"/>
          <tpl fld="4" item="34"/>
        </tpls>
      </m>
      <m in="0">
        <tpls c="3">
          <tpl fld="0" item="0"/>
          <tpl fld="1" item="231"/>
          <tpl fld="4" item="34"/>
        </tpls>
      </m>
      <m in="0">
        <tpls c="3">
          <tpl fld="0" item="0"/>
          <tpl fld="1" item="387"/>
          <tpl fld="4" item="35"/>
        </tpls>
      </m>
      <m in="0">
        <tpls c="3">
          <tpl fld="0" item="0"/>
          <tpl fld="1" item="273"/>
          <tpl fld="4" item="35"/>
        </tpls>
      </m>
      <m in="0">
        <tpls c="3">
          <tpl fld="0" item="0"/>
          <tpl fld="1" item="119"/>
          <tpl fld="4" item="34"/>
        </tpls>
      </m>
      <m in="0">
        <tpls c="3">
          <tpl fld="0" item="0"/>
          <tpl fld="1" item="429"/>
          <tpl fld="4" item="3"/>
        </tpls>
      </m>
      <m in="0">
        <tpls c="3">
          <tpl fld="0" item="0"/>
          <tpl fld="1" item="19"/>
          <tpl fld="4" item="3"/>
        </tpls>
      </m>
      <m in="0">
        <tpls c="3">
          <tpl fld="0" item="0"/>
          <tpl fld="1" item="20"/>
          <tpl fld="4" item="0"/>
        </tpls>
      </m>
      <m in="0">
        <tpls c="3">
          <tpl fld="0" item="0"/>
          <tpl fld="1" item="102"/>
          <tpl fld="4" item="4"/>
        </tpls>
      </m>
      <m in="0">
        <tpls c="3">
          <tpl fld="0" item="0"/>
          <tpl fld="1" item="265"/>
          <tpl fld="4" item="37"/>
        </tpls>
      </m>
      <m in="0">
        <tpls c="3">
          <tpl fld="0" item="0"/>
          <tpl fld="1" item="170"/>
          <tpl fld="4" item="3"/>
        </tpls>
      </m>
      <m in="0">
        <tpls c="3">
          <tpl fld="0" item="0"/>
          <tpl fld="1" item="4"/>
          <tpl fld="4" item="4"/>
        </tpls>
      </m>
      <m in="0">
        <tpls c="3">
          <tpl fld="0" item="0"/>
          <tpl fld="1" item="318"/>
          <tpl fld="4" item="4"/>
        </tpls>
      </m>
      <m in="0">
        <tpls c="3">
          <tpl fld="0" item="0"/>
          <tpl fld="1" item="155"/>
          <tpl fld="4" item="38"/>
        </tpls>
      </m>
      <m in="0">
        <tpls c="3">
          <tpl fld="0" item="0"/>
          <tpl fld="1" item="165"/>
          <tpl fld="4" item="3"/>
        </tpls>
      </m>
      <m in="0">
        <tpls c="3">
          <tpl fld="0" item="0"/>
          <tpl fld="1" item="428"/>
          <tpl fld="4" item="4"/>
        </tpls>
      </m>
      <m in="0">
        <tpls c="3">
          <tpl fld="0" item="0"/>
          <tpl fld="1" item="415"/>
          <tpl fld="4" item="3"/>
        </tpls>
      </m>
      <m in="0">
        <tpls c="3">
          <tpl fld="0" item="0"/>
          <tpl fld="1" item="197"/>
          <tpl fld="4" item="4"/>
        </tpls>
      </m>
      <m in="0">
        <tpls c="3">
          <tpl fld="0" item="0"/>
          <tpl fld="1" item="445"/>
          <tpl fld="4" item="3"/>
        </tpls>
      </m>
      <m in="0">
        <tpls c="3">
          <tpl fld="0" item="0"/>
          <tpl fld="1" item="436"/>
          <tpl fld="4" item="4"/>
        </tpls>
      </m>
      <m in="0">
        <tpls c="3">
          <tpl fld="0" item="0"/>
          <tpl fld="1" item="164"/>
          <tpl fld="4" item="3"/>
        </tpls>
      </m>
      <m in="0">
        <tpls c="3">
          <tpl fld="0" item="0"/>
          <tpl fld="1" item="135"/>
          <tpl fld="4" item="2"/>
        </tpls>
      </m>
      <m in="0">
        <tpls c="3">
          <tpl fld="0" item="0"/>
          <tpl fld="1" item="291"/>
          <tpl fld="4" item="4"/>
        </tpls>
      </m>
      <m in="0">
        <tpls c="3">
          <tpl fld="0" item="0"/>
          <tpl fld="1" item="393"/>
          <tpl fld="4" item="2"/>
        </tpls>
      </m>
      <m in="0">
        <tpls c="3">
          <tpl fld="0" item="0"/>
          <tpl fld="1" item="423"/>
          <tpl fld="4" item="4"/>
        </tpls>
      </m>
      <m in="0">
        <tpls c="3">
          <tpl fld="0" item="0"/>
          <tpl fld="1" item="230"/>
          <tpl fld="4" item="2"/>
        </tpls>
      </m>
      <m in="0">
        <tpls c="3">
          <tpl fld="0" item="0"/>
          <tpl fld="1" item="310"/>
          <tpl fld="4" item="2"/>
        </tpls>
      </m>
      <n v="1" in="0">
        <tpls c="3">
          <tpl fld="0" item="0"/>
          <tpl fld="1" item="18"/>
          <tpl fld="4" item="38"/>
        </tpls>
      </n>
      <n v="131" in="0">
        <tpls c="3">
          <tpl fld="0" item="0"/>
          <tpl fld="1" item="320"/>
          <tpl fld="4" item="36"/>
        </tpls>
      </n>
      <m in="0">
        <tpls c="3">
          <tpl fld="0" item="0"/>
          <tpl fld="1" item="114"/>
          <tpl fld="4" item="2"/>
        </tpls>
      </m>
      <m in="0">
        <tpls c="3">
          <tpl fld="0" item="0"/>
          <tpl fld="1" item="401"/>
          <tpl fld="4" item="2"/>
        </tpls>
      </m>
      <n v="28" in="0">
        <tpls c="3">
          <tpl fld="0" item="0"/>
          <tpl fld="1" item="296"/>
          <tpl fld="4" item="36"/>
        </tpls>
      </n>
      <m in="0">
        <tpls c="3">
          <tpl fld="0" item="0"/>
          <tpl fld="1" item="38"/>
          <tpl fld="4" item="38"/>
        </tpls>
      </m>
      <n v="22" in="0">
        <tpls c="3">
          <tpl fld="0" item="0"/>
          <tpl fld="1" item="258"/>
          <tpl fld="4" item="36"/>
        </tpls>
      </n>
      <m in="0">
        <tpls c="3">
          <tpl fld="0" item="0"/>
          <tpl fld="1" item="404"/>
          <tpl fld="4" item="37"/>
        </tpls>
      </m>
      <m in="0">
        <tpls c="3">
          <tpl fld="0" item="0"/>
          <tpl fld="1" item="392"/>
          <tpl fld="4" item="2"/>
        </tpls>
      </m>
      <n v="2" in="0">
        <tpls c="3">
          <tpl fld="0" item="0"/>
          <tpl fld="1" item="62"/>
          <tpl fld="4" item="37"/>
        </tpls>
      </n>
      <m in="0">
        <tpls c="3">
          <tpl fld="0" item="0"/>
          <tpl fld="1" item="376"/>
          <tpl fld="4" item="36"/>
        </tpls>
      </m>
      <n v="14" in="0">
        <tpls c="3">
          <tpl fld="0" item="0"/>
          <tpl fld="1" item="97"/>
          <tpl fld="4" item="37"/>
        </tpls>
      </n>
      <n v="11" in="0">
        <tpls c="3">
          <tpl fld="0" item="0"/>
          <tpl fld="1" item="335"/>
          <tpl fld="4" item="36"/>
        </tpls>
      </n>
      <n v="56" in="0">
        <tpls c="3">
          <tpl fld="0" item="0"/>
          <tpl fld="1" item="94"/>
          <tpl fld="4" item="37"/>
        </tpls>
      </n>
      <m in="0">
        <tpls c="3">
          <tpl fld="0" item="0"/>
          <tpl fld="1" item="302"/>
          <tpl fld="4" item="35"/>
        </tpls>
      </m>
      <m in="0">
        <tpls c="3">
          <tpl fld="0" item="0"/>
          <tpl fld="1" item="33"/>
          <tpl fld="4" item="34"/>
        </tpls>
      </m>
      <m in="0">
        <tpls c="3">
          <tpl fld="0" item="0"/>
          <tpl fld="1" item="346"/>
          <tpl fld="4" item="35"/>
        </tpls>
      </m>
      <m in="0">
        <tpls c="3">
          <tpl fld="0" item="0"/>
          <tpl fld="1" item="213"/>
          <tpl fld="4" item="33"/>
        </tpls>
      </m>
      <m in="0">
        <tpls c="3">
          <tpl fld="0" item="0"/>
          <tpl fld="1" item="40"/>
          <tpl fld="4" item="35"/>
        </tpls>
      </m>
      <m in="0">
        <tpls c="3">
          <tpl fld="0" item="0"/>
          <tpl fld="1" item="284"/>
          <tpl fld="4" item="28"/>
        </tpls>
      </m>
      <m in="0">
        <tpls c="3">
          <tpl fld="0" item="0"/>
          <tpl fld="1" item="262"/>
          <tpl fld="4" item="34"/>
        </tpls>
      </m>
      <m in="0">
        <tpls c="3">
          <tpl fld="0" item="0"/>
          <tpl fld="1" item="109"/>
          <tpl fld="4" item="33"/>
        </tpls>
      </m>
      <n v="3" in="0">
        <tpls c="3">
          <tpl fld="0" item="0"/>
          <tpl fld="1" item="288"/>
          <tpl fld="4" item="30"/>
        </tpls>
      </n>
      <m in="0">
        <tpls c="3">
          <tpl fld="0" item="0"/>
          <tpl fld="1" item="47"/>
          <tpl fld="4" item="35"/>
        </tpls>
      </m>
      <m in="0">
        <tpls c="3">
          <tpl fld="0" item="0"/>
          <tpl fld="1" item="211"/>
          <tpl fld="4" item="0"/>
        </tpls>
      </m>
      <m in="0">
        <tpls c="3">
          <tpl fld="0" item="0"/>
          <tpl fld="1" item="321"/>
          <tpl fld="4" item="0"/>
        </tpls>
      </m>
      <m in="0">
        <tpls c="3">
          <tpl fld="0" item="0"/>
          <tpl fld="1" item="27"/>
          <tpl fld="4" item="0"/>
        </tpls>
      </m>
      <n v="2" in="0">
        <tpls c="3">
          <tpl fld="0" item="0"/>
          <tpl fld="1" item="11"/>
          <tpl fld="4" item="3"/>
        </tpls>
      </n>
      <m in="0">
        <tpls c="3">
          <tpl fld="0" item="0"/>
          <tpl fld="1" item="427"/>
          <tpl fld="4" item="4"/>
        </tpls>
      </m>
      <m in="0">
        <tpls c="3">
          <tpl fld="0" item="0"/>
          <tpl fld="1" item="298"/>
          <tpl fld="4" item="0"/>
        </tpls>
      </m>
      <m in="0">
        <tpls c="3">
          <tpl fld="0" item="0"/>
          <tpl fld="1" item="177"/>
          <tpl fld="4" item="3"/>
        </tpls>
      </m>
      <m in="0">
        <tpls c="3">
          <tpl fld="0" item="0"/>
          <tpl fld="1" item="21"/>
          <tpl fld="4" item="2"/>
        </tpls>
      </m>
      <m in="0">
        <tpls c="3">
          <tpl fld="0" item="0"/>
          <tpl fld="1" item="32"/>
          <tpl fld="4" item="4"/>
        </tpls>
      </m>
      <m in="0">
        <tpls c="3">
          <tpl fld="0" item="0"/>
          <tpl fld="1" item="286"/>
          <tpl fld="4" item="0"/>
        </tpls>
      </m>
      <m in="0">
        <tpls c="3">
          <tpl fld="0" item="0"/>
          <tpl fld="1" item="428"/>
          <tpl fld="4" item="3"/>
        </tpls>
      </m>
      <m in="0">
        <tpls c="3">
          <tpl fld="0" item="0"/>
          <tpl fld="1" item="269"/>
          <tpl fld="4" item="4"/>
        </tpls>
      </m>
      <m in="0">
        <tpls c="3">
          <tpl fld="0" item="0"/>
          <tpl fld="1" item="32"/>
          <tpl fld="4" item="3"/>
        </tpls>
      </m>
      <m in="0">
        <tpls c="3">
          <tpl fld="0" item="0"/>
          <tpl fld="1" item="153"/>
          <tpl fld="4" item="4"/>
        </tpls>
      </m>
      <m in="0">
        <tpls c="3">
          <tpl fld="0" item="0"/>
          <tpl fld="1" item="356"/>
          <tpl fld="4" item="3"/>
        </tpls>
      </m>
      <m in="0">
        <tpls c="3">
          <tpl fld="0" item="0"/>
          <tpl fld="1" item="275"/>
          <tpl fld="4" item="4"/>
        </tpls>
      </m>
      <m in="0">
        <tpls c="3">
          <tpl fld="0" item="0"/>
          <tpl fld="1" item="161"/>
          <tpl fld="4" item="4"/>
        </tpls>
      </m>
      <m in="0">
        <tpls c="3">
          <tpl fld="0" item="0"/>
          <tpl fld="1" item="382"/>
          <tpl fld="4" item="0"/>
        </tpls>
      </m>
      <m in="0">
        <tpls c="3">
          <tpl fld="0" item="0"/>
          <tpl fld="1" item="94"/>
          <tpl fld="4" item="4"/>
        </tpls>
      </m>
      <m in="0">
        <tpls c="3">
          <tpl fld="0" item="0"/>
          <tpl fld="1" item="277"/>
          <tpl fld="4" item="4"/>
        </tpls>
      </m>
      <m in="0">
        <tpls c="3">
          <tpl fld="0" item="0"/>
          <tpl fld="1" item="258"/>
          <tpl fld="4" item="4"/>
        </tpls>
      </m>
      <m in="0">
        <tpls c="3">
          <tpl fld="0" item="0"/>
          <tpl fld="1" item="232"/>
          <tpl fld="4" item="2"/>
        </tpls>
      </m>
      <n v="77" in="0">
        <tpls c="3">
          <tpl fld="0" item="0"/>
          <tpl fld="1" item="453"/>
          <tpl fld="4" item="37"/>
        </tpls>
      </n>
      <m in="0">
        <tpls c="3">
          <tpl fld="0" item="0"/>
          <tpl fld="1" item="268"/>
          <tpl fld="4" item="41"/>
        </tpls>
      </m>
      <m in="0">
        <tpls c="3">
          <tpl fld="0" item="0"/>
          <tpl fld="1" item="164"/>
          <tpl fld="4" item="2"/>
        </tpls>
      </m>
      <m in="0">
        <tpls c="3">
          <tpl fld="0" item="0"/>
          <tpl fld="1" item="19"/>
          <tpl fld="4" item="36"/>
        </tpls>
      </m>
      <n v="37" in="0">
        <tpls c="3">
          <tpl fld="0" item="0"/>
          <tpl fld="1" item="84"/>
          <tpl fld="4" item="37"/>
        </tpls>
      </n>
      <m in="0">
        <tpls c="3">
          <tpl fld="0" item="0"/>
          <tpl fld="1" item="22"/>
          <tpl fld="4" item="35"/>
        </tpls>
      </m>
      <n v="1" in="0">
        <tpls c="3">
          <tpl fld="0" item="0"/>
          <tpl fld="1" item="182"/>
          <tpl fld="4" item="35"/>
        </tpls>
      </n>
      <m in="0">
        <tpls c="3">
          <tpl fld="0" item="0"/>
          <tpl fld="1" item="304"/>
          <tpl fld="4" item="30"/>
        </tpls>
      </m>
      <m in="0">
        <tpls c="3">
          <tpl fld="0" item="0"/>
          <tpl fld="1" item="185"/>
          <tpl fld="4" item="0"/>
        </tpls>
      </m>
      <m in="0">
        <tpls c="3">
          <tpl fld="0" item="0"/>
          <tpl fld="1" item="26"/>
          <tpl fld="4" item="4"/>
        </tpls>
      </m>
      <m in="0">
        <tpls c="3">
          <tpl fld="0" item="0"/>
          <tpl fld="1" item="207"/>
          <tpl fld="4" item="4"/>
        </tpls>
      </m>
      <n v="2" in="0">
        <tpls c="3">
          <tpl fld="0" item="0"/>
          <tpl fld="1" item="333"/>
          <tpl fld="4" item="3"/>
        </tpls>
      </n>
      <m in="0">
        <tpls c="3">
          <tpl fld="0" item="0"/>
          <tpl fld="1" item="125"/>
          <tpl fld="4" item="4"/>
        </tpls>
      </m>
      <m in="0">
        <tpls c="3">
          <tpl fld="0" item="0"/>
          <tpl fld="1" item="402"/>
          <tpl fld="4" item="4"/>
        </tpls>
      </m>
      <m in="0">
        <tpls c="3">
          <tpl fld="0" item="0"/>
          <tpl fld="1" item="184"/>
          <tpl fld="4" item="4"/>
        </tpls>
      </m>
      <m in="0">
        <tpls c="3">
          <tpl fld="0" item="0"/>
          <tpl fld="1" item="324"/>
          <tpl fld="4" item="2"/>
        </tpls>
      </m>
      <m in="0">
        <tpls c="3">
          <tpl fld="0" item="0"/>
          <tpl fld="1" item="19"/>
          <tpl fld="4" item="37"/>
        </tpls>
      </m>
      <m in="0">
        <tpls c="3">
          <tpl fld="0" item="0"/>
          <tpl fld="1" item="387"/>
          <tpl fld="4" item="38"/>
        </tpls>
      </m>
      <m in="0">
        <tpls c="3">
          <tpl fld="0" item="0"/>
          <tpl fld="1" item="74"/>
          <tpl fld="4" item="39"/>
        </tpls>
      </m>
      <n v="34" in="0">
        <tpls c="3">
          <tpl fld="0" item="0"/>
          <tpl fld="1" item="177"/>
          <tpl fld="4" item="39"/>
        </tpls>
      </n>
      <m in="0">
        <tpls c="3">
          <tpl fld="0" item="0"/>
          <tpl fld="1" item="287"/>
          <tpl fld="4" item="31"/>
        </tpls>
      </m>
      <n v="2" in="0">
        <tpls c="3">
          <tpl fld="0" item="0"/>
          <tpl fld="1" item="412"/>
          <tpl fld="4" item="33"/>
        </tpls>
      </n>
      <m in="0">
        <tpls c="3">
          <tpl fld="0" item="0"/>
          <tpl fld="1" item="175"/>
          <tpl fld="4" item="35"/>
        </tpls>
      </m>
      <m in="0">
        <tpls c="3">
          <tpl fld="0" item="0"/>
          <tpl fld="1" item="321"/>
          <tpl fld="4" item="34"/>
        </tpls>
      </m>
      <m in="0">
        <tpls c="3">
          <tpl fld="0" item="0"/>
          <tpl fld="1" item="91"/>
          <tpl fld="4" item="0"/>
        </tpls>
      </m>
      <m in="0">
        <tpls c="3">
          <tpl fld="0" item="0"/>
          <tpl fld="1" item="82"/>
          <tpl fld="4" item="3"/>
        </tpls>
      </m>
      <m in="0">
        <tpls c="3">
          <tpl fld="0" item="0"/>
          <tpl fld="2" item="0"/>
          <tpl fld="4" item="4"/>
        </tpls>
      </m>
      <m in="0">
        <tpls c="3">
          <tpl fld="0" item="0"/>
          <tpl fld="1" item="178"/>
          <tpl fld="4" item="3"/>
        </tpls>
      </m>
      <m in="0">
        <tpls c="3">
          <tpl fld="0" item="0"/>
          <tpl fld="1" item="223"/>
          <tpl fld="4" item="4"/>
        </tpls>
      </m>
      <m in="0">
        <tpls c="3">
          <tpl fld="0" item="0"/>
          <tpl fld="1" item="376"/>
          <tpl fld="4" item="4"/>
        </tpls>
      </m>
      <m in="0">
        <tpls c="3">
          <tpl fld="0" item="0"/>
          <tpl fld="1" item="325"/>
          <tpl fld="4" item="0"/>
        </tpls>
      </m>
      <m in="0">
        <tpls c="3">
          <tpl fld="0" item="0"/>
          <tpl fld="1" item="40"/>
          <tpl fld="4" item="4"/>
        </tpls>
      </m>
      <m in="0">
        <tpls c="3">
          <tpl fld="0" item="0"/>
          <tpl fld="1" item="74"/>
          <tpl fld="4" item="3"/>
        </tpls>
      </m>
      <m in="0">
        <tpls c="3">
          <tpl fld="0" item="0"/>
          <tpl fld="1" item="336"/>
          <tpl fld="4" item="36"/>
        </tpls>
      </m>
      <m in="0">
        <tpls c="3">
          <tpl fld="0" item="0"/>
          <tpl fld="1" item="397"/>
          <tpl fld="4" item="4"/>
        </tpls>
      </m>
      <m in="0">
        <tpls c="3">
          <tpl fld="0" item="0"/>
          <tpl fld="1" item="233"/>
          <tpl fld="4" item="4"/>
        </tpls>
      </m>
      <m in="0">
        <tpls c="3">
          <tpl fld="0" item="0"/>
          <tpl fld="1" item="217"/>
          <tpl fld="4" item="37"/>
        </tpls>
      </m>
      <m in="0">
        <tpls c="3">
          <tpl fld="0" item="0"/>
          <tpl fld="1" item="242"/>
          <tpl fld="4" item="2"/>
        </tpls>
      </m>
      <m in="0">
        <tpls c="3">
          <tpl fld="0" item="0"/>
          <tpl fld="1" item="120"/>
          <tpl fld="4" item="4"/>
        </tpls>
      </m>
      <n v="116" in="0">
        <tpls c="3">
          <tpl fld="0" item="0"/>
          <tpl fld="1" item="367"/>
          <tpl fld="4" item="37"/>
        </tpls>
      </n>
      <m in="0">
        <tpls c="3">
          <tpl fld="0" item="0"/>
          <tpl fld="1" item="274"/>
          <tpl fld="4" item="2"/>
        </tpls>
      </m>
      <m in="0">
        <tpls c="3">
          <tpl fld="0" item="0"/>
          <tpl fld="1" item="234"/>
          <tpl fld="4" item="4"/>
        </tpls>
      </m>
      <n v="188" in="0">
        <tpls c="3">
          <tpl fld="0" item="0"/>
          <tpl fld="1" item="32"/>
          <tpl fld="4" item="37"/>
        </tpls>
      </n>
      <n v="225" in="0">
        <tpls c="3">
          <tpl fld="0" item="0"/>
          <tpl fld="1" item="452"/>
          <tpl fld="4" item="36"/>
        </tpls>
      </n>
      <m in="0">
        <tpls c="3">
          <tpl fld="0" item="0"/>
          <tpl fld="1" item="201"/>
          <tpl fld="4" item="2"/>
        </tpls>
      </m>
      <m in="0">
        <tpls c="3">
          <tpl fld="0" item="0"/>
          <tpl fld="1" item="116"/>
          <tpl fld="4" item="37"/>
        </tpls>
      </m>
      <n v="412" in="0">
        <tpls c="3">
          <tpl fld="0" item="0"/>
          <tpl fld="1" item="33"/>
          <tpl fld="4" item="36"/>
        </tpls>
      </n>
      <m in="0">
        <tpls c="3">
          <tpl fld="0" item="0"/>
          <tpl fld="1" item="30"/>
          <tpl fld="4" item="37"/>
        </tpls>
      </m>
      <n v="1" in="0">
        <tpls c="3">
          <tpl fld="0" item="0"/>
          <tpl fld="1" item="178"/>
          <tpl fld="4" item="37"/>
        </tpls>
      </n>
      <m in="0">
        <tpls c="3">
          <tpl fld="0" item="0"/>
          <tpl fld="1" item="446"/>
          <tpl fld="4" item="36"/>
        </tpls>
      </m>
      <m in="0">
        <tpls c="3">
          <tpl fld="0" item="0"/>
          <tpl fld="1" item="12"/>
          <tpl fld="4" item="38"/>
        </tpls>
      </m>
      <m in="0">
        <tpls c="3">
          <tpl fld="0" item="0"/>
          <tpl fld="1" item="376"/>
          <tpl fld="4" item="33"/>
        </tpls>
      </m>
      <n v="38" in="0">
        <tpls c="3">
          <tpl fld="0" item="0"/>
          <tpl fld="1" item="208"/>
          <tpl fld="4" item="25"/>
        </tpls>
      </n>
      <m in="0">
        <tpls c="3">
          <tpl fld="0" item="0"/>
          <tpl fld="1" item="56"/>
          <tpl fld="4" item="34"/>
        </tpls>
      </m>
      <m in="0">
        <tpls c="3">
          <tpl fld="0" item="0"/>
          <tpl fld="1" item="78"/>
          <tpl fld="4" item="34"/>
        </tpls>
      </m>
      <m in="0">
        <tpls c="3">
          <tpl fld="0" item="0"/>
          <tpl fld="1" item="195"/>
          <tpl fld="4" item="34"/>
        </tpls>
      </m>
      <n v="169" in="0">
        <tpls c="3">
          <tpl fld="0" item="0"/>
          <tpl fld="1" item="233"/>
          <tpl fld="4" item="23"/>
        </tpls>
      </n>
      <m in="0">
        <tpls c="3">
          <tpl fld="0" item="0"/>
          <tpl fld="1" item="73"/>
          <tpl fld="4" item="35"/>
        </tpls>
      </m>
      <m in="0">
        <tpls c="3">
          <tpl fld="0" item="0"/>
          <tpl fld="1" item="426"/>
          <tpl fld="4" item="3"/>
        </tpls>
      </m>
      <n v="1" in="0">
        <tpls c="3">
          <tpl fld="0" item="0"/>
          <tpl fld="1" item="317"/>
          <tpl fld="4" item="0"/>
        </tpls>
      </n>
      <m in="0">
        <tpls c="3">
          <tpl fld="0" item="0"/>
          <tpl fld="1" item="398"/>
          <tpl fld="4" item="3"/>
        </tpls>
      </m>
      <m in="0">
        <tpls c="3">
          <tpl fld="0" item="0"/>
          <tpl fld="1" item="124"/>
          <tpl fld="4" item="0"/>
        </tpls>
      </m>
      <n v="1" in="0">
        <tpls c="3">
          <tpl fld="0" item="0"/>
          <tpl fld="1" item="447"/>
          <tpl fld="4" item="3"/>
        </tpls>
      </n>
      <m in="0">
        <tpls c="3">
          <tpl fld="0" item="0"/>
          <tpl fld="1" item="250"/>
          <tpl fld="4" item="3"/>
        </tpls>
      </m>
      <m in="0">
        <tpls c="3">
          <tpl fld="0" item="0"/>
          <tpl fld="1" item="384"/>
          <tpl fld="4" item="0"/>
        </tpls>
      </m>
      <m in="0">
        <tpls c="3">
          <tpl fld="0" item="0"/>
          <tpl fld="1" item="419"/>
          <tpl fld="4" item="3"/>
        </tpls>
      </m>
      <m in="0">
        <tpls c="3">
          <tpl fld="0" item="0"/>
          <tpl fld="1" item="220"/>
          <tpl fld="4" item="2"/>
        </tpls>
      </m>
      <m in="0">
        <tpls c="3">
          <tpl fld="0" item="0"/>
          <tpl fld="1" item="198"/>
          <tpl fld="4" item="4"/>
        </tpls>
      </m>
      <m in="0">
        <tpls c="3">
          <tpl fld="0" item="0"/>
          <tpl fld="1" item="339"/>
          <tpl fld="4" item="3"/>
        </tpls>
      </m>
      <n v="144" in="0">
        <tpls c="3">
          <tpl fld="0" item="0"/>
          <tpl fld="1" item="365"/>
          <tpl fld="4" item="36"/>
        </tpls>
      </n>
      <m in="0">
        <tpls c="3">
          <tpl fld="0" item="0"/>
          <tpl fld="1" item="445"/>
          <tpl fld="4" item="2"/>
        </tpls>
      </m>
      <n v="15" in="0">
        <tpls c="3">
          <tpl fld="0" item="0"/>
          <tpl fld="1" item="444"/>
          <tpl fld="4" item="37"/>
        </tpls>
      </n>
      <m in="0">
        <tpls c="3">
          <tpl fld="0" item="0"/>
          <tpl fld="1" item="258"/>
          <tpl fld="4" item="2"/>
        </tpls>
      </m>
      <n v="43" in="0">
        <tpls c="3">
          <tpl fld="0" item="0"/>
          <tpl fld="1" item="254"/>
          <tpl fld="4" item="37"/>
        </tpls>
      </n>
      <m in="0">
        <tpls c="3">
          <tpl fld="0" item="0"/>
          <tpl fld="1" item="233"/>
          <tpl fld="4" item="2"/>
        </tpls>
      </m>
      <m in="0">
        <tpls c="3">
          <tpl fld="0" item="0"/>
          <tpl fld="1" item="259"/>
          <tpl fld="4" item="37"/>
        </tpls>
      </m>
      <m in="0">
        <tpls c="3">
          <tpl fld="0" item="0"/>
          <tpl fld="1" item="119"/>
          <tpl fld="4" item="37"/>
        </tpls>
      </m>
      <m in="0">
        <tpls c="3">
          <tpl fld="0" item="0"/>
          <tpl fld="1" item="268"/>
          <tpl fld="4" item="36"/>
        </tpls>
      </m>
      <m in="0">
        <tpls c="3">
          <tpl fld="0" item="0"/>
          <tpl fld="1" item="182"/>
          <tpl fld="4" item="2"/>
        </tpls>
      </m>
      <m in="0">
        <tpls c="3">
          <tpl fld="0" item="0"/>
          <tpl fld="1" item="197"/>
          <tpl fld="4" item="41"/>
        </tpls>
      </m>
      <n v="3" in="0">
        <tpls c="3">
          <tpl fld="0" item="0"/>
          <tpl fld="1" item="273"/>
          <tpl fld="4" item="38"/>
        </tpls>
      </n>
      <m in="0">
        <tpls c="3">
          <tpl fld="0" item="0"/>
          <tpl fld="1" item="228"/>
          <tpl fld="4" item="38"/>
        </tpls>
      </m>
      <n v="109" in="0">
        <tpls c="3">
          <tpl fld="0" item="0"/>
          <tpl fld="1" item="438"/>
          <tpl fld="4" item="36"/>
        </tpls>
      </n>
      <m in="0">
        <tpls c="3">
          <tpl fld="0" item="0"/>
          <tpl fld="1" item="413"/>
          <tpl fld="4" item="37"/>
        </tpls>
      </m>
      <m in="0">
        <tpls c="3">
          <tpl fld="0" item="0"/>
          <tpl fld="1" item="159"/>
          <tpl fld="4" item="2"/>
        </tpls>
      </m>
      <n v="63" in="0">
        <tpls c="3">
          <tpl fld="0" item="0"/>
          <tpl fld="1" item="354"/>
          <tpl fld="4" item="36"/>
        </tpls>
      </n>
      <n v="6" in="0">
        <tpls c="3">
          <tpl fld="0" item="0"/>
          <tpl fld="1" item="99"/>
          <tpl fld="4" item="39"/>
        </tpls>
      </n>
      <n v="72" in="0">
        <tpls c="3">
          <tpl fld="0" item="0"/>
          <tpl fld="1" item="138"/>
          <tpl fld="4" item="37"/>
        </tpls>
      </n>
      <n v="82" in="0">
        <tpls c="3">
          <tpl fld="0" item="0"/>
          <tpl fld="1" item="319"/>
          <tpl fld="4" item="36"/>
        </tpls>
      </n>
      <m in="0">
        <tpls c="3">
          <tpl fld="0" item="0"/>
          <tpl fld="1" item="299"/>
          <tpl fld="4" item="37"/>
        </tpls>
      </m>
      <m in="0">
        <tpls c="3">
          <tpl fld="0" item="0"/>
          <tpl fld="1" item="247"/>
          <tpl fld="4" item="2"/>
        </tpls>
      </m>
      <n v="112" in="0">
        <tpls c="3">
          <tpl fld="0" item="0"/>
          <tpl fld="1" item="354"/>
          <tpl fld="4" item="37"/>
        </tpls>
      </n>
      <n v="41" in="0">
        <tpls c="3">
          <tpl fld="0" item="0"/>
          <tpl fld="1" item="3"/>
          <tpl fld="4" item="37"/>
        </tpls>
      </n>
      <n v="5" in="0">
        <tpls c="3">
          <tpl fld="0" item="0"/>
          <tpl fld="1" item="49"/>
          <tpl fld="4" item="38"/>
        </tpls>
      </n>
      <m in="0">
        <tpls c="3">
          <tpl fld="0" item="0"/>
          <tpl fld="1" item="306"/>
          <tpl fld="4" item="40"/>
        </tpls>
      </m>
      <m in="0">
        <tpls c="3">
          <tpl fld="0" item="0"/>
          <tpl fld="1" item="153"/>
          <tpl fld="4" item="38"/>
        </tpls>
      </m>
      <n v="9" in="0">
        <tpls c="3">
          <tpl fld="0" item="0"/>
          <tpl fld="1" item="150"/>
          <tpl fld="4" item="41"/>
        </tpls>
      </n>
      <m in="0">
        <tpls c="3">
          <tpl fld="0" item="0"/>
          <tpl fld="1" item="154"/>
          <tpl fld="4" item="38"/>
        </tpls>
      </m>
      <m in="0">
        <tpls c="3">
          <tpl fld="0" item="0"/>
          <tpl fld="1" item="43"/>
          <tpl fld="4" item="41"/>
        </tpls>
      </m>
      <m in="0">
        <tpls c="3">
          <tpl fld="0" item="0"/>
          <tpl fld="1" item="74"/>
          <tpl fld="4" item="38"/>
        </tpls>
      </m>
      <m in="0">
        <tpls c="3">
          <tpl fld="0" item="0"/>
          <tpl fld="1" item="128"/>
          <tpl fld="4" item="40"/>
        </tpls>
      </m>
      <m in="0">
        <tpls c="3">
          <tpl fld="0" item="0"/>
          <tpl fld="1" item="213"/>
          <tpl fld="4" item="39"/>
        </tpls>
      </m>
      <n v="2" in="0">
        <tpls c="3">
          <tpl fld="0" item="0"/>
          <tpl fld="1" item="77"/>
          <tpl fld="4" item="38"/>
        </tpls>
      </n>
      <m in="0">
        <tpls c="3">
          <tpl fld="0" item="0"/>
          <tpl fld="1" item="191"/>
          <tpl fld="4" item="39"/>
        </tpls>
      </m>
      <n v="1" in="0">
        <tpls c="3">
          <tpl fld="0" item="0"/>
          <tpl fld="1" item="284"/>
          <tpl fld="4" item="39"/>
        </tpls>
      </n>
      <n v="117" in="0">
        <tpls c="3">
          <tpl fld="0" item="0"/>
          <tpl fld="1" item="141"/>
          <tpl fld="4" item="36"/>
        </tpls>
      </n>
      <n v="3" in="0">
        <tpls c="3">
          <tpl fld="0" item="0"/>
          <tpl fld="1" item="206"/>
          <tpl fld="4" item="38"/>
        </tpls>
      </n>
      <m in="0">
        <tpls c="3">
          <tpl fld="0" item="0"/>
          <tpl fld="1" item="378"/>
          <tpl fld="4" item="39"/>
        </tpls>
      </m>
      <n v="27" in="0">
        <tpls c="3">
          <tpl fld="0" item="0"/>
          <tpl fld="1" item="264"/>
          <tpl fld="4" item="40"/>
        </tpls>
      </n>
      <m in="0">
        <tpls c="3">
          <tpl fld="0" item="0"/>
          <tpl fld="1" item="155"/>
          <tpl fld="4" item="39"/>
        </tpls>
      </m>
      <n v="13" in="0">
        <tpls c="3">
          <tpl fld="0" item="0"/>
          <tpl fld="1" item="67"/>
          <tpl fld="4" item="39"/>
        </tpls>
      </n>
      <m in="0">
        <tpls c="3">
          <tpl fld="0" item="0"/>
          <tpl fld="1" item="143"/>
          <tpl fld="4" item="39"/>
        </tpls>
      </m>
      <n v="3" in="0">
        <tpls c="3">
          <tpl fld="0" item="0"/>
          <tpl fld="1" item="201"/>
          <tpl fld="4" item="38"/>
        </tpls>
      </n>
      <m in="0">
        <tpls c="3">
          <tpl fld="0" item="0"/>
          <tpl fld="1" item="223"/>
          <tpl fld="4" item="39"/>
        </tpls>
      </m>
      <m in="0">
        <tpls c="3">
          <tpl fld="0" item="0"/>
          <tpl fld="1" item="190"/>
          <tpl fld="4" item="41"/>
        </tpls>
      </m>
      <m in="0">
        <tpls c="3">
          <tpl fld="0" item="0"/>
          <tpl fld="1" item="118"/>
          <tpl fld="4" item="39"/>
        </tpls>
      </m>
      <n v="26" in="0">
        <tpls c="3">
          <tpl fld="0" item="0"/>
          <tpl fld="1" item="397"/>
          <tpl fld="4" item="40"/>
        </tpls>
      </n>
      <m in="0">
        <tpls c="3">
          <tpl fld="0" item="0"/>
          <tpl fld="1" item="73"/>
          <tpl fld="4" item="39"/>
        </tpls>
      </m>
      <n v="48" in="0">
        <tpls c="3">
          <tpl fld="0" item="0"/>
          <tpl fld="1" item="124"/>
          <tpl fld="4" item="41"/>
        </tpls>
      </n>
      <m in="0">
        <tpls c="3">
          <tpl fld="0" item="0"/>
          <tpl fld="1" item="70"/>
          <tpl fld="4" item="39"/>
        </tpls>
      </m>
      <n v="7" in="0">
        <tpls c="3">
          <tpl fld="0" item="0"/>
          <tpl fld="1" item="429"/>
          <tpl fld="4" item="41"/>
        </tpls>
      </n>
      <m in="0">
        <tpls c="3">
          <tpl fld="0" item="0"/>
          <tpl fld="1" item="31"/>
          <tpl fld="4" item="40"/>
        </tpls>
      </m>
      <n v="60" in="0">
        <tpls c="3">
          <tpl fld="0" item="0"/>
          <tpl fld="1" item="39"/>
          <tpl fld="4" item="41"/>
        </tpls>
      </n>
      <m in="0">
        <tpls c="3">
          <tpl fld="0" item="0"/>
          <tpl fld="1" item="375"/>
          <tpl fld="4" item="41"/>
        </tpls>
      </m>
      <n v="2" in="0">
        <tpls c="3">
          <tpl fld="0" item="0"/>
          <tpl fld="1" item="285"/>
          <tpl fld="4" item="42"/>
        </tpls>
      </n>
      <n v="8" in="0">
        <tpls c="3">
          <tpl fld="0" item="0"/>
          <tpl fld="1" item="110"/>
          <tpl fld="4" item="41"/>
        </tpls>
      </n>
      <m in="0">
        <tpls c="3">
          <tpl fld="0" item="0"/>
          <tpl fld="1" item="335"/>
          <tpl fld="4" item="40"/>
        </tpls>
      </m>
      <n v="14" in="0">
        <tpls c="3">
          <tpl fld="0" item="0"/>
          <tpl fld="1" item="167"/>
          <tpl fld="4" item="41"/>
        </tpls>
      </n>
      <m in="0">
        <tpls c="3">
          <tpl fld="0" item="0"/>
          <tpl fld="3" item="0"/>
          <tpl fld="4" item="41"/>
        </tpls>
      </m>
      <m in="0">
        <tpls c="3">
          <tpl fld="0" item="0"/>
          <tpl fld="1" item="59"/>
          <tpl fld="4" item="43"/>
        </tpls>
      </m>
      <n v="31" in="0">
        <tpls c="3">
          <tpl fld="0" item="0"/>
          <tpl fld="1" item="54"/>
          <tpl fld="4" item="41"/>
        </tpls>
      </n>
      <m in="0">
        <tpls c="3">
          <tpl fld="0" item="0"/>
          <tpl fld="1" item="251"/>
          <tpl fld="4" item="43"/>
        </tpls>
      </m>
      <m in="0">
        <tpls c="3">
          <tpl fld="0" item="0"/>
          <tpl fld="1" item="164"/>
          <tpl fld="4" item="43"/>
        </tpls>
      </m>
      <m in="0">
        <tpls c="3">
          <tpl fld="0" item="0"/>
          <tpl fld="1" item="234"/>
          <tpl fld="4" item="42"/>
        </tpls>
      </m>
      <m in="0">
        <tpls c="3">
          <tpl fld="0" item="0"/>
          <tpl fld="1" item="228"/>
          <tpl fld="4" item="43"/>
        </tpls>
      </m>
      <m in="0">
        <tpls c="3">
          <tpl fld="0" item="0"/>
          <tpl fld="1" item="176"/>
          <tpl fld="4" item="42"/>
        </tpls>
      </m>
      <n v="15" in="0">
        <tpls c="3">
          <tpl fld="0" item="0"/>
          <tpl fld="1" item="269"/>
          <tpl fld="4" item="43"/>
        </tpls>
      </n>
      <m in="0">
        <tpls c="3">
          <tpl fld="0" item="0"/>
          <tpl fld="1" item="235"/>
          <tpl fld="4" item="41"/>
        </tpls>
      </m>
      <m in="0">
        <tpls c="3">
          <tpl fld="0" item="0"/>
          <tpl fld="1" item="14"/>
          <tpl fld="4" item="43"/>
        </tpls>
      </m>
      <n v="12" in="0">
        <tpls c="3">
          <tpl fld="0" item="0"/>
          <tpl fld="1" item="281"/>
          <tpl fld="4" item="38"/>
        </tpls>
      </n>
      <n v="77" in="0">
        <tpls c="3">
          <tpl fld="0" item="0"/>
          <tpl fld="1" item="322"/>
          <tpl fld="4" item="37"/>
        </tpls>
      </n>
      <m in="0">
        <tpls c="3">
          <tpl fld="0" item="0"/>
          <tpl fld="1" item="146"/>
          <tpl fld="4" item="38"/>
        </tpls>
      </m>
      <n v="2" in="0">
        <tpls c="3">
          <tpl fld="0" item="0"/>
          <tpl fld="1" item="418"/>
          <tpl fld="4" item="38"/>
        </tpls>
      </n>
      <n v="15" in="0">
        <tpls c="3">
          <tpl fld="0" item="0"/>
          <tpl fld="1" item="7"/>
          <tpl fld="4" item="38"/>
        </tpls>
      </n>
      <n v="59" in="0">
        <tpls c="3">
          <tpl fld="0" item="0"/>
          <tpl fld="1" item="140"/>
          <tpl fld="4" item="40"/>
        </tpls>
      </n>
      <n v="77" in="0">
        <tpls c="3">
          <tpl fld="0" item="0"/>
          <tpl fld="1" item="103"/>
          <tpl fld="4" item="41"/>
        </tpls>
      </n>
      <m in="0">
        <tpls c="3">
          <tpl fld="0" item="0"/>
          <tpl fld="1" item="173"/>
          <tpl fld="4" item="39"/>
        </tpls>
      </m>
      <m in="0">
        <tpls c="3">
          <tpl fld="0" item="0"/>
          <tpl fld="1" item="439"/>
          <tpl fld="4" item="40"/>
        </tpls>
      </m>
      <m in="0">
        <tpls c="3">
          <tpl fld="0" item="0"/>
          <tpl fld="1" item="75"/>
          <tpl fld="4" item="38"/>
        </tpls>
      </m>
      <m in="0">
        <tpls c="3">
          <tpl fld="0" item="0"/>
          <tpl fld="1" item="306"/>
          <tpl fld="4" item="39"/>
        </tpls>
      </m>
      <m in="0">
        <tpls c="3">
          <tpl fld="0" item="0"/>
          <tpl fld="1" item="376"/>
          <tpl fld="4" item="41"/>
        </tpls>
      </m>
      <m in="0">
        <tpls c="3">
          <tpl fld="0" item="0"/>
          <tpl fld="1" item="404"/>
          <tpl fld="4" item="40"/>
        </tpls>
      </m>
      <m in="0">
        <tpls c="3">
          <tpl fld="0" item="0"/>
          <tpl fld="1" item="443"/>
          <tpl fld="4" item="39"/>
        </tpls>
      </m>
      <n v="30" in="0">
        <tpls c="3">
          <tpl fld="0" item="0"/>
          <tpl fld="1" item="242"/>
          <tpl fld="4" item="40"/>
        </tpls>
      </n>
      <m in="0">
        <tpls c="3">
          <tpl fld="0" item="0"/>
          <tpl fld="1" item="369"/>
          <tpl fld="4" item="39"/>
        </tpls>
      </m>
      <m in="0">
        <tpls c="3">
          <tpl fld="0" item="0"/>
          <tpl fld="1" item="250"/>
          <tpl fld="4" item="40"/>
        </tpls>
      </m>
      <m in="0">
        <tpls c="3">
          <tpl fld="0" item="0"/>
          <tpl fld="1" item="86"/>
          <tpl fld="4" item="40"/>
        </tpls>
      </m>
      <m in="0">
        <tpls c="3">
          <tpl fld="0" item="0"/>
          <tpl fld="1" item="93"/>
          <tpl fld="4" item="41"/>
        </tpls>
      </m>
      <n v="25" in="0">
        <tpls c="3">
          <tpl fld="0" item="0"/>
          <tpl fld="1" item="367"/>
          <tpl fld="4" item="41"/>
        </tpls>
      </n>
      <m in="0">
        <tpls c="3">
          <tpl fld="0" item="0"/>
          <tpl fld="1" item="292"/>
          <tpl fld="4" item="42"/>
        </tpls>
      </m>
      <m in="0">
        <tpls c="3">
          <tpl fld="0" item="0"/>
          <tpl fld="1" item="46"/>
          <tpl fld="4" item="41"/>
        </tpls>
      </m>
      <m in="0">
        <tpls c="3">
          <tpl fld="0" item="0"/>
          <tpl fld="1" item="100"/>
          <tpl fld="4" item="42"/>
        </tpls>
      </m>
      <n v="14" in="0">
        <tpls c="3">
          <tpl fld="0" item="0"/>
          <tpl fld="1" item="312"/>
          <tpl fld="4" item="42"/>
        </tpls>
      </n>
      <m in="0">
        <tpls c="3">
          <tpl fld="0" item="0"/>
          <tpl fld="1" item="316"/>
          <tpl fld="4" item="41"/>
        </tpls>
      </m>
      <m in="0">
        <tpls c="3">
          <tpl fld="0" item="0"/>
          <tpl fld="1" item="297"/>
          <tpl fld="4" item="42"/>
        </tpls>
      </m>
      <m in="0">
        <tpls c="3">
          <tpl fld="0" item="0"/>
          <tpl fld="1" item="435"/>
          <tpl fld="4" item="43"/>
        </tpls>
      </m>
      <m in="0">
        <tpls c="3">
          <tpl fld="0" item="0"/>
          <tpl fld="1" item="327"/>
          <tpl fld="4" item="42"/>
        </tpls>
      </m>
      <n v="11" in="0">
        <tpls c="3">
          <tpl fld="0" item="0"/>
          <tpl fld="1" item="288"/>
          <tpl fld="4" item="43"/>
        </tpls>
      </n>
      <n v="13" in="0">
        <tpls c="3">
          <tpl fld="0" item="0"/>
          <tpl fld="1" item="202"/>
          <tpl fld="4" item="42"/>
        </tpls>
      </n>
      <m in="0">
        <tpls c="3">
          <tpl fld="0" item="0"/>
          <tpl fld="1" item="119"/>
          <tpl fld="4" item="43"/>
        </tpls>
      </m>
      <n v="1" in="0">
        <tpls c="3">
          <tpl fld="0" item="0"/>
          <tpl fld="1" item="276"/>
          <tpl fld="4" item="43"/>
        </tpls>
      </n>
      <n v="5" in="0">
        <tpls c="3">
          <tpl fld="0" item="0"/>
          <tpl fld="1" item="104"/>
          <tpl fld="4" item="42"/>
        </tpls>
      </n>
      <m in="0">
        <tpls c="3">
          <tpl fld="0" item="0"/>
          <tpl fld="1" item="129"/>
          <tpl fld="4" item="43"/>
        </tpls>
      </m>
      <n v="2" in="0">
        <tpls c="3">
          <tpl fld="0" item="0"/>
          <tpl fld="1" item="424"/>
          <tpl fld="4" item="42"/>
        </tpls>
      </n>
      <n v="7" in="0">
        <tpls c="3">
          <tpl fld="0" item="0"/>
          <tpl fld="1" item="313"/>
          <tpl fld="4" item="43"/>
        </tpls>
      </n>
      <m in="0">
        <tpls c="3">
          <tpl fld="0" item="0"/>
          <tpl fld="1" item="21"/>
          <tpl fld="4" item="42"/>
        </tpls>
      </m>
      <m in="0">
        <tpls c="3">
          <tpl fld="0" item="0"/>
          <tpl fld="1" item="353"/>
          <tpl fld="4" item="42"/>
        </tpls>
      </m>
      <n v="23" in="0">
        <tpls c="3">
          <tpl fld="0" item="0"/>
          <tpl fld="1" item="14"/>
          <tpl fld="4" item="37"/>
        </tpls>
      </n>
      <m in="0">
        <tpls c="3">
          <tpl fld="0" item="0"/>
          <tpl fld="1" item="176"/>
          <tpl fld="4" item="38"/>
        </tpls>
      </m>
      <m in="0">
        <tpls c="3">
          <tpl fld="0" item="0"/>
          <tpl fld="1" item="251"/>
          <tpl fld="4" item="40"/>
        </tpls>
      </m>
      <m in="0">
        <tpls c="3">
          <tpl fld="0" item="0"/>
          <tpl fld="1" item="229"/>
          <tpl fld="4" item="43"/>
        </tpls>
      </m>
      <n v="124" in="0">
        <tpls c="3">
          <tpl fld="0" item="0"/>
          <tpl fld="1" item="331"/>
          <tpl fld="4" item="40"/>
        </tpls>
      </n>
      <m in="0">
        <tpls c="3">
          <tpl fld="0" item="0"/>
          <tpl fld="1" item="242"/>
          <tpl fld="4" item="39"/>
        </tpls>
      </m>
      <n v="6" in="0">
        <tpls c="3">
          <tpl fld="0" item="0"/>
          <tpl fld="1" item="194"/>
          <tpl fld="4" item="40"/>
        </tpls>
      </n>
      <m in="0">
        <tpls c="3">
          <tpl fld="0" item="0"/>
          <tpl fld="1" item="143"/>
          <tpl fld="4" item="38"/>
        </tpls>
      </m>
      <n v="21" in="0">
        <tpls c="3">
          <tpl fld="0" item="0"/>
          <tpl fld="1" item="305"/>
          <tpl fld="4" item="40"/>
        </tpls>
      </n>
      <n v="43" in="0">
        <tpls c="3">
          <tpl fld="0" item="0"/>
          <tpl fld="1" item="339"/>
          <tpl fld="4" item="41"/>
        </tpls>
      </n>
      <m in="0">
        <tpls c="3">
          <tpl fld="0" item="0"/>
          <tpl fld="1" item="282"/>
          <tpl fld="4" item="39"/>
        </tpls>
      </m>
      <m in="0">
        <tpls c="3">
          <tpl fld="0" item="0"/>
          <tpl fld="1" item="300"/>
          <tpl fld="4" item="40"/>
        </tpls>
      </m>
      <m in="0">
        <tpls c="3">
          <tpl fld="0" item="0"/>
          <tpl fld="1" item="321"/>
          <tpl fld="4" item="40"/>
        </tpls>
      </m>
      <n v="46" in="0">
        <tpls c="3">
          <tpl fld="0" item="0"/>
          <tpl fld="1" item="152"/>
          <tpl fld="4" item="41"/>
        </tpls>
      </n>
      <n v="71" in="0">
        <tpls c="3">
          <tpl fld="0" item="0"/>
          <tpl fld="1" item="364"/>
          <tpl fld="4" item="40"/>
        </tpls>
      </n>
      <m in="0">
        <tpls c="3">
          <tpl fld="0" item="0"/>
          <tpl fld="1" item="170"/>
          <tpl fld="4" item="42"/>
        </tpls>
      </m>
      <n v="23" in="0">
        <tpls c="3">
          <tpl fld="0" item="0"/>
          <tpl fld="1" item="209"/>
          <tpl fld="4" item="40"/>
        </tpls>
      </n>
      <m in="0">
        <tpls c="3">
          <tpl fld="0" item="0"/>
          <tpl fld="1" item="350"/>
          <tpl fld="4" item="42"/>
        </tpls>
      </m>
      <n v="2" in="0">
        <tpls c="3">
          <tpl fld="0" item="0"/>
          <tpl fld="1" item="121"/>
          <tpl fld="4" item="41"/>
        </tpls>
      </n>
      <n v="2" in="0">
        <tpls c="3">
          <tpl fld="0" item="0"/>
          <tpl fld="1" item="317"/>
          <tpl fld="4" item="43"/>
        </tpls>
      </n>
      <m in="0">
        <tpls c="3">
          <tpl fld="0" item="0"/>
          <tpl fld="1" item="379"/>
          <tpl fld="4" item="41"/>
        </tpls>
      </m>
      <n v="1" in="0">
        <tpls c="3">
          <tpl fld="0" item="0"/>
          <tpl fld="1" item="282"/>
          <tpl fld="4" item="40"/>
        </tpls>
      </n>
      <n v="17" in="0">
        <tpls c="3">
          <tpl fld="0" item="0"/>
          <tpl fld="1" item="66"/>
          <tpl fld="4" item="41"/>
        </tpls>
      </n>
      <m in="0">
        <tpls c="3">
          <tpl fld="0" item="0"/>
          <tpl fld="1" item="358"/>
          <tpl fld="4" item="41"/>
        </tpls>
      </m>
      <m in="0">
        <tpls c="3">
          <tpl fld="0" item="0"/>
          <tpl fld="1" item="293"/>
          <tpl fld="4" item="40"/>
        </tpls>
      </m>
      <m in="0">
        <tpls c="3">
          <tpl fld="0" item="0"/>
          <tpl fld="1" item="27"/>
          <tpl fld="4" item="42"/>
        </tpls>
      </m>
      <m in="0">
        <tpls c="3">
          <tpl fld="0" item="0"/>
          <tpl fld="1" item="405"/>
          <tpl fld="4" item="42"/>
        </tpls>
      </m>
      <n v="8" in="0">
        <tpls c="3">
          <tpl fld="0" item="0"/>
          <tpl fld="1" item="217"/>
          <tpl fld="4" item="41"/>
        </tpls>
      </n>
      <m in="0">
        <tpls c="3">
          <tpl fld="0" item="0"/>
          <tpl fld="1" item="293"/>
          <tpl fld="4" item="43"/>
        </tpls>
      </m>
      <n v="17" in="0">
        <tpls c="3">
          <tpl fld="0" item="0"/>
          <tpl fld="1" item="315"/>
          <tpl fld="4" item="41"/>
        </tpls>
      </n>
      <m in="0">
        <tpls c="3">
          <tpl fld="0" item="0"/>
          <tpl fld="1" item="379"/>
          <tpl fld="4" item="43"/>
        </tpls>
      </m>
      <m in="0">
        <tpls c="3">
          <tpl fld="0" item="0"/>
          <tpl fld="1" item="25"/>
          <tpl fld="4" item="43"/>
        </tpls>
      </m>
      <m in="0">
        <tpls c="3">
          <tpl fld="0" item="0"/>
          <tpl fld="1" item="126"/>
          <tpl fld="4" item="42"/>
        </tpls>
      </m>
      <m in="0">
        <tpls c="3">
          <tpl fld="0" item="0"/>
          <tpl fld="1" item="401"/>
          <tpl fld="4" item="43"/>
        </tpls>
      </m>
      <m in="0">
        <tpls c="3">
          <tpl fld="0" item="0"/>
          <tpl fld="1" item="406"/>
          <tpl fld="4" item="42"/>
        </tpls>
      </m>
      <m in="0">
        <tpls c="3">
          <tpl fld="0" item="0"/>
          <tpl fld="1" item="376"/>
          <tpl fld="4" item="43"/>
        </tpls>
      </m>
      <m in="0">
        <tpls c="3">
          <tpl fld="0" item="0"/>
          <tpl fld="1" item="118"/>
          <tpl fld="4" item="43"/>
        </tpls>
      </m>
      <n v="6" in="0">
        <tpls c="3">
          <tpl fld="0" item="0"/>
          <tpl fld="1" item="20"/>
          <tpl fld="4" item="42"/>
        </tpls>
      </n>
      <m in="0">
        <tpls c="3">
          <tpl fld="0" item="0"/>
          <tpl fld="1" item="5"/>
          <tpl fld="4" item="42"/>
        </tpls>
      </m>
      <n v="41" in="0">
        <tpls c="3">
          <tpl fld="0" item="0"/>
          <tpl fld="1" item="302"/>
          <tpl fld="4" item="41"/>
        </tpls>
      </n>
      <m in="0">
        <tpls c="3">
          <tpl fld="0" item="0"/>
          <tpl fld="1" item="15"/>
          <tpl fld="4" item="43"/>
        </tpls>
      </m>
      <n v="29" in="0">
        <tpls c="3">
          <tpl fld="0" item="0"/>
          <tpl fld="1" item="177"/>
          <tpl fld="4" item="38"/>
        </tpls>
      </n>
      <m in="0">
        <tpls c="3">
          <tpl fld="0" item="0"/>
          <tpl fld="1" item="295"/>
          <tpl fld="4" item="39"/>
        </tpls>
      </m>
      <n v="88" in="0">
        <tpls c="3">
          <tpl fld="0" item="0"/>
          <tpl fld="1" item="57"/>
          <tpl fld="4" item="37"/>
        </tpls>
      </n>
      <n v="1" in="0">
        <tpls c="3">
          <tpl fld="0" item="0"/>
          <tpl fld="1" item="161"/>
          <tpl fld="4" item="38"/>
        </tpls>
      </n>
      <n v="38" in="0">
        <tpls c="3">
          <tpl fld="0" item="0"/>
          <tpl fld="1" item="322"/>
          <tpl fld="4" item="41"/>
        </tpls>
      </n>
      <m in="0">
        <tpls c="3">
          <tpl fld="0" item="0"/>
          <tpl fld="1" item="433"/>
          <tpl fld="4" item="39"/>
        </tpls>
      </m>
      <n v="7" in="0">
        <tpls c="3">
          <tpl fld="0" item="0"/>
          <tpl fld="1" item="284"/>
          <tpl fld="4" item="41"/>
        </tpls>
      </n>
      <m in="0">
        <tpls c="3">
          <tpl fld="0" item="0"/>
          <tpl fld="1" item="317"/>
          <tpl fld="4" item="39"/>
        </tpls>
      </m>
      <n v="22" in="0">
        <tpls c="3">
          <tpl fld="0" item="0"/>
          <tpl fld="1" item="277"/>
          <tpl fld="4" item="40"/>
        </tpls>
      </n>
      <n v="13" in="0">
        <tpls c="3">
          <tpl fld="0" item="0"/>
          <tpl fld="1" item="331"/>
          <tpl fld="4" item="42"/>
        </tpls>
      </n>
      <m in="0">
        <tpls c="3">
          <tpl fld="0" item="0"/>
          <tpl fld="1" item="265"/>
          <tpl fld="4" item="39"/>
        </tpls>
      </m>
      <m in="0">
        <tpls c="3">
          <tpl fld="0" item="0"/>
          <tpl fld="1" item="259"/>
          <tpl fld="4" item="40"/>
        </tpls>
      </m>
      <n v="7" in="0">
        <tpls c="3">
          <tpl fld="0" item="0"/>
          <tpl fld="1" item="274"/>
          <tpl fld="4" item="40"/>
        </tpls>
      </n>
      <m in="0">
        <tpls c="3">
          <tpl fld="0" item="0"/>
          <tpl fld="1" item="159"/>
          <tpl fld="4" item="42"/>
        </tpls>
      </m>
      <m in="0">
        <tpls c="3">
          <tpl fld="0" item="0"/>
          <tpl fld="1" item="286"/>
          <tpl fld="4" item="40"/>
        </tpls>
      </m>
      <m in="0">
        <tpls c="3">
          <tpl fld="0" item="0"/>
          <tpl fld="1" item="61"/>
          <tpl fld="4" item="43"/>
        </tpls>
      </m>
      <n v="5" in="0">
        <tpls c="3">
          <tpl fld="0" item="0"/>
          <tpl fld="1" item="161"/>
          <tpl fld="4" item="40"/>
        </tpls>
      </n>
      <n v="1" in="0">
        <tpls c="3">
          <tpl fld="0" item="0"/>
          <tpl fld="1" item="205"/>
          <tpl fld="4" item="43"/>
        </tpls>
      </n>
      <m in="0">
        <tpls c="3">
          <tpl fld="0" item="0"/>
          <tpl fld="1" item="374"/>
          <tpl fld="4" item="41"/>
        </tpls>
      </m>
      <m in="0">
        <tpls c="3">
          <tpl fld="0" item="0"/>
          <tpl fld="1" item="391"/>
          <tpl fld="4" item="43"/>
        </tpls>
      </m>
      <m in="0">
        <tpls c="3">
          <tpl fld="0" item="0"/>
          <tpl fld="1" item="24"/>
          <tpl fld="4" item="42"/>
        </tpls>
      </m>
      <n v="10" in="0">
        <tpls c="3">
          <tpl fld="0" item="0"/>
          <tpl fld="1" item="224"/>
          <tpl fld="4" item="40"/>
        </tpls>
      </n>
      <m in="0">
        <tpls c="3">
          <tpl fld="0" item="0"/>
          <tpl fld="1" item="118"/>
          <tpl fld="4" item="42"/>
        </tpls>
      </m>
      <n v="29" in="0">
        <tpls c="3">
          <tpl fld="0" item="0"/>
          <tpl fld="1" item="184"/>
          <tpl fld="4" item="41"/>
        </tpls>
      </n>
      <m in="0">
        <tpls c="3">
          <tpl fld="0" item="0"/>
          <tpl fld="1" item="203"/>
          <tpl fld="4" item="40"/>
        </tpls>
      </m>
      <n v="3" in="0">
        <tpls c="3">
          <tpl fld="0" item="0"/>
          <tpl fld="1" item="125"/>
          <tpl fld="4" item="42"/>
        </tpls>
      </n>
      <m in="0">
        <tpls c="3">
          <tpl fld="0" item="0"/>
          <tpl fld="1" item="21"/>
          <tpl fld="4" item="43"/>
        </tpls>
      </m>
      <m in="0">
        <tpls c="3">
          <tpl fld="0" item="0"/>
          <tpl fld="1" item="211"/>
          <tpl fld="4" item="42"/>
        </tpls>
      </m>
      <m in="0">
        <tpls c="3">
          <tpl fld="0" item="0"/>
          <tpl fld="1" item="240"/>
          <tpl fld="4" item="43"/>
        </tpls>
      </m>
      <n v="12" in="0">
        <tpls c="3">
          <tpl fld="0" item="0"/>
          <tpl fld="1" item="11"/>
          <tpl fld="4" item="42"/>
        </tpls>
      </n>
      <m in="0">
        <tpls c="3">
          <tpl fld="0" item="0"/>
          <tpl fld="1" item="398"/>
          <tpl fld="4" item="43"/>
        </tpls>
      </m>
      <m in="0">
        <tpls c="3">
          <tpl fld="0" item="0"/>
          <tpl fld="1" item="44"/>
          <tpl fld="4" item="42"/>
        </tpls>
      </m>
      <n v="53" in="0">
        <tpls c="3">
          <tpl fld="0" item="0"/>
          <tpl fld="1" item="107"/>
          <tpl fld="4" item="39"/>
        </tpls>
      </n>
      <n v="12" in="0">
        <tpls c="3">
          <tpl fld="0" item="0"/>
          <tpl fld="1" item="82"/>
          <tpl fld="4" item="39"/>
        </tpls>
      </n>
      <m in="0">
        <tpls c="3">
          <tpl fld="0" item="0"/>
          <tpl fld="1" item="122"/>
          <tpl fld="4" item="37"/>
        </tpls>
      </m>
      <m in="0">
        <tpls c="3">
          <tpl fld="0" item="0"/>
          <tpl fld="1" item="436"/>
          <tpl fld="4" item="38"/>
        </tpls>
      </m>
      <m in="0">
        <tpls c="3">
          <tpl fld="0" item="0"/>
          <tpl fld="1" item="19"/>
          <tpl fld="4" item="42"/>
        </tpls>
      </m>
      <m in="0">
        <tpls c="3">
          <tpl fld="0" item="0"/>
          <tpl fld="1" item="228"/>
          <tpl fld="4" item="39"/>
        </tpls>
      </m>
      <n v="18" in="0">
        <tpls c="3">
          <tpl fld="0" item="0"/>
          <tpl fld="1" item="357"/>
          <tpl fld="4" item="41"/>
        </tpls>
      </n>
      <m in="0">
        <tpls c="3">
          <tpl fld="0" item="0"/>
          <tpl fld="1" item="27"/>
          <tpl fld="4" item="39"/>
        </tpls>
      </m>
      <m in="0">
        <tpls c="3">
          <tpl fld="0" item="0"/>
          <tpl fld="1" item="22"/>
          <tpl fld="4" item="40"/>
        </tpls>
      </m>
      <m in="0">
        <tpls c="3">
          <tpl fld="0" item="0"/>
          <tpl fld="1" item="374"/>
          <tpl fld="4" item="42"/>
        </tpls>
      </m>
      <n v="4" in="0">
        <tpls c="3">
          <tpl fld="0" item="0"/>
          <tpl fld="1" item="187"/>
          <tpl fld="4" item="39"/>
        </tpls>
      </n>
      <m in="0">
        <tpls c="3">
          <tpl fld="0" item="0"/>
          <tpl fld="1" item="176"/>
          <tpl fld="4" item="40"/>
        </tpls>
      </m>
      <n v="46" in="0">
        <tpls c="3">
          <tpl fld="0" item="0"/>
          <tpl fld="1" item="41"/>
          <tpl fld="4" item="40"/>
        </tpls>
      </n>
      <m in="0">
        <tpls c="3">
          <tpl fld="0" item="0"/>
          <tpl fld="1" item="425"/>
          <tpl fld="4" item="42"/>
        </tpls>
      </m>
      <n v="2" in="0">
        <tpls c="3">
          <tpl fld="0" item="0"/>
          <tpl fld="1" item="121"/>
          <tpl fld="4" item="40"/>
        </tpls>
      </n>
      <n v="1" in="0">
        <tpls c="3">
          <tpl fld="0" item="0"/>
          <tpl fld="1" item="343"/>
          <tpl fld="4" item="43"/>
        </tpls>
      </n>
      <m in="0">
        <tpls c="3">
          <tpl fld="0" item="0"/>
          <tpl fld="1" item="432"/>
          <tpl fld="4" item="40"/>
        </tpls>
      </m>
      <n v="183" in="0">
        <tpls c="3">
          <tpl fld="0" item="0"/>
          <tpl fld="1" item="380"/>
          <tpl fld="4" item="40"/>
        </tpls>
      </n>
      <n v="51" in="0">
        <tpls c="3">
          <tpl fld="0" item="0"/>
          <tpl fld="1" item="287"/>
          <tpl fld="4" item="41"/>
        </tpls>
      </n>
      <n v="17" in="0">
        <tpls c="3">
          <tpl fld="0" item="0"/>
          <tpl fld="1" item="57"/>
          <tpl fld="4" item="40"/>
        </tpls>
      </n>
      <m in="0">
        <tpls c="3">
          <tpl fld="0" item="0"/>
          <tpl fld="1" item="162"/>
          <tpl fld="4" item="42"/>
        </tpls>
      </m>
      <m in="0">
        <tpls c="3">
          <tpl fld="0" item="0"/>
          <tpl fld="1" item="421"/>
          <tpl fld="4" item="40"/>
        </tpls>
      </m>
      <n v="2" in="0">
        <tpls c="3">
          <tpl fld="0" item="0"/>
          <tpl fld="1" item="77"/>
          <tpl fld="4" item="42"/>
        </tpls>
      </n>
      <n v="3" in="0">
        <tpls c="3">
          <tpl fld="0" item="0"/>
          <tpl fld="1" item="16"/>
          <tpl fld="4" item="41"/>
        </tpls>
      </n>
      <n v="5" in="0">
        <tpls c="3">
          <tpl fld="0" item="0"/>
          <tpl fld="1" item="252"/>
          <tpl fld="4" item="41"/>
        </tpls>
      </n>
      <m in="0">
        <tpls c="3">
          <tpl fld="0" item="0"/>
          <tpl fld="1" item="14"/>
          <tpl fld="4" item="42"/>
        </tpls>
      </m>
      <m in="0">
        <tpls c="3">
          <tpl fld="0" item="0"/>
          <tpl fld="1" item="448"/>
          <tpl fld="4" item="43"/>
        </tpls>
      </m>
      <m in="0">
        <tpls c="3">
          <tpl fld="0" item="0"/>
          <tpl fld="1" item="412"/>
          <tpl fld="4" item="42"/>
        </tpls>
      </m>
      <n v="14" in="0">
        <tpls c="3">
          <tpl fld="0" item="0"/>
          <tpl fld="1" item="438"/>
          <tpl fld="4" item="43"/>
        </tpls>
      </n>
      <n v="1" in="0">
        <tpls c="3">
          <tpl fld="0" item="0"/>
          <tpl fld="1" item="18"/>
          <tpl fld="4" item="42"/>
        </tpls>
      </n>
      <m in="0">
        <tpls c="3">
          <tpl fld="0" item="0"/>
          <tpl fld="1" item="70"/>
          <tpl fld="4" item="41"/>
        </tpls>
      </m>
      <n v="234" in="0">
        <tpls c="3">
          <tpl fld="0" item="0"/>
          <tpl fld="1" item="262"/>
          <tpl fld="4" item="37"/>
        </tpls>
      </n>
      <n v="4" in="0">
        <tpls c="3">
          <tpl fld="0" item="0"/>
          <tpl fld="1" item="442"/>
          <tpl fld="4" item="38"/>
        </tpls>
      </n>
      <n v="61" in="0">
        <tpls c="3">
          <tpl fld="0" item="0"/>
          <tpl fld="1" item="67"/>
          <tpl fld="4" item="40"/>
        </tpls>
      </n>
      <m in="0">
        <tpls c="3">
          <tpl fld="0" item="0"/>
          <tpl fld="1" item="253"/>
          <tpl fld="4" item="40"/>
        </tpls>
      </m>
      <m in="0">
        <tpls c="3">
          <tpl fld="0" item="0"/>
          <tpl fld="1" item="21"/>
          <tpl fld="4" item="40"/>
        </tpls>
      </m>
      <n v="4" in="0">
        <tpls c="3">
          <tpl fld="0" item="0"/>
          <tpl fld="1" item="65"/>
          <tpl fld="4" item="39"/>
        </tpls>
      </n>
      <m in="0">
        <tpls c="3">
          <tpl fld="0" item="0"/>
          <tpl fld="1" item="241"/>
          <tpl fld="4" item="40"/>
        </tpls>
      </m>
      <m in="0">
        <tpls c="3">
          <tpl fld="0" item="0"/>
          <tpl fld="1" item="5"/>
          <tpl fld="4" item="38"/>
        </tpls>
      </m>
      <m in="0">
        <tpls c="3">
          <tpl fld="0" item="0"/>
          <tpl fld="1" item="164"/>
          <tpl fld="4" item="39"/>
        </tpls>
      </m>
      <n v="101" in="0">
        <tpls c="3">
          <tpl fld="0" item="0"/>
          <tpl fld="1" item="117"/>
          <tpl fld="4" item="41"/>
        </tpls>
      </n>
      <m in="0">
        <tpls c="3">
          <tpl fld="0" item="0"/>
          <tpl fld="1" item="97"/>
          <tpl fld="4" item="39"/>
        </tpls>
      </m>
      <n v="5" in="0">
        <tpls c="3">
          <tpl fld="0" item="0"/>
          <tpl fld="1" item="84"/>
          <tpl fld="4" item="40"/>
        </tpls>
      </n>
      <m in="0">
        <tpls c="3">
          <tpl fld="0" item="0"/>
          <tpl fld="1" item="352"/>
          <tpl fld="4" item="39"/>
        </tpls>
      </m>
      <n v="49" in="0">
        <tpls c="3">
          <tpl fld="0" item="0"/>
          <tpl fld="1" item="201"/>
          <tpl fld="4" item="41"/>
        </tpls>
      </n>
      <n v="2" in="0">
        <tpls c="3">
          <tpl fld="0" item="0"/>
          <tpl fld="1" item="113"/>
          <tpl fld="4" item="40"/>
        </tpls>
      </n>
      <n v="4" in="0">
        <tpls c="3">
          <tpl fld="0" item="0"/>
          <tpl fld="1" item="352"/>
          <tpl fld="4" item="41"/>
        </tpls>
      </n>
      <m in="0">
        <tpls c="3">
          <tpl fld="0" item="0"/>
          <tpl fld="1" item="218"/>
          <tpl fld="4" item="40"/>
        </tpls>
      </m>
      <n v="2" in="0">
        <tpls c="3">
          <tpl fld="0" item="0"/>
          <tpl fld="1" item="200"/>
          <tpl fld="4" item="42"/>
        </tpls>
      </n>
      <n v="34" in="0">
        <tpls c="3">
          <tpl fld="0" item="0"/>
          <tpl fld="1" item="410"/>
          <tpl fld="4" item="41"/>
        </tpls>
      </n>
      <n v="3" in="0">
        <tpls c="3">
          <tpl fld="0" item="0"/>
          <tpl fld="1" item="360"/>
          <tpl fld="4" item="42"/>
        </tpls>
      </n>
      <m in="0">
        <tpls c="3">
          <tpl fld="0" item="0"/>
          <tpl fld="1" item="90"/>
          <tpl fld="4" item="41"/>
        </tpls>
      </m>
      <n v="3" in="0">
        <tpls c="3">
          <tpl fld="0" item="0"/>
          <tpl fld="1" item="97"/>
          <tpl fld="4" item="40"/>
        </tpls>
      </n>
      <m in="0">
        <tpls c="3">
          <tpl fld="0" item="0"/>
          <tpl fld="1" item="265"/>
          <tpl fld="4" item="41"/>
        </tpls>
      </m>
      <n v="72" in="0">
        <tpls c="3">
          <tpl fld="0" item="0"/>
          <tpl fld="1" item="420"/>
          <tpl fld="4" item="41"/>
        </tpls>
      </n>
      <m in="0">
        <tpls c="3">
          <tpl fld="0" item="0"/>
          <tpl fld="1" item="152"/>
          <tpl fld="4" item="43"/>
        </tpls>
      </m>
      <n v="29" in="0">
        <tpls c="3">
          <tpl fld="0" item="0"/>
          <tpl fld="1" item="62"/>
          <tpl fld="4" item="41"/>
        </tpls>
      </n>
      <n v="10" in="0">
        <tpls c="3">
          <tpl fld="0" item="0"/>
          <tpl fld="1" item="82"/>
          <tpl fld="4" item="43"/>
        </tpls>
      </n>
      <m in="0">
        <tpls c="3">
          <tpl fld="0" item="0"/>
          <tpl fld="1" item="143"/>
          <tpl fld="4" item="41"/>
        </tpls>
      </m>
      <m in="0">
        <tpls c="3">
          <tpl fld="0" item="0"/>
          <tpl fld="1" item="235"/>
          <tpl fld="4" item="42"/>
        </tpls>
      </m>
      <n v="12" in="0">
        <tpls c="3">
          <tpl fld="0" item="0"/>
          <tpl fld="1" item="366"/>
          <tpl fld="4" item="41"/>
        </tpls>
      </n>
      <m in="0">
        <tpls c="3">
          <tpl fld="0" item="0"/>
          <tpl fld="1" item="205"/>
          <tpl fld="4" item="42"/>
        </tpls>
      </m>
      <n v="14" in="0">
        <tpls c="3">
          <tpl fld="0" item="0"/>
          <tpl fld="1" item="390"/>
          <tpl fld="4" item="43"/>
        </tpls>
      </n>
      <n v="6" in="0">
        <tpls c="3">
          <tpl fld="0" item="0"/>
          <tpl fld="1" item="281"/>
          <tpl fld="4" item="42"/>
        </tpls>
      </n>
      <m in="0">
        <tpls c="3">
          <tpl fld="0" item="0"/>
          <tpl fld="1" item="315"/>
          <tpl fld="4" item="37"/>
        </tpls>
      </m>
      <m in="0">
        <tpls c="3">
          <tpl fld="0" item="0"/>
          <tpl fld="1" item="237"/>
          <tpl fld="4" item="38"/>
        </tpls>
      </m>
      <n v="4" in="0">
        <tpls c="3">
          <tpl fld="0" item="0"/>
          <tpl fld="1" item="3"/>
          <tpl fld="4" item="40"/>
        </tpls>
      </n>
      <n v="15" in="0">
        <tpls c="3">
          <tpl fld="0" item="0"/>
          <tpl fld="1" item="291"/>
          <tpl fld="4" item="41"/>
        </tpls>
      </n>
      <m in="0">
        <tpls c="3">
          <tpl fld="0" item="0"/>
          <tpl fld="1" item="213"/>
          <tpl fld="4" item="40"/>
        </tpls>
      </m>
      <m in="0">
        <tpls c="3">
          <tpl fld="0" item="0"/>
          <tpl fld="1" item="386"/>
          <tpl fld="4" item="39"/>
        </tpls>
      </m>
      <m in="0">
        <tpls c="3">
          <tpl fld="0" item="0"/>
          <tpl fld="1" item="156"/>
          <tpl fld="4" item="40"/>
        </tpls>
      </m>
      <m in="0">
        <tpls c="3">
          <tpl fld="0" item="0"/>
          <tpl fld="1" item="425"/>
          <tpl fld="4" item="38"/>
        </tpls>
      </m>
      <n v="3" in="0">
        <tpls c="3">
          <tpl fld="0" item="0"/>
          <tpl fld="1" item="417"/>
          <tpl fld="4" item="39"/>
        </tpls>
      </n>
      <m in="0">
        <tpls c="3">
          <tpl fld="0" item="0"/>
          <tpl fld="1" item="145"/>
          <tpl fld="4" item="41"/>
        </tpls>
      </m>
      <m in="0">
        <tpls c="3">
          <tpl fld="0" item="0"/>
          <tpl fld="1" item="446"/>
          <tpl fld="4" item="39"/>
        </tpls>
      </m>
      <m in="0">
        <tpls c="3">
          <tpl fld="0" item="0"/>
          <tpl fld="1" item="270"/>
          <tpl fld="4" item="40"/>
        </tpls>
      </m>
      <m in="0">
        <tpls c="3">
          <tpl fld="0" item="0"/>
          <tpl fld="1" item="405"/>
          <tpl fld="4" item="39"/>
        </tpls>
      </m>
      <n v="83" in="0">
        <tpls c="3">
          <tpl fld="0" item="0"/>
          <tpl fld="1" item="368"/>
          <tpl fld="4" item="41"/>
        </tpls>
      </n>
      <m in="0">
        <tpls c="3">
          <tpl fld="0" item="0"/>
          <tpl fld="1" item="211"/>
          <tpl fld="4" item="40"/>
        </tpls>
      </m>
      <m in="0">
        <tpls c="3">
          <tpl fld="0" item="0"/>
          <tpl fld="1" item="261"/>
          <tpl fld="4" item="42"/>
        </tpls>
      </m>
      <m in="0">
        <tpls c="3">
          <tpl fld="0" item="0"/>
          <tpl fld="1" item="60"/>
          <tpl fld="4" item="40"/>
        </tpls>
      </m>
      <n v="4" in="0">
        <tpls c="3">
          <tpl fld="0" item="0"/>
          <tpl fld="1" item="411"/>
          <tpl fld="4" item="42"/>
        </tpls>
      </n>
      <n v="238" in="0">
        <tpls c="3">
          <tpl fld="0" item="0"/>
          <tpl fld="1" item="132"/>
          <tpl fld="4" item="41"/>
        </tpls>
      </n>
      <m in="0">
        <tpls c="3">
          <tpl fld="0" item="0"/>
          <tpl fld="1" item="203"/>
          <tpl fld="4" item="42"/>
        </tpls>
      </m>
      <n v="11" in="0">
        <tpls c="3">
          <tpl fld="0" item="0"/>
          <tpl fld="1" item="214"/>
          <tpl fld="4" item="41"/>
        </tpls>
      </n>
      <m in="0">
        <tpls c="3">
          <tpl fld="0" item="0"/>
          <tpl fld="1" item="446"/>
          <tpl fld="4" item="40"/>
        </tpls>
      </m>
      <n v="54" in="0">
        <tpls c="3">
          <tpl fld="0" item="0"/>
          <tpl fld="1" item="187"/>
          <tpl fld="4" item="41"/>
        </tpls>
      </n>
      <n v="37" in="0">
        <tpls c="3">
          <tpl fld="0" item="0"/>
          <tpl fld="1" item="422"/>
          <tpl fld="4" item="41"/>
        </tpls>
      </n>
      <m in="0">
        <tpls c="3">
          <tpl fld="0" item="0"/>
          <tpl fld="1" item="69"/>
          <tpl fld="4" item="40"/>
        </tpls>
      </m>
      <m in="0">
        <tpls c="3">
          <tpl fld="0" item="0"/>
          <tpl fld="1" item="164"/>
          <tpl fld="4" item="41"/>
        </tpls>
      </m>
      <m in="0">
        <tpls c="3">
          <tpl fld="0" item="0"/>
          <tpl fld="1" item="195"/>
          <tpl fld="4" item="43"/>
        </tpls>
      </m>
      <m in="0">
        <tpls c="3">
          <tpl fld="0" item="0"/>
          <tpl fld="1" item="295"/>
          <tpl fld="4" item="41"/>
        </tpls>
      </m>
      <n v="2" in="0">
        <tpls c="3">
          <tpl fld="0" item="0"/>
          <tpl fld="1" item="254"/>
          <tpl fld="4" item="42"/>
        </tpls>
      </n>
      <n v="6" in="0">
        <tpls c="3">
          <tpl fld="0" item="0"/>
          <tpl fld="1" item="359"/>
          <tpl fld="4" item="41"/>
        </tpls>
      </n>
      <m in="0">
        <tpls c="3">
          <tpl fld="0" item="0"/>
          <tpl fld="1" item="259"/>
          <tpl fld="4" item="42"/>
        </tpls>
      </m>
      <m in="0">
        <tpls c="3">
          <tpl fld="0" item="0"/>
          <tpl fld="1" item="108"/>
          <tpl fld="4" item="43"/>
        </tpls>
      </m>
      <m in="0">
        <tpls c="3">
          <tpl fld="0" item="0"/>
          <tpl fld="1" item="219"/>
          <tpl fld="4" item="42"/>
        </tpls>
      </m>
      <m in="0">
        <tpls c="3">
          <tpl fld="0" item="0"/>
          <tpl fld="1" item="29"/>
          <tpl fld="4" item="43"/>
        </tpls>
      </m>
      <m in="0">
        <tpls c="3">
          <tpl fld="0" item="0"/>
          <tpl fld="1" item="171"/>
          <tpl fld="4" item="42"/>
        </tpls>
      </m>
      <m in="0">
        <tpls c="3">
          <tpl fld="0" item="0"/>
          <tpl fld="1" item="60"/>
          <tpl fld="4" item="37"/>
        </tpls>
      </m>
      <m in="0">
        <tpls c="3">
          <tpl fld="0" item="0"/>
          <tpl fld="1" item="110"/>
          <tpl fld="4" item="38"/>
        </tpls>
      </m>
      <n v="172" in="0">
        <tpls c="3">
          <tpl fld="0" item="0"/>
          <tpl fld="1" item="107"/>
          <tpl fld="4" item="40"/>
        </tpls>
      </n>
      <m in="0">
        <tpls c="3">
          <tpl fld="0" item="0"/>
          <tpl fld="1" item="310"/>
          <tpl fld="4" item="40"/>
        </tpls>
      </m>
      <n v="24" in="0">
        <tpls c="3">
          <tpl fld="0" item="0"/>
          <tpl fld="1" item="219"/>
          <tpl fld="4" item="40"/>
        </tpls>
      </n>
      <m in="0">
        <tpls c="3">
          <tpl fld="0" item="0"/>
          <tpl fld="1" item="392"/>
          <tpl fld="4" item="39"/>
        </tpls>
      </m>
      <n v="71" in="0">
        <tpls c="3">
          <tpl fld="0" item="0"/>
          <tpl fld="1" item="141"/>
          <tpl fld="4" item="40"/>
        </tpls>
      </n>
      <n v="21" in="0">
        <tpls c="3">
          <tpl fld="0" item="0"/>
          <tpl fld="1" item="444"/>
          <tpl fld="4" item="41"/>
        </tpls>
      </n>
      <m in="0">
        <tpls c="3">
          <tpl fld="0" item="0"/>
          <tpl fld="1" item="102"/>
          <tpl fld="4" item="42"/>
        </tpls>
      </m>
      <m in="0">
        <tpls c="3">
          <tpl fld="0" item="0"/>
          <tpl fld="1" item="198"/>
          <tpl fld="4" item="42"/>
        </tpls>
      </m>
      <n v="12" in="0">
        <tpls c="3">
          <tpl fld="0" item="0"/>
          <tpl fld="1" item="50"/>
          <tpl fld="4" item="41"/>
        </tpls>
      </n>
      <n v="25" in="0">
        <tpls c="3">
          <tpl fld="0" item="0"/>
          <tpl fld="1" item="189"/>
          <tpl fld="4" item="41"/>
        </tpls>
      </n>
      <m in="0">
        <tpls c="3">
          <tpl fld="0" item="0"/>
          <tpl fld="1" item="157"/>
          <tpl fld="4" item="40"/>
        </tpls>
      </m>
      <n v="9" in="0">
        <tpls c="3">
          <tpl fld="0" item="0"/>
          <tpl fld="1" item="155"/>
          <tpl fld="4" item="41"/>
        </tpls>
      </n>
      <m in="0">
        <tpls c="3">
          <tpl fld="0" item="0"/>
          <tpl fld="1" item="304"/>
          <tpl fld="4" item="41"/>
        </tpls>
      </m>
      <n v="7" in="0">
        <tpls c="3">
          <tpl fld="0" item="0"/>
          <tpl fld="1" item="114"/>
          <tpl fld="4" item="42"/>
        </tpls>
      </n>
      <n v="7" in="0">
        <tpls c="3">
          <tpl fld="0" item="0"/>
          <tpl fld="1" item="68"/>
          <tpl fld="4" item="42"/>
        </tpls>
      </n>
      <n v="6" in="0">
        <tpls c="3">
          <tpl fld="0" item="0"/>
          <tpl fld="1" item="420"/>
          <tpl fld="4" item="42"/>
        </tpls>
      </n>
      <m in="0">
        <tpls c="3">
          <tpl fld="0" item="0"/>
          <tpl fld="1" item="340"/>
          <tpl fld="4" item="3"/>
        </tpls>
      </m>
      <n v="158" in="0">
        <tpls c="3">
          <tpl fld="0" item="0"/>
          <tpl fld="1" item="206"/>
          <tpl fld="4" item="37"/>
        </tpls>
      </n>
      <m in="0">
        <tpls c="3">
          <tpl fld="0" item="0"/>
          <tpl fld="1" item="302"/>
          <tpl fld="4" item="4"/>
        </tpls>
      </m>
      <m in="0">
        <tpls c="3">
          <tpl fld="0" item="0"/>
          <tpl fld="1" item="334"/>
          <tpl fld="4" item="2"/>
        </tpls>
      </m>
      <n v="146" in="0">
        <tpls c="3">
          <tpl fld="0" item="0"/>
          <tpl fld="1" item="281"/>
          <tpl fld="4" item="36"/>
        </tpls>
      </n>
      <m in="0">
        <tpls c="3">
          <tpl fld="0" item="0"/>
          <tpl fld="1" item="120"/>
          <tpl fld="4" item="2"/>
        </tpls>
      </m>
      <n v="25" in="0">
        <tpls c="3">
          <tpl fld="0" item="0"/>
          <tpl fld="1" item="212"/>
          <tpl fld="4" item="37"/>
        </tpls>
      </n>
      <n v="161" in="0">
        <tpls c="3">
          <tpl fld="0" item="0"/>
          <tpl fld="1" item="333"/>
          <tpl fld="4" item="36"/>
        </tpls>
      </n>
      <m in="0">
        <tpls c="3">
          <tpl fld="0" item="0"/>
          <tpl fld="1" item="6"/>
          <tpl fld="4" item="37"/>
        </tpls>
      </m>
      <m in="0">
        <tpls c="3">
          <tpl fld="0" item="0"/>
          <tpl fld="1" item="60"/>
          <tpl fld="4" item="38"/>
        </tpls>
      </m>
      <m in="0">
        <tpls c="3">
          <tpl fld="0" item="0"/>
          <tpl fld="1" item="412"/>
          <tpl fld="4" item="31"/>
        </tpls>
      </m>
      <m in="0">
        <tpls c="3">
          <tpl fld="0" item="0"/>
          <tpl fld="1" item="54"/>
          <tpl fld="4" item="34"/>
        </tpls>
      </m>
      <m in="0">
        <tpls c="3">
          <tpl fld="0" item="0"/>
          <tpl fld="1" item="209"/>
          <tpl fld="4" item="3"/>
        </tpls>
      </m>
      <m in="0">
        <tpls c="3">
          <tpl fld="0" item="0"/>
          <tpl fld="1" item="344"/>
          <tpl fld="4" item="2"/>
        </tpls>
      </m>
      <m in="0">
        <tpls c="3">
          <tpl fld="0" item="0"/>
          <tpl fld="1" item="133"/>
          <tpl fld="4" item="2"/>
        </tpls>
      </m>
      <m in="0">
        <tpls c="3">
          <tpl fld="0" item="0"/>
          <tpl fld="1" item="67"/>
          <tpl fld="4" item="4"/>
        </tpls>
      </m>
      <m in="0">
        <tpls c="3">
          <tpl fld="0" item="0"/>
          <tpl fld="1" item="338"/>
          <tpl fld="4" item="2"/>
        </tpls>
      </m>
      <m in="0">
        <tpls c="3">
          <tpl fld="0" item="0"/>
          <tpl fld="1" item="35"/>
          <tpl fld="4" item="2"/>
        </tpls>
      </m>
      <m in="0">
        <tpls c="3">
          <tpl fld="0" item="0"/>
          <tpl fld="1" item="202"/>
          <tpl fld="4" item="2"/>
        </tpls>
      </m>
      <n v="309" in="0">
        <tpls c="3">
          <tpl fld="0" item="0"/>
          <tpl fld="1" item="160"/>
          <tpl fld="4" item="36"/>
        </tpls>
      </n>
      <m in="0">
        <tpls c="3">
          <tpl fld="0" item="0"/>
          <tpl fld="1" item="55"/>
          <tpl fld="4" item="38"/>
        </tpls>
      </m>
      <m in="0">
        <tpls c="3">
          <tpl fld="0" item="0"/>
          <tpl fld="1" item="354"/>
          <tpl fld="4" item="2"/>
        </tpls>
      </m>
      <n v="24" in="0">
        <tpls c="3">
          <tpl fld="0" item="0"/>
          <tpl fld="1" item="39"/>
          <tpl fld="4" item="40"/>
        </tpls>
      </n>
      <n v="3" in="0">
        <tpls c="3">
          <tpl fld="0" item="0"/>
          <tpl fld="1" item="354"/>
          <tpl fld="4" item="40"/>
        </tpls>
      </n>
      <m in="0">
        <tpls c="3">
          <tpl fld="0" item="0"/>
          <tpl fld="1" item="183"/>
          <tpl fld="4" item="34"/>
        </tpls>
      </m>
      <m in="0">
        <tpls c="3">
          <tpl fld="0" item="0"/>
          <tpl fld="1" item="76"/>
          <tpl fld="4" item="29"/>
        </tpls>
      </m>
      <m in="0">
        <tpls c="3">
          <tpl fld="0" item="0"/>
          <tpl fld="1" item="192"/>
          <tpl fld="4" item="33"/>
        </tpls>
      </m>
      <m in="0">
        <tpls c="3">
          <tpl fld="0" item="0"/>
          <tpl fld="1" item="85"/>
          <tpl fld="4" item="35"/>
        </tpls>
      </m>
      <m in="0">
        <tpls c="3">
          <tpl fld="0" item="0"/>
          <tpl fld="1" item="63"/>
          <tpl fld="4" item="0"/>
        </tpls>
      </m>
      <m in="0">
        <tpls c="3">
          <tpl fld="0" item="0"/>
          <tpl fld="1" item="457"/>
          <tpl fld="4" item="3"/>
        </tpls>
      </m>
      <m in="0">
        <tpls c="3">
          <tpl fld="0" item="0"/>
          <tpl fld="1" item="249"/>
          <tpl fld="4" item="3"/>
        </tpls>
      </m>
      <m in="0">
        <tpls c="3">
          <tpl fld="0" item="0"/>
          <tpl fld="1" item="262"/>
          <tpl fld="4" item="4"/>
        </tpls>
      </m>
      <m in="0">
        <tpls c="3">
          <tpl fld="0" item="0"/>
          <tpl fld="1" item="383"/>
          <tpl fld="4" item="3"/>
        </tpls>
      </m>
      <m in="0">
        <tpls c="3">
          <tpl fld="0" item="0"/>
          <tpl fld="1" item="457"/>
          <tpl fld="4" item="2"/>
        </tpls>
      </m>
      <m in="0">
        <tpls c="3">
          <tpl fld="0" item="0"/>
          <tpl fld="1" item="249"/>
          <tpl fld="4" item="4"/>
        </tpls>
      </m>
      <m in="0">
        <tpls c="3">
          <tpl fld="0" item="0"/>
          <tpl fld="1" item="247"/>
          <tpl fld="4" item="0"/>
        </tpls>
      </m>
      <m in="0">
        <tpls c="3">
          <tpl fld="0" item="0"/>
          <tpl fld="1" item="208"/>
          <tpl fld="4" item="4"/>
        </tpls>
      </m>
      <m in="0">
        <tpls c="3">
          <tpl fld="0" item="0"/>
          <tpl fld="1" item="136"/>
          <tpl fld="4" item="3"/>
        </tpls>
      </m>
      <m in="0">
        <tpls c="3">
          <tpl fld="0" item="0"/>
          <tpl fld="1" item="80"/>
          <tpl fld="4" item="3"/>
        </tpls>
      </m>
      <m in="0">
        <tpls c="3">
          <tpl fld="0" item="0"/>
          <tpl fld="1" item="187"/>
          <tpl fld="4" item="4"/>
        </tpls>
      </m>
      <m in="0">
        <tpls c="3">
          <tpl fld="0" item="0"/>
          <tpl fld="1" item="175"/>
          <tpl fld="4" item="4"/>
        </tpls>
      </m>
      <n v="275" in="0">
        <tpls c="3">
          <tpl fld="0" item="0"/>
          <tpl fld="1" item="141"/>
          <tpl fld="4" item="37"/>
        </tpls>
      </n>
      <m in="0">
        <tpls c="3">
          <tpl fld="0" item="0"/>
          <tpl fld="1" item="382"/>
          <tpl fld="4" item="2"/>
        </tpls>
      </m>
      <m in="0">
        <tpls c="3">
          <tpl fld="0" item="0"/>
          <tpl fld="1" item="55"/>
          <tpl fld="4" item="2"/>
        </tpls>
      </m>
      <n v="36" in="0">
        <tpls c="3">
          <tpl fld="0" item="0"/>
          <tpl fld="1" item="285"/>
          <tpl fld="4" item="37"/>
        </tpls>
      </n>
      <m in="0">
        <tpls c="3">
          <tpl fld="0" item="0"/>
          <tpl fld="1" item="279"/>
          <tpl fld="4" item="2"/>
        </tpls>
      </m>
      <m in="0">
        <tpls c="3">
          <tpl fld="0" item="0"/>
          <tpl fld="1" item="363"/>
          <tpl fld="4" item="2"/>
        </tpls>
      </m>
      <n v="21" in="0">
        <tpls c="3">
          <tpl fld="0" item="0"/>
          <tpl fld="1" item="111"/>
          <tpl fld="4" item="39"/>
        </tpls>
      </n>
      <m in="0">
        <tpls c="3">
          <tpl fld="0" item="0"/>
          <tpl fld="1" item="389"/>
          <tpl fld="4" item="37"/>
        </tpls>
      </m>
      <m in="0">
        <tpls c="3">
          <tpl fld="0" item="0"/>
          <tpl fld="1" item="195"/>
          <tpl fld="4" item="2"/>
        </tpls>
      </m>
      <n v="621" in="0">
        <tpls c="3">
          <tpl fld="0" item="0"/>
          <tpl fld="1" item="202"/>
          <tpl fld="4" item="37"/>
        </tpls>
      </n>
      <n v="22" in="0">
        <tpls c="3">
          <tpl fld="0" item="0"/>
          <tpl fld="1" item="3"/>
          <tpl fld="4" item="36"/>
        </tpls>
      </n>
      <m in="0">
        <tpls c="3">
          <tpl fld="0" item="0"/>
          <tpl fld="1" item="341"/>
          <tpl fld="4" item="37"/>
        </tpls>
      </m>
      <n v="2" in="0">
        <tpls c="3">
          <tpl fld="0" item="0"/>
          <tpl fld="1" item="401"/>
          <tpl fld="4" item="37"/>
        </tpls>
      </n>
      <m in="0">
        <tpls c="3">
          <tpl fld="0" item="0"/>
          <tpl fld="1" item="122"/>
          <tpl fld="4" item="36"/>
        </tpls>
      </m>
      <m in="0">
        <tpls c="3">
          <tpl fld="0" item="0"/>
          <tpl fld="1" item="126"/>
          <tpl fld="4" item="32"/>
        </tpls>
      </m>
      <n v="1" in="0">
        <tpls c="3">
          <tpl fld="0" item="0"/>
          <tpl fld="1" item="281"/>
          <tpl fld="4" item="30"/>
        </tpls>
      </n>
      <m in="0">
        <tpls c="3">
          <tpl fld="0" item="0"/>
          <tpl fld="1" item="238"/>
          <tpl fld="4" item="30"/>
        </tpls>
      </m>
      <m in="0">
        <tpls c="3">
          <tpl fld="0" item="0"/>
          <tpl fld="1" item="88"/>
          <tpl fld="4" item="34"/>
        </tpls>
      </m>
      <m in="0">
        <tpls c="3">
          <tpl fld="0" item="0"/>
          <tpl fld="1" item="330"/>
          <tpl fld="4" item="35"/>
        </tpls>
      </m>
      <m in="0">
        <tpls c="3">
          <tpl fld="0" item="0"/>
          <tpl fld="1" item="21"/>
          <tpl fld="4" item="35"/>
        </tpls>
      </m>
      <m in="0">
        <tpls c="3">
          <tpl fld="0" item="0"/>
          <tpl fld="1" item="359"/>
          <tpl fld="4" item="31"/>
        </tpls>
      </m>
      <m in="0">
        <tpls c="3">
          <tpl fld="0" item="0"/>
          <tpl fld="1" item="191"/>
          <tpl fld="4" item="35"/>
        </tpls>
      </m>
      <m in="0">
        <tpls c="3">
          <tpl fld="0" item="0"/>
          <tpl fld="1" item="323"/>
          <tpl fld="4" item="2"/>
        </tpls>
      </m>
      <m in="0">
        <tpls c="3">
          <tpl fld="0" item="0"/>
          <tpl fld="1" item="71"/>
          <tpl fld="4" item="0"/>
        </tpls>
      </m>
      <m in="0">
        <tpls c="3">
          <tpl fld="0" item="0"/>
          <tpl fld="1" item="93"/>
          <tpl fld="4" item="3"/>
        </tpls>
      </m>
      <m in="0">
        <tpls c="3">
          <tpl fld="0" item="0"/>
          <tpl fld="1" item="41"/>
          <tpl fld="4" item="0"/>
        </tpls>
      </m>
      <m in="0">
        <tpls c="3">
          <tpl fld="0" item="0"/>
          <tpl fld="1" item="313"/>
          <tpl fld="4" item="4"/>
        </tpls>
      </m>
      <m in="0">
        <tpls c="3">
          <tpl fld="0" item="0"/>
          <tpl fld="1" item="91"/>
          <tpl fld="4" item="3"/>
        </tpls>
      </m>
      <m in="0">
        <tpls c="3">
          <tpl fld="0" item="0"/>
          <tpl fld="1" item="338"/>
          <tpl fld="4" item="0"/>
        </tpls>
      </m>
      <m in="0">
        <tpls c="3">
          <tpl fld="0" item="0"/>
          <tpl fld="1" item="305"/>
          <tpl fld="4" item="3"/>
        </tpls>
      </m>
      <m in="0">
        <tpls c="3">
          <tpl fld="0" item="0"/>
          <tpl fld="1" item="66"/>
          <tpl fld="4" item="3"/>
        </tpls>
      </m>
      <m in="0">
        <tpls c="3">
          <tpl fld="0" item="0"/>
          <tpl fld="3" item="0"/>
          <tpl fld="4" item="4"/>
        </tpls>
      </m>
      <m in="0">
        <tpls c="3">
          <tpl fld="0" item="0"/>
          <tpl fld="1" item="140"/>
          <tpl fld="4" item="3"/>
        </tpls>
      </m>
      <m in="0">
        <tpls c="3">
          <tpl fld="0" item="0"/>
          <tpl fld="1" item="322"/>
          <tpl fld="4" item="3"/>
        </tpls>
      </m>
      <m in="0">
        <tpls c="3">
          <tpl fld="0" item="0"/>
          <tpl fld="1" item="70"/>
          <tpl fld="4" item="2"/>
        </tpls>
      </m>
      <m in="0">
        <tpls c="3">
          <tpl fld="0" item="0"/>
          <tpl fld="1" item="126"/>
          <tpl fld="4" item="4"/>
        </tpls>
      </m>
      <m in="0">
        <tpls c="3">
          <tpl fld="0" item="0"/>
          <tpl fld="1" item="208"/>
          <tpl fld="4" item="2"/>
        </tpls>
      </m>
      <m in="0">
        <tpls c="3">
          <tpl fld="0" item="0"/>
          <tpl fld="1" item="243"/>
          <tpl fld="4" item="4"/>
        </tpls>
      </m>
      <m in="0">
        <tpls c="3">
          <tpl fld="0" item="0"/>
          <tpl fld="1" item="10"/>
          <tpl fld="4" item="2"/>
        </tpls>
      </m>
      <m in="0">
        <tpls c="3">
          <tpl fld="0" item="0"/>
          <tpl fld="1" item="436"/>
          <tpl fld="4" item="2"/>
        </tpls>
      </m>
      <m in="0">
        <tpls c="3">
          <tpl fld="0" item="0"/>
          <tpl fld="1" item="109"/>
          <tpl fld="4" item="38"/>
        </tpls>
      </m>
      <n v="8" in="0">
        <tpls c="3">
          <tpl fld="0" item="0"/>
          <tpl fld="1" item="180"/>
          <tpl fld="4" item="37"/>
        </tpls>
      </n>
      <m in="0">
        <tpls c="3">
          <tpl fld="0" item="0"/>
          <tpl fld="1" item="172"/>
          <tpl fld="4" item="2"/>
        </tpls>
      </m>
      <m in="0">
        <tpls c="3">
          <tpl fld="0" item="0"/>
          <tpl fld="1" item="404"/>
          <tpl fld="4" item="2"/>
        </tpls>
      </m>
      <n v="5" in="0">
        <tpls c="3">
          <tpl fld="0" item="0"/>
          <tpl fld="1" item="271"/>
          <tpl fld="4" item="36"/>
        </tpls>
      </n>
      <m in="0">
        <tpls c="3">
          <tpl fld="0" item="0"/>
          <tpl fld="1" item="314"/>
          <tpl fld="4" item="38"/>
        </tpls>
      </m>
      <m in="0">
        <tpls c="3">
          <tpl fld="0" item="0"/>
          <tpl fld="1" item="185"/>
          <tpl fld="4" item="36"/>
        </tpls>
      </m>
      <m in="0">
        <tpls c="3">
          <tpl fld="0" item="0"/>
          <tpl fld="1" item="376"/>
          <tpl fld="4" item="37"/>
        </tpls>
      </m>
      <m in="0">
        <tpls c="3">
          <tpl fld="0" item="0"/>
          <tpl fld="1" item="453"/>
          <tpl fld="4" item="2"/>
        </tpls>
      </m>
      <n v="115" in="0">
        <tpls c="3">
          <tpl fld="0" item="0"/>
          <tpl fld="1" item="64"/>
          <tpl fld="4" item="37"/>
        </tpls>
      </n>
      <n v="14" in="0">
        <tpls c="3">
          <tpl fld="0" item="0"/>
          <tpl fld="1" item="356"/>
          <tpl fld="4" item="36"/>
        </tpls>
      </n>
      <m in="0">
        <tpls c="3">
          <tpl fld="0" item="0"/>
          <tpl fld="1" item="443"/>
          <tpl fld="4" item="37"/>
        </tpls>
      </m>
      <n v="5" in="0">
        <tpls c="3">
          <tpl fld="0" item="0"/>
          <tpl fld="1" item="370"/>
          <tpl fld="4" item="36"/>
        </tpls>
      </n>
      <n v="20" in="0">
        <tpls c="3">
          <tpl fld="0" item="0"/>
          <tpl fld="1" item="169"/>
          <tpl fld="4" item="37"/>
        </tpls>
      </n>
      <m in="0">
        <tpls c="3">
          <tpl fld="0" item="0"/>
          <tpl fld="1" item="241"/>
          <tpl fld="4" item="36"/>
        </tpls>
      </m>
      <m in="0">
        <tpls c="3">
          <tpl fld="0" item="0"/>
          <tpl fld="1" item="36"/>
          <tpl fld="4" item="37"/>
        </tpls>
      </m>
      <n v="26" in="0">
        <tpls c="3">
          <tpl fld="0" item="0"/>
          <tpl fld="1" item="369"/>
          <tpl fld="4" item="37"/>
        </tpls>
      </n>
      <n v="8" in="0">
        <tpls c="3">
          <tpl fld="0" item="0"/>
          <tpl fld="1" item="39"/>
          <tpl fld="4" item="38"/>
        </tpls>
      </n>
      <n v="6" in="0">
        <tpls c="3">
          <tpl fld="0" item="0"/>
          <tpl fld="1" item="105"/>
          <tpl fld="4" item="42"/>
        </tpls>
      </n>
      <n v="5" in="0">
        <tpls c="3">
          <tpl fld="0" item="0"/>
          <tpl fld="1" item="104"/>
          <tpl fld="4" item="38"/>
        </tpls>
      </n>
      <m in="0">
        <tpls c="3">
          <tpl fld="0" item="0"/>
          <tpl fld="1" item="44"/>
          <tpl fld="4" item="43"/>
        </tpls>
      </m>
      <m in="0">
        <tpls c="3">
          <tpl fld="0" item="0"/>
          <tpl fld="1" item="98"/>
          <tpl fld="4" item="38"/>
        </tpls>
      </m>
      <m in="0">
        <tpls c="3">
          <tpl fld="0" item="0"/>
          <tpl fld="1" item="316"/>
          <tpl fld="4" item="37"/>
        </tpls>
      </m>
      <m in="0">
        <tpls c="3">
          <tpl fld="0" item="0"/>
          <tpl fld="1" item="422"/>
          <tpl fld="4" item="38"/>
        </tpls>
      </m>
      <m in="0">
        <tpls c="3">
          <tpl fld="0" item="0"/>
          <tpl fld="1" item="252"/>
          <tpl fld="4" item="40"/>
        </tpls>
      </m>
      <n v="20" in="0">
        <tpls c="3">
          <tpl fld="0" item="0"/>
          <tpl fld="1" item="288"/>
          <tpl fld="4" item="39"/>
        </tpls>
      </n>
      <m in="0">
        <tpls c="3">
          <tpl fld="0" item="0"/>
          <tpl fld="1" item="445"/>
          <tpl fld="4" item="38"/>
        </tpls>
      </m>
      <m in="0">
        <tpls c="3">
          <tpl fld="0" item="0"/>
          <tpl fld="1" item="426"/>
          <tpl fld="4" item="39"/>
        </tpls>
      </m>
      <m in="0">
        <tpls c="3">
          <tpl fld="0" item="0"/>
          <tpl fld="1" item="302"/>
          <tpl fld="4" item="39"/>
        </tpls>
      </m>
      <n v="44" in="0">
        <tpls c="3">
          <tpl fld="0" item="0"/>
          <tpl fld="1" item="209"/>
          <tpl fld="4" item="37"/>
        </tpls>
      </n>
      <n v="6" in="0">
        <tpls c="3">
          <tpl fld="0" item="0"/>
          <tpl fld="1" item="424"/>
          <tpl fld="4" item="38"/>
        </tpls>
      </n>
      <n v="36" in="0">
        <tpls c="3">
          <tpl fld="0" item="0"/>
          <tpl fld="1" item="230"/>
          <tpl fld="4" item="40"/>
        </tpls>
      </n>
      <m in="0">
        <tpls c="3">
          <tpl fld="0" item="0"/>
          <tpl fld="1" item="165"/>
          <tpl fld="4" item="42"/>
        </tpls>
      </m>
      <m in="0">
        <tpls c="3">
          <tpl fld="0" item="0"/>
          <tpl fld="1" item="40"/>
          <tpl fld="4" item="40"/>
        </tpls>
      </m>
      <m in="0">
        <tpls c="3">
          <tpl fld="0" item="0"/>
          <tpl fld="1" item="241"/>
          <tpl fld="4" item="39"/>
        </tpls>
      </m>
      <n v="72" in="0">
        <tpls c="3">
          <tpl fld="0" item="0"/>
          <tpl fld="1" item="202"/>
          <tpl fld="4" item="40"/>
        </tpls>
      </n>
      <m in="0">
        <tpls c="3">
          <tpl fld="0" item="0"/>
          <tpl fld="1" item="50"/>
          <tpl fld="4" item="38"/>
        </tpls>
      </m>
      <n v="6" in="0">
        <tpls c="3">
          <tpl fld="0" item="0"/>
          <tpl fld="1" item="453"/>
          <tpl fld="4" item="39"/>
        </tpls>
      </n>
      <n v="5" in="0">
        <tpls c="3">
          <tpl fld="0" item="0"/>
          <tpl fld="1" item="5"/>
          <tpl fld="4" item="41"/>
        </tpls>
      </n>
      <m in="0">
        <tpls c="3">
          <tpl fld="0" item="0"/>
          <tpl fld="1" item="303"/>
          <tpl fld="4" item="39"/>
        </tpls>
      </m>
      <n v="121" in="0">
        <tpls c="3">
          <tpl fld="0" item="0"/>
          <tpl fld="1" item="351"/>
          <tpl fld="4" item="40"/>
        </tpls>
      </n>
      <n v="4" in="0">
        <tpls c="3">
          <tpl fld="0" item="0"/>
          <tpl fld="1" item="308"/>
          <tpl fld="4" item="40"/>
        </tpls>
      </n>
      <m in="0">
        <tpls c="3">
          <tpl fld="0" item="0"/>
          <tpl fld="1" item="318"/>
          <tpl fld="4" item="41"/>
        </tpls>
      </m>
      <n v="8" in="0">
        <tpls c="3">
          <tpl fld="0" item="0"/>
          <tpl fld="1" item="394"/>
          <tpl fld="4" item="40"/>
        </tpls>
      </n>
      <n v="1" in="0">
        <tpls c="3">
          <tpl fld="0" item="0"/>
          <tpl fld="1" item="56"/>
          <tpl fld="4" item="42"/>
        </tpls>
      </n>
      <n v="60" in="0">
        <tpls c="3">
          <tpl fld="0" item="0"/>
          <tpl fld="1" item="149"/>
          <tpl fld="4" item="40"/>
        </tpls>
      </n>
      <n v="2" in="0">
        <tpls c="3">
          <tpl fld="0" item="0"/>
          <tpl fld="1" item="332"/>
          <tpl fld="4" item="42"/>
        </tpls>
      </n>
      <n v="160" in="0">
        <tpls c="3">
          <tpl fld="0" item="0"/>
          <tpl fld="1" item="183"/>
          <tpl fld="4" item="41"/>
        </tpls>
      </n>
      <n v="7" in="0">
        <tpls c="3">
          <tpl fld="0" item="0"/>
          <tpl fld="1" item="400"/>
          <tpl fld="4" item="43"/>
        </tpls>
      </n>
      <m in="0">
        <tpls c="3">
          <tpl fld="0" item="0"/>
          <tpl fld="1" item="102"/>
          <tpl fld="4" item="41"/>
        </tpls>
      </m>
      <m in="0">
        <tpls c="3">
          <tpl fld="0" item="0"/>
          <tpl fld="1" item="303"/>
          <tpl fld="4" item="40"/>
        </tpls>
      </m>
      <n v="56" in="0">
        <tpls c="3">
          <tpl fld="0" item="0"/>
          <tpl fld="1" item="285"/>
          <tpl fld="4" item="41"/>
        </tpls>
      </n>
      <n v="70" in="0">
        <tpls c="3">
          <tpl fld="0" item="0"/>
          <tpl fld="1" item="242"/>
          <tpl fld="4" item="41"/>
        </tpls>
      </n>
      <m in="0">
        <tpls c="3">
          <tpl fld="0" item="0"/>
          <tpl fld="1" item="155"/>
          <tpl fld="4" item="40"/>
        </tpls>
      </m>
      <m in="0">
        <tpls c="3">
          <tpl fld="0" item="0"/>
          <tpl fld="1" item="247"/>
          <tpl fld="4" item="41"/>
        </tpls>
      </m>
      <n v="4" in="0">
        <tpls c="3">
          <tpl fld="0" item="0"/>
          <tpl fld="1" item="337"/>
          <tpl fld="4" item="43"/>
        </tpls>
      </n>
      <n v="25" in="0">
        <tpls c="3">
          <tpl fld="0" item="0"/>
          <tpl fld="1" item="296"/>
          <tpl fld="4" item="41"/>
        </tpls>
      </n>
      <m in="0">
        <tpls c="3">
          <tpl fld="0" item="0"/>
          <tpl fld="1" item="307"/>
          <tpl fld="4" item="42"/>
        </tpls>
      </m>
      <m in="0">
        <tpls c="3">
          <tpl fld="0" item="0"/>
          <tpl fld="1" item="451"/>
          <tpl fld="4" item="41"/>
        </tpls>
      </m>
      <m in="0">
        <tpls c="3">
          <tpl fld="0" item="0"/>
          <tpl fld="1" item="338"/>
          <tpl fld="4" item="43"/>
        </tpls>
      </m>
      <m in="0">
        <tpls c="3">
          <tpl fld="0" item="0"/>
          <tpl fld="1" item="278"/>
          <tpl fld="4" item="43"/>
        </tpls>
      </m>
      <m in="0">
        <tpls c="3">
          <tpl fld="0" item="0"/>
          <tpl fld="1" item="344"/>
          <tpl fld="4" item="42"/>
        </tpls>
      </m>
      <m in="0">
        <tpls c="3">
          <tpl fld="0" item="0"/>
          <tpl fld="1" item="310"/>
          <tpl fld="4" item="42"/>
        </tpls>
      </m>
      <m in="0">
        <tpls c="3">
          <tpl fld="0" item="0"/>
          <tpl fld="1" item="284"/>
          <tpl fld="4" item="38"/>
        </tpls>
      </m>
      <n v="2" in="0">
        <tpls c="3">
          <tpl fld="0" item="0"/>
          <tpl fld="1" item="415"/>
          <tpl fld="4" item="38"/>
        </tpls>
      </n>
      <m in="0">
        <tpls c="3">
          <tpl fld="0" item="0"/>
          <tpl fld="1" item="308"/>
          <tpl fld="4" item="38"/>
        </tpls>
      </m>
      <m in="0">
        <tpls c="3">
          <tpl fld="0" item="0"/>
          <tpl fld="1" item="217"/>
          <tpl fld="4" item="38"/>
        </tpls>
      </m>
      <m in="0">
        <tpls c="3">
          <tpl fld="0" item="0"/>
          <tpl fld="1" item="207"/>
          <tpl fld="4" item="38"/>
        </tpls>
      </m>
      <m in="0">
        <tpls c="3">
          <tpl fld="0" item="0"/>
          <tpl fld="1" item="359"/>
          <tpl fld="4" item="38"/>
        </tpls>
      </m>
      <n v="81" in="0">
        <tpls c="3">
          <tpl fld="0" item="0"/>
          <tpl fld="1" item="430"/>
          <tpl fld="4" item="41"/>
        </tpls>
      </n>
      <n v="8" in="0">
        <tpls c="3">
          <tpl fld="0" item="0"/>
          <tpl fld="1" item="287"/>
          <tpl fld="4" item="39"/>
        </tpls>
      </n>
      <n v="4" in="0">
        <tpls c="3">
          <tpl fld="0" item="0"/>
          <tpl fld="1" item="276"/>
          <tpl fld="4" item="40"/>
        </tpls>
      </n>
      <m in="0">
        <tpls c="3">
          <tpl fld="0" item="0"/>
          <tpl fld="1" item="306"/>
          <tpl fld="4" item="38"/>
        </tpls>
      </m>
      <m in="0">
        <tpls c="3">
          <tpl fld="0" item="0"/>
          <tpl fld="1" item="297"/>
          <tpl fld="4" item="40"/>
        </tpls>
      </m>
      <n v="17" in="0">
        <tpls c="3">
          <tpl fld="0" item="0"/>
          <tpl fld="1" item="53"/>
          <tpl fld="4" item="41"/>
        </tpls>
      </n>
      <n v="90" in="0">
        <tpls c="3">
          <tpl fld="0" item="0"/>
          <tpl fld="1" item="324"/>
          <tpl fld="4" item="40"/>
        </tpls>
      </n>
      <n v="5" in="0">
        <tpls c="3">
          <tpl fld="0" item="0"/>
          <tpl fld="1" item="179"/>
          <tpl fld="4" item="39"/>
        </tpls>
      </n>
      <m in="0">
        <tpls c="3">
          <tpl fld="0" item="0"/>
          <tpl fld="1" item="346"/>
          <tpl fld="4" item="40"/>
        </tpls>
      </m>
      <m in="0">
        <tpls c="3">
          <tpl fld="0" item="0"/>
          <tpl fld="1" item="159"/>
          <tpl fld="4" item="39"/>
        </tpls>
      </m>
      <m in="0">
        <tpls c="3">
          <tpl fld="0" item="0"/>
          <tpl fld="1" item="316"/>
          <tpl fld="4" item="40"/>
        </tpls>
      </m>
      <m in="0">
        <tpls c="3">
          <tpl fld="0" item="0"/>
          <tpl fld="1" item="278"/>
          <tpl fld="4" item="40"/>
        </tpls>
      </m>
      <n v="17" in="0">
        <tpls c="3">
          <tpl fld="0" item="0"/>
          <tpl fld="1" item="203"/>
          <tpl fld="4" item="41"/>
        </tpls>
      </n>
      <n v="7" in="0">
        <tpls c="3">
          <tpl fld="0" item="0"/>
          <tpl fld="1" item="213"/>
          <tpl fld="4" item="41"/>
        </tpls>
      </n>
      <m in="0">
        <tpls c="3">
          <tpl fld="0" item="0"/>
          <tpl fld="1" item="135"/>
          <tpl fld="4" item="42"/>
        </tpls>
      </m>
      <n v="21" in="0">
        <tpls c="3">
          <tpl fld="0" item="0"/>
          <tpl fld="1" item="58"/>
          <tpl fld="4" item="41"/>
        </tpls>
      </n>
      <n v="1" in="0">
        <tpls c="3">
          <tpl fld="0" item="0"/>
          <tpl fld="1" item="101"/>
          <tpl fld="4" item="42"/>
        </tpls>
      </n>
      <n v="4" in="0">
        <tpls c="3">
          <tpl fld="0" item="0"/>
          <tpl fld="1" item="182"/>
          <tpl fld="4" item="42"/>
        </tpls>
      </n>
      <n v="12" in="0">
        <tpls c="3">
          <tpl fld="0" item="0"/>
          <tpl fld="1" item="449"/>
          <tpl fld="4" item="41"/>
        </tpls>
      </n>
      <n v="8" in="0">
        <tpls c="3">
          <tpl fld="0" item="0"/>
          <tpl fld="1" item="281"/>
          <tpl fld="4" item="43"/>
        </tpls>
      </n>
      <n v="3" in="0">
        <tpls c="3">
          <tpl fld="0" item="0"/>
          <tpl fld="1" item="291"/>
          <tpl fld="4" item="43"/>
        </tpls>
      </n>
      <n v="16" in="0">
        <tpls c="3">
          <tpl fld="0" item="0"/>
          <tpl fld="1" item="348"/>
          <tpl fld="4" item="42"/>
        </tpls>
      </n>
      <m in="0">
        <tpls c="3">
          <tpl fld="0" item="0"/>
          <tpl fld="1" item="350"/>
          <tpl fld="4" item="43"/>
        </tpls>
      </m>
      <m in="0">
        <tpls c="3">
          <tpl fld="0" item="0"/>
          <tpl fld="1" item="216"/>
          <tpl fld="4" item="42"/>
        </tpls>
      </m>
      <n v="2" in="0">
        <tpls c="3">
          <tpl fld="0" item="0"/>
          <tpl fld="1" item="437"/>
          <tpl fld="4" item="43"/>
        </tpls>
      </n>
      <m in="0">
        <tpls c="3">
          <tpl fld="0" item="0"/>
          <tpl fld="1" item="308"/>
          <tpl fld="4" item="43"/>
        </tpls>
      </m>
      <m in="0">
        <tpls c="3">
          <tpl fld="0" item="0"/>
          <tpl fld="1" item="426"/>
          <tpl fld="4" item="42"/>
        </tpls>
      </m>
      <m in="0">
        <tpls c="3">
          <tpl fld="0" item="0"/>
          <tpl fld="1" item="405"/>
          <tpl fld="4" item="43"/>
        </tpls>
      </m>
      <m in="0">
        <tpls c="3">
          <tpl fld="0" item="0"/>
          <tpl fld="1" item="283"/>
          <tpl fld="4" item="42"/>
        </tpls>
      </m>
      <m in="0">
        <tpls c="3">
          <tpl fld="0" item="0"/>
          <tpl fld="1" item="238"/>
          <tpl fld="4" item="42"/>
        </tpls>
      </m>
      <m in="0">
        <tpls c="3">
          <tpl fld="0" item="0"/>
          <tpl fld="1" item="124"/>
          <tpl fld="4" item="43"/>
        </tpls>
      </m>
      <m in="0">
        <tpls c="3">
          <tpl fld="0" item="0"/>
          <tpl fld="1" item="29"/>
          <tpl fld="4" item="38"/>
        </tpls>
      </m>
      <m in="0">
        <tpls c="3">
          <tpl fld="0" item="0"/>
          <tpl fld="1" item="76"/>
          <tpl fld="4" item="39"/>
        </tpls>
      </m>
      <n v="2072" in="0">
        <tpls c="3">
          <tpl fld="0" item="0"/>
          <tpl fld="1" item="266"/>
          <tpl fld="4" item="37"/>
        </tpls>
      </n>
      <m in="0">
        <tpls c="3">
          <tpl fld="0" item="0"/>
          <tpl fld="1" item="35"/>
          <tpl fld="4" item="38"/>
        </tpls>
      </m>
      <m in="0">
        <tpls c="3">
          <tpl fld="0" item="0"/>
          <tpl fld="1" item="222"/>
          <tpl fld="4" item="41"/>
        </tpls>
      </m>
      <m in="0">
        <tpls c="3">
          <tpl fld="0" item="0"/>
          <tpl fld="1" item="48"/>
          <tpl fld="4" item="39"/>
        </tpls>
      </m>
      <n v="5" in="0">
        <tpls c="3">
          <tpl fld="0" item="0"/>
          <tpl fld="1" item="173"/>
          <tpl fld="4" item="41"/>
        </tpls>
      </n>
      <m in="0">
        <tpls c="3">
          <tpl fld="0" item="0"/>
          <tpl fld="1" item="44"/>
          <tpl fld="4" item="39"/>
        </tpls>
      </m>
      <n v="19" in="0">
        <tpls c="3">
          <tpl fld="0" item="0"/>
          <tpl fld="1" item="415"/>
          <tpl fld="4" item="40"/>
        </tpls>
      </n>
      <m in="0">
        <tpls c="3">
          <tpl fld="0" item="0"/>
          <tpl fld="1" item="130"/>
          <tpl fld="4" item="42"/>
        </tpls>
      </m>
      <m in="0">
        <tpls c="3">
          <tpl fld="0" item="0"/>
          <tpl fld="1" item="88"/>
          <tpl fld="4" item="39"/>
        </tpls>
      </m>
      <m in="0">
        <tpls c="3">
          <tpl fld="0" item="0"/>
          <tpl fld="1" item="188"/>
          <tpl fld="4" item="40"/>
        </tpls>
      </m>
      <m in="0">
        <tpls c="3">
          <tpl fld="0" item="0"/>
          <tpl fld="1" item="344"/>
          <tpl fld="4" item="40"/>
        </tpls>
      </m>
      <m in="0">
        <tpls c="3">
          <tpl fld="0" item="0"/>
          <tpl fld="1" item="303"/>
          <tpl fld="4" item="42"/>
        </tpls>
      </m>
      <m in="0">
        <tpls c="3">
          <tpl fld="0" item="0"/>
          <tpl fld="1" item="406"/>
          <tpl fld="4" item="40"/>
        </tpls>
      </m>
      <m in="0">
        <tpls c="3">
          <tpl fld="0" item="0"/>
          <tpl fld="1" item="71"/>
          <tpl fld="4" item="43"/>
        </tpls>
      </m>
      <m in="0">
        <tpls c="3">
          <tpl fld="0" item="0"/>
          <tpl fld="1" item="127"/>
          <tpl fld="4" item="40"/>
        </tpls>
      </m>
      <m in="0">
        <tpls c="3">
          <tpl fld="0" item="0"/>
          <tpl fld="1" item="212"/>
          <tpl fld="4" item="43"/>
        </tpls>
      </m>
      <m in="0">
        <tpls c="3">
          <tpl fld="0" item="0"/>
          <tpl fld="1" item="193"/>
          <tpl fld="4" item="41"/>
        </tpls>
      </m>
      <m in="0">
        <tpls c="3">
          <tpl fld="0" item="0"/>
          <tpl fld="1" item="259"/>
          <tpl fld="4" item="43"/>
        </tpls>
      </m>
      <m in="0">
        <tpls c="3">
          <tpl fld="0" item="0"/>
          <tpl fld="1" item="133"/>
          <tpl fld="4" item="42"/>
        </tpls>
      </m>
      <n v="86" in="0">
        <tpls c="3">
          <tpl fld="0" item="0"/>
          <tpl fld="1" item="343"/>
          <tpl fld="4" item="40"/>
        </tpls>
      </n>
      <m in="0">
        <tpls c="3">
          <tpl fld="0" item="0"/>
          <tpl fld="1" item="249"/>
          <tpl fld="4" item="42"/>
        </tpls>
      </m>
      <n v="4" in="0">
        <tpls c="3">
          <tpl fld="0" item="0"/>
          <tpl fld="1" item="159"/>
          <tpl fld="4" item="41"/>
        </tpls>
      </n>
      <n v="22" in="0">
        <tpls c="3">
          <tpl fld="0" item="0"/>
          <tpl fld="1" item="337"/>
          <tpl fld="4" item="40"/>
        </tpls>
      </n>
      <n v="7" in="0">
        <tpls c="3">
          <tpl fld="0" item="0"/>
          <tpl fld="1" item="395"/>
          <tpl fld="4" item="42"/>
        </tpls>
      </n>
      <n v="4" in="0">
        <tpls c="3">
          <tpl fld="0" item="0"/>
          <tpl fld="1" item="163"/>
          <tpl fld="4" item="43"/>
        </tpls>
      </n>
      <m in="0">
        <tpls c="3">
          <tpl fld="0" item="0"/>
          <tpl fld="1" item="113"/>
          <tpl fld="4" item="42"/>
        </tpls>
      </m>
      <n v="9" in="0">
        <tpls c="3">
          <tpl fld="0" item="0"/>
          <tpl fld="1" item="85"/>
          <tpl fld="4" item="43"/>
        </tpls>
      </n>
      <m in="0">
        <tpls c="3">
          <tpl fld="0" item="0"/>
          <tpl fld="1" item="218"/>
          <tpl fld="4" item="42"/>
        </tpls>
      </m>
      <m in="0">
        <tpls c="3">
          <tpl fld="0" item="0"/>
          <tpl fld="1" item="121"/>
          <tpl fld="4" item="43"/>
        </tpls>
      </m>
      <n v="4" in="0">
        <tpls c="3">
          <tpl fld="0" item="0"/>
          <tpl fld="1" item="125"/>
          <tpl fld="4" item="43"/>
        </tpls>
      </n>
      <m in="0">
        <tpls c="3">
          <tpl fld="0" item="0"/>
          <tpl fld="1" item="138"/>
          <tpl fld="4" item="42"/>
        </tpls>
      </m>
      <n v="1" in="0">
        <tpls c="3">
          <tpl fld="0" item="0"/>
          <tpl fld="1" item="455"/>
          <tpl fld="4" item="43"/>
        </tpls>
      </n>
      <m in="0">
        <tpls c="3">
          <tpl fld="0" item="0"/>
          <tpl fld="1" item="117"/>
          <tpl fld="4" item="42"/>
        </tpls>
      </m>
      <n v="23" in="0">
        <tpls c="3">
          <tpl fld="0" item="0"/>
          <tpl fld="1" item="324"/>
          <tpl fld="4" item="43"/>
        </tpls>
      </n>
      <m in="0">
        <tpls c="3">
          <tpl fld="0" item="0"/>
          <tpl fld="1" item="431"/>
          <tpl fld="4" item="43"/>
        </tpls>
      </m>
      <m in="0">
        <tpls c="3">
          <tpl fld="0" item="0"/>
          <tpl fld="1" item="36"/>
          <tpl fld="4" item="43"/>
        </tpls>
      </m>
      <n v="6" in="0">
        <tpls c="3">
          <tpl fld="0" item="0"/>
          <tpl fld="1" item="11"/>
          <tpl fld="4" item="43"/>
        </tpls>
      </n>
      <m in="0">
        <tpls c="3">
          <tpl fld="0" item="0"/>
          <tpl fld="1" item="373"/>
          <tpl fld="4" item="42"/>
        </tpls>
      </m>
      <m in="0">
        <tpls c="3">
          <tpl fld="0" item="0"/>
          <tpl fld="1" item="433"/>
          <tpl fld="4" item="43"/>
        </tpls>
      </m>
      <n v="42" in="0">
        <tpls c="3">
          <tpl fld="0" item="0"/>
          <tpl fld="1" item="382"/>
          <tpl fld="4" item="37"/>
        </tpls>
      </n>
      <m in="0">
        <tpls c="3">
          <tpl fld="0" item="0"/>
          <tpl fld="1" item="228"/>
          <tpl fld="4" item="40"/>
        </tpls>
      </m>
      <n v="4" in="0">
        <tpls c="3">
          <tpl fld="0" item="0"/>
          <tpl fld="1" item="67"/>
          <tpl fld="4" item="38"/>
        </tpls>
      </n>
      <m in="0">
        <tpls c="3">
          <tpl fld="0" item="0"/>
          <tpl fld="1" item="233"/>
          <tpl fld="4" item="38"/>
        </tpls>
      </m>
      <m in="0">
        <tpls c="3">
          <tpl fld="0" item="0"/>
          <tpl fld="1" item="24"/>
          <tpl fld="4" item="38"/>
        </tpls>
      </m>
      <n v="14" in="0">
        <tpls c="3">
          <tpl fld="0" item="0"/>
          <tpl fld="1" item="427"/>
          <tpl fld="4" item="40"/>
        </tpls>
      </n>
      <m in="0">
        <tpls c="3">
          <tpl fld="0" item="0"/>
          <tpl fld="1" item="31"/>
          <tpl fld="4" item="41"/>
        </tpls>
      </m>
      <m in="0">
        <tpls c="3">
          <tpl fld="0" item="0"/>
          <tpl fld="1" item="146"/>
          <tpl fld="4" item="39"/>
        </tpls>
      </m>
      <m in="0">
        <tpls c="3">
          <tpl fld="0" item="0"/>
          <tpl fld="1" item="450"/>
          <tpl fld="4" item="40"/>
        </tpls>
      </m>
      <n v="13" in="0">
        <tpls c="3">
          <tpl fld="0" item="0"/>
          <tpl fld="1" item="68"/>
          <tpl fld="4" item="43"/>
        </tpls>
      </n>
      <n v="6" in="0">
        <tpls c="3">
          <tpl fld="0" item="0"/>
          <tpl fld="1" item="409"/>
          <tpl fld="4" item="39"/>
        </tpls>
      </n>
      <n v="7" in="0">
        <tpls c="3">
          <tpl fld="0" item="0"/>
          <tpl fld="1" item="227"/>
          <tpl fld="4" item="41"/>
        </tpls>
      </n>
      <m in="0">
        <tpls c="3">
          <tpl fld="0" item="0"/>
          <tpl fld="1" item="375"/>
          <tpl fld="4" item="40"/>
        </tpls>
      </m>
      <n v="1" in="0">
        <tpls c="3">
          <tpl fld="0" item="0"/>
          <tpl fld="1" item="200"/>
          <tpl fld="4" item="39"/>
        </tpls>
      </n>
      <n v="22" in="0">
        <tpls c="3">
          <tpl fld="0" item="0"/>
          <tpl fld="1" item="138"/>
          <tpl fld="4" item="40"/>
        </tpls>
      </n>
      <m in="0">
        <tpls c="3">
          <tpl fld="0" item="0"/>
          <tpl fld="1" item="257"/>
          <tpl fld="4" item="39"/>
        </tpls>
      </m>
      <m in="0">
        <tpls c="3">
          <tpl fld="0" item="0"/>
          <tpl fld="1" item="361"/>
          <tpl fld="4" item="40"/>
        </tpls>
      </m>
      <m in="0">
        <tpls c="3">
          <tpl fld="0" item="0"/>
          <tpl fld="1" item="193"/>
          <tpl fld="4" item="40"/>
        </tpls>
      </m>
      <n v="22" in="0">
        <tpls c="3">
          <tpl fld="0" item="0"/>
          <tpl fld="1" item="57"/>
          <tpl fld="4" item="41"/>
        </tpls>
      </n>
      <m in="0">
        <tpls c="3">
          <tpl fld="0" item="0"/>
          <tpl fld="1" item="352"/>
          <tpl fld="4" item="40"/>
        </tpls>
      </m>
      <m in="0">
        <tpls c="3">
          <tpl fld="0" item="0"/>
          <tpl fld="1" item="78"/>
          <tpl fld="4" item="42"/>
        </tpls>
      </m>
      <m in="0">
        <tpls c="3">
          <tpl fld="0" item="0"/>
          <tpl fld="1" item="307"/>
          <tpl fld="4" item="40"/>
        </tpls>
      </m>
      <m in="0">
        <tpls c="3">
          <tpl fld="0" item="0"/>
          <tpl fld="1" item="349"/>
          <tpl fld="4" item="42"/>
        </tpls>
      </m>
      <n v="12" in="0">
        <tpls c="3">
          <tpl fld="0" item="0"/>
          <tpl fld="1" item="360"/>
          <tpl fld="4" item="41"/>
        </tpls>
      </n>
      <n v="243" in="0">
        <tpls c="3">
          <tpl fld="0" item="0"/>
          <tpl fld="1" item="312"/>
          <tpl fld="4" item="41"/>
        </tpls>
      </n>
      <m in="0">
        <tpls c="3">
          <tpl fld="0" item="0"/>
          <tpl fld="1" item="86"/>
          <tpl fld="4" item="42"/>
        </tpls>
      </m>
      <m in="0">
        <tpls c="3">
          <tpl fld="0" item="0"/>
          <tpl fld="1" item="190"/>
          <tpl fld="4" item="43"/>
        </tpls>
      </m>
      <m in="0">
        <tpls c="3">
          <tpl fld="0" item="0"/>
          <tpl fld="1" item="25"/>
          <tpl fld="4" item="42"/>
        </tpls>
      </m>
      <m in="0">
        <tpls c="3">
          <tpl fld="0" item="0"/>
          <tpl fld="1" item="35"/>
          <tpl fld="4" item="43"/>
        </tpls>
      </m>
      <n v="8" in="0">
        <tpls c="3">
          <tpl fld="0" item="0"/>
          <tpl fld="1" item="47"/>
          <tpl fld="4" item="42"/>
        </tpls>
      </n>
      <m in="0">
        <tpls c="3">
          <tpl fld="0" item="0"/>
          <tpl fld="1" item="363"/>
          <tpl fld="4" item="42"/>
        </tpls>
      </m>
      <n v="1" in="0">
        <tpls c="3">
          <tpl fld="0" item="0"/>
          <tpl fld="1" item="309"/>
          <tpl fld="4" item="42"/>
        </tpls>
      </n>
      <m in="0">
        <tpls c="3">
          <tpl fld="0" item="0"/>
          <tpl fld="1" item="128"/>
          <tpl fld="4" item="42"/>
        </tpls>
      </m>
      <n v="3" in="0">
        <tpls c="3">
          <tpl fld="0" item="0"/>
          <tpl fld="1" item="417"/>
          <tpl fld="4" item="42"/>
        </tpls>
      </n>
      <n v="4" in="0">
        <tpls c="3">
          <tpl fld="0" item="0"/>
          <tpl fld="1" item="283"/>
          <tpl fld="4" item="37"/>
        </tpls>
      </n>
      <m in="0">
        <tpls c="3">
          <tpl fld="0" item="0"/>
          <tpl fld="1" item="270"/>
          <tpl fld="4" item="41"/>
        </tpls>
      </m>
      <m in="0">
        <tpls c="3">
          <tpl fld="0" item="0"/>
          <tpl fld="1" item="166"/>
          <tpl fld="4" item="38"/>
        </tpls>
      </m>
      <n v="2" in="0">
        <tpls c="3">
          <tpl fld="0" item="0"/>
          <tpl fld="1" item="65"/>
          <tpl fld="4" item="38"/>
        </tpls>
      </n>
      <m in="0">
        <tpls c="3">
          <tpl fld="0" item="0"/>
          <tpl fld="1" item="261"/>
          <tpl fld="4" item="38"/>
        </tpls>
      </m>
      <n v="4" in="0">
        <tpls c="3">
          <tpl fld="0" item="0"/>
          <tpl fld="1" item="207"/>
          <tpl fld="4" item="40"/>
        </tpls>
      </n>
      <m in="0">
        <tpls c="3">
          <tpl fld="0" item="0"/>
          <tpl fld="1" item="261"/>
          <tpl fld="4" item="41"/>
        </tpls>
      </m>
      <m in="0">
        <tpls c="3">
          <tpl fld="0" item="0"/>
          <tpl fld="1" item="14"/>
          <tpl fld="4" item="39"/>
        </tpls>
      </m>
      <n v="4" in="0">
        <tpls c="3">
          <tpl fld="0" item="0"/>
          <tpl fld="1" item="323"/>
          <tpl fld="4" item="40"/>
        </tpls>
      </n>
      <n v="9" in="0">
        <tpls c="3">
          <tpl fld="0" item="0"/>
          <tpl fld="1" item="42"/>
          <tpl fld="4" item="43"/>
        </tpls>
      </n>
      <n v="1" in="0">
        <tpls c="3">
          <tpl fld="0" item="0"/>
          <tpl fld="1" item="366"/>
          <tpl fld="4" item="39"/>
        </tpls>
      </n>
      <m in="0">
        <tpls c="3">
          <tpl fld="0" item="0"/>
          <tpl fld="1" item="340"/>
          <tpl fld="4" item="41"/>
        </tpls>
      </m>
      <n v="52" in="0">
        <tpls c="3">
          <tpl fld="0" item="0"/>
          <tpl fld="1" item="395"/>
          <tpl fld="4" item="40"/>
        </tpls>
      </n>
      <n v="13" in="0">
        <tpls c="3">
          <tpl fld="0" item="0"/>
          <tpl fld="1" item="85"/>
          <tpl fld="4" item="39"/>
        </tpls>
      </n>
      <m in="0">
        <tpls c="3">
          <tpl fld="0" item="0"/>
          <tpl fld="1" item="210"/>
          <tpl fld="4" item="40"/>
        </tpls>
      </m>
      <m in="0">
        <tpls c="3">
          <tpl fld="0" item="0"/>
          <tpl fld="1" item="96"/>
          <tpl fld="4" item="39"/>
        </tpls>
      </m>
      <m in="0">
        <tpls c="3">
          <tpl fld="0" item="0"/>
          <tpl fld="1" item="345"/>
          <tpl fld="4" item="40"/>
        </tpls>
      </m>
      <m in="0">
        <tpls c="3">
          <tpl fld="0" item="0"/>
          <tpl fld="1" item="374"/>
          <tpl fld="4" item="40"/>
        </tpls>
      </m>
      <n v="45" in="0">
        <tpls c="3">
          <tpl fld="0" item="0"/>
          <tpl fld="1" item="431"/>
          <tpl fld="4" item="41"/>
        </tpls>
      </n>
      <n v="9" in="0">
        <tpls c="3">
          <tpl fld="0" item="0"/>
          <tpl fld="1" item="405"/>
          <tpl fld="4" item="40"/>
        </tpls>
      </n>
      <n v="8" in="0">
        <tpls c="3">
          <tpl fld="0" item="0"/>
          <tpl fld="1" item="132"/>
          <tpl fld="4" item="42"/>
        </tpls>
      </n>
      <m in="0">
        <tpls c="3">
          <tpl fld="0" item="0"/>
          <tpl fld="1" item="70"/>
          <tpl fld="4" item="40"/>
        </tpls>
      </m>
      <m in="0">
        <tpls c="3">
          <tpl fld="0" item="0"/>
          <tpl fld="1" item="243"/>
          <tpl fld="4" item="42"/>
        </tpls>
      </m>
      <n v="20" in="0">
        <tpls c="3">
          <tpl fld="0" item="0"/>
          <tpl fld="1" item="453"/>
          <tpl fld="4" item="41"/>
        </tpls>
      </n>
      <n v="77" in="0">
        <tpls c="3">
          <tpl fld="0" item="0"/>
          <tpl fld="1" item="319"/>
          <tpl fld="4" item="41"/>
        </tpls>
      </n>
      <n v="2" in="0">
        <tpls c="3">
          <tpl fld="0" item="0"/>
          <tpl fld="1" item="402"/>
          <tpl fld="4" item="42"/>
        </tpls>
      </n>
      <m in="0">
        <tpls c="3">
          <tpl fld="0" item="0"/>
          <tpl fld="1" item="146"/>
          <tpl fld="4" item="43"/>
        </tpls>
      </m>
      <m in="0">
        <tpls c="3">
          <tpl fld="0" item="0"/>
          <tpl fld="1" item="36"/>
          <tpl fld="4" item="42"/>
        </tpls>
      </m>
      <n v="4" in="0">
        <tpls c="3">
          <tpl fld="0" item="0"/>
          <tpl fld="1" item="256"/>
          <tpl fld="4" item="43"/>
        </tpls>
      </n>
      <m in="0">
        <tpls c="3">
          <tpl fld="0" item="0"/>
          <tpl fld="1" item="188"/>
          <tpl fld="4" item="42"/>
        </tpls>
      </m>
      <m in="0">
        <tpls c="3">
          <tpl fld="0" item="0"/>
          <tpl fld="1" item="345"/>
          <tpl fld="4" item="43"/>
        </tpls>
      </m>
      <n v="3" in="0">
        <tpls c="3">
          <tpl fld="0" item="0"/>
          <tpl fld="1" item="393"/>
          <tpl fld="4" item="37"/>
        </tpls>
      </n>
      <m in="0">
        <tpls c="3">
          <tpl fld="0" item="0"/>
          <tpl fld="1" item="401"/>
          <tpl fld="4" item="39"/>
        </tpls>
      </m>
      <m in="0">
        <tpls c="3">
          <tpl fld="0" item="0"/>
          <tpl fld="1" item="127"/>
          <tpl fld="4" item="42"/>
        </tpls>
      </m>
      <n v="14" in="0">
        <tpls c="3">
          <tpl fld="0" item="0"/>
          <tpl fld="1" item="85"/>
          <tpl fld="4" item="38"/>
        </tpls>
      </n>
      <n v="56" in="0">
        <tpls c="3">
          <tpl fld="0" item="0"/>
          <tpl fld="1" item="104"/>
          <tpl fld="4" item="40"/>
        </tpls>
      </n>
      <n v="2" in="0">
        <tpls c="3">
          <tpl fld="0" item="0"/>
          <tpl fld="1" item="224"/>
          <tpl fld="4" item="39"/>
        </tpls>
      </n>
      <m in="0">
        <tpls c="3">
          <tpl fld="0" item="0"/>
          <tpl fld="1" item="298"/>
          <tpl fld="4" item="40"/>
        </tpls>
      </m>
      <n v="2" in="0">
        <tpls c="3">
          <tpl fld="0" item="0"/>
          <tpl fld="1" item="205"/>
          <tpl fld="4" item="38"/>
        </tpls>
      </n>
      <m in="0">
        <tpls c="3">
          <tpl fld="0" item="0"/>
          <tpl fld="1" item="260"/>
          <tpl fld="4" item="40"/>
        </tpls>
      </m>
      <m in="0">
        <tpls c="3">
          <tpl fld="0" item="0"/>
          <tpl fld="1" item="396"/>
          <tpl fld="4" item="41"/>
        </tpls>
      </m>
      <n v="10" in="0">
        <tpls c="3">
          <tpl fld="0" item="0"/>
          <tpl fld="1" item="45"/>
          <tpl fld="4" item="39"/>
        </tpls>
      </n>
      <n v="5" in="0">
        <tpls c="3">
          <tpl fld="0" item="0"/>
          <tpl fld="1" item="184"/>
          <tpl fld="4" item="40"/>
        </tpls>
      </n>
      <n v="154" in="0">
        <tpls c="3">
          <tpl fld="0" item="0"/>
          <tpl fld="1" item="390"/>
          <tpl fld="4" item="40"/>
        </tpls>
      </n>
      <n v="7" in="0">
        <tpls c="3">
          <tpl fld="0" item="0"/>
          <tpl fld="1" item="206"/>
          <tpl fld="4" item="42"/>
        </tpls>
      </n>
      <n v="56" in="0">
        <tpls c="3">
          <tpl fld="0" item="0"/>
          <tpl fld="1" item="281"/>
          <tpl fld="4" item="40"/>
        </tpls>
      </n>
      <n v="6" in="0">
        <tpls c="3">
          <tpl fld="0" item="0"/>
          <tpl fld="1" item="175"/>
          <tpl fld="4" item="42"/>
        </tpls>
      </n>
      <m in="0">
        <tpls c="3">
          <tpl fld="0" item="0"/>
          <tpl fld="1" item="43"/>
          <tpl fld="4" item="40"/>
        </tpls>
      </m>
      <m in="0">
        <tpls c="3">
          <tpl fld="0" item="0"/>
          <tpl fld="1" item="379"/>
          <tpl fld="4" item="42"/>
        </tpls>
      </m>
      <n v="5" in="0">
        <tpls c="3">
          <tpl fld="0" item="0"/>
          <tpl fld="1" item="393"/>
          <tpl fld="4" item="41"/>
        </tpls>
      </n>
      <m in="0">
        <tpls c="3">
          <tpl fld="0" item="0"/>
          <tpl fld="1" item="208"/>
          <tpl fld="4" item="43"/>
        </tpls>
      </m>
      <n v="41" in="0">
        <tpls c="3">
          <tpl fld="0" item="0"/>
          <tpl fld="1" item="382"/>
          <tpl fld="4" item="41"/>
        </tpls>
      </n>
      <n v="28" in="0">
        <tpls c="3">
          <tpl fld="0" item="0"/>
          <tpl fld="1" item="456"/>
          <tpl fld="4" item="40"/>
        </tpls>
      </n>
      <n v="6" in="0">
        <tpls c="3">
          <tpl fld="0" item="0"/>
          <tpl fld="1" item="246"/>
          <tpl fld="4" item="41"/>
        </tpls>
      </n>
      <n v="19" in="0">
        <tpls c="3">
          <tpl fld="0" item="0"/>
          <tpl fld="1" item="271"/>
          <tpl fld="4" item="41"/>
        </tpls>
      </n>
      <n v="5" in="0">
        <tpls c="3">
          <tpl fld="0" item="0"/>
          <tpl fld="1" item="403"/>
          <tpl fld="4" item="40"/>
        </tpls>
      </n>
      <m in="0">
        <tpls c="3">
          <tpl fld="0" item="0"/>
          <tpl fld="1" item="156"/>
          <tpl fld="4" item="42"/>
        </tpls>
      </m>
      <n v="17" in="0">
        <tpls c="3">
          <tpl fld="0" item="0"/>
          <tpl fld="1" item="67"/>
          <tpl fld="4" item="43"/>
        </tpls>
      </n>
      <m in="0">
        <tpls c="3">
          <tpl fld="0" item="0"/>
          <tpl fld="1" item="228"/>
          <tpl fld="4" item="41"/>
        </tpls>
      </m>
      <m in="0">
        <tpls c="3">
          <tpl fld="0" item="0"/>
          <tpl fld="1" item="241"/>
          <tpl fld="4" item="43"/>
        </tpls>
      </m>
      <n v="71" in="0">
        <tpls c="3">
          <tpl fld="0" item="0"/>
          <tpl fld="1" item="320"/>
          <tpl fld="4" item="41"/>
        </tpls>
      </n>
      <n v="4" in="0">
        <tpls c="3">
          <tpl fld="0" item="0"/>
          <tpl fld="1" item="77"/>
          <tpl fld="4" item="43"/>
        </tpls>
      </n>
      <m in="0">
        <tpls c="3">
          <tpl fld="0" item="0"/>
          <tpl fld="1" item="454"/>
          <tpl fld="4" item="43"/>
        </tpls>
      </m>
      <m in="0">
        <tpls c="3">
          <tpl fld="0" item="0"/>
          <tpl fld="1" item="412"/>
          <tpl fld="4" item="43"/>
        </tpls>
      </m>
      <m in="0">
        <tpls c="3">
          <tpl fld="0" item="0"/>
          <tpl fld="1" item="303"/>
          <tpl fld="4" item="37"/>
        </tpls>
      </m>
      <m in="0">
        <tpls c="3">
          <tpl fld="0" item="0"/>
          <tpl fld="1" item="356"/>
          <tpl fld="4" item="39"/>
        </tpls>
      </m>
      <m in="0">
        <tpls c="3">
          <tpl fld="0" item="0"/>
          <tpl fld="1" item="219"/>
          <tpl fld="4" item="43"/>
        </tpls>
      </m>
      <n v="2" in="0">
        <tpls c="3">
          <tpl fld="0" item="0"/>
          <tpl fld="1" item="319"/>
          <tpl fld="4" item="38"/>
        </tpls>
      </n>
      <n v="7" in="0">
        <tpls c="3">
          <tpl fld="0" item="0"/>
          <tpl fld="1" item="55"/>
          <tpl fld="4" item="40"/>
        </tpls>
      </n>
      <m in="0">
        <tpls c="3">
          <tpl fld="0" item="0"/>
          <tpl fld="1" item="252"/>
          <tpl fld="4" item="39"/>
        </tpls>
      </m>
      <n v="47" in="0">
        <tpls c="3">
          <tpl fld="0" item="0"/>
          <tpl fld="1" item="255"/>
          <tpl fld="4" item="40"/>
        </tpls>
      </n>
      <m in="0">
        <tpls c="3">
          <tpl fld="0" item="0"/>
          <tpl fld="1" item="352"/>
          <tpl fld="4" item="38"/>
        </tpls>
      </m>
      <n v="16" in="0">
        <tpls c="3">
          <tpl fld="0" item="0"/>
          <tpl fld="1" item="27"/>
          <tpl fld="4" item="40"/>
        </tpls>
      </n>
      <n v="18" in="0">
        <tpls c="3">
          <tpl fld="0" item="0"/>
          <tpl fld="1" item="37"/>
          <tpl fld="4" item="41"/>
        </tpls>
      </n>
      <n v="14" in="0">
        <tpls c="3">
          <tpl fld="0" item="0"/>
          <tpl fld="1" item="87"/>
          <tpl fld="4" item="39"/>
        </tpls>
      </n>
      <m in="0">
        <tpls c="3">
          <tpl fld="0" item="0"/>
          <tpl fld="1" item="136"/>
          <tpl fld="4" item="40"/>
        </tpls>
      </m>
      <m in="0">
        <tpls c="3">
          <tpl fld="0" item="0"/>
          <tpl fld="1" item="108"/>
          <tpl fld="4" item="40"/>
        </tpls>
      </m>
      <n v="28" in="0">
        <tpls c="3">
          <tpl fld="0" item="0"/>
          <tpl fld="1" item="107"/>
          <tpl fld="4" item="42"/>
        </tpls>
      </n>
      <m in="0">
        <tpls c="3">
          <tpl fld="0" item="0"/>
          <tpl fld="1" item="294"/>
          <tpl fld="4" item="40"/>
        </tpls>
      </m>
      <m in="0">
        <tpls c="3">
          <tpl fld="0" item="0"/>
          <tpl fld="1" item="318"/>
          <tpl fld="4" item="42"/>
        </tpls>
      </m>
      <n v="3" in="0">
        <tpls c="3">
          <tpl fld="0" item="0"/>
          <tpl fld="1" item="79"/>
          <tpl fld="4" item="40"/>
        </tpls>
      </n>
      <m in="0">
        <tpls c="3">
          <tpl fld="0" item="0"/>
          <tpl fld="1" item="129"/>
          <tpl fld="4" item="42"/>
        </tpls>
      </m>
      <n v="13" in="0">
        <tpls c="3">
          <tpl fld="0" item="0"/>
          <tpl fld="1" item="208"/>
          <tpl fld="4" item="41"/>
        </tpls>
      </n>
      <m in="0">
        <tpls c="3">
          <tpl fld="0" item="0"/>
          <tpl fld="1" item="133"/>
          <tpl fld="4" item="43"/>
        </tpls>
      </m>
      <n v="29" in="0">
        <tpls c="3">
          <tpl fld="0" item="0"/>
          <tpl fld="1" item="403"/>
          <tpl fld="4" item="41"/>
        </tpls>
      </n>
      <m in="0">
        <tpls c="3">
          <tpl fld="0" item="0"/>
          <tpl fld="1" item="159"/>
          <tpl fld="4" item="40"/>
        </tpls>
      </m>
      <m in="0">
        <tpls c="3">
          <tpl fld="0" item="0"/>
          <tpl fld="1" item="248"/>
          <tpl fld="4" item="41"/>
        </tpls>
      </m>
      <n v="13" in="0">
        <tpls c="3">
          <tpl fld="0" item="0"/>
          <tpl fld="1" item="55"/>
          <tpl fld="4" item="41"/>
        </tpls>
      </n>
      <n v="64" in="0">
        <tpls c="3">
          <tpl fld="0" item="0"/>
          <tpl fld="1" item="447"/>
          <tpl fld="4" item="40"/>
        </tpls>
      </n>
      <m in="0">
        <tpls c="3">
          <tpl fld="0" item="0"/>
          <tpl fld="1" item="240"/>
          <tpl fld="4" item="42"/>
        </tpls>
      </m>
      <m in="0">
        <tpls c="3">
          <tpl fld="0" item="0"/>
          <tpl fld="1" item="2"/>
          <tpl fld="4" item="43"/>
        </tpls>
      </m>
      <m in="0">
        <tpls c="3">
          <tpl fld="0" item="0"/>
          <tpl fld="1" item="399"/>
          <tpl fld="4" item="41"/>
        </tpls>
      </m>
      <m in="0">
        <tpls c="3">
          <tpl fld="0" item="0"/>
          <tpl fld="1" item="162"/>
          <tpl fld="4" item="43"/>
        </tpls>
      </m>
      <n v="49" in="0">
        <tpls c="3">
          <tpl fld="0" item="0"/>
          <tpl fld="1" item="199"/>
          <tpl fld="4" item="41"/>
        </tpls>
      </n>
      <m in="0">
        <tpls c="3">
          <tpl fld="0" item="0"/>
          <tpl fld="1" item="192"/>
          <tpl fld="4" item="43"/>
        </tpls>
      </m>
      <m in="0">
        <tpls c="3">
          <tpl fld="0" item="0"/>
          <tpl fld="1" item="213"/>
          <tpl fld="4" item="43"/>
        </tpls>
      </m>
      <m in="0">
        <tpls c="3">
          <tpl fld="0" item="0"/>
          <tpl fld="1" item="232"/>
          <tpl fld="4" item="42"/>
        </tpls>
      </m>
      <n v="1" in="0">
        <tpls c="3">
          <tpl fld="0" item="0"/>
          <tpl fld="1" item="449"/>
          <tpl fld="4" item="43"/>
        </tpls>
      </n>
      <n v="3" in="0">
        <tpls c="3">
          <tpl fld="0" item="0"/>
          <tpl fld="1" item="230"/>
          <tpl fld="4" item="42"/>
        </tpls>
      </n>
      <m in="0">
        <tpls c="3">
          <tpl fld="0" item="0"/>
          <tpl fld="1" item="314"/>
          <tpl fld="4" item="43"/>
        </tpls>
      </m>
      <n v="128" in="0">
        <tpls c="3">
          <tpl fld="0" item="0"/>
          <tpl fld="1" item="179"/>
          <tpl fld="4" item="37"/>
        </tpls>
      </n>
      <n v="36" in="0">
        <tpls c="3">
          <tpl fld="0" item="0"/>
          <tpl fld="1" item="47"/>
          <tpl fld="4" item="39"/>
        </tpls>
      </n>
      <n v="874" in="0">
        <tpls c="3">
          <tpl fld="0" item="0"/>
          <tpl fld="1" item="288"/>
          <tpl fld="4" item="37"/>
        </tpls>
      </n>
      <m in="0">
        <tpls c="3">
          <tpl fld="0" item="0"/>
          <tpl fld="1" item="414"/>
          <tpl fld="4" item="38"/>
        </tpls>
      </m>
      <m in="0">
        <tpls c="3">
          <tpl fld="0" item="0"/>
          <tpl fld="1" item="247"/>
          <tpl fld="4" item="40"/>
        </tpls>
      </m>
      <m in="0">
        <tpls c="3">
          <tpl fld="0" item="0"/>
          <tpl fld="1" item="421"/>
          <tpl fld="4" item="39"/>
        </tpls>
      </m>
      <n v="11" in="0">
        <tpls c="3">
          <tpl fld="0" item="0"/>
          <tpl fld="1" item="226"/>
          <tpl fld="4" item="40"/>
        </tpls>
      </n>
      <m in="0">
        <tpls c="3">
          <tpl fld="0" item="0"/>
          <tpl fld="1" item="405"/>
          <tpl fld="4" item="38"/>
        </tpls>
      </m>
      <m in="0">
        <tpls c="3">
          <tpl fld="0" item="0"/>
          <tpl fld="1" item="389"/>
          <tpl fld="4" item="40"/>
        </tpls>
      </m>
      <m in="0">
        <tpls c="3">
          <tpl fld="0" item="0"/>
          <tpl fld="1" item="192"/>
          <tpl fld="4" item="42"/>
        </tpls>
      </m>
      <m in="0">
        <tpls c="3">
          <tpl fld="0" item="0"/>
          <tpl fld="1" item="293"/>
          <tpl fld="4" item="39"/>
        </tpls>
      </m>
      <m in="0">
        <tpls c="3">
          <tpl fld="0" item="0"/>
          <tpl fld="1" item="304"/>
          <tpl fld="4" item="40"/>
        </tpls>
      </m>
      <m in="0">
        <tpls c="3">
          <tpl fld="0" item="0"/>
          <tpl fld="1" item="245"/>
          <tpl fld="4" item="40"/>
        </tpls>
      </m>
      <m in="0">
        <tpls c="3">
          <tpl fld="0" item="0"/>
          <tpl fld="1" item="410"/>
          <tpl fld="4" item="42"/>
        </tpls>
      </m>
      <n v="29" in="0">
        <tpls c="3">
          <tpl fld="0" item="0"/>
          <tpl fld="1" item="319"/>
          <tpl fld="4" item="40"/>
        </tpls>
      </n>
      <m in="0">
        <tpls c="3">
          <tpl fld="0" item="0"/>
          <tpl fld="1" item="405"/>
          <tpl fld="4" item="3"/>
        </tpls>
      </m>
      <m in="0">
        <tpls c="3">
          <tpl fld="0" item="0"/>
          <tpl fld="1" item="176"/>
          <tpl fld="4" item="3"/>
        </tpls>
      </m>
      <m in="0">
        <tpls c="3">
          <tpl fld="0" item="0"/>
          <tpl fld="1" item="363"/>
          <tpl fld="4" item="3"/>
        </tpls>
      </m>
      <m in="0">
        <tpls c="3">
          <tpl fld="0" item="0"/>
          <tpl fld="1" item="135"/>
          <tpl fld="4" item="3"/>
        </tpls>
      </m>
      <n v="5" in="0">
        <tpls c="3">
          <tpl fld="0" item="0"/>
          <tpl fld="1" item="200"/>
          <tpl fld="4" item="40"/>
        </tpls>
      </n>
      <n v="67" in="0">
        <tpls c="3">
          <tpl fld="0" item="0"/>
          <tpl fld="1" item="101"/>
          <tpl fld="4" item="36"/>
        </tpls>
      </n>
      <m in="0">
        <tpls c="3">
          <tpl fld="0" item="0"/>
          <tpl fld="1" item="158"/>
          <tpl fld="4" item="38"/>
        </tpls>
      </m>
      <n v="324" in="0">
        <tpls c="3">
          <tpl fld="0" item="0"/>
          <tpl fld="1" item="347"/>
          <tpl fld="4" item="37"/>
        </tpls>
      </n>
      <n v="272" in="0">
        <tpls c="3">
          <tpl fld="0" item="0"/>
          <tpl fld="1" item="309"/>
          <tpl fld="4" item="37"/>
        </tpls>
      </n>
      <m in="0">
        <tpls c="3">
          <tpl fld="0" item="0"/>
          <tpl fld="1" item="282"/>
          <tpl fld="4" item="38"/>
        </tpls>
      </m>
      <m in="0">
        <tpls c="3">
          <tpl fld="0" item="0"/>
          <tpl fld="1" item="29"/>
          <tpl fld="4" item="34"/>
        </tpls>
      </m>
      <n v="11" in="0">
        <tpls c="3">
          <tpl fld="0" item="0"/>
          <tpl fld="1" item="429"/>
          <tpl fld="4" item="24"/>
        </tpls>
      </n>
      <m in="0">
        <tpls c="3">
          <tpl fld="0" item="0"/>
          <tpl fld="1" item="386"/>
          <tpl fld="4" item="35"/>
        </tpls>
      </m>
      <m in="0">
        <tpls c="3">
          <tpl fld="0" item="0"/>
          <tpl fld="1" item="448"/>
          <tpl fld="4" item="0"/>
        </tpls>
      </m>
      <m in="0">
        <tpls c="3">
          <tpl fld="0" item="0"/>
          <tpl fld="1" item="72"/>
          <tpl fld="4" item="0"/>
        </tpls>
      </m>
      <m in="0">
        <tpls c="3">
          <tpl fld="0" item="0"/>
          <tpl fld="1" item="59"/>
          <tpl fld="4" item="0"/>
        </tpls>
      </m>
      <m in="0">
        <tpls c="3">
          <tpl fld="0" item="0"/>
          <tpl fld="1" item="214"/>
          <tpl fld="4" item="4"/>
        </tpls>
      </m>
      <m in="0">
        <tpls c="3">
          <tpl fld="0" item="0"/>
          <tpl fld="1" item="176"/>
          <tpl fld="4" item="2"/>
        </tpls>
      </m>
      <n v="142" in="0">
        <tpls c="3">
          <tpl fld="0" item="0"/>
          <tpl fld="1" item="347"/>
          <tpl fld="4" item="36"/>
        </tpls>
      </n>
      <m in="0">
        <tpls c="3">
          <tpl fld="0" item="0"/>
          <tpl fld="1" item="449"/>
          <tpl fld="4" item="36"/>
        </tpls>
      </m>
      <n v="33" in="0">
        <tpls c="3">
          <tpl fld="0" item="0"/>
          <tpl fld="1" item="329"/>
          <tpl fld="4" item="36"/>
        </tpls>
      </n>
      <n v="15" in="0">
        <tpls c="3">
          <tpl fld="0" item="0"/>
          <tpl fld="1" item="184"/>
          <tpl fld="4" item="36"/>
        </tpls>
      </n>
      <m in="0">
        <tpls c="3">
          <tpl fld="0" item="0"/>
          <tpl fld="1" item="61"/>
          <tpl fld="4" item="36"/>
        </tpls>
      </m>
      <m in="0">
        <tpls c="3">
          <tpl fld="0" item="0"/>
          <tpl fld="1" item="382"/>
          <tpl fld="4" item="38"/>
        </tpls>
      </m>
      <m in="0">
        <tpls c="3">
          <tpl fld="0" item="0"/>
          <tpl fld="1" item="297"/>
          <tpl fld="4" item="37"/>
        </tpls>
      </m>
      <m in="0">
        <tpls c="3">
          <tpl fld="0" item="0"/>
          <tpl fld="1" item="317"/>
          <tpl fld="4" item="35"/>
        </tpls>
      </m>
      <m in="0">
        <tpls c="3">
          <tpl fld="0" item="0"/>
          <tpl fld="1" item="162"/>
          <tpl fld="4" item="22"/>
        </tpls>
      </m>
      <m in="0">
        <tpls c="3">
          <tpl fld="0" item="0"/>
          <tpl fld="1" item="361"/>
          <tpl fld="4" item="34"/>
        </tpls>
      </m>
      <m in="0">
        <tpls c="3">
          <tpl fld="0" item="0"/>
          <tpl fld="1" item="45"/>
          <tpl fld="4" item="35"/>
        </tpls>
      </m>
      <m in="0">
        <tpls c="3">
          <tpl fld="0" item="0"/>
          <tpl fld="1" item="213"/>
          <tpl fld="4" item="0"/>
        </tpls>
      </m>
      <m in="0">
        <tpls c="3">
          <tpl fld="0" item="0"/>
          <tpl fld="1" item="250"/>
          <tpl fld="4" item="4"/>
        </tpls>
      </m>
      <m in="0">
        <tpls c="3">
          <tpl fld="0" item="0"/>
          <tpl fld="1" item="332"/>
          <tpl fld="4" item="3"/>
        </tpls>
      </m>
      <m in="0">
        <tpls c="3">
          <tpl fld="0" item="0"/>
          <tpl fld="1" item="60"/>
          <tpl fld="4" item="2"/>
        </tpls>
      </m>
      <m in="0">
        <tpls c="3">
          <tpl fld="0" item="0"/>
          <tpl fld="1" item="369"/>
          <tpl fld="4" item="3"/>
        </tpls>
      </m>
      <m in="0">
        <tpls c="3">
          <tpl fld="0" item="0"/>
          <tpl fld="1" item="299"/>
          <tpl fld="4" item="2"/>
        </tpls>
      </m>
      <m in="0">
        <tpls c="3">
          <tpl fld="0" item="0"/>
          <tpl fld="1" item="367"/>
          <tpl fld="4" item="2"/>
        </tpls>
      </m>
      <m in="0">
        <tpls c="3">
          <tpl fld="0" item="0"/>
          <tpl fld="1" item="294"/>
          <tpl fld="4" item="3"/>
        </tpls>
      </m>
      <m in="0">
        <tpls c="3">
          <tpl fld="0" item="0"/>
          <tpl fld="1" item="444"/>
          <tpl fld="4" item="4"/>
        </tpls>
      </m>
      <m in="0">
        <tpls c="3">
          <tpl fld="0" item="0"/>
          <tpl fld="1" item="453"/>
          <tpl fld="4" item="3"/>
        </tpls>
      </m>
      <m in="0">
        <tpls c="3">
          <tpl fld="0" item="0"/>
          <tpl fld="1" item="345"/>
          <tpl fld="4" item="3"/>
        </tpls>
      </m>
      <m in="0">
        <tpls c="3">
          <tpl fld="0" item="0"/>
          <tpl fld="1" item="271"/>
          <tpl fld="4" item="2"/>
        </tpls>
      </m>
      <m in="0">
        <tpls c="3">
          <tpl fld="0" item="0"/>
          <tpl fld="1" item="137"/>
          <tpl fld="4" item="4"/>
        </tpls>
      </m>
      <m in="0">
        <tpls c="3">
          <tpl fld="0" item="0"/>
          <tpl fld="1" item="380"/>
          <tpl fld="4" item="4"/>
        </tpls>
      </m>
      <n v="15" in="0">
        <tpls c="3">
          <tpl fld="0" item="0"/>
          <tpl fld="1" item="152"/>
          <tpl fld="4" item="36"/>
        </tpls>
      </n>
      <m in="0">
        <tpls c="3">
          <tpl fld="0" item="0"/>
          <tpl fld="1" item="364"/>
          <tpl fld="4" item="2"/>
        </tpls>
      </m>
      <m in="0">
        <tpls c="3">
          <tpl fld="0" item="0"/>
          <tpl fld="1" item="74"/>
          <tpl fld="4" item="2"/>
        </tpls>
      </m>
      <m in="0">
        <tpls c="3">
          <tpl fld="0" item="0"/>
          <tpl fld="1" item="317"/>
          <tpl fld="4" item="2"/>
        </tpls>
      </m>
      <m in="0">
        <tpls c="3">
          <tpl fld="0" item="0"/>
          <tpl fld="1" item="103"/>
          <tpl fld="4" item="2"/>
        </tpls>
      </m>
      <m in="0">
        <tpls c="3">
          <tpl fld="0" item="0"/>
          <tpl fld="1" item="141"/>
          <tpl fld="4" item="2"/>
        </tpls>
      </m>
      <m in="0">
        <tpls c="3">
          <tpl fld="0" item="0"/>
          <tpl fld="1" item="198"/>
          <tpl fld="4" item="37"/>
        </tpls>
      </m>
      <m in="0">
        <tpls c="3">
          <tpl fld="0" item="0"/>
          <tpl fld="1" item="315"/>
          <tpl fld="4" item="36"/>
        </tpls>
      </m>
      <m in="0">
        <tpls c="3">
          <tpl fld="0" item="0"/>
          <tpl fld="1" item="446"/>
          <tpl fld="4" item="37"/>
        </tpls>
      </m>
      <m in="0">
        <tpls c="3">
          <tpl fld="0" item="0"/>
          <tpl fld="1" item="345"/>
          <tpl fld="4" item="36"/>
        </tpls>
      </m>
      <n v="2" in="0">
        <tpls c="3">
          <tpl fld="0" item="0"/>
          <tpl fld="1" item="227"/>
          <tpl fld="4" item="38"/>
        </tpls>
      </n>
      <m in="0">
        <tpls c="3">
          <tpl fld="0" item="0"/>
          <tpl fld="1" item="304"/>
          <tpl fld="4" item="37"/>
        </tpls>
      </m>
      <m in="0">
        <tpls c="3">
          <tpl fld="0" item="0"/>
          <tpl fld="1" item="217"/>
          <tpl fld="4" item="36"/>
        </tpls>
      </m>
      <m in="0">
        <tpls c="3">
          <tpl fld="0" item="0"/>
          <tpl fld="1" item="366"/>
          <tpl fld="4" item="30"/>
        </tpls>
      </m>
      <m in="0">
        <tpls c="3">
          <tpl fld="0" item="0"/>
          <tpl fld="1" item="196"/>
          <tpl fld="4" item="34"/>
        </tpls>
      </m>
      <m in="0">
        <tpls c="3">
          <tpl fld="0" item="0"/>
          <tpl fld="1" item="82"/>
          <tpl fld="4" item="34"/>
        </tpls>
      </m>
      <m in="0">
        <tpls c="3">
          <tpl fld="0" item="0"/>
          <tpl fld="1" item="262"/>
          <tpl fld="4" item="35"/>
        </tpls>
      </m>
      <m in="0">
        <tpls c="3">
          <tpl fld="0" item="0"/>
          <tpl fld="1" item="244"/>
          <tpl fld="4" item="22"/>
        </tpls>
      </m>
      <m in="0">
        <tpls c="3">
          <tpl fld="0" item="0"/>
          <tpl fld="1" item="258"/>
          <tpl fld="4" item="35"/>
        </tpls>
      </m>
      <m in="0">
        <tpls c="3">
          <tpl fld="0" item="0"/>
          <tpl fld="2" item="0"/>
          <tpl fld="4" item="35"/>
        </tpls>
      </m>
      <m in="0">
        <tpls c="3">
          <tpl fld="0" item="0"/>
          <tpl fld="1" item="371"/>
          <tpl fld="4" item="0"/>
        </tpls>
      </m>
      <m in="0">
        <tpls c="3">
          <tpl fld="0" item="0"/>
          <tpl fld="1" item="345"/>
          <tpl fld="4" item="0"/>
        </tpls>
      </m>
      <m in="0">
        <tpls c="3">
          <tpl fld="0" item="0"/>
          <tpl fld="1" item="34"/>
          <tpl fld="4" item="4"/>
        </tpls>
      </m>
      <m in="0">
        <tpls c="3">
          <tpl fld="0" item="0"/>
          <tpl fld="1" item="246"/>
          <tpl fld="4" item="0"/>
        </tpls>
      </m>
      <m in="0">
        <tpls c="3">
          <tpl fld="0" item="0"/>
          <tpl fld="1" item="160"/>
          <tpl fld="4" item="4"/>
        </tpls>
      </m>
      <m in="0">
        <tpls c="3">
          <tpl fld="0" item="0"/>
          <tpl fld="1" item="157"/>
          <tpl fld="4" item="4"/>
        </tpls>
      </m>
      <m in="0">
        <tpls c="3">
          <tpl fld="0" item="0"/>
          <tpl fld="1" item="208"/>
          <tpl fld="4" item="0"/>
        </tpls>
      </m>
      <m in="0">
        <tpls c="3">
          <tpl fld="0" item="0"/>
          <tpl fld="1" item="366"/>
          <tpl fld="4" item="3"/>
        </tpls>
      </m>
      <m in="0">
        <tpls c="3">
          <tpl fld="0" item="0"/>
          <tpl fld="1" item="277"/>
          <tpl fld="4" item="3"/>
        </tpls>
      </m>
      <m in="0">
        <tpls c="3">
          <tpl fld="0" item="0"/>
          <tpl fld="1" item="136"/>
          <tpl fld="4" item="4"/>
        </tpls>
      </m>
      <m in="0">
        <tpls c="3">
          <tpl fld="0" item="0"/>
          <tpl fld="1" item="253"/>
          <tpl fld="4" item="3"/>
        </tpls>
      </m>
      <m in="0">
        <tpls c="3">
          <tpl fld="0" item="0"/>
          <tpl fld="1" item="302"/>
          <tpl fld="4" item="3"/>
        </tpls>
      </m>
      <m in="0">
        <tpls c="3">
          <tpl fld="0" item="0"/>
          <tpl fld="1" item="153"/>
          <tpl fld="4" item="2"/>
        </tpls>
      </m>
      <m in="0">
        <tpls c="3">
          <tpl fld="0" item="0"/>
          <tpl fld="1" item="138"/>
          <tpl fld="4" item="4"/>
        </tpls>
      </m>
      <m in="0">
        <tpls c="3">
          <tpl fld="0" item="0"/>
          <tpl fld="1" item="142"/>
          <tpl fld="4" item="2"/>
        </tpls>
      </m>
      <m in="0">
        <tpls c="3">
          <tpl fld="0" item="0"/>
          <tpl fld="1" item="173"/>
          <tpl fld="4" item="4"/>
        </tpls>
      </m>
      <m in="0">
        <tpls c="3">
          <tpl fld="0" item="0"/>
          <tpl fld="1" item="169"/>
          <tpl fld="4" item="2"/>
        </tpls>
      </m>
      <m in="0">
        <tpls c="3">
          <tpl fld="0" item="0"/>
          <tpl fld="1" item="345"/>
          <tpl fld="4" item="2"/>
        </tpls>
      </m>
      <m in="0">
        <tpls c="3">
          <tpl fld="0" item="0"/>
          <tpl fld="1" item="190"/>
          <tpl fld="4" item="2"/>
        </tpls>
      </m>
      <n v="9" in="0">
        <tpls c="3">
          <tpl fld="0" item="0"/>
          <tpl fld="1" item="314"/>
          <tpl fld="4" item="37"/>
        </tpls>
      </n>
      <m in="0">
        <tpls c="3">
          <tpl fld="0" item="0"/>
          <tpl fld="1" item="441"/>
          <tpl fld="4" item="2"/>
        </tpls>
      </m>
      <m in="0">
        <tpls c="3">
          <tpl fld="0" item="0"/>
          <tpl fld="1" item="222"/>
          <tpl fld="4" item="2"/>
        </tpls>
      </m>
      <n v="106" in="0">
        <tpls c="3">
          <tpl fld="0" item="0"/>
          <tpl fld="1" item="339"/>
          <tpl fld="4" item="37"/>
        </tpls>
      </n>
      <n v="16" in="0">
        <tpls c="3">
          <tpl fld="0" item="0"/>
          <tpl fld="1" item="236"/>
          <tpl fld="4" item="40"/>
        </tpls>
      </n>
      <n v="71" in="0">
        <tpls c="3">
          <tpl fld="0" item="0"/>
          <tpl fld="1" item="420"/>
          <tpl fld="4" item="36"/>
        </tpls>
      </n>
      <m in="0">
        <tpls c="3">
          <tpl fld="0" item="0"/>
          <tpl fld="1" item="398"/>
          <tpl fld="4" item="37"/>
        </tpls>
      </m>
      <n v="1" in="0">
        <tpls c="3">
          <tpl fld="0" item="0"/>
          <tpl fld="1" item="115"/>
          <tpl fld="4" item="36"/>
        </tpls>
      </n>
      <n v="54" in="0">
        <tpls c="3">
          <tpl fld="0" item="0"/>
          <tpl fld="1" item="121"/>
          <tpl fld="4" item="37"/>
        </tpls>
      </n>
      <m in="0">
        <tpls c="3">
          <tpl fld="0" item="0"/>
          <tpl fld="1" item="153"/>
          <tpl fld="4" item="36"/>
        </tpls>
      </m>
      <m in="0">
        <tpls c="3">
          <tpl fld="0" item="0"/>
          <tpl fld="1" item="379"/>
          <tpl fld="4" item="37"/>
        </tpls>
      </m>
      <m in="0">
        <tpls c="3">
          <tpl fld="0" item="0"/>
          <tpl fld="1" item="154"/>
          <tpl fld="4" item="36"/>
        </tpls>
      </m>
      <m in="0">
        <tpls c="3">
          <tpl fld="0" item="0"/>
          <tpl fld="1" item="388"/>
          <tpl fld="4" item="37"/>
        </tpls>
      </m>
      <m in="0">
        <tpls c="3">
          <tpl fld="0" item="0"/>
          <tpl fld="1" item="197"/>
          <tpl fld="4" item="36"/>
        </tpls>
      </m>
      <m in="0">
        <tpls c="3">
          <tpl fld="0" item="0"/>
          <tpl fld="1" item="185"/>
          <tpl fld="4" item="37"/>
        </tpls>
      </m>
      <n v="5" in="0">
        <tpls c="3">
          <tpl fld="0" item="0"/>
          <tpl fld="1" item="271"/>
          <tpl fld="4" item="37"/>
        </tpls>
      </n>
      <m in="0">
        <tpls c="3">
          <tpl fld="0" item="0"/>
          <tpl fld="1" item="70"/>
          <tpl fld="4" item="38"/>
        </tpls>
      </m>
      <m in="0">
        <tpls c="3">
          <tpl fld="0" item="0"/>
          <tpl fld="1" item="66"/>
          <tpl fld="4" item="37"/>
        </tpls>
      </m>
      <m in="0">
        <tpls c="3">
          <tpl fld="0" item="0"/>
          <tpl fld="1" item="128"/>
          <tpl fld="4" item="39"/>
        </tpls>
      </m>
      <m in="0">
        <tpls c="3">
          <tpl fld="0" item="0"/>
          <tpl fld="1" item="328"/>
          <tpl fld="4" item="37"/>
        </tpls>
      </m>
      <m in="0">
        <tpls c="3">
          <tpl fld="0" item="0"/>
          <tpl fld="1" item="198"/>
          <tpl fld="4" item="39"/>
        </tpls>
      </m>
      <n v="573" in="0">
        <tpls c="3">
          <tpl fld="0" item="0"/>
          <tpl fld="1" item="111"/>
          <tpl fld="4" item="37"/>
        </tpls>
      </n>
      <m in="0">
        <tpls c="3">
          <tpl fld="0" item="0"/>
          <tpl fld="1" item="122"/>
          <tpl fld="4" item="38"/>
        </tpls>
      </m>
      <m in="0">
        <tpls c="3">
          <tpl fld="0" item="0"/>
          <tpl fld="1" item="207"/>
          <tpl fld="4" item="42"/>
        </tpls>
      </m>
      <m in="0">
        <tpls c="3">
          <tpl fld="0" item="0"/>
          <tpl fld="1" item="169"/>
          <tpl fld="4" item="39"/>
        </tpls>
      </m>
      <m in="0">
        <tpls c="3">
          <tpl fld="0" item="0"/>
          <tpl fld="1" item="170"/>
          <tpl fld="4" item="38"/>
        </tpls>
      </m>
      <n v="53" in="0">
        <tpls c="3">
          <tpl fld="0" item="0"/>
          <tpl fld="1" item="103"/>
          <tpl fld="4" item="40"/>
        </tpls>
      </n>
      <n v="23" in="0">
        <tpls c="3">
          <tpl fld="0" item="0"/>
          <tpl fld="1" item="38"/>
          <tpl fld="4" item="40"/>
        </tpls>
      </n>
      <m in="0">
        <tpls c="3">
          <tpl fld="0" item="0"/>
          <tpl fld="1" item="396"/>
          <tpl fld="4" item="37"/>
        </tpls>
      </m>
      <m in="0">
        <tpls c="3">
          <tpl fld="0" item="0"/>
          <tpl fld="1" item="123"/>
          <tpl fld="4" item="39"/>
        </tpls>
      </m>
      <n v="46" in="0">
        <tpls c="3">
          <tpl fld="0" item="0"/>
          <tpl fld="1" item="172"/>
          <tpl fld="4" item="37"/>
        </tpls>
      </n>
      <m in="0">
        <tpls c="3">
          <tpl fld="0" item="0"/>
          <tpl fld="1" item="43"/>
          <tpl fld="4" item="38"/>
        </tpls>
      </m>
      <n v="49" in="0">
        <tpls c="3">
          <tpl fld="0" item="0"/>
          <tpl fld="1" item="277"/>
          <tpl fld="4" item="41"/>
        </tpls>
      </n>
      <m in="0">
        <tpls c="3">
          <tpl fld="0" item="0"/>
          <tpl fld="1" item="22"/>
          <tpl fld="4" item="39"/>
        </tpls>
      </m>
      <m in="0">
        <tpls c="3">
          <tpl fld="0" item="0"/>
          <tpl fld="1" item="260"/>
          <tpl fld="4" item="41"/>
        </tpls>
      </m>
      <m in="0">
        <tpls c="3">
          <tpl fld="0" item="0"/>
          <tpl fld="1" item="428"/>
          <tpl fld="4" item="39"/>
        </tpls>
      </m>
      <m in="0">
        <tpls c="3">
          <tpl fld="0" item="0"/>
          <tpl fld="1" item="363"/>
          <tpl fld="4" item="40"/>
        </tpls>
      </m>
      <m in="0">
        <tpls c="3">
          <tpl fld="0" item="0"/>
          <tpl fld="1" item="212"/>
          <tpl fld="4" item="42"/>
        </tpls>
      </m>
      <m in="0">
        <tpls c="3">
          <tpl fld="0" item="0"/>
          <tpl fld="1" item="305"/>
          <tpl fld="4" item="39"/>
        </tpls>
      </m>
      <m in="0">
        <tpls c="3">
          <tpl fld="0" item="0"/>
          <tpl fld="1" item="76"/>
          <tpl fld="4" item="40"/>
        </tpls>
      </m>
      <n v="9" in="0">
        <tpls c="3">
          <tpl fld="0" item="0"/>
          <tpl fld="1" item="52"/>
          <tpl fld="4" item="40"/>
        </tpls>
      </n>
      <m in="0">
        <tpls c="3">
          <tpl fld="0" item="0"/>
          <tpl fld="1" item="229"/>
          <tpl fld="4" item="42"/>
        </tpls>
      </m>
      <n v="8" in="0">
        <tpls c="3">
          <tpl fld="0" item="0"/>
          <tpl fld="1" item="291"/>
          <tpl fld="4" item="40"/>
        </tpls>
      </n>
      <n v="5" in="0">
        <tpls c="3">
          <tpl fld="0" item="0"/>
          <tpl fld="1" item="199"/>
          <tpl fld="4" item="42"/>
        </tpls>
      </n>
      <n v="68" in="0">
        <tpls c="3">
          <tpl fld="0" item="0"/>
          <tpl fld="1" item="47"/>
          <tpl fld="4" item="40"/>
        </tpls>
      </n>
      <n v="4" in="0">
        <tpls c="3">
          <tpl fld="0" item="0"/>
          <tpl fld="1" item="420"/>
          <tpl fld="4" item="43"/>
        </tpls>
      </n>
      <n v="64" in="0">
        <tpls c="3">
          <tpl fld="0" item="0"/>
          <tpl fld="1" item="381"/>
          <tpl fld="4" item="41"/>
        </tpls>
      </n>
      <n v="8" in="0">
        <tpls c="3">
          <tpl fld="0" item="0"/>
          <tpl fld="1" item="339"/>
          <tpl fld="4" item="43"/>
        </tpls>
      </n>
      <n v="18" in="0">
        <tpls c="3">
          <tpl fld="0" item="0"/>
          <tpl fld="1" item="417"/>
          <tpl fld="4" item="41"/>
        </tpls>
      </n>
      <m in="0">
        <tpls c="3">
          <tpl fld="0" item="0"/>
          <tpl fld="1" item="238"/>
          <tpl fld="4" item="40"/>
        </tpls>
      </m>
      <n v="8" in="0">
        <tpls c="3">
          <tpl fld="0" item="0"/>
          <tpl fld="1" item="354"/>
          <tpl fld="4" item="41"/>
        </tpls>
      </n>
      <m in="0">
        <tpls c="3">
          <tpl fld="0" item="0"/>
          <tpl fld="1" item="76"/>
          <tpl fld="4" item="41"/>
        </tpls>
      </m>
      <m in="0">
        <tpls c="3">
          <tpl fld="0" item="0"/>
          <tpl fld="1" item="195"/>
          <tpl fld="4" item="40"/>
        </tpls>
      </m>
      <n v="3" in="0">
        <tpls c="3">
          <tpl fld="0" item="0"/>
          <tpl fld="1" item="274"/>
          <tpl fld="4" item="42"/>
        </tpls>
      </n>
      <n v="3" in="0">
        <tpls c="3">
          <tpl fld="0" item="0"/>
          <tpl fld="1" item="367"/>
          <tpl fld="4" item="43"/>
        </tpls>
      </n>
      <n v="410" in="0">
        <tpls c="3">
          <tpl fld="0" item="0"/>
          <tpl fld="1" item="452"/>
          <tpl fld="4" item="41"/>
        </tpls>
      </n>
      <n v="1" in="0">
        <tpls c="3">
          <tpl fld="0" item="0"/>
          <tpl fld="1" item="236"/>
          <tpl fld="4" item="43"/>
        </tpls>
      </n>
      <n v="2" in="0">
        <tpls c="3">
          <tpl fld="0" item="0"/>
          <tpl fld="1" item="280"/>
          <tpl fld="4" item="42"/>
        </tpls>
      </n>
      <m in="0">
        <tpls c="3">
          <tpl fld="0" item="0"/>
          <tpl fld="1" item="432"/>
          <tpl fld="4" item="43"/>
        </tpls>
      </m>
      <m in="0">
        <tpls c="3">
          <tpl fld="0" item="0"/>
          <tpl fld="1" item="436"/>
          <tpl fld="4" item="42"/>
        </tpls>
      </m>
      <n v="1" in="0">
        <tpls c="3">
          <tpl fld="0" item="0"/>
          <tpl fld="1" item="173"/>
          <tpl fld="4" item="42"/>
        </tpls>
      </n>
      <m in="0">
        <tpls c="3">
          <tpl fld="0" item="0"/>
          <tpl fld="1" item="211"/>
          <tpl fld="4" item="43"/>
        </tpls>
      </m>
      <m in="0">
        <tpls c="3">
          <tpl fld="0" item="0"/>
          <tpl fld="1" item="154"/>
          <tpl fld="4" item="2"/>
        </tpls>
      </m>
      <n v="2" in="0">
        <tpls c="3">
          <tpl fld="0" item="0"/>
          <tpl fld="1" item="101"/>
          <tpl fld="4" item="39"/>
        </tpls>
      </n>
      <n v="1" in="0">
        <tpls c="3">
          <tpl fld="0" item="0"/>
          <tpl fld="1" item="386"/>
          <tpl fld="4" item="38"/>
        </tpls>
      </n>
      <m in="0">
        <tpls c="3">
          <tpl fld="0" item="0"/>
          <tpl fld="1" item="423"/>
          <tpl fld="4" item="39"/>
        </tpls>
      </m>
      <n v="6" in="0">
        <tpls c="3">
          <tpl fld="0" item="0"/>
          <tpl fld="1" item="32"/>
          <tpl fld="4" item="39"/>
        </tpls>
      </n>
      <m in="0">
        <tpls c="3">
          <tpl fld="0" item="0"/>
          <tpl fld="1" item="84"/>
          <tpl fld="4" item="38"/>
        </tpls>
      </m>
      <m in="0">
        <tpls c="3">
          <tpl fld="0" item="0"/>
          <tpl fld="1" item="449"/>
          <tpl fld="4" item="39"/>
        </tpls>
      </m>
      <m in="0">
        <tpls c="3">
          <tpl fld="0" item="0"/>
          <tpl fld="1" item="176"/>
          <tpl fld="4" item="41"/>
        </tpls>
      </m>
      <m in="0">
        <tpls c="3">
          <tpl fld="0" item="0"/>
          <tpl fld="1" item="316"/>
          <tpl fld="4" item="39"/>
        </tpls>
      </m>
      <m in="0">
        <tpls c="3">
          <tpl fld="0" item="0"/>
          <tpl fld="1" item="143"/>
          <tpl fld="4" item="40"/>
        </tpls>
      </m>
      <m in="0">
        <tpls c="3">
          <tpl fld="0" item="0"/>
          <tpl fld="1" item="192"/>
          <tpl fld="4" item="39"/>
        </tpls>
      </m>
      <n v="16" in="0">
        <tpls c="3">
          <tpl fld="0" item="0"/>
          <tpl fld="1" item="370"/>
          <tpl fld="4" item="40"/>
        </tpls>
      </n>
      <n v="10" in="0">
        <tpls c="3">
          <tpl fld="0" item="0"/>
          <tpl fld="1" item="42"/>
          <tpl fld="4" item="42"/>
        </tpls>
      </n>
      <m in="0">
        <tpls c="3">
          <tpl fld="0" item="0"/>
          <tpl fld="1" item="102"/>
          <tpl fld="4" item="40"/>
        </tpls>
      </m>
      <m in="0">
        <tpls c="3">
          <tpl fld="0" item="0"/>
          <tpl fld="1" item="448"/>
          <tpl fld="4" item="39"/>
        </tpls>
      </m>
      <m in="0">
        <tpls c="3">
          <tpl fld="0" item="0"/>
          <tpl fld="1" item="60"/>
          <tpl fld="4" item="41"/>
        </tpls>
      </m>
      <n v="1" in="0">
        <tpls c="3">
          <tpl fld="0" item="0"/>
          <tpl fld="1" item="249"/>
          <tpl fld="4" item="39"/>
        </tpls>
      </n>
      <n v="75" in="0">
        <tpls c="3">
          <tpl fld="0" item="0"/>
          <tpl fld="1" item="415"/>
          <tpl fld="4" item="41"/>
        </tpls>
      </n>
      <n v="34" in="0">
        <tpls c="3">
          <tpl fld="0" item="0"/>
          <tpl fld="1" item="302"/>
          <tpl fld="4" item="40"/>
        </tpls>
      </n>
      <m in="0">
        <tpls c="3">
          <tpl fld="0" item="0"/>
          <tpl fld="1" item="414"/>
          <tpl fld="4" item="42"/>
        </tpls>
      </m>
      <m in="0">
        <tpls c="3">
          <tpl fld="0" item="0"/>
          <tpl fld="1" item="450"/>
          <tpl fld="4" item="41"/>
        </tpls>
      </m>
      <n v="3" in="0">
        <tpls c="3">
          <tpl fld="0" item="0"/>
          <tpl fld="1" item="415"/>
          <tpl fld="4" item="43"/>
        </tpls>
      </n>
      <n v="43" in="0">
        <tpls c="3">
          <tpl fld="0" item="0"/>
          <tpl fld="1" item="258"/>
          <tpl fld="4" item="41"/>
        </tpls>
      </n>
      <n v="3" in="0">
        <tpls c="3">
          <tpl fld="0" item="0"/>
          <tpl fld="1" item="206"/>
          <tpl fld="4" item="43"/>
        </tpls>
      </n>
      <n v="1" in="0">
        <tpls c="3">
          <tpl fld="0" item="0"/>
          <tpl fld="1" item="305"/>
          <tpl fld="4" item="42"/>
        </tpls>
      </n>
      <m in="0">
        <tpls c="3">
          <tpl fld="0" item="0"/>
          <tpl fld="1" item="345"/>
          <tpl fld="4" item="41"/>
        </tpls>
      </m>
      <n v="4" in="0">
        <tpls c="3">
          <tpl fld="0" item="0"/>
          <tpl fld="1" item="280"/>
          <tpl fld="4" item="43"/>
        </tpls>
      </n>
      <n v="4" in="0">
        <tpls c="3">
          <tpl fld="0" item="0"/>
          <tpl fld="1" item="105"/>
          <tpl fld="4" item="43"/>
        </tpls>
      </n>
      <m in="0">
        <tpls c="3">
          <tpl fld="0" item="0"/>
          <tpl fld="1" item="455"/>
          <tpl fld="4" item="42"/>
        </tpls>
      </m>
      <n v="3" in="0">
        <tpls c="3">
          <tpl fld="0" item="0"/>
          <tpl fld="1" item="139"/>
          <tpl fld="4" item="43"/>
        </tpls>
      </n>
      <m in="0">
        <tpls c="3">
          <tpl fld="0" item="0"/>
          <tpl fld="1" item="250"/>
          <tpl fld="4" item="42"/>
        </tpls>
      </m>
      <n v="1" in="0">
        <tpls c="3">
          <tpl fld="0" item="0"/>
          <tpl fld="1" item="9"/>
          <tpl fld="4" item="43"/>
        </tpls>
      </n>
      <n v="5" in="0">
        <tpls c="3">
          <tpl fld="0" item="0"/>
          <tpl fld="1" item="246"/>
          <tpl fld="4" item="43"/>
        </tpls>
      </n>
      <m in="0">
        <tpls c="3">
          <tpl fld="0" item="0"/>
          <tpl fld="1" item="425"/>
          <tpl fld="4" item="43"/>
        </tpls>
      </m>
      <n v="36" in="0">
        <tpls c="3">
          <tpl fld="0" item="0"/>
          <tpl fld="1" item="254"/>
          <tpl fld="4" item="41"/>
        </tpls>
      </n>
      <m in="0">
        <tpls c="3">
          <tpl fld="0" item="0"/>
          <tpl fld="1" item="92"/>
          <tpl fld="4" item="43"/>
        </tpls>
      </m>
      <n v="6" in="0">
        <tpls c="3">
          <tpl fld="0" item="0"/>
          <tpl fld="1" item="225"/>
          <tpl fld="4" item="43"/>
        </tpls>
      </n>
      <m in="0">
        <tpls c="3">
          <tpl fld="0" item="0"/>
          <tpl fld="1" item="407"/>
          <tpl fld="4" item="37"/>
        </tpls>
      </m>
      <n v="16" in="0">
        <tpls c="3">
          <tpl fld="0" item="0"/>
          <tpl fld="1" item="424"/>
          <tpl fld="4" item="40"/>
        </tpls>
      </n>
      <m in="0">
        <tpls c="3">
          <tpl fld="0" item="0"/>
          <tpl fld="1" item="223"/>
          <tpl fld="4" item="38"/>
        </tpls>
      </m>
      <n v="2" in="0">
        <tpls c="3">
          <tpl fld="0" item="0"/>
          <tpl fld="1" item="291"/>
          <tpl fld="4" item="38"/>
        </tpls>
      </n>
      <n v="6" in="0">
        <tpls c="3">
          <tpl fld="0" item="0"/>
          <tpl fld="1" item="354"/>
          <tpl fld="4" item="38"/>
        </tpls>
      </n>
      <n v="65" in="0">
        <tpls c="3">
          <tpl fld="0" item="0"/>
          <tpl fld="1" item="233"/>
          <tpl fld="4" item="40"/>
        </tpls>
      </n>
      <n v="9" in="0">
        <tpls c="3">
          <tpl fld="0" item="0"/>
          <tpl fld="1" item="205"/>
          <tpl fld="4" item="40"/>
        </tpls>
      </n>
      <m in="0">
        <tpls c="3">
          <tpl fld="0" item="0"/>
          <tpl fld="1" item="272"/>
          <tpl fld="4" item="39"/>
        </tpls>
      </m>
      <m in="0">
        <tpls c="3">
          <tpl fld="0" item="0"/>
          <tpl fld="1" item="71"/>
          <tpl fld="4" item="40"/>
        </tpls>
      </m>
      <m in="0">
        <tpls c="3">
          <tpl fld="0" item="0"/>
          <tpl fld="1" item="178"/>
          <tpl fld="4" item="43"/>
        </tpls>
      </m>
      <n v="20" in="0">
        <tpls c="3">
          <tpl fld="0" item="0"/>
          <tpl fld="1" item="347"/>
          <tpl fld="4" item="39"/>
        </tpls>
      </n>
      <n v="27" in="0">
        <tpls c="3">
          <tpl fld="0" item="0"/>
          <tpl fld="1" item="274"/>
          <tpl fld="4" item="41"/>
        </tpls>
      </n>
      <m in="0">
        <tpls c="3">
          <tpl fld="0" item="0"/>
          <tpl fld="1" item="371"/>
          <tpl fld="4" item="40"/>
        </tpls>
      </m>
      <m in="0">
        <tpls c="3">
          <tpl fld="0" item="0"/>
          <tpl fld="1" item="441"/>
          <tpl fld="4" item="43"/>
        </tpls>
      </m>
      <n v="2" in="0">
        <tpls c="3">
          <tpl fld="0" item="0"/>
          <tpl fld="1" item="401"/>
          <tpl fld="4" item="40"/>
        </tpls>
      </n>
      <n v="36" in="0">
        <tpls c="3">
          <tpl fld="0" item="0"/>
          <tpl fld="1" item="390"/>
          <tpl fld="4" item="39"/>
        </tpls>
      </n>
      <n v="5" in="0">
        <tpls c="3">
          <tpl fld="0" item="0"/>
          <tpl fld="1" item="173"/>
          <tpl fld="4" item="40"/>
        </tpls>
      </n>
      <m in="0">
        <tpls c="3">
          <tpl fld="0" item="0"/>
          <tpl fld="1" item="190"/>
          <tpl fld="4" item="40"/>
        </tpls>
      </m>
      <n v="40" in="0">
        <tpls c="3">
          <tpl fld="0" item="0"/>
          <tpl fld="1" item="139"/>
          <tpl fld="4" item="41"/>
        </tpls>
      </n>
      <n v="9" in="0">
        <tpls c="3">
          <tpl fld="0" item="0"/>
          <tpl fld="1" item="360"/>
          <tpl fld="4" item="40"/>
        </tpls>
      </n>
      <n v="5" in="0">
        <tpls c="3">
          <tpl fld="0" item="0"/>
          <tpl fld="1" item="41"/>
          <tpl fld="4" item="42"/>
        </tpls>
      </n>
      <m in="0">
        <tpls c="3">
          <tpl fld="0" item="0"/>
          <tpl fld="1" item="51"/>
          <tpl fld="4" item="40"/>
        </tpls>
      </m>
      <m in="0">
        <tpls c="3">
          <tpl fld="0" item="0"/>
          <tpl fld="1" item="294"/>
          <tpl fld="4" item="42"/>
        </tpls>
      </m>
      <n v="110" in="0">
        <tpls c="3">
          <tpl fld="0" item="0"/>
          <tpl fld="1" item="82"/>
          <tpl fld="4" item="41"/>
        </tpls>
      </n>
      <n v="29" in="0">
        <tpls c="3">
          <tpl fld="0" item="0"/>
          <tpl fld="1" item="52"/>
          <tpl fld="4" item="41"/>
        </tpls>
      </n>
      <m in="0">
        <tpls c="3">
          <tpl fld="0" item="0"/>
          <tpl fld="1" item="109"/>
          <tpl fld="4" item="42"/>
        </tpls>
      </m>
      <m in="0">
        <tpls c="3">
          <tpl fld="0" item="0"/>
          <tpl fld="1" item="191"/>
          <tpl fld="4" item="43"/>
        </tpls>
      </m>
      <m in="0">
        <tpls c="3">
          <tpl fld="0" item="0"/>
          <tpl fld="1" item="334"/>
          <tpl fld="4" item="42"/>
        </tpls>
      </m>
      <n v="1" in="0">
        <tpls c="3">
          <tpl fld="0" item="0"/>
          <tpl fld="1" item="410"/>
          <tpl fld="4" item="43"/>
        </tpls>
      </n>
      <n v="3" in="0">
        <tpls c="3">
          <tpl fld="0" item="0"/>
          <tpl fld="1" item="370"/>
          <tpl fld="4" item="42"/>
        </tpls>
      </n>
      <n v="15" in="0">
        <tpls c="3">
          <tpl fld="0" item="0"/>
          <tpl fld="1" item="47"/>
          <tpl fld="4" item="43"/>
        </tpls>
      </n>
      <n v="14" in="0">
        <tpls c="3">
          <tpl fld="0" item="0"/>
          <tpl fld="1" item="380"/>
          <tpl fld="4" item="43"/>
        </tpls>
      </n>
      <m in="0">
        <tpls c="3">
          <tpl fld="0" item="0"/>
          <tpl fld="1" item="222"/>
          <tpl fld="4" item="42"/>
        </tpls>
      </m>
      <m in="0">
        <tpls c="3">
          <tpl fld="0" item="0"/>
          <tpl fld="1" item="265"/>
          <tpl fld="4" item="43"/>
        </tpls>
      </m>
      <m in="0">
        <tpls c="3">
          <tpl fld="0" item="0"/>
          <tpl fld="1" item="316"/>
          <tpl fld="4" item="42"/>
        </tpls>
      </m>
      <n v="4" in="0">
        <tpls c="3">
          <tpl fld="0" item="0"/>
          <tpl fld="1" item="262"/>
          <tpl fld="4" item="43"/>
        </tpls>
      </n>
      <n v="4" in="0">
        <tpls c="3">
          <tpl fld="0" item="0"/>
          <tpl fld="1" item="201"/>
          <tpl fld="4" item="42"/>
        </tpls>
      </n>
      <m in="0">
        <tpls c="3">
          <tpl fld="0" item="0"/>
          <tpl fld="1" item="1"/>
          <tpl fld="4" item="43"/>
        </tpls>
      </m>
      <m in="0">
        <tpls c="3">
          <tpl fld="0" item="0"/>
          <tpl fld="1" item="413"/>
          <tpl fld="4" item="43"/>
        </tpls>
      </m>
      <m in="0">
        <tpls c="3">
          <tpl fld="0" item="0"/>
          <tpl fld="1" item="60"/>
          <tpl fld="4" item="43"/>
        </tpls>
      </m>
      <n v="1" in="0">
        <tpls c="3">
          <tpl fld="0" item="0"/>
          <tpl fld="1" item="402"/>
          <tpl fld="4" item="43"/>
        </tpls>
      </n>
      <m in="0">
        <tpls c="3">
          <tpl fld="0" item="0"/>
          <tpl fld="1" item="413"/>
          <tpl fld="4" item="38"/>
        </tpls>
      </m>
      <m in="0">
        <tpls c="3">
          <tpl fld="0" item="0"/>
          <tpl fld="1" item="235"/>
          <tpl fld="4" item="37"/>
        </tpls>
      </m>
      <n v="4" in="0">
        <tpls c="3">
          <tpl fld="0" item="0"/>
          <tpl fld="1" item="333"/>
          <tpl fld="4" item="38"/>
        </tpls>
      </n>
      <m in="0">
        <tpls c="3">
          <tpl fld="0" item="0"/>
          <tpl fld="1" item="378"/>
          <tpl fld="4" item="38"/>
        </tpls>
      </m>
      <m in="0">
        <tpls c="3">
          <tpl fld="0" item="0"/>
          <tpl fld="1" item="344"/>
          <tpl fld="4" item="38"/>
        </tpls>
      </m>
      <n v="179" in="0">
        <tpls c="3">
          <tpl fld="0" item="0"/>
          <tpl fld="1" item="68"/>
          <tpl fld="4" item="41"/>
        </tpls>
      </n>
      <n v="151" in="0">
        <tpls c="3">
          <tpl fld="0" item="0"/>
          <tpl fld="1" item="202"/>
          <tpl fld="4" item="41"/>
        </tpls>
      </n>
      <n v="4" in="0">
        <tpls c="3">
          <tpl fld="0" item="0"/>
          <tpl fld="1" item="117"/>
          <tpl fld="4" item="39"/>
        </tpls>
      </n>
      <n v="22" in="0">
        <tpls c="3">
          <tpl fld="0" item="0"/>
          <tpl fld="1" item="10"/>
          <tpl fld="4" item="40"/>
        </tpls>
      </n>
      <m in="0">
        <tpls c="3">
          <tpl fld="0" item="0"/>
          <tpl fld="1" item="135"/>
          <tpl fld="4" item="38"/>
        </tpls>
      </m>
      <n v="5" in="0">
        <tpls c="3">
          <tpl fld="0" item="0"/>
          <tpl fld="1" item="354"/>
          <tpl fld="4" item="39"/>
        </tpls>
      </n>
      <n v="34" in="0">
        <tpls c="3">
          <tpl fld="0" item="0"/>
          <tpl fld="1" item="94"/>
          <tpl fld="4" item="41"/>
        </tpls>
      </n>
      <m in="0">
        <tpls c="3">
          <tpl fld="0" item="0"/>
          <tpl fld="1" item="100"/>
          <tpl fld="4" item="40"/>
        </tpls>
      </m>
      <m in="0">
        <tpls c="3">
          <tpl fld="0" item="0"/>
          <tpl fld="1" item="418"/>
          <tpl fld="4" item="39"/>
        </tpls>
      </m>
      <m in="0">
        <tpls c="3">
          <tpl fld="0" item="0"/>
          <tpl fld="1" item="222"/>
          <tpl fld="4" item="40"/>
        </tpls>
      </m>
      <n v="2" in="0">
        <tpls c="3">
          <tpl fld="0" item="0"/>
          <tpl fld="1" item="330"/>
          <tpl fld="4" item="39"/>
        </tpls>
      </n>
      <m in="0">
        <tpls c="3">
          <tpl fld="0" item="0"/>
          <tpl fld="1" item="112"/>
          <tpl fld="4" item="40"/>
        </tpls>
      </m>
      <m in="0">
        <tpls c="3">
          <tpl fld="0" item="0"/>
          <tpl fld="1" item="168"/>
          <tpl fld="4" item="40"/>
        </tpls>
      </m>
      <n v="10" in="0">
        <tpls c="3">
          <tpl fld="0" item="0"/>
          <tpl fld="1" item="136"/>
          <tpl fld="4" item="41"/>
        </tpls>
      </n>
      <n v="24" in="0">
        <tpls c="3">
          <tpl fld="0" item="0"/>
          <tpl fld="1" item="163"/>
          <tpl fld="4" item="41"/>
        </tpls>
      </n>
      <m in="0">
        <tpls c="3">
          <tpl fld="0" item="0"/>
          <tpl fld="1" item="154"/>
          <tpl fld="4" item="42"/>
        </tpls>
      </m>
      <n v="23" in="0">
        <tpls c="3">
          <tpl fld="0" item="0"/>
          <tpl fld="1" item="116"/>
          <tpl fld="4" item="41"/>
        </tpls>
      </n>
      <n v="16" in="0">
        <tpls c="3">
          <tpl fld="0" item="0"/>
          <tpl fld="1" item="141"/>
          <tpl fld="4" item="42"/>
        </tpls>
      </n>
      <n v="1" in="0">
        <tpls c="3">
          <tpl fld="0" item="0"/>
          <tpl fld="1" item="3"/>
          <tpl fld="4" item="42"/>
        </tpls>
      </n>
      <n v="25" in="0">
        <tpls c="3">
          <tpl fld="0" item="0"/>
          <tpl fld="1" item="427"/>
          <tpl fld="4" item="41"/>
        </tpls>
      </n>
      <n v="13" in="0">
        <tpls c="3">
          <tpl fld="0" item="0"/>
          <tpl fld="1" item="447"/>
          <tpl fld="4" item="42"/>
        </tpls>
      </n>
      <m in="0">
        <tpls c="3">
          <tpl fld="0" item="0"/>
          <tpl fld="1" item="353"/>
          <tpl fld="4" item="43"/>
        </tpls>
      </m>
      <m in="0">
        <tpls c="3">
          <tpl fld="0" item="0"/>
          <tpl fld="1" item="435"/>
          <tpl fld="4" item="42"/>
        </tpls>
      </m>
      <m in="0">
        <tpls c="3">
          <tpl fld="0" item="0"/>
          <tpl fld="1" item="147"/>
          <tpl fld="4" item="43"/>
        </tpls>
      </m>
      <m in="0">
        <tpls c="3">
          <tpl fld="0" item="0"/>
          <tpl fld="1" item="376"/>
          <tpl fld="4" item="42"/>
        </tpls>
      </m>
      <m in="0">
        <tpls c="3">
          <tpl fld="0" item="0"/>
          <tpl fld="1" item="301"/>
          <tpl fld="4" item="42"/>
        </tpls>
      </m>
      <m in="0">
        <tpls c="3">
          <tpl fld="0" item="0"/>
          <tpl fld="1" item="228"/>
          <tpl fld="4" item="42"/>
        </tpls>
      </m>
      <n v="1" in="0">
        <tpls c="3">
          <tpl fld="0" item="0"/>
          <tpl fld="1" item="151"/>
          <tpl fld="4" item="43"/>
        </tpls>
      </n>
      <m in="0">
        <tpls c="3">
          <tpl fld="0" item="0"/>
          <tpl fld="1" item="451"/>
          <tpl fld="4" item="42"/>
        </tpls>
      </m>
      <m in="0">
        <tpls c="3">
          <tpl fld="0" item="0"/>
          <tpl fld="1" item="210"/>
          <tpl fld="4" item="38"/>
        </tpls>
      </m>
      <m in="0">
        <tpls c="3">
          <tpl fld="0" item="0"/>
          <tpl fld="1" item="352"/>
          <tpl fld="4" item="37"/>
        </tpls>
      </m>
      <n v="1" in="0">
        <tpls c="3">
          <tpl fld="0" item="0"/>
          <tpl fld="1" item="126"/>
          <tpl fld="4" item="38"/>
        </tpls>
      </n>
      <m in="0">
        <tpls c="3">
          <tpl fld="0" item="0"/>
          <tpl fld="1" item="444"/>
          <tpl fld="4" item="38"/>
        </tpls>
      </m>
      <m in="0">
        <tpls c="3">
          <tpl fld="0" item="0"/>
          <tpl fld="1" item="171"/>
          <tpl fld="4" item="38"/>
        </tpls>
      </m>
      <m in="0">
        <tpls c="3">
          <tpl fld="0" item="0"/>
          <tpl fld="1" item="19"/>
          <tpl fld="4" item="41"/>
        </tpls>
      </m>
      <n v="248" in="0">
        <tpls c="3">
          <tpl fld="0" item="0"/>
          <tpl fld="1" item="47"/>
          <tpl fld="4" item="41"/>
        </tpls>
      </n>
      <m in="0">
        <tpls c="3">
          <tpl fld="0" item="0"/>
          <tpl fld="1" item="394"/>
          <tpl fld="4" item="39"/>
        </tpls>
      </m>
      <n v="7" in="0">
        <tpls c="3">
          <tpl fld="0" item="0"/>
          <tpl fld="1" item="151"/>
          <tpl fld="4" item="40"/>
        </tpls>
      </n>
      <m in="0">
        <tpls c="3">
          <tpl fld="0" item="0"/>
          <tpl fld="1" item="441"/>
          <tpl fld="4" item="38"/>
        </tpls>
      </m>
      <m in="0">
        <tpls c="3">
          <tpl fld="0" item="0"/>
          <tpl fld="1" item="416"/>
          <tpl fld="4" item="39"/>
        </tpls>
      </m>
      <n v="21" in="0">
        <tpls c="3">
          <tpl fld="0" item="0"/>
          <tpl fld="1" item="330"/>
          <tpl fld="4" item="41"/>
        </tpls>
      </n>
      <m in="0">
        <tpls c="3">
          <tpl fld="0" item="0"/>
          <tpl fld="1" item="414"/>
          <tpl fld="4" item="40"/>
        </tpls>
      </m>
      <n v="1" in="0">
        <tpls c="3">
          <tpl fld="0" item="0"/>
          <tpl fld="1" item="4"/>
          <tpl fld="4" item="39"/>
        </tpls>
      </n>
      <m in="0">
        <tpls c="3">
          <tpl fld="0" item="0"/>
          <tpl fld="1" item="13"/>
          <tpl fld="4" item="40"/>
        </tpls>
      </m>
      <m in="0">
        <tpls c="3">
          <tpl fld="0" item="0"/>
          <tpl fld="1" item="289"/>
          <tpl fld="4" item="39"/>
        </tpls>
      </m>
      <m in="0">
        <tpls c="3">
          <tpl fld="0" item="0"/>
          <tpl fld="1" item="88"/>
          <tpl fld="4" item="40"/>
        </tpls>
      </m>
      <n v="3" in="0">
        <tpls c="3">
          <tpl fld="0" item="0"/>
          <tpl fld="1" item="444"/>
          <tpl fld="4" item="40"/>
        </tpls>
      </n>
      <n v="188" in="0">
        <tpls c="3">
          <tpl fld="0" item="0"/>
          <tpl fld="1" item="343"/>
          <tpl fld="4" item="41"/>
        </tpls>
      </n>
      <m in="0">
        <tpls c="3">
          <tpl fld="0" item="0"/>
          <tpl fld="1" item="21"/>
          <tpl fld="4" item="41"/>
        </tpls>
      </m>
      <m in="0">
        <tpls c="3">
          <tpl fld="0" item="0"/>
          <tpl fld="1" item="167"/>
          <tpl fld="4" item="42"/>
        </tpls>
      </m>
      <n v="149" in="0">
        <tpls c="3">
          <tpl fld="0" item="0"/>
          <tpl fld="1" item="85"/>
          <tpl fld="4" item="41"/>
        </tpls>
      </n>
      <m in="0">
        <tpls c="3">
          <tpl fld="0" item="0"/>
          <tpl fld="1" item="298"/>
          <tpl fld="4" item="42"/>
        </tpls>
      </m>
      <n v="10" in="0">
        <tpls c="3">
          <tpl fld="0" item="0"/>
          <tpl fld="1" item="7"/>
          <tpl fld="4" item="42"/>
        </tpls>
      </n>
      <n v="101" in="0">
        <tpls c="3">
          <tpl fld="0" item="0"/>
          <tpl fld="1" item="395"/>
          <tpl fld="4" item="41"/>
        </tpls>
      </n>
      <m in="0">
        <tpls c="3">
          <tpl fld="0" item="0"/>
          <tpl fld="1" item="195"/>
          <tpl fld="4" item="42"/>
        </tpls>
      </m>
      <n v="10" in="0">
        <tpls c="3">
          <tpl fld="0" item="0"/>
          <tpl fld="1" item="230"/>
          <tpl fld="4" item="43"/>
        </tpls>
      </n>
      <m in="0">
        <tpls c="3">
          <tpl fld="0" item="0"/>
          <tpl fld="1" item="35"/>
          <tpl fld="4" item="42"/>
        </tpls>
      </m>
      <n v="15" in="0">
        <tpls c="3">
          <tpl fld="0" item="0"/>
          <tpl fld="1" item="331"/>
          <tpl fld="4" item="43"/>
        </tpls>
      </n>
      <m in="0">
        <tpls c="3">
          <tpl fld="0" item="0"/>
          <tpl fld="1" item="261"/>
          <tpl fld="4" item="43"/>
        </tpls>
      </m>
      <n v="4" in="0">
        <tpls c="3">
          <tpl fld="0" item="0"/>
          <tpl fld="1" item="48"/>
          <tpl fld="4" item="40"/>
        </tpls>
      </n>
      <n v="6" in="0">
        <tpls c="3">
          <tpl fld="0" item="0"/>
          <tpl fld="1" item="284"/>
          <tpl fld="4" item="40"/>
        </tpls>
      </n>
      <m in="0">
        <tpls c="3">
          <tpl fld="0" item="0"/>
          <tpl fld="1" item="278"/>
          <tpl fld="4" item="37"/>
        </tpls>
      </m>
      <m in="0">
        <tpls c="3">
          <tpl fld="0" item="0"/>
          <tpl fld="1" item="127"/>
          <tpl fld="4" item="38"/>
        </tpls>
      </m>
      <m in="0">
        <tpls c="3">
          <tpl fld="0" item="0"/>
          <tpl fld="1" item="295"/>
          <tpl fld="4" item="42"/>
        </tpls>
      </m>
      <m in="0">
        <tpls c="3">
          <tpl fld="0" item="0"/>
          <tpl fld="1" item="203"/>
          <tpl fld="4" item="39"/>
        </tpls>
      </m>
      <m in="0">
        <tpls c="3">
          <tpl fld="0" item="0"/>
          <tpl fld="1" item="242"/>
          <tpl fld="4" item="42"/>
        </tpls>
      </m>
      <n v="1" in="0">
        <tpls c="3">
          <tpl fld="0" item="0"/>
          <tpl fld="1" item="106"/>
          <tpl fld="4" item="39"/>
        </tpls>
      </n>
      <n v="24" in="0">
        <tpls c="3">
          <tpl fld="0" item="0"/>
          <tpl fld="1" item="215"/>
          <tpl fld="4" item="40"/>
        </tpls>
      </n>
      <m in="0">
        <tpls c="3">
          <tpl fld="0" item="0"/>
          <tpl fld="1" item="13"/>
          <tpl fld="4" item="42"/>
        </tpls>
      </m>
      <m in="0">
        <tpls c="3">
          <tpl fld="0" item="0"/>
          <tpl fld="1" item="261"/>
          <tpl fld="4" item="39"/>
        </tpls>
      </m>
      <m in="0">
        <tpls c="3">
          <tpl fld="0" item="0"/>
          <tpl fld="1" item="24"/>
          <tpl fld="4" item="41"/>
        </tpls>
      </m>
      <m in="0">
        <tpls c="3">
          <tpl fld="0" item="0"/>
          <tpl fld="1" item="191"/>
          <tpl fld="4" item="40"/>
        </tpls>
      </m>
      <m in="0">
        <tpls c="3">
          <tpl fld="0" item="0"/>
          <tpl fld="1" item="251"/>
          <tpl fld="4" item="42"/>
        </tpls>
      </m>
      <n v="14" in="0">
        <tpls c="3">
          <tpl fld="0" item="0"/>
          <tpl fld="1" item="365"/>
          <tpl fld="4" item="40"/>
        </tpls>
      </n>
      <m in="0">
        <tpls c="3">
          <tpl fld="0" item="0"/>
          <tpl fld="1" item="17"/>
          <tpl fld="4" item="39"/>
        </tpls>
      </m>
      <m in="0">
        <tpls c="3">
          <tpl fld="0" item="0"/>
          <tpl fld="1" item="435"/>
          <tpl fld="4" item="40"/>
        </tpls>
      </m>
      <m in="0">
        <tpls c="3">
          <tpl fld="0" item="0"/>
          <tpl fld="1" item="1"/>
          <tpl fld="4" item="40"/>
        </tpls>
      </m>
      <n v="88" in="0">
        <tpls c="3">
          <tpl fld="0" item="0"/>
          <tpl fld="1" item="42"/>
          <tpl fld="4" item="41"/>
        </tpls>
      </n>
      <m in="0">
        <tpls c="3">
          <tpl fld="0" item="0"/>
          <tpl fld="1" item="373"/>
          <tpl fld="4" item="40"/>
        </tpls>
      </m>
      <m in="0">
        <tpls c="3">
          <tpl fld="0" item="0"/>
          <tpl fld="1" item="236"/>
          <tpl fld="4" item="42"/>
        </tpls>
      </m>
      <m in="0">
        <tpls c="3">
          <tpl fld="0" item="0"/>
          <tpl fld="1" item="91"/>
          <tpl fld="4" item="40"/>
        </tpls>
      </m>
      <m in="0">
        <tpls c="3">
          <tpl fld="0" item="0"/>
          <tpl fld="1" item="457"/>
          <tpl fld="4" item="42"/>
        </tpls>
      </m>
      <n v="163" in="0">
        <tpls c="3">
          <tpl fld="0" item="0"/>
          <tpl fld="1" item="347"/>
          <tpl fld="4" item="41"/>
        </tpls>
      </n>
      <m in="0">
        <tpls c="3">
          <tpl fld="0" item="0"/>
          <tpl fld="1" item="118"/>
          <tpl fld="4" item="41"/>
        </tpls>
      </m>
      <n v="5" in="0">
        <tpls c="3">
          <tpl fld="0" item="0"/>
          <tpl fld="1" item="194"/>
          <tpl fld="4" item="42"/>
        </tpls>
      </n>
      <m in="0">
        <tpls c="3">
          <tpl fld="0" item="0"/>
          <tpl fld="1" item="181"/>
          <tpl fld="4" item="43"/>
        </tpls>
      </m>
      <m in="0">
        <tpls c="3">
          <tpl fld="0" item="0"/>
          <tpl fld="1" item="394"/>
          <tpl fld="4" item="42"/>
        </tpls>
      </m>
      <n v="31" in="0">
        <tpls c="3">
          <tpl fld="0" item="0"/>
          <tpl fld="1" item="107"/>
          <tpl fld="4" item="43"/>
        </tpls>
      </n>
      <n v="8" in="0">
        <tpls c="3">
          <tpl fld="0" item="0"/>
          <tpl fld="1" item="149"/>
          <tpl fld="4" item="42"/>
        </tpls>
      </n>
      <n v="7" in="0">
        <tpls c="3">
          <tpl fld="0" item="0"/>
          <tpl fld="1" item="7"/>
          <tpl fld="4" item="43"/>
        </tpls>
      </n>
      <n v="1" in="0">
        <tpls c="3">
          <tpl fld="0" item="0"/>
          <tpl fld="1" item="434"/>
          <tpl fld="4" item="43"/>
        </tpls>
      </n>
      <m in="0">
        <tpls c="3">
          <tpl fld="0" item="0"/>
          <tpl fld="1" item="174"/>
          <tpl fld="4" item="43"/>
        </tpls>
      </m>
      <n v="195" in="0">
        <tpls c="3">
          <tpl fld="0" item="0"/>
          <tpl fld="1" item="117"/>
          <tpl fld="4" item="37"/>
        </tpls>
      </n>
      <m in="0">
        <tpls c="3">
          <tpl fld="0" item="0"/>
          <tpl fld="1" item="23"/>
          <tpl fld="4" item="40"/>
        </tpls>
      </m>
      <n v="32" in="0">
        <tpls c="3">
          <tpl fld="0" item="0"/>
          <tpl fld="1" item="184"/>
          <tpl fld="4" item="37"/>
        </tpls>
      </n>
      <m in="0">
        <tpls c="3">
          <tpl fld="0" item="0"/>
          <tpl fld="1" item="59"/>
          <tpl fld="4" item="38"/>
        </tpls>
      </m>
      <m in="0">
        <tpls c="3">
          <tpl fld="0" item="0"/>
          <tpl fld="1" item="393"/>
          <tpl fld="4" item="43"/>
        </tpls>
      </m>
      <m in="0">
        <tpls c="3">
          <tpl fld="0" item="0"/>
          <tpl fld="1" item="2"/>
          <tpl fld="4" item="40"/>
        </tpls>
      </m>
      <m in="0">
        <tpls c="3">
          <tpl fld="0" item="0"/>
          <tpl fld="1" item="302"/>
          <tpl fld="4" item="42"/>
        </tpls>
      </m>
      <m in="0">
        <tpls c="3">
          <tpl fld="0" item="0"/>
          <tpl fld="1" item="78"/>
          <tpl fld="4" item="39"/>
        </tpls>
      </m>
      <n v="3" in="0">
        <tpls c="3">
          <tpl fld="0" item="0"/>
          <tpl fld="1" item="58"/>
          <tpl fld="4" item="40"/>
        </tpls>
      </n>
      <n v="1" in="0">
        <tpls c="3">
          <tpl fld="0" item="0"/>
          <tpl fld="1" item="95"/>
          <tpl fld="4" item="42"/>
        </tpls>
      </n>
      <n v="10" in="0">
        <tpls c="3">
          <tpl fld="0" item="0"/>
          <tpl fld="1" item="312"/>
          <tpl fld="4" item="39"/>
        </tpls>
      </n>
      <n v="25" in="0">
        <tpls c="3">
          <tpl fld="0" item="0"/>
          <tpl fld="1" item="77"/>
          <tpl fld="4" item="41"/>
        </tpls>
      </n>
      <m in="0">
        <tpls c="3">
          <tpl fld="0" item="0"/>
          <tpl fld="1" item="133"/>
          <tpl fld="4" item="40"/>
        </tpls>
      </m>
      <m in="0">
        <tpls c="3">
          <tpl fld="0" item="0"/>
          <tpl fld="1" item="137"/>
          <tpl fld="4" item="42"/>
        </tpls>
      </m>
      <n v="20" in="0">
        <tpls c="3">
          <tpl fld="0" item="0"/>
          <tpl fld="1" item="410"/>
          <tpl fld="4" item="40"/>
        </tpls>
      </n>
      <m in="0">
        <tpls c="3">
          <tpl fld="0" item="0"/>
          <tpl fld="1" item="26"/>
          <tpl fld="4" item="39"/>
        </tpls>
      </m>
      <m in="0">
        <tpls c="3">
          <tpl fld="0" item="0"/>
          <tpl fld="1" item="158"/>
          <tpl fld="4" item="40"/>
        </tpls>
      </m>
      <m in="0">
        <tpls c="3">
          <tpl fld="0" item="0"/>
          <tpl fld="2" item="0"/>
          <tpl fld="4" item="40"/>
        </tpls>
      </m>
      <m in="0">
        <tpls c="3">
          <tpl fld="0" item="0"/>
          <tpl fld="1" item="109"/>
          <tpl fld="4" item="41"/>
        </tpls>
      </m>
      <m in="0">
        <tpls c="3">
          <tpl fld="0" item="0"/>
          <tpl fld="1" item="73"/>
          <tpl fld="4" item="40"/>
        </tpls>
      </m>
      <n v="8" in="0">
        <tpls c="3">
          <tpl fld="0" item="0"/>
          <tpl fld="1" item="85"/>
          <tpl fld="4" item="42"/>
        </tpls>
      </n>
      <n v="173" in="0">
        <tpls c="3">
          <tpl fld="0" item="0"/>
          <tpl fld="1" item="313"/>
          <tpl fld="4" item="40"/>
        </tpls>
      </n>
      <m in="0">
        <tpls c="3">
          <tpl fld="0" item="0"/>
          <tpl fld="1" item="257"/>
          <tpl fld="4" item="42"/>
        </tpls>
      </m>
      <m in="0">
        <tpls c="3">
          <tpl fld="0" item="0"/>
          <tpl fld="1" item="157"/>
          <tpl fld="4" item="41"/>
        </tpls>
      </m>
      <n v="64" in="0">
        <tpls c="3">
          <tpl fld="0" item="0"/>
          <tpl fld="1" item="326"/>
          <tpl fld="4" item="41"/>
        </tpls>
      </n>
      <m in="0">
        <tpls c="3">
          <tpl fld="0" item="0"/>
          <tpl fld="1" item="26"/>
          <tpl fld="4" item="42"/>
        </tpls>
      </m>
      <n v="2" in="0">
        <tpls c="3">
          <tpl fld="0" item="0"/>
          <tpl fld="1" item="89"/>
          <tpl fld="4" item="43"/>
        </tpls>
      </n>
      <n v="5" in="0">
        <tpls c="3">
          <tpl fld="0" item="0"/>
          <tpl fld="1" item="231"/>
          <tpl fld="4" item="42"/>
        </tpls>
      </n>
      <m in="0">
        <tpls c="3">
          <tpl fld="0" item="0"/>
          <tpl fld="1" item="239"/>
          <tpl fld="4" item="43"/>
        </tpls>
      </m>
      <n v="12" in="0">
        <tpls c="3">
          <tpl fld="0" item="0"/>
          <tpl fld="1" item="160"/>
          <tpl fld="4" item="42"/>
        </tpls>
      </n>
      <m in="0">
        <tpls c="3">
          <tpl fld="0" item="0"/>
          <tpl fld="1" item="414"/>
          <tpl fld="4" item="43"/>
        </tpls>
      </m>
      <m in="0">
        <tpls c="3">
          <tpl fld="0" item="0"/>
          <tpl fld="1" item="78"/>
          <tpl fld="4" item="43"/>
        </tpls>
      </m>
      <n v="9" in="0">
        <tpls c="3">
          <tpl fld="0" item="0"/>
          <tpl fld="1" item="49"/>
          <tpl fld="4" item="42"/>
        </tpls>
      </n>
      <m in="0">
        <tpls c="3">
          <tpl fld="0" item="0"/>
          <tpl fld="1" item="289"/>
          <tpl fld="4" item="43"/>
        </tpls>
      </m>
      <m in="0">
        <tpls c="3">
          <tpl fld="0" item="0"/>
          <tpl fld="1" item="134"/>
          <tpl fld="4" item="42"/>
        </tpls>
      </m>
      <n v="2" in="0">
        <tpls c="3">
          <tpl fld="0" item="0"/>
          <tpl fld="1" item="55"/>
          <tpl fld="4" item="43"/>
        </tpls>
      </n>
      <m in="0">
        <tpls c="3">
          <tpl fld="0" item="0"/>
          <tpl fld="3" item="0"/>
          <tpl fld="4" item="37"/>
        </tpls>
      </m>
      <m in="0">
        <tpls c="3">
          <tpl fld="0" item="0"/>
          <tpl fld="1" item="130"/>
          <tpl fld="4" item="40"/>
        </tpls>
      </m>
      <n v="86" in="0">
        <tpls c="3">
          <tpl fld="0" item="0"/>
          <tpl fld="1" item="152"/>
          <tpl fld="4" item="37"/>
        </tpls>
      </n>
      <n v="2" in="0">
        <tpls c="3">
          <tpl fld="0" item="0"/>
          <tpl fld="1" item="10"/>
          <tpl fld="4" item="38"/>
        </tpls>
      </n>
      <m in="0">
        <tpls c="3">
          <tpl fld="0" item="0"/>
          <tpl fld="1" item="48"/>
          <tpl fld="4" item="38"/>
        </tpls>
      </m>
      <n v="1" in="0">
        <tpls c="3">
          <tpl fld="0" item="0"/>
          <tpl fld="1" item="165"/>
          <tpl fld="4" item="40"/>
        </tpls>
      </n>
      <m in="0">
        <tpls c="3">
          <tpl fld="0" item="0"/>
          <tpl fld="1" item="378"/>
          <tpl fld="4" item="43"/>
        </tpls>
      </m>
      <m in="0">
        <tpls c="3">
          <tpl fld="0" item="0"/>
          <tpl fld="1" item="413"/>
          <tpl fld="4" item="39"/>
        </tpls>
      </m>
      <n v="23" in="0">
        <tpls c="3">
          <tpl fld="0" item="0"/>
          <tpl fld="1" item="8"/>
          <tpl fld="4" item="40"/>
        </tpls>
      </n>
      <n v="5" in="0">
        <tpls c="3">
          <tpl fld="0" item="0"/>
          <tpl fld="1" item="322"/>
          <tpl fld="4" item="42"/>
        </tpls>
      </n>
      <m in="0">
        <tpls c="3">
          <tpl fld="0" item="0"/>
          <tpl fld="1" item="436"/>
          <tpl fld="4" item="39"/>
        </tpls>
      </m>
      <m in="0">
        <tpls c="3">
          <tpl fld="0" item="0"/>
          <tpl fld="1" item="457"/>
          <tpl fld="4" item="41"/>
        </tpls>
      </m>
      <n v="5" in="0">
        <tpls c="3">
          <tpl fld="0" item="0"/>
          <tpl fld="1" item="126"/>
          <tpl fld="4" item="40"/>
        </tpls>
      </n>
      <n v="1" in="0">
        <tpls c="3">
          <tpl fld="0" item="0"/>
          <tpl fld="1" item="165"/>
          <tpl fld="4" item="43"/>
        </tpls>
      </n>
      <n v="18" in="0">
        <tpls c="3">
          <tpl fld="0" item="0"/>
          <tpl fld="1" item="279"/>
          <tpl fld="4" item="40"/>
        </tpls>
      </n>
      <m in="0">
        <tpls c="3">
          <tpl fld="0" item="0"/>
          <tpl fld="1" item="19"/>
          <tpl fld="4" item="39"/>
        </tpls>
      </m>
      <n v="14" in="0">
        <tpls c="3">
          <tpl fld="0" item="0"/>
          <tpl fld="1" item="182"/>
          <tpl fld="4" item="40"/>
        </tpls>
      </n>
      <n v="16" in="0">
        <tpls c="3">
          <tpl fld="0" item="0"/>
          <tpl fld="1" item="419"/>
          <tpl fld="4" item="40"/>
        </tpls>
      </n>
      <n v="371" in="0">
        <tpls c="3">
          <tpl fld="0" item="0"/>
          <tpl fld="1" item="385"/>
          <tpl fld="4" item="41"/>
        </tpls>
      </n>
      <m in="0">
        <tpls c="3">
          <tpl fld="0" item="0"/>
          <tpl fld="1" item="62"/>
          <tpl fld="4" item="40"/>
        </tpls>
      </m>
      <n v="1" in="0">
        <tpls c="3">
          <tpl fld="0" item="0"/>
          <tpl fld="1" item="434"/>
          <tpl fld="4" item="42"/>
        </tpls>
      </n>
      <m in="0">
        <tpls c="3">
          <tpl fld="0" item="0"/>
          <tpl fld="1" item="437"/>
          <tpl fld="4" item="4"/>
        </tpls>
      </m>
      <m in="0">
        <tpls c="3">
          <tpl fld="0" item="0"/>
          <tpl fld="1" item="430"/>
          <tpl fld="4" item="4"/>
        </tpls>
      </m>
      <n v="1" in="0">
        <tpls c="3">
          <tpl fld="0" item="0"/>
          <tpl fld="1" item="266"/>
          <tpl fld="4" item="3"/>
        </tpls>
      </n>
      <m in="0">
        <tpls c="3">
          <tpl fld="0" item="0"/>
          <tpl fld="1" item="419"/>
          <tpl fld="4" item="4"/>
        </tpls>
      </m>
      <m in="0">
        <tpls c="3">
          <tpl fld="0" item="0"/>
          <tpl fld="1" item="15"/>
          <tpl fld="4" item="4"/>
        </tpls>
      </m>
      <m in="0">
        <tpls c="3">
          <tpl fld="0" item="0"/>
          <tpl fld="1" item="188"/>
          <tpl fld="4" item="4"/>
        </tpls>
      </m>
      <m in="0">
        <tpls c="3">
          <tpl fld="0" item="0"/>
          <tpl fld="1" item="373"/>
          <tpl fld="4" item="2"/>
        </tpls>
      </m>
      <m in="0">
        <tpls c="3">
          <tpl fld="0" item="0"/>
          <tpl fld="1" item="237"/>
          <tpl fld="4" item="37"/>
        </tpls>
      </m>
      <n v="13" in="0">
        <tpls c="3">
          <tpl fld="0" item="0"/>
          <tpl fld="1" item="332"/>
          <tpl fld="4" item="40"/>
        </tpls>
      </n>
      <m in="0">
        <tpls c="3">
          <tpl fld="0" item="0"/>
          <tpl fld="1" item="190"/>
          <tpl fld="4" item="39"/>
        </tpls>
      </m>
      <m in="0">
        <tpls c="3">
          <tpl fld="0" item="0"/>
          <tpl fld="1" item="44"/>
          <tpl fld="4" item="35"/>
        </tpls>
      </m>
      <m in="0">
        <tpls c="3">
          <tpl fld="0" item="0"/>
          <tpl fld="1" item="332"/>
          <tpl fld="4" item="30"/>
        </tpls>
      </m>
      <m in="0">
        <tpls c="3">
          <tpl fld="0" item="0"/>
          <tpl fld="1" item="235"/>
          <tpl fld="4" item="33"/>
        </tpls>
      </m>
      <m in="0">
        <tpls c="3">
          <tpl fld="0" item="0"/>
          <tpl fld="1" item="218"/>
          <tpl fld="4" item="3"/>
        </tpls>
      </m>
      <m in="0">
        <tpls c="3">
          <tpl fld="0" item="0"/>
          <tpl fld="1" item="220"/>
          <tpl fld="4" item="3"/>
        </tpls>
      </m>
      <m in="0">
        <tpls c="3">
          <tpl fld="0" item="0"/>
          <tpl fld="1" item="416"/>
          <tpl fld="4" item="0"/>
        </tpls>
      </m>
      <m in="0">
        <tpls c="3">
          <tpl fld="0" item="0"/>
          <tpl fld="1" item="367"/>
          <tpl fld="4" item="3"/>
        </tpls>
      </m>
      <n v="135" in="0">
        <tpls c="3">
          <tpl fld="0" item="0"/>
          <tpl fld="1" item="182"/>
          <tpl fld="4" item="37"/>
        </tpls>
      </n>
      <n v="1426" in="0">
        <tpls c="3">
          <tpl fld="0" item="0"/>
          <tpl fld="1" item="324"/>
          <tpl fld="4" item="37"/>
        </tpls>
      </n>
      <m in="0">
        <tpls c="3">
          <tpl fld="0" item="0"/>
          <tpl fld="1" item="90"/>
          <tpl fld="4" item="38"/>
        </tpls>
      </m>
      <n v="12" in="0">
        <tpls c="3">
          <tpl fld="0" item="0"/>
          <tpl fld="1" item="370"/>
          <tpl fld="4" item="37"/>
        </tpls>
      </n>
      <n v="41" in="0">
        <tpls c="3">
          <tpl fld="0" item="0"/>
          <tpl fld="1" item="290"/>
          <tpl fld="4" item="37"/>
        </tpls>
      </n>
      <n v="136" in="0">
        <tpls c="3">
          <tpl fld="0" item="0"/>
          <tpl fld="1" item="226"/>
          <tpl fld="4" item="37"/>
        </tpls>
      </n>
      <n v="7" in="0">
        <tpls c="3">
          <tpl fld="0" item="0"/>
          <tpl fld="1" item="309"/>
          <tpl fld="4" item="38"/>
        </tpls>
      </n>
      <m in="0">
        <tpls c="3">
          <tpl fld="0" item="0"/>
          <tpl fld="1" item="26"/>
          <tpl fld="4" item="38"/>
        </tpls>
      </m>
      <m in="0">
        <tpls c="3">
          <tpl fld="0" item="0"/>
          <tpl fld="1" item="259"/>
          <tpl fld="4" item="31"/>
        </tpls>
      </m>
      <m in="0">
        <tpls c="3">
          <tpl fld="0" item="0"/>
          <tpl fld="1" item="224"/>
          <tpl fld="4" item="33"/>
        </tpls>
      </m>
      <m in="0">
        <tpls c="3">
          <tpl fld="0" item="0"/>
          <tpl fld="1" item="200"/>
          <tpl fld="4" item="31"/>
        </tpls>
      </m>
      <m in="0">
        <tpls c="3">
          <tpl fld="0" item="0"/>
          <tpl fld="1" item="207"/>
          <tpl fld="4" item="35"/>
        </tpls>
      </m>
      <n v="1" in="0">
        <tpls c="3">
          <tpl fld="0" item="0"/>
          <tpl fld="1" item="447"/>
          <tpl fld="4" item="0"/>
        </tpls>
      </n>
      <m in="0">
        <tpls c="3">
          <tpl fld="0" item="0"/>
          <tpl fld="1" item="260"/>
          <tpl fld="4" item="0"/>
        </tpls>
      </m>
      <m in="0">
        <tpls c="3">
          <tpl fld="0" item="0"/>
          <tpl fld="1" item="443"/>
          <tpl fld="4" item="3"/>
        </tpls>
      </m>
      <m in="0">
        <tpls c="3">
          <tpl fld="0" item="0"/>
          <tpl fld="1" item="439"/>
          <tpl fld="4" item="2"/>
        </tpls>
      </m>
      <m in="0">
        <tpls c="3">
          <tpl fld="0" item="0"/>
          <tpl fld="1" item="444"/>
          <tpl fld="4" item="3"/>
        </tpls>
      </m>
      <m in="0">
        <tpls c="3">
          <tpl fld="0" item="0"/>
          <tpl fld="1" item="94"/>
          <tpl fld="4" item="3"/>
        </tpls>
      </m>
      <m in="0">
        <tpls c="3">
          <tpl fld="0" item="0"/>
          <tpl fld="1" item="386"/>
          <tpl fld="4" item="2"/>
        </tpls>
      </m>
      <m in="0">
        <tpls c="3">
          <tpl fld="0" item="0"/>
          <tpl fld="1" item="434"/>
          <tpl fld="4" item="3"/>
        </tpls>
      </m>
      <m in="0">
        <tpls c="3">
          <tpl fld="0" item="0"/>
          <tpl fld="1" item="3"/>
          <tpl fld="4" item="2"/>
        </tpls>
      </m>
      <m in="0">
        <tpls c="3">
          <tpl fld="0" item="0"/>
          <tpl fld="1" item="2"/>
          <tpl fld="4" item="4"/>
        </tpls>
      </m>
      <m in="0">
        <tpls c="3">
          <tpl fld="0" item="0"/>
          <tpl fld="1" item="376"/>
          <tpl fld="4" item="3"/>
        </tpls>
      </m>
      <n v="16" in="0">
        <tpls c="3">
          <tpl fld="0" item="0"/>
          <tpl fld="1" item="161"/>
          <tpl fld="4" item="36"/>
        </tpls>
      </n>
      <m in="0">
        <tpls c="3">
          <tpl fld="0" item="0"/>
          <tpl fld="1" item="191"/>
          <tpl fld="4" item="2"/>
        </tpls>
      </m>
      <m in="0">
        <tpls c="3">
          <tpl fld="0" item="0"/>
          <tpl fld="1" item="193"/>
          <tpl fld="4" item="4"/>
        </tpls>
      </m>
      <m in="0">
        <tpls c="3">
          <tpl fld="0" item="0"/>
          <tpl fld="1" item="250"/>
          <tpl fld="4" item="36"/>
        </tpls>
      </m>
      <m in="0">
        <tpls c="3">
          <tpl fld="0" item="0"/>
          <tpl fld="1" item="18"/>
          <tpl fld="4" item="2"/>
        </tpls>
      </m>
      <m in="0">
        <tpls c="3">
          <tpl fld="0" item="0"/>
          <tpl fld="1" item="175"/>
          <tpl fld="4" item="2"/>
        </tpls>
      </m>
      <m in="0">
        <tpls c="3">
          <tpl fld="0" item="0"/>
          <tpl fld="1" item="391"/>
          <tpl fld="4" item="2"/>
        </tpls>
      </m>
      <m in="0">
        <tpls c="3">
          <tpl fld="0" item="0"/>
          <tpl fld="1" item="158"/>
          <tpl fld="4" item="2"/>
        </tpls>
      </m>
      <m in="0">
        <tpls c="3">
          <tpl fld="0" item="0"/>
          <tpl fld="1" item="300"/>
          <tpl fld="4" item="2"/>
        </tpls>
      </m>
      <n v="100" in="0">
        <tpls c="3">
          <tpl fld="0" item="0"/>
          <tpl fld="1" item="232"/>
          <tpl fld="4" item="37"/>
        </tpls>
      </n>
      <n v="20" in="0">
        <tpls c="3">
          <tpl fld="0" item="0"/>
          <tpl fld="1" item="209"/>
          <tpl fld="4" item="36"/>
        </tpls>
      </n>
      <n v="132" in="0">
        <tpls c="3">
          <tpl fld="0" item="0"/>
          <tpl fld="1" item="101"/>
          <tpl fld="4" item="37"/>
        </tpls>
      </n>
      <n v="263" in="0">
        <tpls c="3">
          <tpl fld="0" item="0"/>
          <tpl fld="1" item="111"/>
          <tpl fld="4" item="36"/>
        </tpls>
      </n>
      <m in="0">
        <tpls c="3">
          <tpl fld="0" item="0"/>
          <tpl fld="1" item="283"/>
          <tpl fld="4" item="38"/>
        </tpls>
      </m>
      <m in="0">
        <tpls c="3">
          <tpl fld="0" item="0"/>
          <tpl fld="1" item="108"/>
          <tpl fld="4" item="38"/>
        </tpls>
      </m>
      <n v="352" in="0">
        <tpls c="3">
          <tpl fld="0" item="0"/>
          <tpl fld="1" item="364"/>
          <tpl fld="4" item="37"/>
        </tpls>
      </n>
      <m in="0">
        <tpls c="3">
          <tpl fld="0" item="0"/>
          <tpl fld="1" item="293"/>
          <tpl fld="4" item="34"/>
        </tpls>
      </m>
      <m in="0">
        <tpls c="3">
          <tpl fld="0" item="0"/>
          <tpl fld="1" item="142"/>
          <tpl fld="4" item="34"/>
        </tpls>
      </m>
      <n v="18" in="0">
        <tpls c="3">
          <tpl fld="0" item="0"/>
          <tpl fld="1" item="224"/>
          <tpl fld="4" item="24"/>
        </tpls>
      </n>
      <m in="0">
        <tpls c="3">
          <tpl fld="0" item="0"/>
          <tpl fld="1" item="181"/>
          <tpl fld="4" item="35"/>
        </tpls>
      </m>
      <m in="0">
        <tpls c="3">
          <tpl fld="0" item="0"/>
          <tpl fld="1" item="213"/>
          <tpl fld="4" item="28"/>
        </tpls>
      </m>
      <m in="0">
        <tpls c="3">
          <tpl fld="0" item="0"/>
          <tpl fld="1" item="9"/>
          <tpl fld="4" item="35"/>
        </tpls>
      </m>
      <m in="0">
        <tpls c="3">
          <tpl fld="0" item="0"/>
          <tpl fld="1" item="104"/>
          <tpl fld="4" item="33"/>
        </tpls>
      </m>
      <m in="0">
        <tpls c="3">
          <tpl fld="0" item="0"/>
          <tpl fld="1" item="443"/>
          <tpl fld="4" item="35"/>
        </tpls>
      </m>
      <n v="1" in="0">
        <tpls c="3">
          <tpl fld="0" item="0"/>
          <tpl fld="1" item="380"/>
          <tpl fld="4" item="0"/>
        </tpls>
      </n>
      <m in="0">
        <tpls c="3">
          <tpl fld="0" item="0"/>
          <tpl fld="1" item="441"/>
          <tpl fld="4" item="0"/>
        </tpls>
      </m>
      <m in="0">
        <tpls c="3">
          <tpl fld="0" item="0"/>
          <tpl fld="1" item="231"/>
          <tpl fld="4" item="4"/>
        </tpls>
      </m>
      <m in="0">
        <tpls c="3">
          <tpl fld="0" item="0"/>
          <tpl fld="1" item="228"/>
          <tpl fld="4" item="0"/>
        </tpls>
      </m>
      <m in="0">
        <tpls c="3">
          <tpl fld="0" item="0"/>
          <tpl fld="1" item="96"/>
          <tpl fld="4" item="4"/>
        </tpls>
      </m>
      <m in="0">
        <tpls c="3">
          <tpl fld="0" item="0"/>
          <tpl fld="1" item="131"/>
          <tpl fld="4" item="4"/>
        </tpls>
      </m>
      <m in="0">
        <tpls c="3">
          <tpl fld="0" item="0"/>
          <tpl fld="1" item="84"/>
          <tpl fld="4" item="0"/>
        </tpls>
      </m>
      <m in="0">
        <tpls c="3">
          <tpl fld="0" item="0"/>
          <tpl fld="1" item="27"/>
          <tpl fld="4" item="4"/>
        </tpls>
      </m>
      <m in="0">
        <tpls c="3">
          <tpl fld="0" item="0"/>
          <tpl fld="1" item="114"/>
          <tpl fld="4" item="3"/>
        </tpls>
      </m>
      <m in="0">
        <tpls c="3">
          <tpl fld="0" item="0"/>
          <tpl fld="1" item="63"/>
          <tpl fld="4" item="2"/>
        </tpls>
      </m>
      <m in="0">
        <tpls c="3">
          <tpl fld="0" item="0"/>
          <tpl fld="1" item="239"/>
          <tpl fld="4" item="4"/>
        </tpls>
      </m>
      <m in="0">
        <tpls c="3">
          <tpl fld="0" item="0"/>
          <tpl fld="1" item="254"/>
          <tpl fld="4" item="4"/>
        </tpls>
      </m>
      <m in="0">
        <tpls c="3">
          <tpl fld="0" item="0"/>
          <tpl fld="1" item="304"/>
          <tpl fld="4" item="2"/>
        </tpls>
      </m>
      <m in="0">
        <tpls c="3">
          <tpl fld="0" item="0"/>
          <tpl fld="1" item="374"/>
          <tpl fld="4" item="4"/>
        </tpls>
      </m>
      <m in="0">
        <tpls c="3">
          <tpl fld="0" item="0"/>
          <tpl fld="1" item="431"/>
          <tpl fld="4" item="2"/>
        </tpls>
      </m>
      <m in="0">
        <tpls c="3">
          <tpl fld="0" item="0"/>
          <tpl fld="1" item="49"/>
          <tpl fld="4" item="4"/>
        </tpls>
      </m>
      <m in="0">
        <tpls c="3">
          <tpl fld="0" item="0"/>
          <tpl fld="1" item="285"/>
          <tpl fld="4" item="2"/>
        </tpls>
      </m>
      <m in="0">
        <tpls c="3">
          <tpl fld="0" item="0"/>
          <tpl fld="1" item="407"/>
          <tpl fld="4" item="2"/>
        </tpls>
      </m>
      <m in="0">
        <tpls c="3">
          <tpl fld="0" item="0"/>
          <tpl fld="1" item="65"/>
          <tpl fld="4" item="2"/>
        </tpls>
      </m>
      <m in="0">
        <tpls c="3">
          <tpl fld="0" item="0"/>
          <tpl fld="1" item="145"/>
          <tpl fld="4" item="40"/>
        </tpls>
      </m>
      <n v="18" in="0">
        <tpls c="3">
          <tpl fld="0" item="0"/>
          <tpl fld="1" item="305"/>
          <tpl fld="4" item="36"/>
        </tpls>
      </n>
      <m in="0">
        <tpls c="3">
          <tpl fld="0" item="0"/>
          <tpl fld="1" item="379"/>
          <tpl fld="4" item="2"/>
        </tpls>
      </m>
      <m in="0">
        <tpls c="3">
          <tpl fld="0" item="0"/>
          <tpl fld="1" item="363"/>
          <tpl fld="4" item="37"/>
        </tpls>
      </m>
      <m in="0">
        <tpls c="3">
          <tpl fld="0" item="0"/>
          <tpl fld="1" item="96"/>
          <tpl fld="4" item="2"/>
        </tpls>
      </m>
      <n v="66" in="0">
        <tpls c="3">
          <tpl fld="0" item="0"/>
          <tpl fld="1" item="42"/>
          <tpl fld="4" item="36"/>
        </tpls>
      </n>
      <n v="19" in="0">
        <tpls c="3">
          <tpl fld="0" item="0"/>
          <tpl fld="1" item="433"/>
          <tpl fld="4" item="37"/>
        </tpls>
      </n>
      <n v="1" in="0">
        <tpls c="3">
          <tpl fld="0" item="0"/>
          <tpl fld="1" item="56"/>
          <tpl fld="4" item="36"/>
        </tpls>
      </n>
      <n v="15" in="0">
        <tpls c="3">
          <tpl fld="0" item="0"/>
          <tpl fld="1" item="323"/>
          <tpl fld="4" item="37"/>
        </tpls>
      </n>
      <n v="4" in="0">
        <tpls c="3">
          <tpl fld="0" item="0"/>
          <tpl fld="1" item="186"/>
          <tpl fld="4" item="36"/>
        </tpls>
      </n>
      <n v="1" in="0">
        <tpls c="3">
          <tpl fld="0" item="0"/>
          <tpl fld="1" item="3"/>
          <tpl fld="4" item="38"/>
        </tpls>
      </n>
      <n v="121" in="0">
        <tpls c="3">
          <tpl fld="0" item="0"/>
          <tpl fld="1" item="424"/>
          <tpl fld="4" item="36"/>
        </tpls>
      </n>
      <m in="0">
        <tpls c="3">
          <tpl fld="0" item="0"/>
          <tpl fld="1" item="428"/>
          <tpl fld="4" item="38"/>
        </tpls>
      </m>
      <n v="104" in="0">
        <tpls c="3">
          <tpl fld="0" item="0"/>
          <tpl fld="1" item="32"/>
          <tpl fld="4" item="36"/>
        </tpls>
      </n>
      <m in="0">
        <tpls c="3">
          <tpl fld="0" item="0"/>
          <tpl fld="1" item="100"/>
          <tpl fld="4" item="37"/>
        </tpls>
      </m>
      <m in="0">
        <tpls c="3">
          <tpl fld="0" item="0"/>
          <tpl fld="1" item="228"/>
          <tpl fld="4" item="37"/>
        </tpls>
      </m>
      <m in="0">
        <tpls c="3">
          <tpl fld="0" item="0"/>
          <tpl fld="1" item="121"/>
          <tpl fld="4" item="39"/>
        </tpls>
      </m>
      <m in="0">
        <tpls c="3">
          <tpl fld="0" item="0"/>
          <tpl fld="1" item="416"/>
          <tpl fld="4" item="37"/>
        </tpls>
      </m>
      <n v="2" in="0">
        <tpls c="3">
          <tpl fld="0" item="0"/>
          <tpl fld="1" item="383"/>
          <tpl fld="4" item="39"/>
        </tpls>
      </n>
      <n v="32" in="0">
        <tpls c="3">
          <tpl fld="0" item="0"/>
          <tpl fld="1" item="405"/>
          <tpl fld="4" item="37"/>
        </tpls>
      </n>
      <m in="0">
        <tpls c="3">
          <tpl fld="0" item="0"/>
          <tpl fld="1" item="229"/>
          <tpl fld="4" item="39"/>
        </tpls>
      </m>
      <n v="305" in="0">
        <tpls c="3">
          <tpl fld="0" item="0"/>
          <tpl fld="1" item="424"/>
          <tpl fld="4" item="37"/>
        </tpls>
      </n>
      <m in="0">
        <tpls c="3">
          <tpl fld="0" item="0"/>
          <tpl fld="1" item="391"/>
          <tpl fld="4" item="38"/>
        </tpls>
      </m>
      <n v="11" in="0">
        <tpls c="3">
          <tpl fld="0" item="0"/>
          <tpl fld="1" item="215"/>
          <tpl fld="4" item="38"/>
        </tpls>
      </n>
      <m in="0">
        <tpls c="3">
          <tpl fld="0" item="0"/>
          <tpl fld="1" item="285"/>
          <tpl fld="4" item="39"/>
        </tpls>
      </m>
      <m in="0">
        <tpls c="3">
          <tpl fld="0" item="0"/>
          <tpl fld="1" item="290"/>
          <tpl fld="4" item="38"/>
        </tpls>
      </m>
      <n v="9" in="0">
        <tpls c="3">
          <tpl fld="0" item="0"/>
          <tpl fld="1" item="418"/>
          <tpl fld="4" item="40"/>
        </tpls>
      </n>
      <n v="1" in="0">
        <tpls c="3">
          <tpl fld="0" item="0"/>
          <tpl fld="1" item="342"/>
          <tpl fld="4" item="40"/>
        </tpls>
      </n>
      <n v="15" in="0">
        <tpls c="3">
          <tpl fld="0" item="0"/>
          <tpl fld="1" item="455"/>
          <tpl fld="4" item="37"/>
        </tpls>
      </n>
      <n v="46" in="0">
        <tpls c="3">
          <tpl fld="0" item="0"/>
          <tpl fld="1" item="125"/>
          <tpl fld="4" item="40"/>
        </tpls>
      </n>
      <m in="0">
        <tpls c="3">
          <tpl fld="0" item="0"/>
          <tpl fld="1" item="70"/>
          <tpl fld="4" item="37"/>
        </tpls>
      </m>
      <m in="0">
        <tpls c="3">
          <tpl fld="0" item="0"/>
          <tpl fld="1" item="356"/>
          <tpl fld="4" item="38"/>
        </tpls>
      </m>
      <m in="0">
        <tpls c="3">
          <tpl fld="0" item="0"/>
          <tpl fld="1" item="328"/>
          <tpl fld="4" item="38"/>
        </tpls>
      </m>
      <n v="44" in="0">
        <tpls c="3">
          <tpl fld="0" item="0"/>
          <tpl fld="1" item="85"/>
          <tpl fld="4" item="40"/>
        </tpls>
      </n>
      <m in="0">
        <tpls c="3">
          <tpl fld="0" item="0"/>
          <tpl fld="1" item="34"/>
          <tpl fld="4" item="40"/>
        </tpls>
      </m>
      <m in="0">
        <tpls c="3">
          <tpl fld="0" item="0"/>
          <tpl fld="1" item="362"/>
          <tpl fld="4" item="39"/>
        </tpls>
      </m>
      <m in="0">
        <tpls c="3">
          <tpl fld="0" item="0"/>
          <tpl fld="1" item="178"/>
          <tpl fld="4" item="40"/>
        </tpls>
      </m>
      <m in="0">
        <tpls c="3">
          <tpl fld="0" item="0"/>
          <tpl fld="1" item="306"/>
          <tpl fld="4" item="42"/>
        </tpls>
      </m>
      <n v="1" in="0">
        <tpls c="3">
          <tpl fld="0" item="0"/>
          <tpl fld="1" item="184"/>
          <tpl fld="4" item="39"/>
        </tpls>
      </n>
      <m in="0">
        <tpls c="3">
          <tpl fld="0" item="0"/>
          <tpl fld="1" item="257"/>
          <tpl fld="4" item="41"/>
        </tpls>
      </m>
      <m in="0">
        <tpls c="3">
          <tpl fld="0" item="0"/>
          <tpl fld="1" item="413"/>
          <tpl fld="4" item="40"/>
        </tpls>
      </m>
      <m in="0">
        <tpls c="3">
          <tpl fld="0" item="0"/>
          <tpl fld="1" item="243"/>
          <tpl fld="4" item="43"/>
        </tpls>
      </m>
      <n v="36" in="0">
        <tpls c="3">
          <tpl fld="0" item="0"/>
          <tpl fld="1" item="65"/>
          <tpl fld="4" item="40"/>
        </tpls>
      </n>
      <m in="0">
        <tpls c="3">
          <tpl fld="0" item="0"/>
          <tpl fld="1" item="30"/>
          <tpl fld="4" item="39"/>
        </tpls>
      </m>
      <m in="0">
        <tpls c="3">
          <tpl fld="0" item="0"/>
          <tpl fld="3" item="0"/>
          <tpl fld="4" item="40"/>
        </tpls>
      </m>
      <m in="0">
        <tpls c="3">
          <tpl fld="0" item="0"/>
          <tpl fld="1" item="378"/>
          <tpl fld="4" item="40"/>
        </tpls>
      </m>
      <m in="0">
        <tpls c="3">
          <tpl fld="0" item="0"/>
          <tpl fld="1" item="86"/>
          <tpl fld="4" item="41"/>
        </tpls>
      </m>
      <m in="0">
        <tpls c="3">
          <tpl fld="0" item="0"/>
          <tpl fld="1" item="83"/>
          <tpl fld="4" item="40"/>
        </tpls>
      </m>
      <m in="0">
        <tpls c="3">
          <tpl fld="0" item="0"/>
          <tpl fld="1" item="181"/>
          <tpl fld="4" item="42"/>
        </tpls>
      </m>
      <m in="0">
        <tpls c="3">
          <tpl fld="0" item="0"/>
          <tpl fld="1" item="235"/>
          <tpl fld="4" item="40"/>
        </tpls>
      </m>
      <n v="14" in="0">
        <tpls c="3">
          <tpl fld="0" item="0"/>
          <tpl fld="1" item="438"/>
          <tpl fld="4" item="42"/>
        </tpls>
      </n>
      <n v="90" in="0">
        <tpls c="3">
          <tpl fld="0" item="0"/>
          <tpl fld="1" item="28"/>
          <tpl fld="4" item="41"/>
        </tpls>
      </n>
      <n v="12" in="0">
        <tpls c="3">
          <tpl fld="0" item="0"/>
          <tpl fld="1" item="108"/>
          <tpl fld="4" item="41"/>
        </tpls>
      </n>
      <m in="0">
        <tpls c="3">
          <tpl fld="0" item="0"/>
          <tpl fld="1" item="193"/>
          <tpl fld="4" item="42"/>
        </tpls>
      </m>
      <m in="0">
        <tpls c="3">
          <tpl fld="0" item="0"/>
          <tpl fld="1" item="198"/>
          <tpl fld="4" item="43"/>
        </tpls>
      </m>
      <n v="6" in="0">
        <tpls c="3">
          <tpl fld="0" item="0"/>
          <tpl fld="1" item="106"/>
          <tpl fld="4" item="42"/>
        </tpls>
      </n>
      <m in="0">
        <tpls c="3">
          <tpl fld="0" item="0"/>
          <tpl fld="1" item="294"/>
          <tpl fld="4" item="43"/>
        </tpls>
      </m>
      <m in="0">
        <tpls c="3">
          <tpl fld="0" item="0"/>
          <tpl fld="1" item="62"/>
          <tpl fld="4" item="42"/>
        </tpls>
      </m>
      <n v="2" in="0">
        <tpls c="3">
          <tpl fld="0" item="0"/>
          <tpl fld="1" item="65"/>
          <tpl fld="4" item="43"/>
        </tpls>
      </n>
      <n v="7" in="0">
        <tpls c="3">
          <tpl fld="0" item="0"/>
          <tpl fld="1" item="111"/>
          <tpl fld="4" item="42"/>
        </tpls>
      </n>
      <m in="0">
        <tpls c="3">
          <tpl fld="0" item="0"/>
          <tpl fld="1" item="122"/>
          <tpl fld="4" item="42"/>
        </tpls>
      </m>
      <m in="0">
        <tpls c="3">
          <tpl fld="0" item="0"/>
          <tpl fld="1" item="189"/>
          <tpl fld="4" item="43"/>
        </tpls>
      </m>
      <m in="0">
        <tpls c="3">
          <tpl fld="0" item="0"/>
          <tpl fld="1" item="50"/>
          <tpl fld="4" item="42"/>
        </tpls>
      </m>
      <n v="3" in="0">
        <tpls c="3">
          <tpl fld="0" item="0"/>
          <tpl fld="1" item="236"/>
          <tpl fld="4" item="36"/>
        </tpls>
      </n>
      <n v="108" in="0">
        <tpls c="3">
          <tpl fld="0" item="0"/>
          <tpl fld="1" item="368"/>
          <tpl fld="4" item="37"/>
        </tpls>
      </n>
      <m in="0">
        <tpls c="3">
          <tpl fld="0" item="0"/>
          <tpl fld="1" item="56"/>
          <tpl fld="4" item="39"/>
        </tpls>
      </m>
      <m in="0">
        <tpls c="3">
          <tpl fld="0" item="0"/>
          <tpl fld="1" item="444"/>
          <tpl fld="4" item="39"/>
        </tpls>
      </m>
      <n v="9" in="0">
        <tpls c="3">
          <tpl fld="0" item="0"/>
          <tpl fld="1" item="144"/>
          <tpl fld="4" item="39"/>
        </tpls>
      </n>
      <n v="13" in="0">
        <tpls c="3">
          <tpl fld="0" item="0"/>
          <tpl fld="1" item="87"/>
          <tpl fld="4" item="38"/>
        </tpls>
      </n>
      <n v="2" in="0">
        <tpls c="3">
          <tpl fld="0" item="0"/>
          <tpl fld="1" item="94"/>
          <tpl fld="4" item="39"/>
        </tpls>
      </n>
      <n v="12" in="0">
        <tpls c="3">
          <tpl fld="0" item="0"/>
          <tpl fld="1" item="368"/>
          <tpl fld="4" item="42"/>
        </tpls>
      </n>
      <m in="0">
        <tpls c="3">
          <tpl fld="0" item="0"/>
          <tpl fld="1" item="457"/>
          <tpl fld="4" item="39"/>
        </tpls>
      </m>
      <m in="0">
        <tpls c="3">
          <tpl fld="0" item="0"/>
          <tpl fld="1" item="211"/>
          <tpl fld="4" item="41"/>
        </tpls>
      </m>
      <m in="0">
        <tpls c="3">
          <tpl fld="0" item="0"/>
          <tpl fld="1" item="158"/>
          <tpl fld="4" item="39"/>
        </tpls>
      </m>
      <n v="29" in="0">
        <tpls c="3">
          <tpl fld="0" item="0"/>
          <tpl fld="1" item="334"/>
          <tpl fld="4" item="40"/>
        </tpls>
      </n>
      <n v="4" in="0">
        <tpls c="3">
          <tpl fld="0" item="0"/>
          <tpl fld="1" item="120"/>
          <tpl fld="4" item="43"/>
        </tpls>
      </n>
      <n v="22" in="0">
        <tpls c="3">
          <tpl fld="0" item="0"/>
          <tpl fld="1" item="106"/>
          <tpl fld="4" item="41"/>
        </tpls>
      </n>
      <m in="0">
        <tpls c="3">
          <tpl fld="0" item="0"/>
          <tpl fld="1" item="246"/>
          <tpl fld="4" item="39"/>
        </tpls>
      </m>
      <n v="68" in="0">
        <tpls c="3">
          <tpl fld="0" item="0"/>
          <tpl fld="1" item="264"/>
          <tpl fld="4" item="41"/>
        </tpls>
      </n>
      <m in="0">
        <tpls c="3">
          <tpl fld="0" item="0"/>
          <tpl fld="1" item="152"/>
          <tpl fld="4" item="39"/>
        </tpls>
      </m>
      <m in="0">
        <tpls c="3">
          <tpl fld="0" item="0"/>
          <tpl fld="1" item="408"/>
          <tpl fld="4" item="41"/>
        </tpls>
      </m>
      <n v="5" in="0">
        <tpls c="3">
          <tpl fld="0" item="0"/>
          <tpl fld="1" item="165"/>
          <tpl fld="4" item="41"/>
        </tpls>
      </n>
      <n v="8" in="0">
        <tpls c="3">
          <tpl fld="0" item="0"/>
          <tpl fld="1" item="269"/>
          <tpl fld="4" item="42"/>
        </tpls>
      </n>
      <m in="0">
        <tpls c="3">
          <tpl fld="0" item="0"/>
          <tpl fld="1" item="210"/>
          <tpl fld="4" item="41"/>
        </tpls>
      </m>
      <m in="0">
        <tpls c="3">
          <tpl fld="0" item="0"/>
          <tpl fld="1" item="329"/>
          <tpl fld="4" item="43"/>
        </tpls>
      </m>
      <n v="11" in="0">
        <tpls c="3">
          <tpl fld="0" item="0"/>
          <tpl fld="1" item="361"/>
          <tpl fld="4" item="41"/>
        </tpls>
      </n>
      <m in="0">
        <tpls c="3">
          <tpl fld="0" item="0"/>
          <tpl fld="1" item="384"/>
          <tpl fld="4" item="43"/>
        </tpls>
      </m>
      <m in="0">
        <tpls c="3">
          <tpl fld="0" item="0"/>
          <tpl fld="1" item="352"/>
          <tpl fld="4" item="42"/>
        </tpls>
      </m>
      <n v="38" in="0">
        <tpls c="3">
          <tpl fld="0" item="0"/>
          <tpl fld="1" item="305"/>
          <tpl fld="4" item="41"/>
        </tpls>
      </n>
      <m in="0">
        <tpls c="3">
          <tpl fld="0" item="0"/>
          <tpl fld="1" item="168"/>
          <tpl fld="4" item="43"/>
        </tpls>
      </m>
      <m in="0">
        <tpls c="3">
          <tpl fld="0" item="0"/>
          <tpl fld="1" item="295"/>
          <tpl fld="4" item="43"/>
        </tpls>
      </m>
      <n v="1" in="0">
        <tpls c="3">
          <tpl fld="0" item="0"/>
          <tpl fld="1" item="55"/>
          <tpl fld="4" item="42"/>
        </tpls>
      </n>
      <n v="2" in="0">
        <tpls c="3">
          <tpl fld="0" item="0"/>
          <tpl fld="1" item="359"/>
          <tpl fld="4" item="43"/>
        </tpls>
      </n>
      <m in="0">
        <tpls c="3">
          <tpl fld="0" item="0"/>
          <tpl fld="1" item="329"/>
          <tpl fld="4" item="42"/>
        </tpls>
      </m>
      <n v="3" in="0">
        <tpls c="3">
          <tpl fld="0" item="0"/>
          <tpl fld="1" item="382"/>
          <tpl fld="4" item="43"/>
        </tpls>
      </n>
      <m in="0">
        <tpls c="3">
          <tpl fld="0" item="0"/>
          <tpl fld="1" item="247"/>
          <tpl fld="4" item="43"/>
        </tpls>
      </m>
      <n v="6" in="0">
        <tpls c="3">
          <tpl fld="0" item="0"/>
          <tpl fld="1" item="106"/>
          <tpl fld="4" item="43"/>
        </tpls>
      </n>
      <n v="4" in="0">
        <tpls c="3">
          <tpl fld="0" item="0"/>
          <tpl fld="1" item="367"/>
          <tpl fld="4" item="42"/>
        </tpls>
      </n>
      <m in="0">
        <tpls c="3">
          <tpl fld="0" item="0"/>
          <tpl fld="1" item="272"/>
          <tpl fld="4" item="43"/>
        </tpls>
      </m>
      <n v="8" in="0">
        <tpls c="3">
          <tpl fld="0" item="0"/>
          <tpl fld="1" item="225"/>
          <tpl fld="4" item="42"/>
        </tpls>
      </n>
      <n v="4" in="0">
        <tpls c="3">
          <tpl fld="0" item="0"/>
          <tpl fld="1" item="410"/>
          <tpl fld="4" item="38"/>
        </tpls>
      </n>
      <n v="408" in="0">
        <tpls c="3">
          <tpl fld="0" item="0"/>
          <tpl fld="1" item="409"/>
          <tpl fld="4" item="37"/>
        </tpls>
      </n>
      <m in="0">
        <tpls c="3">
          <tpl fld="0" item="0"/>
          <tpl fld="1" item="439"/>
          <tpl fld="4" item="38"/>
        </tpls>
      </m>
      <n v="1" in="0">
        <tpls c="3">
          <tpl fld="0" item="0"/>
          <tpl fld="1" item="4"/>
          <tpl fld="4" item="38"/>
        </tpls>
      </n>
      <m in="0">
        <tpls c="3">
          <tpl fld="0" item="0"/>
          <tpl fld="1" item="213"/>
          <tpl fld="4" item="38"/>
        </tpls>
      </m>
      <n v="13" in="0">
        <tpls c="3">
          <tpl fld="0" item="0"/>
          <tpl fld="1" item="79"/>
          <tpl fld="4" item="41"/>
        </tpls>
      </n>
      <n v="18" in="0">
        <tpls c="3">
          <tpl fld="0" item="0"/>
          <tpl fld="1" item="133"/>
          <tpl fld="4" item="41"/>
        </tpls>
      </n>
      <m in="0">
        <tpls c="3">
          <tpl fld="0" item="0"/>
          <tpl fld="1" item="299"/>
          <tpl fld="4" item="39"/>
        </tpls>
      </m>
      <n v="3" in="0">
        <tpls c="3">
          <tpl fld="0" item="0"/>
          <tpl fld="1" item="386"/>
          <tpl fld="4" item="40"/>
        </tpls>
      </n>
      <m in="0">
        <tpls c="3">
          <tpl fld="0" item="0"/>
          <tpl fld="1" item="252"/>
          <tpl fld="4" item="38"/>
        </tpls>
      </m>
      <m in="0">
        <tpls c="3">
          <tpl fld="0" item="0"/>
          <tpl fld="1" item="396"/>
          <tpl fld="4" item="39"/>
        </tpls>
      </m>
      <n v="11" in="0">
        <tpls c="3">
          <tpl fld="0" item="0"/>
          <tpl fld="1" item="172"/>
          <tpl fld="4" item="41"/>
        </tpls>
      </n>
      <n v="4" in="0">
        <tpls c="3">
          <tpl fld="0" item="0"/>
          <tpl fld="1" item="299"/>
          <tpl fld="4" item="40"/>
        </tpls>
      </n>
      <m in="0">
        <tpls c="3">
          <tpl fld="0" item="0"/>
          <tpl fld="1" item="398"/>
          <tpl fld="4" item="39"/>
        </tpls>
      </m>
      <n v="4" in="0">
        <tpls c="3">
          <tpl fld="0" item="0"/>
          <tpl fld="1" item="369"/>
          <tpl fld="4" item="40"/>
        </tpls>
      </n>
      <n v="11" in="0">
        <tpls c="3">
          <tpl fld="0" item="0"/>
          <tpl fld="1" item="351"/>
          <tpl fld="4" item="39"/>
        </tpls>
      </n>
      <m in="0">
        <tpls c="3">
          <tpl fld="0" item="0"/>
          <tpl fld="1" item="110"/>
          <tpl fld="4" item="40"/>
        </tpls>
      </m>
      <n v="33" in="0">
        <tpls c="3">
          <tpl fld="0" item="0"/>
          <tpl fld="1" item="28"/>
          <tpl fld="4" item="40"/>
        </tpls>
      </n>
      <m in="0">
        <tpls c="3">
          <tpl fld="0" item="0"/>
          <tpl fld="1" item="34"/>
          <tpl fld="4" item="41"/>
        </tpls>
      </m>
      <n v="32" in="0">
        <tpls c="3">
          <tpl fld="0" item="0"/>
          <tpl fld="1" item="80"/>
          <tpl fld="4" item="41"/>
        </tpls>
      </n>
      <m in="0">
        <tpls c="3">
          <tpl fld="0" item="0"/>
          <tpl fld="1" item="97"/>
          <tpl fld="4" item="42"/>
        </tpls>
      </m>
      <n v="30" in="0">
        <tpls c="3">
          <tpl fld="0" item="0"/>
          <tpl fld="1" item="236"/>
          <tpl fld="4" item="41"/>
        </tpls>
      </n>
      <m in="0">
        <tpls c="3">
          <tpl fld="0" item="0"/>
          <tpl fld="1" item="437"/>
          <tpl fld="4" item="42"/>
        </tpls>
      </m>
      <m in="0">
        <tpls c="3">
          <tpl fld="0" item="0"/>
          <tpl fld="1" item="448"/>
          <tpl fld="4" item="42"/>
        </tpls>
      </m>
      <n v="56" in="0">
        <tpls c="3">
          <tpl fld="0" item="0"/>
          <tpl fld="1" item="114"/>
          <tpl fld="4" item="41"/>
        </tpls>
      </n>
      <m in="0">
        <tpls c="3">
          <tpl fld="0" item="0"/>
          <tpl fld="1" item="311"/>
          <tpl fld="4" item="42"/>
        </tpls>
      </m>
      <m in="0">
        <tpls c="3">
          <tpl fld="0" item="0"/>
          <tpl fld="1" item="408"/>
          <tpl fld="4" item="43"/>
        </tpls>
      </m>
      <n v="9" in="0">
        <tpls c="3">
          <tpl fld="0" item="0"/>
          <tpl fld="1" item="32"/>
          <tpl fld="4" item="42"/>
        </tpls>
      </n>
      <m in="0">
        <tpls c="3">
          <tpl fld="0" item="0"/>
          <tpl fld="1" item="170"/>
          <tpl fld="4" item="43"/>
        </tpls>
      </m>
      <m in="0">
        <tpls c="3">
          <tpl fld="0" item="0"/>
          <tpl fld="1" item="244"/>
          <tpl fld="4" item="42"/>
        </tpls>
      </m>
      <n v="8" in="0">
        <tpls c="3">
          <tpl fld="0" item="0"/>
          <tpl fld="1" item="377"/>
          <tpl fld="4" item="43"/>
        </tpls>
      </n>
      <m in="0">
        <tpls c="3">
          <tpl fld="0" item="0"/>
          <tpl fld="1" item="443"/>
          <tpl fld="4" item="43"/>
        </tpls>
      </m>
      <m in="0">
        <tpls c="3">
          <tpl fld="0" item="0"/>
          <tpl fld="1" item="186"/>
          <tpl fld="4" item="42"/>
        </tpls>
      </m>
      <m in="0">
        <tpls c="3">
          <tpl fld="0" item="0"/>
          <tpl fld="1" item="135"/>
          <tpl fld="4" item="43"/>
        </tpls>
      </m>
      <n v="1" in="0">
        <tpls c="3">
          <tpl fld="0" item="0"/>
          <tpl fld="1" item="325"/>
          <tpl fld="4" item="42"/>
        </tpls>
      </n>
      <m in="0">
        <tpls c="3">
          <tpl fld="0" item="0"/>
          <tpl fld="1" item="341"/>
          <tpl fld="4" item="43"/>
        </tpls>
      </m>
      <m in="0">
        <tpls c="3">
          <tpl fld="0" item="0"/>
          <tpl fld="1" item="341"/>
          <tpl fld="4" item="42"/>
        </tpls>
      </m>
      <n v="2" in="0">
        <tpls c="3">
          <tpl fld="0" item="0"/>
          <tpl fld="1" item="214"/>
          <tpl fld="4" item="43"/>
        </tpls>
      </n>
      <m in="0">
        <tpls c="3">
          <tpl fld="0" item="0"/>
          <tpl fld="1" item="369"/>
          <tpl fld="4" item="43"/>
        </tpls>
      </m>
      <n v="2" in="0">
        <tpls c="3">
          <tpl fld="0" item="0"/>
          <tpl fld="1" item="274"/>
          <tpl fld="4" item="43"/>
        </tpls>
      </n>
      <m in="0">
        <tpls c="3">
          <tpl fld="0" item="0"/>
          <tpl fld="1" item="378"/>
          <tpl fld="4" item="42"/>
        </tpls>
      </m>
      <n v="1" in="0">
        <tpls c="3">
          <tpl fld="0" item="0"/>
          <tpl fld="1" item="41"/>
          <tpl fld="4" item="39"/>
        </tpls>
      </n>
      <m in="0">
        <tpls c="3">
          <tpl fld="0" item="0"/>
          <tpl fld="1" item="371"/>
          <tpl fld="4" item="38"/>
        </tpls>
      </m>
      <m in="0">
        <tpls c="3">
          <tpl fld="0" item="0"/>
          <tpl fld="1" item="295"/>
          <tpl fld="4" item="38"/>
        </tpls>
      </m>
      <n v="1" in="0">
        <tpls c="3">
          <tpl fld="0" item="0"/>
          <tpl fld="1" item="0"/>
          <tpl fld="4" item="38"/>
        </tpls>
      </n>
      <m in="0">
        <tpls c="3">
          <tpl fld="0" item="0"/>
          <tpl fld="1" item="335"/>
          <tpl fld="4" item="38"/>
        </tpls>
      </m>
      <n v="2" in="0">
        <tpls c="3">
          <tpl fld="0" item="0"/>
          <tpl fld="1" item="199"/>
          <tpl fld="4" item="38"/>
        </tpls>
      </n>
      <n v="180" in="0">
        <tpls c="3">
          <tpl fld="0" item="0"/>
          <tpl fld="1" item="225"/>
          <tpl fld="4" item="41"/>
        </tpls>
      </n>
      <m in="0">
        <tpls c="3">
          <tpl fld="0" item="0"/>
          <tpl fld="1" item="109"/>
          <tpl fld="4" item="39"/>
        </tpls>
      </m>
      <n v="2" in="0">
        <tpls c="3">
          <tpl fld="0" item="0"/>
          <tpl fld="1" item="169"/>
          <tpl fld="4" item="40"/>
        </tpls>
      </n>
      <n v="9" in="0">
        <tpls c="3">
          <tpl fld="0" item="0"/>
          <tpl fld="1" item="337"/>
          <tpl fld="4" item="38"/>
        </tpls>
      </n>
      <m in="0">
        <tpls c="3">
          <tpl fld="0" item="0"/>
          <tpl fld="1" item="261"/>
          <tpl fld="4" item="40"/>
        </tpls>
      </m>
      <m in="0">
        <tpls c="3">
          <tpl fld="0" item="0"/>
          <tpl fld="1" item="63"/>
          <tpl fld="4" item="42"/>
        </tpls>
      </m>
      <n v="7" in="0">
        <tpls c="3">
          <tpl fld="0" item="0"/>
          <tpl fld="1" item="372"/>
          <tpl fld="4" item="40"/>
        </tpls>
      </n>
      <n v="3" in="0">
        <tpls c="3">
          <tpl fld="0" item="0"/>
          <tpl fld="1" item="339"/>
          <tpl fld="4" item="39"/>
        </tpls>
      </n>
      <m in="0">
        <tpls c="3">
          <tpl fld="0" item="0"/>
          <tpl fld="1" item="318"/>
          <tpl fld="4" item="40"/>
        </tpls>
      </m>
      <n v="5" in="0">
        <tpls c="3">
          <tpl fld="0" item="0"/>
          <tpl fld="1" item="368"/>
          <tpl fld="4" item="39"/>
        </tpls>
      </n>
      <m in="0">
        <tpls c="3">
          <tpl fld="0" item="0"/>
          <tpl fld="1" item="440"/>
          <tpl fld="4" item="40"/>
        </tpls>
      </m>
      <n v="31" in="0">
        <tpls c="3">
          <tpl fld="0" item="0"/>
          <tpl fld="1" item="139"/>
          <tpl fld="4" item="40"/>
        </tpls>
      </n>
      <n v="2" in="0">
        <tpls c="3">
          <tpl fld="0" item="0"/>
          <tpl fld="1" item="326"/>
          <tpl fld="4" item="42"/>
        </tpls>
      </n>
      <n v="4" in="0">
        <tpls c="3">
          <tpl fld="0" item="0"/>
          <tpl fld="1" item="181"/>
          <tpl fld="4" item="41"/>
        </tpls>
      </n>
      <m in="0">
        <tpls c="3">
          <tpl fld="0" item="0"/>
          <tpl fld="1" item="346"/>
          <tpl fld="4" item="42"/>
        </tpls>
      </m>
      <n v="48" in="0">
        <tpls c="3">
          <tpl fld="0" item="0"/>
          <tpl fld="1" item="365"/>
          <tpl fld="4" item="41"/>
        </tpls>
      </n>
      <m in="0">
        <tpls c="3">
          <tpl fld="0" item="0"/>
          <tpl fld="1" item="155"/>
          <tpl fld="4" item="42"/>
        </tpls>
      </m>
      <m in="0">
        <tpls c="3">
          <tpl fld="0" item="0"/>
          <tpl fld="2" item="0"/>
          <tpl fld="4" item="42"/>
        </tpls>
      </m>
      <n v="3" in="0">
        <tpls c="3">
          <tpl fld="0" item="0"/>
          <tpl fld="1" item="290"/>
          <tpl fld="4" item="41"/>
        </tpls>
      </n>
      <n v="4" in="0">
        <tpls c="3">
          <tpl fld="0" item="0"/>
          <tpl fld="1" item="319"/>
          <tpl fld="4" item="43"/>
        </tpls>
      </n>
      <m in="0">
        <tpls c="3">
          <tpl fld="0" item="0"/>
          <tpl fld="1" item="237"/>
          <tpl fld="4" item="43"/>
        </tpls>
      </m>
      <n v="2" in="0">
        <tpls c="3">
          <tpl fld="0" item="0"/>
          <tpl fld="1" item="397"/>
          <tpl fld="4" item="42"/>
        </tpls>
      </n>
      <m in="0">
        <tpls c="3">
          <tpl fld="0" item="0"/>
          <tpl fld="1" item="446"/>
          <tpl fld="4" item="43"/>
        </tpls>
      </m>
      <m in="0">
        <tpls c="3">
          <tpl fld="0" item="0"/>
          <tpl fld="1" item="407"/>
          <tpl fld="4" item="42"/>
        </tpls>
      </m>
      <n v="2" in="0">
        <tpls c="3">
          <tpl fld="0" item="0"/>
          <tpl fld="1" item="39"/>
          <tpl fld="4" item="42"/>
        </tpls>
      </n>
      <m in="0">
        <tpls c="3">
          <tpl fld="0" item="0"/>
          <tpl fld="1" item="371"/>
          <tpl fld="4" item="43"/>
        </tpls>
      </m>
      <m in="0">
        <tpls c="3">
          <tpl fld="0" item="0"/>
          <tpl fld="2" item="0"/>
          <tpl fld="4" item="43"/>
        </tpls>
      </m>
      <m in="0">
        <tpls c="3">
          <tpl fld="0" item="0"/>
          <tpl fld="1" item="253"/>
          <tpl fld="4" item="42"/>
        </tpls>
      </m>
      <m in="0">
        <tpls c="3">
          <tpl fld="0" item="0"/>
          <tpl fld="1" item="166"/>
          <tpl fld="4" item="39"/>
        </tpls>
      </m>
      <m in="0">
        <tpls c="3">
          <tpl fld="0" item="0"/>
          <tpl fld="1" item="332"/>
          <tpl fld="4" item="38"/>
        </tpls>
      </m>
      <n v="2" in="0">
        <tpls c="3">
          <tpl fld="0" item="0"/>
          <tpl fld="1" item="64"/>
          <tpl fld="4" item="38"/>
        </tpls>
      </n>
      <m in="0">
        <tpls c="3">
          <tpl fld="0" item="0"/>
          <tpl fld="1" item="197"/>
          <tpl fld="4" item="39"/>
        </tpls>
      </m>
      <m in="0">
        <tpls c="3">
          <tpl fld="0" item="0"/>
          <tpl fld="1" item="423"/>
          <tpl fld="4" item="38"/>
        </tpls>
      </m>
      <m in="0">
        <tpls c="3">
          <tpl fld="0" item="0"/>
          <tpl fld="1" item="89"/>
          <tpl fld="4" item="39"/>
        </tpls>
      </m>
      <n v="20" in="0">
        <tpls c="3">
          <tpl fld="0" item="0"/>
          <tpl fld="1" item="168"/>
          <tpl fld="4" item="41"/>
        </tpls>
      </n>
      <n v="17" in="0">
        <tpls c="3">
          <tpl fld="0" item="0"/>
          <tpl fld="1" item="385"/>
          <tpl fld="4" item="39"/>
        </tpls>
      </n>
      <n v="5" in="0">
        <tpls c="3">
          <tpl fld="0" item="0"/>
          <tpl fld="1" item="4"/>
          <tpl fld="4" item="40"/>
        </tpls>
      </n>
      <m in="0">
        <tpls c="3">
          <tpl fld="0" item="0"/>
          <tpl fld="1" item="203"/>
          <tpl fld="4" item="38"/>
        </tpls>
      </m>
      <n v="13" in="0">
        <tpls c="3">
          <tpl fld="0" item="0"/>
          <tpl fld="1" item="77"/>
          <tpl fld="4" item="40"/>
        </tpls>
      </n>
      <m in="0">
        <tpls c="3">
          <tpl fld="0" item="0"/>
          <tpl fld="1" item="338"/>
          <tpl fld="4" item="42"/>
        </tpls>
      </m>
      <m in="0">
        <tpls c="3">
          <tpl fld="0" item="0"/>
          <tpl fld="1" item="122"/>
          <tpl fld="4" item="40"/>
        </tpls>
      </m>
      <n v="2" in="0">
        <tpls c="3">
          <tpl fld="0" item="0"/>
          <tpl fld="1" item="120"/>
          <tpl fld="4" item="39"/>
        </tpls>
      </n>
      <n v="1" in="0">
        <tpls c="3">
          <tpl fld="0" item="0"/>
          <tpl fld="1" item="217"/>
          <tpl fld="4" item="40"/>
        </tpls>
      </n>
      <m in="0">
        <tpls c="3">
          <tpl fld="0" item="0"/>
          <tpl fld="1" item="168"/>
          <tpl fld="4" item="39"/>
        </tpls>
      </m>
      <m in="0">
        <tpls c="3">
          <tpl fld="0" item="0"/>
          <tpl fld="1" item="396"/>
          <tpl fld="4" item="40"/>
        </tpls>
      </m>
      <m in="0">
        <tpls c="3">
          <tpl fld="0" item="0"/>
          <tpl fld="1" item="135"/>
          <tpl fld="4" item="40"/>
        </tpls>
      </m>
      <m in="0">
        <tpls c="3">
          <tpl fld="0" item="0"/>
          <tpl fld="1" item="108"/>
          <tpl fld="4" item="42"/>
        </tpls>
      </m>
      <m in="0">
        <tpls c="3">
          <tpl fld="0" item="0"/>
          <tpl fld="1" item="423"/>
          <tpl fld="4" item="41"/>
        </tpls>
      </m>
      <m in="0">
        <tpls c="3">
          <tpl fld="0" item="0"/>
          <tpl fld="1" item="53"/>
          <tpl fld="4" item="42"/>
        </tpls>
      </m>
      <m in="0">
        <tpls c="3">
          <tpl fld="0" item="0"/>
          <tpl fld="1" item="327"/>
          <tpl fld="4" item="41"/>
        </tpls>
      </m>
      <m in="0">
        <tpls c="3">
          <tpl fld="0" item="0"/>
          <tpl fld="1" item="152"/>
          <tpl fld="4" item="42"/>
        </tpls>
      </m>
      <n v="6" in="0">
        <tpls c="3">
          <tpl fld="0" item="0"/>
          <tpl fld="1" item="279"/>
          <tpl fld="4" item="42"/>
        </tpls>
      </n>
      <n v="54" in="0">
        <tpls c="3">
          <tpl fld="0" item="0"/>
          <tpl fld="1" item="348"/>
          <tpl fld="4" item="41"/>
        </tpls>
      </n>
      <m in="0">
        <tpls c="3">
          <tpl fld="0" item="0"/>
          <tpl fld="1" item="17"/>
          <tpl fld="4" item="43"/>
        </tpls>
      </m>
      <m in="0">
        <tpls c="3">
          <tpl fld="0" item="0"/>
          <tpl fld="1" item="153"/>
          <tpl fld="4" item="43"/>
        </tpls>
      </m>
      <n v="1" in="0">
        <tpls c="3">
          <tpl fld="0" item="0"/>
          <tpl fld="1" item="333"/>
          <tpl fld="4" item="42"/>
        </tpls>
      </n>
      <m in="0">
        <tpls c="3">
          <tpl fld="0" item="0"/>
          <tpl fld="1" item="154"/>
          <tpl fld="4" item="43"/>
        </tpls>
      </m>
      <m in="0">
        <tpls c="3">
          <tpl fld="0" item="0"/>
          <tpl fld="1" item="204"/>
          <tpl fld="4" item="43"/>
        </tpls>
      </m>
      <n v="33" in="0">
        <tpls c="3">
          <tpl fld="0" item="0"/>
          <tpl fld="1" item="0"/>
          <tpl fld="4" item="37"/>
        </tpls>
      </n>
      <m in="0">
        <tpls c="3">
          <tpl fld="0" item="0"/>
          <tpl fld="1" item="248"/>
          <tpl fld="4" item="42"/>
        </tpls>
      </m>
      <n v="14" in="0">
        <tpls c="3">
          <tpl fld="0" item="0"/>
          <tpl fld="1" item="80"/>
          <tpl fld="4" item="38"/>
        </tpls>
      </n>
      <m in="0">
        <tpls c="3">
          <tpl fld="0" item="0"/>
          <tpl fld="1" item="147"/>
          <tpl fld="4" item="38"/>
        </tpls>
      </m>
      <m in="0">
        <tpls c="3">
          <tpl fld="0" item="0"/>
          <tpl fld="1" item="192"/>
          <tpl fld="4" item="38"/>
        </tpls>
      </m>
      <n v="78" in="0">
        <tpls c="3">
          <tpl fld="0" item="0"/>
          <tpl fld="1" item="11"/>
          <tpl fld="4" item="40"/>
        </tpls>
      </n>
      <m in="0">
        <tpls c="3">
          <tpl fld="0" item="0"/>
          <tpl fld="1" item="192"/>
          <tpl fld="4" item="41"/>
        </tpls>
      </m>
      <m in="0">
        <tpls c="3">
          <tpl fld="0" item="0"/>
          <tpl fld="1" item="408"/>
          <tpl fld="4" item="39"/>
        </tpls>
      </m>
      <m in="0">
        <tpls c="3">
          <tpl fld="0" item="0"/>
          <tpl fld="1" item="272"/>
          <tpl fld="4" item="40"/>
        </tpls>
      </m>
      <n v="9" in="0">
        <tpls c="3">
          <tpl fld="0" item="0"/>
          <tpl fld="1" item="144"/>
          <tpl fld="4" item="38"/>
        </tpls>
      </n>
      <n v="1" in="0">
        <tpls c="3">
          <tpl fld="0" item="0"/>
          <tpl fld="1" item="359"/>
          <tpl fld="4" item="39"/>
        </tpls>
      </n>
      <m in="0">
        <tpls c="3">
          <tpl fld="0" item="0"/>
          <tpl fld="1" item="244"/>
          <tpl fld="4" item="41"/>
        </tpls>
      </m>
      <n v="6" in="0">
        <tpls c="3">
          <tpl fld="0" item="0"/>
          <tpl fld="1" item="18"/>
          <tpl fld="4" item="40"/>
        </tpls>
      </n>
      <n v="11" in="0">
        <tpls c="3">
          <tpl fld="0" item="0"/>
          <tpl fld="1" item="365"/>
          <tpl fld="4" item="39"/>
        </tpls>
      </n>
      <n v="3" in="0">
        <tpls c="3">
          <tpl fld="0" item="0"/>
          <tpl fld="1" item="449"/>
          <tpl fld="4" item="40"/>
        </tpls>
      </n>
      <m in="0">
        <tpls c="3">
          <tpl fld="0" item="0"/>
          <tpl fld="1" item="268"/>
          <tpl fld="4" item="39"/>
        </tpls>
      </m>
      <m in="0">
        <tpls c="3">
          <tpl fld="0" item="0"/>
          <tpl fld="1" item="340"/>
          <tpl fld="4" item="40"/>
        </tpls>
      </m>
      <n v="13" in="0">
        <tpls c="3">
          <tpl fld="0" item="0"/>
          <tpl fld="1" item="287"/>
          <tpl fld="4" item="40"/>
        </tpls>
      </n>
      <m in="0">
        <tpls c="3">
          <tpl fld="0" item="0"/>
          <tpl fld="1" item="122"/>
          <tpl fld="4" item="41"/>
        </tpls>
      </m>
      <n v="36" in="0">
        <tpls c="3">
          <tpl fld="0" item="0"/>
          <tpl fld="1" item="179"/>
          <tpl fld="4" item="41"/>
        </tpls>
      </n>
      <n v="8" in="0">
        <tpls c="3">
          <tpl fld="0" item="0"/>
          <tpl fld="1" item="183"/>
          <tpl fld="4" item="42"/>
        </tpls>
      </n>
      <n v="246" in="0">
        <tpls c="3">
          <tpl fld="0" item="0"/>
          <tpl fld="1" item="105"/>
          <tpl fld="4" item="41"/>
        </tpls>
      </n>
      <n v="3" in="0">
        <tpls c="3">
          <tpl fld="0" item="0"/>
          <tpl fld="1" item="264"/>
          <tpl fld="4" item="42"/>
        </tpls>
      </n>
      <n v="2" in="0">
        <tpls c="3">
          <tpl fld="0" item="0"/>
          <tpl fld="1" item="226"/>
          <tpl fld="4" item="42"/>
        </tpls>
      </n>
      <n v="9" in="0">
        <tpls c="3">
          <tpl fld="0" item="0"/>
          <tpl fld="1" item="178"/>
          <tpl fld="4" item="41"/>
        </tpls>
      </n>
      <m in="0">
        <tpls c="3">
          <tpl fld="0" item="0"/>
          <tpl fld="1" item="300"/>
          <tpl fld="4" item="42"/>
        </tpls>
      </m>
      <n v="3" in="0">
        <tpls c="3">
          <tpl fld="0" item="0"/>
          <tpl fld="1" item="99"/>
          <tpl fld="4" item="43"/>
        </tpls>
      </n>
      <m in="0">
        <tpls c="3">
          <tpl fld="0" item="0"/>
          <tpl fld="1" item="23"/>
          <tpl fld="4" item="42"/>
        </tpls>
      </m>
      <n v="3" in="0">
        <tpls c="3">
          <tpl fld="0" item="0"/>
          <tpl fld="1" item="258"/>
          <tpl fld="4" item="43"/>
        </tpls>
      </n>
      <n v="2" in="0">
        <tpls c="3">
          <tpl fld="0" item="0"/>
          <tpl fld="1" item="174"/>
          <tpl fld="4" item="42"/>
        </tpls>
      </n>
      <n v="6" in="0">
        <tpls c="3">
          <tpl fld="0" item="0"/>
          <tpl fld="1" item="28"/>
          <tpl fld="4" item="43"/>
        </tpls>
      </n>
      <n v="2" in="0">
        <tpls c="3">
          <tpl fld="0" item="0"/>
          <tpl fld="1" item="419"/>
          <tpl fld="4" item="43"/>
        </tpls>
      </n>
      <m in="0">
        <tpls c="3">
          <tpl fld="0" item="0"/>
          <tpl fld="1" item="74"/>
          <tpl fld="4" item="43"/>
        </tpls>
      </m>
      <m in="0">
        <tpls c="3">
          <tpl fld="0" item="0"/>
          <tpl fld="1" item="251"/>
          <tpl fld="4" item="38"/>
        </tpls>
      </m>
      <m in="0">
        <tpls c="3">
          <tpl fld="0" item="0"/>
          <tpl fld="1" item="90"/>
          <tpl fld="4" item="42"/>
        </tpls>
      </m>
      <m in="0">
        <tpls c="3">
          <tpl fld="0" item="0"/>
          <tpl fld="1" item="310"/>
          <tpl fld="4" item="38"/>
        </tpls>
      </m>
      <n v="21" in="0">
        <tpls c="3">
          <tpl fld="0" item="0"/>
          <tpl fld="1" item="269"/>
          <tpl fld="4" item="38"/>
        </tpls>
      </n>
      <m in="0">
        <tpls c="3">
          <tpl fld="0" item="0"/>
          <tpl fld="1" item="457"/>
          <tpl fld="4" item="38"/>
        </tpls>
      </m>
      <n v="5" in="0">
        <tpls c="3">
          <tpl fld="0" item="0"/>
          <tpl fld="1" item="437"/>
          <tpl fld="4" item="40"/>
        </tpls>
      </n>
      <m in="0">
        <tpls c="3">
          <tpl fld="0" item="0"/>
          <tpl fld="1" item="338"/>
          <tpl fld="4" item="41"/>
        </tpls>
      </m>
      <m in="0">
        <tpls c="3">
          <tpl fld="0" item="0"/>
          <tpl fld="1" item="353"/>
          <tpl fld="4" item="39"/>
        </tpls>
      </m>
      <m in="0">
        <tpls c="3">
          <tpl fld="0" item="0"/>
          <tpl fld="1" item="327"/>
          <tpl fld="4" item="40"/>
        </tpls>
      </m>
      <n v="9" in="0">
        <tpls c="3">
          <tpl fld="0" item="0"/>
          <tpl fld="1" item="105"/>
          <tpl fld="4" item="38"/>
        </tpls>
      </n>
      <m in="0">
        <tpls c="3">
          <tpl fld="0" item="0"/>
          <tpl fld="1" item="304"/>
          <tpl fld="4" item="39"/>
        </tpls>
      </m>
      <m in="0">
        <tpls c="3">
          <tpl fld="0" item="0"/>
          <tpl fld="1" item="413"/>
          <tpl fld="4" item="41"/>
        </tpls>
      </m>
      <n v="121" in="0">
        <tpls c="3">
          <tpl fld="0" item="0"/>
          <tpl fld="1" item="288"/>
          <tpl fld="4" item="40"/>
        </tpls>
      </n>
      <m in="0">
        <tpls c="3">
          <tpl fld="0" item="0"/>
          <tpl fld="1" item="355"/>
          <tpl fld="4" item="39"/>
        </tpls>
      </m>
      <m in="0">
        <tpls c="3">
          <tpl fld="0" item="0"/>
          <tpl fld="1" item="96"/>
          <tpl fld="4" item="40"/>
        </tpls>
      </m>
      <m in="0">
        <tpls c="3">
          <tpl fld="0" item="0"/>
          <tpl fld="1" item="84"/>
          <tpl fld="4" item="39"/>
        </tpls>
      </m>
      <n v="49" in="0">
        <tpls c="3">
          <tpl fld="0" item="0"/>
          <tpl fld="1" item="177"/>
          <tpl fld="4" item="40"/>
        </tpls>
      </n>
      <n v="46" in="0">
        <tpls c="3">
          <tpl fld="0" item="0"/>
          <tpl fld="1" item="42"/>
          <tpl fld="4" item="40"/>
        </tpls>
      </n>
      <n v="41" in="0">
        <tpls c="3">
          <tpl fld="0" item="0"/>
          <tpl fld="1" item="424"/>
          <tpl fld="4" item="41"/>
        </tpls>
      </n>
      <n v="144" in="0">
        <tpls c="3">
          <tpl fld="0" item="0"/>
          <tpl fld="1" item="67"/>
          <tpl fld="4" item="41"/>
        </tpls>
      </n>
      <n v="20" in="0">
        <tpls c="3">
          <tpl fld="0" item="0"/>
          <tpl fld="1" item="288"/>
          <tpl fld="4" item="42"/>
        </tpls>
      </n>
      <m in="0">
        <tpls c="3">
          <tpl fld="0" item="0"/>
          <tpl fld="1" item="63"/>
          <tpl fld="4" item="41"/>
        </tpls>
      </m>
      <n v="1" in="0">
        <tpls c="3">
          <tpl fld="0" item="0"/>
          <tpl fld="1" item="65"/>
          <tpl fld="4" item="42"/>
        </tpls>
      </n>
      <n v="1" in="0">
        <tpls c="3">
          <tpl fld="0" item="0"/>
          <tpl fld="1" item="115"/>
          <tpl fld="4" item="42"/>
        </tpls>
      </n>
      <n v="9" in="0">
        <tpls c="3">
          <tpl fld="0" item="0"/>
          <tpl fld="1" item="310"/>
          <tpl fld="4" item="41"/>
        </tpls>
      </n>
      <m in="0">
        <tpls c="3">
          <tpl fld="0" item="0"/>
          <tpl fld="1" item="168"/>
          <tpl fld="4" item="42"/>
        </tpls>
      </m>
      <m in="0">
        <tpls c="3">
          <tpl fld="0" item="0"/>
          <tpl fld="1" item="450"/>
          <tpl fld="4" item="43"/>
        </tpls>
      </m>
      <n v="1" in="0">
        <tpls c="3">
          <tpl fld="0" item="0"/>
          <tpl fld="1" item="454"/>
          <tpl fld="4" item="42"/>
        </tpls>
      </n>
      <m in="0">
        <tpls c="3">
          <tpl fld="0" item="0"/>
          <tpl fld="1" item="362"/>
          <tpl fld="4" item="43"/>
        </tpls>
      </m>
      <n v="1" in="0">
        <tpls c="3">
          <tpl fld="0" item="0"/>
          <tpl fld="1" item="58"/>
          <tpl fld="4" item="42"/>
        </tpls>
      </n>
      <n v="3" in="0">
        <tpls c="3">
          <tpl fld="0" item="0"/>
          <tpl fld="1" item="427"/>
          <tpl fld="4" item="43"/>
        </tpls>
      </n>
      <m in="0">
        <tpls c="3">
          <tpl fld="0" item="0"/>
          <tpl fld="1" item="221"/>
          <tpl fld="4" item="43"/>
        </tpls>
      </m>
      <m in="0">
        <tpls c="3">
          <tpl fld="0" item="0"/>
          <tpl fld="1" item="81"/>
          <tpl fld="4" item="42"/>
        </tpls>
      </m>
      <m in="0">
        <tpls c="3">
          <tpl fld="0" item="0"/>
          <tpl fld="1" item="297"/>
          <tpl fld="4" item="43"/>
        </tpls>
      </m>
      <n v="8" in="0">
        <tpls c="3">
          <tpl fld="0" item="0"/>
          <tpl fld="1" item="57"/>
          <tpl fld="4" item="42"/>
        </tpls>
      </n>
      <m in="0">
        <tpls c="3">
          <tpl fld="0" item="0"/>
          <tpl fld="1" item="426"/>
          <tpl fld="4" item="43"/>
        </tpls>
      </m>
      <m in="0">
        <tpls c="3">
          <tpl fld="0" item="0"/>
          <tpl fld="1" item="92"/>
          <tpl fld="4" item="38"/>
        </tpls>
      </m>
      <n v="169" in="0">
        <tpls c="3">
          <tpl fld="0" item="0"/>
          <tpl fld="1" item="104"/>
          <tpl fld="4" item="37"/>
        </tpls>
      </n>
      <m in="0">
        <tpls c="3">
          <tpl fld="0" item="0"/>
          <tpl fld="1" item="294"/>
          <tpl fld="4" item="38"/>
        </tpls>
      </m>
      <m in="0">
        <tpls c="3">
          <tpl fld="0" item="0"/>
          <tpl fld="1" item="276"/>
          <tpl fld="4" item="38"/>
        </tpls>
      </m>
      <m in="0">
        <tpls c="3">
          <tpl fld="0" item="0"/>
          <tpl fld="1" item="338"/>
          <tpl fld="4" item="38"/>
        </tpls>
      </m>
      <m in="0">
        <tpls c="3">
          <tpl fld="0" item="0"/>
          <tpl fld="1" item="90"/>
          <tpl fld="4" item="40"/>
        </tpls>
      </m>
      <n v="1" in="0">
        <tpls c="3">
          <tpl fld="0" item="0"/>
          <tpl fld="1" item="212"/>
          <tpl fld="4" item="41"/>
        </tpls>
      </n>
      <n v="8" in="0">
        <tpls c="3">
          <tpl fld="0" item="0"/>
          <tpl fld="1" item="230"/>
          <tpl fld="4" item="39"/>
        </tpls>
      </n>
      <n v="74" in="0">
        <tpls c="3">
          <tpl fld="0" item="0"/>
          <tpl fld="1" item="132"/>
          <tpl fld="4" item="40"/>
        </tpls>
      </n>
      <m in="0">
        <tpls c="3">
          <tpl fld="0" item="0"/>
          <tpl fld="1" item="88"/>
          <tpl fld="4" item="38"/>
        </tpls>
      </m>
      <n v="1" in="0">
        <tpls c="3">
          <tpl fld="0" item="0"/>
          <tpl fld="1" item="226"/>
          <tpl fld="4" item="39"/>
        </tpls>
      </n>
      <n v="16" in="0">
        <tpls c="3">
          <tpl fld="0" item="0"/>
          <tpl fld="1" item="161"/>
          <tpl fld="4" item="41"/>
        </tpls>
      </n>
      <m in="0">
        <tpls c="3">
          <tpl fld="0" item="0"/>
          <tpl fld="1" item="170"/>
          <tpl fld="4" item="40"/>
        </tpls>
      </m>
      <n v="22" in="0">
        <tpls c="3">
          <tpl fld="0" item="0"/>
          <tpl fld="1" item="269"/>
          <tpl fld="4" item="39"/>
        </tpls>
      </n>
      <m in="0">
        <tpls c="3">
          <tpl fld="0" item="0"/>
          <tpl fld="1" item="268"/>
          <tpl fld="4" item="40"/>
        </tpls>
      </m>
      <n v="1" in="0">
        <tpls c="3">
          <tpl fld="0" item="0"/>
          <tpl fld="1" item="430"/>
          <tpl fld="4" item="39"/>
        </tpls>
      </n>
      <m in="0">
        <tpls c="3">
          <tpl fld="0" item="0"/>
          <tpl fld="1" item="237"/>
          <tpl fld="4" item="40"/>
        </tpls>
      </m>
      <m in="0">
        <tpls c="3">
          <tpl fld="0" item="0"/>
          <tpl fld="1" item="109"/>
          <tpl fld="4" item="40"/>
        </tpls>
      </m>
      <n v="32" in="0">
        <tpls c="3">
          <tpl fld="0" item="0"/>
          <tpl fld="1" item="425"/>
          <tpl fld="4" item="41"/>
        </tpls>
      </n>
      <n v="5" in="0">
        <tpls c="3">
          <tpl fld="0" item="0"/>
          <tpl fld="1" item="2"/>
          <tpl fld="4" item="41"/>
        </tpls>
      </n>
      <m in="0">
        <tpls c="3">
          <tpl fld="0" item="0"/>
          <tpl fld="1" item="147"/>
          <tpl fld="4" item="42"/>
        </tpls>
      </m>
      <m in="0">
        <tpls c="3">
          <tpl fld="0" item="0"/>
          <tpl fld="1" item="241"/>
          <tpl fld="4" item="41"/>
        </tpls>
      </m>
      <n v="10" in="0">
        <tpls c="3">
          <tpl fld="0" item="0"/>
          <tpl fld="1" item="377"/>
          <tpl fld="4" item="42"/>
        </tpls>
      </n>
      <n v="18" in="0">
        <tpls c="3">
          <tpl fld="0" item="0"/>
          <tpl fld="1" item="390"/>
          <tpl fld="4" item="42"/>
        </tpls>
      </n>
      <n v="187" in="0">
        <tpls c="3">
          <tpl fld="0" item="0"/>
          <tpl fld="1" item="281"/>
          <tpl fld="4" item="41"/>
        </tpls>
      </n>
      <m in="0">
        <tpls c="3">
          <tpl fld="0" item="0"/>
          <tpl fld="1" item="75"/>
          <tpl fld="4" item="42"/>
        </tpls>
      </m>
      <n v="1" in="0">
        <tpls c="3">
          <tpl fld="0" item="0"/>
          <tpl fld="1" item="323"/>
          <tpl fld="4" item="43"/>
        </tpls>
      </n>
      <m in="0">
        <tpls c="3">
          <tpl fld="0" item="0"/>
          <tpl fld="1" item="213"/>
          <tpl fld="4" item="42"/>
        </tpls>
      </m>
      <m in="0">
        <tpls c="3">
          <tpl fld="0" item="0"/>
          <tpl fld="1" item="423"/>
          <tpl fld="4" item="43"/>
        </tpls>
      </m>
      <n v="2" in="0">
        <tpls c="3">
          <tpl fld="0" item="0"/>
          <tpl fld="1" item="8"/>
          <tpl fld="4" item="42"/>
        </tpls>
      </n>
      <n v="3" in="0">
        <tpls c="3">
          <tpl fld="0" item="0"/>
          <tpl fld="1" item="279"/>
          <tpl fld="4" item="43"/>
        </tpls>
      </n>
      <n v="11" in="0">
        <tpls c="3">
          <tpl fld="0" item="0"/>
          <tpl fld="1" item="32"/>
          <tpl fld="4" item="43"/>
        </tpls>
      </n>
      <m in="0">
        <tpls c="3">
          <tpl fld="0" item="0"/>
          <tpl fld="1" item="284"/>
          <tpl fld="4" item="42"/>
        </tpls>
      </m>
      <m in="0">
        <tpls c="3">
          <tpl fld="0" item="0"/>
          <tpl fld="1" item="98"/>
          <tpl fld="4" item="43"/>
        </tpls>
      </m>
      <m in="0">
        <tpls c="3">
          <tpl fld="0" item="0"/>
          <tpl fld="1" item="431"/>
          <tpl fld="4" item="42"/>
        </tpls>
      </m>
      <n v="2" in="0">
        <tpls c="3">
          <tpl fld="0" item="0"/>
          <tpl fld="1" item="224"/>
          <tpl fld="4" item="43"/>
        </tpls>
      </n>
      <m in="0">
        <tpls c="3">
          <tpl fld="0" item="0"/>
          <tpl fld="1" item="328"/>
          <tpl fld="4" item="43"/>
        </tpls>
      </m>
      <m in="0">
        <tpls c="3">
          <tpl fld="0" item="0"/>
          <tpl fld="1" item="37"/>
          <tpl fld="4" item="42"/>
        </tpls>
      </m>
      <n v="4" in="0">
        <tpls c="3">
          <tpl fld="0" item="0"/>
          <tpl fld="1" item="273"/>
          <tpl fld="4" item="42"/>
        </tpls>
      </n>
      <m in="0">
        <tpls c="3">
          <tpl fld="0" item="0"/>
          <tpl fld="1" item="358"/>
          <tpl fld="4" item="43"/>
        </tpls>
      </m>
      <m in="0">
        <tpls c="3">
          <tpl fld="0" item="0"/>
          <tpl fld="1" item="254"/>
          <tpl fld="4" item="43"/>
        </tpls>
      </m>
      <n v="7" in="0">
        <tpls c="3">
          <tpl fld="0" item="0"/>
          <tpl fld="1" item="139"/>
          <tpl fld="4" item="42"/>
        </tpls>
      </n>
      <m in="0">
        <tpls c="3">
          <tpl fld="0" item="0"/>
          <tpl fld="1" item="235"/>
          <tpl fld="4" item="0"/>
        </tpls>
      </m>
      <m in="0">
        <tpls c="3">
          <tpl fld="0" item="0"/>
          <tpl fld="1" item="142"/>
          <tpl fld="4" item="0"/>
        </tpls>
      </m>
      <m in="0">
        <tpls c="3">
          <tpl fld="0" item="0"/>
          <tpl fld="1" item="39"/>
          <tpl fld="4" item="0"/>
        </tpls>
      </m>
      <m in="0">
        <tpls c="3">
          <tpl fld="0" item="0"/>
          <tpl fld="1" item="210"/>
          <tpl fld="4" item="0"/>
        </tpls>
      </m>
      <m in="0">
        <tpls c="3">
          <tpl fld="0" item="0"/>
          <tpl fld="1" item="193"/>
          <tpl fld="4" item="0"/>
        </tpls>
      </m>
      <m in="0">
        <tpls c="3">
          <tpl fld="0" item="0"/>
          <tpl fld="1" item="302"/>
          <tpl fld="4" item="0"/>
        </tpls>
      </m>
      <m in="0">
        <tpls c="3">
          <tpl fld="0" item="0"/>
          <tpl fld="1" item="433"/>
          <tpl fld="4" item="0"/>
        </tpls>
      </m>
      <m in="0">
        <tpls c="3">
          <tpl fld="0" item="0"/>
          <tpl fld="1" item="427"/>
          <tpl fld="4" item="0"/>
        </tpls>
      </m>
      <m in="0">
        <tpls c="3">
          <tpl fld="0" item="0"/>
          <tpl fld="1" item="370"/>
          <tpl fld="4" item="0"/>
        </tpls>
      </m>
      <m in="0">
        <tpls c="3">
          <tpl fld="0" item="0"/>
          <tpl fld="1" item="233"/>
          <tpl fld="4" item="0"/>
        </tpls>
      </m>
      <n v="9" in="0">
        <tpls c="3">
          <tpl fld="0" item="0"/>
          <tpl fld="1" item="141"/>
          <tpl fld="4" item="38"/>
        </tpls>
      </n>
      <n v="2" in="0">
        <tpls c="3">
          <tpl fld="0" item="0"/>
          <tpl fld="1" item="383"/>
          <tpl fld="4" item="38"/>
        </tpls>
      </n>
      <n v="37" in="0">
        <tpls c="3">
          <tpl fld="0" item="0"/>
          <tpl fld="1" item="10"/>
          <tpl fld="4" item="41"/>
        </tpls>
      </n>
      <n v="39" in="0">
        <tpls c="3">
          <tpl fld="0" item="0"/>
          <tpl fld="1" item="32"/>
          <tpl fld="4" item="40"/>
        </tpls>
      </n>
      <n v="17" in="0">
        <tpls c="3">
          <tpl fld="0" item="0"/>
          <tpl fld="1" item="368"/>
          <tpl fld="4" item="40"/>
        </tpls>
      </n>
      <m in="0">
        <tpls c="3">
          <tpl fld="0" item="0"/>
          <tpl fld="1" item="153"/>
          <tpl fld="4" item="40"/>
        </tpls>
      </m>
      <m in="0">
        <tpls c="3">
          <tpl fld="0" item="0"/>
          <tpl fld="1" item="387"/>
          <tpl fld="4" item="40"/>
        </tpls>
      </m>
      <n v="4" in="0">
        <tpls c="3">
          <tpl fld="0" item="0"/>
          <tpl fld="1" item="66"/>
          <tpl fld="4" item="40"/>
        </tpls>
      </n>
      <n v="2" in="0">
        <tpls c="3">
          <tpl fld="0" item="0"/>
          <tpl fld="1" item="180"/>
          <tpl fld="4" item="40"/>
        </tpls>
      </n>
      <m in="0">
        <tpls c="3">
          <tpl fld="0" item="0"/>
          <tpl fld="1" item="23"/>
          <tpl fld="4" item="41"/>
        </tpls>
      </m>
      <m in="0">
        <tpls c="3">
          <tpl fld="0" item="0"/>
          <tpl fld="1" item="128"/>
          <tpl fld="4" item="41"/>
        </tpls>
      </m>
      <m in="0">
        <tpls c="3">
          <tpl fld="0" item="0"/>
          <tpl fld="1" item="146"/>
          <tpl fld="4" item="42"/>
        </tpls>
      </m>
      <m in="0">
        <tpls c="3">
          <tpl fld="0" item="0"/>
          <tpl fld="1" item="355"/>
          <tpl fld="4" item="41"/>
        </tpls>
      </m>
      <m in="0">
        <tpls c="3">
          <tpl fld="0" item="0"/>
          <tpl fld="1" item="299"/>
          <tpl fld="4" item="43"/>
        </tpls>
      </m>
      <m in="0">
        <tpls c="3">
          <tpl fld="0" item="0"/>
          <tpl fld="1" item="292"/>
          <tpl fld="4" item="43"/>
        </tpls>
      </m>
      <m in="0">
        <tpls c="3">
          <tpl fld="0" item="0"/>
          <tpl fld="1" item="439"/>
          <tpl fld="4" item="42"/>
        </tpls>
      </m>
      <m in="0">
        <tpls c="3">
          <tpl fld="0" item="0"/>
          <tpl fld="1" item="387"/>
          <tpl fld="4" item="43"/>
        </tpls>
      </m>
      <m in="0">
        <tpls c="3">
          <tpl fld="0" item="0"/>
          <tpl fld="1" item="360"/>
          <tpl fld="4" item="43"/>
        </tpls>
      </m>
      <m in="0">
        <tpls c="3">
          <tpl fld="0" item="0"/>
          <tpl fld="1" item="70"/>
          <tpl fld="4" item="43"/>
        </tpls>
      </m>
      <n v="3" in="0">
        <tpls c="3">
          <tpl fld="0" item="0"/>
          <tpl fld="1" item="52"/>
          <tpl fld="4" item="43"/>
        </tpls>
      </n>
      <n v="3" in="0">
        <tpls c="3">
          <tpl fld="0" item="0"/>
          <tpl fld="1" item="411"/>
          <tpl fld="4" item="43"/>
        </tpls>
      </n>
      <m in="0">
        <tpls c="3">
          <tpl fld="0" item="0"/>
          <tpl fld="1" item="326"/>
          <tpl fld="4" item="43"/>
        </tpls>
      </m>
      <m in="0">
        <tpls c="3">
          <tpl fld="0" item="0"/>
          <tpl fld="1" item="398"/>
          <tpl fld="4" item="36"/>
        </tpls>
      </m>
      <m in="0">
        <tpls c="3">
          <tpl fld="0" item="0"/>
          <tpl fld="1" item="88"/>
          <tpl fld="4" item="36"/>
        </tpls>
      </m>
      <m in="0">
        <tpls c="3">
          <tpl fld="0" item="0"/>
          <tpl fld="1" item="345"/>
          <tpl fld="4" item="4"/>
        </tpls>
      </m>
      <m in="0">
        <tpls c="3">
          <tpl fld="0" item="0"/>
          <tpl fld="1" item="19"/>
          <tpl fld="4" item="2"/>
        </tpls>
      </m>
      <m in="0">
        <tpls c="3">
          <tpl fld="0" item="0"/>
          <tpl fld="1" item="408"/>
          <tpl fld="4" item="2"/>
        </tpls>
      </m>
      <m in="0">
        <tpls c="3">
          <tpl fld="0" item="0"/>
          <tpl fld="1" item="335"/>
          <tpl fld="4" item="2"/>
        </tpls>
      </m>
      <n v="192" in="0">
        <tpls c="3">
          <tpl fld="0" item="0"/>
          <tpl fld="1" item="114"/>
          <tpl fld="4" item="36"/>
        </tpls>
      </n>
      <m in="0">
        <tpls c="3">
          <tpl fld="0" item="0"/>
          <tpl fld="1" item="407"/>
          <tpl fld="4" item="40"/>
        </tpls>
      </m>
      <n v="9" in="0">
        <tpls c="3">
          <tpl fld="0" item="0"/>
          <tpl fld="1" item="433"/>
          <tpl fld="4" item="36"/>
        </tpls>
      </n>
      <n v="75" in="0">
        <tpls c="3">
          <tpl fld="0" item="0"/>
          <tpl fld="1" item="255"/>
          <tpl fld="4" item="41"/>
        </tpls>
      </n>
      <m in="0">
        <tpls c="3">
          <tpl fld="0" item="0"/>
          <tpl fld="1" item="0"/>
          <tpl fld="4" item="35"/>
        </tpls>
      </m>
      <m in="0">
        <tpls c="3">
          <tpl fld="0" item="0"/>
          <tpl fld="1" item="433"/>
          <tpl fld="4" item="34"/>
        </tpls>
      </m>
      <m in="0">
        <tpls c="3">
          <tpl fld="0" item="0"/>
          <tpl fld="1" item="420"/>
          <tpl fld="4" item="0"/>
        </tpls>
      </m>
      <m in="0">
        <tpls c="3">
          <tpl fld="0" item="0"/>
          <tpl fld="1" item="50"/>
          <tpl fld="4" item="3"/>
        </tpls>
      </m>
      <m in="0">
        <tpls c="3">
          <tpl fld="0" item="0"/>
          <tpl fld="1" item="1"/>
          <tpl fld="4" item="3"/>
        </tpls>
      </m>
      <m in="0">
        <tpls c="3">
          <tpl fld="0" item="0"/>
          <tpl fld="1" item="144"/>
          <tpl fld="4" item="3"/>
        </tpls>
      </m>
      <m in="0">
        <tpls c="3">
          <tpl fld="0" item="0"/>
          <tpl fld="1" item="28"/>
          <tpl fld="4" item="4"/>
        </tpls>
      </m>
      <m in="0">
        <tpls c="3">
          <tpl fld="0" item="0"/>
          <tpl fld="1" item="152"/>
          <tpl fld="4" item="2"/>
        </tpls>
      </m>
      <m in="0">
        <tpls c="3">
          <tpl fld="0" item="0"/>
          <tpl fld="1" item="346"/>
          <tpl fld="4" item="36"/>
        </tpls>
      </m>
      <n v="24" in="0">
        <tpls c="3">
          <tpl fld="0" item="0"/>
          <tpl fld="1" item="390"/>
          <tpl fld="4" item="38"/>
        </tpls>
      </n>
      <n v="2" in="0">
        <tpls c="3">
          <tpl fld="0" item="0"/>
          <tpl fld="1" item="94"/>
          <tpl fld="4" item="38"/>
        </tpls>
      </n>
      <n v="166" in="0">
        <tpls c="3">
          <tpl fld="0" item="0"/>
          <tpl fld="1" item="42"/>
          <tpl fld="4" item="37"/>
        </tpls>
      </n>
      <n v="24" in="0">
        <tpls c="3">
          <tpl fld="0" item="0"/>
          <tpl fld="1" item="160"/>
          <tpl fld="4" item="39"/>
        </tpls>
      </n>
      <m in="0">
        <tpls c="3">
          <tpl fld="0" item="0"/>
          <tpl fld="1" item="196"/>
          <tpl fld="4" item="39"/>
        </tpls>
      </m>
      <n v="15" in="0">
        <tpls c="3">
          <tpl fld="0" item="0"/>
          <tpl fld="1" item="80"/>
          <tpl fld="4" item="22"/>
        </tpls>
      </n>
      <m in="0">
        <tpls c="3">
          <tpl fld="0" item="0"/>
          <tpl fld="1" item="124"/>
          <tpl fld="4" item="30"/>
        </tpls>
      </m>
      <m in="0">
        <tpls c="3">
          <tpl fld="0" item="0"/>
          <tpl fld="1" item="383"/>
          <tpl fld="4" item="32"/>
        </tpls>
      </m>
      <m in="0">
        <tpls c="3">
          <tpl fld="0" item="0"/>
          <tpl fld="1" item="239"/>
          <tpl fld="4" item="31"/>
        </tpls>
      </m>
      <m in="0">
        <tpls c="3">
          <tpl fld="0" item="0"/>
          <tpl fld="1" item="56"/>
          <tpl fld="4" item="3"/>
        </tpls>
      </m>
      <m in="0">
        <tpls c="3">
          <tpl fld="0" item="0"/>
          <tpl fld="1" item="128"/>
          <tpl fld="4" item="0"/>
        </tpls>
      </m>
      <m in="0">
        <tpls c="3">
          <tpl fld="0" item="0"/>
          <tpl fld="1" item="431"/>
          <tpl fld="4" item="3"/>
        </tpls>
      </m>
      <m in="0">
        <tpls c="3">
          <tpl fld="0" item="0"/>
          <tpl fld="1" item="212"/>
          <tpl fld="4" item="0"/>
        </tpls>
      </m>
      <m in="0">
        <tpls c="3">
          <tpl fld="0" item="0"/>
          <tpl fld="1" item="379"/>
          <tpl fld="4" item="3"/>
        </tpls>
      </m>
      <m in="0">
        <tpls c="3">
          <tpl fld="0" item="0"/>
          <tpl fld="1" item="90"/>
          <tpl fld="4" item="3"/>
        </tpls>
      </m>
      <m in="0">
        <tpls c="3">
          <tpl fld="0" item="0"/>
          <tpl fld="1" item="457"/>
          <tpl fld="4" item="0"/>
        </tpls>
      </m>
      <m in="0">
        <tpls c="3">
          <tpl fld="0" item="0"/>
          <tpl fld="2" item="0"/>
          <tpl fld="4" item="3"/>
        </tpls>
      </m>
      <m in="0">
        <tpls c="3">
          <tpl fld="0" item="0"/>
          <tpl fld="1" item="108"/>
          <tpl fld="4" item="36"/>
        </tpls>
      </m>
      <m in="0">
        <tpls c="3">
          <tpl fld="0" item="0"/>
          <tpl fld="1" item="279"/>
          <tpl fld="4" item="4"/>
        </tpls>
      </m>
      <m in="0">
        <tpls c="3">
          <tpl fld="0" item="0"/>
          <tpl fld="1" item="105"/>
          <tpl fld="4" item="3"/>
        </tpls>
      </m>
      <m in="0">
        <tpls c="3">
          <tpl fld="0" item="0"/>
          <tpl fld="1" item="167"/>
          <tpl fld="4" item="3"/>
        </tpls>
      </m>
      <m in="0">
        <tpls c="3">
          <tpl fld="0" item="0"/>
          <tpl fld="1" item="269"/>
          <tpl fld="4" item="2"/>
        </tpls>
      </m>
      <m in="0">
        <tpls c="3">
          <tpl fld="0" item="0"/>
          <tpl fld="1" item="55"/>
          <tpl fld="4" item="4"/>
        </tpls>
      </m>
      <m in="0">
        <tpls c="3">
          <tpl fld="0" item="0"/>
          <tpl fld="1" item="123"/>
          <tpl fld="4" item="37"/>
        </tpls>
      </m>
      <m in="0">
        <tpls c="3">
          <tpl fld="0" item="0"/>
          <tpl fld="1" item="443"/>
          <tpl fld="4" item="2"/>
        </tpls>
      </m>
      <m in="0">
        <tpls c="3">
          <tpl fld="0" item="0"/>
          <tpl fld="1" item="83"/>
          <tpl fld="4" item="2"/>
        </tpls>
      </m>
      <m in="0">
        <tpls c="3">
          <tpl fld="0" item="0"/>
          <tpl fld="1" item="23"/>
          <tpl fld="4" item="36"/>
        </tpls>
      </m>
      <m in="0">
        <tpls c="3">
          <tpl fld="0" item="0"/>
          <tpl fld="1" item="102"/>
          <tpl fld="4" item="2"/>
        </tpls>
      </m>
      <n v="47" in="0">
        <tpls c="3">
          <tpl fld="0" item="0"/>
          <tpl fld="1" item="64"/>
          <tpl fld="4" item="36"/>
        </tpls>
      </n>
      <m in="0">
        <tpls c="3">
          <tpl fld="0" item="0"/>
          <tpl fld="1" item="76"/>
          <tpl fld="4" item="37"/>
        </tpls>
      </m>
      <n v="4" in="0">
        <tpls c="3">
          <tpl fld="0" item="0"/>
          <tpl fld="1" item="419"/>
          <tpl fld="4" item="36"/>
        </tpls>
      </n>
      <n v="15" in="0">
        <tpls c="3">
          <tpl fld="0" item="0"/>
          <tpl fld="1" item="312"/>
          <tpl fld="4" item="38"/>
        </tpls>
      </n>
      <m in="0">
        <tpls c="3">
          <tpl fld="0" item="0"/>
          <tpl fld="1" item="75"/>
          <tpl fld="4" item="36"/>
        </tpls>
      </m>
      <m in="0">
        <tpls c="3">
          <tpl fld="0" item="0"/>
          <tpl fld="1" item="237"/>
          <tpl fld="4" item="36"/>
        </tpls>
      </m>
      <m in="0">
        <tpls c="3">
          <tpl fld="0" item="0"/>
          <tpl fld="1" item="159"/>
          <tpl fld="4" item="38"/>
        </tpls>
      </m>
      <n v="45" in="0">
        <tpls c="3">
          <tpl fld="0" item="0"/>
          <tpl fld="1" item="126"/>
          <tpl fld="4" item="37"/>
        </tpls>
      </n>
      <m in="0">
        <tpls c="3">
          <tpl fld="0" item="0"/>
          <tpl fld="1" item="183"/>
          <tpl fld="4" item="35"/>
        </tpls>
      </m>
      <m in="0">
        <tpls c="3">
          <tpl fld="0" item="0"/>
          <tpl fld="1" item="304"/>
          <tpl fld="4" item="34"/>
        </tpls>
      </m>
      <m in="0">
        <tpls c="3">
          <tpl fld="0" item="0"/>
          <tpl fld="1" item="448"/>
          <tpl fld="4" item="31"/>
        </tpls>
      </m>
      <m in="0">
        <tpls c="3">
          <tpl fld="0" item="0"/>
          <tpl fld="1" item="97"/>
          <tpl fld="4" item="35"/>
        </tpls>
      </m>
      <m in="0">
        <tpls c="3">
          <tpl fld="0" item="0"/>
          <tpl fld="1" item="20"/>
          <tpl fld="4" item="35"/>
        </tpls>
      </m>
      <m in="0">
        <tpls c="3">
          <tpl fld="0" item="0"/>
          <tpl fld="1" item="0"/>
          <tpl fld="4" item="30"/>
        </tpls>
      </m>
      <m in="0">
        <tpls c="3">
          <tpl fld="0" item="0"/>
          <tpl fld="1" item="234"/>
          <tpl fld="4" item="35"/>
        </tpls>
      </m>
      <m in="0">
        <tpls c="3">
          <tpl fld="0" item="0"/>
          <tpl fld="1" item="243"/>
          <tpl fld="4" item="0"/>
        </tpls>
      </m>
      <m in="0">
        <tpls c="3">
          <tpl fld="0" item="0"/>
          <tpl fld="1" item="222"/>
          <tpl fld="4" item="0"/>
        </tpls>
      </m>
      <m in="0">
        <tpls c="3">
          <tpl fld="0" item="0"/>
          <tpl fld="1" item="164"/>
          <tpl fld="4" item="0"/>
        </tpls>
      </m>
      <m in="0">
        <tpls c="3">
          <tpl fld="0" item="0"/>
          <tpl fld="1" item="356"/>
          <tpl fld="4" item="4"/>
        </tpls>
      </m>
      <m in="0">
        <tpls c="3">
          <tpl fld="0" item="0"/>
          <tpl fld="1" item="211"/>
          <tpl fld="4" item="3"/>
        </tpls>
      </m>
      <m in="0">
        <tpls c="3">
          <tpl fld="0" item="0"/>
          <tpl fld="1" item="225"/>
          <tpl fld="4" item="4"/>
        </tpls>
      </m>
      <m in="0">
        <tpls c="3">
          <tpl fld="0" item="0"/>
          <tpl fld="1" item="292"/>
          <tpl fld="4" item="4"/>
        </tpls>
      </m>
      <m in="0">
        <tpls c="3">
          <tpl fld="0" item="0"/>
          <tpl fld="1" item="456"/>
          <tpl fld="4" item="0"/>
        </tpls>
      </m>
      <m in="0">
        <tpls c="3">
          <tpl fld="0" item="0"/>
          <tpl fld="1" item="215"/>
          <tpl fld="4" item="4"/>
        </tpls>
      </m>
      <m in="0">
        <tpls c="3">
          <tpl fld="0" item="0"/>
          <tpl fld="1" item="422"/>
          <tpl fld="4" item="3"/>
        </tpls>
      </m>
      <m in="0">
        <tpls c="3">
          <tpl fld="0" item="0"/>
          <tpl fld="1" item="14"/>
          <tpl fld="4" item="2"/>
        </tpls>
      </m>
      <m in="0">
        <tpls c="3">
          <tpl fld="0" item="0"/>
          <tpl fld="1" item="158"/>
          <tpl fld="4" item="4"/>
        </tpls>
      </m>
      <m in="0">
        <tpls c="3">
          <tpl fld="0" item="0"/>
          <tpl fld="1" item="240"/>
          <tpl fld="4" item="4"/>
        </tpls>
      </m>
      <n v="10" in="0">
        <tpls c="3">
          <tpl fld="0" item="0"/>
          <tpl fld="1" item="343"/>
          <tpl fld="4" item="36"/>
        </tpls>
      </n>
      <m in="0">
        <tpls c="3">
          <tpl fld="0" item="0"/>
          <tpl fld="1" item="421"/>
          <tpl fld="4" item="4"/>
        </tpls>
      </m>
      <m in="0">
        <tpls c="3">
          <tpl fld="0" item="0"/>
          <tpl fld="1" item="260"/>
          <tpl fld="4" item="36"/>
        </tpls>
      </m>
      <m in="0">
        <tpls c="3">
          <tpl fld="0" item="0"/>
          <tpl fld="1" item="329"/>
          <tpl fld="4" item="4"/>
        </tpls>
      </m>
      <m in="0">
        <tpls c="3">
          <tpl fld="0" item="0"/>
          <tpl fld="1" item="24"/>
          <tpl fld="4" item="36"/>
        </tpls>
      </m>
      <m in="0">
        <tpls c="3">
          <tpl fld="0" item="0"/>
          <tpl fld="1" item="228"/>
          <tpl fld="4" item="2"/>
        </tpls>
      </m>
      <m in="0">
        <tpls c="3">
          <tpl fld="0" item="0"/>
          <tpl fld="1" item="268"/>
          <tpl fld="4" item="2"/>
        </tpls>
      </m>
      <m in="0">
        <tpls c="3">
          <tpl fld="0" item="0"/>
          <tpl fld="1" item="328"/>
          <tpl fld="4" item="4"/>
        </tpls>
      </m>
      <n v="18" in="0">
        <tpls c="3">
          <tpl fld="0" item="0"/>
          <tpl fld="1" item="219"/>
          <tpl fld="4" item="36"/>
        </tpls>
      </n>
      <m in="0">
        <tpls c="3">
          <tpl fld="0" item="0"/>
          <tpl fld="1" item="261"/>
          <tpl fld="4" item="36"/>
        </tpls>
      </m>
      <n v="160" in="0">
        <tpls c="3">
          <tpl fld="0" item="0"/>
          <tpl fld="1" item="41"/>
          <tpl fld="4" item="37"/>
        </tpls>
      </n>
      <m in="0">
        <tpls c="3">
          <tpl fld="0" item="0"/>
          <tpl fld="1" item="225"/>
          <tpl fld="4" item="2"/>
        </tpls>
      </m>
      <m in="0">
        <tpls c="3">
          <tpl fld="0" item="0"/>
          <tpl fld="1" item="407"/>
          <tpl fld="4" item="36"/>
        </tpls>
      </m>
      <n v="1" in="0">
        <tpls c="3">
          <tpl fld="0" item="0"/>
          <tpl fld="1" item="8"/>
          <tpl fld="4" item="38"/>
        </tpls>
      </n>
      <m in="0">
        <tpls c="3">
          <tpl fld="0" item="0"/>
          <tpl fld="1" item="327"/>
          <tpl fld="4" item="36"/>
        </tpls>
      </m>
      <n v="21" in="0">
        <tpls c="3">
          <tpl fld="0" item="0"/>
          <tpl fld="1" item="335"/>
          <tpl fld="4" item="37"/>
        </tpls>
      </n>
      <n v="15" in="0">
        <tpls c="3">
          <tpl fld="0" item="0"/>
          <tpl fld="1" item="403"/>
          <tpl fld="4" item="36"/>
        </tpls>
      </n>
      <m in="0">
        <tpls c="3">
          <tpl fld="0" item="0"/>
          <tpl fld="1" item="66"/>
          <tpl fld="4" item="38"/>
        </tpls>
      </m>
      <m in="0">
        <tpls c="3">
          <tpl fld="0" item="0"/>
          <tpl fld="1" item="388"/>
          <tpl fld="4" item="36"/>
        </tpls>
      </m>
      <m in="0">
        <tpls c="3">
          <tpl fld="0" item="0"/>
          <tpl fld="1" item="247"/>
          <tpl fld="4" item="38"/>
        </tpls>
      </m>
      <n v="372" in="0">
        <tpls c="3">
          <tpl fld="0" item="0"/>
          <tpl fld="1" item="45"/>
          <tpl fld="4" item="36"/>
        </tpls>
      </n>
      <n v="38" in="0">
        <tpls c="3">
          <tpl fld="0" item="0"/>
          <tpl fld="1" item="4"/>
          <tpl fld="4" item="37"/>
        </tpls>
      </n>
      <m in="0">
        <tpls c="3">
          <tpl fld="0" item="0"/>
          <tpl fld="1" item="433"/>
          <tpl fld="4" item="38"/>
        </tpls>
      </m>
      <m in="0">
        <tpls c="3">
          <tpl fld="0" item="0"/>
          <tpl fld="1" item="244"/>
          <tpl fld="4" item="39"/>
        </tpls>
      </m>
      <m in="0">
        <tpls c="3">
          <tpl fld="0" item="0"/>
          <tpl fld="1" item="396"/>
          <tpl fld="4" item="38"/>
        </tpls>
      </m>
      <m in="0">
        <tpls c="3">
          <tpl fld="0" item="0"/>
          <tpl fld="1" item="437"/>
          <tpl fld="4" item="39"/>
        </tpls>
      </m>
      <m in="0">
        <tpls c="3">
          <tpl fld="0" item="0"/>
          <tpl fld="1" item="260"/>
          <tpl fld="4" item="38"/>
        </tpls>
      </m>
      <m in="0">
        <tpls c="3">
          <tpl fld="0" item="0"/>
          <tpl fld="1" item="250"/>
          <tpl fld="4" item="39"/>
        </tpls>
      </m>
      <n v="310" in="0">
        <tpls c="3">
          <tpl fld="0" item="0"/>
          <tpl fld="1" item="82"/>
          <tpl fld="4" item="37"/>
        </tpls>
      </n>
      <m in="0">
        <tpls c="3">
          <tpl fld="0" item="0"/>
          <tpl fld="1" item="165"/>
          <tpl fld="4" item="39"/>
        </tpls>
      </m>
      <n v="24" in="0">
        <tpls c="3">
          <tpl fld="0" item="0"/>
          <tpl fld="1" item="47"/>
          <tpl fld="4" item="38"/>
        </tpls>
      </n>
      <m in="0">
        <tpls c="3">
          <tpl fld="0" item="0"/>
          <tpl fld="1" item="46"/>
          <tpl fld="4" item="40"/>
        </tpls>
      </m>
      <n v="6" in="0">
        <tpls c="3">
          <tpl fld="0" item="0"/>
          <tpl fld="1" item="330"/>
          <tpl fld="4" item="38"/>
        </tpls>
      </n>
      <m in="0">
        <tpls c="3">
          <tpl fld="0" item="0"/>
          <tpl fld="1" item="300"/>
          <tpl fld="4" item="41"/>
        </tpls>
      </m>
      <n v="1" in="0">
        <tpls c="3">
          <tpl fld="0" item="0"/>
          <tpl fld="1" item="161"/>
          <tpl fld="4" item="42"/>
        </tpls>
      </n>
      <n v="9" in="0">
        <tpls c="3">
          <tpl fld="0" item="0"/>
          <tpl fld="1" item="149"/>
          <tpl fld="4" item="38"/>
        </tpls>
      </n>
      <n v="206" in="0">
        <tpls c="3">
          <tpl fld="0" item="0"/>
          <tpl fld="1" item="39"/>
          <tpl fld="4" item="37"/>
        </tpls>
      </n>
      <m in="0">
        <tpls c="3">
          <tpl fld="0" item="0"/>
          <tpl fld="1" item="40"/>
          <tpl fld="4" item="38"/>
        </tpls>
      </m>
      <m in="0">
        <tpls c="3">
          <tpl fld="0" item="0"/>
          <tpl fld="1" item="443"/>
          <tpl fld="4" item="38"/>
        </tpls>
      </m>
      <m in="0">
        <tpls c="3">
          <tpl fld="0" item="0"/>
          <tpl fld="1" item="79"/>
          <tpl fld="4" item="38"/>
        </tpls>
      </m>
      <m in="0">
        <tpls c="3">
          <tpl fld="0" item="0"/>
          <tpl fld="1" item="12"/>
          <tpl fld="4" item="40"/>
        </tpls>
      </m>
      <n v="36" in="0">
        <tpls c="3">
          <tpl fld="0" item="0"/>
          <tpl fld="1" item="56"/>
          <tpl fld="4" item="41"/>
        </tpls>
      </n>
      <n v="5" in="0">
        <tpls c="3">
          <tpl fld="0" item="0"/>
          <tpl fld="1" item="10"/>
          <tpl fld="4" item="39"/>
        </tpls>
      </n>
      <n v="1" in="0">
        <tpls c="3">
          <tpl fld="0" item="0"/>
          <tpl fld="1" item="124"/>
          <tpl fld="4" item="40"/>
        </tpls>
      </n>
      <n v="10" in="0">
        <tpls c="3">
          <tpl fld="0" item="0"/>
          <tpl fld="1" item="255"/>
          <tpl fld="4" item="38"/>
        </tpls>
      </n>
      <m in="0">
        <tpls c="3">
          <tpl fld="0" item="0"/>
          <tpl fld="1" item="440"/>
          <tpl fld="4" item="39"/>
        </tpls>
      </m>
      <n v="20" in="0">
        <tpls c="3">
          <tpl fld="0" item="0"/>
          <tpl fld="1" item="17"/>
          <tpl fld="4" item="41"/>
        </tpls>
      </n>
      <n v="97" in="0">
        <tpls c="3">
          <tpl fld="0" item="0"/>
          <tpl fld="1" item="377"/>
          <tpl fld="4" item="40"/>
        </tpls>
      </n>
      <m in="0">
        <tpls c="3">
          <tpl fld="0" item="0"/>
          <tpl fld="1" item="276"/>
          <tpl fld="4" item="39"/>
        </tpls>
      </m>
      <n v="60" in="0">
        <tpls c="3">
          <tpl fld="0" item="0"/>
          <tpl fld="1" item="49"/>
          <tpl fld="4" item="40"/>
        </tpls>
      </n>
      <n v="2" in="0">
        <tpls c="3">
          <tpl fld="0" item="0"/>
          <tpl fld="1" item="455"/>
          <tpl fld="4" item="39"/>
        </tpls>
      </n>
      <m in="0">
        <tpls c="3">
          <tpl fld="0" item="0"/>
          <tpl fld="1" item="443"/>
          <tpl fld="4" item="40"/>
        </tpls>
      </m>
      <n v="98" in="0">
        <tpls c="3">
          <tpl fld="0" item="0"/>
          <tpl fld="1" item="385"/>
          <tpl fld="4" item="40"/>
        </tpls>
      </n>
      <n v="53" in="0">
        <tpls c="3">
          <tpl fld="0" item="0"/>
          <tpl fld="1" item="275"/>
          <tpl fld="4" item="41"/>
        </tpls>
      </n>
      <m in="0">
        <tpls c="3">
          <tpl fld="0" item="0"/>
          <tpl fld="1" item="166"/>
          <tpl fld="4" item="41"/>
        </tpls>
      </m>
      <m in="0">
        <tpls c="3">
          <tpl fld="0" item="0"/>
          <tpl fld="1" item="336"/>
          <tpl fld="4" item="42"/>
        </tpls>
      </m>
      <n v="12" in="0">
        <tpls c="3">
          <tpl fld="0" item="0"/>
          <tpl fld="1" item="162"/>
          <tpl fld="4" item="41"/>
        </tpls>
      </n>
      <n v="3" in="0">
        <tpls c="3">
          <tpl fld="0" item="0"/>
          <tpl fld="1" item="151"/>
          <tpl fld="4" item="42"/>
        </tpls>
      </n>
      <m in="0">
        <tpls c="3">
          <tpl fld="0" item="0"/>
          <tpl fld="1" item="245"/>
          <tpl fld="4" item="42"/>
        </tpls>
      </m>
      <n v="29" in="0">
        <tpls c="3">
          <tpl fld="0" item="0"/>
          <tpl fld="1" item="219"/>
          <tpl fld="4" item="41"/>
        </tpls>
      </n>
      <m in="0">
        <tpls c="3">
          <tpl fld="0" item="0"/>
          <tpl fld="1" item="180"/>
          <tpl fld="4" item="42"/>
        </tpls>
      </m>
      <m in="0">
        <tpls c="3">
          <tpl fld="0" item="0"/>
          <tpl fld="1" item="96"/>
          <tpl fld="4" item="43"/>
        </tpls>
      </m>
      <m in="0">
        <tpls c="3">
          <tpl fld="0" item="0"/>
          <tpl fld="1" item="445"/>
          <tpl fld="4" item="42"/>
        </tpls>
      </m>
      <m in="0">
        <tpls c="3">
          <tpl fld="0" item="0"/>
          <tpl fld="1" item="220"/>
          <tpl fld="4" item="43"/>
        </tpls>
      </m>
      <m in="0">
        <tpls c="3">
          <tpl fld="0" item="0"/>
          <tpl fld="1" item="340"/>
          <tpl fld="4" item="42"/>
        </tpls>
      </m>
      <n v="2" in="0">
        <tpls c="3">
          <tpl fld="0" item="0"/>
          <tpl fld="1" item="422"/>
          <tpl fld="4" item="43"/>
        </tpls>
      </n>
      <m in="0">
        <tpls c="3">
          <tpl fld="0" item="0"/>
          <tpl fld="1" item="15"/>
          <tpl fld="4" item="42"/>
        </tpls>
      </m>
      <m in="0">
        <tpls c="3">
          <tpl fld="0" item="0"/>
          <tpl fld="1" item="161"/>
          <tpl fld="4" item="43"/>
        </tpls>
      </m>
      <m in="0">
        <tpls c="3">
          <tpl fld="0" item="0"/>
          <tpl fld="1" item="317"/>
          <tpl fld="4" item="42"/>
        </tpls>
      </m>
      <m in="0">
        <tpls c="3">
          <tpl fld="0" item="0"/>
          <tpl fld="1" item="83"/>
          <tpl fld="4" item="43"/>
        </tpls>
      </m>
      <n v="2" in="0">
        <tpls c="3">
          <tpl fld="0" item="0"/>
          <tpl fld="1" item="252"/>
          <tpl fld="4" item="36"/>
        </tpls>
      </n>
      <m in="0">
        <tpls c="3">
          <tpl fld="0" item="0"/>
          <tpl fld="1" item="317"/>
          <tpl fld="4" item="38"/>
        </tpls>
      </m>
      <m in="0">
        <tpls c="3">
          <tpl fld="0" item="0"/>
          <tpl fld="1" item="429"/>
          <tpl fld="4" item="39"/>
        </tpls>
      </m>
      <m in="0">
        <tpls c="3">
          <tpl fld="0" item="0"/>
          <tpl fld="1" item="229"/>
          <tpl fld="4" item="40"/>
        </tpls>
      </m>
      <m in="0">
        <tpls c="3">
          <tpl fld="0" item="0"/>
          <tpl fld="1" item="217"/>
          <tpl fld="4" item="39"/>
        </tpls>
      </m>
      <m in="0">
        <tpls c="3">
          <tpl fld="0" item="0"/>
          <tpl fld="1" item="301"/>
          <tpl fld="4" item="39"/>
        </tpls>
      </m>
      <m in="0">
        <tpls c="3">
          <tpl fld="0" item="0"/>
          <tpl fld="1" item="251"/>
          <tpl fld="4" item="39"/>
        </tpls>
      </m>
      <n v="30" in="0">
        <tpls c="3">
          <tpl fld="0" item="0"/>
          <tpl fld="1" item="225"/>
          <tpl fld="4" item="38"/>
        </tpls>
      </n>
      <m in="0">
        <tpls c="3">
          <tpl fld="0" item="0"/>
          <tpl fld="1" item="343"/>
          <tpl fld="4" item="39"/>
        </tpls>
      </m>
      <n v="23" in="0">
        <tpls c="3">
          <tpl fld="0" item="0"/>
          <tpl fld="1" item="301"/>
          <tpl fld="4" item="41"/>
        </tpls>
      </n>
      <m in="0">
        <tpls c="3">
          <tpl fld="0" item="0"/>
          <tpl fld="1" item="338"/>
          <tpl fld="4" item="39"/>
        </tpls>
      </m>
      <n v="27" in="0">
        <tpls c="3">
          <tpl fld="0" item="0"/>
          <tpl fld="1" item="381"/>
          <tpl fld="4" item="40"/>
        </tpls>
      </n>
      <m in="0">
        <tpls c="3">
          <tpl fld="0" item="0"/>
          <tpl fld="1" item="62"/>
          <tpl fld="4" item="39"/>
        </tpls>
      </m>
      <n v="97" in="0">
        <tpls c="3">
          <tpl fld="0" item="0"/>
          <tpl fld="1" item="230"/>
          <tpl fld="4" item="41"/>
        </tpls>
      </n>
      <n v="6" in="0">
        <tpls c="3">
          <tpl fld="0" item="0"/>
          <tpl fld="1" item="189"/>
          <tpl fld="4" item="40"/>
        </tpls>
      </n>
      <n v="6" in="0">
        <tpls c="3">
          <tpl fld="0" item="0"/>
          <tpl fld="1" item="75"/>
          <tpl fld="4" item="41"/>
        </tpls>
      </n>
      <m in="0">
        <tpls c="3">
          <tpl fld="0" item="0"/>
          <tpl fld="1" item="451"/>
          <tpl fld="4" item="40"/>
        </tpls>
      </m>
      <n v="9" in="0">
        <tpls c="3">
          <tpl fld="0" item="0"/>
          <tpl fld="1" item="72"/>
          <tpl fld="4" item="41"/>
        </tpls>
      </n>
      <n v="15" in="0">
        <tpls c="3">
          <tpl fld="0" item="0"/>
          <tpl fld="1" item="294"/>
          <tpl fld="4" item="41"/>
        </tpls>
      </n>
      <n v="12" in="0">
        <tpls c="3">
          <tpl fld="0" item="0"/>
          <tpl fld="1" item="347"/>
          <tpl fld="4" item="42"/>
        </tpls>
      </n>
      <n v="77" in="0">
        <tpls c="3">
          <tpl fld="0" item="0"/>
          <tpl fld="1" item="144"/>
          <tpl fld="4" item="41"/>
        </tpls>
      </n>
      <n v="2" in="0">
        <tpls c="3">
          <tpl fld="0" item="0"/>
          <tpl fld="1" item="212"/>
          <tpl fld="4" item="40"/>
        </tpls>
      </n>
      <n v="19" in="0">
        <tpls c="3">
          <tpl fld="0" item="0"/>
          <tpl fld="1" item="282"/>
          <tpl fld="4" item="41"/>
        </tpls>
      </n>
      <n v="366" in="0">
        <tpls c="3">
          <tpl fld="0" item="0"/>
          <tpl fld="1" item="380"/>
          <tpl fld="4" item="41"/>
        </tpls>
      </n>
      <n v="5" in="0">
        <tpls c="3">
          <tpl fld="0" item="0"/>
          <tpl fld="1" item="381"/>
          <tpl fld="4" item="43"/>
        </tpls>
      </n>
      <m in="0">
        <tpls c="3">
          <tpl fld="0" item="0"/>
          <tpl fld="1" item="91"/>
          <tpl fld="4" item="41"/>
        </tpls>
      </m>
      <n v="1" in="0">
        <tpls c="3">
          <tpl fld="0" item="0"/>
          <tpl fld="1" item="357"/>
          <tpl fld="4" item="43"/>
        </tpls>
      </n>
      <n v="3" in="0">
        <tpls c="3">
          <tpl fld="0" item="0"/>
          <tpl fld="1" item="417"/>
          <tpl fld="4" item="43"/>
        </tpls>
      </n>
      <m in="0">
        <tpls c="3">
          <tpl fld="0" item="0"/>
          <tpl fld="1" item="136"/>
          <tpl fld="4" item="42"/>
        </tpls>
      </m>
      <m in="0">
        <tpls c="3">
          <tpl fld="0" item="0"/>
          <tpl fld="1" item="399"/>
          <tpl fld="4" item="43"/>
        </tpls>
      </m>
      <m in="0">
        <tpls c="3">
          <tpl fld="0" item="0"/>
          <tpl fld="1" item="278"/>
          <tpl fld="4" item="42"/>
        </tpls>
      </m>
      <n v="4" in="0">
        <tpls c="3">
          <tpl fld="0" item="0"/>
          <tpl fld="1" item="199"/>
          <tpl fld="4" item="43"/>
        </tpls>
      </n>
      <m in="0">
        <tpls c="3">
          <tpl fld="0" item="0"/>
          <tpl fld="1" item="371"/>
          <tpl fld="4" item="42"/>
        </tpls>
      </m>
      <n v="1" in="0">
        <tpls c="3">
          <tpl fld="0" item="0"/>
          <tpl fld="1" item="332"/>
          <tpl fld="4" item="43"/>
        </tpls>
      </n>
      <m in="0">
        <tpls c="3">
          <tpl fld="0" item="0"/>
          <tpl fld="1" item="428"/>
          <tpl fld="4" item="42"/>
        </tpls>
      </m>
      <m in="0">
        <tpls c="3">
          <tpl fld="0" item="0"/>
          <tpl fld="1" item="406"/>
          <tpl fld="4" item="43"/>
        </tpls>
      </m>
      <m in="0">
        <tpls c="3">
          <tpl fld="0" item="0"/>
          <tpl fld="1" item="23"/>
          <tpl fld="4" item="43"/>
        </tpls>
      </m>
      <m in="0">
        <tpls c="3">
          <tpl fld="0" item="0"/>
          <tpl fld="1" item="399"/>
          <tpl fld="4" item="38"/>
        </tpls>
      </m>
      <m in="0">
        <tpls c="3">
          <tpl fld="0" item="0"/>
          <tpl fld="1" item="434"/>
          <tpl fld="4" item="38"/>
        </tpls>
      </m>
      <n v="5" in="0">
        <tpls c="3">
          <tpl fld="0" item="0"/>
          <tpl fld="1" item="296"/>
          <tpl fld="4" item="38"/>
        </tpls>
      </n>
      <n v="1" in="0">
        <tpls c="3">
          <tpl fld="0" item="0"/>
          <tpl fld="1" item="453"/>
          <tpl fld="4" item="38"/>
        </tpls>
      </n>
      <m in="0">
        <tpls c="3">
          <tpl fld="0" item="0"/>
          <tpl fld="1" item="30"/>
          <tpl fld="4" item="38"/>
        </tpls>
      </m>
      <n v="13" in="0">
        <tpls c="3">
          <tpl fld="0" item="0"/>
          <tpl fld="1" item="447"/>
          <tpl fld="4" item="38"/>
        </tpls>
      </n>
      <n v="11" in="0">
        <tpls c="3">
          <tpl fld="0" item="0"/>
          <tpl fld="1" item="142"/>
          <tpl fld="4" item="41"/>
        </tpls>
      </n>
      <n v="4" in="0">
        <tpls c="3">
          <tpl fld="0" item="0"/>
          <tpl fld="1" item="42"/>
          <tpl fld="4" item="39"/>
        </tpls>
      </n>
      <n v="23" in="0">
        <tpls c="3">
          <tpl fld="0" item="0"/>
          <tpl fld="1" item="94"/>
          <tpl fld="4" item="40"/>
        </tpls>
      </n>
      <n v="2" in="0">
        <tpls c="3">
          <tpl fld="0" item="0"/>
          <tpl fld="1" item="360"/>
          <tpl fld="4" item="38"/>
        </tpls>
      </n>
      <m in="0">
        <tpls c="3">
          <tpl fld="0" item="0"/>
          <tpl fld="1" item="24"/>
          <tpl fld="4" item="40"/>
        </tpls>
      </m>
      <n v="11" in="0">
        <tpls c="3">
          <tpl fld="0" item="0"/>
          <tpl fld="1" item="137"/>
          <tpl fld="4" item="41"/>
        </tpls>
      </n>
      <n v="25" in="0">
        <tpls c="3">
          <tpl fld="0" item="0"/>
          <tpl fld="1" item="144"/>
          <tpl fld="4" item="40"/>
        </tpls>
      </n>
      <m in="0">
        <tpls c="3">
          <tpl fld="0" item="0"/>
          <tpl fld="1" item="31"/>
          <tpl fld="4" item="39"/>
        </tpls>
      </m>
      <n v="2" in="0">
        <tpls c="3">
          <tpl fld="0" item="0"/>
          <tpl fld="1" item="129"/>
          <tpl fld="4" item="40"/>
        </tpls>
      </n>
      <m in="0">
        <tpls c="3">
          <tpl fld="0" item="0"/>
          <tpl fld="1" item="300"/>
          <tpl fld="4" item="39"/>
        </tpls>
      </m>
      <n v="3" in="0">
        <tpls c="3">
          <tpl fld="0" item="0"/>
          <tpl fld="1" item="72"/>
          <tpl fld="4" item="40"/>
        </tpls>
      </n>
      <n v="3" in="0">
        <tpls c="3">
          <tpl fld="0" item="0"/>
          <tpl fld="1" item="246"/>
          <tpl fld="4" item="40"/>
        </tpls>
      </n>
      <m in="0">
        <tpls c="3">
          <tpl fld="0" item="0"/>
          <tpl fld="1" item="260"/>
          <tpl fld="4" item="42"/>
        </tpls>
      </m>
      <m in="0">
        <tpls c="3">
          <tpl fld="0" item="0"/>
          <tpl fld="1" item="445"/>
          <tpl fld="4" item="41"/>
        </tpls>
      </m>
      <m in="0">
        <tpls c="3">
          <tpl fld="0" item="0"/>
          <tpl fld="1" item="48"/>
          <tpl fld="4" item="42"/>
        </tpls>
      </m>
      <n v="46" in="0">
        <tpls c="3">
          <tpl fld="0" item="0"/>
          <tpl fld="1" item="8"/>
          <tpl fld="4" item="41"/>
        </tpls>
      </n>
      <m in="0">
        <tpls c="3">
          <tpl fld="0" item="0"/>
          <tpl fld="1" item="143"/>
          <tpl fld="4" item="42"/>
        </tpls>
      </m>
      <n v="21" in="0">
        <tpls c="3">
          <tpl fld="0" item="0"/>
          <tpl fld="1" item="380"/>
          <tpl fld="4" item="42"/>
        </tpls>
      </n>
      <n v="75" in="0">
        <tpls c="3">
          <tpl fld="0" item="0"/>
          <tpl fld="1" item="442"/>
          <tpl fld="4" item="41"/>
        </tpls>
      </n>
      <n v="4" in="0">
        <tpls c="3">
          <tpl fld="0" item="0"/>
          <tpl fld="1" item="132"/>
          <tpl fld="4" item="43"/>
        </tpls>
      </n>
      <n v="3" in="0">
        <tpls c="3">
          <tpl fld="0" item="0"/>
          <tpl fld="1" item="309"/>
          <tpl fld="4" item="43"/>
        </tpls>
      </n>
      <m in="0">
        <tpls c="3">
          <tpl fld="0" item="0"/>
          <tpl fld="1" item="401"/>
          <tpl fld="4" item="42"/>
        </tpls>
      </m>
      <m in="0">
        <tpls c="3">
          <tpl fld="0" item="0"/>
          <tpl fld="1" item="97"/>
          <tpl fld="4" item="43"/>
        </tpls>
      </m>
      <m in="0">
        <tpls c="3">
          <tpl fld="0" item="0"/>
          <tpl fld="1" item="404"/>
          <tpl fld="4" item="42"/>
        </tpls>
      </m>
      <n v="1" in="0">
        <tpls c="3">
          <tpl fld="0" item="0"/>
          <tpl fld="1" item="242"/>
          <tpl fld="4" item="43"/>
        </tpls>
      </n>
      <m in="0">
        <tpls c="3">
          <tpl fld="0" item="0"/>
          <tpl fld="1" item="90"/>
          <tpl fld="4" item="43"/>
        </tpls>
      </m>
      <m in="0">
        <tpls c="3">
          <tpl fld="0" item="0"/>
          <tpl fld="1" item="158"/>
          <tpl fld="4" item="42"/>
        </tpls>
      </m>
      <m in="0">
        <tpls c="3">
          <tpl fld="0" item="0"/>
          <tpl fld="1" item="297"/>
          <tpl fld="4" item="41"/>
        </tpls>
      </m>
      <m in="0">
        <tpls c="3">
          <tpl fld="0" item="0"/>
          <tpl fld="1" item="388"/>
          <tpl fld="4" item="42"/>
        </tpls>
      </m>
      <m in="0">
        <tpls c="3">
          <tpl fld="0" item="0"/>
          <tpl fld="1" item="24"/>
          <tpl fld="4" item="43"/>
        </tpls>
      </m>
      <n v="1" in="0">
        <tpls c="3">
          <tpl fld="0" item="0"/>
          <tpl fld="1" item="226"/>
          <tpl fld="4" item="43"/>
        </tpls>
      </n>
      <m in="0">
        <tpls c="3">
          <tpl fld="0" item="0"/>
          <tpl fld="1" item="73"/>
          <tpl fld="4" item="43"/>
        </tpls>
      </m>
      <m in="0">
        <tpls c="3">
          <tpl fld="0" item="0"/>
          <tpl fld="1" item="356"/>
          <tpl fld="4" item="43"/>
        </tpls>
      </m>
      <n v="1" in="0">
        <tpls c="3">
          <tpl fld="0" item="0"/>
          <tpl fld="1" item="267"/>
          <tpl fld="4" item="43"/>
        </tpls>
      </n>
      <m in="0">
        <tpls c="3">
          <tpl fld="0" item="0"/>
          <tpl fld="1" item="6"/>
          <tpl fld="4" item="2"/>
        </tpls>
      </m>
      <m in="0">
        <tpls c="3">
          <tpl fld="0" item="0"/>
          <tpl fld="1" item="131"/>
          <tpl fld="4" item="40"/>
        </tpls>
      </m>
      <m in="0">
        <tpls c="3">
          <tpl fld="0" item="0"/>
          <tpl fld="1" item="446"/>
          <tpl fld="4" item="38"/>
        </tpls>
      </m>
      <m in="0">
        <tpls c="3">
          <tpl fld="0" item="0"/>
          <tpl fld="1" item="208"/>
          <tpl fld="4" item="39"/>
        </tpls>
      </m>
      <n v="3" in="0">
        <tpls c="3">
          <tpl fld="0" item="0"/>
          <tpl fld="1" item="348"/>
          <tpl fld="4" item="39"/>
        </tpls>
      </n>
      <n v="1" in="0">
        <tpls c="3">
          <tpl fld="0" item="0"/>
          <tpl fld="1" item="369"/>
          <tpl fld="4" item="38"/>
        </tpls>
      </n>
      <m in="0">
        <tpls c="3">
          <tpl fld="0" item="0"/>
          <tpl fld="1" item="323"/>
          <tpl fld="4" item="39"/>
        </tpls>
      </m>
      <m in="0">
        <tpls c="3">
          <tpl fld="0" item="0"/>
          <tpl fld="1" item="22"/>
          <tpl fld="4" item="42"/>
        </tpls>
      </m>
      <n v="5" in="0">
        <tpls c="3">
          <tpl fld="0" item="0"/>
          <tpl fld="1" item="262"/>
          <tpl fld="4" item="39"/>
        </tpls>
      </n>
      <n v="25" in="0">
        <tpls c="3">
          <tpl fld="0" item="0"/>
          <tpl fld="1" item="262"/>
          <tpl fld="4" item="40"/>
        </tpls>
      </n>
      <m in="0">
        <tpls c="3">
          <tpl fld="0" item="0"/>
          <tpl fld="1" item="332"/>
          <tpl fld="4" item="39"/>
        </tpls>
      </m>
      <n v="21" in="0">
        <tpls c="3">
          <tpl fld="0" item="0"/>
          <tpl fld="1" item="317"/>
          <tpl fld="4" item="40"/>
        </tpls>
      </n>
      <m in="0">
        <tpls c="3">
          <tpl fld="0" item="0"/>
          <tpl fld="1" item="432"/>
          <tpl fld="4" item="42"/>
        </tpls>
      </m>
      <m in="0">
        <tpls c="3">
          <tpl fld="0" item="0"/>
          <tpl fld="1" item="164"/>
          <tpl fld="4" item="40"/>
        </tpls>
      </m>
      <m in="0">
        <tpls c="3">
          <tpl fld="0" item="0"/>
          <tpl fld="1" item="69"/>
          <tpl fld="4" item="39"/>
        </tpls>
      </m>
      <n v="42" in="0">
        <tpls c="3">
          <tpl fld="0" item="0"/>
          <tpl fld="1" item="209"/>
          <tpl fld="4" item="41"/>
        </tpls>
      </n>
      <m in="0">
        <tpls c="3">
          <tpl fld="0" item="0"/>
          <tpl fld="1" item="180"/>
          <tpl fld="4" item="39"/>
        </tpls>
      </m>
      <n v="9" in="0">
        <tpls c="3">
          <tpl fld="0" item="0"/>
          <tpl fld="1" item="204"/>
          <tpl fld="4" item="41"/>
        </tpls>
      </n>
      <n v="22" in="0">
        <tpls c="3">
          <tpl fld="0" item="0"/>
          <tpl fld="1" item="199"/>
          <tpl fld="4" item="40"/>
        </tpls>
      </n>
      <n v="1" in="0">
        <tpls c="3">
          <tpl fld="0" item="0"/>
          <tpl fld="1" item="45"/>
          <tpl fld="4" item="42"/>
        </tpls>
      </n>
      <n v="204" in="0">
        <tpls c="3">
          <tpl fld="0" item="0"/>
          <tpl fld="1" item="438"/>
          <tpl fld="4" item="41"/>
        </tpls>
      </n>
      <m in="0">
        <tpls c="3">
          <tpl fld="0" item="0"/>
          <tpl fld="1" item="185"/>
          <tpl fld="4" item="43"/>
        </tpls>
      </m>
      <n v="78" in="0">
        <tpls c="3">
          <tpl fld="0" item="0"/>
          <tpl fld="1" item="279"/>
          <tpl fld="4" item="41"/>
        </tpls>
      </n>
      <m in="0">
        <tpls c="3">
          <tpl fld="0" item="0"/>
          <tpl fld="1" item="349"/>
          <tpl fld="4" item="43"/>
        </tpls>
      </m>
      <n v="6" in="0">
        <tpls c="3">
          <tpl fld="0" item="0"/>
          <tpl fld="1" item="187"/>
          <tpl fld="4" item="42"/>
        </tpls>
      </n>
      <n v="1" in="0">
        <tpls c="3">
          <tpl fld="0" item="0"/>
          <tpl fld="1" item="276"/>
          <tpl fld="4" item="41"/>
        </tpls>
      </n>
      <n v="15" in="0">
        <tpls c="3">
          <tpl fld="0" item="0"/>
          <tpl fld="1" item="266"/>
          <tpl fld="4" item="43"/>
        </tpls>
      </n>
      <m in="0">
        <tpls c="3">
          <tpl fld="0" item="0"/>
          <tpl fld="1" item="429"/>
          <tpl fld="4" item="43"/>
        </tpls>
      </m>
      <n v="14" in="0">
        <tpls c="3">
          <tpl fld="0" item="0"/>
          <tpl fld="1" item="351"/>
          <tpl fld="4" item="42"/>
        </tpls>
      </n>
      <n v="4" in="0">
        <tpls c="3">
          <tpl fld="0" item="0"/>
          <tpl fld="1" item="273"/>
          <tpl fld="4" item="43"/>
        </tpls>
      </n>
      <n v="2" in="0">
        <tpls c="3">
          <tpl fld="0" item="0"/>
          <tpl fld="1" item="3"/>
          <tpl fld="4" item="43"/>
        </tpls>
      </n>
      <m in="0">
        <tpls c="3">
          <tpl fld="0" item="0"/>
          <tpl fld="1" item="113"/>
          <tpl fld="4" item="43"/>
        </tpls>
      </m>
      <n v="16" in="0">
        <tpls c="3">
          <tpl fld="0" item="0"/>
          <tpl fld="1" item="347"/>
          <tpl fld="4" item="43"/>
        </tpls>
      </n>
      <m in="0">
        <tpls c="3">
          <tpl fld="0" item="0"/>
          <tpl fld="1" item="413"/>
          <tpl fld="4" item="42"/>
        </tpls>
      </m>
      <m in="0">
        <tpls c="3">
          <tpl fld="0" item="0"/>
          <tpl fld="1" item="51"/>
          <tpl fld="4" item="43"/>
        </tpls>
      </m>
      <m in="0">
        <tpls c="3">
          <tpl fld="0" item="0"/>
          <tpl fld="1" item="246"/>
          <tpl fld="4" item="2"/>
        </tpls>
      </m>
      <n v="3" in="0">
        <tpls c="3">
          <tpl fld="0" item="0"/>
          <tpl fld="1" item="434"/>
          <tpl fld="4" item="40"/>
        </tpls>
      </n>
      <m in="0">
        <tpls c="3">
          <tpl fld="0" item="0"/>
          <tpl fld="1" item="112"/>
          <tpl fld="4" item="38"/>
        </tpls>
      </m>
      <m in="0">
        <tpls c="3">
          <tpl fld="0" item="0"/>
          <tpl fld="1" item="292"/>
          <tpl fld="4" item="39"/>
        </tpls>
      </m>
      <n v="20" in="0">
        <tpls c="3">
          <tpl fld="0" item="0"/>
          <tpl fld="1" item="331"/>
          <tpl fld="4" item="39"/>
        </tpls>
      </n>
      <n v="15" in="0">
        <tpls c="3">
          <tpl fld="0" item="0"/>
          <tpl fld="1" item="351"/>
          <tpl fld="4" item="38"/>
        </tpls>
      </n>
      <m in="0">
        <tpls c="3">
          <tpl fld="0" item="0"/>
          <tpl fld="1" item="393"/>
          <tpl fld="4" item="39"/>
        </tpls>
      </m>
      <m in="0">
        <tpls c="3">
          <tpl fld="0" item="0"/>
          <tpl fld="1" item="375"/>
          <tpl fld="4" item="42"/>
        </tpls>
      </m>
      <n v="5" in="0">
        <tpls c="3">
          <tpl fld="0" item="0"/>
          <tpl fld="1" item="139"/>
          <tpl fld="4" item="39"/>
        </tpls>
      </n>
      <m in="0">
        <tpls c="3">
          <tpl fld="0" item="0"/>
          <tpl fld="1" item="441"/>
          <tpl fld="4" item="40"/>
        </tpls>
      </m>
      <m in="0">
        <tpls c="3">
          <tpl fld="0" item="0"/>
          <tpl fld="1" item="233"/>
          <tpl fld="4" item="39"/>
        </tpls>
      </m>
      <m in="0">
        <tpls c="3">
          <tpl fld="0" item="0"/>
          <tpl fld="1" item="448"/>
          <tpl fld="4" item="40"/>
        </tpls>
      </m>
      <m in="0">
        <tpls c="3">
          <tpl fld="0" item="0"/>
          <tpl fld="1" item="98"/>
          <tpl fld="4" item="42"/>
        </tpls>
      </m>
      <m in="0">
        <tpls c="3">
          <tpl fld="0" item="0"/>
          <tpl fld="1" item="392"/>
          <tpl fld="4" item="40"/>
        </tpls>
      </m>
      <m in="0">
        <tpls c="3">
          <tpl fld="0" item="0"/>
          <tpl fld="1" item="72"/>
          <tpl fld="4" item="39"/>
        </tpls>
      </m>
      <n v="34" in="0">
        <tpls c="3">
          <tpl fld="0" item="0"/>
          <tpl fld="1" item="89"/>
          <tpl fld="4" item="41"/>
        </tpls>
      </n>
      <n v="1" in="0">
        <tpls c="3">
          <tpl fld="0" item="0"/>
          <tpl fld="1" item="322"/>
          <tpl fld="4" item="39"/>
        </tpls>
      </n>
      <m in="0">
        <tpls c="3">
          <tpl fld="0" item="0"/>
          <tpl fld="1" item="414"/>
          <tpl fld="4" item="41"/>
        </tpls>
      </m>
      <n v="7" in="0">
        <tpls c="3">
          <tpl fld="0" item="0"/>
          <tpl fld="1" item="0"/>
          <tpl fld="4" item="40"/>
        </tpls>
      </n>
      <m in="0">
        <tpls c="3">
          <tpl fld="0" item="0"/>
          <tpl fld="1" item="99"/>
          <tpl fld="4" item="42"/>
        </tpls>
      </m>
      <n v="259" in="0">
        <tpls c="3">
          <tpl fld="0" item="0"/>
          <tpl fld="1" item="288"/>
          <tpl fld="4" item="41"/>
        </tpls>
      </n>
      <n v="2" in="0">
        <tpls c="3">
          <tpl fld="0" item="0"/>
          <tpl fld="1" item="264"/>
          <tpl fld="4" item="43"/>
        </tpls>
      </n>
      <n v="89" in="0">
        <tpls c="3">
          <tpl fld="0" item="0"/>
          <tpl fld="1" item="65"/>
          <tpl fld="4" item="41"/>
        </tpls>
      </n>
      <m in="0">
        <tpls c="3">
          <tpl fld="0" item="0"/>
          <tpl fld="1" item="127"/>
          <tpl fld="4" item="43"/>
        </tpls>
      </m>
      <m in="0">
        <tpls c="3">
          <tpl fld="0" item="0"/>
          <tpl fld="1" item="16"/>
          <tpl fld="4" item="42"/>
        </tpls>
      </m>
      <m in="0">
        <tpls c="3">
          <tpl fld="0" item="0"/>
          <tpl fld="1" item="443"/>
          <tpl fld="4" item="41"/>
        </tpls>
      </m>
      <n v="1" in="0">
        <tpls c="3">
          <tpl fld="0" item="0"/>
          <tpl fld="1" item="322"/>
          <tpl fld="4" item="43"/>
        </tpls>
      </n>
      <n v="11" in="0">
        <tpls c="3">
          <tpl fld="0" item="0"/>
          <tpl fld="1" item="104"/>
          <tpl fld="4" item="43"/>
        </tpls>
      </n>
      <n v="3" in="0">
        <tpls c="3">
          <tpl fld="0" item="0"/>
          <tpl fld="1" item="330"/>
          <tpl fld="4" item="42"/>
        </tpls>
      </n>
      <m in="0">
        <tpls c="3">
          <tpl fld="0" item="0"/>
          <tpl fld="1" item="122"/>
          <tpl fld="4" item="43"/>
        </tpls>
      </m>
      <n v="10" in="0">
        <tpls c="3">
          <tpl fld="0" item="0"/>
          <tpl fld="1" item="233"/>
          <tpl fld="4" item="43"/>
        </tpls>
      </n>
      <m in="0">
        <tpls c="3">
          <tpl fld="0" item="0"/>
          <tpl fld="1" item="355"/>
          <tpl fld="4" item="38"/>
        </tpls>
      </m>
      <m in="0">
        <tpls c="3">
          <tpl fld="0" item="0"/>
          <tpl fld="1" item="379"/>
          <tpl fld="4" item="38"/>
        </tpls>
      </m>
      <m in="0">
        <tpls c="3">
          <tpl fld="0" item="0"/>
          <tpl fld="1" item="408"/>
          <tpl fld="4" item="38"/>
        </tpls>
      </m>
      <m in="0">
        <tpls c="3">
          <tpl fld="0" item="0"/>
          <tpl fld="1" item="357"/>
          <tpl fld="4" item="38"/>
        </tpls>
      </m>
      <m in="0">
        <tpls c="3">
          <tpl fld="0" item="0"/>
          <tpl fld="1" item="301"/>
          <tpl fld="4" item="38"/>
        </tpls>
      </m>
      <m in="0">
        <tpls c="3">
          <tpl fld="0" item="0"/>
          <tpl fld="1" item="251"/>
          <tpl fld="4" item="41"/>
        </tpls>
      </m>
      <m in="0">
        <tpls c="3">
          <tpl fld="0" item="0"/>
          <tpl fld="1" item="286"/>
          <tpl fld="4" item="41"/>
        </tpls>
      </m>
      <n v="2" in="0">
        <tpls c="3">
          <tpl fld="0" item="0"/>
          <tpl fld="1" item="334"/>
          <tpl fld="4" item="39"/>
        </tpls>
      </n>
      <n v="3" in="0">
        <tpls c="3">
          <tpl fld="0" item="0"/>
          <tpl fld="1" item="356"/>
          <tpl fld="4" item="40"/>
        </tpls>
      </n>
      <m in="0">
        <tpls c="3">
          <tpl fld="0" item="0"/>
          <tpl fld="1" item="305"/>
          <tpl fld="4" item="38"/>
        </tpls>
      </m>
      <m in="0">
        <tpls c="3">
          <tpl fld="0" item="0"/>
          <tpl fld="1" item="247"/>
          <tpl fld="4" item="39"/>
        </tpls>
      </m>
      <n v="79" in="0">
        <tpls c="3">
          <tpl fld="0" item="0"/>
          <tpl fld="1" item="175"/>
          <tpl fld="4" item="41"/>
        </tpls>
      </n>
      <n v="31" in="0">
        <tpls c="3">
          <tpl fld="0" item="0"/>
          <tpl fld="1" item="99"/>
          <tpl fld="4" item="40"/>
        </tpls>
      </n>
      <m in="0">
        <tpls c="3">
          <tpl fld="0" item="0"/>
          <tpl fld="1" item="112"/>
          <tpl fld="4" item="39"/>
        </tpls>
      </m>
      <n v="4" in="0">
        <tpls c="3">
          <tpl fld="0" item="0"/>
          <tpl fld="1" item="429"/>
          <tpl fld="4" item="40"/>
        </tpls>
      </n>
      <n v="11" in="0">
        <tpls c="3">
          <tpl fld="0" item="0"/>
          <tpl fld="1" item="80"/>
          <tpl fld="4" item="39"/>
        </tpls>
      </n>
      <n v="32" in="0">
        <tpls c="3">
          <tpl fld="0" item="0"/>
          <tpl fld="1" item="187"/>
          <tpl fld="4" item="40"/>
        </tpls>
      </n>
      <m in="0">
        <tpls c="3">
          <tpl fld="0" item="0"/>
          <tpl fld="1" item="221"/>
          <tpl fld="4" item="40"/>
        </tpls>
      </m>
      <m in="0">
        <tpls c="3">
          <tpl fld="0" item="0"/>
          <tpl fld="1" item="73"/>
          <tpl fld="4" item="41"/>
        </tpls>
      </m>
      <m in="0">
        <tpls c="3">
          <tpl fld="0" item="0"/>
          <tpl fld="1" item="185"/>
          <tpl fld="4" item="41"/>
        </tpls>
      </m>
      <m in="0">
        <tpls c="3">
          <tpl fld="0" item="0"/>
          <tpl fld="1" item="221"/>
          <tpl fld="4" item="42"/>
        </tpls>
      </m>
      <m in="0">
        <tpls c="3">
          <tpl fld="0" item="0"/>
          <tpl fld="1" item="240"/>
          <tpl fld="4" item="41"/>
        </tpls>
      </m>
      <n v="6" in="0">
        <tpls c="3">
          <tpl fld="0" item="0"/>
          <tpl fld="1" item="28"/>
          <tpl fld="4" item="42"/>
        </tpls>
      </n>
      <m in="0">
        <tpls c="3">
          <tpl fld="0" item="0"/>
          <tpl fld="1" item="43"/>
          <tpl fld="4" item="42"/>
        </tpls>
      </m>
      <n v="19" in="0">
        <tpls c="3">
          <tpl fld="0" item="0"/>
          <tpl fld="1" item="332"/>
          <tpl fld="4" item="41"/>
        </tpls>
      </n>
      <n v="5" in="0">
        <tpls c="3">
          <tpl fld="0" item="0"/>
          <tpl fld="1" item="337"/>
          <tpl fld="4" item="42"/>
        </tpls>
      </n>
      <m in="0">
        <tpls c="3">
          <tpl fld="0" item="0"/>
          <tpl fld="1" item="10"/>
          <tpl fld="4" item="43"/>
        </tpls>
      </m>
      <n v="1" in="0">
        <tpls c="3">
          <tpl fld="0" item="0"/>
          <tpl fld="1" item="256"/>
          <tpl fld="4" item="42"/>
        </tpls>
      </n>
      <m in="0">
        <tpls c="3">
          <tpl fld="0" item="0"/>
          <tpl fld="1" item="336"/>
          <tpl fld="4" item="43"/>
        </tpls>
      </m>
      <n v="10" in="0">
        <tpls c="3">
          <tpl fld="0" item="0"/>
          <tpl fld="1" item="233"/>
          <tpl fld="4" item="42"/>
        </tpls>
      </n>
      <m in="0">
        <tpls c="3">
          <tpl fld="0" item="0"/>
          <tpl fld="1" item="361"/>
          <tpl fld="4" item="43"/>
        </tpls>
      </m>
      <n v="1" in="0">
        <tpls c="3">
          <tpl fld="0" item="0"/>
          <tpl fld="1" item="4"/>
          <tpl fld="4" item="43"/>
        </tpls>
      </n>
      <n v="3" in="0">
        <tpls c="3">
          <tpl fld="0" item="0"/>
          <tpl fld="1" item="330"/>
          <tpl fld="4" item="43"/>
        </tpls>
      </n>
      <n v="1" in="0">
        <tpls c="3">
          <tpl fld="0" item="0"/>
          <tpl fld="1" item="172"/>
          <tpl fld="4" item="38"/>
        </tpls>
      </n>
      <m in="0">
        <tpls c="3">
          <tpl fld="0" item="0"/>
          <tpl fld="1" item="246"/>
          <tpl fld="4" item="38"/>
        </tpls>
      </m>
      <n v="1" in="0">
        <tpls c="3">
          <tpl fld="0" item="0"/>
          <tpl fld="1" item="138"/>
          <tpl fld="4" item="38"/>
        </tpls>
      </n>
      <n v="2" in="0">
        <tpls c="3">
          <tpl fld="0" item="0"/>
          <tpl fld="1" item="54"/>
          <tpl fld="4" item="38"/>
        </tpls>
      </n>
      <m in="0">
        <tpls c="3">
          <tpl fld="0" item="0"/>
          <tpl fld="1" item="78"/>
          <tpl fld="4" item="38"/>
        </tpls>
      </m>
      <m in="0">
        <tpls c="3">
          <tpl fld="0" item="0"/>
          <tpl fld="1" item="121"/>
          <tpl fld="4" item="42"/>
        </tpls>
      </m>
      <m in="0">
        <tpls c="3">
          <tpl fld="0" item="0"/>
          <tpl fld="1" item="439"/>
          <tpl fld="4" item="41"/>
        </tpls>
      </m>
      <m in="0">
        <tpls c="3">
          <tpl fld="0" item="0"/>
          <tpl fld="1" item="29"/>
          <tpl fld="4" item="39"/>
        </tpls>
      </m>
      <n v="2" in="0">
        <tpls c="3">
          <tpl fld="0" item="0"/>
          <tpl fld="1" item="181"/>
          <tpl fld="4" item="40"/>
        </tpls>
      </n>
      <n v="5" in="0">
        <tpls c="3">
          <tpl fld="0" item="0"/>
          <tpl fld="1" item="101"/>
          <tpl fld="4" item="38"/>
        </tpls>
      </n>
      <n v="44" in="0">
        <tpls c="3">
          <tpl fld="0" item="0"/>
          <tpl fld="1" item="87"/>
          <tpl fld="4" item="40"/>
        </tpls>
      </n>
      <n v="13" in="0">
        <tpls c="3">
          <tpl fld="0" item="0"/>
          <tpl fld="1" item="186"/>
          <tpl fld="4" item="41"/>
        </tpls>
      </n>
      <m in="0">
        <tpls c="3">
          <tpl fld="0" item="0"/>
          <tpl fld="1" item="314"/>
          <tpl fld="4" item="40"/>
        </tpls>
      </m>
      <m in="0">
        <tpls c="3">
          <tpl fld="0" item="0"/>
          <tpl fld="1" item="108"/>
          <tpl fld="4" item="39"/>
        </tpls>
      </m>
      <n v="6" in="0">
        <tpls c="3">
          <tpl fld="0" item="0"/>
          <tpl fld="1" item="214"/>
          <tpl fld="4" item="40"/>
        </tpls>
      </n>
      <m in="0">
        <tpls c="3">
          <tpl fld="0" item="0"/>
          <tpl fld="1" item="3"/>
          <tpl fld="4" item="39"/>
        </tpls>
      </m>
      <n v="11" in="0">
        <tpls c="3">
          <tpl fld="0" item="0"/>
          <tpl fld="1" item="339"/>
          <tpl fld="4" item="40"/>
        </tpls>
      </n>
      <n v="33" in="0">
        <tpls c="3">
          <tpl fld="0" item="0"/>
          <tpl fld="1" item="9"/>
          <tpl fld="4" item="40"/>
        </tpls>
      </n>
      <n v="77" in="0">
        <tpls c="3">
          <tpl fld="0" item="0"/>
          <tpl fld="1" item="20"/>
          <tpl fld="4" item="41"/>
        </tpls>
      </n>
      <m in="0">
        <tpls c="3">
          <tpl fld="0" item="0"/>
          <tpl fld="1" item="36"/>
          <tpl fld="4" item="41"/>
        </tpls>
      </m>
      <n v="2" in="0">
        <tpls c="3">
          <tpl fld="0" item="0"/>
          <tpl fld="1" item="271"/>
          <tpl fld="4" item="42"/>
        </tpls>
      </n>
      <n v="176" in="0">
        <tpls c="3">
          <tpl fld="0" item="0"/>
          <tpl fld="1" item="11"/>
          <tpl fld="4" item="41"/>
        </tpls>
      </n>
      <m in="0">
        <tpls c="3">
          <tpl fld="0" item="0"/>
          <tpl fld="1" item="387"/>
          <tpl fld="4" item="42"/>
        </tpls>
      </m>
      <m in="0">
        <tpls c="3">
          <tpl fld="0" item="0"/>
          <tpl fld="1" item="29"/>
          <tpl fld="4" item="42"/>
        </tpls>
      </m>
      <n v="98" in="0">
        <tpls c="3">
          <tpl fld="0" item="0"/>
          <tpl fld="1" item="125"/>
          <tpl fld="4" item="41"/>
        </tpls>
      </n>
      <m in="0">
        <tpls c="3">
          <tpl fld="0" item="0"/>
          <tpl fld="1" item="325"/>
          <tpl fld="4" item="43"/>
        </tpls>
      </m>
      <n v="2" in="0">
        <tpls c="3">
          <tpl fld="0" item="0"/>
          <tpl fld="1" item="173"/>
          <tpl fld="4" item="43"/>
        </tpls>
      </n>
      <n v="3" in="0">
        <tpls c="3">
          <tpl fld="0" item="0"/>
          <tpl fld="1" item="258"/>
          <tpl fld="4" item="42"/>
        </tpls>
      </n>
      <m in="0">
        <tpls c="3">
          <tpl fld="0" item="0"/>
          <tpl fld="1" item="210"/>
          <tpl fld="4" item="43"/>
        </tpls>
      </m>
      <n v="1" in="0">
        <tpls c="3">
          <tpl fld="0" item="0"/>
          <tpl fld="1" item="442"/>
          <tpl fld="4" item="42"/>
        </tpls>
      </n>
      <m in="0">
        <tpls c="3">
          <tpl fld="0" item="0"/>
          <tpl fld="1" item="100"/>
          <tpl fld="4" item="43"/>
        </tpls>
      </m>
      <m in="0">
        <tpls c="3">
          <tpl fld="0" item="0"/>
          <tpl fld="1" item="112"/>
          <tpl fld="4" item="43"/>
        </tpls>
      </m>
      <m in="0">
        <tpls c="3">
          <tpl fld="0" item="0"/>
          <tpl fld="1" item="34"/>
          <tpl fld="4" item="42"/>
        </tpls>
      </m>
      <n v="3" in="0">
        <tpls c="3">
          <tpl fld="0" item="0"/>
          <tpl fld="1" item="64"/>
          <tpl fld="4" item="43"/>
        </tpls>
      </n>
      <m in="0">
        <tpls c="3">
          <tpl fld="0" item="0"/>
          <tpl fld="1" item="223"/>
          <tpl fld="4" item="42"/>
        </tpls>
      </m>
      <m in="0">
        <tpls c="3">
          <tpl fld="0" item="0"/>
          <tpl fld="1" item="307"/>
          <tpl fld="4" item="43"/>
        </tpls>
      </m>
      <m in="0">
        <tpls c="3">
          <tpl fld="0" item="0"/>
          <tpl fld="1" item="142"/>
          <tpl fld="4" item="38"/>
        </tpls>
      </m>
      <n v="2" in="0">
        <tpls c="3">
          <tpl fld="0" item="0"/>
          <tpl fld="1" item="254"/>
          <tpl fld="4" item="38"/>
        </tpls>
      </n>
      <m in="0">
        <tpls c="3">
          <tpl fld="0" item="0"/>
          <tpl fld="1" item="6"/>
          <tpl fld="4" item="38"/>
        </tpls>
      </m>
      <m in="0">
        <tpls c="3">
          <tpl fld="0" item="0"/>
          <tpl fld="1" item="446"/>
          <tpl fld="4" item="42"/>
        </tpls>
      </m>
      <m in="0">
        <tpls c="3">
          <tpl fld="0" item="0"/>
          <tpl fld="1" item="193"/>
          <tpl fld="4" item="39"/>
        </tpls>
      </m>
      <m in="0">
        <tpls c="3">
          <tpl fld="0" item="0"/>
          <tpl fld="1" item="136"/>
          <tpl fld="4" item="38"/>
        </tpls>
      </m>
      <m in="0">
        <tpls c="3">
          <tpl fld="0" item="0"/>
          <tpl fld="1" item="69"/>
          <tpl fld="4" item="41"/>
        </tpls>
      </m>
      <n v="2" in="0">
        <tpls c="3">
          <tpl fld="0" item="0"/>
          <tpl fld="1" item="161"/>
          <tpl fld="4" item="39"/>
        </tpls>
      </n>
      <n v="9" in="0">
        <tpls c="3">
          <tpl fld="0" item="0"/>
          <tpl fld="1" item="256"/>
          <tpl fld="4" item="39"/>
        </tpls>
      </n>
      <n v="19" in="0">
        <tpls c="3">
          <tpl fld="0" item="0"/>
          <tpl fld="1" item="205"/>
          <tpl fld="4" item="41"/>
        </tpls>
      </n>
      <n v="4" in="0">
        <tpls c="3">
          <tpl fld="0" item="0"/>
          <tpl fld="1" item="9"/>
          <tpl fld="4" item="42"/>
        </tpls>
      </n>
      <n v="1" in="0">
        <tpls c="3">
          <tpl fld="0" item="0"/>
          <tpl fld="1" item="308"/>
          <tpl fld="4" item="42"/>
        </tpls>
      </n>
      <m in="0">
        <tpls c="3">
          <tpl fld="0" item="0"/>
          <tpl fld="1" item="123"/>
          <tpl fld="4" item="43"/>
        </tpls>
      </m>
      <m in="0">
        <tpls c="3">
          <tpl fld="0" item="0"/>
          <tpl fld="1" item="362"/>
          <tpl fld="4" item="42"/>
        </tpls>
      </m>
      <m in="0">
        <tpls c="3">
          <tpl fld="0" item="0"/>
          <tpl fld="1" item="436"/>
          <tpl fld="4" item="43"/>
        </tpls>
      </m>
      <m in="0">
        <tpls c="3">
          <tpl fld="0" item="0"/>
          <tpl fld="1" item="342"/>
          <tpl fld="4" item="42"/>
        </tpls>
      </m>
      <m in="0">
        <tpls c="3">
          <tpl fld="0" item="0"/>
          <tpl fld="1" item="343"/>
          <tpl fld="4" item="42"/>
        </tpls>
      </m>
      <m in="0">
        <tpls c="3">
          <tpl fld="0" item="0"/>
          <tpl fld="1" item="340"/>
          <tpl fld="4" item="43"/>
        </tpls>
      </m>
      <m in="0">
        <tpls c="3">
          <tpl fld="0" item="0"/>
          <tpl fld="1" item="252"/>
          <tpl fld="4" item="43"/>
        </tpls>
      </m>
      <m in="0">
        <tpls c="3">
          <tpl fld="0" item="0"/>
          <tpl fld="1" item="217"/>
          <tpl fld="4" item="0"/>
        </tpls>
      </m>
      <m in="0">
        <tpls c="3">
          <tpl fld="0" item="0"/>
          <tpl fld="1" item="291"/>
          <tpl fld="4" item="0"/>
        </tpls>
      </m>
      <m in="0">
        <tpls c="3">
          <tpl fld="0" item="0"/>
          <tpl fld="1" item="453"/>
          <tpl fld="4" item="4"/>
        </tpls>
      </m>
      <m in="0">
        <tpls c="3">
          <tpl fld="0" item="0"/>
          <tpl fld="1" item="344"/>
          <tpl fld="4" item="36"/>
        </tpls>
      </m>
      <m in="0">
        <tpls c="3">
          <tpl fld="0" item="0"/>
          <tpl fld="1" item="375"/>
          <tpl fld="4" item="36"/>
        </tpls>
      </m>
      <m in="0">
        <tpls c="3">
          <tpl fld="0" item="0"/>
          <tpl fld="1" item="404"/>
          <tpl fld="4" item="36"/>
        </tpls>
      </m>
      <m in="0">
        <tpls c="3">
          <tpl fld="0" item="0"/>
          <tpl fld="1" item="451"/>
          <tpl fld="4" item="36"/>
        </tpls>
      </m>
      <n v="13" in="0">
        <tpls c="3">
          <tpl fld="0" item="0"/>
          <tpl fld="1" item="189"/>
          <tpl fld="4" item="37"/>
        </tpls>
      </n>
      <n v="3" in="0">
        <tpls c="3">
          <tpl fld="0" item="0"/>
          <tpl fld="1" item="437"/>
          <tpl fld="4" item="36"/>
        </tpls>
      </n>
      <m in="0">
        <tpls c="3">
          <tpl fld="0" item="0"/>
          <tpl fld="1" item="165"/>
          <tpl fld="4" item="38"/>
        </tpls>
      </m>
      <n v="32" in="0">
        <tpls c="3">
          <tpl fld="0" item="0"/>
          <tpl fld="1" item="149"/>
          <tpl fld="4" item="28"/>
        </tpls>
      </n>
      <m in="0">
        <tpls c="3">
          <tpl fld="0" item="0"/>
          <tpl fld="1" item="13"/>
          <tpl fld="4" item="35"/>
        </tpls>
      </m>
      <m in="0">
        <tpls c="3">
          <tpl fld="0" item="0"/>
          <tpl fld="1" item="57"/>
          <tpl fld="4" item="0"/>
        </tpls>
      </m>
      <m in="0">
        <tpls c="3">
          <tpl fld="0" item="0"/>
          <tpl fld="1" item="333"/>
          <tpl fld="4" item="4"/>
        </tpls>
      </m>
      <m in="0">
        <tpls c="3">
          <tpl fld="0" item="0"/>
          <tpl fld="1" item="82"/>
          <tpl fld="4" item="4"/>
        </tpls>
      </m>
      <m in="0">
        <tpls c="3">
          <tpl fld="0" item="0"/>
          <tpl fld="1" item="121"/>
          <tpl fld="4" item="4"/>
        </tpls>
      </m>
      <m in="0">
        <tpls c="3">
          <tpl fld="0" item="0"/>
          <tpl fld="1" item="243"/>
          <tpl fld="4" item="2"/>
        </tpls>
      </m>
      <n v="14" in="0">
        <tpls c="3">
          <tpl fld="0" item="0"/>
          <tpl fld="1" item="449"/>
          <tpl fld="4" item="37"/>
        </tpls>
      </n>
      <n v="41" in="0">
        <tpls c="3">
          <tpl fld="0" item="0"/>
          <tpl fld="1" item="9"/>
          <tpl fld="4" item="37"/>
        </tpls>
      </n>
      <m in="0">
        <tpls c="3">
          <tpl fld="0" item="0"/>
          <tpl fld="1" item="155"/>
          <tpl fld="4" item="2"/>
        </tpls>
      </m>
      <m in="0">
        <tpls c="3">
          <tpl fld="0" item="0"/>
          <tpl fld="1" item="130"/>
          <tpl fld="4" item="36"/>
        </tpls>
      </m>
      <n v="20" in="0">
        <tpls c="3">
          <tpl fld="0" item="0"/>
          <tpl fld="1" item="33"/>
          <tpl fld="4" item="43"/>
        </tpls>
      </n>
      <m in="0">
        <tpls c="3">
          <tpl fld="0" item="0"/>
          <tpl fld="1" item="426"/>
          <tpl fld="4" item="40"/>
        </tpls>
      </m>
      <n v="2" in="0">
        <tpls c="3">
          <tpl fld="0" item="0"/>
          <tpl fld="1" item="204"/>
          <tpl fld="4" item="40"/>
        </tpls>
      </n>
      <m in="0">
        <tpls c="3">
          <tpl fld="0" item="0"/>
          <tpl fld="1" item="184"/>
          <tpl fld="4" item="33"/>
        </tpls>
      </m>
      <m in="0">
        <tpls c="3">
          <tpl fld="0" item="0"/>
          <tpl fld="1" item="101"/>
          <tpl fld="4" item="34"/>
        </tpls>
      </m>
      <n v="1" in="0">
        <tpls c="3">
          <tpl fld="0" item="0"/>
          <tpl fld="1" item="132"/>
          <tpl fld="4" item="30"/>
        </tpls>
      </n>
      <m in="0">
        <tpls c="3">
          <tpl fld="0" item="0"/>
          <tpl fld="1" item="357"/>
          <tpl fld="4" item="33"/>
        </tpls>
      </m>
      <m in="0">
        <tpls c="3">
          <tpl fld="0" item="0"/>
          <tpl fld="1" item="115"/>
          <tpl fld="4" item="2"/>
        </tpls>
      </m>
      <m in="0">
        <tpls c="3">
          <tpl fld="0" item="0"/>
          <tpl fld="1" item="74"/>
          <tpl fld="4" item="0"/>
        </tpls>
      </m>
      <m in="0">
        <tpls c="3">
          <tpl fld="0" item="0"/>
          <tpl fld="1" item="316"/>
          <tpl fld="4" item="3"/>
        </tpls>
      </m>
      <m in="0">
        <tpls c="3">
          <tpl fld="0" item="0"/>
          <tpl fld="1" item="358"/>
          <tpl fld="4" item="0"/>
        </tpls>
      </m>
      <m in="0">
        <tpls c="3">
          <tpl fld="0" item="0"/>
          <tpl fld="1" item="149"/>
          <tpl fld="4" item="4"/>
        </tpls>
      </m>
      <m in="0">
        <tpls c="3">
          <tpl fld="0" item="0"/>
          <tpl fld="1" item="451"/>
          <tpl fld="4" item="3"/>
        </tpls>
      </m>
      <m in="0">
        <tpls c="3">
          <tpl fld="0" item="0"/>
          <tpl fld="1" item="47"/>
          <tpl fld="4" item="0"/>
        </tpls>
      </m>
      <n v="2" in="0">
        <tpls c="3">
          <tpl fld="0" item="0"/>
          <tpl fld="1" item="409"/>
          <tpl fld="4" item="3"/>
        </tpls>
      </n>
      <m in="0">
        <tpls c="3">
          <tpl fld="0" item="0"/>
          <tpl fld="1" item="378"/>
          <tpl fld="4" item="3"/>
        </tpls>
      </m>
      <m in="0">
        <tpls c="3">
          <tpl fld="0" item="0"/>
          <tpl fld="1" item="84"/>
          <tpl fld="4" item="4"/>
        </tpls>
      </m>
      <m in="0">
        <tpls c="3">
          <tpl fld="0" item="0"/>
          <tpl fld="1" item="399"/>
          <tpl fld="4" item="3"/>
        </tpls>
      </m>
      <m in="0">
        <tpls c="3">
          <tpl fld="0" item="0"/>
          <tpl fld="1" item="285"/>
          <tpl fld="4" item="3"/>
        </tpls>
      </m>
      <m in="0">
        <tpls c="3">
          <tpl fld="0" item="0"/>
          <tpl fld="1" item="98"/>
          <tpl fld="4" item="2"/>
        </tpls>
      </m>
      <m in="0">
        <tpls c="3">
          <tpl fld="0" item="0"/>
          <tpl fld="1" item="139"/>
          <tpl fld="4" item="2"/>
        </tpls>
      </m>
      <n v="299" in="0">
        <tpls c="3">
          <tpl fld="0" item="0"/>
          <tpl fld="1" item="105"/>
          <tpl fld="4" item="37"/>
        </tpls>
      </n>
      <m in="0">
        <tpls c="3">
          <tpl fld="0" item="0"/>
          <tpl fld="1" item="129"/>
          <tpl fld="4" item="2"/>
        </tpls>
      </m>
      <m in="0">
        <tpls c="3">
          <tpl fld="0" item="0"/>
          <tpl fld="1" item="216"/>
          <tpl fld="4" item="36"/>
        </tpls>
      </m>
      <n v="313" in="0">
        <tpls c="3">
          <tpl fld="0" item="0"/>
          <tpl fld="1" item="47"/>
          <tpl fld="4" item="36"/>
        </tpls>
      </n>
      <m in="0">
        <tpls c="3">
          <tpl fld="0" item="0"/>
          <tpl fld="1" item="253"/>
          <tpl fld="4" item="2"/>
        </tpls>
      </m>
      <n v="71" in="0">
        <tpls c="3">
          <tpl fld="0" item="0"/>
          <tpl fld="1" item="330"/>
          <tpl fld="4" item="36"/>
        </tpls>
      </n>
      <m in="0">
        <tpls c="3">
          <tpl fld="0" item="0"/>
          <tpl fld="1" item="278"/>
          <tpl fld="4" item="38"/>
        </tpls>
      </m>
      <n v="54" in="0">
        <tpls c="3">
          <tpl fld="0" item="0"/>
          <tpl fld="1" item="287"/>
          <tpl fld="4" item="36"/>
        </tpls>
      </n>
      <m in="0">
        <tpls c="3">
          <tpl fld="0" item="0"/>
          <tpl fld="1" item="95"/>
          <tpl fld="4" item="41"/>
        </tpls>
      </m>
      <m in="0">
        <tpls c="3">
          <tpl fld="0" item="0"/>
          <tpl fld="1" item="235"/>
          <tpl fld="4" item="36"/>
        </tpls>
      </m>
      <n v="74" in="0">
        <tpls c="3">
          <tpl fld="0" item="0"/>
          <tpl fld="1" item="104"/>
          <tpl fld="4" item="36"/>
        </tpls>
      </n>
      <m in="0">
        <tpls c="3">
          <tpl fld="0" item="0"/>
          <tpl fld="1" item="164"/>
          <tpl fld="4" item="36"/>
        </tpls>
      </m>
      <n v="33" in="0">
        <tpls c="3">
          <tpl fld="0" item="0"/>
          <tpl fld="1" item="173"/>
          <tpl fld="4" item="37"/>
        </tpls>
      </n>
      <m in="0">
        <tpls c="3">
          <tpl fld="0" item="0"/>
          <tpl fld="1" item="142"/>
          <tpl fld="4" item="35"/>
        </tpls>
      </m>
      <m in="0">
        <tpls c="3">
          <tpl fld="0" item="0"/>
          <tpl fld="1" item="185"/>
          <tpl fld="4" item="35"/>
        </tpls>
      </m>
      <m in="0">
        <tpls c="3">
          <tpl fld="0" item="0"/>
          <tpl fld="1" item="329"/>
          <tpl fld="4" item="32"/>
        </tpls>
      </m>
      <m in="0">
        <tpls c="3">
          <tpl fld="0" item="0"/>
          <tpl fld="1" item="122"/>
          <tpl fld="4" item="35"/>
        </tpls>
      </m>
      <m in="0">
        <tpls c="3">
          <tpl fld="0" item="0"/>
          <tpl fld="1" item="145"/>
          <tpl fld="4" item="30"/>
        </tpls>
      </m>
      <n v="2" in="0">
        <tpls c="3">
          <tpl fld="0" item="0"/>
          <tpl fld="1" item="161"/>
          <tpl fld="4" item="22"/>
        </tpls>
      </n>
      <m in="0">
        <tpls c="3">
          <tpl fld="0" item="0"/>
          <tpl fld="1" item="445"/>
          <tpl fld="4" item="34"/>
        </tpls>
      </m>
      <n v="2" in="0">
        <tpls c="3">
          <tpl fld="0" item="0"/>
          <tpl fld="1" item="67"/>
          <tpl fld="4" item="30"/>
        </tpls>
      </n>
      <m in="0">
        <tpls c="3">
          <tpl fld="0" item="0"/>
          <tpl fld="1" item="419"/>
          <tpl fld="4" item="0"/>
        </tpls>
      </m>
      <m in="0">
        <tpls c="3">
          <tpl fld="0" item="0"/>
          <tpl fld="1" item="28"/>
          <tpl fld="4" item="3"/>
        </tpls>
      </m>
      <m in="0">
        <tpls c="3">
          <tpl fld="0" item="0"/>
          <tpl fld="1" item="118"/>
          <tpl fld="4" item="3"/>
        </tpls>
      </m>
      <m in="0">
        <tpls c="3">
          <tpl fld="0" item="0"/>
          <tpl fld="1" item="298"/>
          <tpl fld="4" item="4"/>
        </tpls>
      </m>
      <m in="0">
        <tpls c="3">
          <tpl fld="0" item="0"/>
          <tpl fld="1" item="406"/>
          <tpl fld="4" item="3"/>
        </tpls>
      </m>
      <m in="0">
        <tpls c="3">
          <tpl fld="0" item="0"/>
          <tpl fld="1" item="148"/>
          <tpl fld="4" item="4"/>
        </tpls>
      </m>
      <m in="0">
        <tpls c="3">
          <tpl fld="0" item="0"/>
          <tpl fld="1" item="330"/>
          <tpl fld="4" item="4"/>
        </tpls>
      </m>
      <m in="0">
        <tpls c="3">
          <tpl fld="0" item="0"/>
          <tpl fld="1" item="309"/>
          <tpl fld="4" item="3"/>
        </tpls>
      </m>
      <m in="0">
        <tpls c="3">
          <tpl fld="0" item="0"/>
          <tpl fld="1" item="47"/>
          <tpl fld="4" item="4"/>
        </tpls>
      </m>
      <m in="0">
        <tpls c="3">
          <tpl fld="0" item="0"/>
          <tpl fld="1" item="55"/>
          <tpl fld="4" item="3"/>
        </tpls>
      </m>
      <m in="0">
        <tpls c="3">
          <tpl fld="0" item="0"/>
          <tpl fld="1" item="163"/>
          <tpl fld="4" item="3"/>
        </tpls>
      </m>
      <m in="0">
        <tpls c="3">
          <tpl fld="0" item="0"/>
          <tpl fld="1" item="314"/>
          <tpl fld="4" item="4"/>
        </tpls>
      </m>
      <m in="0">
        <tpls c="3">
          <tpl fld="0" item="0"/>
          <tpl fld="1" item="59"/>
          <tpl fld="4" item="4"/>
        </tpls>
      </m>
      <m in="0">
        <tpls c="3">
          <tpl fld="0" item="0"/>
          <tpl fld="1" item="244"/>
          <tpl fld="4" item="36"/>
        </tpls>
      </m>
      <m in="0">
        <tpls c="3">
          <tpl fld="0" item="0"/>
          <tpl fld="1" item="69"/>
          <tpl fld="4" item="4"/>
        </tpls>
      </m>
      <n v="10" in="0">
        <tpls c="3">
          <tpl fld="0" item="0"/>
          <tpl fld="1" item="212"/>
          <tpl fld="4" item="36"/>
        </tpls>
      </n>
      <m in="0">
        <tpls c="3">
          <tpl fld="0" item="0"/>
          <tpl fld="1" item="325"/>
          <tpl fld="4" item="4"/>
        </tpls>
      </m>
      <n v="216" in="0">
        <tpls c="3">
          <tpl fld="0" item="0"/>
          <tpl fld="1" item="11"/>
          <tpl fld="4" item="36"/>
        </tpls>
      </n>
      <n v="192" in="0">
        <tpls c="3">
          <tpl fld="0" item="0"/>
          <tpl fld="1" item="312"/>
          <tpl fld="4" item="36"/>
        </tpls>
      </n>
      <m in="0">
        <tpls c="3">
          <tpl fld="0" item="0"/>
          <tpl fld="1" item="297"/>
          <tpl fld="4" item="2"/>
        </tpls>
      </m>
      <m in="0">
        <tpls c="3">
          <tpl fld="0" item="0"/>
          <tpl fld="1" item="70"/>
          <tpl fld="4" item="4"/>
        </tpls>
      </m>
      <n v="387" in="0">
        <tpls c="3">
          <tpl fld="0" item="0"/>
          <tpl fld="1" item="177"/>
          <tpl fld="4" item="36"/>
        </tpls>
      </n>
      <n v="57" in="0">
        <tpls c="3">
          <tpl fld="0" item="0"/>
          <tpl fld="1" item="395"/>
          <tpl fld="4" item="36"/>
        </tpls>
      </n>
      <n v="115" in="0">
        <tpls c="3">
          <tpl fld="0" item="0"/>
          <tpl fld="1" item="442"/>
          <tpl fld="4" item="37"/>
        </tpls>
      </n>
      <m in="0">
        <tpls c="3">
          <tpl fld="0" item="0"/>
          <tpl fld="1" item="251"/>
          <tpl fld="4" item="2"/>
        </tpls>
      </m>
      <m in="0">
        <tpls c="3">
          <tpl fld="0" item="0"/>
          <tpl fld="1" item="306"/>
          <tpl fld="4" item="36"/>
        </tpls>
      </m>
      <m in="0">
        <tpls c="3">
          <tpl fld="0" item="0"/>
          <tpl fld="1" item="311"/>
          <tpl fld="4" item="38"/>
        </tpls>
      </m>
      <m in="0">
        <tpls c="3">
          <tpl fld="0" item="0"/>
          <tpl fld="1" item="78"/>
          <tpl fld="4" item="36"/>
        </tpls>
      </m>
      <m in="0">
        <tpls c="3">
          <tpl fld="0" item="0"/>
          <tpl fld="1" item="110"/>
          <tpl fld="4" item="37"/>
        </tpls>
      </m>
      <n v="11" in="0">
        <tpls c="3">
          <tpl fld="0" item="0"/>
          <tpl fld="1" item="311"/>
          <tpl fld="4" item="37"/>
        </tpls>
      </n>
      <m in="0">
        <tpls c="3">
          <tpl fld="0" item="0"/>
          <tpl fld="1" item="96"/>
          <tpl fld="4" item="42"/>
        </tpls>
      </m>
      <n v="382" in="0">
        <tpls c="3">
          <tpl fld="0" item="0"/>
          <tpl fld="1" item="20"/>
          <tpl fld="4" item="37"/>
        </tpls>
      </n>
      <m in="0">
        <tpls c="3">
          <tpl fld="0" item="0"/>
          <tpl fld="1" item="350"/>
          <tpl fld="4" item="2"/>
        </tpls>
      </m>
      <m in="0">
        <tpls c="3">
          <tpl fld="0" item="0"/>
          <tpl fld="1" item="358"/>
          <tpl fld="4" item="36"/>
        </tpls>
      </m>
      <n v="159" in="0">
        <tpls c="3">
          <tpl fld="0" item="0"/>
          <tpl fld="1" item="337"/>
          <tpl fld="4" item="37"/>
        </tpls>
      </n>
      <n v="21" in="0">
        <tpls c="3">
          <tpl fld="0" item="0"/>
          <tpl fld="1" item="160"/>
          <tpl fld="4" item="38"/>
        </tpls>
      </n>
      <m in="0">
        <tpls c="3">
          <tpl fld="0" item="0"/>
          <tpl fld="1" item="90"/>
          <tpl fld="4" item="39"/>
        </tpls>
      </m>
      <m in="0">
        <tpls c="3">
          <tpl fld="0" item="0"/>
          <tpl fld="1" item="156"/>
          <tpl fld="4" item="38"/>
        </tpls>
      </m>
      <m in="0">
        <tpls c="3">
          <tpl fld="0" item="0"/>
          <tpl fld="1" item="389"/>
          <tpl fld="4" item="39"/>
        </tpls>
      </m>
      <m in="0">
        <tpls c="3">
          <tpl fld="0" item="0"/>
          <tpl fld="1" item="56"/>
          <tpl fld="4" item="38"/>
        </tpls>
      </m>
      <n v="1" in="0">
        <tpls c="3">
          <tpl fld="0" item="0"/>
          <tpl fld="1" item="425"/>
          <tpl fld="4" item="39"/>
        </tpls>
      </n>
      <m in="0">
        <tpls c="3">
          <tpl fld="0" item="0"/>
          <tpl fld="1" item="411"/>
          <tpl fld="4" item="38"/>
        </tpls>
      </m>
      <m in="0">
        <tpls c="3">
          <tpl fld="0" item="0"/>
          <tpl fld="1" item="212"/>
          <tpl fld="4" item="39"/>
        </tpls>
      </m>
      <m in="0">
        <tpls c="3">
          <tpl fld="0" item="0"/>
          <tpl fld="1" item="243"/>
          <tpl fld="4" item="38"/>
        </tpls>
      </m>
      <n v="2" in="0">
        <tpls c="3">
          <tpl fld="0" item="0"/>
          <tpl fld="1" item="25"/>
          <tpl fld="4" item="40"/>
        </tpls>
      </n>
      <m in="0">
        <tpls c="3">
          <tpl fld="0" item="0"/>
          <tpl fld="1" item="346"/>
          <tpl fld="4" item="38"/>
        </tpls>
      </m>
      <m in="0">
        <tpls c="3">
          <tpl fld="0" item="0"/>
          <tpl fld="1" item="259"/>
          <tpl fld="4" item="38"/>
        </tpls>
      </m>
      <m in="0">
        <tpls c="3">
          <tpl fld="0" item="0"/>
          <tpl fld="1" item="391"/>
          <tpl fld="4" item="40"/>
        </tpls>
      </m>
      <m in="0">
        <tpls c="3">
          <tpl fld="0" item="0"/>
          <tpl fld="1" item="76"/>
          <tpl fld="4" item="38"/>
        </tpls>
      </m>
      <m in="0">
        <tpls c="3">
          <tpl fld="0" item="0"/>
          <tpl fld="1" item="363"/>
          <tpl fld="4" item="38"/>
        </tpls>
      </m>
      <m in="0">
        <tpls c="3">
          <tpl fld="0" item="0"/>
          <tpl fld="1" item="298"/>
          <tpl fld="4" item="38"/>
        </tpls>
      </m>
      <m in="0">
        <tpls c="3">
          <tpl fld="0" item="0"/>
          <tpl fld="1" item="15"/>
          <tpl fld="4" item="38"/>
        </tpls>
      </m>
      <m in="0">
        <tpls c="3">
          <tpl fld="0" item="0"/>
          <tpl fld="1" item="362"/>
          <tpl fld="4" item="38"/>
        </tpls>
      </m>
      <m in="0">
        <tpls c="3">
          <tpl fld="0" item="0"/>
          <tpl fld="1" item="109"/>
          <tpl fld="4" item="43"/>
        </tpls>
      </m>
      <n v="15" in="0">
        <tpls c="3">
          <tpl fld="0" item="0"/>
          <tpl fld="1" item="335"/>
          <tpl fld="4" item="41"/>
        </tpls>
      </n>
      <m in="0">
        <tpls c="3">
          <tpl fld="0" item="0"/>
          <tpl fld="1" item="374"/>
          <tpl fld="4" item="39"/>
        </tpls>
      </m>
      <n v="32" in="0">
        <tpls c="3">
          <tpl fld="0" item="0"/>
          <tpl fld="1" item="309"/>
          <tpl fld="4" item="40"/>
        </tpls>
      </n>
      <m in="0">
        <tpls c="3">
          <tpl fld="0" item="0"/>
          <tpl fld="1" item="53"/>
          <tpl fld="4" item="38"/>
        </tpls>
      </m>
      <n v="14" in="0">
        <tpls c="3">
          <tpl fld="0" item="0"/>
          <tpl fld="1" item="101"/>
          <tpl fld="4" item="40"/>
        </tpls>
      </n>
      <m in="0">
        <tpls c="3">
          <tpl fld="0" item="0"/>
          <tpl fld="1" item="238"/>
          <tpl fld="4" item="41"/>
        </tpls>
      </m>
      <m in="0">
        <tpls c="3">
          <tpl fld="0" item="0"/>
          <tpl fld="1" item="398"/>
          <tpl fld="4" item="40"/>
        </tpls>
      </m>
      <m in="0">
        <tpls c="3">
          <tpl fld="0" item="0"/>
          <tpl fld="1" item="35"/>
          <tpl fld="4" item="39"/>
        </tpls>
      </m>
      <n v="1" in="0">
        <tpls c="3">
          <tpl fld="0" item="0"/>
          <tpl fld="1" item="16"/>
          <tpl fld="4" item="40"/>
        </tpls>
      </n>
      <m in="0">
        <tpls c="3">
          <tpl fld="0" item="0"/>
          <tpl fld="1" item="402"/>
          <tpl fld="4" item="39"/>
        </tpls>
      </m>
      <n v="4" in="0">
        <tpls c="3">
          <tpl fld="0" item="0"/>
          <tpl fld="1" item="359"/>
          <tpl fld="4" item="40"/>
        </tpls>
      </n>
      <n v="6" in="0">
        <tpls c="3">
          <tpl fld="0" item="0"/>
          <tpl fld="1" item="366"/>
          <tpl fld="4" item="40"/>
        </tpls>
      </n>
      <m in="0">
        <tpls c="3">
          <tpl fld="0" item="0"/>
          <tpl fld="1" item="416"/>
          <tpl fld="4" item="41"/>
        </tpls>
      </m>
      <n v="50" in="0">
        <tpls c="3">
          <tpl fld="0" item="0"/>
          <tpl fld="1" item="454"/>
          <tpl fld="4" item="41"/>
        </tpls>
      </n>
      <n v="1" in="0">
        <tpls c="3">
          <tpl fld="0" item="0"/>
          <tpl fld="1" item="444"/>
          <tpl fld="4" item="42"/>
        </tpls>
      </n>
      <n v="42" in="0">
        <tpls c="3">
          <tpl fld="0" item="0"/>
          <tpl fld="1" item="174"/>
          <tpl fld="4" item="41"/>
        </tpls>
      </n>
      <n v="4" in="0">
        <tpls c="3">
          <tpl fld="0" item="0"/>
          <tpl fld="1" item="214"/>
          <tpl fld="4" item="42"/>
        </tpls>
      </n>
      <m in="0">
        <tpls c="3">
          <tpl fld="0" item="0"/>
          <tpl fld="1" item="450"/>
          <tpl fld="4" item="42"/>
        </tpls>
      </m>
      <m in="0">
        <tpls c="3">
          <tpl fld="0" item="0"/>
          <tpl fld="1" item="14"/>
          <tpl fld="4" item="41"/>
        </tpls>
      </m>
      <m in="0">
        <tpls c="3">
          <tpl fld="0" item="0"/>
          <tpl fld="1" item="156"/>
          <tpl fld="4" item="43"/>
        </tpls>
      </m>
      <m in="0">
        <tpls c="3">
          <tpl fld="0" item="0"/>
          <tpl fld="1" item="117"/>
          <tpl fld="4" item="43"/>
        </tpls>
      </m>
      <m in="0">
        <tpls c="3">
          <tpl fld="0" item="0"/>
          <tpl fld="1" item="290"/>
          <tpl fld="4" item="42"/>
        </tpls>
      </m>
      <m in="0">
        <tpls c="3">
          <tpl fld="0" item="0"/>
          <tpl fld="1" item="327"/>
          <tpl fld="4" item="43"/>
        </tpls>
      </m>
      <m in="0">
        <tpls c="3">
          <tpl fld="0" item="0"/>
          <tpl fld="1" item="94"/>
          <tpl fld="4" item="42"/>
        </tpls>
      </m>
      <n v="5" in="0">
        <tpls c="3">
          <tpl fld="0" item="0"/>
          <tpl fld="1" item="175"/>
          <tpl fld="4" item="43"/>
        </tpls>
      </n>
      <n v="5" in="0">
        <tpls c="3">
          <tpl fld="0" item="0"/>
          <tpl fld="1" item="364"/>
          <tpl fld="4" item="43"/>
        </tpls>
      </n>
      <m in="0">
        <tpls c="3">
          <tpl fld="0" item="0"/>
          <tpl fld="1" item="216"/>
          <tpl fld="4" item="43"/>
        </tpls>
      </m>
      <m in="0">
        <tpls c="3">
          <tpl fld="0" item="0"/>
          <tpl fld="1" item="399"/>
          <tpl fld="4" item="42"/>
        </tpls>
      </m>
      <m in="0">
        <tpls c="3">
          <tpl fld="0" item="0"/>
          <tpl fld="1" item="153"/>
          <tpl fld="4" item="42"/>
        </tpls>
      </m>
      <n v="37" in="0">
        <tpls c="3">
          <tpl fld="0" item="0"/>
          <tpl fld="1" item="219"/>
          <tpl fld="4" item="37"/>
        </tpls>
      </n>
      <m in="0">
        <tpls c="3">
          <tpl fld="0" item="0"/>
          <tpl fld="1" item="34"/>
          <tpl fld="4" item="38"/>
        </tpls>
      </m>
      <n v="1" in="0">
        <tpls c="3">
          <tpl fld="0" item="0"/>
          <tpl fld="1" item="50"/>
          <tpl fld="4" item="40"/>
        </tpls>
      </n>
      <m in="0">
        <tpls c="3">
          <tpl fld="0" item="0"/>
          <tpl fld="1" item="321"/>
          <tpl fld="4" item="42"/>
        </tpls>
      </m>
      <n v="7" in="0">
        <tpls c="3">
          <tpl fld="0" item="0"/>
          <tpl fld="1" item="232"/>
          <tpl fld="4" item="40"/>
        </tpls>
      </n>
      <n v="5" in="0">
        <tpls c="3">
          <tpl fld="0" item="0"/>
          <tpl fld="1" item="438"/>
          <tpl fld="4" item="39"/>
        </tpls>
      </n>
      <m in="0">
        <tpls c="3">
          <tpl fld="0" item="0"/>
          <tpl fld="1" item="78"/>
          <tpl fld="4" item="40"/>
        </tpls>
      </m>
      <m in="0">
        <tpls c="3">
          <tpl fld="0" item="0"/>
          <tpl fld="1" item="102"/>
          <tpl fld="4" item="38"/>
        </tpls>
      </m>
      <m in="0">
        <tpls c="3">
          <tpl fld="0" item="0"/>
          <tpl fld="1" item="37"/>
          <tpl fld="4" item="39"/>
        </tpls>
      </m>
      <n v="112" in="0">
        <tpls c="3">
          <tpl fld="0" item="0"/>
          <tpl fld="1" item="104"/>
          <tpl fld="4" item="41"/>
        </tpls>
      </n>
      <m in="0">
        <tpls c="3">
          <tpl fld="0" item="0"/>
          <tpl fld="1" item="167"/>
          <tpl fld="4" item="39"/>
        </tpls>
      </m>
      <n v="142" in="0">
        <tpls c="3">
          <tpl fld="0" item="0"/>
          <tpl fld="1" item="266"/>
          <tpl fld="4" item="40"/>
        </tpls>
      </n>
      <n v="11" in="0">
        <tpls c="3">
          <tpl fld="0" item="0"/>
          <tpl fld="1" item="54"/>
          <tpl fld="4" item="40"/>
        </tpls>
      </n>
      <n v="10" in="0">
        <tpls c="3">
          <tpl fld="0" item="0"/>
          <tpl fld="1" item="441"/>
          <tpl fld="4" item="41"/>
        </tpls>
      </n>
      <n v="67" in="0">
        <tpls c="3">
          <tpl fld="0" item="0"/>
          <tpl fld="1" item="231"/>
          <tpl fld="4" item="40"/>
        </tpls>
      </n>
      <m in="0">
        <tpls c="3">
          <tpl fld="0" item="0"/>
          <tpl fld="1" item="196"/>
          <tpl fld="4" item="42"/>
        </tpls>
      </m>
      <n v="82" in="0">
        <tpls c="3">
          <tpl fld="0" item="0"/>
          <tpl fld="1" item="160"/>
          <tpl fld="4" item="40"/>
        </tpls>
      </n>
      <m in="0">
        <tpls c="3">
          <tpl fld="0" item="0"/>
          <tpl fld="1" item="119"/>
          <tpl fld="4" item="42"/>
        </tpls>
      </m>
      <n v="10" in="0">
        <tpls c="3">
          <tpl fld="0" item="0"/>
          <tpl fld="1" item="127"/>
          <tpl fld="4" item="41"/>
        </tpls>
      </n>
      <m in="0">
        <tpls c="3">
          <tpl fld="0" item="0"/>
          <tpl fld="1" item="344"/>
          <tpl fld="4" item="43"/>
        </tpls>
      </m>
      <m in="0">
        <tpls c="3">
          <tpl fld="0" item="0"/>
          <tpl fld="1" item="135"/>
          <tpl fld="4" item="41"/>
        </tpls>
      </m>
      <n v="1" in="0">
        <tpls c="3">
          <tpl fld="0" item="0"/>
          <tpl fld="1" item="167"/>
          <tpl fld="4" item="40"/>
        </tpls>
      </n>
      <n v="18" in="0">
        <tpls c="3">
          <tpl fld="0" item="0"/>
          <tpl fld="1" item="101"/>
          <tpl fld="4" item="41"/>
        </tpls>
      </n>
      <n v="168" in="0">
        <tpls c="3">
          <tpl fld="0" item="0"/>
          <tpl fld="1" item="141"/>
          <tpl fld="4" item="41"/>
        </tpls>
      </n>
      <n v="18" in="0">
        <tpls c="3">
          <tpl fld="0" item="0"/>
          <tpl fld="1" item="296"/>
          <tpl fld="4" item="40"/>
        </tpls>
      </n>
      <n v="18" in="0">
        <tpls c="3">
          <tpl fld="0" item="0"/>
          <tpl fld="1" item="313"/>
          <tpl fld="4" item="42"/>
        </tpls>
      </n>
      <m in="0">
        <tpls c="3">
          <tpl fld="0" item="0"/>
          <tpl fld="1" item="203"/>
          <tpl fld="4" item="43"/>
        </tpls>
      </m>
      <m in="0">
        <tpls c="3">
          <tpl fld="0" item="0"/>
          <tpl fld="1" item="387"/>
          <tpl fld="4" item="41"/>
        </tpls>
      </m>
      <m in="0">
        <tpls c="3">
          <tpl fld="0" item="0"/>
          <tpl fld="1" item="70"/>
          <tpl fld="4" item="42"/>
        </tpls>
      </m>
      <n v="20" in="0">
        <tpls c="3">
          <tpl fld="0" item="0"/>
          <tpl fld="1" item="433"/>
          <tpl fld="4" item="41"/>
        </tpls>
      </n>
      <m in="0">
        <tpls c="3">
          <tpl fld="0" item="0"/>
          <tpl fld="1" item="81"/>
          <tpl fld="4" item="43"/>
        </tpls>
      </m>
      <n v="12" in="0">
        <tpls c="3">
          <tpl fld="0" item="0"/>
          <tpl fld="1" item="312"/>
          <tpl fld="4" item="43"/>
        </tpls>
      </n>
      <m in="0">
        <tpls c="3">
          <tpl fld="0" item="0"/>
          <tpl fld="1" item="190"/>
          <tpl fld="4" item="42"/>
        </tpls>
      </m>
      <n v="9" in="0">
        <tpls c="3">
          <tpl fld="0" item="0"/>
          <tpl fld="1" item="348"/>
          <tpl fld="4" item="43"/>
        </tpls>
      </n>
      <n v="1" in="0">
        <tpls c="3">
          <tpl fld="0" item="0"/>
          <tpl fld="1" item="383"/>
          <tpl fld="4" item="42"/>
        </tpls>
      </n>
      <m in="0">
        <tpls c="3">
          <tpl fld="0" item="0"/>
          <tpl fld="1" item="404"/>
          <tpl fld="4" item="43"/>
        </tpls>
      </m>
      <n v="14" in="0">
        <tpls c="3">
          <tpl fld="0" item="0"/>
          <tpl fld="1" item="400"/>
          <tpl fld="4" item="42"/>
        </tpls>
      </n>
      <m in="0">
        <tpls c="3">
          <tpl fld="0" item="0"/>
          <tpl fld="1" item="262"/>
          <tpl fld="4" item="2"/>
        </tpls>
      </m>
      <m in="0">
        <tpls c="3">
          <tpl fld="0" item="0"/>
          <tpl fld="1" item="399"/>
          <tpl fld="4" item="39"/>
        </tpls>
      </m>
      <m in="0">
        <tpls c="3">
          <tpl fld="0" item="0"/>
          <tpl fld="1" item="350"/>
          <tpl fld="4" item="38"/>
        </tpls>
      </m>
      <m in="0">
        <tpls c="3">
          <tpl fld="0" item="0"/>
          <tpl fld="1" item="232"/>
          <tpl fld="4" item="39"/>
        </tpls>
      </m>
      <n v="5" in="0">
        <tpls c="3">
          <tpl fld="0" item="0"/>
          <tpl fld="1" item="264"/>
          <tpl fld="4" item="39"/>
        </tpls>
      </n>
      <n v="1" in="0">
        <tpls c="3">
          <tpl fld="0" item="0"/>
          <tpl fld="1" item="455"/>
          <tpl fld="4" item="38"/>
        </tpls>
      </n>
      <m in="0">
        <tpls c="3">
          <tpl fld="0" item="0"/>
          <tpl fld="1" item="435"/>
          <tpl fld="4" item="39"/>
        </tpls>
      </m>
      <m in="0">
        <tpls c="3">
          <tpl fld="0" item="0"/>
          <tpl fld="1" item="46"/>
          <tpl fld="4" item="42"/>
        </tpls>
      </m>
      <m in="0">
        <tpls c="3">
          <tpl fld="0" item="0"/>
          <tpl fld="1" item="5"/>
          <tpl fld="4" item="39"/>
        </tpls>
      </m>
      <n v="3" in="0">
        <tpls c="3">
          <tpl fld="0" item="0"/>
          <tpl fld="1" item="311"/>
          <tpl fld="4" item="40"/>
        </tpls>
      </n>
      <n v="4" in="0">
        <tpls c="3">
          <tpl fld="0" item="0"/>
          <tpl fld="1" item="319"/>
          <tpl fld="4" item="39"/>
        </tpls>
      </n>
      <n v="20" in="0">
        <tpls c="3">
          <tpl fld="0" item="0"/>
          <tpl fld="1" item="174"/>
          <tpl fld="4" item="40"/>
        </tpls>
      </n>
      <m in="0">
        <tpls c="3">
          <tpl fld="0" item="0"/>
          <tpl fld="1" item="189"/>
          <tpl fld="4" item="42"/>
        </tpls>
      </m>
      <m in="0">
        <tpls c="3">
          <tpl fld="0" item="0"/>
          <tpl fld="1" item="248"/>
          <tpl fld="4" item="40"/>
        </tpls>
      </m>
      <m in="0">
        <tpls c="3">
          <tpl fld="0" item="0"/>
          <tpl fld="1" item="451"/>
          <tpl fld="4" item="39"/>
        </tpls>
      </m>
      <n v="85" in="0">
        <tpls c="3">
          <tpl fld="0" item="0"/>
          <tpl fld="1" item="149"/>
          <tpl fld="4" item="41"/>
        </tpls>
      </n>
      <m in="0">
        <tpls c="3">
          <tpl fld="0" item="0"/>
          <tpl fld="1" item="318"/>
          <tpl fld="4" item="39"/>
        </tpls>
      </m>
      <m in="0">
        <tpls c="3">
          <tpl fld="0" item="0"/>
          <tpl fld="1" item="22"/>
          <tpl fld="4" item="41"/>
        </tpls>
      </m>
      <n v="20" in="0">
        <tpls c="3">
          <tpl fld="0" item="0"/>
          <tpl fld="1" item="320"/>
          <tpl fld="4" item="40"/>
        </tpls>
      </n>
      <m in="0">
        <tpls c="3">
          <tpl fld="0" item="0"/>
          <tpl fld="1" item="423"/>
          <tpl fld="4" item="42"/>
        </tpls>
      </m>
      <n v="5" in="0">
        <tpls c="3">
          <tpl fld="0" item="0"/>
          <tpl fld="1" item="323"/>
          <tpl fld="4" item="41"/>
        </tpls>
      </n>
      <m in="0">
        <tpls c="3">
          <tpl fld="0" item="0"/>
          <tpl fld="1" item="428"/>
          <tpl fld="4" item="43"/>
        </tpls>
      </m>
      <m in="0">
        <tpls c="3">
          <tpl fld="0" item="0"/>
          <tpl fld="1" item="362"/>
          <tpl fld="4" item="41"/>
        </tpls>
      </m>
      <m in="0">
        <tpls c="3">
          <tpl fld="0" item="0"/>
          <tpl fld="1" item="310"/>
          <tpl fld="4" item="43"/>
        </tpls>
      </m>
      <m in="0">
        <tpls c="3">
          <tpl fld="0" item="0"/>
          <tpl fld="1" item="88"/>
          <tpl fld="4" item="42"/>
        </tpls>
      </m>
      <n v="168" in="0">
        <tpls c="3">
          <tpl fld="0" item="0"/>
          <tpl fld="1" item="269"/>
          <tpl fld="4" item="41"/>
        </tpls>
      </n>
      <m in="0">
        <tpls c="3">
          <tpl fld="0" item="0"/>
          <tpl fld="1" item="270"/>
          <tpl fld="4" item="43"/>
        </tpls>
      </m>
      <m in="0">
        <tpls c="3">
          <tpl fld="0" item="0"/>
          <tpl fld="1" item="284"/>
          <tpl fld="4" item="43"/>
        </tpls>
      </m>
      <n v="3" in="0">
        <tpls c="3">
          <tpl fld="0" item="0"/>
          <tpl fld="1" item="369"/>
          <tpl fld="4" item="42"/>
        </tpls>
      </n>
      <n v="9" in="0">
        <tpls c="3">
          <tpl fld="0" item="0"/>
          <tpl fld="1" item="57"/>
          <tpl fld="4" item="43"/>
        </tpls>
      </n>
      <n v="21" in="0">
        <tpls c="3">
          <tpl fld="0" item="0"/>
          <tpl fld="1" item="324"/>
          <tpl fld="4" item="42"/>
        </tpls>
      </n>
      <m in="0">
        <tpls c="3">
          <tpl fld="0" item="0"/>
          <tpl fld="1" item="95"/>
          <tpl fld="4" item="43"/>
        </tpls>
      </m>
      <m in="0">
        <tpls c="3">
          <tpl fld="0" item="0"/>
          <tpl fld="1" item="275"/>
          <tpl fld="4" item="43"/>
        </tpls>
      </m>
      <m in="0">
        <tpls c="3">
          <tpl fld="0" item="0"/>
          <tpl fld="1" item="48"/>
          <tpl fld="4" item="43"/>
        </tpls>
      </m>
      <m in="0">
        <tpls c="3">
          <tpl fld="0" item="0"/>
          <tpl fld="1" item="51"/>
          <tpl fld="4" item="41"/>
        </tpls>
      </m>
      <m in="0">
        <tpls c="3">
          <tpl fld="0" item="0"/>
          <tpl fld="1" item="218"/>
          <tpl fld="4" item="43"/>
        </tpls>
      </m>
      <n v="2" in="0">
        <tpls c="3">
          <tpl fld="0" item="0"/>
          <tpl fld="1" item="18"/>
          <tpl fld="4" item="43"/>
        </tpls>
      </n>
      <m in="0">
        <tpls c="3">
          <tpl fld="0" item="0"/>
          <tpl fld="1" item="178"/>
          <tpl fld="4" item="42"/>
        </tpls>
      </m>
      <m in="0">
        <tpls c="3">
          <tpl fld="0" item="0"/>
          <tpl fld="1" item="307"/>
          <tpl fld="4" item="41"/>
        </tpls>
      </m>
      <n v="2" in="0">
        <tpls c="3">
          <tpl fld="0" item="0"/>
          <tpl fld="1" item="201"/>
          <tpl fld="4" item="43"/>
        </tpls>
      </n>
      <n v="18" in="0">
        <tpls c="3">
          <tpl fld="0" item="0"/>
          <tpl fld="1" item="311"/>
          <tpl fld="4" item="41"/>
        </tpls>
      </n>
      <n v="2" in="0">
        <tpls c="3">
          <tpl fld="0" item="0"/>
          <tpl fld="1" item="267"/>
          <tpl fld="4" item="42"/>
        </tpls>
      </n>
      <m in="0">
        <tpls c="3">
          <tpl fld="0" item="0"/>
          <tpl fld="1" item="371"/>
          <tpl fld="4" item="36"/>
        </tpls>
      </m>
      <m in="0">
        <tpls c="3">
          <tpl fld="0" item="0"/>
          <tpl fld="1" item="451"/>
          <tpl fld="4" item="37"/>
        </tpls>
      </m>
      <m in="0">
        <tpls c="3">
          <tpl fld="0" item="0"/>
          <tpl fld="1" item="46"/>
          <tpl fld="4" item="39"/>
        </tpls>
      </m>
      <m in="0">
        <tpls c="3">
          <tpl fld="0" item="0"/>
          <tpl fld="1" item="346"/>
          <tpl fld="4" item="39"/>
        </tpls>
      </m>
      <n v="1" in="0">
        <tpls c="3">
          <tpl fld="0" item="0"/>
          <tpl fld="1" item="28"/>
          <tpl fld="4" item="39"/>
        </tpls>
      </n>
      <m in="0">
        <tpls c="3">
          <tpl fld="0" item="0"/>
          <tpl fld="1" item="440"/>
          <tpl fld="4" item="38"/>
        </tpls>
      </m>
      <m in="0">
        <tpls c="3">
          <tpl fld="0" item="0"/>
          <tpl fld="1" item="432"/>
          <tpl fld="4" item="39"/>
        </tpls>
      </m>
      <m in="0">
        <tpls c="3">
          <tpl fld="0" item="0"/>
          <tpl fld="1" item="315"/>
          <tpl fld="4" item="42"/>
        </tpls>
      </m>
      <n v="2" in="0">
        <tpls c="3">
          <tpl fld="0" item="0"/>
          <tpl fld="1" item="273"/>
          <tpl fld="4" item="39"/>
        </tpls>
      </n>
      <n v="175" in="0">
        <tpls c="3">
          <tpl fld="0" item="0"/>
          <tpl fld="1" item="364"/>
          <tpl fld="4" item="41"/>
        </tpls>
      </n>
      <m in="0">
        <tpls c="3">
          <tpl fld="0" item="0"/>
          <tpl fld="3" item="0"/>
          <tpl fld="4" item="39"/>
        </tpls>
      </m>
      <m in="0">
        <tpls c="3">
          <tpl fld="0" item="0"/>
          <tpl fld="1" item="29"/>
          <tpl fld="4" item="40"/>
        </tpls>
      </m>
      <m in="0">
        <tpls c="3">
          <tpl fld="0" item="0"/>
          <tpl fld="1" item="91"/>
          <tpl fld="4" item="39"/>
        </tpls>
      </m>
      <n v="14" in="0">
        <tpls c="3">
          <tpl fld="0" item="0"/>
          <tpl fld="1" item="44"/>
          <tpl fld="4" item="41"/>
        </tpls>
      </n>
      <m in="0">
        <tpls c="3">
          <tpl fld="0" item="0"/>
          <tpl fld="1" item="341"/>
          <tpl fld="4" item="39"/>
        </tpls>
      </m>
      <m in="0">
        <tpls c="3">
          <tpl fld="0" item="0"/>
          <tpl fld="1" item="216"/>
          <tpl fld="4" item="41"/>
        </tpls>
      </m>
      <m in="0">
        <tpls c="3">
          <tpl fld="0" item="0"/>
          <tpl fld="1" item="188"/>
          <tpl fld="4" item="39"/>
        </tpls>
      </m>
      <n v="8" in="0">
        <tpls c="3">
          <tpl fld="0" item="0"/>
          <tpl fld="1" item="356"/>
          <tpl fld="4" item="41"/>
        </tpls>
      </n>
      <n v="47" in="0">
        <tpls c="3">
          <tpl fld="0" item="0"/>
          <tpl fld="1" item="206"/>
          <tpl fld="4" item="41"/>
        </tpls>
      </n>
      <m in="0">
        <tpls c="3">
          <tpl fld="0" item="0"/>
          <tpl fld="1" item="418"/>
          <tpl fld="4" item="42"/>
        </tpls>
      </m>
      <n v="98" in="0">
        <tpls c="3">
          <tpl fld="0" item="0"/>
          <tpl fld="1" item="309"/>
          <tpl fld="4" item="41"/>
        </tpls>
      </n>
      <m in="0">
        <tpls c="3">
          <tpl fld="0" item="0"/>
          <tpl fld="1" item="176"/>
          <tpl fld="4" item="43"/>
        </tpls>
      </m>
      <n v="28" in="0">
        <tpls c="3">
          <tpl fld="0" item="0"/>
          <tpl fld="1" item="350"/>
          <tpl fld="4" item="41"/>
        </tpls>
      </n>
      <n v="18" in="0">
        <tpls c="3">
          <tpl fld="0" item="0"/>
          <tpl fld="1" item="18"/>
          <tpl fld="4" item="41"/>
        </tpls>
      </n>
      <m in="0">
        <tpls c="3">
          <tpl fld="0" item="0"/>
          <tpl fld="1" item="389"/>
          <tpl fld="4" item="43"/>
        </tpls>
      </m>
      <n v="9" in="0">
        <tpls c="3">
          <tpl fld="0" item="0"/>
          <tpl fld="1" item="329"/>
          <tpl fld="4" item="41"/>
        </tpls>
      </n>
      <m in="0">
        <tpls c="3">
          <tpl fld="0" item="0"/>
          <tpl fld="1" item="75"/>
          <tpl fld="4" item="43"/>
        </tpls>
      </m>
      <n v="1" in="0">
        <tpls c="3">
          <tpl fld="0" item="0"/>
          <tpl fld="1" item="296"/>
          <tpl fld="4" item="43"/>
        </tpls>
      </n>
      <m in="0">
        <tpls c="3">
          <tpl fld="0" item="0"/>
          <tpl fld="1" item="76"/>
          <tpl fld="4" item="42"/>
        </tpls>
      </m>
      <n v="19" in="0">
        <tpls c="3">
          <tpl fld="0" item="0"/>
          <tpl fld="1" item="452"/>
          <tpl fld="4" item="43"/>
        </tpls>
      </n>
      <n v="7" in="0">
        <tpls c="3">
          <tpl fld="0" item="0"/>
          <tpl fld="1" item="141"/>
          <tpl fld="4" item="43"/>
        </tpls>
      </n>
      <n v="4" in="0">
        <tpls c="3">
          <tpl fld="0" item="0"/>
          <tpl fld="1" item="397"/>
          <tpl fld="4" item="43"/>
        </tpls>
      </n>
      <n v="2" in="0">
        <tpls c="3">
          <tpl fld="0" item="0"/>
          <tpl fld="1" item="333"/>
          <tpl fld="4" item="43"/>
        </tpls>
      </n>
      <n v="5" in="0">
        <tpls c="3">
          <tpl fld="0" item="0"/>
          <tpl fld="1" item="79"/>
          <tpl fld="4" item="36"/>
        </tpls>
      </n>
      <n v="3" in="0">
        <tpls c="3">
          <tpl fld="0" item="0"/>
          <tpl fld="1" item="302"/>
          <tpl fld="4" item="37"/>
        </tpls>
      </n>
      <n v="2" in="0">
        <tpls c="3">
          <tpl fld="0" item="0"/>
          <tpl fld="1" item="18"/>
          <tpl fld="4" item="39"/>
        </tpls>
      </n>
      <n v="1" in="0">
        <tpls c="3">
          <tpl fld="0" item="0"/>
          <tpl fld="1" item="148"/>
          <tpl fld="4" item="39"/>
        </tpls>
      </n>
      <m in="0">
        <tpls c="3">
          <tpl fld="0" item="0"/>
          <tpl fld="1" item="308"/>
          <tpl fld="4" item="39"/>
        </tpls>
      </m>
      <m in="0">
        <tpls c="3">
          <tpl fld="0" item="0"/>
          <tpl fld="1" item="302"/>
          <tpl fld="4" item="38"/>
        </tpls>
      </m>
      <m in="0">
        <tpls c="3">
          <tpl fld="0" item="0"/>
          <tpl fld="1" item="50"/>
          <tpl fld="4" item="39"/>
        </tpls>
      </m>
      <n v="3" in="0">
        <tpls c="3">
          <tpl fld="0" item="0"/>
          <tpl fld="1" item="0"/>
          <tpl fld="4" item="42"/>
        </tpls>
      </n>
      <n v="1" in="0">
        <tpls c="3">
          <tpl fld="0" item="0"/>
          <tpl fld="1" item="325"/>
          <tpl fld="4" item="39"/>
        </tpls>
      </n>
      <n v="47" in="0">
        <tpls c="3">
          <tpl fld="0" item="0"/>
          <tpl fld="1" item="370"/>
          <tpl fld="4" item="41"/>
        </tpls>
      </n>
      <n v="31" in="0">
        <tpls c="3">
          <tpl fld="0" item="0"/>
          <tpl fld="1" item="380"/>
          <tpl fld="4" item="39"/>
        </tpls>
      </n>
      <n v="5" in="0">
        <tpls c="3">
          <tpl fld="0" item="0"/>
          <tpl fld="1" item="383"/>
          <tpl fld="4" item="40"/>
        </tpls>
      </n>
      <m in="0">
        <tpls c="3">
          <tpl fld="0" item="0"/>
          <tpl fld="1" item="234"/>
          <tpl fld="4" item="39"/>
        </tpls>
      </m>
      <n v="29" in="0">
        <tpls c="3">
          <tpl fld="0" item="0"/>
          <tpl fld="1" item="434"/>
          <tpl fld="4" item="41"/>
        </tpls>
      </n>
      <m in="0">
        <tpls c="3">
          <tpl fld="0" item="0"/>
          <tpl fld="1" item="235"/>
          <tpl fld="4" item="39"/>
        </tpls>
      </m>
      <n v="6" in="0">
        <tpls c="3">
          <tpl fld="0" item="0"/>
          <tpl fld="1" item="299"/>
          <tpl fld="4" item="41"/>
        </tpls>
      </n>
      <n v="6" in="0">
        <tpls c="3">
          <tpl fld="0" item="0"/>
          <tpl fld="1" item="205"/>
          <tpl fld="4" item="39"/>
        </tpls>
      </n>
      <n v="92" in="0">
        <tpls c="3">
          <tpl fld="0" item="0"/>
          <tpl fld="1" item="49"/>
          <tpl fld="4" item="41"/>
        </tpls>
      </n>
      <m in="0">
        <tpls c="3">
          <tpl fld="0" item="0"/>
          <tpl fld="1" item="156"/>
          <tpl fld="4" item="41"/>
        </tpls>
      </m>
      <m in="0">
        <tpls c="3">
          <tpl fld="0" item="0"/>
          <tpl fld="1" item="112"/>
          <tpl fld="4" item="42"/>
        </tpls>
      </m>
      <m in="0">
        <tpls c="3">
          <tpl fld="0" item="0"/>
          <tpl fld="1" item="237"/>
          <tpl fld="4" item="41"/>
        </tpls>
      </m>
      <m in="0">
        <tpls c="3">
          <tpl fld="0" item="0"/>
          <tpl fld="1" item="17"/>
          <tpl fld="4" item="40"/>
        </tpls>
      </m>
      <n v="14" in="0">
        <tpls c="3">
          <tpl fld="0" item="0"/>
          <tpl fld="1" item="97"/>
          <tpl fld="4" item="41"/>
        </tpls>
      </n>
      <n v="114" in="0">
        <tpls c="3">
          <tpl fld="0" item="0"/>
          <tpl fld="1" item="233"/>
          <tpl fld="4" item="41"/>
        </tpls>
      </n>
      <n v="3" in="0">
        <tpls c="3">
          <tpl fld="0" item="0"/>
          <tpl fld="1" item="277"/>
          <tpl fld="4" item="43"/>
        </tpls>
      </n>
      <m in="0">
        <tpls c="3">
          <tpl fld="0" item="0"/>
          <tpl fld="1" item="384"/>
          <tpl fld="4" item="41"/>
        </tpls>
      </m>
      <m in="0">
        <tpls c="3">
          <tpl fld="0" item="0"/>
          <tpl fld="1" item="102"/>
          <tpl fld="4" item="43"/>
        </tpls>
      </m>
      <n v="2" in="0">
        <tpls c="3">
          <tpl fld="0" item="0"/>
          <tpl fld="1" item="271"/>
          <tpl fld="4" item="43"/>
        </tpls>
      </n>
      <m in="0">
        <tpls c="3">
          <tpl fld="0" item="0"/>
          <tpl fld="1" item="456"/>
          <tpl fld="4" item="42"/>
        </tpls>
      </m>
      <n v="7" in="0">
        <tpls c="3">
          <tpl fld="0" item="0"/>
          <tpl fld="1" item="409"/>
          <tpl fld="4" item="43"/>
        </tpls>
      </n>
      <m in="0">
        <tpls c="3">
          <tpl fld="0" item="0"/>
          <tpl fld="1" item="316"/>
          <tpl fld="4" item="43"/>
        </tpls>
      </m>
      <n v="2" in="0">
        <tpls c="3">
          <tpl fld="0" item="0"/>
          <tpl fld="1" item="334"/>
          <tpl fld="4" item="43"/>
        </tpls>
      </n>
      <n v="3" in="0">
        <tpls c="3">
          <tpl fld="0" item="0"/>
          <tpl fld="1" item="194"/>
          <tpl fld="4" item="39"/>
        </tpls>
      </n>
      <m in="0">
        <tpls c="3">
          <tpl fld="0" item="0"/>
          <tpl fld="1" item="96"/>
          <tpl fld="4" item="38"/>
        </tpls>
      </m>
      <n v="18" in="0">
        <tpls c="3">
          <tpl fld="0" item="0"/>
          <tpl fld="1" item="452"/>
          <tpl fld="4" item="38"/>
        </tpls>
      </n>
      <n v="1" in="0">
        <tpls c="3">
          <tpl fld="0" item="0"/>
          <tpl fld="1" item="227"/>
          <tpl fld="4" item="39"/>
        </tpls>
      </n>
      <n v="5" in="0">
        <tpls c="3">
          <tpl fld="0" item="0"/>
          <tpl fld="1" item="125"/>
          <tpl fld="4" item="38"/>
        </tpls>
      </n>
      <m in="0">
        <tpls c="3">
          <tpl fld="0" item="0"/>
          <tpl fld="1" item="454"/>
          <tpl fld="4" item="39"/>
        </tpls>
      </m>
      <n v="47" in="0">
        <tpls c="3">
          <tpl fld="0" item="0"/>
          <tpl fld="1" item="224"/>
          <tpl fld="4" item="41"/>
        </tpls>
      </n>
      <m in="0">
        <tpls c="3">
          <tpl fld="0" item="0"/>
          <tpl fld="1" item="86"/>
          <tpl fld="4" item="39"/>
        </tpls>
      </m>
      <n v="119" in="0">
        <tpls c="3">
          <tpl fld="0" item="0"/>
          <tpl fld="1" item="225"/>
          <tpl fld="4" item="40"/>
        </tpls>
      </n>
      <m in="0">
        <tpls c="3">
          <tpl fld="0" item="0"/>
          <tpl fld="1" item="204"/>
          <tpl fld="4" item="39"/>
        </tpls>
      </m>
      <m in="0">
        <tpls c="3">
          <tpl fld="0" item="0"/>
          <tpl fld="1" item="192"/>
          <tpl fld="4" item="40"/>
        </tpls>
      </m>
      <n v="2" in="0">
        <tpls c="3">
          <tpl fld="0" item="0"/>
          <tpl fld="1" item="89"/>
          <tpl fld="4" item="42"/>
        </tpls>
      </n>
      <n v="86" in="0">
        <tpls c="3">
          <tpl fld="0" item="0"/>
          <tpl fld="1" item="105"/>
          <tpl fld="4" item="40"/>
        </tpls>
      </n>
      <n v="2" in="0">
        <tpls c="3">
          <tpl fld="0" item="0"/>
          <tpl fld="1" item="329"/>
          <tpl fld="4" item="39"/>
        </tpls>
      </n>
      <m in="0">
        <tpls c="3">
          <tpl fld="0" item="0"/>
          <tpl fld="1" item="388"/>
          <tpl fld="4" item="40"/>
        </tpls>
      </m>
      <n v="2" in="0">
        <tpls c="3">
          <tpl fld="0" item="0"/>
          <tpl fld="1" item="255"/>
          <tpl fld="4" item="39"/>
        </tpls>
      </n>
      <m in="0">
        <tpls c="3">
          <tpl fld="0" item="0"/>
          <tpl fld="1" item="416"/>
          <tpl fld="4" item="40"/>
        </tpls>
      </m>
      <n v="23" in="0">
        <tpls c="3">
          <tpl fld="0" item="0"/>
          <tpl fld="1" item="411"/>
          <tpl fld="4" item="40"/>
        </tpls>
      </n>
      <m in="0">
        <tpls c="3">
          <tpl fld="0" item="0"/>
          <tpl fld="1" item="52"/>
          <tpl fld="4" item="42"/>
        </tpls>
      </m>
      <n v="13" in="0">
        <tpls c="3">
          <tpl fld="0" item="0"/>
          <tpl fld="1" item="29"/>
          <tpl fld="4" item="41"/>
        </tpls>
      </n>
      <n v="5" in="0">
        <tpls c="3">
          <tpl fld="0" item="0"/>
          <tpl fld="1" item="148"/>
          <tpl fld="4" item="42"/>
        </tpls>
      </n>
      <n v="49" in="0">
        <tpls c="3">
          <tpl fld="0" item="0"/>
          <tpl fld="1" item="32"/>
          <tpl fld="4" item="41"/>
        </tpls>
      </n>
      <m in="0">
        <tpls c="3">
          <tpl fld="0" item="0"/>
          <tpl fld="1" item="396"/>
          <tpl fld="4" item="42"/>
        </tpls>
      </m>
      <m in="0">
        <tpls c="3">
          <tpl fld="0" item="0"/>
          <tpl fld="1" item="276"/>
          <tpl fld="4" item="42"/>
        </tpls>
      </m>
      <m in="0">
        <tpls c="3">
          <tpl fld="0" item="0"/>
          <tpl fld="1" item="401"/>
          <tpl fld="4" item="41"/>
        </tpls>
      </m>
      <m in="0">
        <tpls c="3">
          <tpl fld="0" item="0"/>
          <tpl fld="1" item="335"/>
          <tpl fld="4" item="43"/>
        </tpls>
      </m>
      <m in="0">
        <tpls c="3">
          <tpl fld="0" item="0"/>
          <tpl fld="1" item="134"/>
          <tpl fld="4" item="43"/>
        </tpls>
      </m>
      <m in="0">
        <tpls c="3">
          <tpl fld="0" item="0"/>
          <tpl fld="1" item="74"/>
          <tpl fld="4" item="42"/>
        </tpls>
      </m>
      <m in="0">
        <tpls c="3">
          <tpl fld="0" item="0"/>
          <tpl fld="1" item="303"/>
          <tpl fld="4" item="43"/>
        </tpls>
      </m>
      <n v="6" in="0">
        <tpls c="3">
          <tpl fld="0" item="0"/>
          <tpl fld="1" item="177"/>
          <tpl fld="4" item="42"/>
        </tpls>
      </n>
      <m in="0">
        <tpls c="3">
          <tpl fld="0" item="0"/>
          <tpl fld="1" item="298"/>
          <tpl fld="4" item="43"/>
        </tpls>
      </m>
      <m in="0">
        <tpls c="3">
          <tpl fld="0" item="0"/>
          <tpl fld="1" item="72"/>
          <tpl fld="4" item="43"/>
        </tpls>
      </m>
      <n v="4" in="0">
        <tpls c="3">
          <tpl fld="0" item="0"/>
          <tpl fld="1" item="291"/>
          <tpl fld="4" item="42"/>
        </tpls>
      </n>
      <n v="16" in="0">
        <tpls c="3">
          <tpl fld="0" item="0"/>
          <tpl fld="1" item="149"/>
          <tpl fld="4" item="39"/>
        </tpls>
      </n>
      <m in="0">
        <tpls c="3">
          <tpl fld="0" item="0"/>
          <tpl fld="1" item="401"/>
          <tpl fld="4" item="38"/>
        </tpls>
      </m>
      <m in="0">
        <tpls c="3">
          <tpl fld="0" item="0"/>
          <tpl fld="1" item="375"/>
          <tpl fld="4" item="39"/>
        </tpls>
      </m>
      <m in="0">
        <tpls c="3">
          <tpl fld="0" item="0"/>
          <tpl fld="1" item="434"/>
          <tpl fld="4" item="39"/>
        </tpls>
      </m>
      <m in="0">
        <tpls c="3">
          <tpl fld="0" item="0"/>
          <tpl fld="1" item="267"/>
          <tpl fld="4" item="38"/>
        </tpls>
      </m>
      <m in="0">
        <tpls c="3">
          <tpl fld="0" item="0"/>
          <tpl fld="1" item="211"/>
          <tpl fld="4" item="39"/>
        </tpls>
      </m>
      <n v="8" in="0">
        <tpls c="3">
          <tpl fld="0" item="0"/>
          <tpl fld="1" item="180"/>
          <tpl fld="4" item="41"/>
        </tpls>
      </n>
      <m in="0">
        <tpls c="3">
          <tpl fld="0" item="0"/>
          <tpl fld="1" item="24"/>
          <tpl fld="4" item="39"/>
        </tpls>
      </m>
      <n v="12" in="0">
        <tpls c="3">
          <tpl fld="0" item="0"/>
          <tpl fld="1" item="431"/>
          <tpl fld="4" item="40"/>
        </tpls>
      </n>
      <n v="14" in="0">
        <tpls c="3">
          <tpl fld="0" item="0"/>
          <tpl fld="1" item="7"/>
          <tpl fld="4" item="39"/>
        </tpls>
      </n>
      <m in="0">
        <tpls c="3">
          <tpl fld="0" item="0"/>
          <tpl fld="1" item="457"/>
          <tpl fld="4" item="40"/>
        </tpls>
      </m>
      <n v="1" in="0">
        <tpls c="3">
          <tpl fld="0" item="0"/>
          <tpl fld="1" item="427"/>
          <tpl fld="4" item="42"/>
        </tpls>
      </n>
      <n v="3" in="0">
        <tpls c="3">
          <tpl fld="0" item="0"/>
          <tpl fld="1" item="325"/>
          <tpl fld="4" item="40"/>
        </tpls>
      </n>
      <m in="0">
        <tpls c="3">
          <tpl fld="0" item="0"/>
          <tpl fld="1" item="384"/>
          <tpl fld="4" item="39"/>
        </tpls>
      </m>
      <m in="0">
        <tpls c="3">
          <tpl fld="0" item="0"/>
          <tpl fld="1" item="399"/>
          <tpl fld="4" item="40"/>
        </tpls>
      </m>
      <m in="0">
        <tpls c="3">
          <tpl fld="0" item="0"/>
          <tpl fld="1" item="75"/>
          <tpl fld="4" item="39"/>
        </tpls>
      </m>
      <m in="0">
        <tpls c="3">
          <tpl fld="0" item="0"/>
          <tpl fld="1" item="221"/>
          <tpl fld="4" item="41"/>
        </tpls>
      </m>
      <n v="9" in="0">
        <tpls c="3">
          <tpl fld="0" item="0"/>
          <tpl fld="1" item="433"/>
          <tpl fld="4" item="40"/>
        </tpls>
      </n>
      <m in="0">
        <tpls c="3">
          <tpl fld="0" item="0"/>
          <tpl fld="1" item="73"/>
          <tpl fld="4" item="42"/>
        </tpls>
      </m>
      <n v="150" in="0">
        <tpls c="3">
          <tpl fld="0" item="0"/>
          <tpl fld="1" item="45"/>
          <tpl fld="4" item="41"/>
        </tpls>
      </n>
      <n v="3" in="0">
        <tpls c="3">
          <tpl fld="0" item="0"/>
          <tpl fld="1" item="320"/>
          <tpl fld="4" item="42"/>
        </tpls>
      </n>
      <m in="0">
        <tpls c="3">
          <tpl fld="0" item="0"/>
          <tpl fld="1" item="435"/>
          <tpl fld="4" item="41"/>
        </tpls>
      </m>
      <m in="0">
        <tpls c="3">
          <tpl fld="0" item="0"/>
          <tpl fld="1" item="416"/>
          <tpl fld="4" item="42"/>
        </tpls>
      </m>
      <m in="0">
        <tpls c="3">
          <tpl fld="0" item="0"/>
          <tpl fld="1" item="398"/>
          <tpl fld="4" item="42"/>
        </tpls>
      </m>
      <n v="71" in="0">
        <tpls c="3">
          <tpl fld="0" item="0"/>
          <tpl fld="1" item="397"/>
          <tpl fld="4" item="41"/>
        </tpls>
      </n>
      <n v="6" in="0">
        <tpls c="3">
          <tpl fld="0" item="0"/>
          <tpl fld="1" item="287"/>
          <tpl fld="4" item="43"/>
        </tpls>
      </n>
      <m in="0">
        <tpls c="3">
          <tpl fld="0" item="0"/>
          <tpl fld="1" item="169"/>
          <tpl fld="4" item="43"/>
        </tpls>
      </m>
      <m in="0">
        <tpls c="3">
          <tpl fld="0" item="0"/>
          <tpl fld="1" item="268"/>
          <tpl fld="4" item="42"/>
        </tpls>
      </m>
      <m in="0">
        <tpls c="3">
          <tpl fld="0" item="0"/>
          <tpl fld="1" item="167"/>
          <tpl fld="4" item="43"/>
        </tpls>
      </m>
      <m in="0">
        <tpls c="3">
          <tpl fld="0" item="0"/>
          <tpl fld="1" item="314"/>
          <tpl fld="4" item="42"/>
        </tpls>
      </m>
      <m in="0">
        <tpls c="3">
          <tpl fld="0" item="0"/>
          <tpl fld="1" item="13"/>
          <tpl fld="4" item="43"/>
        </tpls>
      </m>
      <m in="0">
        <tpls c="3">
          <tpl fld="0" item="0"/>
          <tpl fld="1" item="157"/>
          <tpl fld="4" item="43"/>
        </tpls>
      </m>
      <m in="0">
        <tpls c="3">
          <tpl fld="0" item="0"/>
          <tpl fld="1" item="392"/>
          <tpl fld="4" item="42"/>
        </tpls>
      </m>
      <n v="485" in="0">
        <tpls c="3">
          <tpl fld="0" item="0"/>
          <tpl fld="1" item="313"/>
          <tpl fld="4" item="41"/>
        </tpls>
      </n>
      <n v="18" in="0">
        <tpls c="3">
          <tpl fld="0" item="0"/>
          <tpl fld="1" item="452"/>
          <tpl fld="4" item="42"/>
        </tpls>
      </n>
      <m in="0">
        <tpls c="3">
          <tpl fld="0" item="0"/>
          <tpl fld="1" item="110"/>
          <tpl fld="4" item="39"/>
        </tpls>
      </m>
      <m in="0">
        <tpls c="3">
          <tpl fld="0" item="0"/>
          <tpl fld="1" item="419"/>
          <tpl fld="4" item="38"/>
        </tpls>
      </m>
      <n v="2" in="0">
        <tpls c="3">
          <tpl fld="0" item="0"/>
          <tpl fld="1" item="277"/>
          <tpl fld="4" item="39"/>
        </tpls>
      </n>
      <m in="0">
        <tpls c="3">
          <tpl fld="0" item="0"/>
          <tpl fld="1" item="243"/>
          <tpl fld="4" item="39"/>
        </tpls>
      </m>
      <n v="34" in="0">
        <tpls c="3">
          <tpl fld="0" item="0"/>
          <tpl fld="1" item="380"/>
          <tpl fld="4" item="38"/>
        </tpls>
      </n>
      <m in="0">
        <tpls c="3">
          <tpl fld="0" item="0"/>
          <tpl fld="1" item="344"/>
          <tpl fld="4" item="39"/>
        </tpls>
      </m>
      <m in="0">
        <tpls c="3">
          <tpl fld="0" item="0"/>
          <tpl fld="1" item="278"/>
          <tpl fld="4" item="41"/>
        </tpls>
      </m>
      <m in="0">
        <tpls c="3">
          <tpl fld="0" item="0"/>
          <tpl fld="1" item="52"/>
          <tpl fld="4" item="39"/>
        </tpls>
      </m>
      <n v="1" in="0">
        <tpls c="3">
          <tpl fld="0" item="0"/>
          <tpl fld="1" item="75"/>
          <tpl fld="4" item="40"/>
        </tpls>
      </n>
      <m in="0">
        <tpls c="3">
          <tpl fld="0" item="0"/>
          <tpl fld="1" item="414"/>
          <tpl fld="4" item="39"/>
        </tpls>
      </m>
      <m in="0">
        <tpls c="3">
          <tpl fld="0" item="0"/>
          <tpl fld="1" item="338"/>
          <tpl fld="4" item="40"/>
        </tpls>
      </m>
      <n v="5" in="0">
        <tpls c="3">
          <tpl fld="0" item="0"/>
          <tpl fld="1" item="38"/>
          <tpl fld="4" item="42"/>
        </tpls>
      </n>
      <m in="0">
        <tpls c="3">
          <tpl fld="0" item="0"/>
          <tpl fld="1" item="15"/>
          <tpl fld="4" item="40"/>
        </tpls>
      </m>
      <m in="0">
        <tpls c="3">
          <tpl fld="0" item="0"/>
          <tpl fld="1" item="407"/>
          <tpl fld="4" item="39"/>
        </tpls>
      </m>
      <m in="0">
        <tpls c="3">
          <tpl fld="0" item="0"/>
          <tpl fld="1" item="126"/>
          <tpl fld="4" item="3"/>
        </tpls>
      </m>
      <m in="0">
        <tpls c="3">
          <tpl fld="0" item="0"/>
          <tpl fld="1" item="200"/>
          <tpl fld="4" item="3"/>
        </tpls>
      </m>
      <m in="0">
        <tpls c="3">
          <tpl fld="0" item="0"/>
          <tpl fld="1" item="454"/>
          <tpl fld="4" item="3"/>
        </tpls>
      </m>
      <m in="0">
        <tpls c="3">
          <tpl fld="0" item="0"/>
          <tpl fld="1" item="373"/>
          <tpl fld="4" item="38"/>
        </tpls>
      </m>
      <m in="0">
        <tpls c="3">
          <tpl fld="0" item="0"/>
          <tpl fld="1" item="185"/>
          <tpl fld="4" item="40"/>
        </tpls>
      </m>
      <m in="0">
        <tpls c="3">
          <tpl fld="0" item="0"/>
          <tpl fld="1" item="290"/>
          <tpl fld="4" item="2"/>
        </tpls>
      </m>
      <m in="0">
        <tpls c="3">
          <tpl fld="0" item="0"/>
          <tpl fld="1" item="408"/>
          <tpl fld="4" item="37"/>
        </tpls>
      </m>
      <m in="0">
        <tpls c="3">
          <tpl fld="0" item="0"/>
          <tpl fld="1" item="170"/>
          <tpl fld="4" item="37"/>
        </tpls>
      </m>
      <n v="423" in="0">
        <tpls c="3">
          <tpl fld="0" item="0"/>
          <tpl fld="1" item="149"/>
          <tpl fld="4" item="37"/>
        </tpls>
      </n>
      <m in="0">
        <tpls c="3">
          <tpl fld="0" item="0"/>
          <tpl fld="1" item="263"/>
          <tpl fld="4" item="38"/>
        </tpls>
      </m>
      <m in="0">
        <tpls c="3">
          <tpl fld="0" item="0"/>
          <tpl fld="1" item="429"/>
          <tpl fld="4" item="33"/>
        </tpls>
      </m>
      <m in="0">
        <tpls c="3">
          <tpl fld="0" item="0"/>
          <tpl fld="1" item="408"/>
          <tpl fld="4" item="34"/>
        </tpls>
      </m>
      <m in="0">
        <tpls c="3">
          <tpl fld="0" item="0"/>
          <tpl fld="1" item="436"/>
          <tpl fld="4" item="3"/>
        </tpls>
      </m>
      <m in="0">
        <tpls c="3">
          <tpl fld="0" item="0"/>
          <tpl fld="1" item="194"/>
          <tpl fld="4" item="2"/>
        </tpls>
      </m>
      <m in="0">
        <tpls c="3">
          <tpl fld="0" item="0"/>
          <tpl fld="1" item="88"/>
          <tpl fld="4" item="4"/>
        </tpls>
      </m>
      <m in="0">
        <tpls c="3">
          <tpl fld="0" item="0"/>
          <tpl fld="1" item="247"/>
          <tpl fld="4" item="4"/>
        </tpls>
      </m>
      <n v="19" in="0">
        <tpls c="3">
          <tpl fld="0" item="0"/>
          <tpl fld="1" item="54"/>
          <tpl fld="4" item="36"/>
        </tpls>
      </n>
      <m in="0">
        <tpls c="3">
          <tpl fld="0" item="0"/>
          <tpl fld="1" item="121"/>
          <tpl fld="4" item="2"/>
        </tpls>
      </m>
      <m in="0">
        <tpls c="3">
          <tpl fld="0" item="0"/>
          <tpl fld="1" item="197"/>
          <tpl fld="4" item="37"/>
        </tpls>
      </m>
      <n v="3" in="0">
        <tpls c="3">
          <tpl fld="0" item="0"/>
          <tpl fld="1" item="267"/>
          <tpl fld="4" item="36"/>
        </tpls>
      </n>
      <m in="0">
        <tpls c="3">
          <tpl fld="0" item="0"/>
          <tpl fld="1" item="295"/>
          <tpl fld="4" item="36"/>
        </tpls>
      </m>
      <m in="0">
        <tpls c="3">
          <tpl fld="0" item="0"/>
          <tpl fld="1" item="321"/>
          <tpl fld="4" item="38"/>
        </tpls>
      </m>
      <n v="2" in="0">
        <tpls c="3">
          <tpl fld="0" item="0"/>
          <tpl fld="1" item="280"/>
          <tpl fld="4" item="38"/>
        </tpls>
      </n>
      <m in="0">
        <tpls c="3">
          <tpl fld="0" item="0"/>
          <tpl fld="1" item="4"/>
          <tpl fld="4" item="31"/>
        </tpls>
      </m>
      <m in="0">
        <tpls c="3">
          <tpl fld="0" item="0"/>
          <tpl fld="1" item="175"/>
          <tpl fld="4" item="34"/>
        </tpls>
      </m>
      <m in="0">
        <tpls c="3">
          <tpl fld="0" item="0"/>
          <tpl fld="1" item="235"/>
          <tpl fld="4" item="34"/>
        </tpls>
      </m>
      <n v="2" in="0">
        <tpls c="3">
          <tpl fld="0" item="0"/>
          <tpl fld="1" item="64"/>
          <tpl fld="4" item="30"/>
        </tpls>
      </n>
      <m in="0">
        <tpls c="3">
          <tpl fld="0" item="0"/>
          <tpl fld="1" item="338"/>
          <tpl fld="4" item="35"/>
        </tpls>
      </m>
      <m in="0">
        <tpls c="3">
          <tpl fld="0" item="0"/>
          <tpl fld="1" item="273"/>
          <tpl fld="4" item="0"/>
        </tpls>
      </m>
      <m in="0">
        <tpls c="3">
          <tpl fld="0" item="0"/>
          <tpl fld="1" item="154"/>
          <tpl fld="4" item="0"/>
        </tpls>
      </m>
      <m in="0">
        <tpls c="3">
          <tpl fld="0" item="0"/>
          <tpl fld="1" item="394"/>
          <tpl fld="4" item="4"/>
        </tpls>
      </m>
      <m in="0">
        <tpls c="3">
          <tpl fld="0" item="0"/>
          <tpl fld="1" item="366"/>
          <tpl fld="4" item="0"/>
        </tpls>
      </m>
      <m in="0">
        <tpls c="3">
          <tpl fld="0" item="0"/>
          <tpl fld="1" item="78"/>
          <tpl fld="4" item="4"/>
        </tpls>
      </m>
      <m in="0">
        <tpls c="3">
          <tpl fld="0" item="0"/>
          <tpl fld="1" item="165"/>
          <tpl fld="4" item="4"/>
        </tpls>
      </m>
      <m in="0">
        <tpls c="3">
          <tpl fld="0" item="0"/>
          <tpl fld="1" item="393"/>
          <tpl fld="4" item="0"/>
        </tpls>
      </m>
      <m in="0">
        <tpls c="3">
          <tpl fld="0" item="0"/>
          <tpl fld="1" item="137"/>
          <tpl fld="4" item="3"/>
        </tpls>
      </m>
      <m in="0">
        <tpls c="3">
          <tpl fld="0" item="0"/>
          <tpl fld="1" item="185"/>
          <tpl fld="4" item="3"/>
        </tpls>
      </m>
      <m in="0">
        <tpls c="3">
          <tpl fld="0" item="0"/>
          <tpl fld="1" item="273"/>
          <tpl fld="4" item="4"/>
        </tpls>
      </m>
      <m in="0">
        <tpls c="3">
          <tpl fld="0" item="0"/>
          <tpl fld="1" item="63"/>
          <tpl fld="4" item="4"/>
        </tpls>
      </m>
      <m in="0">
        <tpls c="3">
          <tpl fld="0" item="0"/>
          <tpl fld="1" item="447"/>
          <tpl fld="4" item="4"/>
        </tpls>
      </m>
      <m in="0">
        <tpls c="3">
          <tpl fld="0" item="0"/>
          <tpl fld="1" item="69"/>
          <tpl fld="4" item="36"/>
        </tpls>
      </m>
      <m in="0">
        <tpls c="3">
          <tpl fld="0" item="0"/>
          <tpl fld="1" item="52"/>
          <tpl fld="4" item="2"/>
        </tpls>
      </m>
      <m in="0">
        <tpls c="3">
          <tpl fld="0" item="0"/>
          <tpl fld="1" item="216"/>
          <tpl fld="4" item="4"/>
        </tpls>
      </m>
      <m in="0">
        <tpls c="3">
          <tpl fld="0" item="0"/>
          <tpl fld="1" item="62"/>
          <tpl fld="4" item="36"/>
        </tpls>
      </m>
      <m in="0">
        <tpls c="3">
          <tpl fld="0" item="0"/>
          <tpl fld="1" item="318"/>
          <tpl fld="4" item="36"/>
        </tpls>
      </m>
      <n v="187" in="0">
        <tpls c="3">
          <tpl fld="0" item="0"/>
          <tpl fld="1" item="319"/>
          <tpl fld="4" item="37"/>
        </tpls>
      </n>
      <m in="0">
        <tpls c="3">
          <tpl fld="0" item="0"/>
          <tpl fld="1" item="310"/>
          <tpl fld="4" item="36"/>
        </tpls>
      </m>
      <n v="96" in="0">
        <tpls c="3">
          <tpl fld="0" item="0"/>
          <tpl fld="1" item="163"/>
          <tpl fld="4" item="37"/>
        </tpls>
      </n>
      <m in="0">
        <tpls c="3">
          <tpl fld="0" item="0"/>
          <tpl fld="1" item="135"/>
          <tpl fld="4" item="39"/>
        </tpls>
      </m>
      <m in="0">
        <tpls c="3">
          <tpl fld="0" item="0"/>
          <tpl fld="1" item="384"/>
          <tpl fld="4" item="36"/>
        </tpls>
      </m>
      <m in="0">
        <tpls c="3">
          <tpl fld="0" item="0"/>
          <tpl fld="1" item="224"/>
          <tpl fld="4" item="2"/>
        </tpls>
      </m>
      <m in="0">
        <tpls c="3">
          <tpl fld="0" item="0"/>
          <tpl fld="1" item="257"/>
          <tpl fld="4" item="37"/>
        </tpls>
      </m>
      <n v="17" in="0">
        <tpls c="3">
          <tpl fld="0" item="0"/>
          <tpl fld="1" item="342"/>
          <tpl fld="4" item="36"/>
        </tpls>
      </n>
      <m in="0">
        <tpls c="3">
          <tpl fld="0" item="0"/>
          <tpl fld="1" item="448"/>
          <tpl fld="4" item="36"/>
        </tpls>
      </m>
      <m in="0">
        <tpls c="3">
          <tpl fld="0" item="0"/>
          <tpl fld="1" item="321"/>
          <tpl fld="4" item="37"/>
        </tpls>
      </m>
      <m in="0">
        <tpls c="3">
          <tpl fld="0" item="0"/>
          <tpl fld="1" item="433"/>
          <tpl fld="4" item="35"/>
        </tpls>
      </m>
      <m in="0">
        <tpls c="3">
          <tpl fld="0" item="0"/>
          <tpl fld="1" item="299"/>
          <tpl fld="4" item="35"/>
        </tpls>
      </m>
      <m in="0">
        <tpls c="3">
          <tpl fld="0" item="0"/>
          <tpl fld="1" item="366"/>
          <tpl fld="4" item="33"/>
        </tpls>
      </m>
      <m in="0">
        <tpls c="3">
          <tpl fld="0" item="0"/>
          <tpl fld="1" item="416"/>
          <tpl fld="4" item="35"/>
        </tpls>
      </m>
      <m in="0">
        <tpls c="3">
          <tpl fld="0" item="0"/>
          <tpl fld="1" item="106"/>
          <tpl fld="4" item="34"/>
        </tpls>
      </m>
      <m in="0">
        <tpls c="3">
          <tpl fld="0" item="0"/>
          <tpl fld="1" item="5"/>
          <tpl fld="4" item="34"/>
        </tpls>
      </m>
      <m in="0">
        <tpls c="3">
          <tpl fld="0" item="0"/>
          <tpl fld="1" item="19"/>
          <tpl fld="4" item="34"/>
        </tpls>
      </m>
      <m in="0">
        <tpls c="3">
          <tpl fld="0" item="0"/>
          <tpl fld="1" item="114"/>
          <tpl fld="4" item="34"/>
        </tpls>
      </m>
      <n v="1" in="0">
        <tpls c="3">
          <tpl fld="0" item="0"/>
          <tpl fld="1" item="104"/>
          <tpl fld="4" item="0"/>
        </tpls>
      </n>
      <m in="0">
        <tpls c="3">
          <tpl fld="0" item="0"/>
          <tpl fld="1" item="242"/>
          <tpl fld="4" item="3"/>
        </tpls>
      </m>
      <m in="0">
        <tpls c="3">
          <tpl fld="0" item="0"/>
          <tpl fld="1" item="301"/>
          <tpl fld="4" item="3"/>
        </tpls>
      </m>
      <m in="0">
        <tpls c="3">
          <tpl fld="0" item="0"/>
          <tpl fld="1" item="409"/>
          <tpl fld="4" item="4"/>
        </tpls>
      </m>
      <m in="0">
        <tpls c="3">
          <tpl fld="0" item="0"/>
          <tpl fld="1" item="147"/>
          <tpl fld="4" item="3"/>
        </tpls>
      </m>
      <m in="0">
        <tpls c="3">
          <tpl fld="0" item="0"/>
          <tpl fld="1" item="398"/>
          <tpl fld="4" item="2"/>
        </tpls>
      </m>
      <m in="0">
        <tpls c="3">
          <tpl fld="0" item="0"/>
          <tpl fld="1" item="411"/>
          <tpl fld="4" item="4"/>
        </tpls>
      </m>
      <m in="0">
        <tpls c="3">
          <tpl fld="0" item="0"/>
          <tpl fld="1" item="131"/>
          <tpl fld="4" item="3"/>
        </tpls>
      </m>
      <m in="0">
        <tpls c="3">
          <tpl fld="0" item="0"/>
          <tpl fld="1" item="451"/>
          <tpl fld="4" item="4"/>
        </tpls>
      </m>
      <m in="0">
        <tpls c="3">
          <tpl fld="0" item="0"/>
          <tpl fld="1" item="328"/>
          <tpl fld="4" item="3"/>
        </tpls>
      </m>
      <m in="0">
        <tpls c="3">
          <tpl fld="0" item="0"/>
          <tpl fld="1" item="240"/>
          <tpl fld="4" item="3"/>
        </tpls>
      </m>
      <m in="0">
        <tpls c="3">
          <tpl fld="0" item="0"/>
          <tpl fld="1" item="54"/>
          <tpl fld="4" item="2"/>
        </tpls>
      </m>
      <m in="0">
        <tpls c="3">
          <tpl fld="0" item="0"/>
          <tpl fld="1" item="95"/>
          <tpl fld="4" item="4"/>
        </tpls>
      </m>
      <n v="13" in="0">
        <tpls c="3">
          <tpl fld="0" item="0"/>
          <tpl fld="1" item="369"/>
          <tpl fld="4" item="36"/>
        </tpls>
      </n>
      <m in="0">
        <tpls c="3">
          <tpl fld="0" item="0"/>
          <tpl fld="1" item="184"/>
          <tpl fld="4" item="2"/>
        </tpls>
      </m>
      <m in="0">
        <tpls c="3">
          <tpl fld="0" item="0"/>
          <tpl fld="1" item="289"/>
          <tpl fld="4" item="36"/>
        </tpls>
      </m>
      <m in="0">
        <tpls c="3">
          <tpl fld="0" item="0"/>
          <tpl fld="1" item="275"/>
          <tpl fld="4" item="2"/>
        </tpls>
      </m>
      <n v="528" in="0">
        <tpls c="3">
          <tpl fld="0" item="0"/>
          <tpl fld="1" item="225"/>
          <tpl fld="4" item="36"/>
        </tpls>
      </n>
      <m in="0">
        <tpls c="3">
          <tpl fld="0" item="0"/>
          <tpl fld="1" item="361"/>
          <tpl fld="4" item="36"/>
        </tpls>
      </m>
      <n v="106" in="0">
        <tpls c="3">
          <tpl fld="0" item="0"/>
          <tpl fld="1" item="105"/>
          <tpl fld="4" item="36"/>
        </tpls>
      </n>
      <m in="0">
        <tpls c="3">
          <tpl fld="0" item="0"/>
          <tpl fld="1" item="400"/>
          <tpl fld="4" item="2"/>
        </tpls>
      </m>
      <n v="1" in="0">
        <tpls c="3">
          <tpl fld="0" item="0"/>
          <tpl fld="1" item="157"/>
          <tpl fld="4" item="37"/>
        </tpls>
      </n>
      <n v="7" in="0">
        <tpls c="3">
          <tpl fld="0" item="0"/>
          <tpl fld="1" item="308"/>
          <tpl fld="4" item="36"/>
        </tpls>
      </n>
      <m in="0">
        <tpls c="3">
          <tpl fld="0" item="0"/>
          <tpl fld="1" item="216"/>
          <tpl fld="4" item="37"/>
        </tpls>
      </m>
      <m in="0">
        <tpls c="3">
          <tpl fld="0" item="0"/>
          <tpl fld="1" item="137"/>
          <tpl fld="4" item="2"/>
        </tpls>
      </m>
      <m in="0">
        <tpls c="3">
          <tpl fld="0" item="0"/>
          <tpl fld="1" item="440"/>
          <tpl fld="4" item="37"/>
        </tpls>
      </m>
      <m in="0">
        <tpls c="3">
          <tpl fld="0" item="0"/>
          <tpl fld="1" item="193"/>
          <tpl fld="4" item="2"/>
        </tpls>
      </m>
      <n v="3" in="0">
        <tpls c="3">
          <tpl fld="0" item="0"/>
          <tpl fld="1" item="142"/>
          <tpl fld="4" item="36"/>
        </tpls>
      </n>
      <m in="0">
        <tpls c="3">
          <tpl fld="0" item="0"/>
          <tpl fld="1" item="392"/>
          <tpl fld="4" item="37"/>
        </tpls>
      </m>
      <n v="26" in="0">
        <tpls c="3">
          <tpl fld="0" item="0"/>
          <tpl fld="1" item="52"/>
          <tpl fld="4" item="37"/>
        </tpls>
      </n>
      <n v="113" in="0">
        <tpls c="3">
          <tpl fld="0" item="0"/>
          <tpl fld="1" item="67"/>
          <tpl fld="4" item="36"/>
        </tpls>
      </n>
      <n v="86" in="0">
        <tpls c="3">
          <tpl fld="0" item="0"/>
          <tpl fld="1" item="106"/>
          <tpl fld="4" item="37"/>
        </tpls>
      </n>
      <m in="0">
        <tpls c="3">
          <tpl fld="0" item="0"/>
          <tpl fld="1" item="265"/>
          <tpl fld="4" item="2"/>
        </tpls>
      </m>
      <m in="0">
        <tpls c="3">
          <tpl fld="0" item="0"/>
          <tpl fld="1" item="102"/>
          <tpl fld="4" item="36"/>
        </tpls>
      </m>
      <m in="0">
        <tpls c="3">
          <tpl fld="0" item="0"/>
          <tpl fld="1" item="130"/>
          <tpl fld="4" item="38"/>
        </tpls>
      </m>
      <m in="0">
        <tpls c="3">
          <tpl fld="0" item="0"/>
          <tpl fld="1" item="22"/>
          <tpl fld="4" item="38"/>
        </tpls>
      </m>
      <m in="0">
        <tpls c="3">
          <tpl fld="0" item="0"/>
          <tpl fld="1" item="81"/>
          <tpl fld="4" item="40"/>
        </tpls>
      </m>
      <n v="13" in="0">
        <tpls c="3">
          <tpl fld="0" item="0"/>
          <tpl fld="1" item="114"/>
          <tpl fld="4" item="38"/>
        </tpls>
      </n>
      <n v="64" in="0">
        <tpls c="3">
          <tpl fld="0" item="0"/>
          <tpl fld="1" item="33"/>
          <tpl fld="4" item="40"/>
        </tpls>
      </n>
      <m in="0">
        <tpls c="3">
          <tpl fld="0" item="0"/>
          <tpl fld="1" item="220"/>
          <tpl fld="4" item="38"/>
        </tpls>
      </m>
      <m in="0">
        <tpls c="3">
          <tpl fld="0" item="0"/>
          <tpl fld="1" item="123"/>
          <tpl fld="4" item="40"/>
        </tpls>
      </m>
      <n v="2" in="0">
        <tpls c="3">
          <tpl fld="0" item="0"/>
          <tpl fld="1" item="163"/>
          <tpl fld="4" item="38"/>
        </tpls>
      </n>
      <n v="1" in="0">
        <tpls c="3">
          <tpl fld="0" item="0"/>
          <tpl fld="1" item="9"/>
          <tpl fld="4" item="39"/>
        </tpls>
      </n>
      <m in="0">
        <tpls c="3">
          <tpl fld="0" item="0"/>
          <tpl fld="1" item="398"/>
          <tpl fld="4" item="38"/>
        </tpls>
      </m>
      <m in="0">
        <tpls c="3">
          <tpl fld="0" item="0"/>
          <tpl fld="1" item="40"/>
          <tpl fld="4" item="41"/>
        </tpls>
      </m>
      <m in="0">
        <tpls c="3">
          <tpl fld="0" item="0"/>
          <tpl fld="1" item="240"/>
          <tpl fld="4" item="39"/>
        </tpls>
      </m>
      <m in="0">
        <tpls c="3">
          <tpl fld="0" item="0"/>
          <tpl fld="1" item="63"/>
          <tpl fld="4" item="39"/>
        </tpls>
      </m>
      <m in="0">
        <tpls c="3">
          <tpl fld="0" item="0"/>
          <tpl fld="1" item="124"/>
          <tpl fld="4" item="42"/>
        </tpls>
      </m>
      <m in="0">
        <tpls c="3">
          <tpl fld="0" item="0"/>
          <tpl fld="1" item="263"/>
          <tpl fld="4" item="39"/>
        </tpls>
      </m>
      <m in="0">
        <tpls c="3">
          <tpl fld="0" item="0"/>
          <tpl fld="1" item="239"/>
          <tpl fld="4" item="38"/>
        </tpls>
      </m>
      <m in="0">
        <tpls c="3">
          <tpl fld="0" item="0"/>
          <tpl fld="1" item="286"/>
          <tpl fld="4" item="39"/>
        </tpls>
      </m>
      <n v="2" in="0">
        <tpls c="3">
          <tpl fld="0" item="0"/>
          <tpl fld="1" item="163"/>
          <tpl fld="4" item="39"/>
        </tpls>
      </n>
      <m in="0">
        <tpls c="3">
          <tpl fld="0" item="0"/>
          <tpl fld="1" item="268"/>
          <tpl fld="4" item="38"/>
        </tpls>
      </m>
      <m in="0">
        <tpls c="3">
          <tpl fld="0" item="0"/>
          <tpl fld="1" item="71"/>
          <tpl fld="4" item="39"/>
        </tpls>
      </m>
      <m in="0">
        <tpls c="3">
          <tpl fld="0" item="0"/>
          <tpl fld="1" item="306"/>
          <tpl fld="4" item="41"/>
        </tpls>
      </m>
      <m in="0">
        <tpls c="3">
          <tpl fld="0" item="0"/>
          <tpl fld="1" item="327"/>
          <tpl fld="4" item="39"/>
        </tpls>
      </m>
      <n v="13" in="0">
        <tpls c="3">
          <tpl fld="0" item="0"/>
          <tpl fld="1" item="120"/>
          <tpl fld="4" item="40"/>
        </tpls>
      </n>
      <m in="0">
        <tpls c="3">
          <tpl fld="0" item="0"/>
          <tpl fld="1" item="43"/>
          <tpl fld="4" item="39"/>
        </tpls>
      </m>
      <m in="0">
        <tpls c="3">
          <tpl fld="0" item="0"/>
          <tpl fld="1" item="257"/>
          <tpl fld="4" item="40"/>
        </tpls>
      </m>
      <m in="0">
        <tpls c="3">
          <tpl fld="0" item="0"/>
          <tpl fld="1" item="210"/>
          <tpl fld="4" item="42"/>
        </tpls>
      </m>
      <n v="19" in="0">
        <tpls c="3">
          <tpl fld="0" item="0"/>
          <tpl fld="1" item="382"/>
          <tpl fld="4" item="40"/>
        </tpls>
      </n>
      <m in="0">
        <tpls c="3">
          <tpl fld="0" item="0"/>
          <tpl fld="1" item="412"/>
          <tpl fld="4" item="39"/>
        </tpls>
      </m>
      <m in="0">
        <tpls c="3">
          <tpl fld="0" item="0"/>
          <tpl fld="1" item="92"/>
          <tpl fld="4" item="41"/>
        </tpls>
      </m>
      <m in="0">
        <tpls c="3">
          <tpl fld="0" item="0"/>
          <tpl fld="1" item="371"/>
          <tpl fld="4" item="39"/>
        </tpls>
      </m>
      <m in="0">
        <tpls c="3">
          <tpl fld="0" item="0"/>
          <tpl fld="1" item="363"/>
          <tpl fld="4" item="41"/>
        </tpls>
      </m>
      <n v="6" in="0">
        <tpls c="3">
          <tpl fld="0" item="0"/>
          <tpl fld="1" item="148"/>
          <tpl fld="4" item="40"/>
        </tpls>
      </n>
      <m in="0">
        <tpls c="3">
          <tpl fld="0" item="0"/>
          <tpl fld="1" item="204"/>
          <tpl fld="4" item="42"/>
        </tpls>
      </m>
      <n v="36" in="0">
        <tpls c="3">
          <tpl fld="0" item="0"/>
          <tpl fld="1" item="99"/>
          <tpl fld="4" item="41"/>
        </tpls>
      </n>
      <m in="0">
        <tpls c="3">
          <tpl fld="0" item="0"/>
          <tpl fld="1" item="27"/>
          <tpl fld="4" item="43"/>
        </tpls>
      </m>
      <n v="52" in="0">
        <tpls c="3">
          <tpl fld="0" item="0"/>
          <tpl fld="1" item="256"/>
          <tpl fld="4" item="41"/>
        </tpls>
      </n>
      <m in="0">
        <tpls c="3">
          <tpl fld="0" item="0"/>
          <tpl fld="1" item="200"/>
          <tpl fld="4" item="43"/>
        </tpls>
      </m>
      <n v="9" in="0">
        <tpls c="3">
          <tpl fld="0" item="0"/>
          <tpl fld="1" item="87"/>
          <tpl fld="4" item="42"/>
        </tpls>
      </n>
      <m in="0">
        <tpls c="3">
          <tpl fld="0" item="0"/>
          <tpl fld="1" item="74"/>
          <tpl fld="4" item="41"/>
        </tpls>
      </m>
      <n v="1" in="0">
        <tpls c="3">
          <tpl fld="0" item="0"/>
          <tpl fld="1" item="249"/>
          <tpl fld="4" item="43"/>
        </tpls>
      </n>
      <n v="7" in="0">
        <tpls c="3">
          <tpl fld="0" item="0"/>
          <tpl fld="1" item="144"/>
          <tpl fld="4" item="43"/>
        </tpls>
      </n>
      <n v="5" in="0">
        <tpls c="3">
          <tpl fld="0" item="0"/>
          <tpl fld="1" item="430"/>
          <tpl fld="4" item="42"/>
        </tpls>
      </n>
      <m in="0">
        <tpls c="3">
          <tpl fld="0" item="0"/>
          <tpl fld="1" item="31"/>
          <tpl fld="4" item="43"/>
        </tpls>
      </m>
      <n v="3" in="0">
        <tpls c="3">
          <tpl fld="0" item="0"/>
          <tpl fld="1" item="120"/>
          <tpl fld="4" item="42"/>
        </tpls>
      </n>
      <n v="5" in="0">
        <tpls c="3">
          <tpl fld="0" item="0"/>
          <tpl fld="1" item="320"/>
          <tpl fld="4" item="43"/>
        </tpls>
      </n>
      <m in="0">
        <tpls c="3">
          <tpl fld="0" item="0"/>
          <tpl fld="1" item="290"/>
          <tpl fld="4" item="43"/>
        </tpls>
      </m>
      <m in="0">
        <tpls c="3">
          <tpl fld="0" item="0"/>
          <tpl fld="1" item="76"/>
          <tpl fld="4" item="43"/>
        </tpls>
      </m>
      <m in="0">
        <tpls c="3">
          <tpl fld="0" item="0"/>
          <tpl fld="1" item="342"/>
          <tpl fld="4" item="43"/>
        </tpls>
      </m>
      <n v="3" in="0">
        <tpls c="3">
          <tpl fld="0" item="0"/>
          <tpl fld="1" item="227"/>
          <tpl fld="4" item="43"/>
        </tpls>
      </n>
      <m in="0">
        <tpls c="3">
          <tpl fld="0" item="0"/>
          <tpl fld="1" item="188"/>
          <tpl fld="4" item="38"/>
        </tpls>
      </m>
      <m in="0">
        <tpls c="3">
          <tpl fld="0" item="0"/>
          <tpl fld="1" item="357"/>
          <tpl fld="4" item="39"/>
        </tpls>
      </m>
      <m in="0">
        <tpls c="3">
          <tpl fld="0" item="0"/>
          <tpl fld="1" item="270"/>
          <tpl fld="4" item="37"/>
        </tpls>
      </m>
      <m in="0">
        <tpls c="3">
          <tpl fld="0" item="0"/>
          <tpl fld="1" item="370"/>
          <tpl fld="4" item="38"/>
        </tpls>
      </m>
      <n v="15" in="0">
        <tpls c="3">
          <tpl fld="0" item="0"/>
          <tpl fld="1" item="386"/>
          <tpl fld="4" item="41"/>
        </tpls>
      </n>
      <m in="0">
        <tpls c="3">
          <tpl fld="0" item="0"/>
          <tpl fld="1" item="6"/>
          <tpl fld="4" item="39"/>
        </tpls>
      </m>
      <n v="21" in="0">
        <tpls c="3">
          <tpl fld="0" item="0"/>
          <tpl fld="1" item="3"/>
          <tpl fld="4" item="41"/>
        </tpls>
      </n>
      <n v="13" in="0">
        <tpls c="3">
          <tpl fld="0" item="0"/>
          <tpl fld="1" item="215"/>
          <tpl fld="4" item="39"/>
        </tpls>
      </n>
      <n v="41" in="0">
        <tpls c="3">
          <tpl fld="0" item="0"/>
          <tpl fld="1" item="400"/>
          <tpl fld="4" item="40"/>
        </tpls>
      </n>
      <m in="0">
        <tpls c="3">
          <tpl fld="0" item="0"/>
          <tpl fld="1" item="103"/>
          <tpl fld="4" item="42"/>
        </tpls>
      </m>
      <n v="1" in="0">
        <tpls c="3">
          <tpl fld="0" item="0"/>
          <tpl fld="1" item="372"/>
          <tpl fld="4" item="39"/>
        </tpls>
      </n>
      <n v="19" in="0">
        <tpls c="3">
          <tpl fld="0" item="0"/>
          <tpl fld="1" item="152"/>
          <tpl fld="4" item="40"/>
        </tpls>
      </n>
      <n v="96" in="0">
        <tpls c="3">
          <tpl fld="0" item="0"/>
          <tpl fld="1" item="312"/>
          <tpl fld="4" item="40"/>
        </tpls>
      </n>
      <m in="0">
        <tpls c="3">
          <tpl fld="0" item="0"/>
          <tpl fld="1" item="361"/>
          <tpl fld="4" item="42"/>
        </tpls>
      </m>
      <m in="0">
        <tpls c="3">
          <tpl fld="0" item="0"/>
          <tpl fld="1" item="243"/>
          <tpl fld="4" item="40"/>
        </tpls>
      </m>
      <m in="0">
        <tpls c="3">
          <tpl fld="0" item="0"/>
          <tpl fld="1" item="131"/>
          <tpl fld="4" item="43"/>
        </tpls>
      </m>
      <n v="86" in="0">
        <tpls c="3">
          <tpl fld="0" item="0"/>
          <tpl fld="1" item="183"/>
          <tpl fld="4" item="40"/>
        </tpls>
      </n>
      <n v="5" in="0">
        <tpls c="3">
          <tpl fld="0" item="0"/>
          <tpl fld="1" item="183"/>
          <tpl fld="4" item="43"/>
        </tpls>
      </n>
      <n v="2" in="0">
        <tpls c="3">
          <tpl fld="0" item="0"/>
          <tpl fld="1" item="61"/>
          <tpl fld="4" item="41"/>
        </tpls>
      </n>
      <m in="0">
        <tpls c="3">
          <tpl fld="0" item="0"/>
          <tpl fld="1" item="223"/>
          <tpl fld="4" item="43"/>
        </tpls>
      </m>
      <n v="8" in="0">
        <tpls c="3">
          <tpl fld="0" item="0"/>
          <tpl fld="1" item="391"/>
          <tpl fld="4" item="41"/>
        </tpls>
      </n>
      <m in="0">
        <tpls c="3">
          <tpl fld="0" item="0"/>
          <tpl fld="1" item="223"/>
          <tpl fld="4" item="40"/>
        </tpls>
      </m>
      <n v="65" in="0">
        <tpls c="3">
          <tpl fld="0" item="0"/>
          <tpl fld="1" item="337"/>
          <tpl fld="4" item="41"/>
        </tpls>
      </n>
      <n v="60" in="0">
        <tpls c="3">
          <tpl fld="0" item="0"/>
          <tpl fld="1" item="456"/>
          <tpl fld="4" item="41"/>
        </tpls>
      </n>
      <n v="1" in="0">
        <tpls c="3">
          <tpl fld="0" item="0"/>
          <tpl fld="1" item="137"/>
          <tpl fld="4" item="40"/>
        </tpls>
      </n>
      <n v="2" in="0">
        <tpls c="3">
          <tpl fld="0" item="0"/>
          <tpl fld="1" item="227"/>
          <tpl fld="4" item="42"/>
        </tpls>
      </n>
      <n v="4" in="0">
        <tpls c="3">
          <tpl fld="0" item="0"/>
          <tpl fld="1" item="80"/>
          <tpl fld="4" item="43"/>
        </tpls>
      </n>
      <n v="1" in="0">
        <tpls c="3">
          <tpl fld="0" item="0"/>
          <tpl fld="1" item="433"/>
          <tpl fld="4" item="42"/>
        </tpls>
      </n>
      <n v="1" in="0">
        <tpls c="3">
          <tpl fld="0" item="0"/>
          <tpl fld="1" item="116"/>
          <tpl fld="4" item="43"/>
        </tpls>
      </n>
      <m in="0">
        <tpls c="3">
          <tpl fld="0" item="0"/>
          <tpl fld="1" item="92"/>
          <tpl fld="4" item="42"/>
        </tpls>
      </m>
      <m in="0">
        <tpls c="3">
          <tpl fld="0" item="0"/>
          <tpl fld="1" item="257"/>
          <tpl fld="4" item="43"/>
        </tpls>
      </m>
      <m in="0">
        <tpls c="3">
          <tpl fld="0" item="0"/>
          <tpl fld="1" item="244"/>
          <tpl fld="4" item="43"/>
        </tpls>
      </m>
      <m in="0">
        <tpls c="3">
          <tpl fld="0" item="0"/>
          <tpl fld="1" item="208"/>
          <tpl fld="4" item="42"/>
        </tpls>
      </m>
      <n v="5" in="0">
        <tpls c="3">
          <tpl fld="0" item="0"/>
          <tpl fld="1" item="430"/>
          <tpl fld="4" item="43"/>
        </tpls>
      </n>
      <m in="0">
        <tpls c="3">
          <tpl fld="0" item="0"/>
          <tpl fld="1" item="299"/>
          <tpl fld="4" item="42"/>
        </tpls>
      </m>
      <m in="0">
        <tpls c="3">
          <tpl fld="0" item="0"/>
          <tpl fld="1" item="250"/>
          <tpl fld="4" item="43"/>
        </tpls>
      </m>
      <m in="0">
        <tpls c="3">
          <tpl fld="0" item="0"/>
          <tpl fld="1" item="164"/>
          <tpl fld="4" item="42"/>
        </tpls>
      </m>
      <n v="1" in="0">
        <tpls c="3">
          <tpl fld="0" item="0"/>
          <tpl fld="1" item="172"/>
          <tpl fld="4" item="42"/>
        </tpls>
      </n>
      <n v="6" in="0">
        <tpls c="3">
          <tpl fld="0" item="0"/>
          <tpl fld="1" item="89"/>
          <tpl fld="4" item="36"/>
        </tpls>
      </n>
      <m in="0">
        <tpls c="3">
          <tpl fld="0" item="0"/>
          <tpl fld="1" item="300"/>
          <tpl fld="4" item="37"/>
        </tpls>
      </m>
      <n v="17" in="0">
        <tpls c="3">
          <tpl fld="0" item="0"/>
          <tpl fld="1" item="202"/>
          <tpl fld="4" item="39"/>
        </tpls>
      </n>
      <m in="0">
        <tpls c="3">
          <tpl fld="0" item="0"/>
          <tpl fld="1" item="102"/>
          <tpl fld="4" item="39"/>
        </tpls>
      </m>
      <m in="0">
        <tpls c="3">
          <tpl fld="0" item="0"/>
          <tpl fld="1" item="156"/>
          <tpl fld="4" item="39"/>
        </tpls>
      </m>
      <m in="0">
        <tpls c="3">
          <tpl fld="0" item="0"/>
          <tpl fld="1" item="275"/>
          <tpl fld="4" item="38"/>
        </tpls>
      </m>
      <n v="32" in="0">
        <tpls c="3">
          <tpl fld="0" item="0"/>
          <tpl fld="1" item="225"/>
          <tpl fld="4" item="39"/>
        </tpls>
      </n>
      <m in="0">
        <tpls c="3">
          <tpl fld="0" item="0"/>
          <tpl fld="1" item="66"/>
          <tpl fld="4" item="42"/>
        </tpls>
      </m>
      <m in="0">
        <tpls c="3">
          <tpl fld="0" item="0"/>
          <tpl fld="1" item="36"/>
          <tpl fld="4" item="39"/>
        </tpls>
      </m>
      <n v="25" in="0">
        <tpls c="3">
          <tpl fld="0" item="0"/>
          <tpl fld="1" item="394"/>
          <tpl fld="4" item="41"/>
        </tpls>
      </n>
      <n v="5" in="0">
        <tpls c="3">
          <tpl fld="0" item="0"/>
          <tpl fld="1" item="182"/>
          <tpl fld="4" item="39"/>
        </tpls>
      </n>
      <m in="0">
        <tpls c="3">
          <tpl fld="0" item="0"/>
          <tpl fld="1" item="197"/>
          <tpl fld="4" item="40"/>
        </tpls>
      </m>
      <m in="0">
        <tpls c="3">
          <tpl fld="0" item="0"/>
          <tpl fld="1" item="54"/>
          <tpl fld="4" item="39"/>
        </tpls>
      </m>
      <m in="0">
        <tpls c="3">
          <tpl fld="0" item="0"/>
          <tpl fld="1" item="428"/>
          <tpl fld="4" item="41"/>
        </tpls>
      </m>
      <n v="40" in="0">
        <tpls c="3">
          <tpl fld="0" item="0"/>
          <tpl fld="1" item="313"/>
          <tpl fld="4" item="39"/>
        </tpls>
      </n>
      <m in="0">
        <tpls c="3">
          <tpl fld="0" item="0"/>
          <tpl fld="1" item="229"/>
          <tpl fld="4" item="41"/>
        </tpls>
      </m>
      <n v="1" in="0">
        <tpls c="3">
          <tpl fld="0" item="0"/>
          <tpl fld="1" item="280"/>
          <tpl fld="4" item="39"/>
        </tpls>
      </n>
      <m in="0">
        <tpls c="3">
          <tpl fld="0" item="0"/>
          <tpl fld="1" item="26"/>
          <tpl fld="4" item="41"/>
        </tpls>
      </m>
      <m in="0">
        <tpls c="3">
          <tpl fld="0" item="0"/>
          <tpl fld="1" item="131"/>
          <tpl fld="4" item="41"/>
        </tpls>
      </m>
      <m in="0">
        <tpls c="3">
          <tpl fld="0" item="0"/>
          <tpl fld="1" item="443"/>
          <tpl fld="4" item="42"/>
        </tpls>
      </m>
      <m in="0">
        <tpls c="3">
          <tpl fld="0" item="0"/>
          <tpl fld="1" item="292"/>
          <tpl fld="4" item="41"/>
        </tpls>
      </m>
      <m in="0">
        <tpls c="3">
          <tpl fld="0" item="0"/>
          <tpl fld="1" item="5"/>
          <tpl fld="4" item="43"/>
        </tpls>
      </m>
      <m in="0">
        <tpls c="3">
          <tpl fld="0" item="0"/>
          <tpl fld="1" item="100"/>
          <tpl fld="4" item="41"/>
        </tpls>
      </m>
      <m in="0">
        <tpls c="3">
          <tpl fld="0" item="0"/>
          <tpl fld="1" item="93"/>
          <tpl fld="4" item="43"/>
        </tpls>
      </m>
      <m in="0">
        <tpls c="3">
          <tpl fld="0" item="0"/>
          <tpl fld="1" item="69"/>
          <tpl fld="4" item="43"/>
        </tpls>
      </m>
      <n v="18" in="0">
        <tpls c="3">
          <tpl fld="0" item="0"/>
          <tpl fld="1" item="120"/>
          <tpl fld="4" item="41"/>
        </tpls>
      </n>
      <n v="1" in="0">
        <tpls c="3">
          <tpl fld="0" item="0"/>
          <tpl fld="1" item="255"/>
          <tpl fld="4" item="43"/>
        </tpls>
      </n>
      <m in="0">
        <tpls c="3">
          <tpl fld="0" item="0"/>
          <tpl fld="1" item="155"/>
          <tpl fld="4" item="43"/>
        </tpls>
      </m>
      <m in="0">
        <tpls c="3">
          <tpl fld="0" item="0"/>
          <tpl fld="1" item="421"/>
          <tpl fld="4" item="42"/>
        </tpls>
      </m>
      <m in="0">
        <tpls c="3">
          <tpl fld="0" item="0"/>
          <tpl fld="1" item="304"/>
          <tpl fld="4" item="43"/>
        </tpls>
      </m>
      <m in="0">
        <tpls c="3">
          <tpl fld="0" item="0"/>
          <tpl fld="1" item="384"/>
          <tpl fld="4" item="42"/>
        </tpls>
      </m>
      <n v="1" in="0">
        <tpls c="3">
          <tpl fld="0" item="0"/>
          <tpl fld="1" item="184"/>
          <tpl fld="4" item="43"/>
        </tpls>
      </n>
      <m in="0">
        <tpls c="3">
          <tpl fld="0" item="0"/>
          <tpl fld="1" item="389"/>
          <tpl fld="4" item="42"/>
        </tpls>
      </m>
      <n v="3" in="0">
        <tpls c="3">
          <tpl fld="0" item="0"/>
          <tpl fld="1" item="370"/>
          <tpl fld="4" item="43"/>
        </tpls>
      </n>
      <n v="4" in="0">
        <tpls c="3">
          <tpl fld="0" item="0"/>
          <tpl fld="1" item="80"/>
          <tpl fld="4" item="42"/>
        </tpls>
      </n>
      <n v="2" in="0">
        <tpls c="3">
          <tpl fld="0" item="0"/>
          <tpl fld="1" item="56"/>
          <tpl fld="4" item="43"/>
        </tpls>
      </n>
      <m in="0">
        <tpls c="3">
          <tpl fld="0" item="0"/>
          <tpl fld="1" item="207"/>
          <tpl fld="4" item="43"/>
        </tpls>
      </m>
      <n v="6" in="0">
        <tpls c="3">
          <tpl fld="0" item="0"/>
          <tpl fld="1" item="381"/>
          <tpl fld="4" item="42"/>
        </tpls>
      </n>
      <n v="6" in="0">
        <tpls c="3">
          <tpl fld="0" item="0"/>
          <tpl fld="1" item="163"/>
          <tpl fld="4" item="42"/>
        </tpls>
      </n>
      <m in="0">
        <tpls c="3">
          <tpl fld="0" item="0"/>
          <tpl fld="1" item="235"/>
          <tpl fld="4" item="43"/>
        </tpls>
      </m>
      <n v="7" in="0">
        <tpls c="3">
          <tpl fld="0" item="0"/>
          <tpl fld="1" item="262"/>
          <tpl fld="4" item="42"/>
        </tpls>
      </n>
      <m in="0">
        <tpls c="3">
          <tpl fld="0" item="0"/>
          <tpl fld="1" item="184"/>
          <tpl fld="4" item="42"/>
        </tpls>
      </m>
      <m in="0">
        <tpls c="3">
          <tpl fld="0" item="0"/>
          <tpl fld="1" item="5"/>
          <tpl fld="4" item="36"/>
        </tpls>
      </m>
      <n v="16" in="0">
        <tpls c="3">
          <tpl fld="0" item="0"/>
          <tpl fld="1" item="288"/>
          <tpl fld="4" item="38"/>
        </tpls>
      </n>
      <m in="0">
        <tpls c="3">
          <tpl fld="0" item="0"/>
          <tpl fld="1" item="53"/>
          <tpl fld="4" item="39"/>
        </tpls>
      </m>
      <n v="4" in="0">
        <tpls c="3">
          <tpl fld="0" item="0"/>
          <tpl fld="1" item="142"/>
          <tpl fld="4" item="40"/>
        </tpls>
      </n>
      <m in="0">
        <tpls c="3">
          <tpl fld="0" item="0"/>
          <tpl fld="1" item="6"/>
          <tpl fld="4" item="40"/>
        </tpls>
      </m>
      <n v="1" in="0">
        <tpls c="3">
          <tpl fld="0" item="0"/>
          <tpl fld="1" item="206"/>
          <tpl fld="4" item="39"/>
        </tpls>
      </n>
      <n v="25" in="0">
        <tpls c="3">
          <tpl fld="0" item="0"/>
          <tpl fld="1" item="452"/>
          <tpl fld="4" item="39"/>
        </tpls>
      </n>
      <m in="0">
        <tpls c="3">
          <tpl fld="0" item="0"/>
          <tpl fld="1" item="265"/>
          <tpl fld="4" item="38"/>
        </tpls>
      </m>
      <m in="0">
        <tpls c="3">
          <tpl fld="0" item="0"/>
          <tpl fld="1" item="248"/>
          <tpl fld="4" item="39"/>
        </tpls>
      </m>
      <n v="30" in="0">
        <tpls c="3">
          <tpl fld="0" item="0"/>
          <tpl fld="1" item="194"/>
          <tpl fld="4" item="41"/>
        </tpls>
      </n>
      <n v="15" in="0">
        <tpls c="3">
          <tpl fld="0" item="0"/>
          <tpl fld="1" item="132"/>
          <tpl fld="4" item="39"/>
        </tpls>
      </n>
      <m in="0">
        <tpls c="3">
          <tpl fld="0" item="0"/>
          <tpl fld="1" item="239"/>
          <tpl fld="4" item="40"/>
        </tpls>
      </m>
      <n v="1" in="0">
        <tpls c="3">
          <tpl fld="0" item="0"/>
          <tpl fld="1" item="64"/>
          <tpl fld="4" item="39"/>
        </tpls>
      </n>
      <n v="16" in="0">
        <tpls c="3">
          <tpl fld="0" item="0"/>
          <tpl fld="1" item="84"/>
          <tpl fld="4" item="41"/>
        </tpls>
      </n>
      <m in="0">
        <tpls c="3">
          <tpl fld="0" item="0"/>
          <tpl fld="1" item="93"/>
          <tpl fld="4" item="40"/>
        </tpls>
      </m>
      <m in="0">
        <tpls c="3">
          <tpl fld="0" item="0"/>
          <tpl fld="1" item="321"/>
          <tpl fld="4" item="41"/>
        </tpls>
      </m>
      <n v="1" in="0">
        <tpls c="3">
          <tpl fld="0" item="0"/>
          <tpl fld="1" item="53"/>
          <tpl fld="4" item="40"/>
        </tpls>
      </n>
      <n v="382" in="0">
        <tpls c="3">
          <tpl fld="0" item="0"/>
          <tpl fld="1" item="447"/>
          <tpl fld="4" item="41"/>
        </tpls>
      </n>
      <m in="0">
        <tpls c="3">
          <tpl fld="0" item="0"/>
          <tpl fld="1" item="96"/>
          <tpl fld="4" item="41"/>
        </tpls>
      </m>
      <m in="0">
        <tpls c="3">
          <tpl fld="0" item="0"/>
          <tpl fld="1" item="304"/>
          <tpl fld="4" item="42"/>
        </tpls>
      </m>
      <n v="32" in="0">
        <tpls c="3">
          <tpl fld="0" item="0"/>
          <tpl fld="1" item="263"/>
          <tpl fld="4" item="41"/>
        </tpls>
      </n>
      <m in="0">
        <tpls c="3">
          <tpl fld="0" item="0"/>
          <tpl fld="1" item="220"/>
          <tpl fld="4" item="40"/>
        </tpls>
      </m>
      <n v="13" in="0">
        <tpls c="3">
          <tpl fld="0" item="0"/>
          <tpl fld="1" item="372"/>
          <tpl fld="4" item="41"/>
        </tpls>
      </n>
      <m in="0">
        <tpls c="3">
          <tpl fld="0" item="0"/>
          <tpl fld="2" item="0"/>
          <tpl fld="4" item="41"/>
        </tpls>
      </m>
      <m in="0">
        <tpls c="3">
          <tpl fld="0" item="0"/>
          <tpl fld="1" item="222"/>
          <tpl fld="4" item="43"/>
        </tpls>
      </m>
      <m in="0">
        <tpls c="3">
          <tpl fld="0" item="0"/>
          <tpl fld="1" item="328"/>
          <tpl fld="4" item="41"/>
        </tpls>
      </m>
      <n v="1" in="0">
        <tpls c="3">
          <tpl fld="0" item="0"/>
          <tpl fld="1" item="403"/>
          <tpl fld="4" item="43"/>
        </tpls>
      </n>
      <n v="7" in="0">
        <tpls c="3">
          <tpl fld="0" item="0"/>
          <tpl fld="1" item="453"/>
          <tpl fld="4" item="43"/>
        </tpls>
      </n>
      <n v="3" in="0">
        <tpls c="3">
          <tpl fld="0" item="0"/>
          <tpl fld="1" item="382"/>
          <tpl fld="4" item="42"/>
        </tpls>
      </n>
      <n v="18" in="0">
        <tpls c="3">
          <tpl fld="0" item="0"/>
          <tpl fld="1" item="148"/>
          <tpl fld="4" item="41"/>
        </tpls>
      </n>
      <m in="0">
        <tpls c="3">
          <tpl fld="0" item="0"/>
          <tpl fld="1" item="53"/>
          <tpl fld="4" item="43"/>
        </tpls>
      </m>
      <n v="7" in="0">
        <tpls c="3">
          <tpl fld="0" item="0"/>
          <tpl fld="1" item="187"/>
          <tpl fld="4" item="43"/>
        </tpls>
      </n>
      <m in="0">
        <tpls c="3">
          <tpl fld="0" item="0"/>
          <tpl fld="1" item="408"/>
          <tpl fld="4" item="42"/>
        </tpls>
      </m>
      <m in="0">
        <tpls c="3">
          <tpl fld="0" item="0"/>
          <tpl fld="1" item="396"/>
          <tpl fld="4" item="36"/>
        </tpls>
      </m>
      <m in="0">
        <tpls c="3">
          <tpl fld="0" item="0"/>
          <tpl fld="1" item="100"/>
          <tpl fld="4" item="38"/>
        </tpls>
      </m>
      <n v="2" in="0">
        <tpls c="3">
          <tpl fld="0" item="0"/>
          <tpl fld="1" item="337"/>
          <tpl fld="4" item="39"/>
        </tpls>
      </n>
      <n v="2" in="0">
        <tpls c="3">
          <tpl fld="0" item="0"/>
          <tpl fld="1" item="329"/>
          <tpl fld="4" item="40"/>
        </tpls>
      </n>
      <n v="4" in="0">
        <tpls c="3">
          <tpl fld="0" item="0"/>
          <tpl fld="1" item="115"/>
          <tpl fld="4" item="40"/>
        </tpls>
      </n>
      <m in="0">
        <tpls c="3">
          <tpl fld="0" item="0"/>
          <tpl fld="1" item="258"/>
          <tpl fld="4" item="39"/>
        </tpls>
      </m>
      <n v="77" in="0">
        <tpls c="3">
          <tpl fld="0" item="0"/>
          <tpl fld="1" item="347"/>
          <tpl fld="4" item="40"/>
        </tpls>
      </n>
      <n v="6" in="0">
        <tpls c="3">
          <tpl fld="0" item="0"/>
          <tpl fld="1" item="187"/>
          <tpl fld="4" item="38"/>
        </tpls>
      </n>
      <n v="9" in="0">
        <tpls c="3">
          <tpl fld="0" item="0"/>
          <tpl fld="1" item="20"/>
          <tpl fld="4" item="39"/>
        </tpls>
      </n>
      <m in="0">
        <tpls c="3">
          <tpl fld="0" item="0"/>
          <tpl fld="1" item="404"/>
          <tpl fld="4" item="41"/>
        </tpls>
      </m>
      <m in="0">
        <tpls c="3">
          <tpl fld="0" item="0"/>
          <tpl fld="1" item="350"/>
          <tpl fld="4" item="39"/>
        </tpls>
      </m>
      <m in="0">
        <tpls c="3">
          <tpl fld="0" item="0"/>
          <tpl fld="1" item="35"/>
          <tpl fld="4" item="40"/>
        </tpls>
      </m>
      <n v="3" in="0">
        <tpls c="3">
          <tpl fld="0" item="0"/>
          <tpl fld="1" item="360"/>
          <tpl fld="4" item="39"/>
        </tpls>
      </n>
      <n v="44" in="0">
        <tpls c="3">
          <tpl fld="0" item="0"/>
          <tpl fld="1" item="111"/>
          <tpl fld="4" item="41"/>
        </tpls>
      </n>
      <m in="0">
        <tpls c="3">
          <tpl fld="0" item="0"/>
          <tpl fld="1" item="98"/>
          <tpl fld="4" item="40"/>
        </tpls>
      </m>
      <n v="25" in="0">
        <tpls c="3">
          <tpl fld="0" item="0"/>
          <tpl fld="1" item="280"/>
          <tpl fld="4" item="41"/>
        </tpls>
      </n>
      <m in="0">
        <tpls c="3">
          <tpl fld="0" item="0"/>
          <tpl fld="1" item="92"/>
          <tpl fld="4" item="40"/>
        </tpls>
      </m>
      <n v="15" in="0">
        <tpls c="3">
          <tpl fld="0" item="0"/>
          <tpl fld="1" item="405"/>
          <tpl fld="4" item="41"/>
        </tpls>
      </n>
      <m in="0">
        <tpls c="3">
          <tpl fld="0" item="0"/>
          <tpl fld="1" item="78"/>
          <tpl fld="4" item="41"/>
        </tpls>
      </m>
      <m in="0">
        <tpls c="3">
          <tpl fld="0" item="0"/>
          <tpl fld="1" item="83"/>
          <tpl fld="4" item="42"/>
        </tpls>
      </m>
      <n v="11" in="0">
        <tpls c="3">
          <tpl fld="0" item="0"/>
          <tpl fld="1" item="308"/>
          <tpl fld="4" item="41"/>
        </tpls>
      </n>
      <n v="5" in="0">
        <tpls c="3">
          <tpl fld="0" item="0"/>
          <tpl fld="1" item="350"/>
          <tpl fld="4" item="40"/>
        </tpls>
      </n>
      <m in="0">
        <tpls c="3">
          <tpl fld="0" item="0"/>
          <tpl fld="1" item="88"/>
          <tpl fld="4" item="41"/>
        </tpls>
      </m>
      <n v="34" in="0">
        <tpls c="3">
          <tpl fld="0" item="0"/>
          <tpl fld="1" item="419"/>
          <tpl fld="4" item="41"/>
        </tpls>
      </n>
      <m in="0">
        <tpls c="3">
          <tpl fld="0" item="0"/>
          <tpl fld="1" item="407"/>
          <tpl fld="4" item="43"/>
        </tpls>
      </m>
      <n v="3" in="0">
        <tpls c="3">
          <tpl fld="0" item="0"/>
          <tpl fld="1" item="402"/>
          <tpl fld="4" item="41"/>
        </tpls>
      </n>
      <n v="14" in="0">
        <tpls c="3">
          <tpl fld="0" item="0"/>
          <tpl fld="1" item="447"/>
          <tpl fld="4" item="43"/>
        </tpls>
      </n>
      <m in="0">
        <tpls c="3">
          <tpl fld="0" item="0"/>
          <tpl fld="1" item="37"/>
          <tpl fld="4" item="43"/>
        </tpls>
      </m>
      <m in="0">
        <tpls c="3">
          <tpl fld="0" item="0"/>
          <tpl fld="1" item="440"/>
          <tpl fld="4" item="42"/>
        </tpls>
      </m>
      <n v="39" in="0">
        <tpls c="3">
          <tpl fld="0" item="0"/>
          <tpl fld="1" item="409"/>
          <tpl fld="4" item="41"/>
        </tpls>
      </n>
      <n v="1" in="0">
        <tpls c="3">
          <tpl fld="0" item="0"/>
          <tpl fld="1" item="418"/>
          <tpl fld="4" item="43"/>
        </tpls>
      </n>
      <n v="7" in="0">
        <tpls c="3">
          <tpl fld="0" item="0"/>
          <tpl fld="1" item="177"/>
          <tpl fld="4" item="43"/>
        </tpls>
      </n>
      <m in="0">
        <tpls c="3">
          <tpl fld="0" item="0"/>
          <tpl fld="1" item="440"/>
          <tpl fld="4" item="2"/>
        </tpls>
      </m>
      <m in="0">
        <tpls c="3">
          <tpl fld="0" item="0"/>
          <tpl fld="1" item="196"/>
          <tpl fld="4" item="40"/>
        </tpls>
      </m>
      <n v="1" in="0">
        <tpls c="3">
          <tpl fld="0" item="0"/>
          <tpl fld="1" item="186"/>
          <tpl fld="4" item="38"/>
        </tpls>
      </n>
      <m in="0">
        <tpls c="3">
          <tpl fld="0" item="0"/>
          <tpl fld="1" item="172"/>
          <tpl fld="4" item="39"/>
        </tpls>
      </m>
      <m in="0">
        <tpls c="3">
          <tpl fld="0" item="0"/>
          <tpl fld="1" item="376"/>
          <tpl fld="4" item="39"/>
        </tpls>
      </m>
      <n v="6" in="0">
        <tpls c="3">
          <tpl fld="0" item="0"/>
          <tpl fld="1" item="179"/>
          <tpl fld="4" item="38"/>
        </tpls>
      </n>
      <m in="0">
        <tpls c="3">
          <tpl fld="0" item="0"/>
          <tpl fld="1" item="397"/>
          <tpl fld="4" item="39"/>
        </tpls>
      </m>
      <m in="0">
        <tpls c="3">
          <tpl fld="0" item="0"/>
          <tpl fld="1" item="71"/>
          <tpl fld="4" item="42"/>
        </tpls>
      </m>
      <n v="2" in="0">
        <tpls c="3">
          <tpl fld="0" item="0"/>
          <tpl fld="1" item="57"/>
          <tpl fld="4" item="39"/>
        </tpls>
      </n>
      <n v="29" in="0">
        <tpls c="3">
          <tpl fld="0" item="0"/>
          <tpl fld="1" item="20"/>
          <tpl fld="4" item="40"/>
        </tpls>
      </n>
      <n v="3" in="0">
        <tpls c="3">
          <tpl fld="0" item="0"/>
          <tpl fld="1" item="326"/>
          <tpl fld="4" item="39"/>
        </tpls>
      </n>
      <m in="0">
        <tpls c="3">
          <tpl fld="0" item="0"/>
          <tpl fld="1" item="198"/>
          <tpl fld="4" item="40"/>
        </tpls>
      </m>
      <n v="2" in="0">
        <tpls c="3">
          <tpl fld="0" item="0"/>
          <tpl fld="1" item="354"/>
          <tpl fld="4" item="42"/>
        </tpls>
      </n>
      <n v="14" in="0">
        <tpls c="3">
          <tpl fld="0" item="0"/>
          <tpl fld="1" item="37"/>
          <tpl fld="4" item="40"/>
        </tpls>
      </n>
      <m in="0">
        <tpls c="3">
          <tpl fld="0" item="0"/>
          <tpl fld="1" item="12"/>
          <tpl fld="4" item="39"/>
        </tpls>
      </m>
      <m in="0">
        <tpls c="3">
          <tpl fld="0" item="0"/>
          <tpl fld="1" item="198"/>
          <tpl fld="4" item="41"/>
        </tpls>
      </m>
      <m in="0">
        <tpls c="3">
          <tpl fld="0" item="0"/>
          <tpl fld="1" item="297"/>
          <tpl fld="4" item="39"/>
        </tpls>
      </m>
      <n v="6" in="0">
        <tpls c="3">
          <tpl fld="0" item="0"/>
          <tpl fld="1" item="25"/>
          <tpl fld="4" item="41"/>
        </tpls>
      </n>
      <n v="160" in="0">
        <tpls c="3">
          <tpl fld="0" item="0"/>
          <tpl fld="1" item="33"/>
          <tpl fld="4" item="41"/>
        </tpls>
      </n>
      <m in="0">
        <tpls c="3">
          <tpl fld="0" item="0"/>
          <tpl fld="1" item="323"/>
          <tpl fld="4" item="42"/>
        </tpls>
      </m>
      <m in="0">
        <tpls c="3">
          <tpl fld="0" item="0"/>
          <tpl fld="1" item="170"/>
          <tpl fld="4" item="41"/>
        </tpls>
      </m>
      <m in="0">
        <tpls c="3">
          <tpl fld="0" item="0"/>
          <tpl fld="1" item="232"/>
          <tpl fld="4" item="43"/>
        </tpls>
      </m>
      <m in="0">
        <tpls c="3">
          <tpl fld="0" item="0"/>
          <tpl fld="1" item="119"/>
          <tpl fld="4" item="41"/>
        </tpls>
      </m>
      <n v="2" in="0">
        <tpls c="3">
          <tpl fld="0" item="0"/>
          <tpl fld="1" item="194"/>
          <tpl fld="4" item="43"/>
        </tpls>
      </n>
      <n v="3" in="0">
        <tpls c="3">
          <tpl fld="0" item="0"/>
          <tpl fld="1" item="409"/>
          <tpl fld="4" item="42"/>
        </tpls>
      </n>
      <m in="0">
        <tpls c="3">
          <tpl fld="0" item="0"/>
          <tpl fld="1" item="398"/>
          <tpl fld="4" item="41"/>
        </tpls>
      </m>
      <m in="0">
        <tpls c="3">
          <tpl fld="0" item="0"/>
          <tpl fld="1" item="188"/>
          <tpl fld="4" item="43"/>
        </tpls>
      </m>
      <n v="1" in="0">
        <tpls c="3">
          <tpl fld="0" item="0"/>
          <tpl fld="1" item="186"/>
          <tpl fld="4" item="43"/>
        </tpls>
      </n>
      <m in="0">
        <tpls c="3">
          <tpl fld="0" item="0"/>
          <tpl fld="1" item="289"/>
          <tpl fld="4" item="42"/>
        </tpls>
      </m>
      <m in="0">
        <tpls c="3">
          <tpl fld="0" item="0"/>
          <tpl fld="1" item="424"/>
          <tpl fld="4" item="43"/>
        </tpls>
      </m>
      <n v="3" in="0">
        <tpls c="3">
          <tpl fld="0" item="0"/>
          <tpl fld="1" item="179"/>
          <tpl fld="4" item="42"/>
        </tpls>
      </n>
      <n v="1" in="0">
        <tpls c="3">
          <tpl fld="0" item="0"/>
          <tpl fld="1" item="101"/>
          <tpl fld="4" item="43"/>
        </tpls>
      </n>
      <m in="0">
        <tpls c="3">
          <tpl fld="0" item="0"/>
          <tpl fld="1" item="306"/>
          <tpl fld="4" item="43"/>
        </tpls>
      </m>
      <n v="5" in="0">
        <tpls c="3">
          <tpl fld="0" item="0"/>
          <tpl fld="1" item="149"/>
          <tpl fld="4" item="43"/>
        </tpls>
      </n>
      <m in="0">
        <tpls c="3">
          <tpl fld="0" item="0"/>
          <tpl fld="1" item="416"/>
          <tpl fld="4" item="2"/>
        </tpls>
      </m>
      <m in="0">
        <tpls c="3">
          <tpl fld="0" item="0"/>
          <tpl fld="1" item="328"/>
          <tpl fld="4" item="40"/>
        </tpls>
      </m>
      <m in="0">
        <tpls c="3">
          <tpl fld="0" item="0"/>
          <tpl fld="1" item="285"/>
          <tpl fld="4" item="38"/>
        </tpls>
      </m>
      <m in="0">
        <tpls c="3">
          <tpl fld="0" item="0"/>
          <tpl fld="1" item="142"/>
          <tpl fld="4" item="39"/>
        </tpls>
      </m>
      <m in="0">
        <tpls c="3">
          <tpl fld="0" item="0"/>
          <tpl fld="1" item="25"/>
          <tpl fld="4" item="39"/>
        </tpls>
      </m>
      <m in="0">
        <tpls c="3">
          <tpl fld="0" item="0"/>
          <tpl fld="1" item="431"/>
          <tpl fld="4" item="38"/>
        </tpls>
      </m>
      <m in="0">
        <tpls c="3">
          <tpl fld="0" item="0"/>
          <tpl fld="1" item="210"/>
          <tpl fld="4" item="39"/>
        </tpls>
      </m>
      <m in="0">
        <tpls c="3">
          <tpl fld="0" item="0"/>
          <tpl fld="1" item="17"/>
          <tpl fld="4" item="42"/>
        </tpls>
      </m>
      <m in="0">
        <tpls c="3">
          <tpl fld="0" item="0"/>
          <tpl fld="1" item="431"/>
          <tpl fld="4" item="39"/>
        </tpls>
      </m>
      <n v="6" in="0">
        <tpls c="3">
          <tpl fld="0" item="0"/>
          <tpl fld="1" item="417"/>
          <tpl fld="4" item="40"/>
        </tpls>
      </n>
      <n v="1" in="0">
        <tpls c="3">
          <tpl fld="0" item="0"/>
          <tpl fld="1" item="209"/>
          <tpl fld="4" item="39"/>
        </tpls>
      </n>
      <n v="100" in="0">
        <tpls c="3">
          <tpl fld="0" item="0"/>
          <tpl fld="1" item="45"/>
          <tpl fld="4" item="40"/>
        </tpls>
      </n>
      <m in="0">
        <tpls c="3">
          <tpl fld="0" item="0"/>
          <tpl fld="1" item="363"/>
          <tpl fld="4" item="43"/>
        </tpls>
      </m>
      <n v="13" in="0">
        <tpls c="3">
          <tpl fld="0" item="0"/>
          <tpl fld="1" item="113"/>
          <tpl fld="4" item="41"/>
        </tpls>
      </n>
      <m in="0">
        <tpls c="3">
          <tpl fld="0" item="0"/>
          <tpl fld="1" item="157"/>
          <tpl fld="4" item="39"/>
        </tpls>
      </m>
      <n v="44" in="0">
        <tpls c="3">
          <tpl fld="0" item="0"/>
          <tpl fld="1" item="334"/>
          <tpl fld="4" item="41"/>
        </tpls>
      </n>
      <m in="0">
        <tpls c="3">
          <tpl fld="0" item="0"/>
          <tpl fld="1" item="98"/>
          <tpl fld="4" item="39"/>
        </tpls>
      </m>
      <m in="0">
        <tpls c="3">
          <tpl fld="0" item="0"/>
          <tpl fld="1" item="349"/>
          <tpl fld="4" item="41"/>
        </tpls>
      </m>
      <n v="8" in="0">
        <tpls c="3">
          <tpl fld="0" item="0"/>
          <tpl fld="1" item="115"/>
          <tpl fld="4" item="41"/>
        </tpls>
      </n>
      <m in="0">
        <tpls c="3">
          <tpl fld="0" item="0"/>
          <tpl fld="3" item="0"/>
          <tpl fld="4" item="42"/>
        </tpls>
      </m>
      <m in="0">
        <tpls c="3">
          <tpl fld="0" item="0"/>
          <tpl fld="1" item="147"/>
          <tpl fld="4" item="41"/>
        </tpls>
      </m>
      <n v="1" in="0">
        <tpls c="3">
          <tpl fld="0" item="0"/>
          <tpl fld="1" item="138"/>
          <tpl fld="4" item="43"/>
        </tpls>
      </n>
      <n v="266" in="0">
        <tpls c="3">
          <tpl fld="0" item="0"/>
          <tpl fld="1" item="377"/>
          <tpl fld="4" item="41"/>
        </tpls>
      </n>
      <m in="0">
        <tpls c="3">
          <tpl fld="0" item="0"/>
          <tpl fld="1" item="30"/>
          <tpl fld="4" item="43"/>
        </tpls>
      </m>
      <m in="0">
        <tpls c="3">
          <tpl fld="0" item="0"/>
          <tpl fld="1" item="359"/>
          <tpl fld="4" item="42"/>
        </tpls>
      </m>
      <n v="9" in="0">
        <tpls c="3">
          <tpl fld="0" item="0"/>
          <tpl fld="1" item="418"/>
          <tpl fld="4" item="41"/>
        </tpls>
      </n>
      <n v="1" in="0">
        <tpls c="3">
          <tpl fld="0" item="0"/>
          <tpl fld="1" item="179"/>
          <tpl fld="4" item="43"/>
        </tpls>
      </n>
      <n v="6" in="0">
        <tpls c="3">
          <tpl fld="0" item="0"/>
          <tpl fld="1" item="39"/>
          <tpl fld="4" item="43"/>
        </tpls>
      </n>
      <n v="1" in="0">
        <tpls c="3">
          <tpl fld="0" item="0"/>
          <tpl fld="1" item="224"/>
          <tpl fld="4" item="42"/>
        </tpls>
      </n>
      <m in="0">
        <tpls c="3">
          <tpl fld="0" item="0"/>
          <tpl fld="1" item="318"/>
          <tpl fld="4" item="43"/>
        </tpls>
      </m>
      <m in="0">
        <tpls c="3">
          <tpl fld="0" item="0"/>
          <tpl fld="1" item="31"/>
          <tpl fld="4" item="42"/>
        </tpls>
      </m>
      <m in="0">
        <tpls c="3">
          <tpl fld="0" item="0"/>
          <tpl fld="1" item="234"/>
          <tpl fld="4" item="43"/>
        </tpls>
      </m>
      <m in="0">
        <tpls c="3">
          <tpl fld="0" item="0"/>
          <tpl fld="1" item="396"/>
          <tpl fld="4" item="43"/>
        </tpls>
      </m>
      <m in="0">
        <tpls c="3">
          <tpl fld="0" item="0"/>
          <tpl fld="1" item="394"/>
          <tpl fld="4" item="43"/>
        </tpls>
      </m>
      <n v="12" in="0">
        <tpls c="3">
          <tpl fld="0" item="0"/>
          <tpl fld="1" item="67"/>
          <tpl fld="4" item="42"/>
        </tpls>
      </n>
      <n v="11" in="0">
        <tpls c="3">
          <tpl fld="0" item="0"/>
          <tpl fld="1" item="160"/>
          <tpl fld="4" item="43"/>
        </tpls>
      </n>
      <m in="0">
        <tpls c="3">
          <tpl fld="0" item="0"/>
          <tpl fld="1" item="373"/>
          <tpl fld="4" item="36"/>
        </tpls>
      </m>
      <m in="0">
        <tpls c="3">
          <tpl fld="0" item="0"/>
          <tpl fld="1" item="130"/>
          <tpl fld="4" item="41"/>
        </tpls>
      </m>
      <m in="0">
        <tpls c="3">
          <tpl fld="0" item="0"/>
          <tpl fld="1" item="73"/>
          <tpl fld="4" item="38"/>
        </tpls>
      </m>
      <m in="0">
        <tpls c="3">
          <tpl fld="0" item="0"/>
          <tpl fld="1" item="21"/>
          <tpl fld="4" item="39"/>
        </tpls>
      </m>
      <n v="1" in="0">
        <tpls c="3">
          <tpl fld="0" item="0"/>
          <tpl fld="1" item="309"/>
          <tpl fld="4" item="39"/>
        </tpls>
      </n>
      <m in="0">
        <tpls c="3">
          <tpl fld="0" item="0"/>
          <tpl fld="1" item="214"/>
          <tpl fld="4" item="38"/>
        </tpls>
      </m>
      <n v="1" in="0">
        <tpls c="3">
          <tpl fld="0" item="0"/>
          <tpl fld="1" item="427"/>
          <tpl fld="4" item="39"/>
        </tpls>
      </n>
      <n v="4" in="0">
        <tpls c="3">
          <tpl fld="0" item="0"/>
          <tpl fld="1" item="422"/>
          <tpl fld="4" item="42"/>
        </tpls>
      </n>
      <m in="0">
        <tpls c="3">
          <tpl fld="0" item="0"/>
          <tpl fld="1" item="122"/>
          <tpl fld="4" item="39"/>
        </tpls>
      </m>
      <n v="7" in="0">
        <tpls c="3">
          <tpl fld="0" item="0"/>
          <tpl fld="1" item="453"/>
          <tpl fld="4" item="40"/>
        </tpls>
      </n>
      <m in="0">
        <tpls c="3">
          <tpl fld="0" item="0"/>
          <tpl fld="1" item="171"/>
          <tpl fld="4" item="39"/>
        </tpls>
      </m>
      <m in="0">
        <tpls c="3">
          <tpl fld="0" item="0"/>
          <tpl fld="1" item="355"/>
          <tpl fld="4" item="40"/>
        </tpls>
      </m>
      <m in="0">
        <tpls c="3">
          <tpl fld="0" item="0"/>
          <tpl fld="1" item="22"/>
          <tpl fld="4" item="43"/>
        </tpls>
      </m>
      <n v="17" in="0">
        <tpls c="3">
          <tpl fld="0" item="0"/>
          <tpl fld="1" item="412"/>
          <tpl fld="4" item="41"/>
        </tpls>
      </n>
      <n v="7" in="0">
        <tpls c="3">
          <tpl fld="0" item="0"/>
          <tpl fld="1" item="140"/>
          <tpl fld="4" item="39"/>
        </tpls>
      </n>
      <n v="16" in="0">
        <tpls c="3">
          <tpl fld="0" item="0"/>
          <tpl fld="1" item="171"/>
          <tpl fld="4" item="41"/>
        </tpls>
      </n>
      <n v="2" in="0">
        <tpls c="3">
          <tpl fld="0" item="0"/>
          <tpl fld="1" item="311"/>
          <tpl fld="4" item="39"/>
        </tpls>
      </n>
      <m in="0">
        <tpls c="3">
          <tpl fld="0" item="0"/>
          <tpl fld="1" item="243"/>
          <tpl fld="4" item="41"/>
        </tpls>
      </m>
      <n v="14" in="0">
        <tpls c="3">
          <tpl fld="0" item="0"/>
          <tpl fld="1" item="200"/>
          <tpl fld="4" item="41"/>
        </tpls>
      </n>
      <m in="0">
        <tpls c="3">
          <tpl fld="0" item="0"/>
          <tpl fld="1" item="1"/>
          <tpl fld="4" item="42"/>
        </tpls>
      </m>
      <n v="256" in="0">
        <tpls c="3">
          <tpl fld="0" item="0"/>
          <tpl fld="1" item="331"/>
          <tpl fld="4" item="41"/>
        </tpls>
      </n>
      <m in="0">
        <tpls c="3">
          <tpl fld="0" item="0"/>
          <tpl fld="1" item="50"/>
          <tpl fld="4" item="4"/>
        </tpls>
      </m>
      <n v="1" in="0">
        <tpls c="3">
          <tpl fld="0" item="0"/>
          <tpl fld="1" item="385"/>
          <tpl fld="4" item="3"/>
        </tpls>
      </n>
      <m in="0">
        <tpls c="3">
          <tpl fld="0" item="0"/>
          <tpl fld="1" item="425"/>
          <tpl fld="4" item="3"/>
        </tpls>
      </m>
      <m in="0">
        <tpls c="3">
          <tpl fld="0" item="0"/>
          <tpl fld="1" item="140"/>
          <tpl fld="4" item="4"/>
        </tpls>
      </m>
      <m in="0">
        <tpls c="3">
          <tpl fld="0" item="0"/>
          <tpl fld="1" item="118"/>
          <tpl fld="4" item="36"/>
        </tpls>
      </m>
      <m in="0">
        <tpls c="3">
          <tpl fld="0" item="0"/>
          <tpl fld="1" item="294"/>
          <tpl fld="4" item="36"/>
        </tpls>
      </m>
      <m in="0">
        <tpls c="3">
          <tpl fld="0" item="0"/>
          <tpl fld="1" item="145"/>
          <tpl fld="4" item="38"/>
        </tpls>
      </m>
      <m in="0">
        <tpls c="3">
          <tpl fld="0" item="0"/>
          <tpl fld="1" item="137"/>
          <tpl fld="4" item="39"/>
        </tpls>
      </m>
      <m in="0">
        <tpls c="3">
          <tpl fld="0" item="0"/>
          <tpl fld="1" item="293"/>
          <tpl fld="4" item="37"/>
        </tpls>
      </m>
      <m in="0">
        <tpls c="3">
          <tpl fld="0" item="0"/>
          <tpl fld="1" item="456"/>
          <tpl fld="4" item="26"/>
        </tpls>
      </m>
      <m in="0">
        <tpls c="3">
          <tpl fld="0" item="0"/>
          <tpl fld="1" item="87"/>
          <tpl fld="4" item="34"/>
        </tpls>
      </m>
      <m in="0">
        <tpls c="3">
          <tpl fld="0" item="0"/>
          <tpl fld="1" item="398"/>
          <tpl fld="4" item="24"/>
        </tpls>
      </m>
      <m in="0">
        <tpls c="3">
          <tpl fld="0" item="0"/>
          <tpl fld="1" item="343"/>
          <tpl fld="4" item="3"/>
        </tpls>
      </m>
      <n v="1" in="0">
        <tpls c="3">
          <tpl fld="0" item="0"/>
          <tpl fld="1" item="296"/>
          <tpl fld="4" item="3"/>
        </tpls>
      </n>
      <m in="0">
        <tpls c="3">
          <tpl fld="0" item="0"/>
          <tpl fld="1" item="405"/>
          <tpl fld="4" item="0"/>
        </tpls>
      </m>
      <m in="0">
        <tpls c="3">
          <tpl fld="0" item="0"/>
          <tpl fld="1" item="75"/>
          <tpl fld="4" item="3"/>
        </tpls>
      </m>
      <m in="0">
        <tpls c="3">
          <tpl fld="0" item="0"/>
          <tpl fld="1" item="358"/>
          <tpl fld="4" item="37"/>
        </tpls>
      </m>
      <n v="70" in="0">
        <tpls c="3">
          <tpl fld="0" item="0"/>
          <tpl fld="1" item="117"/>
          <tpl fld="4" item="36"/>
        </tpls>
      </n>
      <n v="5" in="0">
        <tpls c="3">
          <tpl fld="0" item="0"/>
          <tpl fld="1" item="139"/>
          <tpl fld="4" item="38"/>
        </tpls>
      </n>
      <n v="773" in="0">
        <tpls c="3">
          <tpl fld="0" item="0"/>
          <tpl fld="1" item="313"/>
          <tpl fld="4" item="36"/>
        </tpls>
      </n>
      <m in="0">
        <tpls c="3">
          <tpl fld="0" item="0"/>
          <tpl fld="1" item="26"/>
          <tpl fld="4" item="37"/>
        </tpls>
      </m>
      <n v="18" in="0">
        <tpls c="3">
          <tpl fld="0" item="0"/>
          <tpl fld="1" item="331"/>
          <tpl fld="4" item="38"/>
        </tpls>
      </n>
      <m in="0">
        <tpls c="3">
          <tpl fld="0" item="0"/>
          <tpl fld="1" item="97"/>
          <tpl fld="4" item="38"/>
        </tpls>
      </m>
      <m in="0">
        <tpls c="3">
          <tpl fld="0" item="0"/>
          <tpl fld="1" item="71"/>
          <tpl fld="4" item="35"/>
        </tpls>
      </m>
      <m in="0">
        <tpls c="3">
          <tpl fld="0" item="0"/>
          <tpl fld="1" item="216"/>
          <tpl fld="4" item="35"/>
        </tpls>
      </m>
      <m in="0">
        <tpls c="3">
          <tpl fld="0" item="0"/>
          <tpl fld="1" item="29"/>
          <tpl fld="4" item="35"/>
        </tpls>
      </m>
      <m in="0">
        <tpls c="3">
          <tpl fld="0" item="0"/>
          <tpl fld="1" item="86"/>
          <tpl fld="4" item="34"/>
        </tpls>
      </m>
      <m in="0">
        <tpls c="3">
          <tpl fld="0" item="0"/>
          <tpl fld="1" item="226"/>
          <tpl fld="4" item="35"/>
        </tpls>
      </m>
      <m in="0">
        <tpls c="3">
          <tpl fld="0" item="0"/>
          <tpl fld="1" item="375"/>
          <tpl fld="4" item="0"/>
        </tpls>
      </m>
      <m in="0">
        <tpls c="3">
          <tpl fld="0" item="0"/>
          <tpl fld="1" item="101"/>
          <tpl fld="4" item="0"/>
        </tpls>
      </m>
      <m in="0">
        <tpls c="3">
          <tpl fld="0" item="0"/>
          <tpl fld="1" item="8"/>
          <tpl fld="4" item="4"/>
        </tpls>
      </m>
      <m in="0">
        <tpls c="3">
          <tpl fld="0" item="0"/>
          <tpl fld="1" item="113"/>
          <tpl fld="4" item="3"/>
        </tpls>
      </m>
      <m in="0">
        <tpls c="3">
          <tpl fld="0" item="0"/>
          <tpl fld="1" item="335"/>
          <tpl fld="4" item="4"/>
        </tpls>
      </m>
      <m in="0">
        <tpls c="3">
          <tpl fld="0" item="0"/>
          <tpl fld="1" item="448"/>
          <tpl fld="4" item="4"/>
        </tpls>
      </m>
      <m in="0">
        <tpls c="3">
          <tpl fld="0" item="0"/>
          <tpl fld="1" item="372"/>
          <tpl fld="4" item="0"/>
        </tpls>
      </m>
      <m in="0">
        <tpls c="3">
          <tpl fld="0" item="0"/>
          <tpl fld="1" item="260"/>
          <tpl fld="4" item="4"/>
        </tpls>
      </m>
      <m in="0">
        <tpls c="3">
          <tpl fld="0" item="0"/>
          <tpl fld="1" item="133"/>
          <tpl fld="4" item="3"/>
        </tpls>
      </m>
      <m in="0">
        <tpls c="3">
          <tpl fld="0" item="0"/>
          <tpl fld="1" item="125"/>
          <tpl fld="4" item="2"/>
        </tpls>
      </m>
      <m in="0">
        <tpls c="3">
          <tpl fld="0" item="0"/>
          <tpl fld="1" item="107"/>
          <tpl fld="4" item="4"/>
        </tpls>
      </m>
      <m in="0">
        <tpls c="3">
          <tpl fld="0" item="0"/>
          <tpl fld="1" item="257"/>
          <tpl fld="4" item="4"/>
        </tpls>
      </m>
      <n v="7" in="0">
        <tpls c="3">
          <tpl fld="0" item="0"/>
          <tpl fld="1" item="314"/>
          <tpl fld="4" item="36"/>
        </tpls>
      </n>
      <m in="0">
        <tpls c="3">
          <tpl fld="0" item="0"/>
          <tpl fld="1" item="256"/>
          <tpl fld="4" item="2"/>
        </tpls>
      </m>
      <m in="0">
        <tpls c="3">
          <tpl fld="0" item="0"/>
          <tpl fld="1" item="172"/>
          <tpl fld="4" item="4"/>
        </tpls>
      </m>
      <n v="50" in="0">
        <tpls c="3">
          <tpl fld="0" item="0"/>
          <tpl fld="1" item="418"/>
          <tpl fld="4" item="36"/>
        </tpls>
      </n>
      <m in="0">
        <tpls c="3">
          <tpl fld="0" item="0"/>
          <tpl fld="1" item="345"/>
          <tpl fld="4" item="37"/>
        </tpls>
      </m>
      <m in="0">
        <tpls c="3">
          <tpl fld="0" item="0"/>
          <tpl fld="1" item="147"/>
          <tpl fld="4" item="39"/>
        </tpls>
      </m>
      <n v="37" in="0">
        <tpls c="3">
          <tpl fld="0" item="0"/>
          <tpl fld="1" item="453"/>
          <tpl fld="4" item="36"/>
        </tpls>
      </n>
      <n v="35" in="0">
        <tpls c="3">
          <tpl fld="0" item="0"/>
          <tpl fld="1" item="275"/>
          <tpl fld="4" item="37"/>
        </tpls>
      </n>
      <m in="0">
        <tpls c="3">
          <tpl fld="0" item="0"/>
          <tpl fld="1" item="11"/>
          <tpl fld="4" item="2"/>
        </tpls>
      </m>
      <n v="188" in="0">
        <tpls c="3">
          <tpl fld="0" item="0"/>
          <tpl fld="1" item="140"/>
          <tpl fld="4" item="37"/>
        </tpls>
      </n>
      <m in="0">
        <tpls c="3">
          <tpl fld="0" item="0"/>
          <tpl fld="1" item="296"/>
          <tpl fld="4" item="2"/>
        </tpls>
      </m>
      <m in="0">
        <tpls c="3">
          <tpl fld="0" item="0"/>
          <tpl fld="1" item="406"/>
          <tpl fld="4" item="37"/>
        </tpls>
      </m>
      <m in="0">
        <tpls c="3">
          <tpl fld="0" item="0"/>
          <tpl fld="1" item="245"/>
          <tpl fld="4" item="37"/>
        </tpls>
      </m>
      <m in="0">
        <tpls c="3">
          <tpl fld="0" item="0"/>
          <tpl fld="1" item="127"/>
          <tpl fld="4" item="36"/>
        </tpls>
      </m>
      <m in="0">
        <tpls c="3">
          <tpl fld="0" item="0"/>
          <tpl fld="1" item="178"/>
          <tpl fld="4" item="38"/>
        </tpls>
      </m>
      <m in="0">
        <tpls c="3">
          <tpl fld="0" item="0"/>
          <tpl fld="1" item="350"/>
          <tpl fld="4" item="31"/>
        </tpls>
      </m>
      <m in="0">
        <tpls c="3">
          <tpl fld="0" item="0"/>
          <tpl fld="1" item="144"/>
          <tpl fld="4" item="35"/>
        </tpls>
      </m>
      <m in="0">
        <tpls c="3">
          <tpl fld="0" item="0"/>
          <tpl fld="1" item="55"/>
          <tpl fld="4" item="30"/>
        </tpls>
      </m>
      <m in="0">
        <tpls c="3">
          <tpl fld="0" item="0"/>
          <tpl fld="1" item="193"/>
          <tpl fld="4" item="33"/>
        </tpls>
      </m>
      <m in="0">
        <tpls c="3">
          <tpl fld="0" item="0"/>
          <tpl fld="1" item="377"/>
          <tpl fld="4" item="34"/>
        </tpls>
      </m>
      <m in="0">
        <tpls c="3">
          <tpl fld="0" item="0"/>
          <tpl fld="1" item="119"/>
          <tpl fld="4" item="35"/>
        </tpls>
      </m>
      <m in="0">
        <tpls c="3">
          <tpl fld="0" item="0"/>
          <tpl fld="1" item="328"/>
          <tpl fld="4" item="34"/>
        </tpls>
      </m>
      <m in="0">
        <tpls c="3">
          <tpl fld="0" item="0"/>
          <tpl fld="1" item="23"/>
          <tpl fld="4" item="35"/>
        </tpls>
      </m>
      <m in="0">
        <tpls c="3">
          <tpl fld="0" item="0"/>
          <tpl fld="1" item="8"/>
          <tpl fld="4" item="3"/>
        </tpls>
      </m>
      <m in="0">
        <tpls c="3">
          <tpl fld="0" item="0"/>
          <tpl fld="1" item="31"/>
          <tpl fld="4" item="4"/>
        </tpls>
      </m>
      <m in="0">
        <tpls c="3">
          <tpl fld="0" item="0"/>
          <tpl fld="1" item="353"/>
          <tpl fld="4" item="3"/>
        </tpls>
      </m>
      <m in="0">
        <tpls c="3">
          <tpl fld="0" item="0"/>
          <tpl fld="1" item="381"/>
          <tpl fld="4" item="2"/>
        </tpls>
      </m>
      <m in="0">
        <tpls c="3">
          <tpl fld="0" item="0"/>
          <tpl fld="1" item="351"/>
          <tpl fld="4" item="3"/>
        </tpls>
      </m>
      <m in="0">
        <tpls c="3">
          <tpl fld="0" item="0"/>
          <tpl fld="1" item="119"/>
          <tpl fld="4" item="3"/>
        </tpls>
      </m>
      <m in="0">
        <tpls c="3">
          <tpl fld="0" item="0"/>
          <tpl fld="1" item="117"/>
          <tpl fld="4" item="2"/>
        </tpls>
      </m>
      <m in="0">
        <tpls c="3">
          <tpl fld="0" item="0"/>
          <tpl fld="1" item="420"/>
          <tpl fld="4" item="3"/>
        </tpls>
      </m>
      <m in="0">
        <tpls c="3">
          <tpl fld="0" item="0"/>
          <tpl fld="1" item="273"/>
          <tpl fld="4" item="2"/>
        </tpls>
      </m>
      <m in="0">
        <tpls c="3">
          <tpl fld="0" item="0"/>
          <tpl fld="1" item="166"/>
          <tpl fld="4" item="4"/>
        </tpls>
      </m>
      <m in="0">
        <tpls c="3">
          <tpl fld="0" item="0"/>
          <tpl fld="1" item="432"/>
          <tpl fld="4" item="3"/>
        </tpls>
      </m>
      <m in="0">
        <tpls c="3">
          <tpl fld="0" item="0"/>
          <tpl fld="1" item="71"/>
          <tpl fld="4" item="2"/>
        </tpls>
      </m>
      <m in="0">
        <tpls c="3">
          <tpl fld="0" item="0"/>
          <tpl fld="1" item="405"/>
          <tpl fld="4" item="4"/>
        </tpls>
      </m>
      <m in="0">
        <tpls c="3">
          <tpl fld="0" item="0"/>
          <tpl fld="1" item="166"/>
          <tpl fld="4" item="37"/>
        </tpls>
      </m>
      <m in="0">
        <tpls c="3">
          <tpl fld="0" item="0"/>
          <tpl fld="1" item="312"/>
          <tpl fld="4" item="2"/>
        </tpls>
      </m>
      <n v="18" in="0">
        <tpls c="3">
          <tpl fld="0" item="0"/>
          <tpl fld="1" item="156"/>
          <tpl fld="4" item="37"/>
        </tpls>
      </n>
      <m in="0">
        <tpls c="3">
          <tpl fld="0" item="0"/>
          <tpl fld="1" item="106"/>
          <tpl fld="4" item="2"/>
        </tpls>
      </m>
      <m in="0">
        <tpls c="3">
          <tpl fld="0" item="0"/>
          <tpl fld="1" item="448"/>
          <tpl fld="4" item="37"/>
        </tpls>
      </m>
      <m in="0">
        <tpls c="3">
          <tpl fld="0" item="0"/>
          <tpl fld="1" item="93"/>
          <tpl fld="4" item="36"/>
        </tpls>
      </m>
      <m in="0">
        <tpls c="3">
          <tpl fld="0" item="0"/>
          <tpl fld="1" item="213"/>
          <tpl fld="4" item="36"/>
        </tpls>
      </m>
      <m in="0">
        <tpls c="3">
          <tpl fld="0" item="0"/>
          <tpl fld="1" item="410"/>
          <tpl fld="4" item="2"/>
        </tpls>
      </m>
      <m in="0">
        <tpls c="3">
          <tpl fld="0" item="0"/>
          <tpl fld="1" item="145"/>
          <tpl fld="4" item="37"/>
        </tpls>
      </m>
      <m in="0">
        <tpls c="3">
          <tpl fld="0" item="0"/>
          <tpl fld="1" item="239"/>
          <tpl fld="4" item="37"/>
        </tpls>
      </m>
      <m in="0">
        <tpls c="3">
          <tpl fld="0" item="0"/>
          <tpl fld="1" item="31"/>
          <tpl fld="4" item="37"/>
        </tpls>
      </m>
      <n v="25" in="0">
        <tpls c="3">
          <tpl fld="0" item="0"/>
          <tpl fld="1" item="360"/>
          <tpl fld="4" item="36"/>
        </tpls>
      </n>
      <n v="322" in="0">
        <tpls c="3">
          <tpl fld="0" item="0"/>
          <tpl fld="1" item="85"/>
          <tpl fld="4" item="37"/>
        </tpls>
      </n>
      <m in="0">
        <tpls c="3">
          <tpl fld="0" item="0"/>
          <tpl fld="1" item="329"/>
          <tpl fld="4" item="2"/>
        </tpls>
      </m>
      <n v="73" in="0">
        <tpls c="3">
          <tpl fld="0" item="0"/>
          <tpl fld="1" item="339"/>
          <tpl fld="4" item="36"/>
        </tpls>
      </n>
      <m in="0">
        <tpls c="3">
          <tpl fld="0" item="0"/>
          <tpl fld="1" item="204"/>
          <tpl fld="4" item="38"/>
        </tpls>
      </m>
      <n v="780" in="0">
        <tpls c="3">
          <tpl fld="0" item="0"/>
          <tpl fld="1" item="45"/>
          <tpl fld="4" item="37"/>
        </tpls>
      </n>
      <m in="0">
        <tpls c="3">
          <tpl fld="0" item="0"/>
          <tpl fld="1" item="428"/>
          <tpl fld="4" item="36"/>
        </tpls>
      </m>
      <n v="44" in="0">
        <tpls c="3">
          <tpl fld="0" item="0"/>
          <tpl fld="1" item="258"/>
          <tpl fld="4" item="37"/>
        </tpls>
      </n>
      <m in="0">
        <tpls c="3">
          <tpl fld="0" item="0"/>
          <tpl fld="1" item="372"/>
          <tpl fld="4" item="2"/>
        </tpls>
      </m>
      <m in="0">
        <tpls c="3">
          <tpl fld="0" item="0"/>
          <tpl fld="1" item="137"/>
          <tpl fld="4" item="36"/>
        </tpls>
      </m>
      <m in="0">
        <tpls c="3">
          <tpl fld="0" item="0"/>
          <tpl fld="1" item="126"/>
          <tpl fld="4" item="39"/>
        </tpls>
      </m>
      <m in="0">
        <tpls c="3">
          <tpl fld="0" item="0"/>
          <tpl fld="1" item="292"/>
          <tpl fld="4" item="38"/>
        </tpls>
      </m>
      <m in="0">
        <tpls c="3">
          <tpl fld="0" item="0"/>
          <tpl fld="1" item="146"/>
          <tpl fld="4" item="40"/>
        </tpls>
      </m>
      <m in="0">
        <tpls c="3">
          <tpl fld="0" item="0"/>
          <tpl fld="1" item="23"/>
          <tpl fld="4" item="38"/>
        </tpls>
      </m>
      <n v="4" in="0">
        <tpls c="3">
          <tpl fld="0" item="0"/>
          <tpl fld="1" item="393"/>
          <tpl fld="4" item="40"/>
        </tpls>
      </n>
      <m in="0">
        <tpls c="3">
          <tpl fld="0" item="0"/>
          <tpl fld="1" item="435"/>
          <tpl fld="4" item="38"/>
        </tpls>
      </m>
      <m in="0">
        <tpls c="3">
          <tpl fld="0" item="0"/>
          <tpl fld="1" item="61"/>
          <tpl fld="4" item="40"/>
        </tpls>
      </m>
      <n v="9" in="0">
        <tpls c="3">
          <tpl fld="0" item="0"/>
          <tpl fld="1" item="132"/>
          <tpl fld="4" item="38"/>
        </tpls>
      </n>
      <m in="0">
        <tpls c="3">
          <tpl fld="0" item="0"/>
          <tpl fld="1" item="253"/>
          <tpl fld="4" item="39"/>
        </tpls>
      </m>
      <m in="0">
        <tpls c="3">
          <tpl fld="0" item="0"/>
          <tpl fld="1" item="316"/>
          <tpl fld="4" item="38"/>
        </tpls>
      </m>
      <n v="1" in="0">
        <tpls c="3">
          <tpl fld="0" item="0"/>
          <tpl fld="1" item="184"/>
          <tpl fld="4" item="38"/>
        </tpls>
      </n>
      <m in="0">
        <tpls c="3">
          <tpl fld="0" item="0"/>
          <tpl fld="1" item="207"/>
          <tpl fld="4" item="39"/>
        </tpls>
      </m>
      <m in="0">
        <tpls c="3">
          <tpl fld="0" item="0"/>
          <tpl fld="1" item="363"/>
          <tpl fld="4" item="39"/>
        </tpls>
      </m>
      <n v="7" in="0">
        <tpls c="3">
          <tpl fld="0" item="0"/>
          <tpl fld="1" item="63"/>
          <tpl fld="4" item="36"/>
        </tpls>
      </n>
      <m in="0">
        <tpls c="3">
          <tpl fld="0" item="0"/>
          <tpl fld="1" item="40"/>
          <tpl fld="4" item="42"/>
        </tpls>
      </m>
      <m in="0">
        <tpls c="3">
          <tpl fld="0" item="0"/>
          <tpl fld="1" item="307"/>
          <tpl fld="4" item="38"/>
        </tpls>
      </m>
      <n v="1" in="0">
        <tpls c="3">
          <tpl fld="0" item="0"/>
          <tpl fld="1" item="271"/>
          <tpl fld="4" item="39"/>
        </tpls>
      </n>
      <m in="0">
        <tpls c="3">
          <tpl fld="0" item="0"/>
          <tpl fld="1" item="153"/>
          <tpl fld="4" item="39"/>
        </tpls>
      </m>
      <m in="0">
        <tpls c="3">
          <tpl fld="0" item="0"/>
          <tpl fld="1" item="93"/>
          <tpl fld="4" item="38"/>
        </tpls>
      </m>
      <m in="0">
        <tpls c="3">
          <tpl fld="0" item="0"/>
          <tpl fld="1" item="314"/>
          <tpl fld="4" item="39"/>
        </tpls>
      </m>
      <m in="0">
        <tpls c="3">
          <tpl fld="0" item="0"/>
          <tpl fld="1" item="282"/>
          <tpl fld="4" item="42"/>
        </tpls>
      </m>
      <n v="7" in="0">
        <tpls c="3">
          <tpl fld="0" item="0"/>
          <tpl fld="1" item="424"/>
          <tpl fld="4" item="39"/>
        </tpls>
      </n>
      <n v="43" in="0">
        <tpls c="3">
          <tpl fld="0" item="0"/>
          <tpl fld="1" item="411"/>
          <tpl fld="4" item="41"/>
        </tpls>
      </n>
      <m in="0">
        <tpls c="3">
          <tpl fld="0" item="0"/>
          <tpl fld="1" item="130"/>
          <tpl fld="4" item="39"/>
        </tpls>
      </m>
      <m in="0">
        <tpls c="3">
          <tpl fld="0" item="0"/>
          <tpl fld="1" item="14"/>
          <tpl fld="4" item="40"/>
        </tpls>
      </m>
      <m in="0">
        <tpls c="3">
          <tpl fld="0" item="0"/>
          <tpl fld="1" item="26"/>
          <tpl fld="4" item="43"/>
        </tpls>
      </m>
      <n v="115" in="0">
        <tpls c="3">
          <tpl fld="0" item="0"/>
          <tpl fld="1" item="231"/>
          <tpl fld="4" item="41"/>
        </tpls>
      </n>
      <m in="0">
        <tpls c="3">
          <tpl fld="0" item="0"/>
          <tpl fld="1" item="278"/>
          <tpl fld="4" item="39"/>
        </tpls>
      </m>
      <m in="0">
        <tpls c="3">
          <tpl fld="0" item="0"/>
          <tpl fld="1" item="220"/>
          <tpl fld="4" item="41"/>
        </tpls>
      </m>
      <m in="0">
        <tpls c="3">
          <tpl fld="0" item="0"/>
          <tpl fld="1" item="129"/>
          <tpl fld="4" item="39"/>
        </tpls>
      </m>
      <n v="22" in="0">
        <tpls c="3">
          <tpl fld="0" item="0"/>
          <tpl fld="1" item="267"/>
          <tpl fld="4" item="41"/>
        </tpls>
      </n>
      <m in="0">
        <tpls c="3">
          <tpl fld="0" item="0"/>
          <tpl fld="1" item="123"/>
          <tpl fld="4" item="41"/>
        </tpls>
      </m>
      <m in="0">
        <tpls c="3">
          <tpl fld="0" item="0"/>
          <tpl fld="1" item="419"/>
          <tpl fld="4" item="42"/>
        </tpls>
      </m>
      <m in="0">
        <tpls c="3">
          <tpl fld="0" item="0"/>
          <tpl fld="1" item="336"/>
          <tpl fld="4" item="41"/>
        </tpls>
      </m>
      <n v="1" in="0">
        <tpls c="3">
          <tpl fld="0" item="0"/>
          <tpl fld="1" item="142"/>
          <tpl fld="4" item="43"/>
        </tpls>
      </n>
      <n v="19" in="0">
        <tpls c="3">
          <tpl fld="0" item="0"/>
          <tpl fld="1" item="151"/>
          <tpl fld="4" item="41"/>
        </tpls>
      </n>
      <n v="5" in="0">
        <tpls c="3">
          <tpl fld="0" item="0"/>
          <tpl fld="1" item="385"/>
          <tpl fld="4" item="43"/>
        </tpls>
      </n>
      <n v="4" in="0">
        <tpls c="3">
          <tpl fld="0" item="0"/>
          <tpl fld="1" item="64"/>
          <tpl fld="4" item="42"/>
        </tpls>
      </n>
      <m in="0">
        <tpls c="3">
          <tpl fld="0" item="0"/>
          <tpl fld="1" item="112"/>
          <tpl fld="4" item="41"/>
        </tpls>
      </m>
      <n v="6" in="0">
        <tpls c="3">
          <tpl fld="0" item="0"/>
          <tpl fld="1" item="368"/>
          <tpl fld="4" item="43"/>
        </tpls>
      </n>
      <m in="0">
        <tpls c="3">
          <tpl fld="0" item="0"/>
          <tpl fld="1" item="238"/>
          <tpl fld="4" item="43"/>
        </tpls>
      </m>
      <m in="0">
        <tpls c="3">
          <tpl fld="0" item="0"/>
          <tpl fld="1" item="252"/>
          <tpl fld="4" item="42"/>
        </tpls>
      </m>
      <n v="2" in="0">
        <tpls c="3">
          <tpl fld="0" item="0"/>
          <tpl fld="1" item="366"/>
          <tpl fld="4" item="43"/>
        </tpls>
      </n>
      <n v="5" in="0">
        <tpls c="3">
          <tpl fld="0" item="0"/>
          <tpl fld="1" item="140"/>
          <tpl fld="4" item="42"/>
        </tpls>
      </n>
      <m in="0">
        <tpls c="3">
          <tpl fld="0" item="0"/>
          <tpl fld="1" item="40"/>
          <tpl fld="4" item="43"/>
        </tpls>
      </m>
      <n v="1" in="0">
        <tpls c="3">
          <tpl fld="0" item="0"/>
          <tpl fld="1" item="372"/>
          <tpl fld="4" item="43"/>
        </tpls>
      </n>
      <m in="0">
        <tpls c="3">
          <tpl fld="0" item="0"/>
          <tpl fld="1" item="69"/>
          <tpl fld="4" item="42"/>
        </tpls>
      </m>
      <m in="0">
        <tpls c="3">
          <tpl fld="0" item="0"/>
          <tpl fld="1" item="289"/>
          <tpl fld="4" item="37"/>
        </tpls>
      </m>
      <n v="34" in="0">
        <tpls c="3">
          <tpl fld="0" item="0"/>
          <tpl fld="1" item="111"/>
          <tpl fld="4" item="40"/>
        </tpls>
      </n>
      <m in="0">
        <tpls c="3">
          <tpl fld="0" item="0"/>
          <tpl fld="1" item="451"/>
          <tpl fld="4" item="38"/>
        </tpls>
      </m>
      <m in="0">
        <tpls c="3">
          <tpl fld="0" item="0"/>
          <tpl fld="1" item="191"/>
          <tpl fld="4" item="38"/>
        </tpls>
      </m>
      <n v="42" in="0">
        <tpls c="3">
          <tpl fld="0" item="0"/>
          <tpl fld="1" item="313"/>
          <tpl fld="4" item="38"/>
        </tpls>
      </n>
      <m in="0">
        <tpls c="3">
          <tpl fld="0" item="0"/>
          <tpl fld="1" item="436"/>
          <tpl fld="4" item="40"/>
        </tpls>
      </m>
      <n v="7" in="0">
        <tpls c="3">
          <tpl fld="0" item="0"/>
          <tpl fld="1" item="280"/>
          <tpl fld="4" item="40"/>
        </tpls>
      </n>
      <n v="1" in="0">
        <tpls c="3">
          <tpl fld="0" item="0"/>
          <tpl fld="1" item="231"/>
          <tpl fld="4" item="39"/>
        </tpls>
      </n>
      <m in="0">
        <tpls c="3">
          <tpl fld="0" item="0"/>
          <tpl fld="1" item="349"/>
          <tpl fld="4" item="40"/>
        </tpls>
      </m>
      <m in="0">
        <tpls c="3">
          <tpl fld="0" item="0"/>
          <tpl fld="1" item="91"/>
          <tpl fld="4" item="43"/>
        </tpls>
      </m>
      <m in="0">
        <tpls c="3">
          <tpl fld="0" item="0"/>
          <tpl fld="1" item="16"/>
          <tpl fld="4" item="39"/>
        </tpls>
      </m>
      <m in="0">
        <tpls c="3">
          <tpl fld="0" item="0"/>
          <tpl fld="1" item="272"/>
          <tpl fld="4" item="41"/>
        </tpls>
      </m>
      <n v="9" in="0">
        <tpls c="3">
          <tpl fld="0" item="0"/>
          <tpl fld="1" item="267"/>
          <tpl fld="4" item="40"/>
        </tpls>
      </n>
      <m in="0">
        <tpls c="3">
          <tpl fld="0" item="0"/>
          <tpl fld="1" item="19"/>
          <tpl fld="4" item="43"/>
        </tpls>
      </m>
      <m in="0">
        <tpls c="3">
          <tpl fld="0" item="0"/>
          <tpl fld="1" item="119"/>
          <tpl fld="4" item="40"/>
        </tpls>
      </m>
      <n v="1" in="0">
        <tpls c="3">
          <tpl fld="0" item="0"/>
          <tpl fld="1" item="335"/>
          <tpl fld="4" item="39"/>
        </tpls>
      </n>
      <m in="0">
        <tpls c="3">
          <tpl fld="0" item="0"/>
          <tpl fld="1" item="216"/>
          <tpl fld="4" item="40"/>
        </tpls>
      </m>
      <n v="3" in="0">
        <tpls c="3">
          <tpl fld="0" item="0"/>
          <tpl fld="1" item="56"/>
          <tpl fld="4" item="40"/>
        </tpls>
      </n>
      <n v="175" in="0">
        <tpls c="3">
          <tpl fld="0" item="0"/>
          <tpl fld="1" item="87"/>
          <tpl fld="4" item="41"/>
        </tpls>
      </n>
      <n v="23" in="0">
        <tpls c="3">
          <tpl fld="0" item="0"/>
          <tpl fld="1" item="64"/>
          <tpl fld="4" item="40"/>
        </tpls>
      </n>
      <m in="0">
        <tpls c="3">
          <tpl fld="0" item="0"/>
          <tpl fld="1" item="197"/>
          <tpl fld="4" item="42"/>
        </tpls>
      </m>
      <n v="11" in="0">
        <tpls c="3">
          <tpl fld="0" item="0"/>
          <tpl fld="1" item="254"/>
          <tpl fld="4" item="40"/>
        </tpls>
      </n>
      <m in="0">
        <tpls c="3">
          <tpl fld="0" item="0"/>
          <tpl fld="1" item="239"/>
          <tpl fld="4" item="42"/>
        </tpls>
      </m>
      <m in="0">
        <tpls c="3">
          <tpl fld="0" item="0"/>
          <tpl fld="1" item="440"/>
          <tpl fld="4" item="41"/>
        </tpls>
      </m>
      <n v="11" in="0">
        <tpls c="3">
          <tpl fld="0" item="0"/>
          <tpl fld="1" item="245"/>
          <tpl fld="4" item="41"/>
        </tpls>
      </n>
      <n v="6" in="0">
        <tpls c="3">
          <tpl fld="0" item="0"/>
          <tpl fld="1" item="287"/>
          <tpl fld="4" item="42"/>
        </tpls>
      </n>
      <n v="6" in="0">
        <tpls c="3">
          <tpl fld="0" item="0"/>
          <tpl fld="1" item="41"/>
          <tpl fld="4" item="43"/>
        </tpls>
      </n>
      <m in="0">
        <tpls c="3">
          <tpl fld="0" item="0"/>
          <tpl fld="1" item="403"/>
          <tpl fld="4" item="42"/>
        </tpls>
      </m>
      <n v="1" in="0">
        <tpls c="3">
          <tpl fld="0" item="0"/>
          <tpl fld="1" item="365"/>
          <tpl fld="4" item="43"/>
        </tpls>
      </n>
      <m in="0">
        <tpls c="3">
          <tpl fld="0" item="0"/>
          <tpl fld="1" item="345"/>
          <tpl fld="4" item="42"/>
        </tpls>
      </m>
      <n v="5" in="0">
        <tpls c="3">
          <tpl fld="0" item="0"/>
          <tpl fld="1" item="45"/>
          <tpl fld="4" item="43"/>
        </tpls>
      </n>
      <m in="0">
        <tpls c="3">
          <tpl fld="0" item="0"/>
          <tpl fld="3" item="0"/>
          <tpl fld="4" item="43"/>
        </tpls>
      </m>
      <m in="0">
        <tpls c="3">
          <tpl fld="0" item="0"/>
          <tpl fld="1" item="142"/>
          <tpl fld="4" item="42"/>
        </tpls>
      </m>
      <m in="0">
        <tpls c="3">
          <tpl fld="0" item="0"/>
          <tpl fld="1" item="88"/>
          <tpl fld="4" item="43"/>
        </tpls>
      </m>
      <n v="2" in="0">
        <tpls c="3">
          <tpl fld="0" item="0"/>
          <tpl fld="1" item="144"/>
          <tpl fld="4" item="42"/>
        </tpls>
      </n>
      <m in="0">
        <tpls c="3">
          <tpl fld="0" item="0"/>
          <tpl fld="1" item="456"/>
          <tpl fld="4" item="43"/>
        </tpls>
      </m>
      <n v="11" in="0">
        <tpls c="3">
          <tpl fld="0" item="0"/>
          <tpl fld="1" item="351"/>
          <tpl fld="4" item="43"/>
        </tpls>
      </n>
      <m in="0">
        <tpls c="3">
          <tpl fld="0" item="0"/>
          <tpl fld="1" item="373"/>
          <tpl fld="4" item="43"/>
        </tpls>
      </m>
      <m in="0">
        <tpls c="3">
          <tpl fld="0" item="0"/>
          <tpl fld="1" item="221"/>
          <tpl fld="4" item="36"/>
        </tpls>
      </m>
      <m in="0">
        <tpls c="3">
          <tpl fld="0" item="0"/>
          <tpl fld="1" item="185"/>
          <tpl fld="4" item="38"/>
        </tpls>
      </m>
      <m in="0">
        <tpls c="3">
          <tpl fld="0" item="0"/>
          <tpl fld="1" item="150"/>
          <tpl fld="4" item="39"/>
        </tpls>
      </m>
      <n v="44" in="0">
        <tpls c="3">
          <tpl fld="0" item="0"/>
          <tpl fld="1" item="117"/>
          <tpl fld="4" item="40"/>
        </tpls>
      </n>
      <m in="0">
        <tpls c="3">
          <tpl fld="0" item="0"/>
          <tpl fld="1" item="199"/>
          <tpl fld="4" item="39"/>
        </tpls>
      </m>
      <n v="2" in="0">
        <tpls c="3">
          <tpl fld="0" item="0"/>
          <tpl fld="1" item="38"/>
          <tpl fld="4" item="39"/>
        </tpls>
      </n>
      <n v="19" in="0">
        <tpls c="3">
          <tpl fld="0" item="0"/>
          <tpl fld="1" item="447"/>
          <tpl fld="4" item="39"/>
        </tpls>
      </n>
      <n v="5" in="0">
        <tpls c="3">
          <tpl fld="0" item="0"/>
          <tpl fld="1" item="368"/>
          <tpl fld="4" item="38"/>
        </tpls>
      </n>
      <m in="0">
        <tpls c="3">
          <tpl fld="0" item="0"/>
          <tpl fld="1" item="92"/>
          <tpl fld="4" item="39"/>
        </tpls>
      </m>
      <n v="33" in="0">
        <tpls c="3">
          <tpl fld="0" item="0"/>
          <tpl fld="1" item="38"/>
          <tpl fld="4" item="41"/>
        </tpls>
      </n>
      <m in="0">
        <tpls c="3">
          <tpl fld="0" item="0"/>
          <tpl fld="1" item="181"/>
          <tpl fld="4" item="39"/>
        </tpls>
      </m>
      <m in="0">
        <tpls c="3">
          <tpl fld="0" item="0"/>
          <tpl fld="1" item="292"/>
          <tpl fld="4" item="40"/>
        </tpls>
      </m>
      <m in="0">
        <tpls c="3">
          <tpl fld="0" item="0"/>
          <tpl fld="1" item="83"/>
          <tpl fld="4" item="39"/>
        </tpls>
      </m>
      <m in="0">
        <tpls c="3">
          <tpl fld="0" item="0"/>
          <tpl fld="1" item="30"/>
          <tpl fld="4" item="41"/>
        </tpls>
      </m>
      <m in="0">
        <tpls c="3">
          <tpl fld="0" item="0"/>
          <tpl fld="1" item="265"/>
          <tpl fld="4" item="40"/>
        </tpls>
      </m>
      <n v="12" in="0">
        <tpls c="3">
          <tpl fld="0" item="0"/>
          <tpl fld="1" item="325"/>
          <tpl fld="4" item="41"/>
        </tpls>
      </n>
      <m in="0">
        <tpls c="3">
          <tpl fld="0" item="0"/>
          <tpl fld="1" item="379"/>
          <tpl fld="4" item="40"/>
        </tpls>
      </m>
      <n v="158" in="0">
        <tpls c="3">
          <tpl fld="0" item="0"/>
          <tpl fld="1" item="140"/>
          <tpl fld="4" item="41"/>
        </tpls>
      </n>
      <m in="0">
        <tpls c="3">
          <tpl fld="0" item="0"/>
          <tpl fld="1" item="191"/>
          <tpl fld="4" item="41"/>
        </tpls>
      </m>
      <n v="3" in="0">
        <tpls c="3">
          <tpl fld="0" item="0"/>
          <tpl fld="1" item="366"/>
          <tpl fld="4" item="42"/>
        </tpls>
      </n>
      <m in="0">
        <tpls c="3">
          <tpl fld="0" item="0"/>
          <tpl fld="1" item="293"/>
          <tpl fld="4" item="41"/>
        </tpls>
      </m>
      <n v="14" in="0">
        <tpls c="3">
          <tpl fld="0" item="0"/>
          <tpl fld="1" item="114"/>
          <tpl fld="4" item="40"/>
        </tpls>
      </n>
      <n v="4" in="0">
        <tpls c="3">
          <tpl fld="0" item="0"/>
          <tpl fld="1" item="81"/>
          <tpl fld="4" item="41"/>
        </tpls>
      </n>
      <m in="0">
        <tpls c="3">
          <tpl fld="0" item="0"/>
          <tpl fld="1" item="1"/>
          <tpl fld="4" item="41"/>
        </tpls>
      </m>
      <n v="4" in="0">
        <tpls c="3">
          <tpl fld="0" item="0"/>
          <tpl fld="1" item="49"/>
          <tpl fld="4" item="43"/>
        </tpls>
      </n>
      <n v="1" in="0">
        <tpls c="3">
          <tpl fld="0" item="0"/>
          <tpl fld="1" item="342"/>
          <tpl fld="4" item="41"/>
        </tpls>
      </n>
      <n v="1" in="0">
        <tpls c="3">
          <tpl fld="0" item="0"/>
          <tpl fld="1" item="66"/>
          <tpl fld="4" item="43"/>
        </tpls>
      </n>
      <m in="0">
        <tpls c="3">
          <tpl fld="0" item="0"/>
          <tpl fld="1" item="392"/>
          <tpl fld="4" item="43"/>
        </tpls>
      </m>
      <m in="0">
        <tpls c="3">
          <tpl fld="0" item="0"/>
          <tpl fld="1" item="328"/>
          <tpl fld="4" item="42"/>
        </tpls>
      </m>
      <m in="0">
        <tpls c="3">
          <tpl fld="0" item="0"/>
          <tpl fld="1" item="253"/>
          <tpl fld="4" item="43"/>
        </tpls>
      </m>
      <n v="4" in="0">
        <tpls c="3">
          <tpl fld="0" item="0"/>
          <tpl fld="1" item="246"/>
          <tpl fld="4" item="42"/>
        </tpls>
      </n>
      <n v="3" in="0">
        <tpls c="3">
          <tpl fld="0" item="0"/>
          <tpl fld="1" item="0"/>
          <tpl fld="4" item="43"/>
        </tpls>
      </n>
      <m in="0">
        <tpls c="3">
          <tpl fld="0" item="0"/>
          <tpl fld="1" item="79"/>
          <tpl fld="4" item="42"/>
        </tpls>
      </m>
      <n v="1" in="0">
        <tpls c="3">
          <tpl fld="0" item="0"/>
          <tpl fld="1" item="301"/>
          <tpl fld="4" item="43"/>
        </tpls>
      </n>
      <n v="4" in="0">
        <tpls c="3">
          <tpl fld="0" item="0"/>
          <tpl fld="1" item="215"/>
          <tpl fld="4" item="42"/>
        </tpls>
      </n>
      <m in="0">
        <tpls c="3">
          <tpl fld="0" item="0"/>
          <tpl fld="1" item="286"/>
          <tpl fld="4" item="43"/>
        </tpls>
      </m>
      <m in="0">
        <tpls c="3">
          <tpl fld="0" item="0"/>
          <tpl fld="1" item="444"/>
          <tpl fld="4" item="43"/>
        </tpls>
      </m>
      <n v="24" in="0">
        <tpls c="3">
          <tpl fld="0" item="0"/>
          <tpl fld="1" item="266"/>
          <tpl fld="4" item="42"/>
        </tpls>
      </n>
      <m in="0">
        <tpls c="3">
          <tpl fld="0" item="0"/>
          <tpl fld="1" item="286"/>
          <tpl fld="4" item="42"/>
        </tpls>
      </m>
      <n v="7" in="0">
        <tpls c="3">
          <tpl fld="0" item="0"/>
          <tpl fld="1" item="395"/>
          <tpl fld="4" item="43"/>
        </tpls>
      </n>
      <m in="0">
        <tpls c="3">
          <tpl fld="0" item="0"/>
          <tpl fld="1" item="441"/>
          <tpl fld="4" item="42"/>
        </tpls>
      </m>
      <m in="0">
        <tpls c="3">
          <tpl fld="0" item="0"/>
          <tpl fld="1" item="233"/>
          <tpl fld="4" item="37"/>
        </tpls>
      </m>
      <m in="0">
        <tpls c="3">
          <tpl fld="0" item="0"/>
          <tpl fld="1" item="245"/>
          <tpl fld="4" item="39"/>
        </tpls>
      </m>
      <n v="109" in="0">
        <tpls c="3">
          <tpl fld="0" item="0"/>
          <tpl fld="1" item="400"/>
          <tpl fld="4" item="41"/>
        </tpls>
      </n>
      <m in="0">
        <tpls c="3">
          <tpl fld="0" item="0"/>
          <tpl fld="1" item="46"/>
          <tpl fld="4" item="38"/>
        </tpls>
      </m>
      <n v="67" in="0">
        <tpls c="3">
          <tpl fld="0" item="0"/>
          <tpl fld="1" item="269"/>
          <tpl fld="4" item="40"/>
        </tpls>
      </n>
      <m in="0">
        <tpls c="3">
          <tpl fld="0" item="0"/>
          <tpl fld="1" item="358"/>
          <tpl fld="4" item="39"/>
        </tpls>
      </m>
      <m in="0">
        <tpls c="3">
          <tpl fld="0" item="0"/>
          <tpl fld="1" item="336"/>
          <tpl fld="4" item="40"/>
        </tpls>
      </m>
      <n v="1" in="0">
        <tpls c="3">
          <tpl fld="0" item="0"/>
          <tpl fld="1" item="343"/>
          <tpl fld="4" item="38"/>
        </tpls>
      </n>
      <n v="22" in="0">
        <tpls c="3">
          <tpl fld="0" item="0"/>
          <tpl fld="1" item="285"/>
          <tpl fld="4" item="40"/>
        </tpls>
      </n>
      <m in="0">
        <tpls c="3">
          <tpl fld="0" item="0"/>
          <tpl fld="1" item="373"/>
          <tpl fld="4" item="41"/>
        </tpls>
      </m>
      <n v="3" in="0">
        <tpls c="3">
          <tpl fld="0" item="0"/>
          <tpl fld="1" item="77"/>
          <tpl fld="4" item="39"/>
        </tpls>
      </n>
      <n v="5" in="0">
        <tpls c="3">
          <tpl fld="0" item="0"/>
          <tpl fld="1" item="186"/>
          <tpl fld="4" item="40"/>
        </tpls>
      </n>
      <m in="0">
        <tpls c="3">
          <tpl fld="0" item="0"/>
          <tpl fld="1" item="118"/>
          <tpl fld="4" item="40"/>
        </tpls>
      </m>
      <m in="0">
        <tpls c="3">
          <tpl fld="0" item="0"/>
          <tpl fld="1" item="392"/>
          <tpl fld="4" item="41"/>
        </tpls>
      </m>
      <n v="5" in="0">
        <tpls c="3">
          <tpl fld="0" item="0"/>
          <tpl fld="1" item="106"/>
          <tpl fld="4" item="40"/>
        </tpls>
      </n>
      <n v="1" in="0">
        <tpls c="3">
          <tpl fld="0" item="0"/>
          <tpl fld="1" item="335"/>
          <tpl fld="4" item="42"/>
        </tpls>
      </n>
      <m in="0">
        <tpls c="3">
          <tpl fld="0" item="0"/>
          <tpl fld="1" item="428"/>
          <tpl fld="4" item="40"/>
        </tpls>
      </m>
      <n v="4" in="0">
        <tpls c="3">
          <tpl fld="0" item="0"/>
          <tpl fld="1" item="385"/>
          <tpl fld="4" item="42"/>
        </tpls>
      </n>
      <n v="17" in="0">
        <tpls c="3">
          <tpl fld="0" item="0"/>
          <tpl fld="1" item="232"/>
          <tpl fld="4" item="41"/>
        </tpls>
      </n>
      <m in="0">
        <tpls c="3">
          <tpl fld="0" item="0"/>
          <tpl fld="1" item="130"/>
          <tpl fld="4" item="43"/>
        </tpls>
      </m>
      <n v="12" in="0">
        <tpls c="3">
          <tpl fld="0" item="0"/>
          <tpl fld="1" item="48"/>
          <tpl fld="4" item="41"/>
        </tpls>
      </n>
      <n v="2" in="0">
        <tpls c="3">
          <tpl fld="0" item="0"/>
          <tpl fld="1" item="271"/>
          <tpl fld="4" item="40"/>
        </tpls>
      </n>
      <m in="0">
        <tpls c="3">
          <tpl fld="0" item="0"/>
          <tpl fld="1" item="234"/>
          <tpl fld="4" item="41"/>
        </tpls>
      </m>
      <n v="5" in="0">
        <tpls c="3">
          <tpl fld="0" item="0"/>
          <tpl fld="1" item="298"/>
          <tpl fld="4" item="41"/>
        </tpls>
      </n>
      <n v="13" in="0">
        <tpls c="3">
          <tpl fld="0" item="0"/>
          <tpl fld="1" item="249"/>
          <tpl fld="4" item="40"/>
        </tpls>
      </n>
      <m in="0">
        <tpls c="3">
          <tpl fld="0" item="0"/>
          <tpl fld="1" item="123"/>
          <tpl fld="4" item="42"/>
        </tpls>
      </m>
      <m in="0">
        <tpls c="3">
          <tpl fld="0" item="0"/>
          <tpl fld="1" item="50"/>
          <tpl fld="4" item="43"/>
        </tpls>
      </m>
      <n v="11" in="0">
        <tpls c="3">
          <tpl fld="0" item="0"/>
          <tpl fld="1" item="283"/>
          <tpl fld="4" item="41"/>
        </tpls>
      </n>
      <n v="1" in="0">
        <tpls c="3">
          <tpl fld="0" item="0"/>
          <tpl fld="1" item="180"/>
          <tpl fld="4" item="43"/>
        </tpls>
      </n>
      <m in="0">
        <tpls c="3">
          <tpl fld="0" item="0"/>
          <tpl fld="1" item="60"/>
          <tpl fld="4" item="42"/>
        </tpls>
      </m>
      <m in="0">
        <tpls c="3">
          <tpl fld="0" item="0"/>
          <tpl fld="1" item="355"/>
          <tpl fld="4" item="43"/>
        </tpls>
      </m>
      <m in="0">
        <tpls c="3">
          <tpl fld="0" item="0"/>
          <tpl fld="1" item="98"/>
          <tpl fld="4" item="41"/>
        </tpls>
      </m>
      <m in="0">
        <tpls c="3">
          <tpl fld="0" item="0"/>
          <tpl fld="1" item="103"/>
          <tpl fld="4" item="43"/>
        </tpls>
      </m>
      <m in="0">
        <tpls c="3">
          <tpl fld="0" item="0"/>
          <tpl fld="1" item="210"/>
          <tpl fld="4" item="37"/>
        </tpls>
      </m>
      <m in="0">
        <tpls c="3">
          <tpl fld="0" item="0"/>
          <tpl fld="1" item="79"/>
          <tpl fld="4" item="39"/>
        </tpls>
      </m>
      <n v="106" in="0">
        <tpls c="3">
          <tpl fld="0" item="0"/>
          <tpl fld="1" item="273"/>
          <tpl fld="4" item="41"/>
        </tpls>
      </n>
      <m in="0">
        <tpls c="3">
          <tpl fld="0" item="0"/>
          <tpl fld="1" item="116"/>
          <tpl fld="4" item="38"/>
        </tpls>
      </m>
      <m in="0">
        <tpls c="3">
          <tpl fld="0" item="0"/>
          <tpl fld="1" item="358"/>
          <tpl fld="4" item="40"/>
        </tpls>
      </m>
      <m in="0">
        <tpls c="3">
          <tpl fld="0" item="0"/>
          <tpl fld="1" item="13"/>
          <tpl fld="4" item="39"/>
        </tpls>
      </m>
      <n v="15" in="0">
        <tpls c="3">
          <tpl fld="0" item="0"/>
          <tpl fld="1" item="430"/>
          <tpl fld="4" item="40"/>
        </tpls>
      </n>
      <m in="0">
        <tpls c="3">
          <tpl fld="0" item="0"/>
          <tpl fld="1" item="341"/>
          <tpl fld="4" item="38"/>
        </tpls>
      </m>
      <n v="12" in="0">
        <tpls c="3">
          <tpl fld="0" item="0"/>
          <tpl fld="1" item="322"/>
          <tpl fld="4" item="40"/>
        </tpls>
      </n>
      <m in="0">
        <tpls c="3">
          <tpl fld="0" item="0"/>
          <tpl fld="1" item="426"/>
          <tpl fld="4" item="41"/>
        </tpls>
      </m>
      <m in="0">
        <tpls c="3">
          <tpl fld="0" item="0"/>
          <tpl fld="1" item="185"/>
          <tpl fld="4" item="39"/>
        </tpls>
      </m>
      <n v="13" in="0">
        <tpls c="3">
          <tpl fld="0" item="0"/>
          <tpl fld="1" item="179"/>
          <tpl fld="4" item="40"/>
        </tpls>
      </n>
      <n v="15" in="0">
        <tpls c="3">
          <tpl fld="0" item="0"/>
          <tpl fld="1" item="326"/>
          <tpl fld="4" item="40"/>
        </tpls>
      </n>
      <m in="0">
        <tpls c="3">
          <tpl fld="0" item="0"/>
          <tpl fld="1" item="241"/>
          <tpl fld="4" item="42"/>
        </tpls>
      </m>
      <m in="0">
        <tpls c="3">
          <tpl fld="0" item="0"/>
          <tpl fld="1" item="36"/>
          <tpl fld="4" item="40"/>
        </tpls>
      </m>
      <m in="0">
        <tpls c="3">
          <tpl fld="0" item="0"/>
          <tpl fld="1" item="358"/>
          <tpl fld="4" item="42"/>
        </tpls>
      </m>
      <n v="7" in="0">
        <tpls c="3">
          <tpl fld="0" item="0"/>
          <tpl fld="1" item="44"/>
          <tpl fld="4" item="40"/>
        </tpls>
      </n>
      <m in="0">
        <tpls c="3">
          <tpl fld="0" item="0"/>
          <tpl fld="1" item="263"/>
          <tpl fld="4" item="42"/>
        </tpls>
      </m>
      <n v="14" in="0">
        <tpls c="3">
          <tpl fld="0" item="0"/>
          <tpl fld="1" item="59"/>
          <tpl fld="4" item="41"/>
        </tpls>
      </n>
      <m in="0">
        <tpls c="3">
          <tpl fld="0" item="0"/>
          <tpl fld="1" item="196"/>
          <tpl fld="4" item="43"/>
        </tpls>
      </m>
      <m in="0">
        <tpls c="3">
          <tpl fld="0" item="0"/>
          <tpl fld="1" item="15"/>
          <tpl fld="4" item="41"/>
        </tpls>
      </m>
      <m in="0">
        <tpls c="3">
          <tpl fld="0" item="0"/>
          <tpl fld="1" item="95"/>
          <tpl fld="4" item="40"/>
        </tpls>
      </m>
      <m in="0">
        <tpls c="3">
          <tpl fld="0" item="0"/>
          <tpl fld="1" item="223"/>
          <tpl fld="4" item="41"/>
        </tpls>
      </m>
      <n v="15" in="0">
        <tpls c="3">
          <tpl fld="0" item="0"/>
          <tpl fld="1" item="13"/>
          <tpl fld="4" item="41"/>
        </tpls>
      </n>
      <n v="32" in="0">
        <tpls c="3">
          <tpl fld="0" item="0"/>
          <tpl fld="1" item="409"/>
          <tpl fld="4" item="40"/>
        </tpls>
      </n>
      <m in="0">
        <tpls c="3">
          <tpl fld="0" item="0"/>
          <tpl fld="1" item="131"/>
          <tpl fld="4" item="42"/>
        </tpls>
      </m>
      <m in="0">
        <tpls c="3">
          <tpl fld="0" item="0"/>
          <tpl fld="1" item="16"/>
          <tpl fld="4" item="43"/>
        </tpls>
      </m>
      <m in="0">
        <tpls c="3">
          <tpl fld="0" item="0"/>
          <tpl fld="1" item="388"/>
          <tpl fld="4" item="41"/>
        </tpls>
      </m>
      <m in="0">
        <tpls c="3">
          <tpl fld="0" item="0"/>
          <tpl fld="1" item="63"/>
          <tpl fld="4" item="43"/>
        </tpls>
      </m>
      <m in="0">
        <tpls c="3">
          <tpl fld="0" item="0"/>
          <tpl fld="1" item="150"/>
          <tpl fld="4" item="42"/>
        </tpls>
      </m>
      <m in="0">
        <tpls c="3">
          <tpl fld="0" item="0"/>
          <tpl fld="1" item="275"/>
          <tpl fld="4" item="42"/>
        </tpls>
      </m>
      <m in="0">
        <tpls c="3">
          <tpl fld="0" item="0"/>
          <tpl fld="1" item="147"/>
          <tpl fld="4" item="36"/>
        </tpls>
      </m>
      <m in="0">
        <tpls c="3">
          <tpl fld="0" item="0"/>
          <tpl fld="1" item="429"/>
          <tpl fld="4" item="38"/>
        </tpls>
      </m>
      <n v="2" in="0">
        <tpls c="3">
          <tpl fld="0" item="0"/>
          <tpl fld="1" item="151"/>
          <tpl fld="4" item="39"/>
        </tpls>
      </n>
      <n v="37" in="0">
        <tpls c="3">
          <tpl fld="0" item="0"/>
          <tpl fld="1" item="273"/>
          <tpl fld="4" item="40"/>
        </tpls>
      </n>
      <m in="0">
        <tpls c="3">
          <tpl fld="0" item="0"/>
          <tpl fld="1" item="214"/>
          <tpl fld="4" item="39"/>
        </tpls>
      </m>
      <m in="0">
        <tpls c="3">
          <tpl fld="0" item="0"/>
          <tpl fld="1" item="253"/>
          <tpl fld="4" item="38"/>
        </tpls>
      </m>
      <n v="7" in="0">
        <tpls c="3">
          <tpl fld="0" item="0"/>
          <tpl fld="1" item="104"/>
          <tpl fld="4" item="39"/>
        </tpls>
      </n>
      <n v="1" in="0">
        <tpls c="3">
          <tpl fld="0" item="0"/>
          <tpl fld="1" item="79"/>
          <tpl fld="4" item="43"/>
        </tpls>
      </n>
      <m in="0">
        <tpls c="3">
          <tpl fld="0" item="0"/>
          <tpl fld="1" item="373"/>
          <tpl fld="4" item="39"/>
        </tpls>
      </m>
      <n v="65" in="0">
        <tpls c="3">
          <tpl fld="0" item="0"/>
          <tpl fld="1" item="215"/>
          <tpl fld="4" item="41"/>
        </tpls>
      </n>
      <m in="0">
        <tpls c="3">
          <tpl fld="0" item="0"/>
          <tpl fld="1" item="1"/>
          <tpl fld="4" item="39"/>
        </tpls>
      </m>
      <m in="0">
        <tpls c="3">
          <tpl fld="0" item="0"/>
          <tpl fld="1" item="408"/>
          <tpl fld="4" item="40"/>
        </tpls>
      </m>
      <m in="0">
        <tpls c="3">
          <tpl fld="0" item="0"/>
          <tpl fld="1" item="136"/>
          <tpl fld="4" item="39"/>
        </tpls>
      </m>
      <m in="0">
        <tpls c="3">
          <tpl fld="0" item="0"/>
          <tpl fld="1" item="436"/>
          <tpl fld="4" item="41"/>
        </tpls>
      </m>
      <n v="1" in="0">
        <tpls c="3">
          <tpl fld="0" item="0"/>
          <tpl fld="1" item="254"/>
          <tpl fld="4" item="39"/>
        </tpls>
      </n>
      <n v="3" in="0">
        <tpls c="3">
          <tpl fld="0" item="0"/>
          <tpl fld="1" item="314"/>
          <tpl fld="4" item="41"/>
        </tpls>
      </n>
      <m in="0">
        <tpls c="3">
          <tpl fld="0" item="0"/>
          <tpl fld="1" item="259"/>
          <tpl fld="4" item="39"/>
        </tpls>
      </m>
      <m in="0">
        <tpls c="3">
          <tpl fld="0" item="0"/>
          <tpl fld="1" item="250"/>
          <tpl fld="4" item="41"/>
        </tpls>
      </m>
      <n v="7" in="0">
        <tpls c="3">
          <tpl fld="0" item="0"/>
          <tpl fld="1" item="344"/>
          <tpl fld="4" item="41"/>
        </tpls>
      </n>
      <m in="0">
        <tpls c="3">
          <tpl fld="0" item="0"/>
          <tpl fld="1" item="293"/>
          <tpl fld="4" item="42"/>
        </tpls>
      </m>
      <n v="4" in="0">
        <tpls c="3">
          <tpl fld="0" item="0"/>
          <tpl fld="1" item="153"/>
          <tpl fld="4" item="41"/>
        </tpls>
      </n>
      <m in="0">
        <tpls c="3">
          <tpl fld="0" item="0"/>
          <tpl fld="1" item="26"/>
          <tpl fld="4" item="40"/>
        </tpls>
      </m>
      <m in="0">
        <tpls c="3">
          <tpl fld="0" item="0"/>
          <tpl fld="1" item="446"/>
          <tpl fld="4" item="41"/>
        </tpls>
      </m>
      <m in="0">
        <tpls c="3">
          <tpl fld="0" item="0"/>
          <tpl fld="1" item="378"/>
          <tpl fld="4" item="41"/>
        </tpls>
      </m>
      <n v="5" in="0">
        <tpls c="3">
          <tpl fld="0" item="0"/>
          <tpl fld="1" item="215"/>
          <tpl fld="4" item="43"/>
        </tpls>
      </n>
      <m in="0">
        <tpls c="3">
          <tpl fld="0" item="0"/>
          <tpl fld="1" item="407"/>
          <tpl fld="4" item="41"/>
        </tpls>
      </m>
      <m in="0">
        <tpls c="3">
          <tpl fld="0" item="0"/>
          <tpl fld="1" item="34"/>
          <tpl fld="4" item="43"/>
        </tpls>
      </m>
      <m in="0">
        <tpls c="3">
          <tpl fld="0" item="0"/>
          <tpl fld="1" item="12"/>
          <tpl fld="4" item="43"/>
        </tpls>
      </m>
      <m in="0">
        <tpls c="3">
          <tpl fld="0" item="0"/>
          <tpl fld="1" item="6"/>
          <tpl fld="4" item="42"/>
        </tpls>
      </m>
      <m in="0">
        <tpls c="3">
          <tpl fld="0" item="0"/>
          <tpl fld="1" item="217"/>
          <tpl fld="4" item="43"/>
        </tpls>
      </m>
      <m in="0">
        <tpls c="3">
          <tpl fld="0" item="0"/>
          <tpl fld="1" item="72"/>
          <tpl fld="4" item="42"/>
        </tpls>
      </m>
      <m in="0">
        <tpls c="3">
          <tpl fld="0" item="0"/>
          <tpl fld="1" item="315"/>
          <tpl fld="4" item="43"/>
        </tpls>
      </m>
      <n v="4" in="0">
        <tpls c="3">
          <tpl fld="0" item="0"/>
          <tpl fld="1" item="415"/>
          <tpl fld="4" item="42"/>
        </tpls>
      </n>
      <m in="0">
        <tpls c="3">
          <tpl fld="0" item="0"/>
          <tpl fld="1" item="36"/>
          <tpl fld="4" item="36"/>
        </tpls>
      </m>
      <m in="0">
        <tpls c="3">
          <tpl fld="0" item="0"/>
          <tpl fld="1" item="62"/>
          <tpl fld="4" item="38"/>
        </tpls>
      </m>
      <n v="9" in="0">
        <tpls c="3">
          <tpl fld="0" item="0"/>
          <tpl fld="1" item="420"/>
          <tpl fld="4" item="39"/>
        </tpls>
      </n>
      <n v="12" in="0">
        <tpls c="3">
          <tpl fld="0" item="0"/>
          <tpl fld="1" item="367"/>
          <tpl fld="4" item="40"/>
        </tpls>
      </n>
      <n v="9" in="0">
        <tpls c="3">
          <tpl fld="0" item="0"/>
          <tpl fld="1" item="364"/>
          <tpl fld="4" item="39"/>
        </tpls>
      </n>
      <m in="0">
        <tpls c="3">
          <tpl fld="0" item="0"/>
          <tpl fld="1" item="239"/>
          <tpl fld="4" item="39"/>
        </tpls>
      </m>
      <n v="5" in="0">
        <tpls c="3">
          <tpl fld="0" item="0"/>
          <tpl fld="1" item="39"/>
          <tpl fld="4" item="39"/>
        </tpls>
      </n>
      <n v="3" in="0">
        <tpls c="3">
          <tpl fld="0" item="0"/>
          <tpl fld="1" item="114"/>
          <tpl fld="4" item="43"/>
        </tpls>
      </n>
      <m in="0">
        <tpls c="3">
          <tpl fld="0" item="0"/>
          <tpl fld="1" item="238"/>
          <tpl fld="4" item="39"/>
        </tpls>
      </m>
      <n v="33" in="0">
        <tpls c="3">
          <tpl fld="0" item="0"/>
          <tpl fld="1" item="317"/>
          <tpl fld="4" item="41"/>
        </tpls>
      </n>
      <m in="0">
        <tpls c="3">
          <tpl fld="0" item="0"/>
          <tpl fld="2" item="0"/>
          <tpl fld="4" item="39"/>
        </tpls>
      </m>
      <m in="0">
        <tpls c="3">
          <tpl fld="0" item="0"/>
          <tpl fld="1" item="353"/>
          <tpl fld="4" item="40"/>
        </tpls>
      </m>
      <m in="0">
        <tpls c="3">
          <tpl fld="0" item="0"/>
          <tpl fld="1" item="328"/>
          <tpl fld="4" item="39"/>
        </tpls>
      </m>
      <n v="9" in="0">
        <tpls c="3">
          <tpl fld="0" item="0"/>
          <tpl fld="1" item="126"/>
          <tpl fld="4" item="41"/>
        </tpls>
      </n>
      <m in="0">
        <tpls c="3">
          <tpl fld="0" item="0"/>
          <tpl fld="1" item="51"/>
          <tpl fld="4" item="39"/>
        </tpls>
      </m>
      <n v="8" in="0">
        <tpls c="3">
          <tpl fld="0" item="0"/>
          <tpl fld="1" item="369"/>
          <tpl fld="4" item="41"/>
        </tpls>
      </n>
      <m in="0">
        <tpls c="3">
          <tpl fld="0" item="0"/>
          <tpl fld="1" item="391"/>
          <tpl fld="4" item="39"/>
        </tpls>
      </m>
      <n v="9" in="0">
        <tpls c="3">
          <tpl fld="0" item="0"/>
          <tpl fld="1" item="289"/>
          <tpl fld="4" item="41"/>
        </tpls>
      </n>
      <n v="780" in="0">
        <tpls c="3">
          <tpl fld="0" item="0"/>
          <tpl fld="1" item="107"/>
          <tpl fld="4" item="41"/>
        </tpls>
      </n>
      <n v="5" in="0">
        <tpls c="3">
          <tpl fld="0" item="0"/>
          <tpl fld="1" item="372"/>
          <tpl fld="4" item="42"/>
        </tpls>
      </n>
      <n v="8" in="0">
        <tpls c="3">
          <tpl fld="0" item="0"/>
          <tpl fld="1" item="134"/>
          <tpl fld="4" item="41"/>
        </tpls>
      </n>
      <m in="0">
        <tpls c="3">
          <tpl fld="0" item="0"/>
          <tpl fld="1" item="19"/>
          <tpl fld="4" item="40"/>
        </tpls>
      </m>
      <m in="0">
        <tpls c="3">
          <tpl fld="0" item="0"/>
          <tpl fld="1" item="154"/>
          <tpl fld="4" item="41"/>
        </tpls>
      </m>
      <m in="0">
        <tpls c="3">
          <tpl fld="0" item="0"/>
          <tpl fld="1" item="158"/>
          <tpl fld="4" item="41"/>
        </tpls>
      </m>
      <n v="13" in="0">
        <tpls c="3">
          <tpl fld="0" item="0"/>
          <tpl fld="1" item="202"/>
          <tpl fld="4" item="43"/>
        </tpls>
      </n>
      <n v="53" in="0">
        <tpls c="3">
          <tpl fld="0" item="0"/>
          <tpl fld="1" item="262"/>
          <tpl fld="4" item="41"/>
        </tpls>
      </n>
      <m in="0">
        <tpls c="3">
          <tpl fld="0" item="0"/>
          <tpl fld="1" item="321"/>
          <tpl fld="4" item="43"/>
        </tpls>
      </m>
      <m in="0">
        <tpls c="3">
          <tpl fld="0" item="0"/>
          <tpl fld="1" item="248"/>
          <tpl fld="4" item="43"/>
        </tpls>
      </m>
      <n v="3" in="0">
        <tpls c="3">
          <tpl fld="0" item="0"/>
          <tpl fld="1" item="54"/>
          <tpl fld="4" item="42"/>
        </tpls>
      </n>
      <m in="0">
        <tpls c="3">
          <tpl fld="0" item="0"/>
          <tpl fld="1" item="283"/>
          <tpl fld="4" item="43"/>
        </tpls>
      </m>
      <m in="0">
        <tpls c="3">
          <tpl fld="0" item="0"/>
          <tpl fld="1" item="12"/>
          <tpl fld="4" item="42"/>
        </tpls>
      </m>
      <n v="3" in="0">
        <tpls c="3">
          <tpl fld="0" item="0"/>
          <tpl fld="1" item="148"/>
          <tpl fld="4" item="43"/>
        </tpls>
      </n>
      <n v="4" in="0">
        <tpls c="3">
          <tpl fld="0" item="0"/>
          <tpl fld="1" item="277"/>
          <tpl fld="4" item="42"/>
        </tpls>
      </n>
      <n v="5" in="0">
        <tpls c="3">
          <tpl fld="0" item="0"/>
          <tpl fld="1" item="58"/>
          <tpl fld="4" item="43"/>
        </tpls>
      </n>
      <n v="2" in="0">
        <tpls c="3">
          <tpl fld="0" item="0"/>
          <tpl fld="1" item="449"/>
          <tpl fld="4" item="42"/>
        </tpls>
      </n>
      <m in="0">
        <tpls c="3">
          <tpl fld="0" item="0"/>
          <tpl fld="1" item="171"/>
          <tpl fld="4" item="43"/>
        </tpls>
      </m>
      <n v="423" in="0">
        <tpls c="3">
          <tpl fld="0" item="0"/>
          <tpl fld="1" item="331"/>
          <tpl fld="4" item="36"/>
        </tpls>
      </n>
      <n v="1" in="0">
        <tpls c="3">
          <tpl fld="0" item="0"/>
          <tpl fld="1" item="200"/>
          <tpl fld="4" item="38"/>
        </tpls>
      </n>
      <m in="0">
        <tpls c="3">
          <tpl fld="0" item="0"/>
          <tpl fld="1" item="145"/>
          <tpl fld="4" item="39"/>
        </tpls>
      </m>
      <n v="12" in="0">
        <tpls c="3">
          <tpl fld="0" item="0"/>
          <tpl fld="1" item="454"/>
          <tpl fld="4" item="40"/>
        </tpls>
      </n>
      <m in="0">
        <tpls c="3">
          <tpl fld="0" item="0"/>
          <tpl fld="1" item="34"/>
          <tpl fld="4" item="39"/>
        </tpls>
      </m>
      <m in="0">
        <tpls c="3">
          <tpl fld="0" item="0"/>
          <tpl fld="1" item="58"/>
          <tpl fld="4" item="39"/>
        </tpls>
      </m>
      <m in="0">
        <tpls c="3">
          <tpl fld="0" item="0"/>
          <tpl fld="1" item="370"/>
          <tpl fld="4" item="39"/>
        </tpls>
      </m>
      <m in="0">
        <tpls c="3">
          <tpl fld="0" item="0"/>
          <tpl fld="1" item="193"/>
          <tpl fld="4" item="43"/>
        </tpls>
      </m>
      <m in="0">
        <tpls c="3">
          <tpl fld="0" item="0"/>
          <tpl fld="1" item="441"/>
          <tpl fld="4" item="39"/>
        </tpls>
      </m>
      <n v="11" in="0">
        <tpls c="3">
          <tpl fld="0" item="0"/>
          <tpl fld="1" item="432"/>
          <tpl fld="4" item="41"/>
        </tpls>
      </n>
      <n v="1" in="0">
        <tpls c="3">
          <tpl fld="0" item="0"/>
          <tpl fld="1" item="419"/>
          <tpl fld="4" item="39"/>
        </tpls>
      </n>
      <m in="0">
        <tpls c="3">
          <tpl fld="0" item="0"/>
          <tpl fld="1" item="147"/>
          <tpl fld="4" item="40"/>
        </tpls>
      </m>
      <m in="0">
        <tpls c="3">
          <tpl fld="0" item="0"/>
          <tpl fld="1" item="382"/>
          <tpl fld="4" item="39"/>
        </tpls>
      </m>
      <m in="0">
        <tpls c="3">
          <tpl fld="0" item="0"/>
          <tpl fld="1" item="406"/>
          <tpl fld="4" item="41"/>
        </tpls>
      </m>
      <m in="0">
        <tpls c="3">
          <tpl fld="0" item="0"/>
          <tpl fld="1" item="307"/>
          <tpl fld="4" item="39"/>
        </tpls>
      </m>
      <n v="356" in="0">
        <tpls c="3">
          <tpl fld="0" item="0"/>
          <tpl fld="1" item="266"/>
          <tpl fld="4" item="41"/>
        </tpls>
      </n>
      <m in="0">
        <tpls c="3">
          <tpl fld="0" item="0"/>
          <tpl fld="1" item="176"/>
          <tpl fld="4" item="39"/>
        </tpls>
      </m>
      <n v="94" in="0">
        <tpls c="3">
          <tpl fld="0" item="0"/>
          <tpl fld="1" item="9"/>
          <tpl fld="4" item="41"/>
        </tpls>
      </n>
      <m in="0">
        <tpls c="3">
          <tpl fld="0" item="0"/>
          <tpl fld="1" item="239"/>
          <tpl fld="4" item="41"/>
        </tpls>
      </m>
      <m in="0">
        <tpls c="3">
          <tpl fld="0" item="0"/>
          <tpl fld="1" item="265"/>
          <tpl fld="4" item="42"/>
        </tpls>
      </m>
      <n v="3" in="0">
        <tpls c="3">
          <tpl fld="0" item="0"/>
          <tpl fld="1" item="169"/>
          <tpl fld="4" item="41"/>
        </tpls>
      </n>
      <m in="0">
        <tpls c="3">
          <tpl fld="0" item="0"/>
          <tpl fld="1" item="30"/>
          <tpl fld="4" item="40"/>
        </tpls>
      </m>
      <m in="0">
        <tpls c="3">
          <tpl fld="0" item="0"/>
          <tpl fld="1" item="303"/>
          <tpl fld="4" item="41"/>
        </tpls>
      </m>
      <n v="51" in="0">
        <tpls c="3">
          <tpl fld="0" item="0"/>
          <tpl fld="1" item="182"/>
          <tpl fld="4" item="41"/>
        </tpls>
      </n>
      <n v="1" in="0">
        <tpls c="3">
          <tpl fld="0" item="0"/>
          <tpl fld="1" item="38"/>
          <tpl fld="4" item="43"/>
        </tpls>
      </n>
      <m in="0">
        <tpls c="3">
          <tpl fld="0" item="0"/>
          <tpl fld="1" item="6"/>
          <tpl fld="4" item="41"/>
        </tpls>
      </m>
      <m in="0">
        <tpls c="3">
          <tpl fld="0" item="0"/>
          <tpl fld="1" item="346"/>
          <tpl fld="4" item="43"/>
        </tpls>
      </m>
      <n v="4" in="0">
        <tpls c="3">
          <tpl fld="0" item="0"/>
          <tpl fld="1" item="20"/>
          <tpl fld="4" item="43"/>
        </tpls>
      </n>
      <m in="0">
        <tpls c="3">
          <tpl fld="0" item="0"/>
          <tpl fld="1" item="91"/>
          <tpl fld="4" item="42"/>
        </tpls>
      </m>
      <m in="0">
        <tpls c="3">
          <tpl fld="0" item="0"/>
          <tpl fld="1" item="388"/>
          <tpl fld="4" item="43"/>
        </tpls>
      </m>
      <m in="0">
        <tpls c="3">
          <tpl fld="0" item="0"/>
          <tpl fld="1" item="157"/>
          <tpl fld="4" item="42"/>
        </tpls>
      </m>
      <m in="0">
        <tpls c="3">
          <tpl fld="0" item="0"/>
          <tpl fld="1" item="302"/>
          <tpl fld="4" item="43"/>
        </tpls>
      </m>
      <n v="2" in="0">
        <tpls c="3">
          <tpl fld="0" item="0"/>
          <tpl fld="1" item="365"/>
          <tpl fld="4" item="42"/>
        </tpls>
      </n>
      <n v="4" in="0">
        <tpls c="3">
          <tpl fld="0" item="0"/>
          <tpl fld="1" item="8"/>
          <tpl fld="4" item="43"/>
        </tpls>
      </n>
      <m in="0">
        <tpls c="3">
          <tpl fld="0" item="0"/>
          <tpl fld="1" item="191"/>
          <tpl fld="4" item="42"/>
        </tpls>
      </m>
      <n v="2" in="0">
        <tpls c="3">
          <tpl fld="0" item="0"/>
          <tpl fld="1" item="126"/>
          <tpl fld="4" item="43"/>
        </tpls>
      </n>
      <m in="0">
        <tpls c="3">
          <tpl fld="0" item="0"/>
          <tpl fld="1" item="416"/>
          <tpl fld="4" item="43"/>
        </tpls>
      </m>
      <m in="0">
        <tpls c="3">
          <tpl fld="0" item="0"/>
          <tpl fld="1" item="352"/>
          <tpl fld="4" item="43"/>
        </tpls>
      </m>
      <n v="3" in="0">
        <tpls c="3">
          <tpl fld="0" item="0"/>
          <tpl fld="1" item="54"/>
          <tpl fld="4" item="43"/>
        </tpls>
      </n>
      <m in="0">
        <tpls c="3">
          <tpl fld="0" item="0"/>
          <tpl fld="1" item="128"/>
          <tpl fld="4" item="43"/>
        </tpls>
      </m>
      <m in="0">
        <tpls c="3">
          <tpl fld="0" item="0"/>
          <tpl fld="1" item="92"/>
          <tpl fld="4" item="0"/>
        </tpls>
      </m>
      <m in="0">
        <tpls c="3">
          <tpl fld="0" item="0"/>
          <tpl fld="1" item="31"/>
          <tpl fld="4" item="6"/>
        </tpls>
      </m>
      <m in="0">
        <tpls c="3">
          <tpl fld="0" item="0"/>
          <tpl fld="1" item="368"/>
          <tpl fld="4" item="4"/>
        </tpls>
      </m>
      <n v="5" in="0">
        <tpls c="3">
          <tpl fld="0" item="0"/>
          <tpl fld="1" item="285"/>
          <tpl fld="4" item="36"/>
        </tpls>
      </n>
      <m in="0">
        <tpls c="3">
          <tpl fld="0" item="0"/>
          <tpl fld="1" item="342"/>
          <tpl fld="4" item="3"/>
        </tpls>
      </m>
      <m in="0">
        <tpls c="3">
          <tpl fld="0" item="0"/>
          <tpl fld="1" item="454"/>
          <tpl fld="4" item="4"/>
        </tpls>
      </m>
      <m in="0">
        <tpls c="3">
          <tpl fld="0" item="0"/>
          <tpl fld="1" item="278"/>
          <tpl fld="4" item="0"/>
        </tpls>
      </m>
      <n v="1430" in="1">
        <tpls c="3">
          <tpl fld="0" item="0"/>
          <tpl fld="1" item="45"/>
          <tpl fld="4" item="7"/>
        </tpls>
      </n>
      <m in="0">
        <tpls c="3">
          <tpl fld="0" item="0"/>
          <tpl fld="1" item="195"/>
          <tpl fld="4" item="4"/>
        </tpls>
      </m>
      <m in="0">
        <tpls c="3">
          <tpl fld="0" item="0"/>
          <tpl fld="1" item="416"/>
          <tpl fld="4" item="3"/>
        </tpls>
      </m>
      <m in="0">
        <tpls c="3">
          <tpl fld="0" item="0"/>
          <tpl fld="1" item="196"/>
          <tpl fld="4" item="3"/>
        </tpls>
      </m>
      <m in="0">
        <tpls c="3">
          <tpl fld="0" item="0"/>
          <tpl fld="1" item="439"/>
          <tpl fld="4" item="43"/>
        </tpls>
      </m>
      <n v="240" in="0">
        <tpls c="3">
          <tpl fld="0" item="0"/>
          <tpl fld="1" item="324"/>
          <tpl fld="4" item="41"/>
        </tpls>
      </n>
      <n v="18" in="0">
        <tpls c="3">
          <tpl fld="0" item="0"/>
          <tpl fld="1" item="381"/>
          <tpl fld="4" item="39"/>
        </tpls>
      </n>
      <m in="0">
        <tpls c="3">
          <tpl fld="0" item="0"/>
          <tpl fld="1" item="238"/>
          <tpl fld="4" item="38"/>
        </tpls>
      </m>
      <n v="297" in="0">
        <tpls c="3">
          <tpl fld="0" item="0"/>
          <tpl fld="1" item="351"/>
          <tpl fld="4" item="41"/>
        </tpls>
      </n>
      <m in="0">
        <tpls c="3">
          <tpl fld="0" item="0"/>
          <tpl fld="1" item="154"/>
          <tpl fld="4" item="39"/>
        </tpls>
      </m>
      <n v="1" in="0">
        <tpls c="3">
          <tpl fld="0" item="0"/>
          <tpl fld="1" item="402"/>
          <tpl fld="4" item="40"/>
        </tpls>
      </n>
      <n v="8" in="0">
        <tpls c="3">
          <tpl fld="0" item="0"/>
          <tpl fld="1" item="412"/>
          <tpl fld="4" item="40"/>
        </tpls>
      </n>
      <n v="4" in="0">
        <tpls c="3">
          <tpl fld="0" item="0"/>
          <tpl fld="1" item="150"/>
          <tpl fld="4" item="40"/>
        </tpls>
      </n>
      <m in="0">
        <tpls c="3">
          <tpl fld="0" item="0"/>
          <tpl fld="1" item="71"/>
          <tpl fld="4" item="41"/>
        </tpls>
      </m>
      <m in="0">
        <tpls c="3">
          <tpl fld="0" item="0"/>
          <tpl fld="1" item="260"/>
          <tpl fld="4" item="43"/>
        </tpls>
      </m>
      <m in="0">
        <tpls c="3">
          <tpl fld="0" item="0"/>
          <tpl fld="1" item="154"/>
          <tpl fld="4" item="40"/>
        </tpls>
      </m>
      <n v="27" in="0">
        <tpls c="3">
          <tpl fld="0" item="0"/>
          <tpl fld="1" item="437"/>
          <tpl fld="4" item="41"/>
        </tpls>
      </n>
      <m in="0">
        <tpls c="3">
          <tpl fld="0" item="0"/>
          <tpl fld="1" item="259"/>
          <tpl fld="4" item="41"/>
        </tpls>
      </m>
      <m in="0">
        <tpls c="3">
          <tpl fld="0" item="0"/>
          <tpl fld="1" item="137"/>
          <tpl fld="4" item="43"/>
        </tpls>
      </m>
      <m in="0">
        <tpls c="3">
          <tpl fld="0" item="0"/>
          <tpl fld="1" item="51"/>
          <tpl fld="4" item="42"/>
        </tpls>
      </m>
      <m in="0">
        <tpls c="3">
          <tpl fld="0" item="0"/>
          <tpl fld="1" item="391"/>
          <tpl fld="4" item="42"/>
        </tpls>
      </m>
      <m in="0">
        <tpls c="3">
          <tpl fld="0" item="0"/>
          <tpl fld="1" item="245"/>
          <tpl fld="4" item="43"/>
        </tpls>
      </m>
      <n v="4" in="0">
        <tpls c="3">
          <tpl fld="0" item="0"/>
          <tpl fld="1" item="442"/>
          <tpl fld="4" item="43"/>
        </tpls>
      </n>
      <n v="1" in="0">
        <tpls c="3">
          <tpl fld="0" item="0"/>
          <tpl fld="1" item="386"/>
          <tpl fld="4" item="43"/>
        </tpls>
      </n>
      <m in="0">
        <tpls c="3">
          <tpl fld="0" item="0"/>
          <tpl fld="1" item="166"/>
          <tpl fld="4" item="42"/>
        </tpls>
      </m>
      <m in="0">
        <tpls c="3">
          <tpl fld="0" item="0"/>
          <tpl fld="1" item="62"/>
          <tpl fld="4" item="43"/>
        </tpls>
      </m>
      <n v="2" in="0">
        <tpls c="3">
          <tpl fld="0" item="0"/>
          <tpl fld="1" item="319"/>
          <tpl fld="4" item="42"/>
        </tpls>
      </n>
      <m in="0">
        <tpls c="3">
          <tpl fld="0" item="0"/>
          <tpl fld="1" item="341"/>
          <tpl fld="4" item="41"/>
        </tpls>
      </m>
      <m in="0">
        <tpls c="3">
          <tpl fld="0" item="0"/>
          <tpl fld="1" item="223"/>
          <tpl fld="4" item="0"/>
        </tpls>
      </m>
      <m in="0">
        <tpls c="3">
          <tpl fld="0" item="0"/>
          <tpl fld="1" item="52"/>
          <tpl fld="4" item="0"/>
        </tpls>
      </m>
      <m in="0">
        <tpls c="3">
          <tpl fld="0" item="0"/>
          <tpl fld="1" item="412"/>
          <tpl fld="4" item="0"/>
        </tpls>
      </m>
      <n v="3" in="0">
        <tpls c="3">
          <tpl fld="0" item="0"/>
          <tpl fld="1" item="111"/>
          <tpl fld="4" item="43"/>
        </tpls>
      </n>
      <m in="0">
        <tpls c="3">
          <tpl fld="0" item="0"/>
          <tpl fld="1" item="300"/>
          <tpl fld="4" item="43"/>
        </tpls>
      </m>
      <n v="10" in="0">
        <tpls c="3">
          <tpl fld="0" item="0"/>
          <tpl fld="1" item="339"/>
          <tpl fld="4" item="42"/>
        </tpls>
      </n>
      <m in="0">
        <tpls c="3">
          <tpl fld="0" item="0"/>
          <tpl fld="1" item="94"/>
          <tpl fld="4" item="43"/>
        </tpls>
      </m>
      <m in="0">
        <tpls c="3">
          <tpl fld="0" item="0"/>
          <tpl fld="1" item="402"/>
          <tpl fld="4" item="0"/>
        </tpls>
      </m>
      <n v="2" in="0">
        <tpls c="3">
          <tpl fld="0" item="0"/>
          <tpl fld="1" item="202"/>
          <tpl fld="4" item="0"/>
        </tpls>
      </n>
      <m in="0">
        <tpls c="3">
          <tpl fld="0" item="0"/>
          <tpl fld="1" item="176"/>
          <tpl fld="4" item="6"/>
        </tpls>
      </m>
      <m in="0">
        <tpls c="3">
          <tpl fld="0" item="0"/>
          <tpl fld="1" item="274"/>
          <tpl fld="4" item="3"/>
        </tpls>
      </m>
      <m in="0">
        <tpls c="3">
          <tpl fld="0" item="0"/>
          <tpl fld="1" item="424"/>
          <tpl fld="4" item="0"/>
        </tpls>
      </m>
      <n v="3" in="0">
        <tpls c="3">
          <tpl fld="0" item="0"/>
          <tpl fld="1" item="296"/>
          <tpl fld="4" item="42"/>
        </tpls>
      </n>
      <m in="0">
        <tpls c="3">
          <tpl fld="0" item="0"/>
          <tpl fld="1" item="217"/>
          <tpl fld="4" item="42"/>
        </tpls>
      </m>
      <m in="0">
        <tpls c="3">
          <tpl fld="0" item="0"/>
          <tpl fld="1" item="2"/>
          <tpl fld="4" item="42"/>
        </tpls>
      </m>
      <m in="0">
        <tpls c="3">
          <tpl fld="0" item="0"/>
          <tpl fld="1" item="61"/>
          <tpl fld="4" item="42"/>
        </tpls>
      </m>
      <m in="0">
        <tpls c="3">
          <tpl fld="0" item="0"/>
          <tpl fld="1" item="6"/>
          <tpl fld="4" item="1"/>
        </tpls>
      </m>
      <m in="0">
        <tpls c="3">
          <tpl fld="0" item="0"/>
          <tpl fld="1" item="159"/>
          <tpl fld="4" item="0"/>
        </tpls>
      </m>
      <n v="4" in="0">
        <tpls c="3">
          <tpl fld="0" item="0"/>
          <tpl fld="1" item="10"/>
          <tpl fld="4" item="42"/>
        </tpls>
      </n>
      <m in="0">
        <tpls c="3">
          <tpl fld="0" item="0"/>
          <tpl fld="1" item="393"/>
          <tpl fld="4" item="42"/>
        </tpls>
      </m>
      <m in="0">
        <tpls c="3">
          <tpl fld="0" item="0"/>
          <tpl fld="1" item="93"/>
          <tpl fld="4" item="42"/>
        </tpls>
      </m>
      <m in="0">
        <tpls c="3">
          <tpl fld="0" item="0"/>
          <tpl fld="1" item="328"/>
          <tpl fld="4" item="0"/>
        </tpls>
      </m>
      <n v="5" in="0">
        <tpls c="3">
          <tpl fld="0" item="0"/>
          <tpl fld="1" item="367"/>
          <tpl fld="4" item="39"/>
        </tpls>
      </n>
      <m in="0">
        <tpls c="3">
          <tpl fld="0" item="0"/>
          <tpl fld="1" item="146"/>
          <tpl fld="4" item="41"/>
        </tpls>
      </m>
      <m in="0">
        <tpls c="3">
          <tpl fld="0" item="0"/>
          <tpl fld="1" item="188"/>
          <tpl fld="4" item="41"/>
        </tpls>
      </m>
      <n v="54" in="0">
        <tpls c="3">
          <tpl fld="0" item="0"/>
          <tpl fld="1" item="82"/>
          <tpl fld="4" item="40"/>
        </tpls>
      </n>
      <m in="0">
        <tpls c="3">
          <tpl fld="0" item="0"/>
          <tpl fld="1" item="166"/>
          <tpl fld="4" item="43"/>
        </tpls>
      </m>
      <m in="0">
        <tpls c="3">
          <tpl fld="0" item="0"/>
          <tpl fld="1" item="46"/>
          <tpl fld="4" item="43"/>
        </tpls>
      </m>
      <m in="0">
        <tpls c="3">
          <tpl fld="0" item="0"/>
          <tpl fld="1" item="59"/>
          <tpl fld="4" item="42"/>
        </tpls>
      </m>
      <m in="0">
        <tpls c="3">
          <tpl fld="0" item="0"/>
          <tpl fld="1" item="237"/>
          <tpl fld="4" item="42"/>
        </tpls>
      </m>
      <m in="0">
        <tpls c="3">
          <tpl fld="0" item="0"/>
          <tpl fld="1" item="241"/>
          <tpl fld="4" item="0"/>
        </tpls>
      </m>
      <m in="0">
        <tpls c="3">
          <tpl fld="0" item="0"/>
          <tpl fld="1" item="423"/>
          <tpl fld="4" item="40"/>
        </tpls>
      </m>
      <m in="0">
        <tpls c="3">
          <tpl fld="0" item="0"/>
          <tpl fld="1" item="83"/>
          <tpl fld="4" item="41"/>
        </tpls>
      </m>
      <m in="0">
        <tpls c="3">
          <tpl fld="0" item="0"/>
          <tpl fld="1" item="185"/>
          <tpl fld="4" item="42"/>
        </tpls>
      </m>
      <n v="305" in="0">
        <tpls c="3">
          <tpl fld="0" item="0"/>
          <tpl fld="1" item="390"/>
          <tpl fld="4" item="41"/>
        </tpls>
      </n>
      <m in="0">
        <tpls c="3">
          <tpl fld="0" item="0"/>
          <tpl fld="1" item="197"/>
          <tpl fld="4" item="43"/>
        </tpls>
      </m>
      <m in="0">
        <tpls c="3">
          <tpl fld="0" item="0"/>
          <tpl fld="1" item="375"/>
          <tpl fld="4" item="43"/>
        </tpls>
      </m>
      <m in="0">
        <tpls c="3">
          <tpl fld="0" item="0"/>
          <tpl fld="1" item="43"/>
          <tpl fld="4" item="43"/>
        </tpls>
      </m>
      <m in="0">
        <tpls c="3">
          <tpl fld="0" item="0"/>
          <tpl fld="1" item="270"/>
          <tpl fld="4" item="42"/>
        </tpls>
      </m>
      <m in="0">
        <tpls c="3">
          <tpl fld="0" item="0"/>
          <tpl fld="1" item="169"/>
          <tpl fld="4" item="42"/>
        </tpls>
      </m>
      <n v="1" in="0">
        <tpls c="3">
          <tpl fld="0" item="0"/>
          <tpl fld="1" item="429"/>
          <tpl fld="4" item="42"/>
        </tpls>
      </n>
      <n v="1" in="0">
        <tpls c="3">
          <tpl fld="0" item="0"/>
          <tpl fld="1" item="150"/>
          <tpl fld="4" item="43"/>
        </tpls>
      </n>
      <n v="36" in="0">
        <tpls c="3">
          <tpl fld="0" item="0"/>
          <tpl fld="1" item="129"/>
          <tpl fld="4" item="41"/>
        </tpls>
      </n>
      <m in="0">
        <tpls c="3">
          <tpl fld="0" item="0"/>
          <tpl fld="1" item="39"/>
          <tpl fld="4" item="3"/>
        </tpls>
      </m>
      <m in="0">
        <tpls c="3">
          <tpl fld="0" item="0"/>
          <tpl fld="1" item="390"/>
          <tpl fld="4" item="0"/>
        </tpls>
      </m>
      <m in="0">
        <tpls c="3">
          <tpl fld="0" item="0"/>
          <tpl fld="1" item="410"/>
          <tpl fld="4" item="0"/>
        </tpls>
      </m>
      <m in="0">
        <tpls c="3">
          <tpl fld="0" item="0"/>
          <tpl fld="1" item="433"/>
          <tpl fld="4" item="3"/>
        </tpls>
      </m>
      <m in="0">
        <tpls c="3">
          <tpl fld="0" item="0"/>
          <tpl fld="1" item="428"/>
          <tpl fld="4" item="0"/>
        </tpls>
      </m>
      <m in="0">
        <tpls c="3">
          <tpl fld="0" item="0"/>
          <tpl fld="1" item="272"/>
          <tpl fld="4" item="0"/>
        </tpls>
      </m>
      <m in="0">
        <tpls c="3">
          <tpl fld="0" item="0"/>
          <tpl fld="1" item="137"/>
          <tpl fld="4" item="0"/>
        </tpls>
      </m>
      <m in="0">
        <tpls c="3">
          <tpl fld="0" item="0"/>
          <tpl fld="1" item="232"/>
          <tpl fld="4" item="4"/>
        </tpls>
      </m>
      <n v="38" in="0">
        <tpls c="3">
          <tpl fld="0" item="0"/>
          <tpl fld="1" item="27"/>
          <tpl fld="4" item="41"/>
        </tpls>
      </n>
      <m in="0">
        <tpls c="3">
          <tpl fld="0" item="0"/>
          <tpl fld="1" item="451"/>
          <tpl fld="4" item="43"/>
        </tpls>
      </m>
      <n v="63" in="0">
        <tpls c="3">
          <tpl fld="0" item="0"/>
          <tpl fld="1" item="333"/>
          <tpl fld="4" item="41"/>
        </tpls>
      </n>
      <m in="0">
        <tpls c="3">
          <tpl fld="0" item="0"/>
          <tpl fld="1" item="110"/>
          <tpl fld="4" item="43"/>
        </tpls>
      </m>
      <m in="0">
        <tpls c="3">
          <tpl fld="0" item="0"/>
          <tpl fld="1" item="282"/>
          <tpl fld="4" item="43"/>
        </tpls>
      </m>
      <m in="0">
        <tpls c="3">
          <tpl fld="0" item="0"/>
          <tpl fld="1" item="159"/>
          <tpl fld="4" item="43"/>
        </tpls>
      </m>
      <n v="7" in="0">
        <tpls c="3">
          <tpl fld="0" item="0"/>
          <tpl fld="1" item="453"/>
          <tpl fld="4" item="42"/>
        </tpls>
      </n>
      <n v="4" in="0">
        <tpls c="3">
          <tpl fld="0" item="0"/>
          <tpl fld="1" item="285"/>
          <tpl fld="4" item="43"/>
        </tpls>
      </n>
      <m in="0">
        <tpls c="3">
          <tpl fld="0" item="0"/>
          <tpl fld="1" item="84"/>
          <tpl fld="4" item="43"/>
        </tpls>
      </m>
      <m in="0">
        <tpls c="3">
          <tpl fld="0" item="0"/>
          <tpl fld="1" item="160"/>
          <tpl fld="4" item="2"/>
        </tpls>
      </m>
      <m in="0">
        <tpls c="3">
          <tpl fld="0" item="0"/>
          <tpl fld="1" item="429"/>
          <tpl fld="4" item="0"/>
        </tpls>
      </m>
      <m in="0">
        <tpls c="3">
          <tpl fld="0" item="0"/>
          <tpl fld="1" item="22"/>
          <tpl fld="4" item="3"/>
        </tpls>
      </m>
      <n v="2" in="0">
        <tpls c="3">
          <tpl fld="0" item="0"/>
          <tpl fld="1" item="331"/>
          <tpl fld="4" item="0"/>
        </tpls>
      </n>
      <m in="0">
        <tpls c="3">
          <tpl fld="0" item="0"/>
          <tpl fld="1" item="249"/>
          <tpl fld="4" item="0"/>
        </tpls>
      </m>
      <m in="0">
        <tpls c="3">
          <tpl fld="0" item="0"/>
          <tpl fld="1" item="423"/>
          <tpl fld="4" item="3"/>
        </tpls>
      </m>
      <m in="0">
        <tpls c="3">
          <tpl fld="0" item="0"/>
          <tpl fld="1" item="172"/>
          <tpl fld="4" item="43"/>
        </tpls>
      </m>
      <n v="6" in="0">
        <tpls c="3">
          <tpl fld="0" item="0"/>
          <tpl fld="1" item="4"/>
          <tpl fld="4" item="41"/>
        </tpls>
      </n>
      <m in="0">
        <tpls c="3">
          <tpl fld="0" item="0"/>
          <tpl fld="1" item="6"/>
          <tpl fld="4" item="43"/>
        </tpls>
      </m>
      <n v="2" in="0">
        <tpls c="3">
          <tpl fld="0" item="0"/>
          <tpl fld="1" item="231"/>
          <tpl fld="4" item="43"/>
        </tpls>
      </n>
      <m in="0">
        <tpls c="3">
          <tpl fld="0" item="0"/>
          <tpl fld="1" item="311"/>
          <tpl fld="4" item="43"/>
        </tpls>
      </m>
      <m in="0">
        <tpls c="3">
          <tpl fld="0" item="0"/>
          <tpl fld="1" item="148"/>
          <tpl fld="4" item="0"/>
        </tpls>
      </m>
      <m in="0">
        <tpls c="3">
          <tpl fld="0" item="0"/>
          <tpl fld="1" item="201"/>
          <tpl fld="4" item="0"/>
        </tpls>
      </m>
      <m in="0">
        <tpls c="3">
          <tpl fld="0" item="0"/>
          <tpl fld="1" item="272"/>
          <tpl fld="4" item="42"/>
        </tpls>
      </m>
      <m in="0">
        <tpls c="3">
          <tpl fld="0" item="0"/>
          <tpl fld="1" item="145"/>
          <tpl fld="4" item="43"/>
        </tpls>
      </m>
      <m in="0">
        <tpls c="3">
          <tpl fld="0" item="0"/>
          <tpl fld="1" item="219"/>
          <tpl fld="4" item="0"/>
        </tpls>
      </m>
      <m in="0">
        <tpls c="3">
          <tpl fld="0" item="0"/>
          <tpl fld="1" item="292"/>
          <tpl fld="4" item="0"/>
        </tpls>
      </m>
      <m in="0">
        <tpls c="3">
          <tpl fld="0" item="0"/>
          <tpl fld="1" item="422"/>
          <tpl fld="4" item="2"/>
        </tpls>
      </m>
      <n v="4" in="0">
        <tpls c="3">
          <tpl fld="0" item="0"/>
          <tpl fld="1" item="87"/>
          <tpl fld="4" item="43"/>
        </tpls>
      </n>
      <m in="0">
        <tpls c="3">
          <tpl fld="0" item="0"/>
          <tpl fld="1" item="14"/>
          <tpl fld="4" item="0"/>
        </tpls>
      </m>
      <m in="0">
        <tpls c="3">
          <tpl fld="0" item="0"/>
          <tpl fld="1" item="97"/>
          <tpl fld="4" item="4"/>
        </tpls>
      </m>
      <m in="0">
        <tpls c="3">
          <tpl fld="0" item="0"/>
          <tpl fld="1" item="374"/>
          <tpl fld="4" item="43"/>
        </tpls>
      </m>
      <m in="0">
        <tpls c="3">
          <tpl fld="0" item="0"/>
          <tpl fld="1" item="143"/>
          <tpl fld="4" item="43"/>
        </tpls>
      </m>
      <n v="3" in="0">
        <tpls c="3">
          <tpl fld="0" item="0"/>
          <tpl fld="1" item="209"/>
          <tpl fld="4" item="43"/>
        </tpls>
      </n>
      <m in="0">
        <tpls c="3">
          <tpl fld="0" item="0"/>
          <tpl fld="1" item="449"/>
          <tpl fld="4" item="0"/>
        </tpls>
      </m>
      <m in="0">
        <tpls c="3">
          <tpl fld="0" item="0"/>
          <tpl fld="1" item="413"/>
          <tpl fld="4" item="0"/>
        </tpls>
      </m>
      <m in="0">
        <tpls c="3">
          <tpl fld="0" item="0"/>
          <tpl fld="1" item="176"/>
          <tpl fld="4" item="0"/>
        </tpls>
      </m>
      <n v="11" in="0">
        <tpls c="3">
          <tpl fld="0" item="0"/>
          <tpl fld="1" item="0"/>
          <tpl fld="4" item="41"/>
        </tpls>
      </n>
      <m in="0">
        <tpls c="3">
          <tpl fld="0" item="0"/>
          <tpl fld="1" item="259"/>
          <tpl fld="4" item="0"/>
        </tpls>
      </m>
      <m in="0">
        <tpls c="3">
          <tpl fld="0" item="0"/>
          <tpl fld="1" item="344"/>
          <tpl fld="4" item="3"/>
        </tpls>
      </m>
      <n v="1" in="0">
        <tpls c="3">
          <tpl fld="0" item="0"/>
          <tpl fld="1" item="150"/>
          <tpl fld="4" item="0"/>
        </tpls>
      </n>
      <m in="0">
        <tpls c="3">
          <tpl fld="0" item="0"/>
          <tpl fld="1" item="247"/>
          <tpl fld="4" item="42"/>
        </tpls>
      </m>
      <m in="0">
        <tpls c="3">
          <tpl fld="0" item="0"/>
          <tpl fld="1" item="136"/>
          <tpl fld="4" item="43"/>
        </tpls>
      </m>
      <m in="0">
        <tpls c="3">
          <tpl fld="0" item="0"/>
          <tpl fld="1" item="54"/>
          <tpl fld="4" item="0"/>
        </tpls>
      </m>
      <m in="0">
        <tpls c="3">
          <tpl fld="0" item="0"/>
          <tpl fld="1" item="43"/>
          <tpl fld="4" item="36"/>
        </tpls>
      </m>
      <m in="0">
        <tpls c="3">
          <tpl fld="0" item="0"/>
          <tpl fld="1" item="445"/>
          <tpl fld="4" item="43"/>
        </tpls>
      </m>
      <m in="0">
        <tpls c="3">
          <tpl fld="0" item="0"/>
          <tpl fld="1" item="220"/>
          <tpl fld="4" item="42"/>
        </tpls>
      </m>
      <m in="0">
        <tpls c="3">
          <tpl fld="0" item="0"/>
          <tpl fld="1" item="103"/>
          <tpl fld="4" item="3"/>
        </tpls>
      </m>
      <m in="0">
        <tpls c="3">
          <tpl fld="0" item="0"/>
          <tpl fld="1" item="125"/>
          <tpl fld="4" item="3"/>
        </tpls>
      </m>
      <m in="0">
        <tpls c="3">
          <tpl fld="0" item="0"/>
          <tpl fld="1" item="315"/>
          <tpl fld="4" item="40"/>
        </tpls>
      </m>
      <m in="0">
        <tpls c="3">
          <tpl fld="0" item="0"/>
          <tpl fld="1" item="425"/>
          <tpl fld="4" item="40"/>
        </tpls>
      </m>
      <m in="0">
        <tpls c="3">
          <tpl fld="0" item="0"/>
          <tpl fld="1" item="421"/>
          <tpl fld="4" item="41"/>
        </tpls>
      </m>
      <m in="0">
        <tpls c="3">
          <tpl fld="0" item="0"/>
          <tpl fld="1" item="253"/>
          <tpl fld="4" item="41"/>
        </tpls>
      </m>
      <m in="0">
        <tpls c="3">
          <tpl fld="0" item="0"/>
          <tpl fld="1" item="268"/>
          <tpl fld="4" item="43"/>
        </tpls>
      </m>
      <m in="0">
        <tpls c="3">
          <tpl fld="0" item="0"/>
          <tpl fld="1" item="357"/>
          <tpl fld="4" item="0"/>
        </tpls>
      </m>
      <n v="64" in="0">
        <tpls c="3">
          <tpl fld="0" item="0"/>
          <tpl fld="1" item="138"/>
          <tpl fld="4" item="41"/>
        </tpls>
      </n>
      <m in="0">
        <tpls c="3">
          <tpl fld="0" item="0"/>
          <tpl fld="1" item="341"/>
          <tpl fld="4" item="40"/>
        </tpls>
      </m>
      <m in="0">
        <tpls c="3">
          <tpl fld="0" item="0"/>
          <tpl fld="1" item="346"/>
          <tpl fld="4" item="41"/>
        </tpls>
      </m>
      <m in="0">
        <tpls c="3">
          <tpl fld="0" item="0"/>
          <tpl fld="1" item="30"/>
          <tpl fld="4" item="42"/>
        </tpls>
      </m>
      <n v="6" in="0">
        <tpls c="3">
          <tpl fld="0" item="0"/>
          <tpl fld="1" item="364"/>
          <tpl fld="4" item="42"/>
        </tpls>
      </n>
      <n v="1" in="0">
        <tpls c="3">
          <tpl fld="0" item="0"/>
          <tpl fld="1" item="209"/>
          <tpl fld="4" item="42"/>
        </tpls>
      </n>
      <m in="0">
        <tpls c="3">
          <tpl fld="0" item="0"/>
          <tpl fld="1" item="158"/>
          <tpl fld="4" item="43"/>
        </tpls>
      </m>
      <n v="1" in="0">
        <tpls c="3">
          <tpl fld="0" item="0"/>
          <tpl fld="1" item="305"/>
          <tpl fld="4" item="43"/>
        </tpls>
      </n>
      <m in="0">
        <tpls c="3">
          <tpl fld="0" item="0"/>
          <tpl fld="1" item="421"/>
          <tpl fld="4" item="43"/>
        </tpls>
      </m>
      <m in="0">
        <tpls c="3">
          <tpl fld="0" item="0"/>
          <tpl fld="1" item="386"/>
          <tpl fld="4" item="42"/>
        </tpls>
      </m>
      <m in="0">
        <tpls c="3">
          <tpl fld="0" item="0"/>
          <tpl fld="1" item="110"/>
          <tpl fld="4" item="42"/>
        </tpls>
      </m>
      <n v="1" in="0">
        <tpls c="3">
          <tpl fld="0" item="0"/>
          <tpl fld="1" item="356"/>
          <tpl fld="4" item="42"/>
        </tpls>
      </n>
      <m in="0">
        <tpls c="3">
          <tpl fld="0" item="0"/>
          <tpl fld="1" item="436"/>
          <tpl fld="4" item="0"/>
        </tpls>
      </m>
      <m in="0">
        <tpls c="3">
          <tpl fld="0" item="0"/>
          <tpl fld="3" item="0"/>
          <tpl fld="4" item="0"/>
        </tpls>
      </m>
      <m in="0">
        <tpls c="3">
          <tpl fld="0" item="0"/>
          <tpl fld="1" item="272"/>
          <tpl fld="4" item="3"/>
        </tpls>
      </m>
      <m in="0">
        <tpls c="3">
          <tpl fld="0" item="0"/>
          <tpl fld="1" item="423"/>
          <tpl fld="4" item="2"/>
        </tpls>
      </m>
      <m in="0">
        <tpls c="3">
          <tpl fld="0" item="0"/>
          <tpl fld="1" item="407"/>
          <tpl fld="4" item="0"/>
        </tpls>
      </m>
      <m in="0">
        <tpls c="3">
          <tpl fld="0" item="0"/>
          <tpl fld="1" item="298"/>
          <tpl fld="4" item="3"/>
        </tpls>
      </m>
      <m in="0">
        <tpls c="3">
          <tpl fld="0" item="0"/>
          <tpl fld="1" item="319"/>
          <tpl fld="4" item="6"/>
        </tpls>
      </m>
      <m in="0">
        <tpls c="3">
          <tpl fld="0" item="0"/>
          <tpl fld="1" item="209"/>
          <tpl fld="4" item="0"/>
        </tpls>
      </m>
      <n v="211" in="0">
        <tpls c="3">
          <tpl fld="0" item="0"/>
          <tpl fld="1" item="452"/>
          <tpl fld="4" item="40"/>
        </tpls>
      </n>
      <m in="0">
        <tpls c="3">
          <tpl fld="0" item="0"/>
          <tpl fld="1" item="35"/>
          <tpl fld="4" item="41"/>
        </tpls>
      </m>
      <m in="0">
        <tpls c="3">
          <tpl fld="0" item="0"/>
          <tpl fld="1" item="4"/>
          <tpl fld="4" item="42"/>
        </tpls>
      </m>
      <m in="0">
        <tpls c="3">
          <tpl fld="0" item="0"/>
          <tpl fld="1" item="86"/>
          <tpl fld="4" item="43"/>
        </tpls>
      </m>
      <n v="1" in="0">
        <tpls c="3">
          <tpl fld="0" item="0"/>
          <tpl fld="1" item="84"/>
          <tpl fld="4" item="42"/>
        </tpls>
      </n>
      <m in="0">
        <tpls c="3">
          <tpl fld="0" item="0"/>
          <tpl fld="1" item="145"/>
          <tpl fld="4" item="42"/>
        </tpls>
      </m>
      <n v="5" in="0">
        <tpls c="3">
          <tpl fld="0" item="0"/>
          <tpl fld="1" item="140"/>
          <tpl fld="4" item="43"/>
        </tpls>
      </n>
      <n v="3" in="0">
        <tpls c="3">
          <tpl fld="0" item="0"/>
          <tpl fld="1" item="182"/>
          <tpl fld="4" item="43"/>
        </tpls>
      </n>
      <m in="0">
        <tpls c="3">
          <tpl fld="0" item="0"/>
          <tpl fld="1" item="383"/>
          <tpl fld="4" item="43"/>
        </tpls>
      </m>
      <m in="0">
        <tpls c="3">
          <tpl fld="0" item="0"/>
          <tpl fld="1" item="440"/>
          <tpl fld="4" item="43"/>
        </tpls>
      </m>
      <m in="0">
        <tpls c="3">
          <tpl fld="0" item="0"/>
          <tpl fld="2" item="0"/>
          <tpl fld="4" item="0"/>
        </tpls>
      </m>
      <m in="0">
        <tpls c="3">
          <tpl fld="0" item="0"/>
          <tpl fld="1" item="354"/>
          <tpl fld="4" item="3"/>
        </tpls>
      </m>
      <m in="0">
        <tpls c="3">
          <tpl fld="0" item="0"/>
          <tpl fld="1" item="212"/>
          <tpl fld="4" item="3"/>
        </tpls>
      </m>
      <m in="0">
        <tpls c="3">
          <tpl fld="0" item="0"/>
          <tpl fld="1" item="392"/>
          <tpl fld="4" item="4"/>
        </tpls>
      </m>
      <m in="0">
        <tpls c="3">
          <tpl fld="0" item="0"/>
          <tpl fld="1" item="276"/>
          <tpl fld="4" item="0"/>
        </tpls>
      </m>
      <n v="18" in="0">
        <tpls c="3">
          <tpl fld="0" item="0"/>
          <tpl fld="1" item="207"/>
          <tpl fld="4" item="41"/>
        </tpls>
      </n>
      <n v="1" in="0">
        <tpls c="3">
          <tpl fld="0" item="0"/>
          <tpl fld="1" item="357"/>
          <tpl fld="4" item="42"/>
        </tpls>
      </n>
      <n v="3" in="0">
        <tpls c="3">
          <tpl fld="0" item="0"/>
          <tpl fld="1" item="354"/>
          <tpl fld="4" item="43"/>
        </tpls>
      </n>
      <m in="0">
        <tpls c="3">
          <tpl fld="0" item="0"/>
          <tpl fld="1" item="263"/>
          <tpl fld="4" item="43"/>
        </tpls>
      </m>
      <m in="0">
        <tpls c="3">
          <tpl fld="0" item="0"/>
          <tpl fld="1" item="338"/>
          <tpl fld="4" item="3"/>
        </tpls>
      </m>
      <m in="0">
        <tpls c="3">
          <tpl fld="0" item="0"/>
          <tpl fld="1" item="440"/>
          <tpl fld="4" item="3"/>
        </tpls>
      </m>
      <m in="0">
        <tpls c="3">
          <tpl fld="0" item="0"/>
          <tpl fld="1" item="267"/>
          <tpl fld="4" item="0"/>
        </tpls>
      </m>
      <m in="0">
        <tpls c="3">
          <tpl fld="0" item="0"/>
          <tpl fld="1" item="457"/>
          <tpl fld="4" item="43"/>
        </tpls>
      </m>
      <n v="1" in="0">
        <tpls c="3">
          <tpl fld="0" item="0"/>
          <tpl fld="1" item="381"/>
          <tpl fld="4" item="3"/>
        </tpls>
      </n>
      <m in="0">
        <tpls c="3">
          <tpl fld="0" item="0"/>
          <tpl fld="1" item="241"/>
          <tpl fld="4" item="3"/>
        </tpls>
      </m>
      <m in="0">
        <tpls c="3">
          <tpl fld="0" item="0"/>
          <tpl fld="1" item="342"/>
          <tpl fld="4" item="0"/>
        </tpls>
      </m>
      <m in="0">
        <tpls c="3">
          <tpl fld="0" item="0"/>
          <tpl fld="1" item="340"/>
          <tpl fld="4" item="0"/>
        </tpls>
      </m>
      <m in="0">
        <tpls c="3">
          <tpl fld="0" item="0"/>
          <tpl fld="1" item="432"/>
          <tpl fld="4" item="0"/>
        </tpls>
      </m>
      <m in="0">
        <tpls c="3">
          <tpl fld="0" item="0"/>
          <tpl fld="1" item="136"/>
          <tpl fld="4" item="2"/>
        </tpls>
      </m>
      <m in="0">
        <tpls c="3">
          <tpl fld="0" item="0"/>
          <tpl fld="1" item="212"/>
          <tpl fld="4" item="4"/>
        </tpls>
      </m>
      <m in="0">
        <tpls c="3">
          <tpl fld="0" item="0"/>
          <tpl fld="1" item="116"/>
          <tpl fld="4" item="0"/>
        </tpls>
      </m>
      <m in="0">
        <tpls c="3">
          <tpl fld="0" item="0"/>
          <tpl fld="1" item="324"/>
          <tpl fld="4" item="0"/>
        </tpls>
      </m>
      <m in="0">
        <tpls c="3">
          <tpl fld="0" item="0"/>
          <tpl fld="1" item="314"/>
          <tpl fld="4" item="0"/>
        </tpls>
      </m>
      <m in="0">
        <tpls c="3">
          <tpl fld="0" item="0"/>
          <tpl fld="1" item="394"/>
          <tpl fld="4" item="0"/>
        </tpls>
      </m>
      <m in="0">
        <tpls c="3">
          <tpl fld="0" item="0"/>
          <tpl fld="1" item="431"/>
          <tpl fld="4" item="0"/>
        </tpls>
      </m>
      <m in="0">
        <tpls c="3">
          <tpl fld="0" item="0"/>
          <tpl fld="1" item="355"/>
          <tpl fld="4" item="0"/>
        </tpls>
      </m>
      <m in="0">
        <tpls c="3">
          <tpl fld="0" item="0"/>
          <tpl fld="1" item="280"/>
          <tpl fld="4" item="0"/>
        </tpls>
      </m>
      <m in="0">
        <tpls c="3">
          <tpl fld="0" item="0"/>
          <tpl fld="1" item="411"/>
          <tpl fld="4" item="3"/>
        </tpls>
      </m>
      <m in="0">
        <tpls c="3">
          <tpl fld="0" item="0"/>
          <tpl fld="1" item="320"/>
          <tpl fld="4" item="6"/>
        </tpls>
      </m>
      <m in="0">
        <tpls c="3">
          <tpl fld="0" item="0"/>
          <tpl fld="1" item="359"/>
          <tpl fld="4" item="0"/>
        </tpls>
      </m>
      <m in="0">
        <tpls c="3">
          <tpl fld="0" item="0"/>
          <tpl fld="1" item="393"/>
          <tpl fld="4" item="3"/>
        </tpls>
      </m>
      <m in="0">
        <tpls c="3">
          <tpl fld="0" item="0"/>
          <tpl fld="1" item="326"/>
          <tpl fld="4" item="0"/>
        </tpls>
      </m>
      <m in="0">
        <tpls c="3">
          <tpl fld="0" item="0"/>
          <tpl fld="1" item="304"/>
          <tpl fld="4" item="0"/>
        </tpls>
      </m>
      <m in="0">
        <tpls c="3">
          <tpl fld="0" item="0"/>
          <tpl fld="1" item="230"/>
          <tpl fld="4" item="0"/>
        </tpls>
      </m>
      <m in="0">
        <tpls c="3">
          <tpl fld="0" item="0"/>
          <tpl fld="1" item="320"/>
          <tpl fld="4" item="0"/>
        </tpls>
      </m>
      <m in="0">
        <tpls c="3">
          <tpl fld="0" item="0"/>
          <tpl fld="1" item="403"/>
          <tpl fld="4" item="0"/>
        </tpls>
      </m>
      <m in="0">
        <tpls c="3">
          <tpl fld="0" item="0"/>
          <tpl fld="1" item="408"/>
          <tpl fld="4" item="0"/>
        </tpls>
      </m>
      <m in="0">
        <tpls c="3">
          <tpl fld="0" item="0"/>
          <tpl fld="1" item="395"/>
          <tpl fld="4" item="0"/>
        </tpls>
      </m>
      <m in="0">
        <tpls c="3">
          <tpl fld="0" item="0"/>
          <tpl fld="1" item="375"/>
          <tpl fld="4" item="1"/>
        </tpls>
      </m>
      <m in="0">
        <tpls c="3">
          <tpl fld="0" item="0"/>
          <tpl fld="1" item="266"/>
          <tpl fld="4" item="0"/>
        </tpls>
      </m>
      <m in="0">
        <tpls c="3">
          <tpl fld="0" item="0"/>
          <tpl fld="1" item="18"/>
          <tpl fld="4" item="3"/>
        </tpls>
      </m>
      <m in="0">
        <tpls c="3">
          <tpl fld="0" item="0"/>
          <tpl fld="1" item="367"/>
          <tpl fld="4" item="1"/>
        </tpls>
      </m>
      <m in="0">
        <tpls c="3">
          <tpl fld="0" item="0"/>
          <tpl fld="1" item="310"/>
          <tpl fld="4" item="0"/>
        </tpls>
      </m>
      <m in="0">
        <tpls c="3">
          <tpl fld="0" item="0"/>
          <tpl fld="1" item="418"/>
          <tpl fld="4" item="0"/>
        </tpls>
      </m>
      <m in="0">
        <tpls c="3">
          <tpl fld="0" item="0"/>
          <tpl fld="1" item="327"/>
          <tpl fld="4" item="3"/>
        </tpls>
      </m>
      <m in="0">
        <tpls c="3">
          <tpl fld="0" item="0"/>
          <tpl fld="1" item="334"/>
          <tpl fld="4" item="3"/>
        </tpls>
      </m>
      <m in="0">
        <tpls c="3">
          <tpl fld="0" item="0"/>
          <tpl fld="1" item="443"/>
          <tpl fld="4" item="0"/>
        </tpls>
      </m>
      <m in="0">
        <tpls c="3">
          <tpl fld="0" item="0"/>
          <tpl fld="1" item="299"/>
          <tpl fld="4" item="0"/>
        </tpls>
      </m>
      <m in="0">
        <tpls c="3">
          <tpl fld="0" item="0"/>
          <tpl fld="1" item="341"/>
          <tpl fld="4" item="0"/>
        </tpls>
      </m>
      <m in="0">
        <tpls c="3">
          <tpl fld="0" item="0"/>
          <tpl fld="1" item="326"/>
          <tpl fld="4" item="4"/>
        </tpls>
      </m>
      <m in="0">
        <tpls c="3">
          <tpl fld="0" item="0"/>
          <tpl fld="1" item="34"/>
          <tpl fld="4" item="0"/>
        </tpls>
      </m>
      <m in="0">
        <tpls c="3">
          <tpl fld="0" item="0"/>
          <tpl fld="1" item="264"/>
          <tpl fld="4" item="0"/>
        </tpls>
      </m>
      <m in="0">
        <tpls c="3">
          <tpl fld="0" item="0"/>
          <tpl fld="1" item="312"/>
          <tpl fld="4" item="0"/>
        </tpls>
      </m>
      <m in="0">
        <tpls c="3">
          <tpl fld="0" item="0"/>
          <tpl fld="1" item="177"/>
          <tpl fld="4" item="0"/>
        </tpls>
      </m>
      <m in="0">
        <tpls c="3">
          <tpl fld="0" item="0"/>
          <tpl fld="1" item="257"/>
          <tpl fld="4" item="3"/>
        </tpls>
      </m>
      <m in="0">
        <tpls c="3">
          <tpl fld="0" item="0"/>
          <tpl fld="1" item="396"/>
          <tpl fld="4" item="3"/>
        </tpls>
      </m>
      <m in="0">
        <tpls c="3">
          <tpl fld="0" item="0"/>
          <tpl fld="1" item="423"/>
          <tpl fld="4" item="0"/>
        </tpls>
      </m>
      <m in="0">
        <tpls c="3">
          <tpl fld="0" item="0"/>
          <tpl fld="1" item="143"/>
          <tpl fld="4" item="6"/>
        </tpls>
      </m>
      <n v="3" in="0">
        <tpls c="3">
          <tpl fld="0" item="0"/>
          <tpl fld="1" item="288"/>
          <tpl fld="4" item="0"/>
        </tpls>
      </n>
      <m in="0">
        <tpls c="3">
          <tpl fld="0" item="0"/>
          <tpl fld="1" item="293"/>
          <tpl fld="4" item="0"/>
        </tpls>
      </m>
      <m in="0">
        <tpls c="3">
          <tpl fld="0" item="0"/>
          <tpl fld="1" item="284"/>
          <tpl fld="4" item="3"/>
        </tpls>
      </m>
      <m in="0">
        <tpls c="3">
          <tpl fld="0" item="0"/>
          <tpl fld="1" item="312"/>
          <tpl fld="4" item="4"/>
        </tpls>
      </m>
      <m in="0">
        <tpls c="3">
          <tpl fld="0" item="0"/>
          <tpl fld="1" item="335"/>
          <tpl fld="4" item="3"/>
        </tpls>
      </m>
      <m in="0">
        <tpls c="3">
          <tpl fld="0" item="0"/>
          <tpl fld="1" item="90"/>
          <tpl fld="4" item="0"/>
        </tpls>
      </m>
      <m in="0">
        <tpls c="3">
          <tpl fld="0" item="0"/>
          <tpl fld="1" item="361"/>
          <tpl fld="4" item="0"/>
        </tpls>
      </m>
      <m in="0">
        <tpls c="3">
          <tpl fld="0" item="0"/>
          <tpl fld="1" item="374"/>
          <tpl fld="4" item="0"/>
        </tpls>
      </m>
      <m in="0">
        <tpls c="3">
          <tpl fld="0" item="0"/>
          <tpl fld="1" item="207"/>
          <tpl fld="4" item="0"/>
        </tpls>
      </m>
      <m in="0">
        <tpls c="3">
          <tpl fld="0" item="0"/>
          <tpl fld="1" item="426"/>
          <tpl fld="4" item="0"/>
        </tpls>
      </m>
      <m in="0">
        <tpls c="3">
          <tpl fld="0" item="0"/>
          <tpl fld="1" item="76"/>
          <tpl fld="4" item="6"/>
        </tpls>
      </m>
      <m in="0">
        <tpls c="3">
          <tpl fld="0" item="0"/>
          <tpl fld="1" item="247"/>
          <tpl fld="4" item="3"/>
        </tpls>
      </m>
      <m in="0">
        <tpls c="3">
          <tpl fld="0" item="0"/>
          <tpl fld="1" item="358"/>
          <tpl fld="4" item="3"/>
        </tpls>
      </m>
      <m in="0">
        <tpls c="3">
          <tpl fld="0" item="0"/>
          <tpl fld="1" item="444"/>
          <tpl fld="4" item="0"/>
        </tpls>
      </m>
      <m in="0">
        <tpls c="3">
          <tpl fld="0" item="0"/>
          <tpl fld="1" item="284"/>
          <tpl fld="4" item="0"/>
        </tpls>
      </m>
      <m in="0">
        <tpls c="3">
          <tpl fld="0" item="0"/>
          <tpl fld="1" item="89"/>
          <tpl fld="4" item="3"/>
        </tpls>
      </m>
    </entries>
    <queryCache count="505">
      <query mdx="[DimDate].[MonthYear].&amp;[Mar-2021]">
        <tpls c="1">
          <tpl fld="0" item="0"/>
        </tpls>
      </query>
      <query mdx="SMQHXlvCu3E">
        <tpls c="1">
          <tpl fld="1" item="0"/>
        </tpls>
      </query>
      <query mdx="xnLQ6iHEMl0">
        <tpls c="1">
          <tpl fld="1" item="1"/>
        </tpls>
      </query>
      <query mdx="U7KZ5felBfl">
        <tpls c="1">
          <tpl fld="1" item="2"/>
        </tpls>
      </query>
      <query mdx="IMo8jiYPN3x">
        <tpls c="1">
          <tpl fld="1" item="3"/>
        </tpls>
      </query>
      <query mdx="U4KlQrYnLuT">
        <tpls c="1">
          <tpl fld="1" item="4"/>
        </tpls>
      </query>
      <query mdx="fBDng9a6xmT">
        <tpls c="1">
          <tpl fld="1" item="5"/>
        </tpls>
      </query>
      <query mdx="vu43BvILKnh">
        <tpls c="1">
          <tpl fld="1" item="6"/>
        </tpls>
      </query>
      <query mdx="iSW2OEfgaB0">
        <tpls c="1">
          <tpl fld="1" item="7"/>
        </tpls>
      </query>
      <query mdx="qMa6PmSTFDb">
        <tpls c="1">
          <tpl fld="1" item="8"/>
        </tpls>
      </query>
      <query mdx="pmFxsXjnZTR">
        <tpls c="1">
          <tpl fld="1" item="9"/>
        </tpls>
      </query>
      <query mdx="sAiUHL6o4Zy">
        <tpls c="1">
          <tpl fld="1" item="10"/>
        </tpls>
      </query>
      <query mdx="yyh3ldMnCqw">
        <tpls c="1">
          <tpl fld="1" item="11"/>
        </tpls>
      </query>
      <query mdx="c70Hpw2wvsl">
        <tpls c="1">
          <tpl fld="1" item="12"/>
        </tpls>
      </query>
      <query mdx="fK0WApsPTnR">
        <tpls c="1">
          <tpl fld="1" item="13"/>
        </tpls>
      </query>
      <query mdx="clfMiN7t4oi">
        <tpls c="1">
          <tpl fld="1" item="14"/>
        </tpls>
      </query>
      <query mdx="uoqb9h9OYWB">
        <tpls c="1">
          <tpl fld="1" item="15"/>
        </tpls>
      </query>
      <query mdx="z1s0nhA2AwA">
        <tpls c="1">
          <tpl fld="1" item="16"/>
        </tpls>
      </query>
      <query mdx="NcKkqQ0weuO">
        <tpls c="1">
          <tpl fld="1" item="17"/>
        </tpls>
      </query>
      <query mdx="uLmEopM5eak">
        <tpls c="1">
          <tpl fld="1" item="18"/>
        </tpls>
      </query>
      <query mdx="cziV9MZvghm">
        <tpls c="1">
          <tpl fld="1" item="19"/>
        </tpls>
      </query>
      <query mdx="bX98B3p125A">
        <tpls c="1">
          <tpl fld="1" item="20"/>
        </tpls>
      </query>
      <query mdx="F5YLv2Qe3LH">
        <tpls c="1">
          <tpl fld="1" item="21"/>
        </tpls>
      </query>
      <query mdx="ZUuECn6hGeF">
        <tpls c="1">
          <tpl fld="1" item="22"/>
        </tpls>
      </query>
      <query mdx="vwQnm09aNfp">
        <tpls c="1">
          <tpl fld="1" item="23"/>
        </tpls>
      </query>
      <query mdx="TssW05z275O">
        <tpls c="1">
          <tpl fld="1" item="24"/>
        </tpls>
      </query>
      <query mdx="zRODh1oUwN3">
        <tpls c="1">
          <tpl fld="1" item="25"/>
        </tpls>
      </query>
      <query mdx="NeGbQFFTVgt">
        <tpls c="1">
          <tpl fld="1" item="26"/>
        </tpls>
      </query>
      <query mdx="AK9l0Uij1A3">
        <tpls c="1">
          <tpl fld="1" item="27"/>
        </tpls>
      </query>
      <query mdx="gFz5EsVW0LX">
        <tpls c="1">
          <tpl fld="1" item="28"/>
        </tpls>
      </query>
      <query mdx="JFi5ZngxtG9">
        <tpls c="1">
          <tpl fld="1" item="29"/>
        </tpls>
      </query>
      <query mdx="uPPW9FYgBKQ">
        <tpls c="1">
          <tpl fld="1" item="30"/>
        </tpls>
      </query>
      <query mdx="muQgzuM2tnC">
        <tpls c="1">
          <tpl fld="1" item="31"/>
        </tpls>
      </query>
      <query mdx="VHdizOLlCcM">
        <tpls c="1">
          <tpl fld="1" item="32"/>
        </tpls>
      </query>
      <query mdx="tUY31w3gRzj">
        <tpls c="1">
          <tpl fld="1" item="33"/>
        </tpls>
      </query>
      <query mdx="QYd2sBZMbHk">
        <tpls c="1">
          <tpl fld="1" item="34"/>
        </tpls>
      </query>
      <query mdx="i3FmyyPnFsY">
        <tpls c="1">
          <tpl fld="1" item="35"/>
        </tpls>
      </query>
      <query mdx="XbmFgmYboW4">
        <tpls c="1">
          <tpl fld="1" item="36"/>
        </tpls>
      </query>
      <query mdx="U5YX4pAJTog">
        <tpls c="1">
          <tpl fld="1" item="37"/>
        </tpls>
      </query>
      <query mdx="tXhoKpdkzMD">
        <tpls c="1">
          <tpl fld="1" item="38"/>
        </tpls>
      </query>
      <query mdx="Bpzm6iRYANd">
        <tpls c="1">
          <tpl fld="1" item="39"/>
        </tpls>
      </query>
      <query mdx="S1EY8S9iohH">
        <tpls c="1">
          <tpl fld="1" item="40"/>
        </tpls>
      </query>
      <query mdx="KDX3TYylacB">
        <tpls c="1">
          <tpl fld="1" item="41"/>
        </tpls>
      </query>
      <query mdx="Ud7qGxaoZo6">
        <tpls c="1">
          <tpl fld="1" item="42"/>
        </tpls>
      </query>
      <query mdx="Zq16fskl8Xm">
        <tpls c="1">
          <tpl fld="1" item="43"/>
        </tpls>
      </query>
      <query mdx="yFiYgAMf4Rw">
        <tpls c="1">
          <tpl fld="1" item="44"/>
        </tpls>
      </query>
      <query mdx="Iwf7mFEFBQb">
        <tpls c="1">
          <tpl fld="1" item="45"/>
        </tpls>
      </query>
      <query mdx="Lh12f6DN46Q">
        <tpls c="1">
          <tpl fld="1" item="46"/>
        </tpls>
      </query>
      <query mdx="YbLGEdUJKxq">
        <tpls c="1">
          <tpl fld="1" item="47"/>
        </tpls>
      </query>
      <query mdx="MgKoXfwe0qs">
        <tpls c="1">
          <tpl fld="1" item="48"/>
        </tpls>
      </query>
      <query mdx="MsbIhftosap">
        <tpls c="1">
          <tpl fld="1" item="49"/>
        </tpls>
      </query>
      <query mdx="UVtBvguGE1l">
        <tpls c="1">
          <tpl fld="1" item="50"/>
        </tpls>
      </query>
      <query mdx="bXn9b3ySqcY">
        <tpls c="1">
          <tpl fld="1" item="51"/>
        </tpls>
      </query>
      <query mdx="XYkVymEGXVv">
        <tpls c="1">
          <tpl fld="1" item="52"/>
        </tpls>
      </query>
      <query mdx="bZTYSMB1mzT">
        <tpls c="1">
          <tpl fld="1" item="53"/>
        </tpls>
      </query>
      <query mdx="PyXqJHKvdcL">
        <tpls c="1">
          <tpl fld="1" item="54"/>
        </tpls>
      </query>
      <query mdx="UmFKGzYIRlH">
        <tpls c="1">
          <tpl fld="1" item="55"/>
        </tpls>
      </query>
      <query mdx="ex0HWmhH8xE">
        <tpls c="1">
          <tpl fld="1" item="56"/>
        </tpls>
      </query>
      <query mdx="F0YRADCbTWW">
        <tpls c="1">
          <tpl fld="1" item="57"/>
        </tpls>
      </query>
      <query mdx="KFI7eRyi92B">
        <tpls c="1">
          <tpl fld="1" item="58"/>
        </tpls>
      </query>
      <query mdx="GO6UJtTT70U">
        <tpls c="1">
          <tpl fld="1" item="59"/>
        </tpls>
      </query>
      <query mdx="mflVv9PoWrX">
        <tpls c="1">
          <tpl fld="1" item="60"/>
        </tpls>
      </query>
      <query mdx="onnSlIb3fov">
        <tpls c="1">
          <tpl fld="1" item="61"/>
        </tpls>
      </query>
      <query mdx="qqFsT5vwiNj">
        <tpls c="1">
          <tpl fld="1" item="62"/>
        </tpls>
      </query>
      <query mdx="Uog0cksni8j">
        <tpls c="1">
          <tpl fld="1" item="63"/>
        </tpls>
      </query>
      <query mdx="sPnks3ULfzh">
        <tpls c="1">
          <tpl fld="1" item="64"/>
        </tpls>
      </query>
      <query mdx="IlbcsFglOas">
        <tpls c="1">
          <tpl fld="1" item="65"/>
        </tpls>
      </query>
      <query mdx="I3bnCBLIOUg">
        <tpls c="1">
          <tpl fld="1" item="66"/>
        </tpls>
      </query>
      <query mdx="E3b007udXJO">
        <tpls c="1">
          <tpl fld="1" item="67"/>
        </tpls>
      </query>
      <query mdx="SbOeezkgkxi">
        <tpls c="1">
          <tpl fld="1" item="68"/>
        </tpls>
      </query>
      <query mdx="sH0BZ50HC3G">
        <tpls c="1">
          <tpl fld="1" item="69"/>
        </tpls>
      </query>
      <query mdx="m9IPB5W2ui5">
        <tpls c="1">
          <tpl fld="1" item="70"/>
        </tpls>
      </query>
      <query mdx="jzgT3RN1k0K">
        <tpls c="1">
          <tpl fld="1" item="71"/>
        </tpls>
      </query>
      <query mdx="DPvLCtVV1fE">
        <tpls c="1">
          <tpl fld="1" item="72"/>
        </tpls>
      </query>
      <query mdx="URMOjIdUz8v">
        <tpls c="1">
          <tpl fld="1" item="73"/>
        </tpls>
      </query>
      <query mdx="HOdPAXnaKgD">
        <tpls c="1">
          <tpl fld="1" item="74"/>
        </tpls>
      </query>
      <query mdx="NutklHYs98l">
        <tpls c="1">
          <tpl fld="1" item="75"/>
        </tpls>
      </query>
      <query mdx="gw5xiUIssDi">
        <tpls c="1">
          <tpl fld="1" item="76"/>
        </tpls>
      </query>
      <query mdx="yjiBGeQ9eSm">
        <tpls c="1">
          <tpl fld="1" item="77"/>
        </tpls>
      </query>
      <query mdx="jko4TJ7zXdc">
        <tpls c="1">
          <tpl fld="1" item="78"/>
        </tpls>
      </query>
      <query mdx="TTzq8jvhQLa">
        <tpls c="1">
          <tpl fld="1" item="79"/>
        </tpls>
      </query>
      <query mdx="x64PignSHiF">
        <tpls c="1">
          <tpl fld="1" item="80"/>
        </tpls>
      </query>
      <query mdx="F3LX6VorS69">
        <tpls c="1">
          <tpl fld="1" item="81"/>
        </tpls>
      </query>
      <query mdx="YxOIfEqAGHJ">
        <tpls c="1">
          <tpl fld="1" item="82"/>
        </tpls>
      </query>
      <query mdx="OpvjykY5Rg3">
        <tpls c="1">
          <tpl fld="1" item="83"/>
        </tpls>
      </query>
      <query mdx="ekk83JtC1b5">
        <tpls c="1">
          <tpl fld="1" item="84"/>
        </tpls>
      </query>
      <query mdx="Dp3rtgtfIFF">
        <tpls c="1">
          <tpl fld="1" item="85"/>
        </tpls>
      </query>
      <query mdx="oP49AJl9PMe">
        <tpls c="1">
          <tpl fld="1" item="86"/>
        </tpls>
      </query>
      <query mdx="CKpAgVkDXi0">
        <tpls c="1">
          <tpl fld="1" item="87"/>
        </tpls>
      </query>
      <query mdx="vznSllthow8">
        <tpls c="1">
          <tpl fld="1" item="88"/>
        </tpls>
      </query>
      <query mdx="ChgS0lWHqdu">
        <tpls c="1">
          <tpl fld="1" item="89"/>
        </tpls>
      </query>
      <query mdx="A7H0Bj3oEUb">
        <tpls c="1">
          <tpl fld="1" item="90"/>
        </tpls>
      </query>
      <query mdx="v2hoVpNNLLz">
        <tpls c="1">
          <tpl fld="1" item="91"/>
        </tpls>
      </query>
      <query mdx="MoAxgdrUeiF">
        <tpls c="1">
          <tpl fld="1" item="92"/>
        </tpls>
      </query>
      <query mdx="p0N8H8sexN7">
        <tpls c="1">
          <tpl fld="1" item="93"/>
        </tpls>
      </query>
      <query mdx="zgztK7Zhycv">
        <tpls c="1">
          <tpl fld="1" item="94"/>
        </tpls>
      </query>
      <query mdx="Si2ovtj1kIW">
        <tpls c="1">
          <tpl fld="1" item="95"/>
        </tpls>
      </query>
      <query mdx="ShwCDL3Zk6K">
        <tpls c="1">
          <tpl fld="1" item="96"/>
        </tpls>
      </query>
      <query mdx="RqxywsnxG5B">
        <tpls c="1">
          <tpl fld="1" item="97"/>
        </tpls>
      </query>
      <query mdx="wj0v8Ax2R2k">
        <tpls c="1">
          <tpl fld="1" item="98"/>
        </tpls>
      </query>
      <query mdx="GSXct5moJkF">
        <tpls c="1">
          <tpl fld="1" item="99"/>
        </tpls>
      </query>
      <query mdx="Hm48W2usGXa">
        <tpls c="1">
          <tpl fld="1" item="100"/>
        </tpls>
      </query>
      <query mdx="H8MHwDT5LEX">
        <tpls c="1">
          <tpl fld="1" item="101"/>
        </tpls>
      </query>
      <query mdx="FfTauIa3plC">
        <tpls c="1">
          <tpl fld="1" item="102"/>
        </tpls>
      </query>
      <query mdx="gPkyxeE8Pz8">
        <tpls c="1">
          <tpl fld="1" item="103"/>
        </tpls>
      </query>
      <query mdx="aQpQuVSdSfa">
        <tpls c="1">
          <tpl fld="1" item="104"/>
        </tpls>
      </query>
      <query mdx="fJm3k6nWBv9">
        <tpls c="1">
          <tpl fld="1" item="105"/>
        </tpls>
      </query>
      <query mdx="hD1ajlgmDlr">
        <tpls c="1">
          <tpl fld="1" item="106"/>
        </tpls>
      </query>
      <query mdx="Wju5tA8Pa8z">
        <tpls c="1">
          <tpl fld="1" item="107"/>
        </tpls>
      </query>
      <query mdx="heqdTuQ4nVI">
        <tpls c="1">
          <tpl fld="1" item="108"/>
        </tpls>
      </query>
      <query mdx="opwbxzA0SxO">
        <tpls c="1">
          <tpl fld="1" item="109"/>
        </tpls>
      </query>
      <query mdx="BqLWxJKhoov">
        <tpls c="1">
          <tpl fld="1" item="110"/>
        </tpls>
      </query>
      <query mdx="aS8xS9udCEb">
        <tpls c="1">
          <tpl fld="1" item="111"/>
        </tpls>
      </query>
      <query mdx="Ds6hoqP633F">
        <tpls c="1">
          <tpl fld="1" item="112"/>
        </tpls>
      </query>
      <query mdx="OlnAUL94Brl">
        <tpls c="1">
          <tpl fld="1" item="113"/>
        </tpls>
      </query>
      <query mdx="xCQBwPBz5Xj">
        <tpls c="1">
          <tpl fld="1" item="114"/>
        </tpls>
      </query>
      <query mdx="Zuoti8S10SH">
        <tpls c="1">
          <tpl fld="1" item="115"/>
        </tpls>
      </query>
      <query mdx="EnUhkzNgKk1">
        <tpls c="1">
          <tpl fld="1" item="116"/>
        </tpls>
      </query>
      <query mdx="jgV66kom6Mz">
        <tpls c="1">
          <tpl fld="1" item="117"/>
        </tpls>
      </query>
      <query mdx="j3SElBP8EH7">
        <tpls c="1">
          <tpl fld="1" item="118"/>
        </tpls>
      </query>
      <query mdx="xvkbTM2WUqk">
        <tpls c="1">
          <tpl fld="1" item="119"/>
        </tpls>
      </query>
      <query mdx="UhZhYnEVIlk">
        <tpls c="1">
          <tpl fld="1" item="120"/>
        </tpls>
      </query>
      <query mdx="Cl2R3A3CXLz">
        <tpls c="1">
          <tpl fld="1" item="121"/>
        </tpls>
      </query>
      <query mdx="RYJZ1FyyRmL">
        <tpls c="1">
          <tpl fld="1" item="122"/>
        </tpls>
      </query>
      <query mdx="XEEVmTsbgr7">
        <tpls c="1">
          <tpl fld="1" item="123"/>
        </tpls>
      </query>
      <query mdx="C4TxOq9JMl2">
        <tpls c="1">
          <tpl fld="1" item="124"/>
        </tpls>
      </query>
      <query mdx="Gpy7ai3okAi">
        <tpls c="1">
          <tpl fld="1" item="125"/>
        </tpls>
      </query>
      <query mdx="LHXkMX09pp6">
        <tpls c="1">
          <tpl fld="1" item="126"/>
        </tpls>
      </query>
      <query mdx="mWf5sYJssot">
        <tpls c="1">
          <tpl fld="1" item="127"/>
        </tpls>
      </query>
      <query mdx="ycSpyYkBfsY">
        <tpls c="1">
          <tpl fld="1" item="128"/>
        </tpls>
      </query>
      <query mdx="ItWmY6sJUVT">
        <tpls c="1">
          <tpl fld="1" item="129"/>
        </tpls>
      </query>
      <query mdx="S2NRGJ8zrIK">
        <tpls c="1">
          <tpl fld="1" item="130"/>
        </tpls>
      </query>
      <query mdx="Gl6fMdljbLX">
        <tpls c="1">
          <tpl fld="1" item="131"/>
        </tpls>
      </query>
      <query mdx="e18PQnXrGHz">
        <tpls c="1">
          <tpl fld="1" item="132"/>
        </tpls>
      </query>
      <query mdx="zzbRHWE2TyL">
        <tpls c="1">
          <tpl fld="1" item="133"/>
        </tpls>
      </query>
      <query mdx="wE4pOav0ksB">
        <tpls c="1">
          <tpl fld="1" item="134"/>
        </tpls>
      </query>
      <query mdx="RDEW3Qh4CeM">
        <tpls c="1">
          <tpl fld="1" item="135"/>
        </tpls>
      </query>
      <query mdx="DSjSuEp7VsC">
        <tpls c="1">
          <tpl fld="1" item="136"/>
        </tpls>
      </query>
      <query mdx="PPrMXOyJp96">
        <tpls c="1">
          <tpl fld="1" item="137"/>
        </tpls>
      </query>
      <query mdx="ELQDeDWVGrk">
        <tpls c="1">
          <tpl fld="1" item="138"/>
        </tpls>
      </query>
      <query mdx="OxiUumWLJry">
        <tpls c="1">
          <tpl fld="1" item="139"/>
        </tpls>
      </query>
      <query mdx="YSRFsacHvd8">
        <tpls c="1">
          <tpl fld="1" item="140"/>
        </tpls>
      </query>
      <query mdx="cM3Y5if2Jqp">
        <tpls c="1">
          <tpl fld="1" item="141"/>
        </tpls>
      </query>
      <query mdx="o0Q8LkjToOP">
        <tpls c="1">
          <tpl fld="1" item="142"/>
        </tpls>
      </query>
      <query mdx="R1C6X7xTgBl">
        <tpls c="1">
          <tpl fld="1" item="143"/>
        </tpls>
      </query>
      <query mdx="trixg6G3fxg">
        <tpls c="1">
          <tpl fld="1" item="144"/>
        </tpls>
      </query>
      <query mdx="M40HNlw3PvV">
        <tpls c="1">
          <tpl fld="1" item="145"/>
        </tpls>
      </query>
      <query mdx="NSjnORHNMsq">
        <tpls c="1">
          <tpl fld="1" item="146"/>
        </tpls>
      </query>
      <query mdx="djak6fHOzPk">
        <tpls c="1">
          <tpl fld="1" item="147"/>
        </tpls>
      </query>
      <query mdx="cO2BEfldruW">
        <tpls c="1">
          <tpl fld="2" item="0"/>
        </tpls>
      </query>
      <query mdx="mbQl11CbcGn">
        <tpls c="1">
          <tpl fld="1" item="148"/>
        </tpls>
      </query>
      <query mdx="BdNBVRJ34pX">
        <tpls c="1">
          <tpl fld="1" item="149"/>
        </tpls>
      </query>
      <query mdx="wbOGKMKaR6b">
        <tpls c="1">
          <tpl fld="1" item="150"/>
        </tpls>
      </query>
      <query mdx="Bjz6d6dIFv7">
        <tpls c="1">
          <tpl fld="1" item="151"/>
        </tpls>
      </query>
      <query mdx="RzIULFwpOAp">
        <tpls c="1">
          <tpl fld="1" item="152"/>
        </tpls>
      </query>
      <query mdx="hfz4dPBVK9F">
        <tpls c="1">
          <tpl fld="1" item="153"/>
        </tpls>
      </query>
      <query mdx="YIHta2d6BMG">
        <tpls c="1">
          <tpl fld="1" item="154"/>
        </tpls>
      </query>
      <query mdx="iUaEAyiSm6i">
        <tpls c="1">
          <tpl fld="1" item="155"/>
        </tpls>
      </query>
      <query mdx="oRTNggd3OxT">
        <tpls c="1">
          <tpl fld="1" item="156"/>
        </tpls>
      </query>
      <query mdx="V3AT5xzqmnd">
        <tpls c="1">
          <tpl fld="1" item="157"/>
        </tpls>
      </query>
      <query mdx="rLOIAw0yDYl">
        <tpls c="1">
          <tpl fld="1" item="158"/>
        </tpls>
      </query>
      <query mdx="oOHflfGAo0t">
        <tpls c="1">
          <tpl fld="1" item="159"/>
        </tpls>
      </query>
      <query mdx="H32wglLsifS">
        <tpls c="1">
          <tpl fld="1" item="160"/>
        </tpls>
      </query>
      <query mdx="Sas4inTdsn7">
        <tpls c="1">
          <tpl fld="1" item="161"/>
        </tpls>
      </query>
      <query mdx="KY53V8ao3xr">
        <tpls c="1">
          <tpl fld="1" item="162"/>
        </tpls>
      </query>
      <query mdx="S2T9PNNSILo">
        <tpls c="1">
          <tpl fld="1" item="163"/>
        </tpls>
      </query>
      <query mdx="oz4wV0RCA8A">
        <tpls c="1">
          <tpl fld="1" item="164"/>
        </tpls>
      </query>
      <query mdx="wAE3jX0VttC">
        <tpls c="1">
          <tpl fld="1" item="165"/>
        </tpls>
      </query>
      <query mdx="Q3WrXxmuaJx">
        <tpls c="1">
          <tpl fld="1" item="166"/>
        </tpls>
      </query>
      <query mdx="eDEOZVZ8rp4">
        <tpls c="1">
          <tpl fld="1" item="167"/>
        </tpls>
      </query>
      <query mdx="XJFi3MHLdb6">
        <tpls c="1">
          <tpl fld="1" item="168"/>
        </tpls>
      </query>
      <query mdx="Klv29JoYvNz">
        <tpls c="1">
          <tpl fld="1" item="169"/>
        </tpls>
      </query>
      <query mdx="rXbnN1N3miY">
        <tpls c="1">
          <tpl fld="1" item="170"/>
        </tpls>
      </query>
      <query mdx="iCWGDfcMrLf">
        <tpls c="1">
          <tpl fld="1" item="171"/>
        </tpls>
      </query>
      <query mdx="J0GYmZwVn6j">
        <tpls c="1">
          <tpl fld="1" item="172"/>
        </tpls>
      </query>
      <query mdx="iVZSZDNIlZI">
        <tpls c="1">
          <tpl fld="1" item="173"/>
        </tpls>
      </query>
      <query mdx="EXLpGRLfKW6">
        <tpls c="1">
          <tpl fld="1" item="174"/>
        </tpls>
      </query>
      <query mdx="kCo6yS73mKp">
        <tpls c="1">
          <tpl fld="1" item="175"/>
        </tpls>
      </query>
      <query mdx="RGYr7gq0WGk">
        <tpls c="1">
          <tpl fld="1" item="176"/>
        </tpls>
      </query>
      <query mdx="xVYspAZ2gIs">
        <tpls c="1">
          <tpl fld="1" item="177"/>
        </tpls>
      </query>
      <query mdx="AjiiSQ0MyeM">
        <tpls c="1">
          <tpl fld="1" item="178"/>
        </tpls>
      </query>
      <query mdx="jEIVE89LvkC">
        <tpls c="1">
          <tpl fld="1" item="179"/>
        </tpls>
      </query>
      <query mdx="sq0JPWanBtn">
        <tpls c="1">
          <tpl fld="1" item="180"/>
        </tpls>
      </query>
      <query mdx="CeYHbVX07Aa">
        <tpls c="1">
          <tpl fld="1" item="181"/>
        </tpls>
      </query>
      <query mdx="qY2EeAWVZrA">
        <tpls c="1">
          <tpl fld="1" item="182"/>
        </tpls>
      </query>
      <query mdx="OWMG9Wj9MzK">
        <tpls c="1">
          <tpl fld="1" item="183"/>
        </tpls>
      </query>
      <query mdx="VsbAhLi12A5">
        <tpls c="1">
          <tpl fld="1" item="184"/>
        </tpls>
      </query>
      <query mdx="UEh5yPxgWcB">
        <tpls c="1">
          <tpl fld="1" item="185"/>
        </tpls>
      </query>
      <query mdx="jMADqQzHl46">
        <tpls c="1">
          <tpl fld="1" item="186"/>
        </tpls>
      </query>
      <query mdx="rqIZSNUrges">
        <tpls c="1">
          <tpl fld="1" item="187"/>
        </tpls>
      </query>
      <query mdx="a0GBRdGUhKN">
        <tpls c="1">
          <tpl fld="1" item="188"/>
        </tpls>
      </query>
      <query mdx="d8wL2A0qjsW">
        <tpls c="1">
          <tpl fld="1" item="189"/>
        </tpls>
      </query>
      <query mdx="evT0ozlNfnY">
        <tpls c="1">
          <tpl fld="1" item="190"/>
        </tpls>
      </query>
      <query mdx="vYSh1bCczUX">
        <tpls c="1">
          <tpl fld="1" item="191"/>
        </tpls>
      </query>
      <query mdx="wNc2OpUaFRF">
        <tpls c="1">
          <tpl fld="1" item="192"/>
        </tpls>
      </query>
      <query mdx="pdB8DCmTUY5">
        <tpls c="1">
          <tpl fld="1" item="193"/>
        </tpls>
      </query>
      <query mdx="USpZAV2rtji">
        <tpls c="1">
          <tpl fld="1" item="194"/>
        </tpls>
      </query>
      <query mdx="CqzwqgXZzHW">
        <tpls c="1">
          <tpl fld="1" item="195"/>
        </tpls>
      </query>
      <query mdx="PFkGSMrtBcu">
        <tpls c="1">
          <tpl fld="1" item="196"/>
        </tpls>
      </query>
      <query mdx="rXOwjCuPoqu">
        <tpls c="1">
          <tpl fld="1" item="197"/>
        </tpls>
      </query>
      <query mdx="SkkagomuCDx">
        <tpls c="1">
          <tpl fld="1" item="198"/>
        </tpls>
      </query>
      <query mdx="dXm9x7MJyQN">
        <tpls c="1">
          <tpl fld="1" item="199"/>
        </tpls>
      </query>
      <query mdx="L8c8qYknyd1">
        <tpls c="1">
          <tpl fld="1" item="200"/>
        </tpls>
      </query>
      <query mdx="uS3QKrq2t9W">
        <tpls c="1">
          <tpl fld="1" item="201"/>
        </tpls>
      </query>
      <query mdx="KQrPeIlbLUK">
        <tpls c="1">
          <tpl fld="1" item="202"/>
        </tpls>
      </query>
      <query mdx="tNtahLAJhOR">
        <tpls c="1">
          <tpl fld="1" item="203"/>
        </tpls>
      </query>
      <query mdx="ziS0w5Z0gp9">
        <tpls c="1">
          <tpl fld="1" item="204"/>
        </tpls>
      </query>
      <query mdx="zlTchTQkMY4">
        <tpls c="1">
          <tpl fld="1" item="205"/>
        </tpls>
      </query>
      <query mdx="POxTI7ekTAs">
        <tpls c="1">
          <tpl fld="1" item="206"/>
        </tpls>
      </query>
      <query mdx="eJoop7PVwYf">
        <tpls c="1">
          <tpl fld="1" item="207"/>
        </tpls>
      </query>
      <query mdx="uQasoVPqvTG">
        <tpls c="1">
          <tpl fld="1" item="208"/>
        </tpls>
      </query>
      <query mdx="NbGMoYOcMOY">
        <tpls c="1">
          <tpl fld="1" item="209"/>
        </tpls>
      </query>
      <query mdx="ZqIbJ9o2jNc">
        <tpls c="1">
          <tpl fld="1" item="210"/>
        </tpls>
      </query>
      <query mdx="dZ6O2x9Nbc3">
        <tpls c="1">
          <tpl fld="1" item="211"/>
        </tpls>
      </query>
      <query mdx="aH7J4xxE7qg">
        <tpls c="1">
          <tpl fld="1" item="212"/>
        </tpls>
      </query>
      <query mdx="Xime4FtcA5r">
        <tpls c="1">
          <tpl fld="1" item="213"/>
        </tpls>
      </query>
      <query mdx="TCbZv0rA0KH">
        <tpls c="1">
          <tpl fld="1" item="214"/>
        </tpls>
      </query>
      <query mdx="yt8dRMOX3Pm">
        <tpls c="1">
          <tpl fld="1" item="215"/>
        </tpls>
      </query>
      <query mdx="qpQLGtXO1lL">
        <tpls c="1">
          <tpl fld="1" item="216"/>
        </tpls>
      </query>
      <query mdx="Fb3mHHm2pEs">
        <tpls c="1">
          <tpl fld="1" item="217"/>
        </tpls>
      </query>
      <query mdx="NmIIrhkWSy5">
        <tpls c="1">
          <tpl fld="1" item="218"/>
        </tpls>
      </query>
      <query mdx="k5JdPt9uWMm">
        <tpls c="1">
          <tpl fld="1" item="219"/>
        </tpls>
      </query>
      <query mdx="gX2Cg14njcr">
        <tpls c="1">
          <tpl fld="1" item="220"/>
        </tpls>
      </query>
      <query mdx="g5He5r5b8jn">
        <tpls c="1">
          <tpl fld="1" item="221"/>
        </tpls>
      </query>
      <query mdx="xNuTBqUD1CF">
        <tpls c="1">
          <tpl fld="1" item="222"/>
        </tpls>
      </query>
      <query mdx="jhI1z4GFcrl">
        <tpls c="1">
          <tpl fld="1" item="223"/>
        </tpls>
      </query>
      <query mdx="m4O6PehLsi1">
        <tpls c="1">
          <tpl fld="1" item="224"/>
        </tpls>
      </query>
      <query mdx="ElPj16KSNVJ">
        <tpls c="1">
          <tpl fld="1" item="225"/>
        </tpls>
      </query>
      <query mdx="DzZANKgWLsZ">
        <tpls c="1">
          <tpl fld="1" item="226"/>
        </tpls>
      </query>
      <query mdx="YnzHDqtim6s">
        <tpls c="1">
          <tpl fld="1" item="227"/>
        </tpls>
      </query>
      <query mdx="u8Z5X7umrKF">
        <tpls c="1">
          <tpl fld="1" item="228"/>
        </tpls>
      </query>
      <query mdx="tSUpf6UUCSh">
        <tpls c="1">
          <tpl fld="1" item="229"/>
        </tpls>
      </query>
      <query mdx="DhxPPEcKWwn">
        <tpls c="1">
          <tpl fld="1" item="230"/>
        </tpls>
      </query>
      <query mdx="ha5KY2J0lIZ">
        <tpls c="1">
          <tpl fld="1" item="231"/>
        </tpls>
      </query>
      <query mdx="R2vEVSiQPQC">
        <tpls c="1">
          <tpl fld="1" item="232"/>
        </tpls>
      </query>
      <query mdx="Pl878H0dW6t">
        <tpls c="1">
          <tpl fld="1" item="233"/>
        </tpls>
      </query>
      <query mdx="f8d2QFShGCb">
        <tpls c="1">
          <tpl fld="1" item="234"/>
        </tpls>
      </query>
      <query mdx="q0RTM91LPKf">
        <tpls c="1">
          <tpl fld="1" item="235"/>
        </tpls>
      </query>
      <query mdx="EoebORoQaqz">
        <tpls c="1">
          <tpl fld="1" item="236"/>
        </tpls>
      </query>
      <query mdx="V2m0GCVZ735">
        <tpls c="1">
          <tpl fld="1" item="237"/>
        </tpls>
      </query>
      <query mdx="gocLA3DsGuo">
        <tpls c="1">
          <tpl fld="1" item="238"/>
        </tpls>
      </query>
      <query mdx="iHa4SxjJIqs">
        <tpls c="1">
          <tpl fld="1" item="239"/>
        </tpls>
      </query>
      <query mdx="i7OQo6Nb1LR">
        <tpls c="1">
          <tpl fld="1" item="240"/>
        </tpls>
      </query>
      <query mdx="sWnqop46NE4">
        <tpls c="1">
          <tpl fld="1" item="241"/>
        </tpls>
      </query>
      <query mdx="bptuZLv5bzt">
        <tpls c="1">
          <tpl fld="1" item="242"/>
        </tpls>
      </query>
      <query mdx="a2Ze7109ES6">
        <tpls c="1">
          <tpl fld="1" item="243"/>
        </tpls>
      </query>
      <query mdx="Kh1JbOLW00R">
        <tpls c="1">
          <tpl fld="1" item="244"/>
        </tpls>
      </query>
      <query mdx="XdhcW1ZJmIy">
        <tpls c="1">
          <tpl fld="1" item="245"/>
        </tpls>
      </query>
      <query mdx="r8T82ZWjItm">
        <tpls c="1">
          <tpl fld="1" item="246"/>
        </tpls>
      </query>
      <query mdx="y3UeJKrJ3wp">
        <tpls c="1">
          <tpl fld="1" item="247"/>
        </tpls>
      </query>
      <query mdx="kHLU2PGkMNV">
        <tpls c="1">
          <tpl fld="1" item="248"/>
        </tpls>
      </query>
      <query mdx="XRyLwWX2FCr">
        <tpls c="1">
          <tpl fld="1" item="249"/>
        </tpls>
      </query>
      <query mdx="AQkzUHYZhin">
        <tpls c="1">
          <tpl fld="1" item="250"/>
        </tpls>
      </query>
      <query mdx="ype7as8vCCz">
        <tpls c="1">
          <tpl fld="1" item="251"/>
        </tpls>
      </query>
      <query mdx="Ewp1SOEYY4A">
        <tpls c="1">
          <tpl fld="1" item="252"/>
        </tpls>
      </query>
      <query mdx="vc2vrM0eRa9">
        <tpls c="1">
          <tpl fld="1" item="253"/>
        </tpls>
      </query>
      <query mdx="lpS3qrn0282">
        <tpls c="1">
          <tpl fld="1" item="254"/>
        </tpls>
      </query>
      <query mdx="CEU9yO371Mi">
        <tpls c="1">
          <tpl fld="1" item="255"/>
        </tpls>
      </query>
      <query mdx="Q7U7EjRbDDp">
        <tpls c="1">
          <tpl fld="1" item="256"/>
        </tpls>
      </query>
      <query mdx="Wh43rnbHu0k">
        <tpls c="1">
          <tpl fld="1" item="257"/>
        </tpls>
      </query>
      <query mdx="NNN5tv8JzZ7">
        <tpls c="1">
          <tpl fld="1" item="258"/>
        </tpls>
      </query>
      <query mdx="DvMZMOliEMg">
        <tpls c="1">
          <tpl fld="1" item="259"/>
        </tpls>
      </query>
      <query mdx="kN5szzGVVPA">
        <tpls c="1">
          <tpl fld="1" item="260"/>
        </tpls>
      </query>
      <query mdx="gyLYKSdPL50">
        <tpls c="1">
          <tpl fld="1" item="261"/>
        </tpls>
      </query>
      <query mdx="Wg3kxqZvjy6">
        <tpls c="1">
          <tpl fld="1" item="262"/>
        </tpls>
      </query>
      <query mdx="EA9QSH5E9rT">
        <tpls c="1">
          <tpl fld="1" item="263"/>
        </tpls>
      </query>
      <query mdx="Z2QHwX0smcB">
        <tpls c="1">
          <tpl fld="1" item="264"/>
        </tpls>
      </query>
      <query mdx="fA9JHQsNQIh">
        <tpls c="1">
          <tpl fld="1" item="265"/>
        </tpls>
      </query>
      <query mdx="GJTtdD5NFe7">
        <tpls c="1">
          <tpl fld="1" item="266"/>
        </tpls>
      </query>
      <query mdx="VsgxkJoBDhS">
        <tpls c="1">
          <tpl fld="1" item="267"/>
        </tpls>
      </query>
      <query mdx="fH5EQ7VQj7z">
        <tpls c="1">
          <tpl fld="1" item="268"/>
        </tpls>
      </query>
      <query mdx="qZVg6nPZGJN">
        <tpls c="1">
          <tpl fld="1" item="269"/>
        </tpls>
      </query>
      <query mdx="eYYJ2x33LSm">
        <tpls c="1">
          <tpl fld="1" item="270"/>
        </tpls>
      </query>
      <query mdx="DQOuGZTSrMh">
        <tpls c="1">
          <tpl fld="1" item="271"/>
        </tpls>
      </query>
      <query mdx="imzp3bxAiR7">
        <tpls c="1">
          <tpl fld="1" item="272"/>
        </tpls>
      </query>
      <query mdx="OIO0oNhelQM">
        <tpls c="1">
          <tpl fld="1" item="273"/>
        </tpls>
      </query>
      <query mdx="t2MTbiuns7N">
        <tpls c="1">
          <tpl fld="1" item="274"/>
        </tpls>
      </query>
      <query mdx="fyXn8nk3SVx">
        <tpls c="1">
          <tpl fld="1" item="275"/>
        </tpls>
      </query>
      <query mdx="s2mEKIAhowY">
        <tpls c="1">
          <tpl fld="1" item="276"/>
        </tpls>
      </query>
      <query mdx="p6OQT6Wjl35">
        <tpls c="1">
          <tpl fld="1" item="277"/>
        </tpls>
      </query>
      <query mdx="JhASbKPHApc">
        <tpls c="1">
          <tpl fld="1" item="278"/>
        </tpls>
      </query>
      <query mdx="G3K7MWu2FkG">
        <tpls c="1">
          <tpl fld="1" item="279"/>
        </tpls>
      </query>
      <query mdx="FBxZJ72lHQM">
        <tpls c="1">
          <tpl fld="1" item="280"/>
        </tpls>
      </query>
      <query mdx="PMbjVVW8qTt">
        <tpls c="1">
          <tpl fld="1" item="281"/>
        </tpls>
      </query>
      <query mdx="OGdMaRMXR9V">
        <tpls c="1">
          <tpl fld="1" item="282"/>
        </tpls>
      </query>
      <query mdx="pHiOvopsoCQ">
        <tpls c="1">
          <tpl fld="1" item="283"/>
        </tpls>
      </query>
      <query mdx="RFGXom1x5Jg">
        <tpls c="1">
          <tpl fld="1" item="284"/>
        </tpls>
      </query>
      <query mdx="LvMXzjGSGKV">
        <tpls c="1">
          <tpl fld="1" item="285"/>
        </tpls>
      </query>
      <query mdx="euYn6gh0LBD">
        <tpls c="1">
          <tpl fld="1" item="286"/>
        </tpls>
      </query>
      <query mdx="umsQSO7x6oq">
        <tpls c="1">
          <tpl fld="1" item="287"/>
        </tpls>
      </query>
      <query mdx="SySFSGmIUr6">
        <tpls c="1">
          <tpl fld="1" item="288"/>
        </tpls>
      </query>
      <query mdx="WkMCo6Urj7W">
        <tpls c="1">
          <tpl fld="1" item="289"/>
        </tpls>
      </query>
      <query mdx="eUe2oj8pBRp">
        <tpls c="1">
          <tpl fld="1" item="290"/>
        </tpls>
      </query>
      <query mdx="xUFgvQYf66Q">
        <tpls c="1">
          <tpl fld="1" item="291"/>
        </tpls>
      </query>
      <query mdx="hh4I018dlYf">
        <tpls c="1">
          <tpl fld="1" item="292"/>
        </tpls>
      </query>
      <query mdx="Z6wIHssPEOm">
        <tpls c="1">
          <tpl fld="1" item="293"/>
        </tpls>
      </query>
      <query mdx="rMvxuDOq0Ap">
        <tpls c="1">
          <tpl fld="1" item="294"/>
        </tpls>
      </query>
      <query mdx="OSjAZHq3PNR">
        <tpls c="1">
          <tpl fld="1" item="295"/>
        </tpls>
      </query>
      <query mdx="a7335V3rMOm">
        <tpls c="1">
          <tpl fld="1" item="296"/>
        </tpls>
      </query>
      <query mdx="NDbc1PHxClB">
        <tpls c="1">
          <tpl fld="1" item="297"/>
        </tpls>
      </query>
      <query mdx="G6odWxL3Lot">
        <tpls c="1">
          <tpl fld="1" item="298"/>
        </tpls>
      </query>
      <query mdx="QRvQodV8ctU">
        <tpls c="1">
          <tpl fld="1" item="299"/>
        </tpls>
      </query>
      <query mdx="DvLBPHEyZPY">
        <tpls c="1">
          <tpl fld="1" item="300"/>
        </tpls>
      </query>
      <query mdx="DewMRPsDa4i">
        <tpls c="1">
          <tpl fld="1" item="301"/>
        </tpls>
      </query>
      <query mdx="ZOdvlLfTctk">
        <tpls c="1">
          <tpl fld="1" item="302"/>
        </tpls>
      </query>
      <query mdx="uTu73s9Jyd4">
        <tpls c="1">
          <tpl fld="1" item="303"/>
        </tpls>
      </query>
      <query mdx="MsddktaHsa7">
        <tpls c="1">
          <tpl fld="1" item="304"/>
        </tpls>
      </query>
      <query mdx="FX3sU5mzgXC">
        <tpls c="1">
          <tpl fld="1" item="305"/>
        </tpls>
      </query>
      <query mdx="hMSI3KCb55X">
        <tpls c="1">
          <tpl fld="1" item="306"/>
        </tpls>
      </query>
      <query mdx="C1MQYO4pETs">
        <tpls c="1">
          <tpl fld="1" item="307"/>
        </tpls>
      </query>
      <query mdx="bhPZMJIRI9k">
        <tpls c="1">
          <tpl fld="1" item="308"/>
        </tpls>
      </query>
      <query mdx="Ox24wFnPHiN">
        <tpls c="1">
          <tpl fld="1" item="309"/>
        </tpls>
      </query>
      <query mdx="Ku7PUMHKneW">
        <tpls c="1">
          <tpl fld="1" item="310"/>
        </tpls>
      </query>
      <query mdx="MURIET">
        <tpls c="1">
          <tpl fld="3" item="0"/>
        </tpls>
      </query>
      <query mdx="VuiYHy2vsKJ">
        <tpls c="1">
          <tpl fld="1" item="311"/>
        </tpls>
      </query>
      <query mdx="dKlgstRMZOX">
        <tpls c="1">
          <tpl fld="1" item="312"/>
        </tpls>
      </query>
      <query mdx="sAbhLuicNGv">
        <tpls c="1">
          <tpl fld="1" item="313"/>
        </tpls>
      </query>
      <query mdx="BSq5SofHdES">
        <tpls c="1">
          <tpl fld="1" item="314"/>
        </tpls>
      </query>
      <query mdx="ae8wbmpnrol">
        <tpls c="1">
          <tpl fld="1" item="315"/>
        </tpls>
      </query>
      <query mdx="vX7k6iVXzce">
        <tpls c="1">
          <tpl fld="1" item="316"/>
        </tpls>
      </query>
      <query mdx="keCluxPGkqO">
        <tpls c="1">
          <tpl fld="1" item="317"/>
        </tpls>
      </query>
      <query mdx="OvYKTP1NCmG">
        <tpls c="1">
          <tpl fld="1" item="318"/>
        </tpls>
      </query>
      <query mdx="JjndrWlUdky">
        <tpls c="1">
          <tpl fld="1" item="319"/>
        </tpls>
      </query>
      <query mdx="OIWlSbw0KRp">
        <tpls c="1">
          <tpl fld="1" item="320"/>
        </tpls>
      </query>
      <query mdx="j9lfgNapcK6">
        <tpls c="1">
          <tpl fld="1" item="321"/>
        </tpls>
      </query>
      <query mdx="RpQ3yUtKCjx">
        <tpls c="1">
          <tpl fld="1" item="322"/>
        </tpls>
      </query>
      <query mdx="eCNrWanqg0w">
        <tpls c="1">
          <tpl fld="1" item="323"/>
        </tpls>
      </query>
      <query mdx="mzSbzgFfiEv">
        <tpls c="1">
          <tpl fld="1" item="324"/>
        </tpls>
      </query>
      <query mdx="lZvN4Uk0xtC">
        <tpls c="1">
          <tpl fld="1" item="325"/>
        </tpls>
      </query>
      <query mdx="UmFBkUDnRNw">
        <tpls c="1">
          <tpl fld="1" item="326"/>
        </tpls>
      </query>
      <query mdx="ER0AFFZz9bE">
        <tpls c="1">
          <tpl fld="1" item="327"/>
        </tpls>
      </query>
      <query mdx="c3mdURjYLhI">
        <tpls c="1">
          <tpl fld="1" item="328"/>
        </tpls>
      </query>
      <query mdx="h74zk3vHZvn">
        <tpls c="1">
          <tpl fld="1" item="329"/>
        </tpls>
      </query>
      <query mdx="umgWbKkUInS">
        <tpls c="1">
          <tpl fld="1" item="330"/>
        </tpls>
      </query>
      <query mdx="yuvleWr5Lr2">
        <tpls c="1">
          <tpl fld="1" item="331"/>
        </tpls>
      </query>
      <query mdx="F6q6yi4hTZ4">
        <tpls c="1">
          <tpl fld="1" item="332"/>
        </tpls>
      </query>
      <query mdx="FjbY4bEV8FN">
        <tpls c="1">
          <tpl fld="1" item="333"/>
        </tpls>
      </query>
      <query mdx="fOZAy8vpDh7">
        <tpls c="1">
          <tpl fld="1" item="334"/>
        </tpls>
      </query>
      <query mdx="MVyAgeKXn1e">
        <tpls c="1">
          <tpl fld="1" item="335"/>
        </tpls>
      </query>
      <query mdx="Y5NLQUn0ySZ">
        <tpls c="1">
          <tpl fld="1" item="336"/>
        </tpls>
      </query>
      <query mdx="oYIw1dx2Urj">
        <tpls c="1">
          <tpl fld="1" item="337"/>
        </tpls>
      </query>
      <query mdx="c0MndohPBsb">
        <tpls c="1">
          <tpl fld="1" item="338"/>
        </tpls>
      </query>
      <query mdx="CTT3AYSV96z">
        <tpls c="1">
          <tpl fld="1" item="339"/>
        </tpls>
      </query>
      <query mdx="OLgVGknNnhd">
        <tpls c="1">
          <tpl fld="1" item="340"/>
        </tpls>
      </query>
      <query mdx="PCc1DGsj8fV">
        <tpls c="1">
          <tpl fld="1" item="341"/>
        </tpls>
      </query>
      <query mdx="yJrvCXphLJg">
        <tpls c="1">
          <tpl fld="1" item="342"/>
        </tpls>
      </query>
      <query mdx="ZUoOfY6Hp8w">
        <tpls c="1">
          <tpl fld="1" item="343"/>
        </tpls>
      </query>
      <query mdx="MojsOgY49E7">
        <tpls c="1">
          <tpl fld="1" item="344"/>
        </tpls>
      </query>
      <query mdx="D9gdIGY57dl">
        <tpls c="1">
          <tpl fld="1" item="345"/>
        </tpls>
      </query>
      <query mdx="JGa5loOablm">
        <tpls c="1">
          <tpl fld="1" item="346"/>
        </tpls>
      </query>
      <query mdx="FI8yz55dz7t">
        <tpls c="1">
          <tpl fld="1" item="347"/>
        </tpls>
      </query>
      <query mdx="a6ayJWzVm6Z">
        <tpls c="1">
          <tpl fld="1" item="348"/>
        </tpls>
      </query>
      <query mdx="palE7ZPMBeJ">
        <tpls c="1">
          <tpl fld="1" item="349"/>
        </tpls>
      </query>
      <query mdx="EaRRViOvC5g">
        <tpls c="1">
          <tpl fld="1" item="350"/>
        </tpls>
      </query>
      <query mdx="TIAOn3flmSf">
        <tpls c="1">
          <tpl fld="1" item="351"/>
        </tpls>
      </query>
      <query mdx="GpyJTjJFzf0">
        <tpls c="1">
          <tpl fld="1" item="352"/>
        </tpls>
      </query>
      <query mdx="zSKx1i3INce">
        <tpls c="1">
          <tpl fld="1" item="353"/>
        </tpls>
      </query>
      <query mdx="eNjUkmSHksk">
        <tpls c="1">
          <tpl fld="1" item="354"/>
        </tpls>
      </query>
      <query mdx="tktiBXhdLNC">
        <tpls c="1">
          <tpl fld="1" item="355"/>
        </tpls>
      </query>
      <query mdx="YfXdS5hPW2h">
        <tpls c="1">
          <tpl fld="1" item="356"/>
        </tpls>
      </query>
      <query mdx="nDEdjpWNurX">
        <tpls c="1">
          <tpl fld="1" item="357"/>
        </tpls>
      </query>
      <query mdx="VMnMmQCzyGF">
        <tpls c="1">
          <tpl fld="1" item="358"/>
        </tpls>
      </query>
      <query mdx="RSd6t37kTWD">
        <tpls c="1">
          <tpl fld="1" item="359"/>
        </tpls>
      </query>
      <query mdx="oxDoMGkDQzy">
        <tpls c="1">
          <tpl fld="1" item="360"/>
        </tpls>
      </query>
      <query mdx="Js4r1kNLEOW">
        <tpls c="1">
          <tpl fld="1" item="361"/>
        </tpls>
      </query>
      <query mdx="avNfPOuDrZP">
        <tpls c="1">
          <tpl fld="1" item="362"/>
        </tpls>
      </query>
      <query mdx="OJloEEIlMCR">
        <tpls c="1">
          <tpl fld="1" item="363"/>
        </tpls>
      </query>
      <query mdx="FuQ8to06axT">
        <tpls c="1">
          <tpl fld="1" item="364"/>
        </tpls>
      </query>
      <query mdx="xU715Z9uoPN">
        <tpls c="1">
          <tpl fld="1" item="365"/>
        </tpls>
      </query>
      <query mdx="swmn854gwLX">
        <tpls c="1">
          <tpl fld="1" item="366"/>
        </tpls>
      </query>
      <query mdx="TbP7lvi2d6U">
        <tpls c="1">
          <tpl fld="1" item="367"/>
        </tpls>
      </query>
      <query mdx="Z3O0K5r3pM4">
        <tpls c="1">
          <tpl fld="1" item="368"/>
        </tpls>
      </query>
      <query mdx="Lx9O6vI0TSs">
        <tpls c="1">
          <tpl fld="1" item="369"/>
        </tpls>
      </query>
      <query mdx="OVww8PN6jdv">
        <tpls c="1">
          <tpl fld="1" item="370"/>
        </tpls>
      </query>
      <query mdx="guC2e5acV6k">
        <tpls c="1">
          <tpl fld="1" item="371"/>
        </tpls>
      </query>
      <query mdx="Jpw4LOb2lPd">
        <tpls c="1">
          <tpl fld="1" item="372"/>
        </tpls>
      </query>
      <query mdx="T53PQVYgYbk">
        <tpls c="1">
          <tpl fld="1" item="373"/>
        </tpls>
      </query>
      <query mdx="rWXqL4f2ua3">
        <tpls c="1">
          <tpl fld="1" item="374"/>
        </tpls>
      </query>
      <query mdx="eXBYDeWs7sl">
        <tpls c="1">
          <tpl fld="1" item="375"/>
        </tpls>
      </query>
      <query mdx="F4ocpWKl1zu">
        <tpls c="1">
          <tpl fld="1" item="376"/>
        </tpls>
      </query>
      <query mdx="s3GjZrhH2MN">
        <tpls c="1">
          <tpl fld="1" item="377"/>
        </tpls>
      </query>
      <query mdx="OO4wczWBizi">
        <tpls c="1">
          <tpl fld="1" item="378"/>
        </tpls>
      </query>
      <query mdx="WQrJcX9pXpe">
        <tpls c="1">
          <tpl fld="1" item="379"/>
        </tpls>
      </query>
      <query mdx="O4nN5UviHtb">
        <tpls c="1">
          <tpl fld="1" item="380"/>
        </tpls>
      </query>
      <query mdx="l57aKtqj9SK">
        <tpls c="1">
          <tpl fld="1" item="381"/>
        </tpls>
      </query>
      <query mdx="bWxKiL0V3wH">
        <tpls c="1">
          <tpl fld="1" item="382"/>
        </tpls>
      </query>
      <query mdx="qkw5QhFNuKU">
        <tpls c="1">
          <tpl fld="1" item="383"/>
        </tpls>
      </query>
      <query mdx="T3328UF2Fk2">
        <tpls c="1">
          <tpl fld="1" item="384"/>
        </tpls>
      </query>
      <query mdx="e3CnSFj0AJJ">
        <tpls c="1">
          <tpl fld="1" item="385"/>
        </tpls>
      </query>
      <query mdx="k0THP58Q2jA">
        <tpls c="1">
          <tpl fld="1" item="386"/>
        </tpls>
      </query>
      <query mdx="dndcoOmSVRn">
        <tpls c="1">
          <tpl fld="1" item="387"/>
        </tpls>
      </query>
      <query mdx="fYDKTeRRa00">
        <tpls c="1">
          <tpl fld="1" item="388"/>
        </tpls>
      </query>
      <query mdx="gATcaCjhtlu">
        <tpls c="1">
          <tpl fld="1" item="389"/>
        </tpls>
      </query>
      <query mdx="GdSLs01rdPN">
        <tpls c="1">
          <tpl fld="1" item="390"/>
        </tpls>
      </query>
      <query mdx="BgrsUOuExCC">
        <tpls c="1">
          <tpl fld="1" item="391"/>
        </tpls>
      </query>
      <query mdx="z3qmLgwuQwS">
        <tpls c="1">
          <tpl fld="1" item="392"/>
        </tpls>
      </query>
      <query mdx="iaZW53FrWzp">
        <tpls c="1">
          <tpl fld="1" item="393"/>
        </tpls>
      </query>
      <query mdx="X7QTHbbT1ae">
        <tpls c="1">
          <tpl fld="1" item="394"/>
        </tpls>
      </query>
      <query mdx="A40gRVDVynG">
        <tpls c="1">
          <tpl fld="1" item="395"/>
        </tpls>
      </query>
      <query mdx="lRsqzpXRdqm">
        <tpls c="1">
          <tpl fld="1" item="396"/>
        </tpls>
      </query>
      <query mdx="pEvTGcRiuyU">
        <tpls c="1">
          <tpl fld="1" item="397"/>
        </tpls>
      </query>
      <query mdx="bKMjDPMnFoj">
        <tpls c="1">
          <tpl fld="1" item="398"/>
        </tpls>
      </query>
      <query mdx="j3mYl9szVpe">
        <tpls c="1">
          <tpl fld="1" item="399"/>
        </tpls>
      </query>
      <query mdx="SXKUGqmjUFL">
        <tpls c="1">
          <tpl fld="1" item="400"/>
        </tpls>
      </query>
      <query mdx="wbI3tayWWm3">
        <tpls c="1">
          <tpl fld="1" item="401"/>
        </tpls>
      </query>
      <query mdx="fTr17NWmmTU">
        <tpls c="1">
          <tpl fld="1" item="402"/>
        </tpls>
      </query>
      <query mdx="tAtz6KnCWrH">
        <tpls c="1">
          <tpl fld="1" item="403"/>
        </tpls>
      </query>
      <query mdx="xt7npagKTti">
        <tpls c="1">
          <tpl fld="1" item="404"/>
        </tpls>
      </query>
      <query mdx="vvy5cPW2NnJ">
        <tpls c="1">
          <tpl fld="1" item="405"/>
        </tpls>
      </query>
      <query mdx="Ksl44TAO0xF">
        <tpls c="1">
          <tpl fld="1" item="406"/>
        </tpls>
      </query>
      <query mdx="F9A1y0XBwgi">
        <tpls c="1">
          <tpl fld="1" item="407"/>
        </tpls>
      </query>
      <query mdx="q0iU4ijqSYm">
        <tpls c="1">
          <tpl fld="1" item="408"/>
        </tpls>
      </query>
      <query mdx="vWwDK254Okb">
        <tpls c="1">
          <tpl fld="1" item="409"/>
        </tpls>
      </query>
      <query mdx="VchcmEoue4p">
        <tpls c="1">
          <tpl fld="1" item="410"/>
        </tpls>
      </query>
      <query mdx="TiAhCvzxgfw">
        <tpls c="1">
          <tpl fld="1" item="411"/>
        </tpls>
      </query>
      <query mdx="RSL8MgCVxmo">
        <tpls c="1">
          <tpl fld="1" item="412"/>
        </tpls>
      </query>
      <query mdx="zBK0Swy4PWU">
        <tpls c="1">
          <tpl fld="1" item="413"/>
        </tpls>
      </query>
      <query mdx="vk4LrOLhUey">
        <tpls c="1">
          <tpl fld="1" item="414"/>
        </tpls>
      </query>
      <query mdx="ogZZ5O3QhWj">
        <tpls c="1">
          <tpl fld="1" item="415"/>
        </tpls>
      </query>
      <query mdx="MNkhHqkgd5n">
        <tpls c="1">
          <tpl fld="1" item="416"/>
        </tpls>
      </query>
      <query mdx="eGNP1huD9zy">
        <tpls c="1">
          <tpl fld="1" item="417"/>
        </tpls>
      </query>
      <query mdx="w11N4JPT0x6">
        <tpls c="1">
          <tpl fld="1" item="418"/>
        </tpls>
      </query>
      <query mdx="OWzlK0QFLyf">
        <tpls c="1">
          <tpl fld="1" item="419"/>
        </tpls>
      </query>
      <query mdx="Fxsr7ZDyNcu">
        <tpls c="1">
          <tpl fld="1" item="420"/>
        </tpls>
      </query>
      <query mdx="Wl8wGdHRGN1">
        <tpls c="1">
          <tpl fld="1" item="421"/>
        </tpls>
      </query>
      <query mdx="RLkTSPu66Ty">
        <tpls c="1">
          <tpl fld="1" item="422"/>
        </tpls>
      </query>
      <query mdx="N3j9hD0lIWP">
        <tpls c="1">
          <tpl fld="1" item="423"/>
        </tpls>
      </query>
      <query mdx="HFdnPaEfFVn">
        <tpls c="1">
          <tpl fld="1" item="424"/>
        </tpls>
      </query>
      <query mdx="UbJHGsxvxEe">
        <tpls c="1">
          <tpl fld="1" item="425"/>
        </tpls>
      </query>
      <query mdx="BmMyrNuj6RH">
        <tpls c="1">
          <tpl fld="1" item="426"/>
        </tpls>
      </query>
      <query mdx="kgkqXguSvhF">
        <tpls c="1">
          <tpl fld="1" item="427"/>
        </tpls>
      </query>
      <query mdx="pupmcjQ2Yhq">
        <tpls c="1">
          <tpl fld="1" item="428"/>
        </tpls>
      </query>
      <query mdx="srRT7qdx6aW">
        <tpls c="1">
          <tpl fld="1" item="429"/>
        </tpls>
      </query>
      <query mdx="AJp5NT1cN7O">
        <tpls c="1">
          <tpl fld="1" item="430"/>
        </tpls>
      </query>
      <query mdx="s7n2YHCY9R2">
        <tpls c="1">
          <tpl fld="1" item="431"/>
        </tpls>
      </query>
      <query mdx="GoZObLKJsH7">
        <tpls c="1">
          <tpl fld="1" item="432"/>
        </tpls>
      </query>
      <query mdx="Rug5Jx8xMVJ">
        <tpls c="1">
          <tpl fld="1" item="433"/>
        </tpls>
      </query>
      <query mdx="QTDhqPadI7q">
        <tpls c="1">
          <tpl fld="1" item="434"/>
        </tpls>
      </query>
      <query mdx="KDhxY3quLCY">
        <tpls c="1">
          <tpl fld="1" item="435"/>
        </tpls>
      </query>
      <query mdx="zF3bQsmyhVR">
        <tpls c="1">
          <tpl fld="1" item="436"/>
        </tpls>
      </query>
      <query mdx="PN06yVOKBWp">
        <tpls c="1">
          <tpl fld="1" item="437"/>
        </tpls>
      </query>
      <query mdx="e0rnqByy8ia">
        <tpls c="1">
          <tpl fld="1" item="438"/>
        </tpls>
      </query>
      <query mdx="TqhUMoFeJiw">
        <tpls c="1">
          <tpl fld="1" item="439"/>
        </tpls>
      </query>
      <query mdx="gUHKrTOKCD8">
        <tpls c="1">
          <tpl fld="1" item="440"/>
        </tpls>
      </query>
      <query mdx="y6wjTE92baX">
        <tpls c="1">
          <tpl fld="1" item="441"/>
        </tpls>
      </query>
      <query mdx="egABWArYbm6">
        <tpls c="1">
          <tpl fld="1" item="442"/>
        </tpls>
      </query>
      <query mdx="XUJUFm4ohAC">
        <tpls c="1">
          <tpl fld="1" item="443"/>
        </tpls>
      </query>
      <query mdx="kKhP3RHvrjS">
        <tpls c="1">
          <tpl fld="1" item="444"/>
        </tpls>
      </query>
      <query mdx="Qrg4fTo2egd">
        <tpls c="1">
          <tpl fld="1" item="445"/>
        </tpls>
      </query>
      <query mdx="LSliDW416R5">
        <tpls c="1">
          <tpl fld="1" item="446"/>
        </tpls>
      </query>
      <query mdx="S4Ad0TiiKg9">
        <tpls c="1">
          <tpl fld="1" item="447"/>
        </tpls>
      </query>
      <query mdx="mAYmZpFCe2h">
        <tpls c="1">
          <tpl fld="1" item="448"/>
        </tpls>
      </query>
      <query mdx="pVpMQjbiWGe">
        <tpls c="1">
          <tpl fld="1" item="449"/>
        </tpls>
      </query>
      <query mdx="jOG25nSDBbR">
        <tpls c="1">
          <tpl fld="1" item="450"/>
        </tpls>
      </query>
      <query mdx="PnwaZxmugHM">
        <tpls c="1">
          <tpl fld="1" item="451"/>
        </tpls>
      </query>
      <query mdx="YC4myequeDn">
        <tpls c="1">
          <tpl fld="1" item="452"/>
        </tpls>
      </query>
      <query mdx="BnkYj0nDiTt">
        <tpls c="1">
          <tpl fld="1" item="453"/>
        </tpls>
      </query>
      <query mdx="dphEnEyZusY">
        <tpls c="1">
          <tpl fld="1" item="454"/>
        </tpls>
      </query>
      <query mdx="[Measures].[MMS_180+_M_A]">
        <tpls c="1">
          <tpl fld="4" item="0"/>
        </tpls>
      </query>
      <query mdx="[Measures].[SDI_00_07]">
        <tpls c="1">
          <tpl fld="4" item="1"/>
        </tpls>
      </query>
      <query mdx="[Measures].[MMS_180+_F_P]">
        <tpls c="1">
          <tpl fld="4" item="2"/>
        </tpls>
      </query>
      <query mdx="[Measures].[MMS_180+_F_A]">
        <tpls c="1">
          <tpl fld="4" item="3"/>
        </tpls>
      </query>
      <query mdx="[Measures].[MMS_180+_M_P]">
        <tpls c="1">
          <tpl fld="4" item="4"/>
        </tpls>
      </query>
      <query mdx="[Measures].[SDI_15+]">
        <tpls c="1">
          <tpl fld="4" item="5"/>
        </tpls>
      </query>
      <query mdx="SDI_08_14">
        <tpls c="1">
          <tpl fld="4" item="6"/>
        </tpls>
      </query>
      <query mdx="TX_CURR">
        <tpls c="1">
          <tpl fld="4" item="7"/>
        </tpls>
      </query>
      <query mdx="[Measures].[TO]">
        <tpls c="1">
          <tpl fld="4" item="8"/>
        </tpls>
      </query>
      <query mdx="[Measures].[TI]">
        <tpls c="1">
          <tpl fld="4" item="9"/>
        </tpls>
      </query>
      <query mdx="TX_CURR_PRIOR_MONTH">
        <tpls c="1">
          <tpl fld="4" item="10"/>
        </tpls>
      </query>
      <query mdx="TX_NEW_2VIS">
        <tpls c="1">
          <tpl fld="4" item="11"/>
        </tpls>
      </query>
      <query mdx="[Measures].[DIED]">
        <tpls c="1">
          <tpl fld="4" item="12"/>
        </tpls>
      </query>
      <query mdx="mDrVnC7TQve">
        <tpls c="1">
          <tpl fld="1" item="455"/>
        </tpls>
      </query>
      <query mdx="lOrNfZGGes9">
        <tpls c="1">
          <tpl fld="1" item="456"/>
        </tpls>
      </query>
      <query mdx="N5xJgGNQEbZ">
        <tpls c="1">
          <tpl fld="1" item="457"/>
        </tpls>
      </query>
      <query mdx="[Measures].[MMS_32_62]">
        <tpls c="1">
          <tpl fld="4" item="13"/>
        </tpls>
      </query>
      <query mdx="[Measures].[MMS_01_31]">
        <tpls c="1">
          <tpl fld="4" item="14"/>
        </tpls>
      </query>
      <query mdx="[Measures].[MISSEDAPP]">
        <tpls c="1">
          <tpl fld="4" item="15"/>
        </tpls>
      </query>
      <query mdx="[Measures].[TBPREV_N]">
        <tpls c="1">
          <tpl fld="4" item="16"/>
        </tpls>
      </query>
      <query mdx="[Measures].[HVL_ELIG_P]">
        <tpls c="1">
          <tpl fld="4" item="17"/>
        </tpls>
      </query>
      <query mdx="[Measures].[TBPREV_NEW]">
        <tpls c="1">
          <tpl fld="4" item="18"/>
        </tpls>
      </query>
      <query mdx="[Measures].[TBPREV_D]">
        <tpls c="1">
          <tpl fld="4" item="19"/>
        </tpls>
      </query>
      <query mdx="[Measures].[MMS_63+]">
        <tpls c="1">
          <tpl fld="4" item="20"/>
        </tpls>
      </query>
      <query mdx="[Measures].[HVL_D_P]">
        <tpls c="1">
          <tpl fld="4" item="21"/>
        </tpls>
      </query>
      <query mdx="[Measures].[TX_CURR_F_P]">
        <tpls c="1">
          <tpl fld="4" item="22"/>
        </tpls>
      </query>
      <query mdx="[Measures].[HVL_ELIG_A]">
        <tpls c="1">
          <tpl fld="4" item="23"/>
        </tpls>
      </query>
      <query mdx="[Measures].[TX_CURR_M_A]">
        <tpls c="1">
          <tpl fld="4" item="24"/>
        </tpls>
      </query>
      <query mdx="[Measures].[TX_CURR_F_A]">
        <tpls c="1">
          <tpl fld="4" item="25"/>
        </tpls>
      </query>
      <query mdx="[Measures].[TX_CURR_M_P]">
        <tpls c="1">
          <tpl fld="4" item="26"/>
        </tpls>
      </query>
      <query mdx="[Measures].[HVL_N_A]">
        <tpls c="1">
          <tpl fld="4" item="27"/>
        </tpls>
      </query>
      <query mdx="[Measures].[HVL_N_P]">
        <tpls c="1">
          <tpl fld="4" item="28"/>
        </tpls>
      </query>
      <query mdx="[Measures].[HVL_D_A]">
        <tpls c="1">
          <tpl fld="4" item="29"/>
        </tpls>
      </query>
      <query mdx="[Measures].[TX_NEW_M_A]">
        <tpls c="1">
          <tpl fld="4" item="30"/>
        </tpls>
      </query>
      <query mdx="[Measures].[MMS_180+_A]">
        <tpls c="1">
          <tpl fld="4" item="31"/>
        </tpls>
      </query>
      <query mdx="[Measures].[MMS_180+_P]">
        <tpls c="1">
          <tpl fld="4" item="32"/>
        </tpls>
      </query>
      <query mdx="[Measures].[TX_NEW_F_A]">
        <tpls c="1">
          <tpl fld="4" item="33"/>
        </tpls>
      </query>
      <query mdx="[Measures].[TX_NEW_F_P]">
        <tpls c="1">
          <tpl fld="4" item="34"/>
        </tpls>
      </query>
      <query mdx="[Measures].[TX_NEW_M_P]">
        <tpls c="1">
          <tpl fld="4" item="35"/>
        </tpls>
      </query>
      <query mdx="[Measures].[MMS_90_179_M_A]">
        <tpls c="1">
          <tpl fld="4" item="36"/>
        </tpls>
      </query>
      <query mdx="[Measures].[MMS_90_179_F_A]">
        <tpls c="1">
          <tpl fld="4" item="37"/>
        </tpls>
      </query>
      <query mdx="[Measures].[MMS_90_179_M_P]">
        <tpls c="1">
          <tpl fld="4" item="38"/>
        </tpls>
      </query>
      <query mdx="[Measures].[MMS_90_179_F_P]">
        <tpls c="1">
          <tpl fld="4" item="39"/>
        </tpls>
      </query>
      <query mdx="[Measures].[MMS_01_89_M_A]">
        <tpls c="1">
          <tpl fld="4" item="40"/>
        </tpls>
      </query>
      <query mdx="[Measures].[MMS_01_89_F_A]">
        <tpls c="1">
          <tpl fld="4" item="41"/>
        </tpls>
      </query>
      <query mdx="[Measures].[MMS_01_89_M_P]">
        <tpls c="1">
          <tpl fld="4" item="42"/>
        </tpls>
      </query>
      <query mdx="[Measures].[MMS_01_89_F_P]">
        <tpls c="1">
          <tpl fld="4" item="43"/>
        </tpls>
      </query>
    </queryCache>
    <serverFormats count="2">
      <serverFormat format="0"/>
      <serverFormat format="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7" minRefreshableVersion="3" showDrill="0" useAutoFormatting="1" subtotalHiddenItems="1" rowGrandTotals="0" colGrandTotals="0" itemPrintTitles="1" createdVersion="6" indent="0" compact="0" compactData="0" multipleFieldFilters="0" fieldListSortAscending="1">
  <location ref="A3:N313" firstHeaderRow="1" firstDataRow="2" firstDataCol="1" rowPageCount="1" colPageCount="1"/>
  <pivotFields count="15"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Subtotal="0" defaultAttributeDrillState="1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Row" compact="0" allDrilled="1" outline="0" showAll="0" sortType="ascending" defaultSubtotal="0" defaultAttributeDrillState="1">
      <items count="3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</items>
    </pivotField>
  </pivotFields>
  <rowFields count="1">
    <field x="14"/>
  </rowFields>
  <rowItems count="3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pageFields count="1">
    <pageField fld="3" hier="13" name="[DimDate].[MonthYear].&amp;[Dec-2020]" cap="Dec-2020"/>
  </pageFields>
  <dataFields count="13">
    <dataField fld="0" baseField="0" baseItem="0"/>
    <dataField fld="1" baseField="0" baseItem="0"/>
    <dataField fld="7" baseField="0" baseItem="0"/>
    <dataField fld="2" baseField="0" baseItem="0"/>
    <dataField fld="4" baseField="0" baseItem="0"/>
    <dataField fld="5" baseField="0" baseItem="0"/>
    <dataField fld="6" baseField="0" baseItem="0"/>
    <dataField fld="8" baseField="0" baseItem="0"/>
    <dataField fld="9" baseField="0" baseItem="0"/>
    <dataField fld="10" baseField="0" baseItem="0"/>
    <dataField fld="11" baseField="0" baseItem="0"/>
    <dataField fld="12" baseField="0" baseItem="0"/>
    <dataField fld="13" baseField="0" baseItem="0"/>
  </dataFields>
  <pivotHierarchies count="72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Values" updatedVersion="7" minRefreshableVersion="3" showDrill="0" useAutoFormatting="1" subtotalHiddenItems="1" rowGrandTotals="0" colGrandTotals="0" itemPrintTitles="1" createdVersion="6" indent="0" compact="0" compactData="0" multipleFieldFilters="0" fieldListSortAscending="1">
  <location ref="A3:I312" firstHeaderRow="1" firstDataRow="3" firstDataCol="1" rowPageCount="1" colPageCount="1"/>
  <pivotFields count="6">
    <pivotField axis="axisPage" compact="0" allDrilled="1" outline="0" showAll="0" dataSourceSort="1" defaultSubtotal="0" defaultAttributeDrillState="1"/>
    <pivotField dataField="1" compact="0" outline="0" showAll="0"/>
    <pivotField dataField="1" compact="0" outline="0" showAll="0"/>
    <pivotField dataField="1" compact="0" outline="0" showAll="0"/>
    <pivotField axis="axisRow" compact="0" allDrilled="1" outline="0" showAll="0" dataSourceSort="1" defaultSubtotal="0" defaultAttributeDrillState="1">
      <items count="3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</items>
    </pivotField>
    <pivotField axis="axisCol" compact="0" allDrilled="1" outline="0" showAll="0" dataSourceSort="1" defaultSubtotal="0" defaultAttributeDrillState="1">
      <items count="3">
        <item x="0"/>
        <item x="1"/>
        <item x="2"/>
      </items>
    </pivotField>
  </pivotFields>
  <rowFields count="1">
    <field x="4"/>
  </rowFields>
  <rowItems count="3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</rowItems>
  <colFields count="2">
    <field x="-2"/>
    <field x="5"/>
  </colFields>
  <colItems count="8">
    <i>
      <x/>
      <x/>
    </i>
    <i r="1">
      <x v="1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</colItems>
  <pageFields count="1">
    <pageField fld="0" hier="13" name="[DimDate].[MonthYear].&amp;[Dec-2020]" cap="Dec-2020"/>
  </pageFields>
  <dataFields count="3">
    <dataField fld="1" baseField="0" baseItem="0"/>
    <dataField fld="2" baseField="0" baseItem="0"/>
    <dataField fld="3" baseField="0" baseItem="0"/>
  </dataFields>
  <pivotHierarchies count="72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22"/>
  </rowHierarchiesUsage>
  <colHierarchiesUsage count="2">
    <colHierarchyUsage hierarchyUsage="-2"/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1" dataPosition="0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6" indent="0" compact="0" compactData="0" multipleFieldFilters="0" fieldListSortAscending="1">
  <location ref="A3:G313" firstHeaderRow="1" firstDataRow="3" firstDataCol="1" rowPageCount="1" colPageCount="1"/>
  <pivotFields count="6">
    <pivotField axis="axisRow" compact="0" allDrilled="1" outline="0" showAll="0" dataSourceSort="1" defaultSubtotal="0" defaultAttributeDrillState="1">
      <items count="3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dataField="1" compact="0" outline="0" showAll="0"/>
    <pivotField axis="axisCol" compact="0" allDrilled="1" outline="0" showAll="0" dataSourceSort="1" defaultSubtotal="0" defaultAttributeDrillState="1">
      <items count="2">
        <item x="0"/>
        <item x="1"/>
      </items>
    </pivotField>
    <pivotField axis="axisPage" compact="0" allDrilled="1" outline="0" showAll="0" dataSourceSort="1" defaultSubtotal="0" defaultAttributeDrillState="1"/>
    <pivotField dataField="1" compact="0" outline="0" showAll="0"/>
    <pivotField dataField="1" compact="0" outline="0" showAll="0"/>
  </pivotFields>
  <rowFields count="1">
    <field x="0"/>
  </rowFields>
  <rowItems count="3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</rowItems>
  <colFields count="2">
    <field x="-2"/>
    <field x="2"/>
  </colFields>
  <colItems count="6">
    <i>
      <x/>
      <x/>
    </i>
    <i r="1">
      <x v="1"/>
    </i>
    <i i="1">
      <x v="1"/>
      <x/>
    </i>
    <i r="1" i="1">
      <x v="1"/>
    </i>
    <i i="2">
      <x v="2"/>
      <x/>
    </i>
    <i r="1" i="2">
      <x v="1"/>
    </i>
  </colItems>
  <pageFields count="1">
    <pageField fld="3" hier="13" name="[DimDate].[MonthYear].&amp;[Dec-2020]" cap="Dec-2020"/>
  </pageFields>
  <dataFields count="3">
    <dataField fld="5" baseField="0" baseItem="0"/>
    <dataField fld="1" baseField="0" baseItem="0"/>
    <dataField fld="4" baseField="0" baseItem="0"/>
  </dataFields>
  <pivotHierarchies count="72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2">
    <colHierarchyUsage hierarchyUsage="-2"/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5:DC465" totalsRowShown="0" tableBorderDxfId="107">
  <autoFilter ref="A5:DC465" xr:uid="{00000000-0009-0000-0100-000001000000}"/>
  <sortState xmlns:xlrd2="http://schemas.microsoft.com/office/spreadsheetml/2017/richdata2" ref="A6:DC465">
    <sortCondition ref="J5:J465"/>
  </sortState>
  <tableColumns count="107">
    <tableColumn id="1" xr3:uid="{00000000-0010-0000-0000-000001000000}" name="Priority Tier (1, 2, 3, 4)" dataDxfId="106"/>
    <tableColumn id="2" xr3:uid="{00000000-0010-0000-0000-000002000000}" name="Month" dataDxfId="105">
      <calculatedColumnFormula>ReportMonth</calculatedColumnFormula>
    </tableColumn>
    <tableColumn id="3" xr3:uid="{00000000-0010-0000-0000-000003000000}" name="MECHANISM ID" dataDxfId="104"/>
    <tableColumn id="4" xr3:uid="{00000000-0010-0000-0000-000004000000}" name="Partner" dataDxfId="103"/>
    <tableColumn id="5" xr3:uid="{00000000-0010-0000-0000-000005000000}" name="Agency" dataDxfId="102"/>
    <tableColumn id="6" xr3:uid="{00000000-0010-0000-0000-000006000000}" name="Region" dataDxfId="101"/>
    <tableColumn id="7" xr3:uid="{00000000-0010-0000-0000-000007000000}" name="District" dataDxfId="100"/>
    <tableColumn id="8" xr3:uid="{00000000-0010-0000-0000-000008000000}" name="Council" dataDxfId="99"/>
    <tableColumn id="9" xr3:uid="{00000000-0010-0000-0000-000009000000}" name="Ward" dataDxfId="98"/>
    <tableColumn id="10" xr3:uid="{00000000-0010-0000-0000-00000A000000}" name="Site Name" dataDxfId="97"/>
    <tableColumn id="11" xr3:uid="{00000000-0010-0000-0000-00000B000000}" name="Site ID (from DATIM)" dataDxfId="96"/>
    <tableColumn id="12" xr3:uid="{00000000-0010-0000-0000-00000C000000}" name="CLIENT_A_TX_NEW" dataDxfId="95"/>
    <tableColumn id="13" xr3:uid="{00000000-0010-0000-0000-00000D000000}" name="CLIENT_A_TX_CURR" dataDxfId="94"/>
    <tableColumn id="14" xr3:uid="{00000000-0010-0000-0000-00000E000000}" name="CONTACT_A" dataDxfId="93"/>
    <tableColumn id="15" xr3:uid="{00000000-0010-0000-0000-00000F000000}" name="IPV_HX_SCREEN" dataDxfId="92"/>
    <tableColumn id="16" xr3:uid="{00000000-0010-0000-0000-000010000000}" name="KNOWN_POS_A" dataDxfId="91"/>
    <tableColumn id="17" xr3:uid="{00000000-0010-0000-0000-000011000000}" name="NEG_A" dataDxfId="90"/>
    <tableColumn id="18" xr3:uid="{00000000-0010-0000-0000-000012000000}" name="POS_A" dataDxfId="89"/>
    <tableColumn id="19" xr3:uid="{00000000-0010-0000-0000-000013000000}" name="CONTACT_PEDS" dataDxfId="88"/>
    <tableColumn id="20" xr3:uid="{00000000-0010-0000-0000-000014000000}" name="KNOWN_POS_PEDS" dataDxfId="87"/>
    <tableColumn id="21" xr3:uid="{00000000-0010-0000-0000-000015000000}" name="NEG_PEDS" dataDxfId="86"/>
    <tableColumn id="22" xr3:uid="{00000000-0010-0000-0000-000016000000}" name="POS_PEDS" dataDxfId="85"/>
    <tableColumn id="23" xr3:uid="{00000000-0010-0000-0000-000017000000}" name="OPD_P" dataDxfId="84"/>
    <tableColumn id="24" xr3:uid="{00000000-0010-0000-0000-000018000000}" name="OPD_A" dataDxfId="83"/>
    <tableColumn id="25" xr3:uid="{00000000-0010-0000-0000-000019000000}" name="SCREEN_A" dataDxfId="82"/>
    <tableColumn id="26" xr3:uid="{00000000-0010-0000-0000-00001A000000}" name="SCREEN_ELIG_A" dataDxfId="81"/>
    <tableColumn id="27" xr3:uid="{00000000-0010-0000-0000-00001B000000}" name="SCREEN_HTS_A" dataDxfId="80"/>
    <tableColumn id="28" xr3:uid="{00000000-0010-0000-0000-00001C000000}" name="SCREEN_HTS_POS_A" dataDxfId="79"/>
    <tableColumn id="29" xr3:uid="{00000000-0010-0000-0000-00001D000000}" name="LCM_A" dataDxfId="78"/>
    <tableColumn id="30" xr3:uid="{00000000-0010-0000-0000-00001E000000}" name="REFILL" dataDxfId="77">
      <calculatedColumnFormula>CUBEVALUE(ConnectionString,ReportMonth,Table1[[#This Row],[Site ID (from DATIM)]],"TX_NEW_2VIS")</calculatedColumnFormula>
    </tableColumn>
    <tableColumn id="31" xr3:uid="{00000000-0010-0000-0000-00001F000000}" name="SDI_00_07" dataDxfId="76">
      <calculatedColumnFormula>CUBEVALUE(ConnectionString,ReportMonth,Table1[[#This Row],[Site ID (from DATIM)]],INDEX(SDI_Measures,1))</calculatedColumnFormula>
    </tableColumn>
    <tableColumn id="32" xr3:uid="{00000000-0010-0000-0000-000020000000}" name="SDI_08_14" dataDxfId="75">
      <calculatedColumnFormula>CUBEVALUE(ConnectionString,ReportMonth,Table1[[#This Row],[Site ID (from DATIM)]],INDEX(SDI_Measures,2))</calculatedColumnFormula>
    </tableColumn>
    <tableColumn id="33" xr3:uid="{00000000-0010-0000-0000-000021000000}" name="SDI_15+" dataDxfId="74">
      <calculatedColumnFormula>CUBEVALUE(ConnectionString,ReportMonth,Table1[[#This Row],[Site ID (from DATIM)]],INDEX(SDI_Measures,3))</calculatedColumnFormula>
    </tableColumn>
    <tableColumn id="34" xr3:uid="{00000000-0010-0000-0000-000022000000}" name="TX_PREV" dataDxfId="73">
      <calculatedColumnFormula>CUBEVALUE(ConnectionString,ReportMonth,Table1[[#This Row],[Site ID (from DATIM)]],"TX_CURR_PRIOR_MONTH")</calculatedColumnFormula>
    </tableColumn>
    <tableColumn id="35" xr3:uid="{00000000-0010-0000-0000-000023000000}" name="TX_CURR" dataDxfId="72">
      <calculatedColumnFormula>CUBEVALUE(ConnectionString,ReportMonth,Table1[[#This Row],[Site ID (from DATIM)]],"TX_CURR")</calculatedColumnFormula>
    </tableColumn>
    <tableColumn id="36" xr3:uid="{00000000-0010-0000-0000-000024000000}" name="XFER_IN" dataDxfId="71">
      <calculatedColumnFormula>CUBEVALUE(ConnectionString,ReportMonth,Table1[[#This Row],[Site ID (from DATIM)]],"[Measures].[TI]")</calculatedColumnFormula>
    </tableColumn>
    <tableColumn id="37" xr3:uid="{00000000-0010-0000-0000-000025000000}" name="XFER_OUT" dataDxfId="70">
      <calculatedColumnFormula>CUBEVALUE(ConnectionString,ReportMonth,Table1[[#This Row],[Site ID (from DATIM)]],"[Measures].[TO]")</calculatedColumnFormula>
    </tableColumn>
    <tableColumn id="38" xr3:uid="{00000000-0010-0000-0000-000026000000}" name="XFER_DEATH" dataDxfId="69">
      <calculatedColumnFormula>CUBEVALUE(ConnectionString,ReportMonth,Table1[[#This Row],[Site ID (from DATIM)]],"[Measures].[DIED]")</calculatedColumnFormula>
    </tableColumn>
    <tableColumn id="39" xr3:uid="{00000000-0010-0000-0000-000027000000}" name="MMS_1" dataDxfId="68">
      <calculatedColumnFormula>CUBEVALUE(ConnectionString,ReportMonth,Table1[[#This Row],[Site ID (from DATIM)]],"[Measures].[MMS_01_31]")</calculatedColumnFormula>
    </tableColumn>
    <tableColumn id="40" xr3:uid="{00000000-0010-0000-0000-000028000000}" name="MMS_2" dataDxfId="67">
      <calculatedColumnFormula>CUBEVALUE(ConnectionString,ReportMonth,Table1[[#This Row],[Site ID (from DATIM)]],"[Measures].[MMS_32_62]")</calculatedColumnFormula>
    </tableColumn>
    <tableColumn id="41" xr3:uid="{00000000-0010-0000-0000-000029000000}" name="MMS_3" dataDxfId="66">
      <calculatedColumnFormula>CUBEVALUE(ConnectionString,ReportMonth,Table1[[#This Row],[Site ID (from DATIM)]],"[Measures].[MMS_63+]")</calculatedColumnFormula>
    </tableColumn>
    <tableColumn id="42" xr3:uid="{00000000-0010-0000-0000-00002A000000}" name="TB_PREV_D" dataDxfId="65">
      <calculatedColumnFormula>CUBEVALUE(ConnectionString,ReportMonth,Table1[[#This Row],[Site ID (from DATIM)]],"[Measures].[TBPREV_D]")</calculatedColumnFormula>
    </tableColumn>
    <tableColumn id="43" xr3:uid="{00000000-0010-0000-0000-00002B000000}" name="TB_PREV_N" dataDxfId="64">
      <calculatedColumnFormula>CUBEVALUE(ConnectionString,ReportMonth,Table1[[#This Row],[Site ID (from DATIM)]],"[Measures].[TBPREV_N]")</calculatedColumnFormula>
    </tableColumn>
    <tableColumn id="44" xr3:uid="{00000000-0010-0000-0000-00002C000000}" name="TB_PREV_NEW" dataDxfId="63">
      <calculatedColumnFormula>CUBEVALUE(ConnectionString,ReportMonth,Table1[[#This Row],[Site ID (from DATIM)]],"[Measures].[TBPREV_NEW]")</calculatedColumnFormula>
    </tableColumn>
    <tableColumn id="45" xr3:uid="{00000000-0010-0000-0000-00002D000000}" name="VL_ELIG_P" dataDxfId="62">
      <calculatedColumnFormula>CUBEVALUE(ConnectionString,ReportMonth,Table1[[#This Row],[Site ID (from DATIM)]],"[Measures].[HVL_ELIG_P]")</calculatedColumnFormula>
    </tableColumn>
    <tableColumn id="46" xr3:uid="{00000000-0010-0000-0000-00002E000000}" name="VL_D_P" dataDxfId="61">
      <calculatedColumnFormula>CUBEVALUE(ConnectionString,ReportMonth,Table1[[#This Row],[Site ID (from DATIM)]],"[Measures].[HVL_D_P]")</calculatedColumnFormula>
    </tableColumn>
    <tableColumn id="47" xr3:uid="{00000000-0010-0000-0000-00002F000000}" name="VL_N_P" dataDxfId="60">
      <calculatedColumnFormula>CUBEVALUE(ConnectionString,ReportMonth,Table1[[#This Row],[Site ID (from DATIM)]],"[Measures].[HVL_N_P]")</calculatedColumnFormula>
    </tableColumn>
    <tableColumn id="48" xr3:uid="{00000000-0010-0000-0000-000030000000}" name="VL_ELIG _A " dataDxfId="59">
      <calculatedColumnFormula>CUBEVALUE(ConnectionString,ReportMonth,Table1[[#This Row],[Site ID (from DATIM)]],"[Measures].[HVL_ELIG_A]")</calculatedColumnFormula>
    </tableColumn>
    <tableColumn id="49" xr3:uid="{00000000-0010-0000-0000-000031000000}" name="VL_D_A" dataDxfId="58">
      <calculatedColumnFormula>CUBEVALUE(ConnectionString,ReportMonth,Table1[[#This Row],[Site ID (from DATIM)]],"[Measures].[HVL_D_A]")</calculatedColumnFormula>
    </tableColumn>
    <tableColumn id="50" xr3:uid="{00000000-0010-0000-0000-000032000000}" name="VL_N_A" dataDxfId="57">
      <calculatedColumnFormula>CUBEVALUE(ConnectionString,ReportMonth,Table1[[#This Row],[Site ID (from DATIM)]],"[Measures].[HVL_N_A]")</calculatedColumnFormula>
    </tableColumn>
    <tableColumn id="51" xr3:uid="{00000000-0010-0000-0000-000033000000}" name="HTS_F_A" dataDxfId="56"/>
    <tableColumn id="52" xr3:uid="{00000000-0010-0000-0000-000034000000}" name="HTS_M_A" dataDxfId="55"/>
    <tableColumn id="53" xr3:uid="{00000000-0010-0000-0000-000035000000}" name="HTS_F_P" dataDxfId="54"/>
    <tableColumn id="54" xr3:uid="{00000000-0010-0000-0000-000036000000}" name="HTS_M_P" dataDxfId="53"/>
    <tableColumn id="55" xr3:uid="{00000000-0010-0000-0000-000037000000}" name="POS_F_A" dataDxfId="52"/>
    <tableColumn id="56" xr3:uid="{00000000-0010-0000-0000-000038000000}" name="POS_M_A" dataDxfId="51"/>
    <tableColumn id="57" xr3:uid="{00000000-0010-0000-0000-000039000000}" name="POS_F_P" dataDxfId="50"/>
    <tableColumn id="58" xr3:uid="{00000000-0010-0000-0000-00003A000000}" name="POS_M_P" dataDxfId="49"/>
    <tableColumn id="59" xr3:uid="{00000000-0010-0000-0000-00003B000000}" name="TX_NEW_F_A" dataDxfId="48">
      <calculatedColumnFormula>CUBEVALUE(ConnectionString,ReportMonth,Table1[[#This Row],[Site ID (from DATIM)]],"[Measures].[TX_NEW_F_A]")</calculatedColumnFormula>
    </tableColumn>
    <tableColumn id="60" xr3:uid="{00000000-0010-0000-0000-00003C000000}" name="TX_NEW_M_A" dataDxfId="47">
      <calculatedColumnFormula>CUBEVALUE(ConnectionString,ReportMonth,Table1[[#This Row],[Site ID (from DATIM)]],"[Measures].[TX_NEW_M_A]")</calculatedColumnFormula>
    </tableColumn>
    <tableColumn id="61" xr3:uid="{00000000-0010-0000-0000-00003D000000}" name="TX_NEW_F_P" dataDxfId="46">
      <calculatedColumnFormula>CUBEVALUE(ConnectionString,ReportMonth,Table1[[#This Row],[Site ID (from DATIM)]],"[Measures].[TX_NEW_F_P]")</calculatedColumnFormula>
    </tableColumn>
    <tableColumn id="62" xr3:uid="{00000000-0010-0000-0000-00003E000000}" name="TX_NEW_M_P" dataDxfId="45">
      <calculatedColumnFormula>CUBEVALUE(ConnectionString,ReportMonth,Table1[[#This Row],[Site ID (from DATIM)]],"[Measures].[TX_NEW_M_P]")</calculatedColumnFormula>
    </tableColumn>
    <tableColumn id="63" xr3:uid="{00000000-0010-0000-0000-00003F000000}" name="vmmc_circ.u15.m" dataDxfId="44"/>
    <tableColumn id="64" xr3:uid="{00000000-0010-0000-0000-000040000000}" name="vmmc_circ.o15.m" dataDxfId="43"/>
    <tableColumn id="65" xr3:uid="{00000000-0010-0000-0000-000041000000}" name="prep_new.u15.f" dataDxfId="42"/>
    <tableColumn id="66" xr3:uid="{00000000-0010-0000-0000-000042000000}" name="prep_new.u15.m" dataDxfId="41"/>
    <tableColumn id="67" xr3:uid="{00000000-0010-0000-0000-000043000000}" name="prep_new.o15.f" dataDxfId="40"/>
    <tableColumn id="68" xr3:uid="{00000000-0010-0000-0000-000044000000}" name="prep_new.o15.m" dataDxfId="39"/>
    <tableColumn id="69" xr3:uid="{00000000-0010-0000-0000-000045000000}" name="tx_curr.u15.f" dataDxfId="38">
      <calculatedColumnFormula>CUBEVALUE(ConnectionString,ReportMonth,Table1[[#This Row],[Site ID (from DATIM)]],"[Measures].[TX_CURR_F_P]")</calculatedColumnFormula>
    </tableColumn>
    <tableColumn id="70" xr3:uid="{00000000-0010-0000-0000-000046000000}" name="tx_curr.u15.m" dataDxfId="37">
      <calculatedColumnFormula>CUBEVALUE(ConnectionString,ReportMonth,Table1[[#This Row],[Site ID (from DATIM)]],"[Measures].[TX_CURR_M_P]")</calculatedColumnFormula>
    </tableColumn>
    <tableColumn id="71" xr3:uid="{00000000-0010-0000-0000-000047000000}" name="tx_curr.o15.f" dataDxfId="36">
      <calculatedColumnFormula>CUBEVALUE(ConnectionString,ReportMonth,Table1[[#This Row],[Site ID (from DATIM)]],"[Measures].[TX_CURR_F_A]")</calculatedColumnFormula>
    </tableColumn>
    <tableColumn id="72" xr3:uid="{00000000-0010-0000-0000-000048000000}" name="tx_curr.o15.m" dataDxfId="35">
      <calculatedColumnFormula>CUBEVALUE(ConnectionString,ReportMonth,Table1[[#This Row],[Site ID (from DATIM)]],"[Measures].[TX_CURR_M_A]")</calculatedColumnFormula>
    </tableColumn>
    <tableColumn id="73" xr3:uid="{00000000-0010-0000-0000-000049000000}" name="tx_mmd.u15.f.u3mo" dataDxfId="34">
      <calculatedColumnFormula>CUBEVALUE(ConnectionString,ReportMonth,Table1[[#This Row],[Site ID (from DATIM)]],"[Measures].[MMS_01_89_F_P]")</calculatedColumnFormula>
    </tableColumn>
    <tableColumn id="74" xr3:uid="{00000000-0010-0000-0000-00004A000000}" name="tx_mmd.u15.m.u3mo" dataDxfId="33">
      <calculatedColumnFormula>CUBEVALUE(ConnectionString,ReportMonth,Table1[[#This Row],[Site ID (from DATIM)]],"[Measures].[MMS_01_89_M_P]")</calculatedColumnFormula>
    </tableColumn>
    <tableColumn id="75" xr3:uid="{00000000-0010-0000-0000-00004B000000}" name="tx_mmd.o15.f.u3mo" dataDxfId="32">
      <calculatedColumnFormula>CUBEVALUE(ConnectionString,ReportMonth,Table1[[#This Row],[Site ID (from DATIM)]],"[Measures].[MMS_01_89_F_A]")</calculatedColumnFormula>
    </tableColumn>
    <tableColumn id="76" xr3:uid="{00000000-0010-0000-0000-00004C000000}" name="tx_mmd.o15.m.u3mo" dataDxfId="31">
      <calculatedColumnFormula>CUBEVALUE(ConnectionString,ReportMonth,Table1[[#This Row],[Site ID (from DATIM)]],"[Measures].[MMS_01_89_M_A]")</calculatedColumnFormula>
    </tableColumn>
    <tableColumn id="77" xr3:uid="{00000000-0010-0000-0000-00004D000000}" name="tx_mmd.u15.f.35mo" dataDxfId="30">
      <calculatedColumnFormula>CUBEVALUE(ConnectionString,ReportMonth,Table1[[#This Row],[Site ID (from DATIM)]],"[Measures].[MMS_90_179_F_P]")</calculatedColumnFormula>
    </tableColumn>
    <tableColumn id="78" xr3:uid="{00000000-0010-0000-0000-00004E000000}" name="tx_mmd.u15.m.35mo" dataDxfId="29">
      <calculatedColumnFormula>CUBEVALUE(ConnectionString,ReportMonth,Table1[[#This Row],[Site ID (from DATIM)]],"[Measures].[MMS_90_179_M_P]")</calculatedColumnFormula>
    </tableColumn>
    <tableColumn id="79" xr3:uid="{00000000-0010-0000-0000-00004F000000}" name="tx_mmd.o15.f.35mo" dataDxfId="28">
      <calculatedColumnFormula>CUBEVALUE(ConnectionString,ReportMonth,Table1[[#This Row],[Site ID (from DATIM)]],"[Measures].[MMS_90_179_F_A]")</calculatedColumnFormula>
    </tableColumn>
    <tableColumn id="80" xr3:uid="{00000000-0010-0000-0000-000050000000}" name="tx_mmd.o15.m.35mo" dataDxfId="27">
      <calculatedColumnFormula>CUBEVALUE(ConnectionString,ReportMonth,Table1[[#This Row],[Site ID (from DATIM)]],"[Measures].[MMS_90_179_M_A]")</calculatedColumnFormula>
    </tableColumn>
    <tableColumn id="81" xr3:uid="{00000000-0010-0000-0000-000051000000}" name="tx_mmd.u15.f.o6mo" dataDxfId="26">
      <calculatedColumnFormula>CUBEVALUE(ConnectionString,ReportMonth,Table1[[#This Row],[Site ID (from DATIM)]],"[Measures].[MMS_180+_F_P]")</calculatedColumnFormula>
    </tableColumn>
    <tableColumn id="82" xr3:uid="{00000000-0010-0000-0000-000052000000}" name="tx_mmd.u15.m.o6mo" dataDxfId="25">
      <calculatedColumnFormula>CUBEVALUE(ConnectionString,ReportMonth,Table1[[#This Row],[Site ID (from DATIM)]],"[Measures].[MMS_180+_M_P]")</calculatedColumnFormula>
    </tableColumn>
    <tableColumn id="83" xr3:uid="{00000000-0010-0000-0000-000053000000}" name="tx_mmd.o15.f.o6mo" dataDxfId="24">
      <calculatedColumnFormula>CUBEVALUE(ConnectionString,ReportMonth,Table1[[#This Row],[Site ID (from DATIM)]],"[Measures].[MMS_180+_F_A]")</calculatedColumnFormula>
    </tableColumn>
    <tableColumn id="84" xr3:uid="{00000000-0010-0000-0000-000054000000}" name="tx_mmd.o15.m.o6mo" dataDxfId="23">
      <calculatedColumnFormula>CUBEVALUE(ConnectionString,ReportMonth,Table1[[#This Row],[Site ID (from DATIM)]],"[Measures].[MMS_180+_M_A]")</calculatedColumnFormula>
    </tableColumn>
    <tableColumn id="85" xr3:uid="{00000000-0010-0000-0000-000055000000}" name="Miss_App" dataDxfId="22">
      <calculatedColumnFormula>CUBEVALUE(ConnectionString,ReportMonth,Table1[[#This Row],[Site ID (from DATIM)]],"[Measures].[MISSEDAPP]")</calculatedColumnFormula>
    </tableColumn>
    <tableColumn id="86" xr3:uid="{00000000-0010-0000-0000-000056000000}" name="MMS_6_P" dataDxfId="21">
      <calculatedColumnFormula>CUBEVALUE(ConnectionString,ReportMonth,Table1[[#This Row],[Site ID (from DATIM)]],"[Measures].[MMS_180+_P]")</calculatedColumnFormula>
    </tableColumn>
    <tableColumn id="87" xr3:uid="{00000000-0010-0000-0000-000057000000}" name="MMS_6_A" dataDxfId="20">
      <calculatedColumnFormula>CUBEVALUE(ConnectionString,ReportMonth,Table1[[#This Row],[Site ID (from DATIM)]],"[Measures].[MMS_180+_A]")</calculatedColumnFormula>
    </tableColumn>
    <tableColumn id="88" xr3:uid="{00000000-0010-0000-0000-000058000000}" name="LFTU_P" dataDxfId="19"/>
    <tableColumn id="89" xr3:uid="{00000000-0010-0000-0000-000059000000}" name="L_SELF_REF_P" dataDxfId="18"/>
    <tableColumn id="90" xr3:uid="{00000000-0010-0000-0000-00005A000000}" name="L_CTC_P" dataDxfId="17"/>
    <tableColumn id="91" xr3:uid="{00000000-0010-0000-0000-00005B000000}" name="L_RTX_P" dataDxfId="16"/>
    <tableColumn id="92" xr3:uid="{00000000-0010-0000-0000-00005C000000}" name="L_DXD_P" dataDxfId="15"/>
    <tableColumn id="93" xr3:uid="{00000000-0010-0000-0000-00005D000000}" name="L_REFX_P" dataDxfId="14"/>
    <tableColumn id="94" xr3:uid="{00000000-0010-0000-0000-00005E000000}" name="L_WRNGD_P" dataDxfId="13"/>
    <tableColumn id="95" xr3:uid="{00000000-0010-0000-0000-00005F000000}" name="L_UNBL_P" dataDxfId="12"/>
    <tableColumn id="96" xr3:uid="{00000000-0010-0000-0000-000060000000}" name="L_NOATTMPT_P" dataDxfId="11"/>
    <tableColumn id="97" xr3:uid="{00000000-0010-0000-0000-000061000000}" name="LFTU_A" dataDxfId="10"/>
    <tableColumn id="98" xr3:uid="{00000000-0010-0000-0000-000062000000}" name="L_SELF_REF_A" dataDxfId="9"/>
    <tableColumn id="99" xr3:uid="{00000000-0010-0000-0000-000063000000}" name="L_CTC_A" dataDxfId="8"/>
    <tableColumn id="100" xr3:uid="{00000000-0010-0000-0000-000064000000}" name="L_RTX_A" dataDxfId="7"/>
    <tableColumn id="101" xr3:uid="{00000000-0010-0000-0000-000065000000}" name="L_DXD_A" dataDxfId="6"/>
    <tableColumn id="102" xr3:uid="{00000000-0010-0000-0000-000066000000}" name="L_REFX_A" dataDxfId="5"/>
    <tableColumn id="103" xr3:uid="{00000000-0010-0000-0000-000067000000}" name="L_WRNGD_A" dataDxfId="4"/>
    <tableColumn id="104" xr3:uid="{00000000-0010-0000-0000-000068000000}" name="L_UNBL_A" dataDxfId="3"/>
    <tableColumn id="105" xr3:uid="{00000000-0010-0000-0000-000069000000}" name="L_NOATTMPT_A" dataDxfId="2"/>
    <tableColumn id="106" xr3:uid="{00000000-0010-0000-0000-00006A000000}" name="HTS_2 months" dataDxfId="1"/>
    <tableColumn id="107" xr3:uid="{00000000-0010-0000-0000-00006B000000}" name="POS_preg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80"/>
  <sheetViews>
    <sheetView workbookViewId="0">
      <selection activeCell="B4" sqref="B4"/>
    </sheetView>
  </sheetViews>
  <sheetFormatPr defaultRowHeight="15" x14ac:dyDescent="0.25"/>
  <cols>
    <col min="1" max="1" width="67.140625" customWidth="1"/>
    <col min="2" max="2" width="12.7109375" customWidth="1"/>
    <col min="3" max="3" width="8.140625" customWidth="1"/>
    <col min="4" max="4" width="22.7109375" customWidth="1"/>
    <col min="5" max="5" width="8.7109375" customWidth="1"/>
    <col min="6" max="6" width="9.7109375" customWidth="1"/>
    <col min="7" max="7" width="9.7109375" bestFit="1" customWidth="1"/>
    <col min="8" max="8" width="7.7109375" customWidth="1"/>
    <col min="9" max="9" width="4" customWidth="1"/>
    <col min="10" max="10" width="3.28515625" customWidth="1"/>
    <col min="11" max="11" width="5" customWidth="1"/>
    <col min="12" max="13" width="11.28515625" bestFit="1" customWidth="1"/>
    <col min="14" max="14" width="9.28515625" customWidth="1"/>
    <col min="15" max="15" width="8.42578125" customWidth="1"/>
    <col min="16" max="17" width="8.28515625" customWidth="1"/>
    <col min="18" max="18" width="8.28515625" bestFit="1" customWidth="1"/>
    <col min="19" max="19" width="67.140625" bestFit="1" customWidth="1"/>
    <col min="20" max="28" width="15.42578125" bestFit="1" customWidth="1"/>
    <col min="29" max="29" width="13.7109375" bestFit="1" customWidth="1"/>
    <col min="30" max="30" width="11.28515625" customWidth="1"/>
    <col min="31" max="31" width="11.140625" bestFit="1" customWidth="1"/>
    <col min="32" max="58" width="11.28515625" customWidth="1"/>
    <col min="59" max="59" width="11.28515625" bestFit="1" customWidth="1"/>
    <col min="60" max="60" width="11.28515625" customWidth="1"/>
    <col min="61" max="61" width="11.28515625" bestFit="1" customWidth="1"/>
    <col min="62" max="62" width="13.7109375" bestFit="1" customWidth="1"/>
    <col min="63" max="63" width="11.28515625" bestFit="1" customWidth="1"/>
    <col min="64" max="64" width="11.140625" bestFit="1" customWidth="1"/>
  </cols>
  <sheetData>
    <row r="1" spans="1:16" x14ac:dyDescent="0.25">
      <c r="A1" t="s">
        <v>1651</v>
      </c>
      <c r="B1" t="e">
        <f>CUBEMEMBER("pbiazure://api.powerbi.com 6e064a38-7f82-4416-9451-8d82a554b559 Model","[DimDate].[MonthYear].&amp;[Dec-2020]")</f>
        <v>#N/A</v>
      </c>
      <c r="D1" t="s">
        <v>1666</v>
      </c>
    </row>
    <row r="3" spans="1:16" x14ac:dyDescent="0.25">
      <c r="B3" t="s">
        <v>1650</v>
      </c>
    </row>
    <row r="4" spans="1:16" x14ac:dyDescent="0.25">
      <c r="A4" t="s">
        <v>1648</v>
      </c>
      <c r="B4" t="e">
        <f>CUBEMEMBER("pbiazure://api.powerbi.com 6e064a38-7f82-4416-9451-8d82a554b559 Model","[Measures].[TX_NEW_2VIS]")</f>
        <v>#N/A</v>
      </c>
      <c r="C4" t="e">
        <f>CUBEMEMBER("pbiazure://api.powerbi.com 6e064a38-7f82-4416-9451-8d82a554b559 Model","[Measures].[TX_NEW]")</f>
        <v>#N/A</v>
      </c>
      <c r="D4" t="e">
        <f>CUBEMEMBER("pbiazure://api.powerbi.com 6e064a38-7f82-4416-9451-8d82a554b559 Model","[Measures].[TX_CURR_PRIOR_MONTH]")</f>
        <v>#N/A</v>
      </c>
      <c r="E4" t="e">
        <f>CUBEMEMBER("pbiazure://api.powerbi.com 6e064a38-7f82-4416-9451-8d82a554b559 Model","[Measures].[TX_CURR]")</f>
        <v>#N/A</v>
      </c>
      <c r="F4" t="e">
        <f>CUBEMEMBER("pbiazure://api.powerbi.com 6e064a38-7f82-4416-9451-8d82a554b559 Model","[Measures].[SDI_00_07]")</f>
        <v>#N/A</v>
      </c>
      <c r="G4" t="e">
        <f>CUBEMEMBER("pbiazure://api.powerbi.com 6e064a38-7f82-4416-9451-8d82a554b559 Model","[Measures].[SDI_08_14]")</f>
        <v>#N/A</v>
      </c>
      <c r="H4" t="e">
        <f>CUBEMEMBER("pbiazure://api.powerbi.com 6e064a38-7f82-4416-9451-8d82a554b559 Model","[Measures].[SDI_15+]")</f>
        <v>#N/A</v>
      </c>
      <c r="I4" t="e">
        <f>CUBEMEMBER("pbiazure://api.powerbi.com 6e064a38-7f82-4416-9451-8d82a554b559 Model","[Measures].[TI]")</f>
        <v>#N/A</v>
      </c>
      <c r="J4" t="e">
        <f>CUBEMEMBER("pbiazure://api.powerbi.com 6e064a38-7f82-4416-9451-8d82a554b559 Model","[Measures].[TO]")</f>
        <v>#N/A</v>
      </c>
      <c r="K4" t="e">
        <f>CUBEMEMBER("pbiazure://api.powerbi.com 6e064a38-7f82-4416-9451-8d82a554b559 Model","[Measures].[DIED]")</f>
        <v>#N/A</v>
      </c>
      <c r="L4" t="e">
        <f>CUBEMEMBER("pbiazure://api.powerbi.com 6e064a38-7f82-4416-9451-8d82a554b559 Model","[Measures].[MMS_01_31]")</f>
        <v>#N/A</v>
      </c>
      <c r="M4" t="e">
        <f>CUBEMEMBER("pbiazure://api.powerbi.com 6e064a38-7f82-4416-9451-8d82a554b559 Model","[Measures].[MMS_32_62]")</f>
        <v>#N/A</v>
      </c>
      <c r="N4" t="e">
        <f>CUBEMEMBER("pbiazure://api.powerbi.com 6e064a38-7f82-4416-9451-8d82a554b559 Model","[Measures].[MMS_63+]")</f>
        <v>#N/A</v>
      </c>
      <c r="O4" t="e">
        <f>CUBEMEMBER("pbiazure://api.powerbi.com 6e064a38-7f82-4416-9451-8d82a554b559 Model","[Measures].[TX_TB_N]")</f>
        <v>#N/A</v>
      </c>
      <c r="P4" t="e">
        <f>CUBEMEMBER("pbiazure://api.powerbi.com 6e064a38-7f82-4416-9451-8d82a554b559 Model","[Measures].[TX_TB_D]")</f>
        <v>#N/A</v>
      </c>
    </row>
    <row r="5" spans="1:16" x14ac:dyDescent="0.25">
      <c r="A5" t="e">
        <f>CUBEMEMBER("pbiazure://api.powerbi.com 6e064a38-7f82-4416-9451-8d82a554b559 Model","[Facilities].[DATIMName].&amp;")</f>
        <v>#N/A</v>
      </c>
      <c r="B5" t="e">
        <f t="shared" ref="B5:P14" si="0">CUBEVALUE("pbiazure://api.powerbi.com 6e064a38-7f82-4416-9451-8d82a554b559 Model",$B$1,$A5,B$4)</f>
        <v>#N/A</v>
      </c>
      <c r="C5" t="e">
        <f t="shared" si="0"/>
        <v>#N/A</v>
      </c>
      <c r="D5" t="e">
        <f t="shared" si="0"/>
        <v>#N/A</v>
      </c>
      <c r="E5" t="e">
        <f t="shared" si="0"/>
        <v>#N/A</v>
      </c>
      <c r="F5" t="e">
        <f t="shared" si="0"/>
        <v>#N/A</v>
      </c>
      <c r="G5" t="e">
        <f t="shared" si="0"/>
        <v>#N/A</v>
      </c>
      <c r="H5" t="e">
        <f t="shared" si="0"/>
        <v>#N/A</v>
      </c>
      <c r="I5" t="e">
        <f t="shared" si="0"/>
        <v>#N/A</v>
      </c>
      <c r="J5" t="e">
        <f t="shared" si="0"/>
        <v>#N/A</v>
      </c>
      <c r="K5" t="e">
        <f t="shared" si="0"/>
        <v>#N/A</v>
      </c>
      <c r="L5" t="e">
        <f t="shared" si="0"/>
        <v>#N/A</v>
      </c>
      <c r="M5" t="e">
        <f t="shared" si="0"/>
        <v>#N/A</v>
      </c>
      <c r="N5" t="e">
        <f t="shared" si="0"/>
        <v>#N/A</v>
      </c>
      <c r="O5" t="e">
        <f t="shared" si="0"/>
        <v>#N/A</v>
      </c>
      <c r="P5" t="e">
        <f t="shared" si="0"/>
        <v>#N/A</v>
      </c>
    </row>
    <row r="6" spans="1:16" x14ac:dyDescent="0.25">
      <c r="A6" t="e">
        <f>CUBEMEMBER("pbiazure://api.powerbi.com 6e064a38-7f82-4416-9451-8d82a554b559 Model","[Facilities].[DATIMName].&amp;[Africa Amini Momella Health Center]")</f>
        <v>#N/A</v>
      </c>
      <c r="B6" t="e">
        <f t="shared" si="0"/>
        <v>#N/A</v>
      </c>
      <c r="C6" t="e">
        <f t="shared" si="0"/>
        <v>#N/A</v>
      </c>
      <c r="D6" t="e">
        <f t="shared" si="0"/>
        <v>#N/A</v>
      </c>
      <c r="E6" t="e">
        <f t="shared" si="0"/>
        <v>#N/A</v>
      </c>
      <c r="F6" t="e">
        <f t="shared" si="0"/>
        <v>#N/A</v>
      </c>
      <c r="G6" t="e">
        <f t="shared" si="0"/>
        <v>#N/A</v>
      </c>
      <c r="H6" t="e">
        <f t="shared" si="0"/>
        <v>#N/A</v>
      </c>
      <c r="I6" t="e">
        <f t="shared" si="0"/>
        <v>#N/A</v>
      </c>
      <c r="J6" t="e">
        <f t="shared" si="0"/>
        <v>#N/A</v>
      </c>
      <c r="K6" t="e">
        <f t="shared" si="0"/>
        <v>#N/A</v>
      </c>
      <c r="L6" t="e">
        <f t="shared" si="0"/>
        <v>#N/A</v>
      </c>
      <c r="M6" t="e">
        <f t="shared" si="0"/>
        <v>#N/A</v>
      </c>
      <c r="N6" t="e">
        <f t="shared" si="0"/>
        <v>#N/A</v>
      </c>
      <c r="O6" t="e">
        <f t="shared" si="0"/>
        <v>#N/A</v>
      </c>
      <c r="P6" t="e">
        <f t="shared" si="0"/>
        <v>#N/A</v>
      </c>
    </row>
    <row r="7" spans="1:16" x14ac:dyDescent="0.25">
      <c r="A7" t="e">
        <f>CUBEMEMBER("pbiazure://api.powerbi.com 6e064a38-7f82-4416-9451-8d82a554b559 Model","[Facilities].[DATIMName].&amp;[Aga Khan Dispensary]")</f>
        <v>#N/A</v>
      </c>
      <c r="B7" t="e">
        <f t="shared" si="0"/>
        <v>#N/A</v>
      </c>
      <c r="C7" t="e">
        <f t="shared" si="0"/>
        <v>#N/A</v>
      </c>
      <c r="D7" t="e">
        <f t="shared" si="0"/>
        <v>#N/A</v>
      </c>
      <c r="E7" t="e">
        <f t="shared" si="0"/>
        <v>#N/A</v>
      </c>
      <c r="F7" t="e">
        <f t="shared" si="0"/>
        <v>#N/A</v>
      </c>
      <c r="G7" t="e">
        <f t="shared" si="0"/>
        <v>#N/A</v>
      </c>
      <c r="H7" t="e">
        <f t="shared" si="0"/>
        <v>#N/A</v>
      </c>
      <c r="I7" t="e">
        <f t="shared" si="0"/>
        <v>#N/A</v>
      </c>
      <c r="J7" t="e">
        <f t="shared" si="0"/>
        <v>#N/A</v>
      </c>
      <c r="K7" t="e">
        <f t="shared" si="0"/>
        <v>#N/A</v>
      </c>
      <c r="L7" t="e">
        <f t="shared" si="0"/>
        <v>#N/A</v>
      </c>
      <c r="M7" t="e">
        <f t="shared" si="0"/>
        <v>#N/A</v>
      </c>
      <c r="N7" t="e">
        <f t="shared" si="0"/>
        <v>#N/A</v>
      </c>
      <c r="O7" t="e">
        <f t="shared" si="0"/>
        <v>#N/A</v>
      </c>
      <c r="P7" t="e">
        <f t="shared" si="0"/>
        <v>#N/A</v>
      </c>
    </row>
    <row r="8" spans="1:16" x14ac:dyDescent="0.25">
      <c r="A8" t="e">
        <f>CUBEMEMBER("pbiazure://api.powerbi.com 6e064a38-7f82-4416-9451-8d82a554b559 Model","[Facilities].[DATIMName].&amp;[AICC Hospital]")</f>
        <v>#N/A</v>
      </c>
      <c r="B8" t="e">
        <f t="shared" si="0"/>
        <v>#N/A</v>
      </c>
      <c r="C8" t="e">
        <f t="shared" si="0"/>
        <v>#N/A</v>
      </c>
      <c r="D8" t="e">
        <f t="shared" si="0"/>
        <v>#N/A</v>
      </c>
      <c r="E8" t="e">
        <f t="shared" si="0"/>
        <v>#N/A</v>
      </c>
      <c r="F8" t="e">
        <f t="shared" si="0"/>
        <v>#N/A</v>
      </c>
      <c r="G8" t="e">
        <f t="shared" si="0"/>
        <v>#N/A</v>
      </c>
      <c r="H8" t="e">
        <f t="shared" si="0"/>
        <v>#N/A</v>
      </c>
      <c r="I8" t="e">
        <f t="shared" si="0"/>
        <v>#N/A</v>
      </c>
      <c r="J8" t="e">
        <f t="shared" si="0"/>
        <v>#N/A</v>
      </c>
      <c r="K8" t="e">
        <f t="shared" si="0"/>
        <v>#N/A</v>
      </c>
      <c r="L8" t="e">
        <f t="shared" si="0"/>
        <v>#N/A</v>
      </c>
      <c r="M8" t="e">
        <f t="shared" si="0"/>
        <v>#N/A</v>
      </c>
      <c r="N8" t="e">
        <f t="shared" si="0"/>
        <v>#N/A</v>
      </c>
      <c r="O8" t="e">
        <f t="shared" si="0"/>
        <v>#N/A</v>
      </c>
      <c r="P8" t="e">
        <f t="shared" si="0"/>
        <v>#N/A</v>
      </c>
    </row>
    <row r="9" spans="1:16" x14ac:dyDescent="0.25">
      <c r="A9" t="e">
        <f>CUBEMEMBER("pbiazure://api.powerbi.com 6e064a38-7f82-4416-9451-8d82a554b559 Model","[Facilities].[DATIMName].&amp;[Arusha Lutheran Center Hospital - Referral Hospital]")</f>
        <v>#N/A</v>
      </c>
      <c r="B9" t="e">
        <f t="shared" si="0"/>
        <v>#N/A</v>
      </c>
      <c r="C9" t="e">
        <f t="shared" si="0"/>
        <v>#N/A</v>
      </c>
      <c r="D9" t="e">
        <f t="shared" si="0"/>
        <v>#N/A</v>
      </c>
      <c r="E9" t="e">
        <f t="shared" si="0"/>
        <v>#N/A</v>
      </c>
      <c r="F9" t="e">
        <f t="shared" si="0"/>
        <v>#N/A</v>
      </c>
      <c r="G9" t="e">
        <f t="shared" si="0"/>
        <v>#N/A</v>
      </c>
      <c r="H9" t="e">
        <f t="shared" si="0"/>
        <v>#N/A</v>
      </c>
      <c r="I9" t="e">
        <f t="shared" si="0"/>
        <v>#N/A</v>
      </c>
      <c r="J9" t="e">
        <f t="shared" si="0"/>
        <v>#N/A</v>
      </c>
      <c r="K9" t="e">
        <f t="shared" si="0"/>
        <v>#N/A</v>
      </c>
      <c r="L9" t="e">
        <f t="shared" si="0"/>
        <v>#N/A</v>
      </c>
      <c r="M9" t="e">
        <f t="shared" si="0"/>
        <v>#N/A</v>
      </c>
      <c r="N9" t="e">
        <f t="shared" si="0"/>
        <v>#N/A</v>
      </c>
      <c r="O9" t="e">
        <f t="shared" si="0"/>
        <v>#N/A</v>
      </c>
      <c r="P9" t="e">
        <f t="shared" si="0"/>
        <v>#N/A</v>
      </c>
    </row>
    <row r="10" spans="1:16" x14ac:dyDescent="0.25">
      <c r="A10" t="e">
        <f>CUBEMEMBER("pbiazure://api.powerbi.com 6e064a38-7f82-4416-9451-8d82a554b559 Model","[Facilities].[DATIMName].&amp;[Asanje Dispensary]")</f>
        <v>#N/A</v>
      </c>
      <c r="B10" t="e">
        <f t="shared" si="0"/>
        <v>#N/A</v>
      </c>
      <c r="C10" t="e">
        <f t="shared" si="0"/>
        <v>#N/A</v>
      </c>
      <c r="D10" t="e">
        <f t="shared" si="0"/>
        <v>#N/A</v>
      </c>
      <c r="E10" t="e">
        <f t="shared" si="0"/>
        <v>#N/A</v>
      </c>
      <c r="F10" t="e">
        <f t="shared" si="0"/>
        <v>#N/A</v>
      </c>
      <c r="G10" t="e">
        <f t="shared" si="0"/>
        <v>#N/A</v>
      </c>
      <c r="H10" t="e">
        <f t="shared" si="0"/>
        <v>#N/A</v>
      </c>
      <c r="I10" t="e">
        <f t="shared" si="0"/>
        <v>#N/A</v>
      </c>
      <c r="J10" t="e">
        <f t="shared" si="0"/>
        <v>#N/A</v>
      </c>
      <c r="K10" t="e">
        <f t="shared" si="0"/>
        <v>#N/A</v>
      </c>
      <c r="L10" t="e">
        <f t="shared" si="0"/>
        <v>#N/A</v>
      </c>
      <c r="M10" t="e">
        <f t="shared" si="0"/>
        <v>#N/A</v>
      </c>
      <c r="N10" t="e">
        <f t="shared" si="0"/>
        <v>#N/A</v>
      </c>
      <c r="O10" t="e">
        <f t="shared" si="0"/>
        <v>#N/A</v>
      </c>
      <c r="P10" t="e">
        <f t="shared" si="0"/>
        <v>#N/A</v>
      </c>
    </row>
    <row r="11" spans="1:16" x14ac:dyDescent="0.25">
      <c r="A11" t="e">
        <f>CUBEMEMBER("pbiazure://api.powerbi.com 6e064a38-7f82-4416-9451-8d82a554b559 Model","[Facilities].[DATIMName].&amp;[Ashe engai RC Health Center]")</f>
        <v>#N/A</v>
      </c>
      <c r="B11" t="e">
        <f t="shared" si="0"/>
        <v>#N/A</v>
      </c>
      <c r="C11" t="e">
        <f t="shared" si="0"/>
        <v>#N/A</v>
      </c>
      <c r="D11" t="e">
        <f t="shared" si="0"/>
        <v>#N/A</v>
      </c>
      <c r="E11" t="e">
        <f t="shared" si="0"/>
        <v>#N/A</v>
      </c>
      <c r="F11" t="e">
        <f t="shared" si="0"/>
        <v>#N/A</v>
      </c>
      <c r="G11" t="e">
        <f t="shared" si="0"/>
        <v>#N/A</v>
      </c>
      <c r="H11" t="e">
        <f t="shared" si="0"/>
        <v>#N/A</v>
      </c>
      <c r="I11" t="e">
        <f t="shared" si="0"/>
        <v>#N/A</v>
      </c>
      <c r="J11" t="e">
        <f t="shared" si="0"/>
        <v>#N/A</v>
      </c>
      <c r="K11" t="e">
        <f t="shared" si="0"/>
        <v>#N/A</v>
      </c>
      <c r="L11" t="e">
        <f t="shared" si="0"/>
        <v>#N/A</v>
      </c>
      <c r="M11" t="e">
        <f t="shared" si="0"/>
        <v>#N/A</v>
      </c>
      <c r="N11" t="e">
        <f t="shared" si="0"/>
        <v>#N/A</v>
      </c>
      <c r="O11" t="e">
        <f t="shared" si="0"/>
        <v>#N/A</v>
      </c>
      <c r="P11" t="e">
        <f t="shared" si="0"/>
        <v>#N/A</v>
      </c>
    </row>
    <row r="12" spans="1:16" x14ac:dyDescent="0.25">
      <c r="A12" t="e">
        <f>CUBEMEMBER("pbiazure://api.powerbi.com 6e064a38-7f82-4416-9451-8d82a554b559 Model","[Facilities].[DATIMName].&amp;[Babati Hospital - District Hospital]")</f>
        <v>#N/A</v>
      </c>
      <c r="B12" t="e">
        <f t="shared" si="0"/>
        <v>#N/A</v>
      </c>
      <c r="C12" t="e">
        <f t="shared" si="0"/>
        <v>#N/A</v>
      </c>
      <c r="D12" t="e">
        <f t="shared" si="0"/>
        <v>#N/A</v>
      </c>
      <c r="E12" t="e">
        <f t="shared" si="0"/>
        <v>#N/A</v>
      </c>
      <c r="F12" t="e">
        <f t="shared" si="0"/>
        <v>#N/A</v>
      </c>
      <c r="G12" t="e">
        <f t="shared" si="0"/>
        <v>#N/A</v>
      </c>
      <c r="H12" t="e">
        <f t="shared" si="0"/>
        <v>#N/A</v>
      </c>
      <c r="I12" t="e">
        <f t="shared" si="0"/>
        <v>#N/A</v>
      </c>
      <c r="J12" t="e">
        <f t="shared" si="0"/>
        <v>#N/A</v>
      </c>
      <c r="K12" t="e">
        <f t="shared" si="0"/>
        <v>#N/A</v>
      </c>
      <c r="L12" t="e">
        <f t="shared" si="0"/>
        <v>#N/A</v>
      </c>
      <c r="M12" t="e">
        <f t="shared" si="0"/>
        <v>#N/A</v>
      </c>
      <c r="N12" t="e">
        <f t="shared" si="0"/>
        <v>#N/A</v>
      </c>
      <c r="O12" t="e">
        <f t="shared" si="0"/>
        <v>#N/A</v>
      </c>
      <c r="P12" t="e">
        <f t="shared" si="0"/>
        <v>#N/A</v>
      </c>
    </row>
    <row r="13" spans="1:16" x14ac:dyDescent="0.25">
      <c r="A13" t="e">
        <f>CUBEMEMBER("pbiazure://api.powerbi.com 6e064a38-7f82-4416-9451-8d82a554b559 Model","[Facilities].[DATIMName].&amp;[Babati Romancatholic Dispensary]")</f>
        <v>#N/A</v>
      </c>
      <c r="B13" t="e">
        <f t="shared" si="0"/>
        <v>#N/A</v>
      </c>
      <c r="C13" t="e">
        <f t="shared" si="0"/>
        <v>#N/A</v>
      </c>
      <c r="D13" t="e">
        <f t="shared" si="0"/>
        <v>#N/A</v>
      </c>
      <c r="E13" t="e">
        <f t="shared" si="0"/>
        <v>#N/A</v>
      </c>
      <c r="F13" t="e">
        <f t="shared" si="0"/>
        <v>#N/A</v>
      </c>
      <c r="G13" t="e">
        <f t="shared" si="0"/>
        <v>#N/A</v>
      </c>
      <c r="H13" t="e">
        <f t="shared" si="0"/>
        <v>#N/A</v>
      </c>
      <c r="I13" t="e">
        <f t="shared" si="0"/>
        <v>#N/A</v>
      </c>
      <c r="J13" t="e">
        <f t="shared" si="0"/>
        <v>#N/A</v>
      </c>
      <c r="K13" t="e">
        <f t="shared" si="0"/>
        <v>#N/A</v>
      </c>
      <c r="L13" t="e">
        <f t="shared" si="0"/>
        <v>#N/A</v>
      </c>
      <c r="M13" t="e">
        <f t="shared" si="0"/>
        <v>#N/A</v>
      </c>
      <c r="N13" t="e">
        <f t="shared" si="0"/>
        <v>#N/A</v>
      </c>
      <c r="O13" t="e">
        <f t="shared" si="0"/>
        <v>#N/A</v>
      </c>
      <c r="P13" t="e">
        <f t="shared" si="0"/>
        <v>#N/A</v>
      </c>
    </row>
    <row r="14" spans="1:16" x14ac:dyDescent="0.25">
      <c r="A14" t="e">
        <f>CUBEMEMBER("pbiazure://api.powerbi.com 6e064a38-7f82-4416-9451-8d82a554b559 Model","[Facilities].[DATIMName].&amp;[Babayu Dispensary]")</f>
        <v>#N/A</v>
      </c>
      <c r="B14" t="e">
        <f t="shared" si="0"/>
        <v>#N/A</v>
      </c>
      <c r="C14" t="e">
        <f t="shared" si="0"/>
        <v>#N/A</v>
      </c>
      <c r="D14" t="e">
        <f t="shared" si="0"/>
        <v>#N/A</v>
      </c>
      <c r="E14" t="e">
        <f t="shared" si="0"/>
        <v>#N/A</v>
      </c>
      <c r="F14" t="e">
        <f t="shared" si="0"/>
        <v>#N/A</v>
      </c>
      <c r="G14" t="e">
        <f t="shared" si="0"/>
        <v>#N/A</v>
      </c>
      <c r="H14" t="e">
        <f t="shared" si="0"/>
        <v>#N/A</v>
      </c>
      <c r="I14" t="e">
        <f t="shared" si="0"/>
        <v>#N/A</v>
      </c>
      <c r="J14" t="e">
        <f t="shared" si="0"/>
        <v>#N/A</v>
      </c>
      <c r="K14" t="e">
        <f t="shared" si="0"/>
        <v>#N/A</v>
      </c>
      <c r="L14" t="e">
        <f t="shared" si="0"/>
        <v>#N/A</v>
      </c>
      <c r="M14" t="e">
        <f t="shared" si="0"/>
        <v>#N/A</v>
      </c>
      <c r="N14" t="e">
        <f t="shared" si="0"/>
        <v>#N/A</v>
      </c>
      <c r="O14" t="e">
        <f t="shared" si="0"/>
        <v>#N/A</v>
      </c>
      <c r="P14" t="e">
        <f t="shared" si="0"/>
        <v>#N/A</v>
      </c>
    </row>
    <row r="15" spans="1:16" x14ac:dyDescent="0.25">
      <c r="A15" t="e">
        <f>CUBEMEMBER("pbiazure://api.powerbi.com 6e064a38-7f82-4416-9451-8d82a554b559 Model","[Facilities].[DATIMName].&amp;[Bahi Health Center]")</f>
        <v>#N/A</v>
      </c>
      <c r="B15" t="e">
        <f t="shared" ref="B15:P24" si="1">CUBEVALUE("pbiazure://api.powerbi.com 6e064a38-7f82-4416-9451-8d82a554b559 Model",$B$1,$A15,B$4)</f>
        <v>#N/A</v>
      </c>
      <c r="C15" t="e">
        <f t="shared" si="1"/>
        <v>#N/A</v>
      </c>
      <c r="D15" t="e">
        <f t="shared" si="1"/>
        <v>#N/A</v>
      </c>
      <c r="E15" t="e">
        <f t="shared" si="1"/>
        <v>#N/A</v>
      </c>
      <c r="F15" t="e">
        <f t="shared" si="1"/>
        <v>#N/A</v>
      </c>
      <c r="G15" t="e">
        <f t="shared" si="1"/>
        <v>#N/A</v>
      </c>
      <c r="H15" t="e">
        <f t="shared" si="1"/>
        <v>#N/A</v>
      </c>
      <c r="I15" t="e">
        <f t="shared" si="1"/>
        <v>#N/A</v>
      </c>
      <c r="J15" t="e">
        <f t="shared" si="1"/>
        <v>#N/A</v>
      </c>
      <c r="K15" t="e">
        <f t="shared" si="1"/>
        <v>#N/A</v>
      </c>
      <c r="L15" t="e">
        <f t="shared" si="1"/>
        <v>#N/A</v>
      </c>
      <c r="M15" t="e">
        <f t="shared" si="1"/>
        <v>#N/A</v>
      </c>
      <c r="N15" t="e">
        <f t="shared" si="1"/>
        <v>#N/A</v>
      </c>
      <c r="O15" t="e">
        <f t="shared" si="1"/>
        <v>#N/A</v>
      </c>
      <c r="P15" t="e">
        <f t="shared" si="1"/>
        <v>#N/A</v>
      </c>
    </row>
    <row r="16" spans="1:16" x14ac:dyDescent="0.25">
      <c r="A16" t="e">
        <f>CUBEMEMBER("pbiazure://api.powerbi.com 6e064a38-7f82-4416-9451-8d82a554b559 Model","[Facilities].[DATIMName].&amp;[Banyibanyi Dispensary]")</f>
        <v>#N/A</v>
      </c>
      <c r="B16" t="e">
        <f t="shared" si="1"/>
        <v>#N/A</v>
      </c>
      <c r="C16" t="e">
        <f t="shared" si="1"/>
        <v>#N/A</v>
      </c>
      <c r="D16" t="e">
        <f t="shared" si="1"/>
        <v>#N/A</v>
      </c>
      <c r="E16" t="e">
        <f t="shared" si="1"/>
        <v>#N/A</v>
      </c>
      <c r="F16" t="e">
        <f t="shared" si="1"/>
        <v>#N/A</v>
      </c>
      <c r="G16" t="e">
        <f t="shared" si="1"/>
        <v>#N/A</v>
      </c>
      <c r="H16" t="e">
        <f t="shared" si="1"/>
        <v>#N/A</v>
      </c>
      <c r="I16" t="e">
        <f t="shared" si="1"/>
        <v>#N/A</v>
      </c>
      <c r="J16" t="e">
        <f t="shared" si="1"/>
        <v>#N/A</v>
      </c>
      <c r="K16" t="e">
        <f t="shared" si="1"/>
        <v>#N/A</v>
      </c>
      <c r="L16" t="e">
        <f t="shared" si="1"/>
        <v>#N/A</v>
      </c>
      <c r="M16" t="e">
        <f t="shared" si="1"/>
        <v>#N/A</v>
      </c>
      <c r="N16" t="e">
        <f t="shared" si="1"/>
        <v>#N/A</v>
      </c>
      <c r="O16" t="e">
        <f t="shared" si="1"/>
        <v>#N/A</v>
      </c>
      <c r="P16" t="e">
        <f t="shared" si="1"/>
        <v>#N/A</v>
      </c>
    </row>
    <row r="17" spans="1:16" x14ac:dyDescent="0.25">
      <c r="A17" t="e">
        <f>CUBEMEMBER("pbiazure://api.powerbi.com 6e064a38-7f82-4416-9451-8d82a554b559 Model","[Facilities].[DATIMName].&amp;[Bashay Dispensary]")</f>
        <v>#N/A</v>
      </c>
      <c r="B17" t="e">
        <f t="shared" si="1"/>
        <v>#N/A</v>
      </c>
      <c r="C17" t="e">
        <f t="shared" si="1"/>
        <v>#N/A</v>
      </c>
      <c r="D17" t="e">
        <f t="shared" si="1"/>
        <v>#N/A</v>
      </c>
      <c r="E17" t="e">
        <f t="shared" si="1"/>
        <v>#N/A</v>
      </c>
      <c r="F17" t="e">
        <f t="shared" si="1"/>
        <v>#N/A</v>
      </c>
      <c r="G17" t="e">
        <f t="shared" si="1"/>
        <v>#N/A</v>
      </c>
      <c r="H17" t="e">
        <f t="shared" si="1"/>
        <v>#N/A</v>
      </c>
      <c r="I17" t="e">
        <f t="shared" si="1"/>
        <v>#N/A</v>
      </c>
      <c r="J17" t="e">
        <f t="shared" si="1"/>
        <v>#N/A</v>
      </c>
      <c r="K17" t="e">
        <f t="shared" si="1"/>
        <v>#N/A</v>
      </c>
      <c r="L17" t="e">
        <f t="shared" si="1"/>
        <v>#N/A</v>
      </c>
      <c r="M17" t="e">
        <f t="shared" si="1"/>
        <v>#N/A</v>
      </c>
      <c r="N17" t="e">
        <f t="shared" si="1"/>
        <v>#N/A</v>
      </c>
      <c r="O17" t="e">
        <f t="shared" si="1"/>
        <v>#N/A</v>
      </c>
      <c r="P17" t="e">
        <f t="shared" si="1"/>
        <v>#N/A</v>
      </c>
    </row>
    <row r="18" spans="1:16" x14ac:dyDescent="0.25">
      <c r="A18" t="e">
        <f>CUBEMEMBER("pbiazure://api.powerbi.com 6e064a38-7f82-4416-9451-8d82a554b559 Model","[Facilities].[DATIMName].&amp;[Bashnet Hospital]")</f>
        <v>#N/A</v>
      </c>
      <c r="B18" t="e">
        <f t="shared" si="1"/>
        <v>#N/A</v>
      </c>
      <c r="C18" t="e">
        <f t="shared" si="1"/>
        <v>#N/A</v>
      </c>
      <c r="D18" t="e">
        <f t="shared" si="1"/>
        <v>#N/A</v>
      </c>
      <c r="E18" t="e">
        <f t="shared" si="1"/>
        <v>#N/A</v>
      </c>
      <c r="F18" t="e">
        <f t="shared" si="1"/>
        <v>#N/A</v>
      </c>
      <c r="G18" t="e">
        <f t="shared" si="1"/>
        <v>#N/A</v>
      </c>
      <c r="H18" t="e">
        <f t="shared" si="1"/>
        <v>#N/A</v>
      </c>
      <c r="I18" t="e">
        <f t="shared" si="1"/>
        <v>#N/A</v>
      </c>
      <c r="J18" t="e">
        <f t="shared" si="1"/>
        <v>#N/A</v>
      </c>
      <c r="K18" t="e">
        <f t="shared" si="1"/>
        <v>#N/A</v>
      </c>
      <c r="L18" t="e">
        <f t="shared" si="1"/>
        <v>#N/A</v>
      </c>
      <c r="M18" t="e">
        <f t="shared" si="1"/>
        <v>#N/A</v>
      </c>
      <c r="N18" t="e">
        <f t="shared" si="1"/>
        <v>#N/A</v>
      </c>
      <c r="O18" t="e">
        <f t="shared" si="1"/>
        <v>#N/A</v>
      </c>
      <c r="P18" t="e">
        <f t="shared" si="1"/>
        <v>#N/A</v>
      </c>
    </row>
    <row r="19" spans="1:16" x14ac:dyDescent="0.25">
      <c r="A19" t="e">
        <f>CUBEMEMBER("pbiazure://api.powerbi.com 6e064a38-7f82-4416-9451-8d82a554b559 Model","[Facilities].[DATIMName].&amp;[Benjamini Mkapa]")</f>
        <v>#N/A</v>
      </c>
      <c r="B19" t="e">
        <f t="shared" si="1"/>
        <v>#N/A</v>
      </c>
      <c r="C19" t="e">
        <f t="shared" si="1"/>
        <v>#N/A</v>
      </c>
      <c r="D19" t="e">
        <f t="shared" si="1"/>
        <v>#N/A</v>
      </c>
      <c r="E19" t="e">
        <f t="shared" si="1"/>
        <v>#N/A</v>
      </c>
      <c r="F19" t="e">
        <f t="shared" si="1"/>
        <v>#N/A</v>
      </c>
      <c r="G19" t="e">
        <f t="shared" si="1"/>
        <v>#N/A</v>
      </c>
      <c r="H19" t="e">
        <f t="shared" si="1"/>
        <v>#N/A</v>
      </c>
      <c r="I19" t="e">
        <f t="shared" si="1"/>
        <v>#N/A</v>
      </c>
      <c r="J19" t="e">
        <f t="shared" si="1"/>
        <v>#N/A</v>
      </c>
      <c r="K19" t="e">
        <f t="shared" si="1"/>
        <v>#N/A</v>
      </c>
      <c r="L19" t="e">
        <f t="shared" si="1"/>
        <v>#N/A</v>
      </c>
      <c r="M19" t="e">
        <f t="shared" si="1"/>
        <v>#N/A</v>
      </c>
      <c r="N19" t="e">
        <f t="shared" si="1"/>
        <v>#N/A</v>
      </c>
      <c r="O19" t="e">
        <f t="shared" si="1"/>
        <v>#N/A</v>
      </c>
      <c r="P19" t="e">
        <f t="shared" si="1"/>
        <v>#N/A</v>
      </c>
    </row>
    <row r="20" spans="1:16" x14ac:dyDescent="0.25">
      <c r="A20" t="e">
        <f>CUBEMEMBER("pbiazure://api.powerbi.com 6e064a38-7f82-4416-9451-8d82a554b559 Model","[Facilities].[DATIMName].&amp;[Bolisa Dispensary]")</f>
        <v>#N/A</v>
      </c>
      <c r="B20" t="e">
        <f t="shared" si="1"/>
        <v>#N/A</v>
      </c>
      <c r="C20" t="e">
        <f t="shared" si="1"/>
        <v>#N/A</v>
      </c>
      <c r="D20" t="e">
        <f t="shared" si="1"/>
        <v>#N/A</v>
      </c>
      <c r="E20" t="e">
        <f t="shared" si="1"/>
        <v>#N/A</v>
      </c>
      <c r="F20" t="e">
        <f t="shared" si="1"/>
        <v>#N/A</v>
      </c>
      <c r="G20" t="e">
        <f t="shared" si="1"/>
        <v>#N/A</v>
      </c>
      <c r="H20" t="e">
        <f t="shared" si="1"/>
        <v>#N/A</v>
      </c>
      <c r="I20" t="e">
        <f t="shared" si="1"/>
        <v>#N/A</v>
      </c>
      <c r="J20" t="e">
        <f t="shared" si="1"/>
        <v>#N/A</v>
      </c>
      <c r="K20" t="e">
        <f t="shared" si="1"/>
        <v>#N/A</v>
      </c>
      <c r="L20" t="e">
        <f t="shared" si="1"/>
        <v>#N/A</v>
      </c>
      <c r="M20" t="e">
        <f t="shared" si="1"/>
        <v>#N/A</v>
      </c>
      <c r="N20" t="e">
        <f t="shared" si="1"/>
        <v>#N/A</v>
      </c>
      <c r="O20" t="e">
        <f t="shared" si="1"/>
        <v>#N/A</v>
      </c>
      <c r="P20" t="e">
        <f t="shared" si="1"/>
        <v>#N/A</v>
      </c>
    </row>
    <row r="21" spans="1:16" x14ac:dyDescent="0.25">
      <c r="A21" t="e">
        <f>CUBEMEMBER("pbiazure://api.powerbi.com 6e064a38-7f82-4416-9451-8d82a554b559 Model","[Facilities].[DATIMName].&amp;[Bomani Dispensary]")</f>
        <v>#N/A</v>
      </c>
      <c r="B21" t="e">
        <f t="shared" si="1"/>
        <v>#N/A</v>
      </c>
      <c r="C21" t="e">
        <f t="shared" si="1"/>
        <v>#N/A</v>
      </c>
      <c r="D21" t="e">
        <f t="shared" si="1"/>
        <v>#N/A</v>
      </c>
      <c r="E21" t="e">
        <f t="shared" si="1"/>
        <v>#N/A</v>
      </c>
      <c r="F21" t="e">
        <f t="shared" si="1"/>
        <v>#N/A</v>
      </c>
      <c r="G21" t="e">
        <f t="shared" si="1"/>
        <v>#N/A</v>
      </c>
      <c r="H21" t="e">
        <f t="shared" si="1"/>
        <v>#N/A</v>
      </c>
      <c r="I21" t="e">
        <f t="shared" si="1"/>
        <v>#N/A</v>
      </c>
      <c r="J21" t="e">
        <f t="shared" si="1"/>
        <v>#N/A</v>
      </c>
      <c r="K21" t="e">
        <f t="shared" si="1"/>
        <v>#N/A</v>
      </c>
      <c r="L21" t="e">
        <f t="shared" si="1"/>
        <v>#N/A</v>
      </c>
      <c r="M21" t="e">
        <f t="shared" si="1"/>
        <v>#N/A</v>
      </c>
      <c r="N21" t="e">
        <f t="shared" si="1"/>
        <v>#N/A</v>
      </c>
      <c r="O21" t="e">
        <f t="shared" si="1"/>
        <v>#N/A</v>
      </c>
      <c r="P21" t="e">
        <f t="shared" si="1"/>
        <v>#N/A</v>
      </c>
    </row>
    <row r="22" spans="1:16" x14ac:dyDescent="0.25">
      <c r="A22" t="e">
        <f>CUBEMEMBER("pbiazure://api.powerbi.com 6e064a38-7f82-4416-9451-8d82a554b559 Model","[Facilities].[DATIMName].&amp;[Bondeni Dispensary]")</f>
        <v>#N/A</v>
      </c>
      <c r="B22" t="e">
        <f t="shared" si="1"/>
        <v>#N/A</v>
      </c>
      <c r="C22" t="e">
        <f t="shared" si="1"/>
        <v>#N/A</v>
      </c>
      <c r="D22" t="e">
        <f t="shared" si="1"/>
        <v>#N/A</v>
      </c>
      <c r="E22" t="e">
        <f t="shared" si="1"/>
        <v>#N/A</v>
      </c>
      <c r="F22" t="e">
        <f t="shared" si="1"/>
        <v>#N/A</v>
      </c>
      <c r="G22" t="e">
        <f t="shared" si="1"/>
        <v>#N/A</v>
      </c>
      <c r="H22" t="e">
        <f t="shared" si="1"/>
        <v>#N/A</v>
      </c>
      <c r="I22" t="e">
        <f t="shared" si="1"/>
        <v>#N/A</v>
      </c>
      <c r="J22" t="e">
        <f t="shared" si="1"/>
        <v>#N/A</v>
      </c>
      <c r="K22" t="e">
        <f t="shared" si="1"/>
        <v>#N/A</v>
      </c>
      <c r="L22" t="e">
        <f t="shared" si="1"/>
        <v>#N/A</v>
      </c>
      <c r="M22" t="e">
        <f t="shared" si="1"/>
        <v>#N/A</v>
      </c>
      <c r="N22" t="e">
        <f t="shared" si="1"/>
        <v>#N/A</v>
      </c>
      <c r="O22" t="e">
        <f t="shared" si="1"/>
        <v>#N/A</v>
      </c>
      <c r="P22" t="e">
        <f t="shared" si="1"/>
        <v>#N/A</v>
      </c>
    </row>
    <row r="23" spans="1:16" x14ac:dyDescent="0.25">
      <c r="A23" t="e">
        <f>CUBEMEMBER("pbiazure://api.powerbi.com 6e064a38-7f82-4416-9451-8d82a554b559 Model","[Facilities].[DATIMName].&amp;[Bonga Health Center]")</f>
        <v>#N/A</v>
      </c>
      <c r="B23" t="e">
        <f t="shared" si="1"/>
        <v>#N/A</v>
      </c>
      <c r="C23" t="e">
        <f t="shared" si="1"/>
        <v>#N/A</v>
      </c>
      <c r="D23" t="e">
        <f t="shared" si="1"/>
        <v>#N/A</v>
      </c>
      <c r="E23" t="e">
        <f t="shared" si="1"/>
        <v>#N/A</v>
      </c>
      <c r="F23" t="e">
        <f t="shared" si="1"/>
        <v>#N/A</v>
      </c>
      <c r="G23" t="e">
        <f t="shared" si="1"/>
        <v>#N/A</v>
      </c>
      <c r="H23" t="e">
        <f t="shared" si="1"/>
        <v>#N/A</v>
      </c>
      <c r="I23" t="e">
        <f t="shared" si="1"/>
        <v>#N/A</v>
      </c>
      <c r="J23" t="e">
        <f t="shared" si="1"/>
        <v>#N/A</v>
      </c>
      <c r="K23" t="e">
        <f t="shared" si="1"/>
        <v>#N/A</v>
      </c>
      <c r="L23" t="e">
        <f t="shared" si="1"/>
        <v>#N/A</v>
      </c>
      <c r="M23" t="e">
        <f t="shared" si="1"/>
        <v>#N/A</v>
      </c>
      <c r="N23" t="e">
        <f t="shared" si="1"/>
        <v>#N/A</v>
      </c>
      <c r="O23" t="e">
        <f t="shared" si="1"/>
        <v>#N/A</v>
      </c>
      <c r="P23" t="e">
        <f t="shared" si="1"/>
        <v>#N/A</v>
      </c>
    </row>
    <row r="24" spans="1:16" x14ac:dyDescent="0.25">
      <c r="A24" t="e">
        <f>CUBEMEMBER("pbiazure://api.powerbi.com 6e064a38-7f82-4416-9451-8d82a554b559 Model","[Facilities].[DATIMName].&amp;[Bumbuta Dispensary]")</f>
        <v>#N/A</v>
      </c>
      <c r="B24" t="e">
        <f t="shared" si="1"/>
        <v>#N/A</v>
      </c>
      <c r="C24" t="e">
        <f t="shared" si="1"/>
        <v>#N/A</v>
      </c>
      <c r="D24" t="e">
        <f t="shared" si="1"/>
        <v>#N/A</v>
      </c>
      <c r="E24" t="e">
        <f t="shared" si="1"/>
        <v>#N/A</v>
      </c>
      <c r="F24" t="e">
        <f t="shared" si="1"/>
        <v>#N/A</v>
      </c>
      <c r="G24" t="e">
        <f t="shared" si="1"/>
        <v>#N/A</v>
      </c>
      <c r="H24" t="e">
        <f t="shared" si="1"/>
        <v>#N/A</v>
      </c>
      <c r="I24" t="e">
        <f t="shared" si="1"/>
        <v>#N/A</v>
      </c>
      <c r="J24" t="e">
        <f t="shared" si="1"/>
        <v>#N/A</v>
      </c>
      <c r="K24" t="e">
        <f t="shared" si="1"/>
        <v>#N/A</v>
      </c>
      <c r="L24" t="e">
        <f t="shared" si="1"/>
        <v>#N/A</v>
      </c>
      <c r="M24" t="e">
        <f t="shared" si="1"/>
        <v>#N/A</v>
      </c>
      <c r="N24" t="e">
        <f t="shared" si="1"/>
        <v>#N/A</v>
      </c>
      <c r="O24" t="e">
        <f t="shared" si="1"/>
        <v>#N/A</v>
      </c>
      <c r="P24" t="e">
        <f t="shared" si="1"/>
        <v>#N/A</v>
      </c>
    </row>
    <row r="25" spans="1:16" x14ac:dyDescent="0.25">
      <c r="A25" t="e">
        <f>CUBEMEMBER("pbiazure://api.powerbi.com 6e064a38-7f82-4416-9451-8d82a554b559 Model","[Facilities].[DATIMName].&amp;[Busi Health Center]")</f>
        <v>#N/A</v>
      </c>
      <c r="B25" t="e">
        <f t="shared" ref="B25:P34" si="2">CUBEVALUE("pbiazure://api.powerbi.com 6e064a38-7f82-4416-9451-8d82a554b559 Model",$B$1,$A25,B$4)</f>
        <v>#N/A</v>
      </c>
      <c r="C25" t="e">
        <f t="shared" si="2"/>
        <v>#N/A</v>
      </c>
      <c r="D25" t="e">
        <f t="shared" si="2"/>
        <v>#N/A</v>
      </c>
      <c r="E25" t="e">
        <f t="shared" si="2"/>
        <v>#N/A</v>
      </c>
      <c r="F25" t="e">
        <f t="shared" si="2"/>
        <v>#N/A</v>
      </c>
      <c r="G25" t="e">
        <f t="shared" si="2"/>
        <v>#N/A</v>
      </c>
      <c r="H25" t="e">
        <f t="shared" si="2"/>
        <v>#N/A</v>
      </c>
      <c r="I25" t="e">
        <f t="shared" si="2"/>
        <v>#N/A</v>
      </c>
      <c r="J25" t="e">
        <f t="shared" si="2"/>
        <v>#N/A</v>
      </c>
      <c r="K25" t="e">
        <f t="shared" si="2"/>
        <v>#N/A</v>
      </c>
      <c r="L25" t="e">
        <f t="shared" si="2"/>
        <v>#N/A</v>
      </c>
      <c r="M25" t="e">
        <f t="shared" si="2"/>
        <v>#N/A</v>
      </c>
      <c r="N25" t="e">
        <f t="shared" si="2"/>
        <v>#N/A</v>
      </c>
      <c r="O25" t="e">
        <f t="shared" si="2"/>
        <v>#N/A</v>
      </c>
      <c r="P25" t="e">
        <f t="shared" si="2"/>
        <v>#N/A</v>
      </c>
    </row>
    <row r="26" spans="1:16" x14ac:dyDescent="0.25">
      <c r="A26" t="e">
        <f>CUBEMEMBER("pbiazure://api.powerbi.com 6e064a38-7f82-4416-9451-8d82a554b559 Model","[Facilities].[DATIMName].&amp;[Bwambo HC Health Center]")</f>
        <v>#N/A</v>
      </c>
      <c r="B26" t="e">
        <f t="shared" si="2"/>
        <v>#N/A</v>
      </c>
      <c r="C26" t="e">
        <f t="shared" si="2"/>
        <v>#N/A</v>
      </c>
      <c r="D26" t="e">
        <f t="shared" si="2"/>
        <v>#N/A</v>
      </c>
      <c r="E26" t="e">
        <f t="shared" si="2"/>
        <v>#N/A</v>
      </c>
      <c r="F26" t="e">
        <f t="shared" si="2"/>
        <v>#N/A</v>
      </c>
      <c r="G26" t="e">
        <f t="shared" si="2"/>
        <v>#N/A</v>
      </c>
      <c r="H26" t="e">
        <f t="shared" si="2"/>
        <v>#N/A</v>
      </c>
      <c r="I26" t="e">
        <f t="shared" si="2"/>
        <v>#N/A</v>
      </c>
      <c r="J26" t="e">
        <f t="shared" si="2"/>
        <v>#N/A</v>
      </c>
      <c r="K26" t="e">
        <f t="shared" si="2"/>
        <v>#N/A</v>
      </c>
      <c r="L26" t="e">
        <f t="shared" si="2"/>
        <v>#N/A</v>
      </c>
      <c r="M26" t="e">
        <f t="shared" si="2"/>
        <v>#N/A</v>
      </c>
      <c r="N26" t="e">
        <f t="shared" si="2"/>
        <v>#N/A</v>
      </c>
      <c r="O26" t="e">
        <f t="shared" si="2"/>
        <v>#N/A</v>
      </c>
      <c r="P26" t="e">
        <f t="shared" si="2"/>
        <v>#N/A</v>
      </c>
    </row>
    <row r="27" spans="1:16" x14ac:dyDescent="0.25">
      <c r="A27" t="e">
        <f>CUBEMEMBER("pbiazure://api.powerbi.com 6e064a38-7f82-4416-9451-8d82a554b559 Model","[Facilities].[DATIMName].&amp;[Chambalo Dispensary]")</f>
        <v>#N/A</v>
      </c>
      <c r="B27" t="e">
        <f t="shared" si="2"/>
        <v>#N/A</v>
      </c>
      <c r="C27" t="e">
        <f t="shared" si="2"/>
        <v>#N/A</v>
      </c>
      <c r="D27" t="e">
        <f t="shared" si="2"/>
        <v>#N/A</v>
      </c>
      <c r="E27" t="e">
        <f t="shared" si="2"/>
        <v>#N/A</v>
      </c>
      <c r="F27" t="e">
        <f t="shared" si="2"/>
        <v>#N/A</v>
      </c>
      <c r="G27" t="e">
        <f t="shared" si="2"/>
        <v>#N/A</v>
      </c>
      <c r="H27" t="e">
        <f t="shared" si="2"/>
        <v>#N/A</v>
      </c>
      <c r="I27" t="e">
        <f t="shared" si="2"/>
        <v>#N/A</v>
      </c>
      <c r="J27" t="e">
        <f t="shared" si="2"/>
        <v>#N/A</v>
      </c>
      <c r="K27" t="e">
        <f t="shared" si="2"/>
        <v>#N/A</v>
      </c>
      <c r="L27" t="e">
        <f t="shared" si="2"/>
        <v>#N/A</v>
      </c>
      <c r="M27" t="e">
        <f t="shared" si="2"/>
        <v>#N/A</v>
      </c>
      <c r="N27" t="e">
        <f t="shared" si="2"/>
        <v>#N/A</v>
      </c>
      <c r="O27" t="e">
        <f t="shared" si="2"/>
        <v>#N/A</v>
      </c>
      <c r="P27" t="e">
        <f t="shared" si="2"/>
        <v>#N/A</v>
      </c>
    </row>
    <row r="28" spans="1:16" x14ac:dyDescent="0.25">
      <c r="A28" t="e">
        <f>CUBEMEMBER("pbiazure://api.powerbi.com 6e064a38-7f82-4416-9451-8d82a554b559 Model","[Facilities].[DATIMName].&amp;[Chamkoroma Dispensary]")</f>
        <v>#N/A</v>
      </c>
      <c r="B28" t="e">
        <f t="shared" si="2"/>
        <v>#N/A</v>
      </c>
      <c r="C28" t="e">
        <f t="shared" si="2"/>
        <v>#N/A</v>
      </c>
      <c r="D28" t="e">
        <f t="shared" si="2"/>
        <v>#N/A</v>
      </c>
      <c r="E28" t="e">
        <f t="shared" si="2"/>
        <v>#N/A</v>
      </c>
      <c r="F28" t="e">
        <f t="shared" si="2"/>
        <v>#N/A</v>
      </c>
      <c r="G28" t="e">
        <f t="shared" si="2"/>
        <v>#N/A</v>
      </c>
      <c r="H28" t="e">
        <f t="shared" si="2"/>
        <v>#N/A</v>
      </c>
      <c r="I28" t="e">
        <f t="shared" si="2"/>
        <v>#N/A</v>
      </c>
      <c r="J28" t="e">
        <f t="shared" si="2"/>
        <v>#N/A</v>
      </c>
      <c r="K28" t="e">
        <f t="shared" si="2"/>
        <v>#N/A</v>
      </c>
      <c r="L28" t="e">
        <f t="shared" si="2"/>
        <v>#N/A</v>
      </c>
      <c r="M28" t="e">
        <f t="shared" si="2"/>
        <v>#N/A</v>
      </c>
      <c r="N28" t="e">
        <f t="shared" si="2"/>
        <v>#N/A</v>
      </c>
      <c r="O28" t="e">
        <f t="shared" si="2"/>
        <v>#N/A</v>
      </c>
      <c r="P28" t="e">
        <f t="shared" si="2"/>
        <v>#N/A</v>
      </c>
    </row>
    <row r="29" spans="1:16" x14ac:dyDescent="0.25">
      <c r="A29" t="e">
        <f>CUBEMEMBER("pbiazure://api.powerbi.com 6e064a38-7f82-4416-9451-8d82a554b559 Model","[Facilities].[DATIMName].&amp;[Chamwino DTC Dispensary]")</f>
        <v>#N/A</v>
      </c>
      <c r="B29" t="e">
        <f t="shared" si="2"/>
        <v>#N/A</v>
      </c>
      <c r="C29" t="e">
        <f t="shared" si="2"/>
        <v>#N/A</v>
      </c>
      <c r="D29" t="e">
        <f t="shared" si="2"/>
        <v>#N/A</v>
      </c>
      <c r="E29" t="e">
        <f t="shared" si="2"/>
        <v>#N/A</v>
      </c>
      <c r="F29" t="e">
        <f t="shared" si="2"/>
        <v>#N/A</v>
      </c>
      <c r="G29" t="e">
        <f t="shared" si="2"/>
        <v>#N/A</v>
      </c>
      <c r="H29" t="e">
        <f t="shared" si="2"/>
        <v>#N/A</v>
      </c>
      <c r="I29" t="e">
        <f t="shared" si="2"/>
        <v>#N/A</v>
      </c>
      <c r="J29" t="e">
        <f t="shared" si="2"/>
        <v>#N/A</v>
      </c>
      <c r="K29" t="e">
        <f t="shared" si="2"/>
        <v>#N/A</v>
      </c>
      <c r="L29" t="e">
        <f t="shared" si="2"/>
        <v>#N/A</v>
      </c>
      <c r="M29" t="e">
        <f t="shared" si="2"/>
        <v>#N/A</v>
      </c>
      <c r="N29" t="e">
        <f t="shared" si="2"/>
        <v>#N/A</v>
      </c>
      <c r="O29" t="e">
        <f t="shared" si="2"/>
        <v>#N/A</v>
      </c>
      <c r="P29" t="e">
        <f t="shared" si="2"/>
        <v>#N/A</v>
      </c>
    </row>
    <row r="30" spans="1:16" x14ac:dyDescent="0.25">
      <c r="A30" t="e">
        <f>CUBEMEMBER("pbiazure://api.powerbi.com 6e064a38-7f82-4416-9451-8d82a554b559 Model","[Facilities].[DATIMName].&amp;[Chamwino RHC Health Center]")</f>
        <v>#N/A</v>
      </c>
      <c r="B30" t="e">
        <f t="shared" si="2"/>
        <v>#N/A</v>
      </c>
      <c r="C30" t="e">
        <f t="shared" si="2"/>
        <v>#N/A</v>
      </c>
      <c r="D30" t="e">
        <f t="shared" si="2"/>
        <v>#N/A</v>
      </c>
      <c r="E30" t="e">
        <f t="shared" si="2"/>
        <v>#N/A</v>
      </c>
      <c r="F30" t="e">
        <f t="shared" si="2"/>
        <v>#N/A</v>
      </c>
      <c r="G30" t="e">
        <f t="shared" si="2"/>
        <v>#N/A</v>
      </c>
      <c r="H30" t="e">
        <f t="shared" si="2"/>
        <v>#N/A</v>
      </c>
      <c r="I30" t="e">
        <f t="shared" si="2"/>
        <v>#N/A</v>
      </c>
      <c r="J30" t="e">
        <f t="shared" si="2"/>
        <v>#N/A</v>
      </c>
      <c r="K30" t="e">
        <f t="shared" si="2"/>
        <v>#N/A</v>
      </c>
      <c r="L30" t="e">
        <f t="shared" si="2"/>
        <v>#N/A</v>
      </c>
      <c r="M30" t="e">
        <f t="shared" si="2"/>
        <v>#N/A</v>
      </c>
      <c r="N30" t="e">
        <f t="shared" si="2"/>
        <v>#N/A</v>
      </c>
      <c r="O30" t="e">
        <f t="shared" si="2"/>
        <v>#N/A</v>
      </c>
      <c r="P30" t="e">
        <f t="shared" si="2"/>
        <v>#N/A</v>
      </c>
    </row>
    <row r="31" spans="1:16" x14ac:dyDescent="0.25">
      <c r="A31" t="e">
        <f>CUBEMEMBER("pbiazure://api.powerbi.com 6e064a38-7f82-4416-9451-8d82a554b559 Model","[Facilities].[DATIMName].&amp;[Chandama Dispensary]")</f>
        <v>#N/A</v>
      </c>
      <c r="B31" t="e">
        <f t="shared" si="2"/>
        <v>#N/A</v>
      </c>
      <c r="C31" t="e">
        <f t="shared" si="2"/>
        <v>#N/A</v>
      </c>
      <c r="D31" t="e">
        <f t="shared" si="2"/>
        <v>#N/A</v>
      </c>
      <c r="E31" t="e">
        <f t="shared" si="2"/>
        <v>#N/A</v>
      </c>
      <c r="F31" t="e">
        <f t="shared" si="2"/>
        <v>#N/A</v>
      </c>
      <c r="G31" t="e">
        <f t="shared" si="2"/>
        <v>#N/A</v>
      </c>
      <c r="H31" t="e">
        <f t="shared" si="2"/>
        <v>#N/A</v>
      </c>
      <c r="I31" t="e">
        <f t="shared" si="2"/>
        <v>#N/A</v>
      </c>
      <c r="J31" t="e">
        <f t="shared" si="2"/>
        <v>#N/A</v>
      </c>
      <c r="K31" t="e">
        <f t="shared" si="2"/>
        <v>#N/A</v>
      </c>
      <c r="L31" t="e">
        <f t="shared" si="2"/>
        <v>#N/A</v>
      </c>
      <c r="M31" t="e">
        <f t="shared" si="2"/>
        <v>#N/A</v>
      </c>
      <c r="N31" t="e">
        <f t="shared" si="2"/>
        <v>#N/A</v>
      </c>
      <c r="O31" t="e">
        <f t="shared" si="2"/>
        <v>#N/A</v>
      </c>
      <c r="P31" t="e">
        <f t="shared" si="2"/>
        <v>#N/A</v>
      </c>
    </row>
    <row r="32" spans="1:16" x14ac:dyDescent="0.25">
      <c r="A32" t="e">
        <f>CUBEMEMBER("pbiazure://api.powerbi.com 6e064a38-7f82-4416-9451-8d82a554b559 Model","[Facilities].[DATIMName].&amp;[Charlotte Health Center]")</f>
        <v>#N/A</v>
      </c>
      <c r="B32" t="e">
        <f t="shared" si="2"/>
        <v>#N/A</v>
      </c>
      <c r="C32" t="e">
        <f t="shared" si="2"/>
        <v>#N/A</v>
      </c>
      <c r="D32" t="e">
        <f t="shared" si="2"/>
        <v>#N/A</v>
      </c>
      <c r="E32" t="e">
        <f t="shared" si="2"/>
        <v>#N/A</v>
      </c>
      <c r="F32" t="e">
        <f t="shared" si="2"/>
        <v>#N/A</v>
      </c>
      <c r="G32" t="e">
        <f t="shared" si="2"/>
        <v>#N/A</v>
      </c>
      <c r="H32" t="e">
        <f t="shared" si="2"/>
        <v>#N/A</v>
      </c>
      <c r="I32" t="e">
        <f t="shared" si="2"/>
        <v>#N/A</v>
      </c>
      <c r="J32" t="e">
        <f t="shared" si="2"/>
        <v>#N/A</v>
      </c>
      <c r="K32" t="e">
        <f t="shared" si="2"/>
        <v>#N/A</v>
      </c>
      <c r="L32" t="e">
        <f t="shared" si="2"/>
        <v>#N/A</v>
      </c>
      <c r="M32" t="e">
        <f t="shared" si="2"/>
        <v>#N/A</v>
      </c>
      <c r="N32" t="e">
        <f t="shared" si="2"/>
        <v>#N/A</v>
      </c>
      <c r="O32" t="e">
        <f t="shared" si="2"/>
        <v>#N/A</v>
      </c>
      <c r="P32" t="e">
        <f t="shared" si="2"/>
        <v>#N/A</v>
      </c>
    </row>
    <row r="33" spans="1:16" x14ac:dyDescent="0.25">
      <c r="A33" t="e">
        <f>CUBEMEMBER("pbiazure://api.powerbi.com 6e064a38-7f82-4416-9451-8d82a554b559 Model","[Facilities].[DATIMName].&amp;[Chekereni Dispensary]")</f>
        <v>#N/A</v>
      </c>
      <c r="B33" t="e">
        <f t="shared" si="2"/>
        <v>#N/A</v>
      </c>
      <c r="C33" t="e">
        <f t="shared" si="2"/>
        <v>#N/A</v>
      </c>
      <c r="D33" t="e">
        <f t="shared" si="2"/>
        <v>#N/A</v>
      </c>
      <c r="E33" t="e">
        <f t="shared" si="2"/>
        <v>#N/A</v>
      </c>
      <c r="F33" t="e">
        <f t="shared" si="2"/>
        <v>#N/A</v>
      </c>
      <c r="G33" t="e">
        <f t="shared" si="2"/>
        <v>#N/A</v>
      </c>
      <c r="H33" t="e">
        <f t="shared" si="2"/>
        <v>#N/A</v>
      </c>
      <c r="I33" t="e">
        <f t="shared" si="2"/>
        <v>#N/A</v>
      </c>
      <c r="J33" t="e">
        <f t="shared" si="2"/>
        <v>#N/A</v>
      </c>
      <c r="K33" t="e">
        <f t="shared" si="2"/>
        <v>#N/A</v>
      </c>
      <c r="L33" t="e">
        <f t="shared" si="2"/>
        <v>#N/A</v>
      </c>
      <c r="M33" t="e">
        <f t="shared" si="2"/>
        <v>#N/A</v>
      </c>
      <c r="N33" t="e">
        <f t="shared" si="2"/>
        <v>#N/A</v>
      </c>
      <c r="O33" t="e">
        <f t="shared" si="2"/>
        <v>#N/A</v>
      </c>
      <c r="P33" t="e">
        <f t="shared" si="2"/>
        <v>#N/A</v>
      </c>
    </row>
    <row r="34" spans="1:16" x14ac:dyDescent="0.25">
      <c r="A34" t="e">
        <f>CUBEMEMBER("pbiazure://api.powerbi.com 6e064a38-7f82-4416-9451-8d82a554b559 Model","[Facilities].[DATIMName].&amp;[Chibelela Dispensary]")</f>
        <v>#N/A</v>
      </c>
      <c r="B34" t="e">
        <f t="shared" si="2"/>
        <v>#N/A</v>
      </c>
      <c r="C34" t="e">
        <f t="shared" si="2"/>
        <v>#N/A</v>
      </c>
      <c r="D34" t="e">
        <f t="shared" si="2"/>
        <v>#N/A</v>
      </c>
      <c r="E34" t="e">
        <f t="shared" si="2"/>
        <v>#N/A</v>
      </c>
      <c r="F34" t="e">
        <f t="shared" si="2"/>
        <v>#N/A</v>
      </c>
      <c r="G34" t="e">
        <f t="shared" si="2"/>
        <v>#N/A</v>
      </c>
      <c r="H34" t="e">
        <f t="shared" si="2"/>
        <v>#N/A</v>
      </c>
      <c r="I34" t="e">
        <f t="shared" si="2"/>
        <v>#N/A</v>
      </c>
      <c r="J34" t="e">
        <f t="shared" si="2"/>
        <v>#N/A</v>
      </c>
      <c r="K34" t="e">
        <f t="shared" si="2"/>
        <v>#N/A</v>
      </c>
      <c r="L34" t="e">
        <f t="shared" si="2"/>
        <v>#N/A</v>
      </c>
      <c r="M34" t="e">
        <f t="shared" si="2"/>
        <v>#N/A</v>
      </c>
      <c r="N34" t="e">
        <f t="shared" si="2"/>
        <v>#N/A</v>
      </c>
      <c r="O34" t="e">
        <f t="shared" si="2"/>
        <v>#N/A</v>
      </c>
      <c r="P34" t="e">
        <f t="shared" si="2"/>
        <v>#N/A</v>
      </c>
    </row>
    <row r="35" spans="1:16" x14ac:dyDescent="0.25">
      <c r="A35" t="e">
        <f>CUBEMEMBER("pbiazure://api.powerbi.com 6e064a38-7f82-4416-9451-8d82a554b559 Model","[Facilities].[DATIMName].&amp;[Chifukuta Dispensary]")</f>
        <v>#N/A</v>
      </c>
      <c r="B35" t="e">
        <f t="shared" ref="B35:P44" si="3">CUBEVALUE("pbiazure://api.powerbi.com 6e064a38-7f82-4416-9451-8d82a554b559 Model",$B$1,$A35,B$4)</f>
        <v>#N/A</v>
      </c>
      <c r="C35" t="e">
        <f t="shared" si="3"/>
        <v>#N/A</v>
      </c>
      <c r="D35" t="e">
        <f t="shared" si="3"/>
        <v>#N/A</v>
      </c>
      <c r="E35" t="e">
        <f t="shared" si="3"/>
        <v>#N/A</v>
      </c>
      <c r="F35" t="e">
        <f t="shared" si="3"/>
        <v>#N/A</v>
      </c>
      <c r="G35" t="e">
        <f t="shared" si="3"/>
        <v>#N/A</v>
      </c>
      <c r="H35" t="e">
        <f t="shared" si="3"/>
        <v>#N/A</v>
      </c>
      <c r="I35" t="e">
        <f t="shared" si="3"/>
        <v>#N/A</v>
      </c>
      <c r="J35" t="e">
        <f t="shared" si="3"/>
        <v>#N/A</v>
      </c>
      <c r="K35" t="e">
        <f t="shared" si="3"/>
        <v>#N/A</v>
      </c>
      <c r="L35" t="e">
        <f t="shared" si="3"/>
        <v>#N/A</v>
      </c>
      <c r="M35" t="e">
        <f t="shared" si="3"/>
        <v>#N/A</v>
      </c>
      <c r="N35" t="e">
        <f t="shared" si="3"/>
        <v>#N/A</v>
      </c>
      <c r="O35" t="e">
        <f t="shared" si="3"/>
        <v>#N/A</v>
      </c>
      <c r="P35" t="e">
        <f t="shared" si="3"/>
        <v>#N/A</v>
      </c>
    </row>
    <row r="36" spans="1:16" x14ac:dyDescent="0.25">
      <c r="A36" t="e">
        <f>CUBEMEMBER("pbiazure://api.powerbi.com 6e064a38-7f82-4416-9451-8d82a554b559 Model","[Facilities].[DATIMName].&amp;[Chigwingwili Dispensary]")</f>
        <v>#N/A</v>
      </c>
      <c r="B36" t="e">
        <f t="shared" si="3"/>
        <v>#N/A</v>
      </c>
      <c r="C36" t="e">
        <f t="shared" si="3"/>
        <v>#N/A</v>
      </c>
      <c r="D36" t="e">
        <f t="shared" si="3"/>
        <v>#N/A</v>
      </c>
      <c r="E36" t="e">
        <f t="shared" si="3"/>
        <v>#N/A</v>
      </c>
      <c r="F36" t="e">
        <f t="shared" si="3"/>
        <v>#N/A</v>
      </c>
      <c r="G36" t="e">
        <f t="shared" si="3"/>
        <v>#N/A</v>
      </c>
      <c r="H36" t="e">
        <f t="shared" si="3"/>
        <v>#N/A</v>
      </c>
      <c r="I36" t="e">
        <f t="shared" si="3"/>
        <v>#N/A</v>
      </c>
      <c r="J36" t="e">
        <f t="shared" si="3"/>
        <v>#N/A</v>
      </c>
      <c r="K36" t="e">
        <f t="shared" si="3"/>
        <v>#N/A</v>
      </c>
      <c r="L36" t="e">
        <f t="shared" si="3"/>
        <v>#N/A</v>
      </c>
      <c r="M36" t="e">
        <f t="shared" si="3"/>
        <v>#N/A</v>
      </c>
      <c r="N36" t="e">
        <f t="shared" si="3"/>
        <v>#N/A</v>
      </c>
      <c r="O36" t="e">
        <f t="shared" si="3"/>
        <v>#N/A</v>
      </c>
      <c r="P36" t="e">
        <f t="shared" si="3"/>
        <v>#N/A</v>
      </c>
    </row>
    <row r="37" spans="1:16" x14ac:dyDescent="0.25">
      <c r="A37" t="e">
        <f>CUBEMEMBER("pbiazure://api.powerbi.com 6e064a38-7f82-4416-9451-8d82a554b559 Model","[Facilities].[DATIMName].&amp;[Chikola Dispensary]")</f>
        <v>#N/A</v>
      </c>
      <c r="B37" t="e">
        <f t="shared" si="3"/>
        <v>#N/A</v>
      </c>
      <c r="C37" t="e">
        <f t="shared" si="3"/>
        <v>#N/A</v>
      </c>
      <c r="D37" t="e">
        <f t="shared" si="3"/>
        <v>#N/A</v>
      </c>
      <c r="E37" t="e">
        <f t="shared" si="3"/>
        <v>#N/A</v>
      </c>
      <c r="F37" t="e">
        <f t="shared" si="3"/>
        <v>#N/A</v>
      </c>
      <c r="G37" t="e">
        <f t="shared" si="3"/>
        <v>#N/A</v>
      </c>
      <c r="H37" t="e">
        <f t="shared" si="3"/>
        <v>#N/A</v>
      </c>
      <c r="I37" t="e">
        <f t="shared" si="3"/>
        <v>#N/A</v>
      </c>
      <c r="J37" t="e">
        <f t="shared" si="3"/>
        <v>#N/A</v>
      </c>
      <c r="K37" t="e">
        <f t="shared" si="3"/>
        <v>#N/A</v>
      </c>
      <c r="L37" t="e">
        <f t="shared" si="3"/>
        <v>#N/A</v>
      </c>
      <c r="M37" t="e">
        <f t="shared" si="3"/>
        <v>#N/A</v>
      </c>
      <c r="N37" t="e">
        <f t="shared" si="3"/>
        <v>#N/A</v>
      </c>
      <c r="O37" t="e">
        <f t="shared" si="3"/>
        <v>#N/A</v>
      </c>
      <c r="P37" t="e">
        <f t="shared" si="3"/>
        <v>#N/A</v>
      </c>
    </row>
    <row r="38" spans="1:16" x14ac:dyDescent="0.25">
      <c r="A38" t="e">
        <f>CUBEMEMBER("pbiazure://api.powerbi.com 6e064a38-7f82-4416-9451-8d82a554b559 Model","[Facilities].[DATIMName].&amp;[Chikuyu Dispensary]")</f>
        <v>#N/A</v>
      </c>
      <c r="B38" t="e">
        <f t="shared" si="3"/>
        <v>#N/A</v>
      </c>
      <c r="C38" t="e">
        <f t="shared" si="3"/>
        <v>#N/A</v>
      </c>
      <c r="D38" t="e">
        <f t="shared" si="3"/>
        <v>#N/A</v>
      </c>
      <c r="E38" t="e">
        <f t="shared" si="3"/>
        <v>#N/A</v>
      </c>
      <c r="F38" t="e">
        <f t="shared" si="3"/>
        <v>#N/A</v>
      </c>
      <c r="G38" t="e">
        <f t="shared" si="3"/>
        <v>#N/A</v>
      </c>
      <c r="H38" t="e">
        <f t="shared" si="3"/>
        <v>#N/A</v>
      </c>
      <c r="I38" t="e">
        <f t="shared" si="3"/>
        <v>#N/A</v>
      </c>
      <c r="J38" t="e">
        <f t="shared" si="3"/>
        <v>#N/A</v>
      </c>
      <c r="K38" t="e">
        <f t="shared" si="3"/>
        <v>#N/A</v>
      </c>
      <c r="L38" t="e">
        <f t="shared" si="3"/>
        <v>#N/A</v>
      </c>
      <c r="M38" t="e">
        <f t="shared" si="3"/>
        <v>#N/A</v>
      </c>
      <c r="N38" t="e">
        <f t="shared" si="3"/>
        <v>#N/A</v>
      </c>
      <c r="O38" t="e">
        <f t="shared" si="3"/>
        <v>#N/A</v>
      </c>
      <c r="P38" t="e">
        <f t="shared" si="3"/>
        <v>#N/A</v>
      </c>
    </row>
    <row r="39" spans="1:16" x14ac:dyDescent="0.25">
      <c r="A39" t="e">
        <f>CUBEMEMBER("pbiazure://api.powerbi.com 6e064a38-7f82-4416-9451-8d82a554b559 Model","[Facilities].[DATIMName].&amp;[Chipanga Health Center]")</f>
        <v>#N/A</v>
      </c>
      <c r="B39" t="e">
        <f t="shared" si="3"/>
        <v>#N/A</v>
      </c>
      <c r="C39" t="e">
        <f t="shared" si="3"/>
        <v>#N/A</v>
      </c>
      <c r="D39" t="e">
        <f t="shared" si="3"/>
        <v>#N/A</v>
      </c>
      <c r="E39" t="e">
        <f t="shared" si="3"/>
        <v>#N/A</v>
      </c>
      <c r="F39" t="e">
        <f t="shared" si="3"/>
        <v>#N/A</v>
      </c>
      <c r="G39" t="e">
        <f t="shared" si="3"/>
        <v>#N/A</v>
      </c>
      <c r="H39" t="e">
        <f t="shared" si="3"/>
        <v>#N/A</v>
      </c>
      <c r="I39" t="e">
        <f t="shared" si="3"/>
        <v>#N/A</v>
      </c>
      <c r="J39" t="e">
        <f t="shared" si="3"/>
        <v>#N/A</v>
      </c>
      <c r="K39" t="e">
        <f t="shared" si="3"/>
        <v>#N/A</v>
      </c>
      <c r="L39" t="e">
        <f t="shared" si="3"/>
        <v>#N/A</v>
      </c>
      <c r="M39" t="e">
        <f t="shared" si="3"/>
        <v>#N/A</v>
      </c>
      <c r="N39" t="e">
        <f t="shared" si="3"/>
        <v>#N/A</v>
      </c>
      <c r="O39" t="e">
        <f t="shared" si="3"/>
        <v>#N/A</v>
      </c>
      <c r="P39" t="e">
        <f t="shared" si="3"/>
        <v>#N/A</v>
      </c>
    </row>
    <row r="40" spans="1:16" x14ac:dyDescent="0.25">
      <c r="A40" t="e">
        <f>CUBEMEMBER("pbiazure://api.powerbi.com 6e064a38-7f82-4416-9451-8d82a554b559 Model","[Facilities].[DATIMName].&amp;[Chipogoro Dispensary]")</f>
        <v>#N/A</v>
      </c>
      <c r="B40" t="e">
        <f t="shared" si="3"/>
        <v>#N/A</v>
      </c>
      <c r="C40" t="e">
        <f t="shared" si="3"/>
        <v>#N/A</v>
      </c>
      <c r="D40" t="e">
        <f t="shared" si="3"/>
        <v>#N/A</v>
      </c>
      <c r="E40" t="e">
        <f t="shared" si="3"/>
        <v>#N/A</v>
      </c>
      <c r="F40" t="e">
        <f t="shared" si="3"/>
        <v>#N/A</v>
      </c>
      <c r="G40" t="e">
        <f t="shared" si="3"/>
        <v>#N/A</v>
      </c>
      <c r="H40" t="e">
        <f t="shared" si="3"/>
        <v>#N/A</v>
      </c>
      <c r="I40" t="e">
        <f t="shared" si="3"/>
        <v>#N/A</v>
      </c>
      <c r="J40" t="e">
        <f t="shared" si="3"/>
        <v>#N/A</v>
      </c>
      <c r="K40" t="e">
        <f t="shared" si="3"/>
        <v>#N/A</v>
      </c>
      <c r="L40" t="e">
        <f t="shared" si="3"/>
        <v>#N/A</v>
      </c>
      <c r="M40" t="e">
        <f t="shared" si="3"/>
        <v>#N/A</v>
      </c>
      <c r="N40" t="e">
        <f t="shared" si="3"/>
        <v>#N/A</v>
      </c>
      <c r="O40" t="e">
        <f t="shared" si="3"/>
        <v>#N/A</v>
      </c>
      <c r="P40" t="e">
        <f t="shared" si="3"/>
        <v>#N/A</v>
      </c>
    </row>
    <row r="41" spans="1:16" x14ac:dyDescent="0.25">
      <c r="A41" t="e">
        <f>CUBEMEMBER("pbiazure://api.powerbi.com 6e064a38-7f82-4416-9451-8d82a554b559 Model","[Facilities].[DATIMName].&amp;[Chiwe Dispensary]")</f>
        <v>#N/A</v>
      </c>
      <c r="B41" t="e">
        <f t="shared" si="3"/>
        <v>#N/A</v>
      </c>
      <c r="C41" t="e">
        <f t="shared" si="3"/>
        <v>#N/A</v>
      </c>
      <c r="D41" t="e">
        <f t="shared" si="3"/>
        <v>#N/A</v>
      </c>
      <c r="E41" t="e">
        <f t="shared" si="3"/>
        <v>#N/A</v>
      </c>
      <c r="F41" t="e">
        <f t="shared" si="3"/>
        <v>#N/A</v>
      </c>
      <c r="G41" t="e">
        <f t="shared" si="3"/>
        <v>#N/A</v>
      </c>
      <c r="H41" t="e">
        <f t="shared" si="3"/>
        <v>#N/A</v>
      </c>
      <c r="I41" t="e">
        <f t="shared" si="3"/>
        <v>#N/A</v>
      </c>
      <c r="J41" t="e">
        <f t="shared" si="3"/>
        <v>#N/A</v>
      </c>
      <c r="K41" t="e">
        <f t="shared" si="3"/>
        <v>#N/A</v>
      </c>
      <c r="L41" t="e">
        <f t="shared" si="3"/>
        <v>#N/A</v>
      </c>
      <c r="M41" t="e">
        <f t="shared" si="3"/>
        <v>#N/A</v>
      </c>
      <c r="N41" t="e">
        <f t="shared" si="3"/>
        <v>#N/A</v>
      </c>
      <c r="O41" t="e">
        <f t="shared" si="3"/>
        <v>#N/A</v>
      </c>
      <c r="P41" t="e">
        <f t="shared" si="3"/>
        <v>#N/A</v>
      </c>
    </row>
    <row r="42" spans="1:16" x14ac:dyDescent="0.25">
      <c r="A42" t="e">
        <f>CUBEMEMBER("pbiazure://api.powerbi.com 6e064a38-7f82-4416-9451-8d82a554b559 Model","[Facilities].[DATIMName].&amp;[Chunyu Dispensary]")</f>
        <v>#N/A</v>
      </c>
      <c r="B42" t="e">
        <f t="shared" si="3"/>
        <v>#N/A</v>
      </c>
      <c r="C42" t="e">
        <f t="shared" si="3"/>
        <v>#N/A</v>
      </c>
      <c r="D42" t="e">
        <f t="shared" si="3"/>
        <v>#N/A</v>
      </c>
      <c r="E42" t="e">
        <f t="shared" si="3"/>
        <v>#N/A</v>
      </c>
      <c r="F42" t="e">
        <f t="shared" si="3"/>
        <v>#N/A</v>
      </c>
      <c r="G42" t="e">
        <f t="shared" si="3"/>
        <v>#N/A</v>
      </c>
      <c r="H42" t="e">
        <f t="shared" si="3"/>
        <v>#N/A</v>
      </c>
      <c r="I42" t="e">
        <f t="shared" si="3"/>
        <v>#N/A</v>
      </c>
      <c r="J42" t="e">
        <f t="shared" si="3"/>
        <v>#N/A</v>
      </c>
      <c r="K42" t="e">
        <f t="shared" si="3"/>
        <v>#N/A</v>
      </c>
      <c r="L42" t="e">
        <f t="shared" si="3"/>
        <v>#N/A</v>
      </c>
      <c r="M42" t="e">
        <f t="shared" si="3"/>
        <v>#N/A</v>
      </c>
      <c r="N42" t="e">
        <f t="shared" si="3"/>
        <v>#N/A</v>
      </c>
      <c r="O42" t="e">
        <f t="shared" si="3"/>
        <v>#N/A</v>
      </c>
      <c r="P42" t="e">
        <f t="shared" si="3"/>
        <v>#N/A</v>
      </c>
    </row>
    <row r="43" spans="1:16" x14ac:dyDescent="0.25">
      <c r="A43" t="e">
        <f>CUBEMEMBER("pbiazure://api.powerbi.com 6e064a38-7f82-4416-9451-8d82a554b559 Model","[Facilities].[DATIMName].&amp;[Daraja II Health Center]")</f>
        <v>#N/A</v>
      </c>
      <c r="B43" t="e">
        <f t="shared" si="3"/>
        <v>#N/A</v>
      </c>
      <c r="C43" t="e">
        <f t="shared" si="3"/>
        <v>#N/A</v>
      </c>
      <c r="D43" t="e">
        <f t="shared" si="3"/>
        <v>#N/A</v>
      </c>
      <c r="E43" t="e">
        <f t="shared" si="3"/>
        <v>#N/A</v>
      </c>
      <c r="F43" t="e">
        <f t="shared" si="3"/>
        <v>#N/A</v>
      </c>
      <c r="G43" t="e">
        <f t="shared" si="3"/>
        <v>#N/A</v>
      </c>
      <c r="H43" t="e">
        <f t="shared" si="3"/>
        <v>#N/A</v>
      </c>
      <c r="I43" t="e">
        <f t="shared" si="3"/>
        <v>#N/A</v>
      </c>
      <c r="J43" t="e">
        <f t="shared" si="3"/>
        <v>#N/A</v>
      </c>
      <c r="K43" t="e">
        <f t="shared" si="3"/>
        <v>#N/A</v>
      </c>
      <c r="L43" t="e">
        <f t="shared" si="3"/>
        <v>#N/A</v>
      </c>
      <c r="M43" t="e">
        <f t="shared" si="3"/>
        <v>#N/A</v>
      </c>
      <c r="N43" t="e">
        <f t="shared" si="3"/>
        <v>#N/A</v>
      </c>
      <c r="O43" t="e">
        <f t="shared" si="3"/>
        <v>#N/A</v>
      </c>
      <c r="P43" t="e">
        <f t="shared" si="3"/>
        <v>#N/A</v>
      </c>
    </row>
    <row r="44" spans="1:16" x14ac:dyDescent="0.25">
      <c r="A44" t="e">
        <f>CUBEMEMBER("pbiazure://api.powerbi.com 6e064a38-7f82-4416-9451-8d82a554b559 Model","[Facilities].[DATIMName].&amp;[Dareda Mission Hospital - Designated District Hospital]")</f>
        <v>#N/A</v>
      </c>
      <c r="B44" t="e">
        <f t="shared" si="3"/>
        <v>#N/A</v>
      </c>
      <c r="C44" t="e">
        <f t="shared" si="3"/>
        <v>#N/A</v>
      </c>
      <c r="D44" t="e">
        <f t="shared" si="3"/>
        <v>#N/A</v>
      </c>
      <c r="E44" t="e">
        <f t="shared" si="3"/>
        <v>#N/A</v>
      </c>
      <c r="F44" t="e">
        <f t="shared" si="3"/>
        <v>#N/A</v>
      </c>
      <c r="G44" t="e">
        <f t="shared" si="3"/>
        <v>#N/A</v>
      </c>
      <c r="H44" t="e">
        <f t="shared" si="3"/>
        <v>#N/A</v>
      </c>
      <c r="I44" t="e">
        <f t="shared" si="3"/>
        <v>#N/A</v>
      </c>
      <c r="J44" t="e">
        <f t="shared" si="3"/>
        <v>#N/A</v>
      </c>
      <c r="K44" t="e">
        <f t="shared" si="3"/>
        <v>#N/A</v>
      </c>
      <c r="L44" t="e">
        <f t="shared" si="3"/>
        <v>#N/A</v>
      </c>
      <c r="M44" t="e">
        <f t="shared" si="3"/>
        <v>#N/A</v>
      </c>
      <c r="N44" t="e">
        <f t="shared" si="3"/>
        <v>#N/A</v>
      </c>
      <c r="O44" t="e">
        <f t="shared" si="3"/>
        <v>#N/A</v>
      </c>
      <c r="P44" t="e">
        <f t="shared" si="3"/>
        <v>#N/A</v>
      </c>
    </row>
    <row r="45" spans="1:16" x14ac:dyDescent="0.25">
      <c r="A45" t="e">
        <f>CUBEMEMBER("pbiazure://api.powerbi.com 6e064a38-7f82-4416-9451-8d82a554b559 Model","[Facilities].[DATIMName].&amp;[Daudi Dispensary]")</f>
        <v>#N/A</v>
      </c>
      <c r="B45" t="e">
        <f t="shared" ref="B45:P54" si="4">CUBEVALUE("pbiazure://api.powerbi.com 6e064a38-7f82-4416-9451-8d82a554b559 Model",$B$1,$A45,B$4)</f>
        <v>#N/A</v>
      </c>
      <c r="C45" t="e">
        <f t="shared" si="4"/>
        <v>#N/A</v>
      </c>
      <c r="D45" t="e">
        <f t="shared" si="4"/>
        <v>#N/A</v>
      </c>
      <c r="E45" t="e">
        <f t="shared" si="4"/>
        <v>#N/A</v>
      </c>
      <c r="F45" t="e">
        <f t="shared" si="4"/>
        <v>#N/A</v>
      </c>
      <c r="G45" t="e">
        <f t="shared" si="4"/>
        <v>#N/A</v>
      </c>
      <c r="H45" t="e">
        <f t="shared" si="4"/>
        <v>#N/A</v>
      </c>
      <c r="I45" t="e">
        <f t="shared" si="4"/>
        <v>#N/A</v>
      </c>
      <c r="J45" t="e">
        <f t="shared" si="4"/>
        <v>#N/A</v>
      </c>
      <c r="K45" t="e">
        <f t="shared" si="4"/>
        <v>#N/A</v>
      </c>
      <c r="L45" t="e">
        <f t="shared" si="4"/>
        <v>#N/A</v>
      </c>
      <c r="M45" t="e">
        <f t="shared" si="4"/>
        <v>#N/A</v>
      </c>
      <c r="N45" t="e">
        <f t="shared" si="4"/>
        <v>#N/A</v>
      </c>
      <c r="O45" t="e">
        <f t="shared" si="4"/>
        <v>#N/A</v>
      </c>
      <c r="P45" t="e">
        <f t="shared" si="4"/>
        <v>#N/A</v>
      </c>
    </row>
    <row r="46" spans="1:16" x14ac:dyDescent="0.25">
      <c r="A46" t="e">
        <f>CUBEMEMBER("pbiazure://api.powerbi.com 6e064a38-7f82-4416-9451-8d82a554b559 Model","[Facilities].[DATIMName].&amp;[DCMC Health Center]")</f>
        <v>#N/A</v>
      </c>
      <c r="B46" t="e">
        <f t="shared" si="4"/>
        <v>#N/A</v>
      </c>
      <c r="C46" t="e">
        <f t="shared" si="4"/>
        <v>#N/A</v>
      </c>
      <c r="D46" t="e">
        <f t="shared" si="4"/>
        <v>#N/A</v>
      </c>
      <c r="E46" t="e">
        <f t="shared" si="4"/>
        <v>#N/A</v>
      </c>
      <c r="F46" t="e">
        <f t="shared" si="4"/>
        <v>#N/A</v>
      </c>
      <c r="G46" t="e">
        <f t="shared" si="4"/>
        <v>#N/A</v>
      </c>
      <c r="H46" t="e">
        <f t="shared" si="4"/>
        <v>#N/A</v>
      </c>
      <c r="I46" t="e">
        <f t="shared" si="4"/>
        <v>#N/A</v>
      </c>
      <c r="J46" t="e">
        <f t="shared" si="4"/>
        <v>#N/A</v>
      </c>
      <c r="K46" t="e">
        <f t="shared" si="4"/>
        <v>#N/A</v>
      </c>
      <c r="L46" t="e">
        <f t="shared" si="4"/>
        <v>#N/A</v>
      </c>
      <c r="M46" t="e">
        <f t="shared" si="4"/>
        <v>#N/A</v>
      </c>
      <c r="N46" t="e">
        <f t="shared" si="4"/>
        <v>#N/A</v>
      </c>
      <c r="O46" t="e">
        <f t="shared" si="4"/>
        <v>#N/A</v>
      </c>
      <c r="P46" t="e">
        <f t="shared" si="4"/>
        <v>#N/A</v>
      </c>
    </row>
    <row r="47" spans="1:16" x14ac:dyDescent="0.25">
      <c r="A47" t="e">
        <f>CUBEMEMBER("pbiazure://api.powerbi.com 6e064a38-7f82-4416-9451-8d82a554b559 Model","[Facilities].[DATIMName].&amp;[Digodigo Dispensary]")</f>
        <v>#N/A</v>
      </c>
      <c r="B47" t="e">
        <f t="shared" si="4"/>
        <v>#N/A</v>
      </c>
      <c r="C47" t="e">
        <f t="shared" si="4"/>
        <v>#N/A</v>
      </c>
      <c r="D47" t="e">
        <f t="shared" si="4"/>
        <v>#N/A</v>
      </c>
      <c r="E47" t="e">
        <f t="shared" si="4"/>
        <v>#N/A</v>
      </c>
      <c r="F47" t="e">
        <f t="shared" si="4"/>
        <v>#N/A</v>
      </c>
      <c r="G47" t="e">
        <f t="shared" si="4"/>
        <v>#N/A</v>
      </c>
      <c r="H47" t="e">
        <f t="shared" si="4"/>
        <v>#N/A</v>
      </c>
      <c r="I47" t="e">
        <f t="shared" si="4"/>
        <v>#N/A</v>
      </c>
      <c r="J47" t="e">
        <f t="shared" si="4"/>
        <v>#N/A</v>
      </c>
      <c r="K47" t="e">
        <f t="shared" si="4"/>
        <v>#N/A</v>
      </c>
      <c r="L47" t="e">
        <f t="shared" si="4"/>
        <v>#N/A</v>
      </c>
      <c r="M47" t="e">
        <f t="shared" si="4"/>
        <v>#N/A</v>
      </c>
      <c r="N47" t="e">
        <f t="shared" si="4"/>
        <v>#N/A</v>
      </c>
      <c r="O47" t="e">
        <f t="shared" si="4"/>
        <v>#N/A</v>
      </c>
      <c r="P47" t="e">
        <f t="shared" si="4"/>
        <v>#N/A</v>
      </c>
    </row>
    <row r="48" spans="1:16" x14ac:dyDescent="0.25">
      <c r="A48" t="e">
        <f>CUBEMEMBER("pbiazure://api.powerbi.com 6e064a38-7f82-4416-9451-8d82a554b559 Model","[Facilities].[DATIMName].&amp;[Dodoma Hospital - Regional Referral Hospital]")</f>
        <v>#N/A</v>
      </c>
      <c r="B48" t="e">
        <f t="shared" si="4"/>
        <v>#N/A</v>
      </c>
      <c r="C48" t="e">
        <f t="shared" si="4"/>
        <v>#N/A</v>
      </c>
      <c r="D48" t="e">
        <f t="shared" si="4"/>
        <v>#N/A</v>
      </c>
      <c r="E48" t="e">
        <f t="shared" si="4"/>
        <v>#N/A</v>
      </c>
      <c r="F48" t="e">
        <f t="shared" si="4"/>
        <v>#N/A</v>
      </c>
      <c r="G48" t="e">
        <f t="shared" si="4"/>
        <v>#N/A</v>
      </c>
      <c r="H48" t="e">
        <f t="shared" si="4"/>
        <v>#N/A</v>
      </c>
      <c r="I48" t="e">
        <f t="shared" si="4"/>
        <v>#N/A</v>
      </c>
      <c r="J48" t="e">
        <f t="shared" si="4"/>
        <v>#N/A</v>
      </c>
      <c r="K48" t="e">
        <f t="shared" si="4"/>
        <v>#N/A</v>
      </c>
      <c r="L48" t="e">
        <f t="shared" si="4"/>
        <v>#N/A</v>
      </c>
      <c r="M48" t="e">
        <f t="shared" si="4"/>
        <v>#N/A</v>
      </c>
      <c r="N48" t="e">
        <f t="shared" si="4"/>
        <v>#N/A</v>
      </c>
      <c r="O48" t="e">
        <f t="shared" si="4"/>
        <v>#N/A</v>
      </c>
      <c r="P48" t="e">
        <f t="shared" si="4"/>
        <v>#N/A</v>
      </c>
    </row>
    <row r="49" spans="1:16" x14ac:dyDescent="0.25">
      <c r="A49" t="e">
        <f>CUBEMEMBER("pbiazure://api.powerbi.com 6e064a38-7f82-4416-9451-8d82a554b559 Model","[Facilities].[DATIMName].&amp;[Dongo Dispensary]")</f>
        <v>#N/A</v>
      </c>
      <c r="B49" t="e">
        <f t="shared" si="4"/>
        <v>#N/A</v>
      </c>
      <c r="C49" t="e">
        <f t="shared" si="4"/>
        <v>#N/A</v>
      </c>
      <c r="D49" t="e">
        <f t="shared" si="4"/>
        <v>#N/A</v>
      </c>
      <c r="E49" t="e">
        <f t="shared" si="4"/>
        <v>#N/A</v>
      </c>
      <c r="F49" t="e">
        <f t="shared" si="4"/>
        <v>#N/A</v>
      </c>
      <c r="G49" t="e">
        <f t="shared" si="4"/>
        <v>#N/A</v>
      </c>
      <c r="H49" t="e">
        <f t="shared" si="4"/>
        <v>#N/A</v>
      </c>
      <c r="I49" t="e">
        <f t="shared" si="4"/>
        <v>#N/A</v>
      </c>
      <c r="J49" t="e">
        <f t="shared" si="4"/>
        <v>#N/A</v>
      </c>
      <c r="K49" t="e">
        <f t="shared" si="4"/>
        <v>#N/A</v>
      </c>
      <c r="L49" t="e">
        <f t="shared" si="4"/>
        <v>#N/A</v>
      </c>
      <c r="M49" t="e">
        <f t="shared" si="4"/>
        <v>#N/A</v>
      </c>
      <c r="N49" t="e">
        <f t="shared" si="4"/>
        <v>#N/A</v>
      </c>
      <c r="O49" t="e">
        <f t="shared" si="4"/>
        <v>#N/A</v>
      </c>
      <c r="P49" t="e">
        <f t="shared" si="4"/>
        <v>#N/A</v>
      </c>
    </row>
    <row r="50" spans="1:16" x14ac:dyDescent="0.25">
      <c r="A50" t="e">
        <f>CUBEMEMBER("pbiazure://api.powerbi.com 6e064a38-7f82-4416-9451-8d82a554b559 Model","[Facilities].[DATIMName].&amp;[Dongobesh Health Center]")</f>
        <v>#N/A</v>
      </c>
      <c r="B50" t="e">
        <f t="shared" si="4"/>
        <v>#N/A</v>
      </c>
      <c r="C50" t="e">
        <f t="shared" si="4"/>
        <v>#N/A</v>
      </c>
      <c r="D50" t="e">
        <f t="shared" si="4"/>
        <v>#N/A</v>
      </c>
      <c r="E50" t="e">
        <f t="shared" si="4"/>
        <v>#N/A</v>
      </c>
      <c r="F50" t="e">
        <f t="shared" si="4"/>
        <v>#N/A</v>
      </c>
      <c r="G50" t="e">
        <f t="shared" si="4"/>
        <v>#N/A</v>
      </c>
      <c r="H50" t="e">
        <f t="shared" si="4"/>
        <v>#N/A</v>
      </c>
      <c r="I50" t="e">
        <f t="shared" si="4"/>
        <v>#N/A</v>
      </c>
      <c r="J50" t="e">
        <f t="shared" si="4"/>
        <v>#N/A</v>
      </c>
      <c r="K50" t="e">
        <f t="shared" si="4"/>
        <v>#N/A</v>
      </c>
      <c r="L50" t="e">
        <f t="shared" si="4"/>
        <v>#N/A</v>
      </c>
      <c r="M50" t="e">
        <f t="shared" si="4"/>
        <v>#N/A</v>
      </c>
      <c r="N50" t="e">
        <f t="shared" si="4"/>
        <v>#N/A</v>
      </c>
      <c r="O50" t="e">
        <f t="shared" si="4"/>
        <v>#N/A</v>
      </c>
      <c r="P50" t="e">
        <f t="shared" si="4"/>
        <v>#N/A</v>
      </c>
    </row>
    <row r="51" spans="1:16" x14ac:dyDescent="0.25">
      <c r="A51" t="e">
        <f>CUBEMEMBER("pbiazure://api.powerbi.com 6e064a38-7f82-4416-9451-8d82a554b559 Model","[Facilities].[DATIMName].&amp;[Doromoni Dispensary]")</f>
        <v>#N/A</v>
      </c>
      <c r="B51" t="e">
        <f t="shared" si="4"/>
        <v>#N/A</v>
      </c>
      <c r="C51" t="e">
        <f t="shared" si="4"/>
        <v>#N/A</v>
      </c>
      <c r="D51" t="e">
        <f t="shared" si="4"/>
        <v>#N/A</v>
      </c>
      <c r="E51" t="e">
        <f t="shared" si="4"/>
        <v>#N/A</v>
      </c>
      <c r="F51" t="e">
        <f t="shared" si="4"/>
        <v>#N/A</v>
      </c>
      <c r="G51" t="e">
        <f t="shared" si="4"/>
        <v>#N/A</v>
      </c>
      <c r="H51" t="e">
        <f t="shared" si="4"/>
        <v>#N/A</v>
      </c>
      <c r="I51" t="e">
        <f t="shared" si="4"/>
        <v>#N/A</v>
      </c>
      <c r="J51" t="e">
        <f t="shared" si="4"/>
        <v>#N/A</v>
      </c>
      <c r="K51" t="e">
        <f t="shared" si="4"/>
        <v>#N/A</v>
      </c>
      <c r="L51" t="e">
        <f t="shared" si="4"/>
        <v>#N/A</v>
      </c>
      <c r="M51" t="e">
        <f t="shared" si="4"/>
        <v>#N/A</v>
      </c>
      <c r="N51" t="e">
        <f t="shared" si="4"/>
        <v>#N/A</v>
      </c>
      <c r="O51" t="e">
        <f t="shared" si="4"/>
        <v>#N/A</v>
      </c>
      <c r="P51" t="e">
        <f t="shared" si="4"/>
        <v>#N/A</v>
      </c>
    </row>
    <row r="52" spans="1:16" x14ac:dyDescent="0.25">
      <c r="A52" t="e">
        <f>CUBEMEMBER("pbiazure://api.powerbi.com 6e064a38-7f82-4416-9451-8d82a554b559 Model","[Facilities].[DATIMName].&amp;[Electra-Bosco Dispensary]")</f>
        <v>#N/A</v>
      </c>
      <c r="B52" t="e">
        <f t="shared" si="4"/>
        <v>#N/A</v>
      </c>
      <c r="C52" t="e">
        <f t="shared" si="4"/>
        <v>#N/A</v>
      </c>
      <c r="D52" t="e">
        <f t="shared" si="4"/>
        <v>#N/A</v>
      </c>
      <c r="E52" t="e">
        <f t="shared" si="4"/>
        <v>#N/A</v>
      </c>
      <c r="F52" t="e">
        <f t="shared" si="4"/>
        <v>#N/A</v>
      </c>
      <c r="G52" t="e">
        <f t="shared" si="4"/>
        <v>#N/A</v>
      </c>
      <c r="H52" t="e">
        <f t="shared" si="4"/>
        <v>#N/A</v>
      </c>
      <c r="I52" t="e">
        <f t="shared" si="4"/>
        <v>#N/A</v>
      </c>
      <c r="J52" t="e">
        <f t="shared" si="4"/>
        <v>#N/A</v>
      </c>
      <c r="K52" t="e">
        <f t="shared" si="4"/>
        <v>#N/A</v>
      </c>
      <c r="L52" t="e">
        <f t="shared" si="4"/>
        <v>#N/A</v>
      </c>
      <c r="M52" t="e">
        <f t="shared" si="4"/>
        <v>#N/A</v>
      </c>
      <c r="N52" t="e">
        <f t="shared" si="4"/>
        <v>#N/A</v>
      </c>
      <c r="O52" t="e">
        <f t="shared" si="4"/>
        <v>#N/A</v>
      </c>
      <c r="P52" t="e">
        <f t="shared" si="4"/>
        <v>#N/A</v>
      </c>
    </row>
    <row r="53" spans="1:16" x14ac:dyDescent="0.25">
      <c r="A53" t="e">
        <f>CUBEMEMBER("pbiazure://api.powerbi.com 6e064a38-7f82-4416-9451-8d82a554b559 Model","[Facilities].[DATIMName].&amp;[ELERAI Dispensary]")</f>
        <v>#N/A</v>
      </c>
      <c r="B53" t="e">
        <f t="shared" si="4"/>
        <v>#N/A</v>
      </c>
      <c r="C53" t="e">
        <f t="shared" si="4"/>
        <v>#N/A</v>
      </c>
      <c r="D53" t="e">
        <f t="shared" si="4"/>
        <v>#N/A</v>
      </c>
      <c r="E53" t="e">
        <f t="shared" si="4"/>
        <v>#N/A</v>
      </c>
      <c r="F53" t="e">
        <f t="shared" si="4"/>
        <v>#N/A</v>
      </c>
      <c r="G53" t="e">
        <f t="shared" si="4"/>
        <v>#N/A</v>
      </c>
      <c r="H53" t="e">
        <f t="shared" si="4"/>
        <v>#N/A</v>
      </c>
      <c r="I53" t="e">
        <f t="shared" si="4"/>
        <v>#N/A</v>
      </c>
      <c r="J53" t="e">
        <f t="shared" si="4"/>
        <v>#N/A</v>
      </c>
      <c r="K53" t="e">
        <f t="shared" si="4"/>
        <v>#N/A</v>
      </c>
      <c r="L53" t="e">
        <f t="shared" si="4"/>
        <v>#N/A</v>
      </c>
      <c r="M53" t="e">
        <f t="shared" si="4"/>
        <v>#N/A</v>
      </c>
      <c r="N53" t="e">
        <f t="shared" si="4"/>
        <v>#N/A</v>
      </c>
      <c r="O53" t="e">
        <f t="shared" si="4"/>
        <v>#N/A</v>
      </c>
      <c r="P53" t="e">
        <f t="shared" si="4"/>
        <v>#N/A</v>
      </c>
    </row>
    <row r="54" spans="1:16" x14ac:dyDescent="0.25">
      <c r="A54" t="e">
        <f>CUBEMEMBER("pbiazure://api.powerbi.com 6e064a38-7f82-4416-9451-8d82a554b559 Model","[Facilities].[DATIMName].&amp;[Emarti Dispensary]")</f>
        <v>#N/A</v>
      </c>
      <c r="B54" t="e">
        <f t="shared" si="4"/>
        <v>#N/A</v>
      </c>
      <c r="C54" t="e">
        <f t="shared" si="4"/>
        <v>#N/A</v>
      </c>
      <c r="D54" t="e">
        <f t="shared" si="4"/>
        <v>#N/A</v>
      </c>
      <c r="E54" t="e">
        <f t="shared" si="4"/>
        <v>#N/A</v>
      </c>
      <c r="F54" t="e">
        <f t="shared" si="4"/>
        <v>#N/A</v>
      </c>
      <c r="G54" t="e">
        <f t="shared" si="4"/>
        <v>#N/A</v>
      </c>
      <c r="H54" t="e">
        <f t="shared" si="4"/>
        <v>#N/A</v>
      </c>
      <c r="I54" t="e">
        <f t="shared" si="4"/>
        <v>#N/A</v>
      </c>
      <c r="J54" t="e">
        <f t="shared" si="4"/>
        <v>#N/A</v>
      </c>
      <c r="K54" t="e">
        <f t="shared" si="4"/>
        <v>#N/A</v>
      </c>
      <c r="L54" t="e">
        <f t="shared" si="4"/>
        <v>#N/A</v>
      </c>
      <c r="M54" t="e">
        <f t="shared" si="4"/>
        <v>#N/A</v>
      </c>
      <c r="N54" t="e">
        <f t="shared" si="4"/>
        <v>#N/A</v>
      </c>
      <c r="O54" t="e">
        <f t="shared" si="4"/>
        <v>#N/A</v>
      </c>
      <c r="P54" t="e">
        <f t="shared" si="4"/>
        <v>#N/A</v>
      </c>
    </row>
    <row r="55" spans="1:16" x14ac:dyDescent="0.25">
      <c r="A55" t="e">
        <f>CUBEMEMBER("pbiazure://api.powerbi.com 6e064a38-7f82-4416-9451-8d82a554b559 Model","[Facilities].[DATIMName].&amp;[Endabash Health Center]")</f>
        <v>#N/A</v>
      </c>
      <c r="B55" t="e">
        <f t="shared" ref="B55:P64" si="5">CUBEVALUE("pbiazure://api.powerbi.com 6e064a38-7f82-4416-9451-8d82a554b559 Model",$B$1,$A55,B$4)</f>
        <v>#N/A</v>
      </c>
      <c r="C55" t="e">
        <f t="shared" si="5"/>
        <v>#N/A</v>
      </c>
      <c r="D55" t="e">
        <f t="shared" si="5"/>
        <v>#N/A</v>
      </c>
      <c r="E55" t="e">
        <f t="shared" si="5"/>
        <v>#N/A</v>
      </c>
      <c r="F55" t="e">
        <f t="shared" si="5"/>
        <v>#N/A</v>
      </c>
      <c r="G55" t="e">
        <f t="shared" si="5"/>
        <v>#N/A</v>
      </c>
      <c r="H55" t="e">
        <f t="shared" si="5"/>
        <v>#N/A</v>
      </c>
      <c r="I55" t="e">
        <f t="shared" si="5"/>
        <v>#N/A</v>
      </c>
      <c r="J55" t="e">
        <f t="shared" si="5"/>
        <v>#N/A</v>
      </c>
      <c r="K55" t="e">
        <f t="shared" si="5"/>
        <v>#N/A</v>
      </c>
      <c r="L55" t="e">
        <f t="shared" si="5"/>
        <v>#N/A</v>
      </c>
      <c r="M55" t="e">
        <f t="shared" si="5"/>
        <v>#N/A</v>
      </c>
      <c r="N55" t="e">
        <f t="shared" si="5"/>
        <v>#N/A</v>
      </c>
      <c r="O55" t="e">
        <f t="shared" si="5"/>
        <v>#N/A</v>
      </c>
      <c r="P55" t="e">
        <f t="shared" si="5"/>
        <v>#N/A</v>
      </c>
    </row>
    <row r="56" spans="1:16" x14ac:dyDescent="0.25">
      <c r="A56" t="e">
        <f>CUBEMEMBER("pbiazure://api.powerbi.com 6e064a38-7f82-4416-9451-8d82a554b559 Model","[Facilities].[DATIMName].&amp;[Endasak Dispensary]")</f>
        <v>#N/A</v>
      </c>
      <c r="B56" t="e">
        <f t="shared" si="5"/>
        <v>#N/A</v>
      </c>
      <c r="C56" t="e">
        <f t="shared" si="5"/>
        <v>#N/A</v>
      </c>
      <c r="D56" t="e">
        <f t="shared" si="5"/>
        <v>#N/A</v>
      </c>
      <c r="E56" t="e">
        <f t="shared" si="5"/>
        <v>#N/A</v>
      </c>
      <c r="F56" t="e">
        <f t="shared" si="5"/>
        <v>#N/A</v>
      </c>
      <c r="G56" t="e">
        <f t="shared" si="5"/>
        <v>#N/A</v>
      </c>
      <c r="H56" t="e">
        <f t="shared" si="5"/>
        <v>#N/A</v>
      </c>
      <c r="I56" t="e">
        <f t="shared" si="5"/>
        <v>#N/A</v>
      </c>
      <c r="J56" t="e">
        <f t="shared" si="5"/>
        <v>#N/A</v>
      </c>
      <c r="K56" t="e">
        <f t="shared" si="5"/>
        <v>#N/A</v>
      </c>
      <c r="L56" t="e">
        <f t="shared" si="5"/>
        <v>#N/A</v>
      </c>
      <c r="M56" t="e">
        <f t="shared" si="5"/>
        <v>#N/A</v>
      </c>
      <c r="N56" t="e">
        <f t="shared" si="5"/>
        <v>#N/A</v>
      </c>
      <c r="O56" t="e">
        <f t="shared" si="5"/>
        <v>#N/A</v>
      </c>
      <c r="P56" t="e">
        <f t="shared" si="5"/>
        <v>#N/A</v>
      </c>
    </row>
    <row r="57" spans="1:16" x14ac:dyDescent="0.25">
      <c r="A57" t="e">
        <f>CUBEMEMBER("pbiazure://api.powerbi.com 6e064a38-7f82-4416-9451-8d82a554b559 Model","[Facilities].[DATIMName].&amp;[Endulen Hospital - Other Hospital]")</f>
        <v>#N/A</v>
      </c>
      <c r="B57" t="e">
        <f t="shared" si="5"/>
        <v>#N/A</v>
      </c>
      <c r="C57" t="e">
        <f t="shared" si="5"/>
        <v>#N/A</v>
      </c>
      <c r="D57" t="e">
        <f t="shared" si="5"/>
        <v>#N/A</v>
      </c>
      <c r="E57" t="e">
        <f t="shared" si="5"/>
        <v>#N/A</v>
      </c>
      <c r="F57" t="e">
        <f t="shared" si="5"/>
        <v>#N/A</v>
      </c>
      <c r="G57" t="e">
        <f t="shared" si="5"/>
        <v>#N/A</v>
      </c>
      <c r="H57" t="e">
        <f t="shared" si="5"/>
        <v>#N/A</v>
      </c>
      <c r="I57" t="e">
        <f t="shared" si="5"/>
        <v>#N/A</v>
      </c>
      <c r="J57" t="e">
        <f t="shared" si="5"/>
        <v>#N/A</v>
      </c>
      <c r="K57" t="e">
        <f t="shared" si="5"/>
        <v>#N/A</v>
      </c>
      <c r="L57" t="e">
        <f t="shared" si="5"/>
        <v>#N/A</v>
      </c>
      <c r="M57" t="e">
        <f t="shared" si="5"/>
        <v>#N/A</v>
      </c>
      <c r="N57" t="e">
        <f t="shared" si="5"/>
        <v>#N/A</v>
      </c>
      <c r="O57" t="e">
        <f t="shared" si="5"/>
        <v>#N/A</v>
      </c>
      <c r="P57" t="e">
        <f t="shared" si="5"/>
        <v>#N/A</v>
      </c>
    </row>
    <row r="58" spans="1:16" x14ac:dyDescent="0.25">
      <c r="A58" t="e">
        <f>CUBEMEMBER("pbiazure://api.powerbi.com 6e064a38-7f82-4416-9451-8d82a554b559 Model","[Facilities].[DATIMName].&amp;[Engarenaibor Hospital]")</f>
        <v>#N/A</v>
      </c>
      <c r="B58" t="e">
        <f t="shared" si="5"/>
        <v>#N/A</v>
      </c>
      <c r="C58" t="e">
        <f t="shared" si="5"/>
        <v>#N/A</v>
      </c>
      <c r="D58" t="e">
        <f t="shared" si="5"/>
        <v>#N/A</v>
      </c>
      <c r="E58" t="e">
        <f t="shared" si="5"/>
        <v>#N/A</v>
      </c>
      <c r="F58" t="e">
        <f t="shared" si="5"/>
        <v>#N/A</v>
      </c>
      <c r="G58" t="e">
        <f t="shared" si="5"/>
        <v>#N/A</v>
      </c>
      <c r="H58" t="e">
        <f t="shared" si="5"/>
        <v>#N/A</v>
      </c>
      <c r="I58" t="e">
        <f t="shared" si="5"/>
        <v>#N/A</v>
      </c>
      <c r="J58" t="e">
        <f t="shared" si="5"/>
        <v>#N/A</v>
      </c>
      <c r="K58" t="e">
        <f t="shared" si="5"/>
        <v>#N/A</v>
      </c>
      <c r="L58" t="e">
        <f t="shared" si="5"/>
        <v>#N/A</v>
      </c>
      <c r="M58" t="e">
        <f t="shared" si="5"/>
        <v>#N/A</v>
      </c>
      <c r="N58" t="e">
        <f t="shared" si="5"/>
        <v>#N/A</v>
      </c>
      <c r="O58" t="e">
        <f t="shared" si="5"/>
        <v>#N/A</v>
      </c>
      <c r="P58" t="e">
        <f t="shared" si="5"/>
        <v>#N/A</v>
      </c>
    </row>
    <row r="59" spans="1:16" x14ac:dyDescent="0.25">
      <c r="A59" t="e">
        <f>CUBEMEMBER("pbiazure://api.powerbi.com 6e064a38-7f82-4416-9451-8d82a554b559 Model","[Facilities].[DATIMName].&amp;[Engusero Health Center]")</f>
        <v>#N/A</v>
      </c>
      <c r="B59" t="e">
        <f t="shared" si="5"/>
        <v>#N/A</v>
      </c>
      <c r="C59" t="e">
        <f t="shared" si="5"/>
        <v>#N/A</v>
      </c>
      <c r="D59" t="e">
        <f t="shared" si="5"/>
        <v>#N/A</v>
      </c>
      <c r="E59" t="e">
        <f t="shared" si="5"/>
        <v>#N/A</v>
      </c>
      <c r="F59" t="e">
        <f t="shared" si="5"/>
        <v>#N/A</v>
      </c>
      <c r="G59" t="e">
        <f t="shared" si="5"/>
        <v>#N/A</v>
      </c>
      <c r="H59" t="e">
        <f t="shared" si="5"/>
        <v>#N/A</v>
      </c>
      <c r="I59" t="e">
        <f t="shared" si="5"/>
        <v>#N/A</v>
      </c>
      <c r="J59" t="e">
        <f t="shared" si="5"/>
        <v>#N/A</v>
      </c>
      <c r="K59" t="e">
        <f t="shared" si="5"/>
        <v>#N/A</v>
      </c>
      <c r="L59" t="e">
        <f t="shared" si="5"/>
        <v>#N/A</v>
      </c>
      <c r="M59" t="e">
        <f t="shared" si="5"/>
        <v>#N/A</v>
      </c>
      <c r="N59" t="e">
        <f t="shared" si="5"/>
        <v>#N/A</v>
      </c>
      <c r="O59" t="e">
        <f t="shared" si="5"/>
        <v>#N/A</v>
      </c>
      <c r="P59" t="e">
        <f t="shared" si="5"/>
        <v>#N/A</v>
      </c>
    </row>
    <row r="60" spans="1:16" x14ac:dyDescent="0.25">
      <c r="A60" t="e">
        <f>CUBEMEMBER("pbiazure://api.powerbi.com 6e064a38-7f82-4416-9451-8d82a554b559 Model","[Facilities].[DATIMName].&amp;[Faraja Health Center]")</f>
        <v>#N/A</v>
      </c>
      <c r="B60" t="e">
        <f t="shared" si="5"/>
        <v>#N/A</v>
      </c>
      <c r="C60" t="e">
        <f t="shared" si="5"/>
        <v>#N/A</v>
      </c>
      <c r="D60" t="e">
        <f t="shared" si="5"/>
        <v>#N/A</v>
      </c>
      <c r="E60" t="e">
        <f t="shared" si="5"/>
        <v>#N/A</v>
      </c>
      <c r="F60" t="e">
        <f t="shared" si="5"/>
        <v>#N/A</v>
      </c>
      <c r="G60" t="e">
        <f t="shared" si="5"/>
        <v>#N/A</v>
      </c>
      <c r="H60" t="e">
        <f t="shared" si="5"/>
        <v>#N/A</v>
      </c>
      <c r="I60" t="e">
        <f t="shared" si="5"/>
        <v>#N/A</v>
      </c>
      <c r="J60" t="e">
        <f t="shared" si="5"/>
        <v>#N/A</v>
      </c>
      <c r="K60" t="e">
        <f t="shared" si="5"/>
        <v>#N/A</v>
      </c>
      <c r="L60" t="e">
        <f t="shared" si="5"/>
        <v>#N/A</v>
      </c>
      <c r="M60" t="e">
        <f t="shared" si="5"/>
        <v>#N/A</v>
      </c>
      <c r="N60" t="e">
        <f t="shared" si="5"/>
        <v>#N/A</v>
      </c>
      <c r="O60" t="e">
        <f t="shared" si="5"/>
        <v>#N/A</v>
      </c>
      <c r="P60" t="e">
        <f t="shared" si="5"/>
        <v>#N/A</v>
      </c>
    </row>
    <row r="61" spans="1:16" x14ac:dyDescent="0.25">
      <c r="A61" t="e">
        <f>CUBEMEMBER("pbiazure://api.powerbi.com 6e064a38-7f82-4416-9451-8d82a554b559 Model","[Facilities].[DATIMName].&amp;[Gallapo Health Center]")</f>
        <v>#N/A</v>
      </c>
      <c r="B61" t="e">
        <f t="shared" si="5"/>
        <v>#N/A</v>
      </c>
      <c r="C61" t="e">
        <f t="shared" si="5"/>
        <v>#N/A</v>
      </c>
      <c r="D61" t="e">
        <f t="shared" si="5"/>
        <v>#N/A</v>
      </c>
      <c r="E61" t="e">
        <f t="shared" si="5"/>
        <v>#N/A</v>
      </c>
      <c r="F61" t="e">
        <f t="shared" si="5"/>
        <v>#N/A</v>
      </c>
      <c r="G61" t="e">
        <f t="shared" si="5"/>
        <v>#N/A</v>
      </c>
      <c r="H61" t="e">
        <f t="shared" si="5"/>
        <v>#N/A</v>
      </c>
      <c r="I61" t="e">
        <f t="shared" si="5"/>
        <v>#N/A</v>
      </c>
      <c r="J61" t="e">
        <f t="shared" si="5"/>
        <v>#N/A</v>
      </c>
      <c r="K61" t="e">
        <f t="shared" si="5"/>
        <v>#N/A</v>
      </c>
      <c r="L61" t="e">
        <f t="shared" si="5"/>
        <v>#N/A</v>
      </c>
      <c r="M61" t="e">
        <f t="shared" si="5"/>
        <v>#N/A</v>
      </c>
      <c r="N61" t="e">
        <f t="shared" si="5"/>
        <v>#N/A</v>
      </c>
      <c r="O61" t="e">
        <f t="shared" si="5"/>
        <v>#N/A</v>
      </c>
      <c r="P61" t="e">
        <f t="shared" si="5"/>
        <v>#N/A</v>
      </c>
    </row>
    <row r="62" spans="1:16" x14ac:dyDescent="0.25">
      <c r="A62" t="e">
        <f>CUBEMEMBER("pbiazure://api.powerbi.com 6e064a38-7f82-4416-9451-8d82a554b559 Model","[Facilities].[DATIMName].&amp;[Gelai Bomba Dispensary]")</f>
        <v>#N/A</v>
      </c>
      <c r="B62" t="e">
        <f t="shared" si="5"/>
        <v>#N/A</v>
      </c>
      <c r="C62" t="e">
        <f t="shared" si="5"/>
        <v>#N/A</v>
      </c>
      <c r="D62" t="e">
        <f t="shared" si="5"/>
        <v>#N/A</v>
      </c>
      <c r="E62" t="e">
        <f t="shared" si="5"/>
        <v>#N/A</v>
      </c>
      <c r="F62" t="e">
        <f t="shared" si="5"/>
        <v>#N/A</v>
      </c>
      <c r="G62" t="e">
        <f t="shared" si="5"/>
        <v>#N/A</v>
      </c>
      <c r="H62" t="e">
        <f t="shared" si="5"/>
        <v>#N/A</v>
      </c>
      <c r="I62" t="e">
        <f t="shared" si="5"/>
        <v>#N/A</v>
      </c>
      <c r="J62" t="e">
        <f t="shared" si="5"/>
        <v>#N/A</v>
      </c>
      <c r="K62" t="e">
        <f t="shared" si="5"/>
        <v>#N/A</v>
      </c>
      <c r="L62" t="e">
        <f t="shared" si="5"/>
        <v>#N/A</v>
      </c>
      <c r="M62" t="e">
        <f t="shared" si="5"/>
        <v>#N/A</v>
      </c>
      <c r="N62" t="e">
        <f t="shared" si="5"/>
        <v>#N/A</v>
      </c>
      <c r="O62" t="e">
        <f t="shared" si="5"/>
        <v>#N/A</v>
      </c>
      <c r="P62" t="e">
        <f t="shared" si="5"/>
        <v>#N/A</v>
      </c>
    </row>
    <row r="63" spans="1:16" x14ac:dyDescent="0.25">
      <c r="A63" t="e">
        <f>CUBEMEMBER("pbiazure://api.powerbi.com 6e064a38-7f82-4416-9451-8d82a554b559 Model","[Facilities].[DATIMName].&amp;[Gelai Lumbwa Dispensary]")</f>
        <v>#N/A</v>
      </c>
      <c r="B63" t="e">
        <f t="shared" si="5"/>
        <v>#N/A</v>
      </c>
      <c r="C63" t="e">
        <f t="shared" si="5"/>
        <v>#N/A</v>
      </c>
      <c r="D63" t="e">
        <f t="shared" si="5"/>
        <v>#N/A</v>
      </c>
      <c r="E63" t="e">
        <f t="shared" si="5"/>
        <v>#N/A</v>
      </c>
      <c r="F63" t="e">
        <f t="shared" si="5"/>
        <v>#N/A</v>
      </c>
      <c r="G63" t="e">
        <f t="shared" si="5"/>
        <v>#N/A</v>
      </c>
      <c r="H63" t="e">
        <f t="shared" si="5"/>
        <v>#N/A</v>
      </c>
      <c r="I63" t="e">
        <f t="shared" si="5"/>
        <v>#N/A</v>
      </c>
      <c r="J63" t="e">
        <f t="shared" si="5"/>
        <v>#N/A</v>
      </c>
      <c r="K63" t="e">
        <f t="shared" si="5"/>
        <v>#N/A</v>
      </c>
      <c r="L63" t="e">
        <f t="shared" si="5"/>
        <v>#N/A</v>
      </c>
      <c r="M63" t="e">
        <f t="shared" si="5"/>
        <v>#N/A</v>
      </c>
      <c r="N63" t="e">
        <f t="shared" si="5"/>
        <v>#N/A</v>
      </c>
      <c r="O63" t="e">
        <f t="shared" si="5"/>
        <v>#N/A</v>
      </c>
      <c r="P63" t="e">
        <f t="shared" si="5"/>
        <v>#N/A</v>
      </c>
    </row>
    <row r="64" spans="1:16" x14ac:dyDescent="0.25">
      <c r="A64" t="e">
        <f>CUBEMEMBER("pbiazure://api.powerbi.com 6e064a38-7f82-4416-9451-8d82a554b559 Model","[Facilities].[DATIMName].&amp;[Gendabi Health Center]")</f>
        <v>#N/A</v>
      </c>
      <c r="B64" t="e">
        <f t="shared" si="5"/>
        <v>#N/A</v>
      </c>
      <c r="C64" t="e">
        <f t="shared" si="5"/>
        <v>#N/A</v>
      </c>
      <c r="D64" t="e">
        <f t="shared" si="5"/>
        <v>#N/A</v>
      </c>
      <c r="E64" t="e">
        <f t="shared" si="5"/>
        <v>#N/A</v>
      </c>
      <c r="F64" t="e">
        <f t="shared" si="5"/>
        <v>#N/A</v>
      </c>
      <c r="G64" t="e">
        <f t="shared" si="5"/>
        <v>#N/A</v>
      </c>
      <c r="H64" t="e">
        <f t="shared" si="5"/>
        <v>#N/A</v>
      </c>
      <c r="I64" t="e">
        <f t="shared" si="5"/>
        <v>#N/A</v>
      </c>
      <c r="J64" t="e">
        <f t="shared" si="5"/>
        <v>#N/A</v>
      </c>
      <c r="K64" t="e">
        <f t="shared" si="5"/>
        <v>#N/A</v>
      </c>
      <c r="L64" t="e">
        <f t="shared" si="5"/>
        <v>#N/A</v>
      </c>
      <c r="M64" t="e">
        <f t="shared" si="5"/>
        <v>#N/A</v>
      </c>
      <c r="N64" t="e">
        <f t="shared" si="5"/>
        <v>#N/A</v>
      </c>
      <c r="O64" t="e">
        <f t="shared" si="5"/>
        <v>#N/A</v>
      </c>
      <c r="P64" t="e">
        <f t="shared" si="5"/>
        <v>#N/A</v>
      </c>
    </row>
    <row r="65" spans="1:16" x14ac:dyDescent="0.25">
      <c r="A65" t="e">
        <f>CUBEMEMBER("pbiazure://api.powerbi.com 6e064a38-7f82-4416-9451-8d82a554b559 Model","[Facilities].[DATIMName].&amp;[Gidas Health Center]")</f>
        <v>#N/A</v>
      </c>
      <c r="B65" t="e">
        <f t="shared" ref="B65:P74" si="6">CUBEVALUE("pbiazure://api.powerbi.com 6e064a38-7f82-4416-9451-8d82a554b559 Model",$B$1,$A65,B$4)</f>
        <v>#N/A</v>
      </c>
      <c r="C65" t="e">
        <f t="shared" si="6"/>
        <v>#N/A</v>
      </c>
      <c r="D65" t="e">
        <f t="shared" si="6"/>
        <v>#N/A</v>
      </c>
      <c r="E65" t="e">
        <f t="shared" si="6"/>
        <v>#N/A</v>
      </c>
      <c r="F65" t="e">
        <f t="shared" si="6"/>
        <v>#N/A</v>
      </c>
      <c r="G65" t="e">
        <f t="shared" si="6"/>
        <v>#N/A</v>
      </c>
      <c r="H65" t="e">
        <f t="shared" si="6"/>
        <v>#N/A</v>
      </c>
      <c r="I65" t="e">
        <f t="shared" si="6"/>
        <v>#N/A</v>
      </c>
      <c r="J65" t="e">
        <f t="shared" si="6"/>
        <v>#N/A</v>
      </c>
      <c r="K65" t="e">
        <f t="shared" si="6"/>
        <v>#N/A</v>
      </c>
      <c r="L65" t="e">
        <f t="shared" si="6"/>
        <v>#N/A</v>
      </c>
      <c r="M65" t="e">
        <f t="shared" si="6"/>
        <v>#N/A</v>
      </c>
      <c r="N65" t="e">
        <f t="shared" si="6"/>
        <v>#N/A</v>
      </c>
      <c r="O65" t="e">
        <f t="shared" si="6"/>
        <v>#N/A</v>
      </c>
      <c r="P65" t="e">
        <f t="shared" si="6"/>
        <v>#N/A</v>
      </c>
    </row>
    <row r="66" spans="1:16" x14ac:dyDescent="0.25">
      <c r="A66" t="e">
        <f>CUBEMEMBER("pbiazure://api.powerbi.com 6e064a38-7f82-4416-9451-8d82a554b559 Model","[Facilities].[DATIMName].&amp;[Gonja Lutheran Hospital - Other Hospital]")</f>
        <v>#N/A</v>
      </c>
      <c r="B66" t="e">
        <f t="shared" si="6"/>
        <v>#N/A</v>
      </c>
      <c r="C66" t="e">
        <f t="shared" si="6"/>
        <v>#N/A</v>
      </c>
      <c r="D66" t="e">
        <f t="shared" si="6"/>
        <v>#N/A</v>
      </c>
      <c r="E66" t="e">
        <f t="shared" si="6"/>
        <v>#N/A</v>
      </c>
      <c r="F66" t="e">
        <f t="shared" si="6"/>
        <v>#N/A</v>
      </c>
      <c r="G66" t="e">
        <f t="shared" si="6"/>
        <v>#N/A</v>
      </c>
      <c r="H66" t="e">
        <f t="shared" si="6"/>
        <v>#N/A</v>
      </c>
      <c r="I66" t="e">
        <f t="shared" si="6"/>
        <v>#N/A</v>
      </c>
      <c r="J66" t="e">
        <f t="shared" si="6"/>
        <v>#N/A</v>
      </c>
      <c r="K66" t="e">
        <f t="shared" si="6"/>
        <v>#N/A</v>
      </c>
      <c r="L66" t="e">
        <f t="shared" si="6"/>
        <v>#N/A</v>
      </c>
      <c r="M66" t="e">
        <f t="shared" si="6"/>
        <v>#N/A</v>
      </c>
      <c r="N66" t="e">
        <f t="shared" si="6"/>
        <v>#N/A</v>
      </c>
      <c r="O66" t="e">
        <f t="shared" si="6"/>
        <v>#N/A</v>
      </c>
      <c r="P66" t="e">
        <f t="shared" si="6"/>
        <v>#N/A</v>
      </c>
    </row>
    <row r="67" spans="1:16" x14ac:dyDescent="0.25">
      <c r="A67" t="e">
        <f>CUBEMEMBER("pbiazure://api.powerbi.com 6e064a38-7f82-4416-9451-8d82a554b559 Model","[Facilities].[DATIMName].&amp;[Gulwe Dispensary]")</f>
        <v>#N/A</v>
      </c>
      <c r="B67" t="e">
        <f t="shared" si="6"/>
        <v>#N/A</v>
      </c>
      <c r="C67" t="e">
        <f t="shared" si="6"/>
        <v>#N/A</v>
      </c>
      <c r="D67" t="e">
        <f t="shared" si="6"/>
        <v>#N/A</v>
      </c>
      <c r="E67" t="e">
        <f t="shared" si="6"/>
        <v>#N/A</v>
      </c>
      <c r="F67" t="e">
        <f t="shared" si="6"/>
        <v>#N/A</v>
      </c>
      <c r="G67" t="e">
        <f t="shared" si="6"/>
        <v>#N/A</v>
      </c>
      <c r="H67" t="e">
        <f t="shared" si="6"/>
        <v>#N/A</v>
      </c>
      <c r="I67" t="e">
        <f t="shared" si="6"/>
        <v>#N/A</v>
      </c>
      <c r="J67" t="e">
        <f t="shared" si="6"/>
        <v>#N/A</v>
      </c>
      <c r="K67" t="e">
        <f t="shared" si="6"/>
        <v>#N/A</v>
      </c>
      <c r="L67" t="e">
        <f t="shared" si="6"/>
        <v>#N/A</v>
      </c>
      <c r="M67" t="e">
        <f t="shared" si="6"/>
        <v>#N/A</v>
      </c>
      <c r="N67" t="e">
        <f t="shared" si="6"/>
        <v>#N/A</v>
      </c>
      <c r="O67" t="e">
        <f t="shared" si="6"/>
        <v>#N/A</v>
      </c>
      <c r="P67" t="e">
        <f t="shared" si="6"/>
        <v>#N/A</v>
      </c>
    </row>
    <row r="68" spans="1:16" x14ac:dyDescent="0.25">
      <c r="A68" t="e">
        <f>CUBEMEMBER("pbiazure://api.powerbi.com 6e064a38-7f82-4416-9451-8d82a554b559 Model","[Facilities].[DATIMName].&amp;[Gumanga Dispensary]")</f>
        <v>#N/A</v>
      </c>
      <c r="B68" t="e">
        <f t="shared" si="6"/>
        <v>#N/A</v>
      </c>
      <c r="C68" t="e">
        <f t="shared" si="6"/>
        <v>#N/A</v>
      </c>
      <c r="D68" t="e">
        <f t="shared" si="6"/>
        <v>#N/A</v>
      </c>
      <c r="E68" t="e">
        <f t="shared" si="6"/>
        <v>#N/A</v>
      </c>
      <c r="F68" t="e">
        <f t="shared" si="6"/>
        <v>#N/A</v>
      </c>
      <c r="G68" t="e">
        <f t="shared" si="6"/>
        <v>#N/A</v>
      </c>
      <c r="H68" t="e">
        <f t="shared" si="6"/>
        <v>#N/A</v>
      </c>
      <c r="I68" t="e">
        <f t="shared" si="6"/>
        <v>#N/A</v>
      </c>
      <c r="J68" t="e">
        <f t="shared" si="6"/>
        <v>#N/A</v>
      </c>
      <c r="K68" t="e">
        <f t="shared" si="6"/>
        <v>#N/A</v>
      </c>
      <c r="L68" t="e">
        <f t="shared" si="6"/>
        <v>#N/A</v>
      </c>
      <c r="M68" t="e">
        <f t="shared" si="6"/>
        <v>#N/A</v>
      </c>
      <c r="N68" t="e">
        <f t="shared" si="6"/>
        <v>#N/A</v>
      </c>
      <c r="O68" t="e">
        <f t="shared" si="6"/>
        <v>#N/A</v>
      </c>
      <c r="P68" t="e">
        <f t="shared" si="6"/>
        <v>#N/A</v>
      </c>
    </row>
    <row r="69" spans="1:16" x14ac:dyDescent="0.25">
      <c r="A69" t="e">
        <f>CUBEMEMBER("pbiazure://api.powerbi.com 6e064a38-7f82-4416-9451-8d82a554b559 Model","[Facilities].[DATIMName].&amp;[Gunge Dispensary]")</f>
        <v>#N/A</v>
      </c>
      <c r="B69" t="e">
        <f t="shared" si="6"/>
        <v>#N/A</v>
      </c>
      <c r="C69" t="e">
        <f t="shared" si="6"/>
        <v>#N/A</v>
      </c>
      <c r="D69" t="e">
        <f t="shared" si="6"/>
        <v>#N/A</v>
      </c>
      <c r="E69" t="e">
        <f t="shared" si="6"/>
        <v>#N/A</v>
      </c>
      <c r="F69" t="e">
        <f t="shared" si="6"/>
        <v>#N/A</v>
      </c>
      <c r="G69" t="e">
        <f t="shared" si="6"/>
        <v>#N/A</v>
      </c>
      <c r="H69" t="e">
        <f t="shared" si="6"/>
        <v>#N/A</v>
      </c>
      <c r="I69" t="e">
        <f t="shared" si="6"/>
        <v>#N/A</v>
      </c>
      <c r="J69" t="e">
        <f t="shared" si="6"/>
        <v>#N/A</v>
      </c>
      <c r="K69" t="e">
        <f t="shared" si="6"/>
        <v>#N/A</v>
      </c>
      <c r="L69" t="e">
        <f t="shared" si="6"/>
        <v>#N/A</v>
      </c>
      <c r="M69" t="e">
        <f t="shared" si="6"/>
        <v>#N/A</v>
      </c>
      <c r="N69" t="e">
        <f t="shared" si="6"/>
        <v>#N/A</v>
      </c>
      <c r="O69" t="e">
        <f t="shared" si="6"/>
        <v>#N/A</v>
      </c>
      <c r="P69" t="e">
        <f t="shared" si="6"/>
        <v>#N/A</v>
      </c>
    </row>
    <row r="70" spans="1:16" x14ac:dyDescent="0.25">
      <c r="A70" t="e">
        <f>CUBEMEMBER("pbiazure://api.powerbi.com 6e064a38-7f82-4416-9451-8d82a554b559 Model","[Facilities].[DATIMName].&amp;[Hai Hospital - District Hospital]")</f>
        <v>#N/A</v>
      </c>
      <c r="B70" t="e">
        <f t="shared" si="6"/>
        <v>#N/A</v>
      </c>
      <c r="C70" t="e">
        <f t="shared" si="6"/>
        <v>#N/A</v>
      </c>
      <c r="D70" t="e">
        <f t="shared" si="6"/>
        <v>#N/A</v>
      </c>
      <c r="E70" t="e">
        <f t="shared" si="6"/>
        <v>#N/A</v>
      </c>
      <c r="F70" t="e">
        <f t="shared" si="6"/>
        <v>#N/A</v>
      </c>
      <c r="G70" t="e">
        <f t="shared" si="6"/>
        <v>#N/A</v>
      </c>
      <c r="H70" t="e">
        <f t="shared" si="6"/>
        <v>#N/A</v>
      </c>
      <c r="I70" t="e">
        <f t="shared" si="6"/>
        <v>#N/A</v>
      </c>
      <c r="J70" t="e">
        <f t="shared" si="6"/>
        <v>#N/A</v>
      </c>
      <c r="K70" t="e">
        <f t="shared" si="6"/>
        <v>#N/A</v>
      </c>
      <c r="L70" t="e">
        <f t="shared" si="6"/>
        <v>#N/A</v>
      </c>
      <c r="M70" t="e">
        <f t="shared" si="6"/>
        <v>#N/A</v>
      </c>
      <c r="N70" t="e">
        <f t="shared" si="6"/>
        <v>#N/A</v>
      </c>
      <c r="O70" t="e">
        <f t="shared" si="6"/>
        <v>#N/A</v>
      </c>
      <c r="P70" t="e">
        <f t="shared" si="6"/>
        <v>#N/A</v>
      </c>
    </row>
    <row r="71" spans="1:16" x14ac:dyDescent="0.25">
      <c r="A71" t="e">
        <f>CUBEMEMBER("pbiazure://api.powerbi.com 6e064a38-7f82-4416-9451-8d82a554b559 Model","[Facilities].[DATIMName].&amp;[Hamai Health Center]")</f>
        <v>#N/A</v>
      </c>
      <c r="B71" t="e">
        <f t="shared" si="6"/>
        <v>#N/A</v>
      </c>
      <c r="C71" t="e">
        <f t="shared" si="6"/>
        <v>#N/A</v>
      </c>
      <c r="D71" t="e">
        <f t="shared" si="6"/>
        <v>#N/A</v>
      </c>
      <c r="E71" t="e">
        <f t="shared" si="6"/>
        <v>#N/A</v>
      </c>
      <c r="F71" t="e">
        <f t="shared" si="6"/>
        <v>#N/A</v>
      </c>
      <c r="G71" t="e">
        <f t="shared" si="6"/>
        <v>#N/A</v>
      </c>
      <c r="H71" t="e">
        <f t="shared" si="6"/>
        <v>#N/A</v>
      </c>
      <c r="I71" t="e">
        <f t="shared" si="6"/>
        <v>#N/A</v>
      </c>
      <c r="J71" t="e">
        <f t="shared" si="6"/>
        <v>#N/A</v>
      </c>
      <c r="K71" t="e">
        <f t="shared" si="6"/>
        <v>#N/A</v>
      </c>
      <c r="L71" t="e">
        <f t="shared" si="6"/>
        <v>#N/A</v>
      </c>
      <c r="M71" t="e">
        <f t="shared" si="6"/>
        <v>#N/A</v>
      </c>
      <c r="N71" t="e">
        <f t="shared" si="6"/>
        <v>#N/A</v>
      </c>
      <c r="O71" t="e">
        <f t="shared" si="6"/>
        <v>#N/A</v>
      </c>
      <c r="P71" t="e">
        <f t="shared" si="6"/>
        <v>#N/A</v>
      </c>
    </row>
    <row r="72" spans="1:16" x14ac:dyDescent="0.25">
      <c r="A72" t="e">
        <f>CUBEMEMBER("pbiazure://api.powerbi.com 6e064a38-7f82-4416-9451-8d82a554b559 Model","[Facilities].[DATIMName].&amp;[Handali Dispensary]")</f>
        <v>#N/A</v>
      </c>
      <c r="B72" t="e">
        <f t="shared" si="6"/>
        <v>#N/A</v>
      </c>
      <c r="C72" t="e">
        <f t="shared" si="6"/>
        <v>#N/A</v>
      </c>
      <c r="D72" t="e">
        <f t="shared" si="6"/>
        <v>#N/A</v>
      </c>
      <c r="E72" t="e">
        <f t="shared" si="6"/>
        <v>#N/A</v>
      </c>
      <c r="F72" t="e">
        <f t="shared" si="6"/>
        <v>#N/A</v>
      </c>
      <c r="G72" t="e">
        <f t="shared" si="6"/>
        <v>#N/A</v>
      </c>
      <c r="H72" t="e">
        <f t="shared" si="6"/>
        <v>#N/A</v>
      </c>
      <c r="I72" t="e">
        <f t="shared" si="6"/>
        <v>#N/A</v>
      </c>
      <c r="J72" t="e">
        <f t="shared" si="6"/>
        <v>#N/A</v>
      </c>
      <c r="K72" t="e">
        <f t="shared" si="6"/>
        <v>#N/A</v>
      </c>
      <c r="L72" t="e">
        <f t="shared" si="6"/>
        <v>#N/A</v>
      </c>
      <c r="M72" t="e">
        <f t="shared" si="6"/>
        <v>#N/A</v>
      </c>
      <c r="N72" t="e">
        <f t="shared" si="6"/>
        <v>#N/A</v>
      </c>
      <c r="O72" t="e">
        <f t="shared" si="6"/>
        <v>#N/A</v>
      </c>
      <c r="P72" t="e">
        <f t="shared" si="6"/>
        <v>#N/A</v>
      </c>
    </row>
    <row r="73" spans="1:16" x14ac:dyDescent="0.25">
      <c r="A73" t="e">
        <f>CUBEMEMBER("pbiazure://api.powerbi.com 6e064a38-7f82-4416-9451-8d82a554b559 Model","[Facilities].[DATIMName].&amp;[Haneti Health Center]")</f>
        <v>#N/A</v>
      </c>
      <c r="B73" t="e">
        <f t="shared" si="6"/>
        <v>#N/A</v>
      </c>
      <c r="C73" t="e">
        <f t="shared" si="6"/>
        <v>#N/A</v>
      </c>
      <c r="D73" t="e">
        <f t="shared" si="6"/>
        <v>#N/A</v>
      </c>
      <c r="E73" t="e">
        <f t="shared" si="6"/>
        <v>#N/A</v>
      </c>
      <c r="F73" t="e">
        <f t="shared" si="6"/>
        <v>#N/A</v>
      </c>
      <c r="G73" t="e">
        <f t="shared" si="6"/>
        <v>#N/A</v>
      </c>
      <c r="H73" t="e">
        <f t="shared" si="6"/>
        <v>#N/A</v>
      </c>
      <c r="I73" t="e">
        <f t="shared" si="6"/>
        <v>#N/A</v>
      </c>
      <c r="J73" t="e">
        <f t="shared" si="6"/>
        <v>#N/A</v>
      </c>
      <c r="K73" t="e">
        <f t="shared" si="6"/>
        <v>#N/A</v>
      </c>
      <c r="L73" t="e">
        <f t="shared" si="6"/>
        <v>#N/A</v>
      </c>
      <c r="M73" t="e">
        <f t="shared" si="6"/>
        <v>#N/A</v>
      </c>
      <c r="N73" t="e">
        <f t="shared" si="6"/>
        <v>#N/A</v>
      </c>
      <c r="O73" t="e">
        <f t="shared" si="6"/>
        <v>#N/A</v>
      </c>
      <c r="P73" t="e">
        <f t="shared" si="6"/>
        <v>#N/A</v>
      </c>
    </row>
    <row r="74" spans="1:16" x14ac:dyDescent="0.25">
      <c r="A74" t="e">
        <f>CUBEMEMBER("pbiazure://api.powerbi.com 6e064a38-7f82-4416-9451-8d82a554b559 Model","[Facilities].[DATIMName].&amp;[Haubi VA Dispensary]")</f>
        <v>#N/A</v>
      </c>
      <c r="B74" t="e">
        <f t="shared" si="6"/>
        <v>#N/A</v>
      </c>
      <c r="C74" t="e">
        <f t="shared" si="6"/>
        <v>#N/A</v>
      </c>
      <c r="D74" t="e">
        <f t="shared" si="6"/>
        <v>#N/A</v>
      </c>
      <c r="E74" t="e">
        <f t="shared" si="6"/>
        <v>#N/A</v>
      </c>
      <c r="F74" t="e">
        <f t="shared" si="6"/>
        <v>#N/A</v>
      </c>
      <c r="G74" t="e">
        <f t="shared" si="6"/>
        <v>#N/A</v>
      </c>
      <c r="H74" t="e">
        <f t="shared" si="6"/>
        <v>#N/A</v>
      </c>
      <c r="I74" t="e">
        <f t="shared" si="6"/>
        <v>#N/A</v>
      </c>
      <c r="J74" t="e">
        <f t="shared" si="6"/>
        <v>#N/A</v>
      </c>
      <c r="K74" t="e">
        <f t="shared" si="6"/>
        <v>#N/A</v>
      </c>
      <c r="L74" t="e">
        <f t="shared" si="6"/>
        <v>#N/A</v>
      </c>
      <c r="M74" t="e">
        <f t="shared" si="6"/>
        <v>#N/A</v>
      </c>
      <c r="N74" t="e">
        <f t="shared" si="6"/>
        <v>#N/A</v>
      </c>
      <c r="O74" t="e">
        <f t="shared" si="6"/>
        <v>#N/A</v>
      </c>
      <c r="P74" t="e">
        <f t="shared" si="6"/>
        <v>#N/A</v>
      </c>
    </row>
    <row r="75" spans="1:16" x14ac:dyDescent="0.25">
      <c r="A75" t="e">
        <f>CUBEMEMBER("pbiazure://api.powerbi.com 6e064a38-7f82-4416-9451-8d82a554b559 Model","[Facilities].[DATIMName].&amp;[Haydarer Dispensary]")</f>
        <v>#N/A</v>
      </c>
      <c r="B75" t="e">
        <f t="shared" ref="B75:P84" si="7">CUBEVALUE("pbiazure://api.powerbi.com 6e064a38-7f82-4416-9451-8d82a554b559 Model",$B$1,$A75,B$4)</f>
        <v>#N/A</v>
      </c>
      <c r="C75" t="e">
        <f t="shared" si="7"/>
        <v>#N/A</v>
      </c>
      <c r="D75" t="e">
        <f t="shared" si="7"/>
        <v>#N/A</v>
      </c>
      <c r="E75" t="e">
        <f t="shared" si="7"/>
        <v>#N/A</v>
      </c>
      <c r="F75" t="e">
        <f t="shared" si="7"/>
        <v>#N/A</v>
      </c>
      <c r="G75" t="e">
        <f t="shared" si="7"/>
        <v>#N/A</v>
      </c>
      <c r="H75" t="e">
        <f t="shared" si="7"/>
        <v>#N/A</v>
      </c>
      <c r="I75" t="e">
        <f t="shared" si="7"/>
        <v>#N/A</v>
      </c>
      <c r="J75" t="e">
        <f t="shared" si="7"/>
        <v>#N/A</v>
      </c>
      <c r="K75" t="e">
        <f t="shared" si="7"/>
        <v>#N/A</v>
      </c>
      <c r="L75" t="e">
        <f t="shared" si="7"/>
        <v>#N/A</v>
      </c>
      <c r="M75" t="e">
        <f t="shared" si="7"/>
        <v>#N/A</v>
      </c>
      <c r="N75" t="e">
        <f t="shared" si="7"/>
        <v>#N/A</v>
      </c>
      <c r="O75" t="e">
        <f t="shared" si="7"/>
        <v>#N/A</v>
      </c>
      <c r="P75" t="e">
        <f t="shared" si="7"/>
        <v>#N/A</v>
      </c>
    </row>
    <row r="76" spans="1:16" x14ac:dyDescent="0.25">
      <c r="A76" t="e">
        <f>CUBEMEMBER("pbiazure://api.powerbi.com 6e064a38-7f82-4416-9451-8d82a554b559 Model","[Facilities].[DATIMName].&amp;[Hedaru Health Center]")</f>
        <v>#N/A</v>
      </c>
      <c r="B76" t="e">
        <f t="shared" si="7"/>
        <v>#N/A</v>
      </c>
      <c r="C76" t="e">
        <f t="shared" si="7"/>
        <v>#N/A</v>
      </c>
      <c r="D76" t="e">
        <f t="shared" si="7"/>
        <v>#N/A</v>
      </c>
      <c r="E76" t="e">
        <f t="shared" si="7"/>
        <v>#N/A</v>
      </c>
      <c r="F76" t="e">
        <f t="shared" si="7"/>
        <v>#N/A</v>
      </c>
      <c r="G76" t="e">
        <f t="shared" si="7"/>
        <v>#N/A</v>
      </c>
      <c r="H76" t="e">
        <f t="shared" si="7"/>
        <v>#N/A</v>
      </c>
      <c r="I76" t="e">
        <f t="shared" si="7"/>
        <v>#N/A</v>
      </c>
      <c r="J76" t="e">
        <f t="shared" si="7"/>
        <v>#N/A</v>
      </c>
      <c r="K76" t="e">
        <f t="shared" si="7"/>
        <v>#N/A</v>
      </c>
      <c r="L76" t="e">
        <f t="shared" si="7"/>
        <v>#N/A</v>
      </c>
      <c r="M76" t="e">
        <f t="shared" si="7"/>
        <v>#N/A</v>
      </c>
      <c r="N76" t="e">
        <f t="shared" si="7"/>
        <v>#N/A</v>
      </c>
      <c r="O76" t="e">
        <f t="shared" si="7"/>
        <v>#N/A</v>
      </c>
      <c r="P76" t="e">
        <f t="shared" si="7"/>
        <v>#N/A</v>
      </c>
    </row>
    <row r="77" spans="1:16" x14ac:dyDescent="0.25">
      <c r="A77" t="e">
        <f>CUBEMEMBER("pbiazure://api.powerbi.com 6e064a38-7f82-4416-9451-8d82a554b559 Model","[Facilities].[DATIMName].&amp;[Himo COG Dispensary]")</f>
        <v>#N/A</v>
      </c>
      <c r="B77" t="e">
        <f t="shared" si="7"/>
        <v>#N/A</v>
      </c>
      <c r="C77" t="e">
        <f t="shared" si="7"/>
        <v>#N/A</v>
      </c>
      <c r="D77" t="e">
        <f t="shared" si="7"/>
        <v>#N/A</v>
      </c>
      <c r="E77" t="e">
        <f t="shared" si="7"/>
        <v>#N/A</v>
      </c>
      <c r="F77" t="e">
        <f t="shared" si="7"/>
        <v>#N/A</v>
      </c>
      <c r="G77" t="e">
        <f t="shared" si="7"/>
        <v>#N/A</v>
      </c>
      <c r="H77" t="e">
        <f t="shared" si="7"/>
        <v>#N/A</v>
      </c>
      <c r="I77" t="e">
        <f t="shared" si="7"/>
        <v>#N/A</v>
      </c>
      <c r="J77" t="e">
        <f t="shared" si="7"/>
        <v>#N/A</v>
      </c>
      <c r="K77" t="e">
        <f t="shared" si="7"/>
        <v>#N/A</v>
      </c>
      <c r="L77" t="e">
        <f t="shared" si="7"/>
        <v>#N/A</v>
      </c>
      <c r="M77" t="e">
        <f t="shared" si="7"/>
        <v>#N/A</v>
      </c>
      <c r="N77" t="e">
        <f t="shared" si="7"/>
        <v>#N/A</v>
      </c>
      <c r="O77" t="e">
        <f t="shared" si="7"/>
        <v>#N/A</v>
      </c>
      <c r="P77" t="e">
        <f t="shared" si="7"/>
        <v>#N/A</v>
      </c>
    </row>
    <row r="78" spans="1:16" x14ac:dyDescent="0.25">
      <c r="A78" t="e">
        <f>CUBEMEMBER("pbiazure://api.powerbi.com 6e064a38-7f82-4416-9451-8d82a554b559 Model","[Facilities].[DATIMName].&amp;[Himo Health Center]")</f>
        <v>#N/A</v>
      </c>
      <c r="B78" t="e">
        <f t="shared" si="7"/>
        <v>#N/A</v>
      </c>
      <c r="C78" t="e">
        <f t="shared" si="7"/>
        <v>#N/A</v>
      </c>
      <c r="D78" t="e">
        <f t="shared" si="7"/>
        <v>#N/A</v>
      </c>
      <c r="E78" t="e">
        <f t="shared" si="7"/>
        <v>#N/A</v>
      </c>
      <c r="F78" t="e">
        <f t="shared" si="7"/>
        <v>#N/A</v>
      </c>
      <c r="G78" t="e">
        <f t="shared" si="7"/>
        <v>#N/A</v>
      </c>
      <c r="H78" t="e">
        <f t="shared" si="7"/>
        <v>#N/A</v>
      </c>
      <c r="I78" t="e">
        <f t="shared" si="7"/>
        <v>#N/A</v>
      </c>
      <c r="J78" t="e">
        <f t="shared" si="7"/>
        <v>#N/A</v>
      </c>
      <c r="K78" t="e">
        <f t="shared" si="7"/>
        <v>#N/A</v>
      </c>
      <c r="L78" t="e">
        <f t="shared" si="7"/>
        <v>#N/A</v>
      </c>
      <c r="M78" t="e">
        <f t="shared" si="7"/>
        <v>#N/A</v>
      </c>
      <c r="N78" t="e">
        <f t="shared" si="7"/>
        <v>#N/A</v>
      </c>
      <c r="O78" t="e">
        <f t="shared" si="7"/>
        <v>#N/A</v>
      </c>
      <c r="P78" t="e">
        <f t="shared" si="7"/>
        <v>#N/A</v>
      </c>
    </row>
    <row r="79" spans="1:16" x14ac:dyDescent="0.25">
      <c r="A79" t="e">
        <f>CUBEMEMBER("pbiazure://api.powerbi.com 6e064a38-7f82-4416-9451-8d82a554b559 Model","[Facilities].[DATIMName].&amp;[Hogoro Dispensary]")</f>
        <v>#N/A</v>
      </c>
      <c r="B79" t="e">
        <f t="shared" si="7"/>
        <v>#N/A</v>
      </c>
      <c r="C79" t="e">
        <f t="shared" si="7"/>
        <v>#N/A</v>
      </c>
      <c r="D79" t="e">
        <f t="shared" si="7"/>
        <v>#N/A</v>
      </c>
      <c r="E79" t="e">
        <f t="shared" si="7"/>
        <v>#N/A</v>
      </c>
      <c r="F79" t="e">
        <f t="shared" si="7"/>
        <v>#N/A</v>
      </c>
      <c r="G79" t="e">
        <f t="shared" si="7"/>
        <v>#N/A</v>
      </c>
      <c r="H79" t="e">
        <f t="shared" si="7"/>
        <v>#N/A</v>
      </c>
      <c r="I79" t="e">
        <f t="shared" si="7"/>
        <v>#N/A</v>
      </c>
      <c r="J79" t="e">
        <f t="shared" si="7"/>
        <v>#N/A</v>
      </c>
      <c r="K79" t="e">
        <f t="shared" si="7"/>
        <v>#N/A</v>
      </c>
      <c r="L79" t="e">
        <f t="shared" si="7"/>
        <v>#N/A</v>
      </c>
      <c r="M79" t="e">
        <f t="shared" si="7"/>
        <v>#N/A</v>
      </c>
      <c r="N79" t="e">
        <f t="shared" si="7"/>
        <v>#N/A</v>
      </c>
      <c r="O79" t="e">
        <f t="shared" si="7"/>
        <v>#N/A</v>
      </c>
      <c r="P79" t="e">
        <f t="shared" si="7"/>
        <v>#N/A</v>
      </c>
    </row>
    <row r="80" spans="1:16" x14ac:dyDescent="0.25">
      <c r="A80" t="e">
        <f>CUBEMEMBER("pbiazure://api.powerbi.com 6e064a38-7f82-4416-9451-8d82a554b559 Model","[Facilities].[DATIMName].&amp;[Holili Health Centre Dispensary]")</f>
        <v>#N/A</v>
      </c>
      <c r="B80" t="e">
        <f t="shared" si="7"/>
        <v>#N/A</v>
      </c>
      <c r="C80" t="e">
        <f t="shared" si="7"/>
        <v>#N/A</v>
      </c>
      <c r="D80" t="e">
        <f t="shared" si="7"/>
        <v>#N/A</v>
      </c>
      <c r="E80" t="e">
        <f t="shared" si="7"/>
        <v>#N/A</v>
      </c>
      <c r="F80" t="e">
        <f t="shared" si="7"/>
        <v>#N/A</v>
      </c>
      <c r="G80" t="e">
        <f t="shared" si="7"/>
        <v>#N/A</v>
      </c>
      <c r="H80" t="e">
        <f t="shared" si="7"/>
        <v>#N/A</v>
      </c>
      <c r="I80" t="e">
        <f t="shared" si="7"/>
        <v>#N/A</v>
      </c>
      <c r="J80" t="e">
        <f t="shared" si="7"/>
        <v>#N/A</v>
      </c>
      <c r="K80" t="e">
        <f t="shared" si="7"/>
        <v>#N/A</v>
      </c>
      <c r="L80" t="e">
        <f t="shared" si="7"/>
        <v>#N/A</v>
      </c>
      <c r="M80" t="e">
        <f t="shared" si="7"/>
        <v>#N/A</v>
      </c>
      <c r="N80" t="e">
        <f t="shared" si="7"/>
        <v>#N/A</v>
      </c>
      <c r="O80" t="e">
        <f t="shared" si="7"/>
        <v>#N/A</v>
      </c>
      <c r="P80" t="e">
        <f t="shared" si="7"/>
        <v>#N/A</v>
      </c>
    </row>
    <row r="81" spans="1:16" x14ac:dyDescent="0.25">
      <c r="A81" t="e">
        <f>CUBEMEMBER("pbiazure://api.powerbi.com 6e064a38-7f82-4416-9451-8d82a554b559 Model","[Facilities].[DATIMName].&amp;[Hombolo Health Center]")</f>
        <v>#N/A</v>
      </c>
      <c r="B81" t="e">
        <f t="shared" si="7"/>
        <v>#N/A</v>
      </c>
      <c r="C81" t="e">
        <f t="shared" si="7"/>
        <v>#N/A</v>
      </c>
      <c r="D81" t="e">
        <f t="shared" si="7"/>
        <v>#N/A</v>
      </c>
      <c r="E81" t="e">
        <f t="shared" si="7"/>
        <v>#N/A</v>
      </c>
      <c r="F81" t="e">
        <f t="shared" si="7"/>
        <v>#N/A</v>
      </c>
      <c r="G81" t="e">
        <f t="shared" si="7"/>
        <v>#N/A</v>
      </c>
      <c r="H81" t="e">
        <f t="shared" si="7"/>
        <v>#N/A</v>
      </c>
      <c r="I81" t="e">
        <f t="shared" si="7"/>
        <v>#N/A</v>
      </c>
      <c r="J81" t="e">
        <f t="shared" si="7"/>
        <v>#N/A</v>
      </c>
      <c r="K81" t="e">
        <f t="shared" si="7"/>
        <v>#N/A</v>
      </c>
      <c r="L81" t="e">
        <f t="shared" si="7"/>
        <v>#N/A</v>
      </c>
      <c r="M81" t="e">
        <f t="shared" si="7"/>
        <v>#N/A</v>
      </c>
      <c r="N81" t="e">
        <f t="shared" si="7"/>
        <v>#N/A</v>
      </c>
      <c r="O81" t="e">
        <f t="shared" si="7"/>
        <v>#N/A</v>
      </c>
      <c r="P81" t="e">
        <f t="shared" si="7"/>
        <v>#N/A</v>
      </c>
    </row>
    <row r="82" spans="1:16" x14ac:dyDescent="0.25">
      <c r="A82" t="e">
        <f>CUBEMEMBER("pbiazure://api.powerbi.com 6e064a38-7f82-4416-9451-8d82a554b559 Model","[Facilities].[DATIMName].&amp;[Hombolo Makulu Dispensary]")</f>
        <v>#N/A</v>
      </c>
      <c r="B82" t="e">
        <f t="shared" si="7"/>
        <v>#N/A</v>
      </c>
      <c r="C82" t="e">
        <f t="shared" si="7"/>
        <v>#N/A</v>
      </c>
      <c r="D82" t="e">
        <f t="shared" si="7"/>
        <v>#N/A</v>
      </c>
      <c r="E82" t="e">
        <f t="shared" si="7"/>
        <v>#N/A</v>
      </c>
      <c r="F82" t="e">
        <f t="shared" si="7"/>
        <v>#N/A</v>
      </c>
      <c r="G82" t="e">
        <f t="shared" si="7"/>
        <v>#N/A</v>
      </c>
      <c r="H82" t="e">
        <f t="shared" si="7"/>
        <v>#N/A</v>
      </c>
      <c r="I82" t="e">
        <f t="shared" si="7"/>
        <v>#N/A</v>
      </c>
      <c r="J82" t="e">
        <f t="shared" si="7"/>
        <v>#N/A</v>
      </c>
      <c r="K82" t="e">
        <f t="shared" si="7"/>
        <v>#N/A</v>
      </c>
      <c r="L82" t="e">
        <f t="shared" si="7"/>
        <v>#N/A</v>
      </c>
      <c r="M82" t="e">
        <f t="shared" si="7"/>
        <v>#N/A</v>
      </c>
      <c r="N82" t="e">
        <f t="shared" si="7"/>
        <v>#N/A</v>
      </c>
      <c r="O82" t="e">
        <f t="shared" si="7"/>
        <v>#N/A</v>
      </c>
      <c r="P82" t="e">
        <f t="shared" si="7"/>
        <v>#N/A</v>
      </c>
    </row>
    <row r="83" spans="1:16" x14ac:dyDescent="0.25">
      <c r="A83" t="e">
        <f>CUBEMEMBER("pbiazure://api.powerbi.com 6e064a38-7f82-4416-9451-8d82a554b559 Model","[Facilities].[DATIMName].&amp;[Huruma Hospital - Designated District Hospital]")</f>
        <v>#N/A</v>
      </c>
      <c r="B83" t="e">
        <f t="shared" si="7"/>
        <v>#N/A</v>
      </c>
      <c r="C83" t="e">
        <f t="shared" si="7"/>
        <v>#N/A</v>
      </c>
      <c r="D83" t="e">
        <f t="shared" si="7"/>
        <v>#N/A</v>
      </c>
      <c r="E83" t="e">
        <f t="shared" si="7"/>
        <v>#N/A</v>
      </c>
      <c r="F83" t="e">
        <f t="shared" si="7"/>
        <v>#N/A</v>
      </c>
      <c r="G83" t="e">
        <f t="shared" si="7"/>
        <v>#N/A</v>
      </c>
      <c r="H83" t="e">
        <f t="shared" si="7"/>
        <v>#N/A</v>
      </c>
      <c r="I83" t="e">
        <f t="shared" si="7"/>
        <v>#N/A</v>
      </c>
      <c r="J83" t="e">
        <f t="shared" si="7"/>
        <v>#N/A</v>
      </c>
      <c r="K83" t="e">
        <f t="shared" si="7"/>
        <v>#N/A</v>
      </c>
      <c r="L83" t="e">
        <f t="shared" si="7"/>
        <v>#N/A</v>
      </c>
      <c r="M83" t="e">
        <f t="shared" si="7"/>
        <v>#N/A</v>
      </c>
      <c r="N83" t="e">
        <f t="shared" si="7"/>
        <v>#N/A</v>
      </c>
      <c r="O83" t="e">
        <f t="shared" si="7"/>
        <v>#N/A</v>
      </c>
      <c r="P83" t="e">
        <f t="shared" si="7"/>
        <v>#N/A</v>
      </c>
    </row>
    <row r="84" spans="1:16" x14ac:dyDescent="0.25">
      <c r="A84" t="e">
        <f>CUBEMEMBER("pbiazure://api.powerbi.com 6e064a38-7f82-4416-9451-8d82a554b559 Model","[Facilities].[DATIMName].&amp;[Huruma Kimandolu Dispensary]")</f>
        <v>#N/A</v>
      </c>
      <c r="B84" t="e">
        <f t="shared" si="7"/>
        <v>#N/A</v>
      </c>
      <c r="C84" t="e">
        <f t="shared" si="7"/>
        <v>#N/A</v>
      </c>
      <c r="D84" t="e">
        <f t="shared" si="7"/>
        <v>#N/A</v>
      </c>
      <c r="E84" t="e">
        <f t="shared" si="7"/>
        <v>#N/A</v>
      </c>
      <c r="F84" t="e">
        <f t="shared" si="7"/>
        <v>#N/A</v>
      </c>
      <c r="G84" t="e">
        <f t="shared" si="7"/>
        <v>#N/A</v>
      </c>
      <c r="H84" t="e">
        <f t="shared" si="7"/>
        <v>#N/A</v>
      </c>
      <c r="I84" t="e">
        <f t="shared" si="7"/>
        <v>#N/A</v>
      </c>
      <c r="J84" t="e">
        <f t="shared" si="7"/>
        <v>#N/A</v>
      </c>
      <c r="K84" t="e">
        <f t="shared" si="7"/>
        <v>#N/A</v>
      </c>
      <c r="L84" t="e">
        <f t="shared" si="7"/>
        <v>#N/A</v>
      </c>
      <c r="M84" t="e">
        <f t="shared" si="7"/>
        <v>#N/A</v>
      </c>
      <c r="N84" t="e">
        <f t="shared" si="7"/>
        <v>#N/A</v>
      </c>
      <c r="O84" t="e">
        <f t="shared" si="7"/>
        <v>#N/A</v>
      </c>
      <c r="P84" t="e">
        <f t="shared" si="7"/>
        <v>#N/A</v>
      </c>
    </row>
    <row r="85" spans="1:16" x14ac:dyDescent="0.25">
      <c r="A85" t="e">
        <f>CUBEMEMBER("pbiazure://api.powerbi.com 6e064a38-7f82-4416-9451-8d82a554b559 Model","[Facilities].[DATIMName].&amp;[Hydom Hospital - Referral Hospital]")</f>
        <v>#N/A</v>
      </c>
      <c r="B85" t="e">
        <f t="shared" ref="B85:P94" si="8">CUBEVALUE("pbiazure://api.powerbi.com 6e064a38-7f82-4416-9451-8d82a554b559 Model",$B$1,$A85,B$4)</f>
        <v>#N/A</v>
      </c>
      <c r="C85" t="e">
        <f t="shared" si="8"/>
        <v>#N/A</v>
      </c>
      <c r="D85" t="e">
        <f t="shared" si="8"/>
        <v>#N/A</v>
      </c>
      <c r="E85" t="e">
        <f t="shared" si="8"/>
        <v>#N/A</v>
      </c>
      <c r="F85" t="e">
        <f t="shared" si="8"/>
        <v>#N/A</v>
      </c>
      <c r="G85" t="e">
        <f t="shared" si="8"/>
        <v>#N/A</v>
      </c>
      <c r="H85" t="e">
        <f t="shared" si="8"/>
        <v>#N/A</v>
      </c>
      <c r="I85" t="e">
        <f t="shared" si="8"/>
        <v>#N/A</v>
      </c>
      <c r="J85" t="e">
        <f t="shared" si="8"/>
        <v>#N/A</v>
      </c>
      <c r="K85" t="e">
        <f t="shared" si="8"/>
        <v>#N/A</v>
      </c>
      <c r="L85" t="e">
        <f t="shared" si="8"/>
        <v>#N/A</v>
      </c>
      <c r="M85" t="e">
        <f t="shared" si="8"/>
        <v>#N/A</v>
      </c>
      <c r="N85" t="e">
        <f t="shared" si="8"/>
        <v>#N/A</v>
      </c>
      <c r="O85" t="e">
        <f t="shared" si="8"/>
        <v>#N/A</v>
      </c>
      <c r="P85" t="e">
        <f t="shared" si="8"/>
        <v>#N/A</v>
      </c>
    </row>
    <row r="86" spans="1:16" x14ac:dyDescent="0.25">
      <c r="A86" t="e">
        <f>CUBEMEMBER("pbiazure://api.powerbi.com 6e064a38-7f82-4416-9451-8d82a554b559 Model","[Facilities].[DATIMName].&amp;[Iambi ELCT Hospital - Other Hospital]")</f>
        <v>#N/A</v>
      </c>
      <c r="B86" t="e">
        <f t="shared" si="8"/>
        <v>#N/A</v>
      </c>
      <c r="C86" t="e">
        <f t="shared" si="8"/>
        <v>#N/A</v>
      </c>
      <c r="D86" t="e">
        <f t="shared" si="8"/>
        <v>#N/A</v>
      </c>
      <c r="E86" t="e">
        <f t="shared" si="8"/>
        <v>#N/A</v>
      </c>
      <c r="F86" t="e">
        <f t="shared" si="8"/>
        <v>#N/A</v>
      </c>
      <c r="G86" t="e">
        <f t="shared" si="8"/>
        <v>#N/A</v>
      </c>
      <c r="H86" t="e">
        <f t="shared" si="8"/>
        <v>#N/A</v>
      </c>
      <c r="I86" t="e">
        <f t="shared" si="8"/>
        <v>#N/A</v>
      </c>
      <c r="J86" t="e">
        <f t="shared" si="8"/>
        <v>#N/A</v>
      </c>
      <c r="K86" t="e">
        <f t="shared" si="8"/>
        <v>#N/A</v>
      </c>
      <c r="L86" t="e">
        <f t="shared" si="8"/>
        <v>#N/A</v>
      </c>
      <c r="M86" t="e">
        <f t="shared" si="8"/>
        <v>#N/A</v>
      </c>
      <c r="N86" t="e">
        <f t="shared" si="8"/>
        <v>#N/A</v>
      </c>
      <c r="O86" t="e">
        <f t="shared" si="8"/>
        <v>#N/A</v>
      </c>
      <c r="P86" t="e">
        <f t="shared" si="8"/>
        <v>#N/A</v>
      </c>
    </row>
    <row r="87" spans="1:16" x14ac:dyDescent="0.25">
      <c r="A87" t="e">
        <f>CUBEMEMBER("pbiazure://api.powerbi.com 6e064a38-7f82-4416-9451-8d82a554b559 Model","[Facilities].[DATIMName].&amp;[Ibihwa Dispensary]")</f>
        <v>#N/A</v>
      </c>
      <c r="B87" t="e">
        <f t="shared" si="8"/>
        <v>#N/A</v>
      </c>
      <c r="C87" t="e">
        <f t="shared" si="8"/>
        <v>#N/A</v>
      </c>
      <c r="D87" t="e">
        <f t="shared" si="8"/>
        <v>#N/A</v>
      </c>
      <c r="E87" t="e">
        <f t="shared" si="8"/>
        <v>#N/A</v>
      </c>
      <c r="F87" t="e">
        <f t="shared" si="8"/>
        <v>#N/A</v>
      </c>
      <c r="G87" t="e">
        <f t="shared" si="8"/>
        <v>#N/A</v>
      </c>
      <c r="H87" t="e">
        <f t="shared" si="8"/>
        <v>#N/A</v>
      </c>
      <c r="I87" t="e">
        <f t="shared" si="8"/>
        <v>#N/A</v>
      </c>
      <c r="J87" t="e">
        <f t="shared" si="8"/>
        <v>#N/A</v>
      </c>
      <c r="K87" t="e">
        <f t="shared" si="8"/>
        <v>#N/A</v>
      </c>
      <c r="L87" t="e">
        <f t="shared" si="8"/>
        <v>#N/A</v>
      </c>
      <c r="M87" t="e">
        <f t="shared" si="8"/>
        <v>#N/A</v>
      </c>
      <c r="N87" t="e">
        <f t="shared" si="8"/>
        <v>#N/A</v>
      </c>
      <c r="O87" t="e">
        <f t="shared" si="8"/>
        <v>#N/A</v>
      </c>
      <c r="P87" t="e">
        <f t="shared" si="8"/>
        <v>#N/A</v>
      </c>
    </row>
    <row r="88" spans="1:16" x14ac:dyDescent="0.25">
      <c r="A88" t="e">
        <f>CUBEMEMBER("pbiazure://api.powerbi.com 6e064a38-7f82-4416-9451-8d82a554b559 Model","[Facilities].[DATIMName].&amp;[Ibugule Dispensary]")</f>
        <v>#N/A</v>
      </c>
      <c r="B88" t="e">
        <f t="shared" si="8"/>
        <v>#N/A</v>
      </c>
      <c r="C88" t="e">
        <f t="shared" si="8"/>
        <v>#N/A</v>
      </c>
      <c r="D88" t="e">
        <f t="shared" si="8"/>
        <v>#N/A</v>
      </c>
      <c r="E88" t="e">
        <f t="shared" si="8"/>
        <v>#N/A</v>
      </c>
      <c r="F88" t="e">
        <f t="shared" si="8"/>
        <v>#N/A</v>
      </c>
      <c r="G88" t="e">
        <f t="shared" si="8"/>
        <v>#N/A</v>
      </c>
      <c r="H88" t="e">
        <f t="shared" si="8"/>
        <v>#N/A</v>
      </c>
      <c r="I88" t="e">
        <f t="shared" si="8"/>
        <v>#N/A</v>
      </c>
      <c r="J88" t="e">
        <f t="shared" si="8"/>
        <v>#N/A</v>
      </c>
      <c r="K88" t="e">
        <f t="shared" si="8"/>
        <v>#N/A</v>
      </c>
      <c r="L88" t="e">
        <f t="shared" si="8"/>
        <v>#N/A</v>
      </c>
      <c r="M88" t="e">
        <f t="shared" si="8"/>
        <v>#N/A</v>
      </c>
      <c r="N88" t="e">
        <f t="shared" si="8"/>
        <v>#N/A</v>
      </c>
      <c r="O88" t="e">
        <f t="shared" si="8"/>
        <v>#N/A</v>
      </c>
      <c r="P88" t="e">
        <f t="shared" si="8"/>
        <v>#N/A</v>
      </c>
    </row>
    <row r="89" spans="1:16" x14ac:dyDescent="0.25">
      <c r="A89" t="e">
        <f>CUBEMEMBER("pbiazure://api.powerbi.com 6e064a38-7f82-4416-9451-8d82a554b559 Model","[Facilities].[DATIMName].&amp;[Ibwaga Dispensary]")</f>
        <v>#N/A</v>
      </c>
      <c r="B89" t="e">
        <f t="shared" si="8"/>
        <v>#N/A</v>
      </c>
      <c r="C89" t="e">
        <f t="shared" si="8"/>
        <v>#N/A</v>
      </c>
      <c r="D89" t="e">
        <f t="shared" si="8"/>
        <v>#N/A</v>
      </c>
      <c r="E89" t="e">
        <f t="shared" si="8"/>
        <v>#N/A</v>
      </c>
      <c r="F89" t="e">
        <f t="shared" si="8"/>
        <v>#N/A</v>
      </c>
      <c r="G89" t="e">
        <f t="shared" si="8"/>
        <v>#N/A</v>
      </c>
      <c r="H89" t="e">
        <f t="shared" si="8"/>
        <v>#N/A</v>
      </c>
      <c r="I89" t="e">
        <f t="shared" si="8"/>
        <v>#N/A</v>
      </c>
      <c r="J89" t="e">
        <f t="shared" si="8"/>
        <v>#N/A</v>
      </c>
      <c r="K89" t="e">
        <f t="shared" si="8"/>
        <v>#N/A</v>
      </c>
      <c r="L89" t="e">
        <f t="shared" si="8"/>
        <v>#N/A</v>
      </c>
      <c r="M89" t="e">
        <f t="shared" si="8"/>
        <v>#N/A</v>
      </c>
      <c r="N89" t="e">
        <f t="shared" si="8"/>
        <v>#N/A</v>
      </c>
      <c r="O89" t="e">
        <f t="shared" si="8"/>
        <v>#N/A</v>
      </c>
      <c r="P89" t="e">
        <f t="shared" si="8"/>
        <v>#N/A</v>
      </c>
    </row>
    <row r="90" spans="1:16" x14ac:dyDescent="0.25">
      <c r="A90" t="e">
        <f>CUBEMEMBER("pbiazure://api.powerbi.com 6e064a38-7f82-4416-9451-8d82a554b559 Model","[Facilities].[DATIMName].&amp;[Idodyandole Dispensary]")</f>
        <v>#N/A</v>
      </c>
      <c r="B90" t="e">
        <f t="shared" si="8"/>
        <v>#N/A</v>
      </c>
      <c r="C90" t="e">
        <f t="shared" si="8"/>
        <v>#N/A</v>
      </c>
      <c r="D90" t="e">
        <f t="shared" si="8"/>
        <v>#N/A</v>
      </c>
      <c r="E90" t="e">
        <f t="shared" si="8"/>
        <v>#N/A</v>
      </c>
      <c r="F90" t="e">
        <f t="shared" si="8"/>
        <v>#N/A</v>
      </c>
      <c r="G90" t="e">
        <f t="shared" si="8"/>
        <v>#N/A</v>
      </c>
      <c r="H90" t="e">
        <f t="shared" si="8"/>
        <v>#N/A</v>
      </c>
      <c r="I90" t="e">
        <f t="shared" si="8"/>
        <v>#N/A</v>
      </c>
      <c r="J90" t="e">
        <f t="shared" si="8"/>
        <v>#N/A</v>
      </c>
      <c r="K90" t="e">
        <f t="shared" si="8"/>
        <v>#N/A</v>
      </c>
      <c r="L90" t="e">
        <f t="shared" si="8"/>
        <v>#N/A</v>
      </c>
      <c r="M90" t="e">
        <f t="shared" si="8"/>
        <v>#N/A</v>
      </c>
      <c r="N90" t="e">
        <f t="shared" si="8"/>
        <v>#N/A</v>
      </c>
      <c r="O90" t="e">
        <f t="shared" si="8"/>
        <v>#N/A</v>
      </c>
      <c r="P90" t="e">
        <f t="shared" si="8"/>
        <v>#N/A</v>
      </c>
    </row>
    <row r="91" spans="1:16" x14ac:dyDescent="0.25">
      <c r="A91" t="e">
        <f>CUBEMEMBER("pbiazure://api.powerbi.com 6e064a38-7f82-4416-9451-8d82a554b559 Model","[Facilities].[DATIMName].&amp;[Iduo Dispensary]")</f>
        <v>#N/A</v>
      </c>
      <c r="B91" t="e">
        <f t="shared" si="8"/>
        <v>#N/A</v>
      </c>
      <c r="C91" t="e">
        <f t="shared" si="8"/>
        <v>#N/A</v>
      </c>
      <c r="D91" t="e">
        <f t="shared" si="8"/>
        <v>#N/A</v>
      </c>
      <c r="E91" t="e">
        <f t="shared" si="8"/>
        <v>#N/A</v>
      </c>
      <c r="F91" t="e">
        <f t="shared" si="8"/>
        <v>#N/A</v>
      </c>
      <c r="G91" t="e">
        <f t="shared" si="8"/>
        <v>#N/A</v>
      </c>
      <c r="H91" t="e">
        <f t="shared" si="8"/>
        <v>#N/A</v>
      </c>
      <c r="I91" t="e">
        <f t="shared" si="8"/>
        <v>#N/A</v>
      </c>
      <c r="J91" t="e">
        <f t="shared" si="8"/>
        <v>#N/A</v>
      </c>
      <c r="K91" t="e">
        <f t="shared" si="8"/>
        <v>#N/A</v>
      </c>
      <c r="L91" t="e">
        <f t="shared" si="8"/>
        <v>#N/A</v>
      </c>
      <c r="M91" t="e">
        <f t="shared" si="8"/>
        <v>#N/A</v>
      </c>
      <c r="N91" t="e">
        <f t="shared" si="8"/>
        <v>#N/A</v>
      </c>
      <c r="O91" t="e">
        <f t="shared" si="8"/>
        <v>#N/A</v>
      </c>
      <c r="P91" t="e">
        <f t="shared" si="8"/>
        <v>#N/A</v>
      </c>
    </row>
    <row r="92" spans="1:16" x14ac:dyDescent="0.25">
      <c r="A92" t="e">
        <f>CUBEMEMBER("pbiazure://api.powerbi.com 6e064a38-7f82-4416-9451-8d82a554b559 Model","[Facilities].[DATIMName].&amp;[Iguguno R.C Dispensary]")</f>
        <v>#N/A</v>
      </c>
      <c r="B92" t="e">
        <f t="shared" si="8"/>
        <v>#N/A</v>
      </c>
      <c r="C92" t="e">
        <f t="shared" si="8"/>
        <v>#N/A</v>
      </c>
      <c r="D92" t="e">
        <f t="shared" si="8"/>
        <v>#N/A</v>
      </c>
      <c r="E92" t="e">
        <f t="shared" si="8"/>
        <v>#N/A</v>
      </c>
      <c r="F92" t="e">
        <f t="shared" si="8"/>
        <v>#N/A</v>
      </c>
      <c r="G92" t="e">
        <f t="shared" si="8"/>
        <v>#N/A</v>
      </c>
      <c r="H92" t="e">
        <f t="shared" si="8"/>
        <v>#N/A</v>
      </c>
      <c r="I92" t="e">
        <f t="shared" si="8"/>
        <v>#N/A</v>
      </c>
      <c r="J92" t="e">
        <f t="shared" si="8"/>
        <v>#N/A</v>
      </c>
      <c r="K92" t="e">
        <f t="shared" si="8"/>
        <v>#N/A</v>
      </c>
      <c r="L92" t="e">
        <f t="shared" si="8"/>
        <v>#N/A</v>
      </c>
      <c r="M92" t="e">
        <f t="shared" si="8"/>
        <v>#N/A</v>
      </c>
      <c r="N92" t="e">
        <f t="shared" si="8"/>
        <v>#N/A</v>
      </c>
      <c r="O92" t="e">
        <f t="shared" si="8"/>
        <v>#N/A</v>
      </c>
      <c r="P92" t="e">
        <f t="shared" si="8"/>
        <v>#N/A</v>
      </c>
    </row>
    <row r="93" spans="1:16" x14ac:dyDescent="0.25">
      <c r="A93" t="e">
        <f>CUBEMEMBER("pbiazure://api.powerbi.com 6e064a38-7f82-4416-9451-8d82a554b559 Model","[Facilities].[DATIMName].&amp;[Ihanja Health Center]")</f>
        <v>#N/A</v>
      </c>
      <c r="B93" t="e">
        <f t="shared" si="8"/>
        <v>#N/A</v>
      </c>
      <c r="C93" t="e">
        <f t="shared" si="8"/>
        <v>#N/A</v>
      </c>
      <c r="D93" t="e">
        <f t="shared" si="8"/>
        <v>#N/A</v>
      </c>
      <c r="E93" t="e">
        <f t="shared" si="8"/>
        <v>#N/A</v>
      </c>
      <c r="F93" t="e">
        <f t="shared" si="8"/>
        <v>#N/A</v>
      </c>
      <c r="G93" t="e">
        <f t="shared" si="8"/>
        <v>#N/A</v>
      </c>
      <c r="H93" t="e">
        <f t="shared" si="8"/>
        <v>#N/A</v>
      </c>
      <c r="I93" t="e">
        <f t="shared" si="8"/>
        <v>#N/A</v>
      </c>
      <c r="J93" t="e">
        <f t="shared" si="8"/>
        <v>#N/A</v>
      </c>
      <c r="K93" t="e">
        <f t="shared" si="8"/>
        <v>#N/A</v>
      </c>
      <c r="L93" t="e">
        <f t="shared" si="8"/>
        <v>#N/A</v>
      </c>
      <c r="M93" t="e">
        <f t="shared" si="8"/>
        <v>#N/A</v>
      </c>
      <c r="N93" t="e">
        <f t="shared" si="8"/>
        <v>#N/A</v>
      </c>
      <c r="O93" t="e">
        <f t="shared" si="8"/>
        <v>#N/A</v>
      </c>
      <c r="P93" t="e">
        <f t="shared" si="8"/>
        <v>#N/A</v>
      </c>
    </row>
    <row r="94" spans="1:16" x14ac:dyDescent="0.25">
      <c r="A94" t="e">
        <f>CUBEMEMBER("pbiazure://api.powerbi.com 6e064a38-7f82-4416-9451-8d82a554b559 Model","[Facilities].[DATIMName].&amp;[Ihumwa Dispensary]")</f>
        <v>#N/A</v>
      </c>
      <c r="B94" t="e">
        <f t="shared" si="8"/>
        <v>#N/A</v>
      </c>
      <c r="C94" t="e">
        <f t="shared" si="8"/>
        <v>#N/A</v>
      </c>
      <c r="D94" t="e">
        <f t="shared" si="8"/>
        <v>#N/A</v>
      </c>
      <c r="E94" t="e">
        <f t="shared" si="8"/>
        <v>#N/A</v>
      </c>
      <c r="F94" t="e">
        <f t="shared" si="8"/>
        <v>#N/A</v>
      </c>
      <c r="G94" t="e">
        <f t="shared" si="8"/>
        <v>#N/A</v>
      </c>
      <c r="H94" t="e">
        <f t="shared" si="8"/>
        <v>#N/A</v>
      </c>
      <c r="I94" t="e">
        <f t="shared" si="8"/>
        <v>#N/A</v>
      </c>
      <c r="J94" t="e">
        <f t="shared" si="8"/>
        <v>#N/A</v>
      </c>
      <c r="K94" t="e">
        <f t="shared" si="8"/>
        <v>#N/A</v>
      </c>
      <c r="L94" t="e">
        <f t="shared" si="8"/>
        <v>#N/A</v>
      </c>
      <c r="M94" t="e">
        <f t="shared" si="8"/>
        <v>#N/A</v>
      </c>
      <c r="N94" t="e">
        <f t="shared" si="8"/>
        <v>#N/A</v>
      </c>
      <c r="O94" t="e">
        <f t="shared" si="8"/>
        <v>#N/A</v>
      </c>
      <c r="P94" t="e">
        <f t="shared" si="8"/>
        <v>#N/A</v>
      </c>
    </row>
    <row r="95" spans="1:16" x14ac:dyDescent="0.25">
      <c r="A95" t="e">
        <f>CUBEMEMBER("pbiazure://api.powerbi.com 6e064a38-7f82-4416-9451-8d82a554b559 Model","[Facilities].[DATIMName].&amp;[Ikungi Health Center]")</f>
        <v>#N/A</v>
      </c>
      <c r="B95" t="e">
        <f t="shared" ref="B95:P104" si="9">CUBEVALUE("pbiazure://api.powerbi.com 6e064a38-7f82-4416-9451-8d82a554b559 Model",$B$1,$A95,B$4)</f>
        <v>#N/A</v>
      </c>
      <c r="C95" t="e">
        <f t="shared" si="9"/>
        <v>#N/A</v>
      </c>
      <c r="D95" t="e">
        <f t="shared" si="9"/>
        <v>#N/A</v>
      </c>
      <c r="E95" t="e">
        <f t="shared" si="9"/>
        <v>#N/A</v>
      </c>
      <c r="F95" t="e">
        <f t="shared" si="9"/>
        <v>#N/A</v>
      </c>
      <c r="G95" t="e">
        <f t="shared" si="9"/>
        <v>#N/A</v>
      </c>
      <c r="H95" t="e">
        <f t="shared" si="9"/>
        <v>#N/A</v>
      </c>
      <c r="I95" t="e">
        <f t="shared" si="9"/>
        <v>#N/A</v>
      </c>
      <c r="J95" t="e">
        <f t="shared" si="9"/>
        <v>#N/A</v>
      </c>
      <c r="K95" t="e">
        <f t="shared" si="9"/>
        <v>#N/A</v>
      </c>
      <c r="L95" t="e">
        <f t="shared" si="9"/>
        <v>#N/A</v>
      </c>
      <c r="M95" t="e">
        <f t="shared" si="9"/>
        <v>#N/A</v>
      </c>
      <c r="N95" t="e">
        <f t="shared" si="9"/>
        <v>#N/A</v>
      </c>
      <c r="O95" t="e">
        <f t="shared" si="9"/>
        <v>#N/A</v>
      </c>
      <c r="P95" t="e">
        <f t="shared" si="9"/>
        <v>#N/A</v>
      </c>
    </row>
    <row r="96" spans="1:16" x14ac:dyDescent="0.25">
      <c r="A96" t="e">
        <f>CUBEMEMBER("pbiazure://api.powerbi.com 6e064a38-7f82-4416-9451-8d82a554b559 Model","[Facilities].[DATIMName].&amp;[Ilongero Health Center]")</f>
        <v>#N/A</v>
      </c>
      <c r="B96" t="e">
        <f t="shared" si="9"/>
        <v>#N/A</v>
      </c>
      <c r="C96" t="e">
        <f t="shared" si="9"/>
        <v>#N/A</v>
      </c>
      <c r="D96" t="e">
        <f t="shared" si="9"/>
        <v>#N/A</v>
      </c>
      <c r="E96" t="e">
        <f t="shared" si="9"/>
        <v>#N/A</v>
      </c>
      <c r="F96" t="e">
        <f t="shared" si="9"/>
        <v>#N/A</v>
      </c>
      <c r="G96" t="e">
        <f t="shared" si="9"/>
        <v>#N/A</v>
      </c>
      <c r="H96" t="e">
        <f t="shared" si="9"/>
        <v>#N/A</v>
      </c>
      <c r="I96" t="e">
        <f t="shared" si="9"/>
        <v>#N/A</v>
      </c>
      <c r="J96" t="e">
        <f t="shared" si="9"/>
        <v>#N/A</v>
      </c>
      <c r="K96" t="e">
        <f t="shared" si="9"/>
        <v>#N/A</v>
      </c>
      <c r="L96" t="e">
        <f t="shared" si="9"/>
        <v>#N/A</v>
      </c>
      <c r="M96" t="e">
        <f t="shared" si="9"/>
        <v>#N/A</v>
      </c>
      <c r="N96" t="e">
        <f t="shared" si="9"/>
        <v>#N/A</v>
      </c>
      <c r="O96" t="e">
        <f t="shared" si="9"/>
        <v>#N/A</v>
      </c>
      <c r="P96" t="e">
        <f t="shared" si="9"/>
        <v>#N/A</v>
      </c>
    </row>
    <row r="97" spans="1:16" x14ac:dyDescent="0.25">
      <c r="A97" t="e">
        <f>CUBEMEMBER("pbiazure://api.powerbi.com 6e064a38-7f82-4416-9451-8d82a554b559 Model","[Facilities].[DATIMName].&amp;[Inzomvu Dispensary]")</f>
        <v>#N/A</v>
      </c>
      <c r="B97" t="e">
        <f t="shared" si="9"/>
        <v>#N/A</v>
      </c>
      <c r="C97" t="e">
        <f t="shared" si="9"/>
        <v>#N/A</v>
      </c>
      <c r="D97" t="e">
        <f t="shared" si="9"/>
        <v>#N/A</v>
      </c>
      <c r="E97" t="e">
        <f t="shared" si="9"/>
        <v>#N/A</v>
      </c>
      <c r="F97" t="e">
        <f t="shared" si="9"/>
        <v>#N/A</v>
      </c>
      <c r="G97" t="e">
        <f t="shared" si="9"/>
        <v>#N/A</v>
      </c>
      <c r="H97" t="e">
        <f t="shared" si="9"/>
        <v>#N/A</v>
      </c>
      <c r="I97" t="e">
        <f t="shared" si="9"/>
        <v>#N/A</v>
      </c>
      <c r="J97" t="e">
        <f t="shared" si="9"/>
        <v>#N/A</v>
      </c>
      <c r="K97" t="e">
        <f t="shared" si="9"/>
        <v>#N/A</v>
      </c>
      <c r="L97" t="e">
        <f t="shared" si="9"/>
        <v>#N/A</v>
      </c>
      <c r="M97" t="e">
        <f t="shared" si="9"/>
        <v>#N/A</v>
      </c>
      <c r="N97" t="e">
        <f t="shared" si="9"/>
        <v>#N/A</v>
      </c>
      <c r="O97" t="e">
        <f t="shared" si="9"/>
        <v>#N/A</v>
      </c>
      <c r="P97" t="e">
        <f t="shared" si="9"/>
        <v>#N/A</v>
      </c>
    </row>
    <row r="98" spans="1:16" x14ac:dyDescent="0.25">
      <c r="A98" t="e">
        <f>CUBEMEMBER("pbiazure://api.powerbi.com 6e064a38-7f82-4416-9451-8d82a554b559 Model","[Facilities].[DATIMName].&amp;[Ipala Dispensary]")</f>
        <v>#N/A</v>
      </c>
      <c r="B98" t="e">
        <f t="shared" si="9"/>
        <v>#N/A</v>
      </c>
      <c r="C98" t="e">
        <f t="shared" si="9"/>
        <v>#N/A</v>
      </c>
      <c r="D98" t="e">
        <f t="shared" si="9"/>
        <v>#N/A</v>
      </c>
      <c r="E98" t="e">
        <f t="shared" si="9"/>
        <v>#N/A</v>
      </c>
      <c r="F98" t="e">
        <f t="shared" si="9"/>
        <v>#N/A</v>
      </c>
      <c r="G98" t="e">
        <f t="shared" si="9"/>
        <v>#N/A</v>
      </c>
      <c r="H98" t="e">
        <f t="shared" si="9"/>
        <v>#N/A</v>
      </c>
      <c r="I98" t="e">
        <f t="shared" si="9"/>
        <v>#N/A</v>
      </c>
      <c r="J98" t="e">
        <f t="shared" si="9"/>
        <v>#N/A</v>
      </c>
      <c r="K98" t="e">
        <f t="shared" si="9"/>
        <v>#N/A</v>
      </c>
      <c r="L98" t="e">
        <f t="shared" si="9"/>
        <v>#N/A</v>
      </c>
      <c r="M98" t="e">
        <f t="shared" si="9"/>
        <v>#N/A</v>
      </c>
      <c r="N98" t="e">
        <f t="shared" si="9"/>
        <v>#N/A</v>
      </c>
      <c r="O98" t="e">
        <f t="shared" si="9"/>
        <v>#N/A</v>
      </c>
      <c r="P98" t="e">
        <f t="shared" si="9"/>
        <v>#N/A</v>
      </c>
    </row>
    <row r="99" spans="1:16" x14ac:dyDescent="0.25">
      <c r="A99" t="e">
        <f>CUBEMEMBER("pbiazure://api.powerbi.com 6e064a38-7f82-4416-9451-8d82a554b559 Model","[Facilities].[DATIMName].&amp;[Itagata Dispensary]")</f>
        <v>#N/A</v>
      </c>
      <c r="B99" t="e">
        <f t="shared" si="9"/>
        <v>#N/A</v>
      </c>
      <c r="C99" t="e">
        <f t="shared" si="9"/>
        <v>#N/A</v>
      </c>
      <c r="D99" t="e">
        <f t="shared" si="9"/>
        <v>#N/A</v>
      </c>
      <c r="E99" t="e">
        <f t="shared" si="9"/>
        <v>#N/A</v>
      </c>
      <c r="F99" t="e">
        <f t="shared" si="9"/>
        <v>#N/A</v>
      </c>
      <c r="G99" t="e">
        <f t="shared" si="9"/>
        <v>#N/A</v>
      </c>
      <c r="H99" t="e">
        <f t="shared" si="9"/>
        <v>#N/A</v>
      </c>
      <c r="I99" t="e">
        <f t="shared" si="9"/>
        <v>#N/A</v>
      </c>
      <c r="J99" t="e">
        <f t="shared" si="9"/>
        <v>#N/A</v>
      </c>
      <c r="K99" t="e">
        <f t="shared" si="9"/>
        <v>#N/A</v>
      </c>
      <c r="L99" t="e">
        <f t="shared" si="9"/>
        <v>#N/A</v>
      </c>
      <c r="M99" t="e">
        <f t="shared" si="9"/>
        <v>#N/A</v>
      </c>
      <c r="N99" t="e">
        <f t="shared" si="9"/>
        <v>#N/A</v>
      </c>
      <c r="O99" t="e">
        <f t="shared" si="9"/>
        <v>#N/A</v>
      </c>
      <c r="P99" t="e">
        <f t="shared" si="9"/>
        <v>#N/A</v>
      </c>
    </row>
    <row r="100" spans="1:16" x14ac:dyDescent="0.25">
      <c r="A100" t="e">
        <f>CUBEMEMBER("pbiazure://api.powerbi.com 6e064a38-7f82-4416-9451-8d82a554b559 Model","[Facilities].[DATIMName].&amp;[Itaja Dispensary]")</f>
        <v>#N/A</v>
      </c>
      <c r="B100" t="e">
        <f t="shared" si="9"/>
        <v>#N/A</v>
      </c>
      <c r="C100" t="e">
        <f t="shared" si="9"/>
        <v>#N/A</v>
      </c>
      <c r="D100" t="e">
        <f t="shared" si="9"/>
        <v>#N/A</v>
      </c>
      <c r="E100" t="e">
        <f t="shared" si="9"/>
        <v>#N/A</v>
      </c>
      <c r="F100" t="e">
        <f t="shared" si="9"/>
        <v>#N/A</v>
      </c>
      <c r="G100" t="e">
        <f t="shared" si="9"/>
        <v>#N/A</v>
      </c>
      <c r="H100" t="e">
        <f t="shared" si="9"/>
        <v>#N/A</v>
      </c>
      <c r="I100" t="e">
        <f t="shared" si="9"/>
        <v>#N/A</v>
      </c>
      <c r="J100" t="e">
        <f t="shared" si="9"/>
        <v>#N/A</v>
      </c>
      <c r="K100" t="e">
        <f t="shared" si="9"/>
        <v>#N/A</v>
      </c>
      <c r="L100" t="e">
        <f t="shared" si="9"/>
        <v>#N/A</v>
      </c>
      <c r="M100" t="e">
        <f t="shared" si="9"/>
        <v>#N/A</v>
      </c>
      <c r="N100" t="e">
        <f t="shared" si="9"/>
        <v>#N/A</v>
      </c>
      <c r="O100" t="e">
        <f t="shared" si="9"/>
        <v>#N/A</v>
      </c>
      <c r="P100" t="e">
        <f t="shared" si="9"/>
        <v>#N/A</v>
      </c>
    </row>
    <row r="101" spans="1:16" x14ac:dyDescent="0.25">
      <c r="A101" t="e">
        <f>CUBEMEMBER("pbiazure://api.powerbi.com 6e064a38-7f82-4416-9451-8d82a554b559 Model","[Facilities].[DATIMName].&amp;[Ithnaasheri charitable Dispensary]")</f>
        <v>#N/A</v>
      </c>
      <c r="B101" t="e">
        <f t="shared" si="9"/>
        <v>#N/A</v>
      </c>
      <c r="C101" t="e">
        <f t="shared" si="9"/>
        <v>#N/A</v>
      </c>
      <c r="D101" t="e">
        <f t="shared" si="9"/>
        <v>#N/A</v>
      </c>
      <c r="E101" t="e">
        <f t="shared" si="9"/>
        <v>#N/A</v>
      </c>
      <c r="F101" t="e">
        <f t="shared" si="9"/>
        <v>#N/A</v>
      </c>
      <c r="G101" t="e">
        <f t="shared" si="9"/>
        <v>#N/A</v>
      </c>
      <c r="H101" t="e">
        <f t="shared" si="9"/>
        <v>#N/A</v>
      </c>
      <c r="I101" t="e">
        <f t="shared" si="9"/>
        <v>#N/A</v>
      </c>
      <c r="J101" t="e">
        <f t="shared" si="9"/>
        <v>#N/A</v>
      </c>
      <c r="K101" t="e">
        <f t="shared" si="9"/>
        <v>#N/A</v>
      </c>
      <c r="L101" t="e">
        <f t="shared" si="9"/>
        <v>#N/A</v>
      </c>
      <c r="M101" t="e">
        <f t="shared" si="9"/>
        <v>#N/A</v>
      </c>
      <c r="N101" t="e">
        <f t="shared" si="9"/>
        <v>#N/A</v>
      </c>
      <c r="O101" t="e">
        <f t="shared" si="9"/>
        <v>#N/A</v>
      </c>
      <c r="P101" t="e">
        <f t="shared" si="9"/>
        <v>#N/A</v>
      </c>
    </row>
    <row r="102" spans="1:16" x14ac:dyDescent="0.25">
      <c r="A102" t="e">
        <f>CUBEMEMBER("pbiazure://api.powerbi.com 6e064a38-7f82-4416-9451-8d82a554b559 Model","[Facilities].[DATIMName].&amp;[Itigi Health Center]")</f>
        <v>#N/A</v>
      </c>
      <c r="B102" t="e">
        <f t="shared" si="9"/>
        <v>#N/A</v>
      </c>
      <c r="C102" t="e">
        <f t="shared" si="9"/>
        <v>#N/A</v>
      </c>
      <c r="D102" t="e">
        <f t="shared" si="9"/>
        <v>#N/A</v>
      </c>
      <c r="E102" t="e">
        <f t="shared" si="9"/>
        <v>#N/A</v>
      </c>
      <c r="F102" t="e">
        <f t="shared" si="9"/>
        <v>#N/A</v>
      </c>
      <c r="G102" t="e">
        <f t="shared" si="9"/>
        <v>#N/A</v>
      </c>
      <c r="H102" t="e">
        <f t="shared" si="9"/>
        <v>#N/A</v>
      </c>
      <c r="I102" t="e">
        <f t="shared" si="9"/>
        <v>#N/A</v>
      </c>
      <c r="J102" t="e">
        <f t="shared" si="9"/>
        <v>#N/A</v>
      </c>
      <c r="K102" t="e">
        <f t="shared" si="9"/>
        <v>#N/A</v>
      </c>
      <c r="L102" t="e">
        <f t="shared" si="9"/>
        <v>#N/A</v>
      </c>
      <c r="M102" t="e">
        <f t="shared" si="9"/>
        <v>#N/A</v>
      </c>
      <c r="N102" t="e">
        <f t="shared" si="9"/>
        <v>#N/A</v>
      </c>
      <c r="O102" t="e">
        <f t="shared" si="9"/>
        <v>#N/A</v>
      </c>
      <c r="P102" t="e">
        <f t="shared" si="9"/>
        <v>#N/A</v>
      </c>
    </row>
    <row r="103" spans="1:16" x14ac:dyDescent="0.25">
      <c r="A103" t="e">
        <f>CUBEMEMBER("pbiazure://api.powerbi.com 6e064a38-7f82-4416-9451-8d82a554b559 Model","[Facilities].[DATIMName].&amp;[Itolwa Dispensary]")</f>
        <v>#N/A</v>
      </c>
      <c r="B103" t="e">
        <f t="shared" si="9"/>
        <v>#N/A</v>
      </c>
      <c r="C103" t="e">
        <f t="shared" si="9"/>
        <v>#N/A</v>
      </c>
      <c r="D103" t="e">
        <f t="shared" si="9"/>
        <v>#N/A</v>
      </c>
      <c r="E103" t="e">
        <f t="shared" si="9"/>
        <v>#N/A</v>
      </c>
      <c r="F103" t="e">
        <f t="shared" si="9"/>
        <v>#N/A</v>
      </c>
      <c r="G103" t="e">
        <f t="shared" si="9"/>
        <v>#N/A</v>
      </c>
      <c r="H103" t="e">
        <f t="shared" si="9"/>
        <v>#N/A</v>
      </c>
      <c r="I103" t="e">
        <f t="shared" si="9"/>
        <v>#N/A</v>
      </c>
      <c r="J103" t="e">
        <f t="shared" si="9"/>
        <v>#N/A</v>
      </c>
      <c r="K103" t="e">
        <f t="shared" si="9"/>
        <v>#N/A</v>
      </c>
      <c r="L103" t="e">
        <f t="shared" si="9"/>
        <v>#N/A</v>
      </c>
      <c r="M103" t="e">
        <f t="shared" si="9"/>
        <v>#N/A</v>
      </c>
      <c r="N103" t="e">
        <f t="shared" si="9"/>
        <v>#N/A</v>
      </c>
      <c r="O103" t="e">
        <f t="shared" si="9"/>
        <v>#N/A</v>
      </c>
      <c r="P103" t="e">
        <f t="shared" si="9"/>
        <v>#N/A</v>
      </c>
    </row>
    <row r="104" spans="1:16" x14ac:dyDescent="0.25">
      <c r="A104" t="e">
        <f>CUBEMEMBER("pbiazure://api.powerbi.com 6e064a38-7f82-4416-9451-8d82a554b559 Model","[Facilities].[DATIMName].&amp;[Kagongo Health Center]")</f>
        <v>#N/A</v>
      </c>
      <c r="B104" t="e">
        <f t="shared" si="9"/>
        <v>#N/A</v>
      </c>
      <c r="C104" t="e">
        <f t="shared" si="9"/>
        <v>#N/A</v>
      </c>
      <c r="D104" t="e">
        <f t="shared" si="9"/>
        <v>#N/A</v>
      </c>
      <c r="E104" t="e">
        <f t="shared" si="9"/>
        <v>#N/A</v>
      </c>
      <c r="F104" t="e">
        <f t="shared" si="9"/>
        <v>#N/A</v>
      </c>
      <c r="G104" t="e">
        <f t="shared" si="9"/>
        <v>#N/A</v>
      </c>
      <c r="H104" t="e">
        <f t="shared" si="9"/>
        <v>#N/A</v>
      </c>
      <c r="I104" t="e">
        <f t="shared" si="9"/>
        <v>#N/A</v>
      </c>
      <c r="J104" t="e">
        <f t="shared" si="9"/>
        <v>#N/A</v>
      </c>
      <c r="K104" t="e">
        <f t="shared" si="9"/>
        <v>#N/A</v>
      </c>
      <c r="L104" t="e">
        <f t="shared" si="9"/>
        <v>#N/A</v>
      </c>
      <c r="M104" t="e">
        <f t="shared" si="9"/>
        <v>#N/A</v>
      </c>
      <c r="N104" t="e">
        <f t="shared" si="9"/>
        <v>#N/A</v>
      </c>
      <c r="O104" t="e">
        <f t="shared" si="9"/>
        <v>#N/A</v>
      </c>
      <c r="P104" t="e">
        <f t="shared" si="9"/>
        <v>#N/A</v>
      </c>
    </row>
    <row r="105" spans="1:16" x14ac:dyDescent="0.25">
      <c r="A105" t="e">
        <f>CUBEMEMBER("pbiazure://api.powerbi.com 6e064a38-7f82-4416-9451-8d82a554b559 Model","[Facilities].[DATIMName].&amp;[Kahe Dispensary]")</f>
        <v>#N/A</v>
      </c>
      <c r="B105" t="e">
        <f t="shared" ref="B105:P114" si="10">CUBEVALUE("pbiazure://api.powerbi.com 6e064a38-7f82-4416-9451-8d82a554b559 Model",$B$1,$A105,B$4)</f>
        <v>#N/A</v>
      </c>
      <c r="C105" t="e">
        <f t="shared" si="10"/>
        <v>#N/A</v>
      </c>
      <c r="D105" t="e">
        <f t="shared" si="10"/>
        <v>#N/A</v>
      </c>
      <c r="E105" t="e">
        <f t="shared" si="10"/>
        <v>#N/A</v>
      </c>
      <c r="F105" t="e">
        <f t="shared" si="10"/>
        <v>#N/A</v>
      </c>
      <c r="G105" t="e">
        <f t="shared" si="10"/>
        <v>#N/A</v>
      </c>
      <c r="H105" t="e">
        <f t="shared" si="10"/>
        <v>#N/A</v>
      </c>
      <c r="I105" t="e">
        <f t="shared" si="10"/>
        <v>#N/A</v>
      </c>
      <c r="J105" t="e">
        <f t="shared" si="10"/>
        <v>#N/A</v>
      </c>
      <c r="K105" t="e">
        <f t="shared" si="10"/>
        <v>#N/A</v>
      </c>
      <c r="L105" t="e">
        <f t="shared" si="10"/>
        <v>#N/A</v>
      </c>
      <c r="M105" t="e">
        <f t="shared" si="10"/>
        <v>#N/A</v>
      </c>
      <c r="N105" t="e">
        <f t="shared" si="10"/>
        <v>#N/A</v>
      </c>
      <c r="O105" t="e">
        <f t="shared" si="10"/>
        <v>#N/A</v>
      </c>
      <c r="P105" t="e">
        <f t="shared" si="10"/>
        <v>#N/A</v>
      </c>
    </row>
    <row r="106" spans="1:16" x14ac:dyDescent="0.25">
      <c r="A106" t="e">
        <f>CUBEMEMBER("pbiazure://api.powerbi.com 6e064a38-7f82-4416-9451-8d82a554b559 Model","[Facilities].[DATIMName].&amp;[Kainam Dispensary]")</f>
        <v>#N/A</v>
      </c>
      <c r="B106" t="e">
        <f t="shared" si="10"/>
        <v>#N/A</v>
      </c>
      <c r="C106" t="e">
        <f t="shared" si="10"/>
        <v>#N/A</v>
      </c>
      <c r="D106" t="e">
        <f t="shared" si="10"/>
        <v>#N/A</v>
      </c>
      <c r="E106" t="e">
        <f t="shared" si="10"/>
        <v>#N/A</v>
      </c>
      <c r="F106" t="e">
        <f t="shared" si="10"/>
        <v>#N/A</v>
      </c>
      <c r="G106" t="e">
        <f t="shared" si="10"/>
        <v>#N/A</v>
      </c>
      <c r="H106" t="e">
        <f t="shared" si="10"/>
        <v>#N/A</v>
      </c>
      <c r="I106" t="e">
        <f t="shared" si="10"/>
        <v>#N/A</v>
      </c>
      <c r="J106" t="e">
        <f t="shared" si="10"/>
        <v>#N/A</v>
      </c>
      <c r="K106" t="e">
        <f t="shared" si="10"/>
        <v>#N/A</v>
      </c>
      <c r="L106" t="e">
        <f t="shared" si="10"/>
        <v>#N/A</v>
      </c>
      <c r="M106" t="e">
        <f t="shared" si="10"/>
        <v>#N/A</v>
      </c>
      <c r="N106" t="e">
        <f t="shared" si="10"/>
        <v>#N/A</v>
      </c>
      <c r="O106" t="e">
        <f t="shared" si="10"/>
        <v>#N/A</v>
      </c>
      <c r="P106" t="e">
        <f t="shared" si="10"/>
        <v>#N/A</v>
      </c>
    </row>
    <row r="107" spans="1:16" x14ac:dyDescent="0.25">
      <c r="A107" t="e">
        <f>CUBEMEMBER("pbiazure://api.powerbi.com 6e064a38-7f82-4416-9451-8d82a554b559 Model","[Facilities].[DATIMName].&amp;[Kaloleni Health Center]")</f>
        <v>#N/A</v>
      </c>
      <c r="B107" t="e">
        <f t="shared" si="10"/>
        <v>#N/A</v>
      </c>
      <c r="C107" t="e">
        <f t="shared" si="10"/>
        <v>#N/A</v>
      </c>
      <c r="D107" t="e">
        <f t="shared" si="10"/>
        <v>#N/A</v>
      </c>
      <c r="E107" t="e">
        <f t="shared" si="10"/>
        <v>#N/A</v>
      </c>
      <c r="F107" t="e">
        <f t="shared" si="10"/>
        <v>#N/A</v>
      </c>
      <c r="G107" t="e">
        <f t="shared" si="10"/>
        <v>#N/A</v>
      </c>
      <c r="H107" t="e">
        <f t="shared" si="10"/>
        <v>#N/A</v>
      </c>
      <c r="I107" t="e">
        <f t="shared" si="10"/>
        <v>#N/A</v>
      </c>
      <c r="J107" t="e">
        <f t="shared" si="10"/>
        <v>#N/A</v>
      </c>
      <c r="K107" t="e">
        <f t="shared" si="10"/>
        <v>#N/A</v>
      </c>
      <c r="L107" t="e">
        <f t="shared" si="10"/>
        <v>#N/A</v>
      </c>
      <c r="M107" t="e">
        <f t="shared" si="10"/>
        <v>#N/A</v>
      </c>
      <c r="N107" t="e">
        <f t="shared" si="10"/>
        <v>#N/A</v>
      </c>
      <c r="O107" t="e">
        <f t="shared" si="10"/>
        <v>#N/A</v>
      </c>
      <c r="P107" t="e">
        <f t="shared" si="10"/>
        <v>#N/A</v>
      </c>
    </row>
    <row r="108" spans="1:16" x14ac:dyDescent="0.25">
      <c r="A108" t="e">
        <f>CUBEMEMBER("pbiazure://api.powerbi.com 6e064a38-7f82-4416-9451-8d82a554b559 Model","[Facilities].[DATIMName].&amp;[KAM Med Health Centre Health Center]")</f>
        <v>#N/A</v>
      </c>
      <c r="B108" t="e">
        <f t="shared" si="10"/>
        <v>#N/A</v>
      </c>
      <c r="C108" t="e">
        <f t="shared" si="10"/>
        <v>#N/A</v>
      </c>
      <c r="D108" t="e">
        <f t="shared" si="10"/>
        <v>#N/A</v>
      </c>
      <c r="E108" t="e">
        <f t="shared" si="10"/>
        <v>#N/A</v>
      </c>
      <c r="F108" t="e">
        <f t="shared" si="10"/>
        <v>#N/A</v>
      </c>
      <c r="G108" t="e">
        <f t="shared" si="10"/>
        <v>#N/A</v>
      </c>
      <c r="H108" t="e">
        <f t="shared" si="10"/>
        <v>#N/A</v>
      </c>
      <c r="I108" t="e">
        <f t="shared" si="10"/>
        <v>#N/A</v>
      </c>
      <c r="J108" t="e">
        <f t="shared" si="10"/>
        <v>#N/A</v>
      </c>
      <c r="K108" t="e">
        <f t="shared" si="10"/>
        <v>#N/A</v>
      </c>
      <c r="L108" t="e">
        <f t="shared" si="10"/>
        <v>#N/A</v>
      </c>
      <c r="M108" t="e">
        <f t="shared" si="10"/>
        <v>#N/A</v>
      </c>
      <c r="N108" t="e">
        <f t="shared" si="10"/>
        <v>#N/A</v>
      </c>
      <c r="O108" t="e">
        <f t="shared" si="10"/>
        <v>#N/A</v>
      </c>
      <c r="P108" t="e">
        <f t="shared" si="10"/>
        <v>#N/A</v>
      </c>
    </row>
    <row r="109" spans="1:16" x14ac:dyDescent="0.25">
      <c r="A109" t="e">
        <f>CUBEMEMBER("pbiazure://api.powerbi.com 6e064a38-7f82-4416-9451-8d82a554b559 Model","[Facilities].[DATIMName].&amp;[Kamwanga Dispensary]")</f>
        <v>#N/A</v>
      </c>
      <c r="B109" t="e">
        <f t="shared" si="10"/>
        <v>#N/A</v>
      </c>
      <c r="C109" t="e">
        <f t="shared" si="10"/>
        <v>#N/A</v>
      </c>
      <c r="D109" t="e">
        <f t="shared" si="10"/>
        <v>#N/A</v>
      </c>
      <c r="E109" t="e">
        <f t="shared" si="10"/>
        <v>#N/A</v>
      </c>
      <c r="F109" t="e">
        <f t="shared" si="10"/>
        <v>#N/A</v>
      </c>
      <c r="G109" t="e">
        <f t="shared" si="10"/>
        <v>#N/A</v>
      </c>
      <c r="H109" t="e">
        <f t="shared" si="10"/>
        <v>#N/A</v>
      </c>
      <c r="I109" t="e">
        <f t="shared" si="10"/>
        <v>#N/A</v>
      </c>
      <c r="J109" t="e">
        <f t="shared" si="10"/>
        <v>#N/A</v>
      </c>
      <c r="K109" t="e">
        <f t="shared" si="10"/>
        <v>#N/A</v>
      </c>
      <c r="L109" t="e">
        <f t="shared" si="10"/>
        <v>#N/A</v>
      </c>
      <c r="M109" t="e">
        <f t="shared" si="10"/>
        <v>#N/A</v>
      </c>
      <c r="N109" t="e">
        <f t="shared" si="10"/>
        <v>#N/A</v>
      </c>
      <c r="O109" t="e">
        <f t="shared" si="10"/>
        <v>#N/A</v>
      </c>
      <c r="P109" t="e">
        <f t="shared" si="10"/>
        <v>#N/A</v>
      </c>
    </row>
    <row r="110" spans="1:16" x14ac:dyDescent="0.25">
      <c r="A110" t="e">
        <f>CUBEMEMBER("pbiazure://api.powerbi.com 6e064a38-7f82-4416-9451-8d82a554b559 Model","[Facilities].[DATIMName].&amp;[Karatu Health Center]")</f>
        <v>#N/A</v>
      </c>
      <c r="B110" t="e">
        <f t="shared" si="10"/>
        <v>#N/A</v>
      </c>
      <c r="C110" t="e">
        <f t="shared" si="10"/>
        <v>#N/A</v>
      </c>
      <c r="D110" t="e">
        <f t="shared" si="10"/>
        <v>#N/A</v>
      </c>
      <c r="E110" t="e">
        <f t="shared" si="10"/>
        <v>#N/A</v>
      </c>
      <c r="F110" t="e">
        <f t="shared" si="10"/>
        <v>#N/A</v>
      </c>
      <c r="G110" t="e">
        <f t="shared" si="10"/>
        <v>#N/A</v>
      </c>
      <c r="H110" t="e">
        <f t="shared" si="10"/>
        <v>#N/A</v>
      </c>
      <c r="I110" t="e">
        <f t="shared" si="10"/>
        <v>#N/A</v>
      </c>
      <c r="J110" t="e">
        <f t="shared" si="10"/>
        <v>#N/A</v>
      </c>
      <c r="K110" t="e">
        <f t="shared" si="10"/>
        <v>#N/A</v>
      </c>
      <c r="L110" t="e">
        <f t="shared" si="10"/>
        <v>#N/A</v>
      </c>
      <c r="M110" t="e">
        <f t="shared" si="10"/>
        <v>#N/A</v>
      </c>
      <c r="N110" t="e">
        <f t="shared" si="10"/>
        <v>#N/A</v>
      </c>
      <c r="O110" t="e">
        <f t="shared" si="10"/>
        <v>#N/A</v>
      </c>
      <c r="P110" t="e">
        <f t="shared" si="10"/>
        <v>#N/A</v>
      </c>
    </row>
    <row r="111" spans="1:16" x14ac:dyDescent="0.25">
      <c r="A111" t="e">
        <f>CUBEMEMBER("pbiazure://api.powerbi.com 6e064a38-7f82-4416-9451-8d82a554b559 Model","[Facilities].[DATIMName].&amp;[Karatu Lutheran Hospital - Designated District Hospital]")</f>
        <v>#N/A</v>
      </c>
      <c r="B111" t="e">
        <f t="shared" si="10"/>
        <v>#N/A</v>
      </c>
      <c r="C111" t="e">
        <f t="shared" si="10"/>
        <v>#N/A</v>
      </c>
      <c r="D111" t="e">
        <f t="shared" si="10"/>
        <v>#N/A</v>
      </c>
      <c r="E111" t="e">
        <f t="shared" si="10"/>
        <v>#N/A</v>
      </c>
      <c r="F111" t="e">
        <f t="shared" si="10"/>
        <v>#N/A</v>
      </c>
      <c r="G111" t="e">
        <f t="shared" si="10"/>
        <v>#N/A</v>
      </c>
      <c r="H111" t="e">
        <f t="shared" si="10"/>
        <v>#N/A</v>
      </c>
      <c r="I111" t="e">
        <f t="shared" si="10"/>
        <v>#N/A</v>
      </c>
      <c r="J111" t="e">
        <f t="shared" si="10"/>
        <v>#N/A</v>
      </c>
      <c r="K111" t="e">
        <f t="shared" si="10"/>
        <v>#N/A</v>
      </c>
      <c r="L111" t="e">
        <f t="shared" si="10"/>
        <v>#N/A</v>
      </c>
      <c r="M111" t="e">
        <f t="shared" si="10"/>
        <v>#N/A</v>
      </c>
      <c r="N111" t="e">
        <f t="shared" si="10"/>
        <v>#N/A</v>
      </c>
      <c r="O111" t="e">
        <f t="shared" si="10"/>
        <v>#N/A</v>
      </c>
      <c r="P111" t="e">
        <f t="shared" si="10"/>
        <v>#N/A</v>
      </c>
    </row>
    <row r="112" spans="1:16" x14ac:dyDescent="0.25">
      <c r="A112" t="e">
        <f>CUBEMEMBER("pbiazure://api.powerbi.com 6e064a38-7f82-4416-9451-8d82a554b559 Model","[Facilities].[DATIMName].&amp;[Karume Health Center]")</f>
        <v>#N/A</v>
      </c>
      <c r="B112" t="e">
        <f t="shared" si="10"/>
        <v>#N/A</v>
      </c>
      <c r="C112" t="e">
        <f t="shared" si="10"/>
        <v>#N/A</v>
      </c>
      <c r="D112" t="e">
        <f t="shared" si="10"/>
        <v>#N/A</v>
      </c>
      <c r="E112" t="e">
        <f t="shared" si="10"/>
        <v>#N/A</v>
      </c>
      <c r="F112" t="e">
        <f t="shared" si="10"/>
        <v>#N/A</v>
      </c>
      <c r="G112" t="e">
        <f t="shared" si="10"/>
        <v>#N/A</v>
      </c>
      <c r="H112" t="e">
        <f t="shared" si="10"/>
        <v>#N/A</v>
      </c>
      <c r="I112" t="e">
        <f t="shared" si="10"/>
        <v>#N/A</v>
      </c>
      <c r="J112" t="e">
        <f t="shared" si="10"/>
        <v>#N/A</v>
      </c>
      <c r="K112" t="e">
        <f t="shared" si="10"/>
        <v>#N/A</v>
      </c>
      <c r="L112" t="e">
        <f t="shared" si="10"/>
        <v>#N/A</v>
      </c>
      <c r="M112" t="e">
        <f t="shared" si="10"/>
        <v>#N/A</v>
      </c>
      <c r="N112" t="e">
        <f t="shared" si="10"/>
        <v>#N/A</v>
      </c>
      <c r="O112" t="e">
        <f t="shared" si="10"/>
        <v>#N/A</v>
      </c>
      <c r="P112" t="e">
        <f t="shared" si="10"/>
        <v>#N/A</v>
      </c>
    </row>
    <row r="113" spans="1:16" x14ac:dyDescent="0.25">
      <c r="A113" t="e">
        <f>CUBEMEMBER("pbiazure://api.powerbi.com 6e064a38-7f82-4416-9451-8d82a554b559 Model","[Facilities].[DATIMName].&amp;[Katesh Health Center]")</f>
        <v>#N/A</v>
      </c>
      <c r="B113" t="e">
        <f t="shared" si="10"/>
        <v>#N/A</v>
      </c>
      <c r="C113" t="e">
        <f t="shared" si="10"/>
        <v>#N/A</v>
      </c>
      <c r="D113" t="e">
        <f t="shared" si="10"/>
        <v>#N/A</v>
      </c>
      <c r="E113" t="e">
        <f t="shared" si="10"/>
        <v>#N/A</v>
      </c>
      <c r="F113" t="e">
        <f t="shared" si="10"/>
        <v>#N/A</v>
      </c>
      <c r="G113" t="e">
        <f t="shared" si="10"/>
        <v>#N/A</v>
      </c>
      <c r="H113" t="e">
        <f t="shared" si="10"/>
        <v>#N/A</v>
      </c>
      <c r="I113" t="e">
        <f t="shared" si="10"/>
        <v>#N/A</v>
      </c>
      <c r="J113" t="e">
        <f t="shared" si="10"/>
        <v>#N/A</v>
      </c>
      <c r="K113" t="e">
        <f t="shared" si="10"/>
        <v>#N/A</v>
      </c>
      <c r="L113" t="e">
        <f t="shared" si="10"/>
        <v>#N/A</v>
      </c>
      <c r="M113" t="e">
        <f t="shared" si="10"/>
        <v>#N/A</v>
      </c>
      <c r="N113" t="e">
        <f t="shared" si="10"/>
        <v>#N/A</v>
      </c>
      <c r="O113" t="e">
        <f t="shared" si="10"/>
        <v>#N/A</v>
      </c>
      <c r="P113" t="e">
        <f t="shared" si="10"/>
        <v>#N/A</v>
      </c>
    </row>
    <row r="114" spans="1:16" x14ac:dyDescent="0.25">
      <c r="A114" t="e">
        <f>CUBEMEMBER("pbiazure://api.powerbi.com 6e064a38-7f82-4416-9451-8d82a554b559 Model","[Facilities].[DATIMName].&amp;[KCMC Hospital - Zonal Super Specialist Hospital]")</f>
        <v>#N/A</v>
      </c>
      <c r="B114" t="e">
        <f t="shared" si="10"/>
        <v>#N/A</v>
      </c>
      <c r="C114" t="e">
        <f t="shared" si="10"/>
        <v>#N/A</v>
      </c>
      <c r="D114" t="e">
        <f t="shared" si="10"/>
        <v>#N/A</v>
      </c>
      <c r="E114" t="e">
        <f t="shared" si="10"/>
        <v>#N/A</v>
      </c>
      <c r="F114" t="e">
        <f t="shared" si="10"/>
        <v>#N/A</v>
      </c>
      <c r="G114" t="e">
        <f t="shared" si="10"/>
        <v>#N/A</v>
      </c>
      <c r="H114" t="e">
        <f t="shared" si="10"/>
        <v>#N/A</v>
      </c>
      <c r="I114" t="e">
        <f t="shared" si="10"/>
        <v>#N/A</v>
      </c>
      <c r="J114" t="e">
        <f t="shared" si="10"/>
        <v>#N/A</v>
      </c>
      <c r="K114" t="e">
        <f t="shared" si="10"/>
        <v>#N/A</v>
      </c>
      <c r="L114" t="e">
        <f t="shared" si="10"/>
        <v>#N/A</v>
      </c>
      <c r="M114" t="e">
        <f t="shared" si="10"/>
        <v>#N/A</v>
      </c>
      <c r="N114" t="e">
        <f t="shared" si="10"/>
        <v>#N/A</v>
      </c>
      <c r="O114" t="e">
        <f t="shared" si="10"/>
        <v>#N/A</v>
      </c>
      <c r="P114" t="e">
        <f t="shared" si="10"/>
        <v>#N/A</v>
      </c>
    </row>
    <row r="115" spans="1:16" x14ac:dyDescent="0.25">
      <c r="A115" t="e">
        <f>CUBEMEMBER("pbiazure://api.powerbi.com 6e064a38-7f82-4416-9451-8d82a554b559 Model","[Facilities].[DATIMName].&amp;[Kelema Dispensary]")</f>
        <v>#N/A</v>
      </c>
      <c r="B115" t="e">
        <f t="shared" ref="B115:P124" si="11">CUBEVALUE("pbiazure://api.powerbi.com 6e064a38-7f82-4416-9451-8d82a554b559 Model",$B$1,$A115,B$4)</f>
        <v>#N/A</v>
      </c>
      <c r="C115" t="e">
        <f t="shared" si="11"/>
        <v>#N/A</v>
      </c>
      <c r="D115" t="e">
        <f t="shared" si="11"/>
        <v>#N/A</v>
      </c>
      <c r="E115" t="e">
        <f t="shared" si="11"/>
        <v>#N/A</v>
      </c>
      <c r="F115" t="e">
        <f t="shared" si="11"/>
        <v>#N/A</v>
      </c>
      <c r="G115" t="e">
        <f t="shared" si="11"/>
        <v>#N/A</v>
      </c>
      <c r="H115" t="e">
        <f t="shared" si="11"/>
        <v>#N/A</v>
      </c>
      <c r="I115" t="e">
        <f t="shared" si="11"/>
        <v>#N/A</v>
      </c>
      <c r="J115" t="e">
        <f t="shared" si="11"/>
        <v>#N/A</v>
      </c>
      <c r="K115" t="e">
        <f t="shared" si="11"/>
        <v>#N/A</v>
      </c>
      <c r="L115" t="e">
        <f t="shared" si="11"/>
        <v>#N/A</v>
      </c>
      <c r="M115" t="e">
        <f t="shared" si="11"/>
        <v>#N/A</v>
      </c>
      <c r="N115" t="e">
        <f t="shared" si="11"/>
        <v>#N/A</v>
      </c>
      <c r="O115" t="e">
        <f t="shared" si="11"/>
        <v>#N/A</v>
      </c>
      <c r="P115" t="e">
        <f t="shared" si="11"/>
        <v>#N/A</v>
      </c>
    </row>
    <row r="116" spans="1:16" x14ac:dyDescent="0.25">
      <c r="A116" t="e">
        <f>CUBEMEMBER("pbiazure://api.powerbi.com 6e064a38-7f82-4416-9451-8d82a554b559 Model","[Facilities].[DATIMName].&amp;[Keni Health Center]")</f>
        <v>#N/A</v>
      </c>
      <c r="B116" t="e">
        <f t="shared" si="11"/>
        <v>#N/A</v>
      </c>
      <c r="C116" t="e">
        <f t="shared" si="11"/>
        <v>#N/A</v>
      </c>
      <c r="D116" t="e">
        <f t="shared" si="11"/>
        <v>#N/A</v>
      </c>
      <c r="E116" t="e">
        <f t="shared" si="11"/>
        <v>#N/A</v>
      </c>
      <c r="F116" t="e">
        <f t="shared" si="11"/>
        <v>#N/A</v>
      </c>
      <c r="G116" t="e">
        <f t="shared" si="11"/>
        <v>#N/A</v>
      </c>
      <c r="H116" t="e">
        <f t="shared" si="11"/>
        <v>#N/A</v>
      </c>
      <c r="I116" t="e">
        <f t="shared" si="11"/>
        <v>#N/A</v>
      </c>
      <c r="J116" t="e">
        <f t="shared" si="11"/>
        <v>#N/A</v>
      </c>
      <c r="K116" t="e">
        <f t="shared" si="11"/>
        <v>#N/A</v>
      </c>
      <c r="L116" t="e">
        <f t="shared" si="11"/>
        <v>#N/A</v>
      </c>
      <c r="M116" t="e">
        <f t="shared" si="11"/>
        <v>#N/A</v>
      </c>
      <c r="N116" t="e">
        <f t="shared" si="11"/>
        <v>#N/A</v>
      </c>
      <c r="O116" t="e">
        <f t="shared" si="11"/>
        <v>#N/A</v>
      </c>
      <c r="P116" t="e">
        <f t="shared" si="11"/>
        <v>#N/A</v>
      </c>
    </row>
    <row r="117" spans="1:16" x14ac:dyDescent="0.25">
      <c r="A117" t="e">
        <f>CUBEMEMBER("pbiazure://api.powerbi.com 6e064a38-7f82-4416-9451-8d82a554b559 Model","[Facilities].[DATIMName].&amp;[Ketumbeine Dispensary]")</f>
        <v>#N/A</v>
      </c>
      <c r="B117" t="e">
        <f t="shared" si="11"/>
        <v>#N/A</v>
      </c>
      <c r="C117" t="e">
        <f t="shared" si="11"/>
        <v>#N/A</v>
      </c>
      <c r="D117" t="e">
        <f t="shared" si="11"/>
        <v>#N/A</v>
      </c>
      <c r="E117" t="e">
        <f t="shared" si="11"/>
        <v>#N/A</v>
      </c>
      <c r="F117" t="e">
        <f t="shared" si="11"/>
        <v>#N/A</v>
      </c>
      <c r="G117" t="e">
        <f t="shared" si="11"/>
        <v>#N/A</v>
      </c>
      <c r="H117" t="e">
        <f t="shared" si="11"/>
        <v>#N/A</v>
      </c>
      <c r="I117" t="e">
        <f t="shared" si="11"/>
        <v>#N/A</v>
      </c>
      <c r="J117" t="e">
        <f t="shared" si="11"/>
        <v>#N/A</v>
      </c>
      <c r="K117" t="e">
        <f t="shared" si="11"/>
        <v>#N/A</v>
      </c>
      <c r="L117" t="e">
        <f t="shared" si="11"/>
        <v>#N/A</v>
      </c>
      <c r="M117" t="e">
        <f t="shared" si="11"/>
        <v>#N/A</v>
      </c>
      <c r="N117" t="e">
        <f t="shared" si="11"/>
        <v>#N/A</v>
      </c>
      <c r="O117" t="e">
        <f t="shared" si="11"/>
        <v>#N/A</v>
      </c>
      <c r="P117" t="e">
        <f t="shared" si="11"/>
        <v>#N/A</v>
      </c>
    </row>
    <row r="118" spans="1:16" x14ac:dyDescent="0.25">
      <c r="A118" t="e">
        <f>CUBEMEMBER("pbiazure://api.powerbi.com 6e064a38-7f82-4416-9451-8d82a554b559 Model","[Facilities].[DATIMName].&amp;[KIA Dispensary]")</f>
        <v>#N/A</v>
      </c>
      <c r="B118" t="e">
        <f t="shared" si="11"/>
        <v>#N/A</v>
      </c>
      <c r="C118" t="e">
        <f t="shared" si="11"/>
        <v>#N/A</v>
      </c>
      <c r="D118" t="e">
        <f t="shared" si="11"/>
        <v>#N/A</v>
      </c>
      <c r="E118" t="e">
        <f t="shared" si="11"/>
        <v>#N/A</v>
      </c>
      <c r="F118" t="e">
        <f t="shared" si="11"/>
        <v>#N/A</v>
      </c>
      <c r="G118" t="e">
        <f t="shared" si="11"/>
        <v>#N/A</v>
      </c>
      <c r="H118" t="e">
        <f t="shared" si="11"/>
        <v>#N/A</v>
      </c>
      <c r="I118" t="e">
        <f t="shared" si="11"/>
        <v>#N/A</v>
      </c>
      <c r="J118" t="e">
        <f t="shared" si="11"/>
        <v>#N/A</v>
      </c>
      <c r="K118" t="e">
        <f t="shared" si="11"/>
        <v>#N/A</v>
      </c>
      <c r="L118" t="e">
        <f t="shared" si="11"/>
        <v>#N/A</v>
      </c>
      <c r="M118" t="e">
        <f t="shared" si="11"/>
        <v>#N/A</v>
      </c>
      <c r="N118" t="e">
        <f t="shared" si="11"/>
        <v>#N/A</v>
      </c>
      <c r="O118" t="e">
        <f t="shared" si="11"/>
        <v>#N/A</v>
      </c>
      <c r="P118" t="e">
        <f t="shared" si="11"/>
        <v>#N/A</v>
      </c>
    </row>
    <row r="119" spans="1:16" x14ac:dyDescent="0.25">
      <c r="A119" t="e">
        <f>CUBEMEMBER("pbiazure://api.powerbi.com 6e064a38-7f82-4416-9451-8d82a554b559 Model","[Facilities].[DATIMName].&amp;[Kibakwe Health Center]")</f>
        <v>#N/A</v>
      </c>
      <c r="B119" t="e">
        <f t="shared" si="11"/>
        <v>#N/A</v>
      </c>
      <c r="C119" t="e">
        <f t="shared" si="11"/>
        <v>#N/A</v>
      </c>
      <c r="D119" t="e">
        <f t="shared" si="11"/>
        <v>#N/A</v>
      </c>
      <c r="E119" t="e">
        <f t="shared" si="11"/>
        <v>#N/A</v>
      </c>
      <c r="F119" t="e">
        <f t="shared" si="11"/>
        <v>#N/A</v>
      </c>
      <c r="G119" t="e">
        <f t="shared" si="11"/>
        <v>#N/A</v>
      </c>
      <c r="H119" t="e">
        <f t="shared" si="11"/>
        <v>#N/A</v>
      </c>
      <c r="I119" t="e">
        <f t="shared" si="11"/>
        <v>#N/A</v>
      </c>
      <c r="J119" t="e">
        <f t="shared" si="11"/>
        <v>#N/A</v>
      </c>
      <c r="K119" t="e">
        <f t="shared" si="11"/>
        <v>#N/A</v>
      </c>
      <c r="L119" t="e">
        <f t="shared" si="11"/>
        <v>#N/A</v>
      </c>
      <c r="M119" t="e">
        <f t="shared" si="11"/>
        <v>#N/A</v>
      </c>
      <c r="N119" t="e">
        <f t="shared" si="11"/>
        <v>#N/A</v>
      </c>
      <c r="O119" t="e">
        <f t="shared" si="11"/>
        <v>#N/A</v>
      </c>
      <c r="P119" t="e">
        <f t="shared" si="11"/>
        <v>#N/A</v>
      </c>
    </row>
    <row r="120" spans="1:16" x14ac:dyDescent="0.25">
      <c r="A120" t="e">
        <f>CUBEMEMBER("pbiazure://api.powerbi.com 6e064a38-7f82-4416-9451-8d82a554b559 Model","[Facilities].[DATIMName].&amp;[Kibaya Hospital - District Hospital]")</f>
        <v>#N/A</v>
      </c>
      <c r="B120" t="e">
        <f t="shared" si="11"/>
        <v>#N/A</v>
      </c>
      <c r="C120" t="e">
        <f t="shared" si="11"/>
        <v>#N/A</v>
      </c>
      <c r="D120" t="e">
        <f t="shared" si="11"/>
        <v>#N/A</v>
      </c>
      <c r="E120" t="e">
        <f t="shared" si="11"/>
        <v>#N/A</v>
      </c>
      <c r="F120" t="e">
        <f t="shared" si="11"/>
        <v>#N/A</v>
      </c>
      <c r="G120" t="e">
        <f t="shared" si="11"/>
        <v>#N/A</v>
      </c>
      <c r="H120" t="e">
        <f t="shared" si="11"/>
        <v>#N/A</v>
      </c>
      <c r="I120" t="e">
        <f t="shared" si="11"/>
        <v>#N/A</v>
      </c>
      <c r="J120" t="e">
        <f t="shared" si="11"/>
        <v>#N/A</v>
      </c>
      <c r="K120" t="e">
        <f t="shared" si="11"/>
        <v>#N/A</v>
      </c>
      <c r="L120" t="e">
        <f t="shared" si="11"/>
        <v>#N/A</v>
      </c>
      <c r="M120" t="e">
        <f t="shared" si="11"/>
        <v>#N/A</v>
      </c>
      <c r="N120" t="e">
        <f t="shared" si="11"/>
        <v>#N/A</v>
      </c>
      <c r="O120" t="e">
        <f t="shared" si="11"/>
        <v>#N/A</v>
      </c>
      <c r="P120" t="e">
        <f t="shared" si="11"/>
        <v>#N/A</v>
      </c>
    </row>
    <row r="121" spans="1:16" x14ac:dyDescent="0.25">
      <c r="A121" t="e">
        <f>CUBEMEMBER("pbiazure://api.powerbi.com 6e064a38-7f82-4416-9451-8d82a554b559 Model","[Facilities].[DATIMName].&amp;[Kibong'oto Infection Disease (KIDH) Hospital - National Super Specialist Hospital]")</f>
        <v>#N/A</v>
      </c>
      <c r="B121" t="e">
        <f t="shared" si="11"/>
        <v>#N/A</v>
      </c>
      <c r="C121" t="e">
        <f t="shared" si="11"/>
        <v>#N/A</v>
      </c>
      <c r="D121" t="e">
        <f t="shared" si="11"/>
        <v>#N/A</v>
      </c>
      <c r="E121" t="e">
        <f t="shared" si="11"/>
        <v>#N/A</v>
      </c>
      <c r="F121" t="e">
        <f t="shared" si="11"/>
        <v>#N/A</v>
      </c>
      <c r="G121" t="e">
        <f t="shared" si="11"/>
        <v>#N/A</v>
      </c>
      <c r="H121" t="e">
        <f t="shared" si="11"/>
        <v>#N/A</v>
      </c>
      <c r="I121" t="e">
        <f t="shared" si="11"/>
        <v>#N/A</v>
      </c>
      <c r="J121" t="e">
        <f t="shared" si="11"/>
        <v>#N/A</v>
      </c>
      <c r="K121" t="e">
        <f t="shared" si="11"/>
        <v>#N/A</v>
      </c>
      <c r="L121" t="e">
        <f t="shared" si="11"/>
        <v>#N/A</v>
      </c>
      <c r="M121" t="e">
        <f t="shared" si="11"/>
        <v>#N/A</v>
      </c>
      <c r="N121" t="e">
        <f t="shared" si="11"/>
        <v>#N/A</v>
      </c>
      <c r="O121" t="e">
        <f t="shared" si="11"/>
        <v>#N/A</v>
      </c>
      <c r="P121" t="e">
        <f t="shared" si="11"/>
        <v>#N/A</v>
      </c>
    </row>
    <row r="122" spans="1:16" x14ac:dyDescent="0.25">
      <c r="A122" t="e">
        <f>CUBEMEMBER("pbiazure://api.powerbi.com 6e064a38-7f82-4416-9451-8d82a554b559 Model","[Facilities].[DATIMName].&amp;[Kiboriloni Dispensary]")</f>
        <v>#N/A</v>
      </c>
      <c r="B122" t="e">
        <f t="shared" si="11"/>
        <v>#N/A</v>
      </c>
      <c r="C122" t="e">
        <f t="shared" si="11"/>
        <v>#N/A</v>
      </c>
      <c r="D122" t="e">
        <f t="shared" si="11"/>
        <v>#N/A</v>
      </c>
      <c r="E122" t="e">
        <f t="shared" si="11"/>
        <v>#N/A</v>
      </c>
      <c r="F122" t="e">
        <f t="shared" si="11"/>
        <v>#N/A</v>
      </c>
      <c r="G122" t="e">
        <f t="shared" si="11"/>
        <v>#N/A</v>
      </c>
      <c r="H122" t="e">
        <f t="shared" si="11"/>
        <v>#N/A</v>
      </c>
      <c r="I122" t="e">
        <f t="shared" si="11"/>
        <v>#N/A</v>
      </c>
      <c r="J122" t="e">
        <f t="shared" si="11"/>
        <v>#N/A</v>
      </c>
      <c r="K122" t="e">
        <f t="shared" si="11"/>
        <v>#N/A</v>
      </c>
      <c r="L122" t="e">
        <f t="shared" si="11"/>
        <v>#N/A</v>
      </c>
      <c r="M122" t="e">
        <f t="shared" si="11"/>
        <v>#N/A</v>
      </c>
      <c r="N122" t="e">
        <f t="shared" si="11"/>
        <v>#N/A</v>
      </c>
      <c r="O122" t="e">
        <f t="shared" si="11"/>
        <v>#N/A</v>
      </c>
      <c r="P122" t="e">
        <f t="shared" si="11"/>
        <v>#N/A</v>
      </c>
    </row>
    <row r="123" spans="1:16" x14ac:dyDescent="0.25">
      <c r="A123" t="e">
        <f>CUBEMEMBER("pbiazure://api.powerbi.com 6e064a38-7f82-4416-9451-8d82a554b559 Model","[Facilities].[DATIMName].&amp;[Kibosho Hospital - Designated District Hospital]")</f>
        <v>#N/A</v>
      </c>
      <c r="B123" t="e">
        <f t="shared" si="11"/>
        <v>#N/A</v>
      </c>
      <c r="C123" t="e">
        <f t="shared" si="11"/>
        <v>#N/A</v>
      </c>
      <c r="D123" t="e">
        <f t="shared" si="11"/>
        <v>#N/A</v>
      </c>
      <c r="E123" t="e">
        <f t="shared" si="11"/>
        <v>#N/A</v>
      </c>
      <c r="F123" t="e">
        <f t="shared" si="11"/>
        <v>#N/A</v>
      </c>
      <c r="G123" t="e">
        <f t="shared" si="11"/>
        <v>#N/A</v>
      </c>
      <c r="H123" t="e">
        <f t="shared" si="11"/>
        <v>#N/A</v>
      </c>
      <c r="I123" t="e">
        <f t="shared" si="11"/>
        <v>#N/A</v>
      </c>
      <c r="J123" t="e">
        <f t="shared" si="11"/>
        <v>#N/A</v>
      </c>
      <c r="K123" t="e">
        <f t="shared" si="11"/>
        <v>#N/A</v>
      </c>
      <c r="L123" t="e">
        <f t="shared" si="11"/>
        <v>#N/A</v>
      </c>
      <c r="M123" t="e">
        <f t="shared" si="11"/>
        <v>#N/A</v>
      </c>
      <c r="N123" t="e">
        <f t="shared" si="11"/>
        <v>#N/A</v>
      </c>
      <c r="O123" t="e">
        <f t="shared" si="11"/>
        <v>#N/A</v>
      </c>
      <c r="P123" t="e">
        <f t="shared" si="11"/>
        <v>#N/A</v>
      </c>
    </row>
    <row r="124" spans="1:16" x14ac:dyDescent="0.25">
      <c r="A124" t="e">
        <f>CUBEMEMBER("pbiazure://api.powerbi.com 6e064a38-7f82-4416-9451-8d82a554b559 Model","[Facilities].[DATIMName].&amp;[Kifaru Dispensary]")</f>
        <v>#N/A</v>
      </c>
      <c r="B124" t="e">
        <f t="shared" si="11"/>
        <v>#N/A</v>
      </c>
      <c r="C124" t="e">
        <f t="shared" si="11"/>
        <v>#N/A</v>
      </c>
      <c r="D124" t="e">
        <f t="shared" si="11"/>
        <v>#N/A</v>
      </c>
      <c r="E124" t="e">
        <f t="shared" si="11"/>
        <v>#N/A</v>
      </c>
      <c r="F124" t="e">
        <f t="shared" si="11"/>
        <v>#N/A</v>
      </c>
      <c r="G124" t="e">
        <f t="shared" si="11"/>
        <v>#N/A</v>
      </c>
      <c r="H124" t="e">
        <f t="shared" si="11"/>
        <v>#N/A</v>
      </c>
      <c r="I124" t="e">
        <f t="shared" si="11"/>
        <v>#N/A</v>
      </c>
      <c r="J124" t="e">
        <f t="shared" si="11"/>
        <v>#N/A</v>
      </c>
      <c r="K124" t="e">
        <f t="shared" si="11"/>
        <v>#N/A</v>
      </c>
      <c r="L124" t="e">
        <f t="shared" si="11"/>
        <v>#N/A</v>
      </c>
      <c r="M124" t="e">
        <f t="shared" si="11"/>
        <v>#N/A</v>
      </c>
      <c r="N124" t="e">
        <f t="shared" si="11"/>
        <v>#N/A</v>
      </c>
      <c r="O124" t="e">
        <f t="shared" si="11"/>
        <v>#N/A</v>
      </c>
      <c r="P124" t="e">
        <f t="shared" si="11"/>
        <v>#N/A</v>
      </c>
    </row>
    <row r="125" spans="1:16" x14ac:dyDescent="0.25">
      <c r="A125" t="e">
        <f>CUBEMEMBER("pbiazure://api.powerbi.com 6e064a38-7f82-4416-9451-8d82a554b559 Model","[Facilities].[DATIMName].&amp;[Kifula Health Center]")</f>
        <v>#N/A</v>
      </c>
      <c r="B125" t="e">
        <f t="shared" ref="B125:P134" si="12">CUBEVALUE("pbiazure://api.powerbi.com 6e064a38-7f82-4416-9451-8d82a554b559 Model",$B$1,$A125,B$4)</f>
        <v>#N/A</v>
      </c>
      <c r="C125" t="e">
        <f t="shared" si="12"/>
        <v>#N/A</v>
      </c>
      <c r="D125" t="e">
        <f t="shared" si="12"/>
        <v>#N/A</v>
      </c>
      <c r="E125" t="e">
        <f t="shared" si="12"/>
        <v>#N/A</v>
      </c>
      <c r="F125" t="e">
        <f t="shared" si="12"/>
        <v>#N/A</v>
      </c>
      <c r="G125" t="e">
        <f t="shared" si="12"/>
        <v>#N/A</v>
      </c>
      <c r="H125" t="e">
        <f t="shared" si="12"/>
        <v>#N/A</v>
      </c>
      <c r="I125" t="e">
        <f t="shared" si="12"/>
        <v>#N/A</v>
      </c>
      <c r="J125" t="e">
        <f t="shared" si="12"/>
        <v>#N/A</v>
      </c>
      <c r="K125" t="e">
        <f t="shared" si="12"/>
        <v>#N/A</v>
      </c>
      <c r="L125" t="e">
        <f t="shared" si="12"/>
        <v>#N/A</v>
      </c>
      <c r="M125" t="e">
        <f t="shared" si="12"/>
        <v>#N/A</v>
      </c>
      <c r="N125" t="e">
        <f t="shared" si="12"/>
        <v>#N/A</v>
      </c>
      <c r="O125" t="e">
        <f t="shared" si="12"/>
        <v>#N/A</v>
      </c>
      <c r="P125" t="e">
        <f t="shared" si="12"/>
        <v>#N/A</v>
      </c>
    </row>
    <row r="126" spans="1:16" x14ac:dyDescent="0.25">
      <c r="A126" t="e">
        <f>CUBEMEMBER("pbiazure://api.powerbi.com 6e064a38-7f82-4416-9451-8d82a554b559 Model","[Facilities].[DATIMName].&amp;[Kigonigoni Health Center]")</f>
        <v>#N/A</v>
      </c>
      <c r="B126" t="e">
        <f t="shared" si="12"/>
        <v>#N/A</v>
      </c>
      <c r="C126" t="e">
        <f t="shared" si="12"/>
        <v>#N/A</v>
      </c>
      <c r="D126" t="e">
        <f t="shared" si="12"/>
        <v>#N/A</v>
      </c>
      <c r="E126" t="e">
        <f t="shared" si="12"/>
        <v>#N/A</v>
      </c>
      <c r="F126" t="e">
        <f t="shared" si="12"/>
        <v>#N/A</v>
      </c>
      <c r="G126" t="e">
        <f t="shared" si="12"/>
        <v>#N/A</v>
      </c>
      <c r="H126" t="e">
        <f t="shared" si="12"/>
        <v>#N/A</v>
      </c>
      <c r="I126" t="e">
        <f t="shared" si="12"/>
        <v>#N/A</v>
      </c>
      <c r="J126" t="e">
        <f t="shared" si="12"/>
        <v>#N/A</v>
      </c>
      <c r="K126" t="e">
        <f t="shared" si="12"/>
        <v>#N/A</v>
      </c>
      <c r="L126" t="e">
        <f t="shared" si="12"/>
        <v>#N/A</v>
      </c>
      <c r="M126" t="e">
        <f t="shared" si="12"/>
        <v>#N/A</v>
      </c>
      <c r="N126" t="e">
        <f t="shared" si="12"/>
        <v>#N/A</v>
      </c>
      <c r="O126" t="e">
        <f t="shared" si="12"/>
        <v>#N/A</v>
      </c>
      <c r="P126" t="e">
        <f t="shared" si="12"/>
        <v>#N/A</v>
      </c>
    </row>
    <row r="127" spans="1:16" x14ac:dyDescent="0.25">
      <c r="A127" t="e">
        <f>CUBEMEMBER("pbiazure://api.powerbi.com 6e064a38-7f82-4416-9451-8d82a554b559 Model","[Facilities].[DATIMName].&amp;[Kigwe Health Center]")</f>
        <v>#N/A</v>
      </c>
      <c r="B127" t="e">
        <f t="shared" si="12"/>
        <v>#N/A</v>
      </c>
      <c r="C127" t="e">
        <f t="shared" si="12"/>
        <v>#N/A</v>
      </c>
      <c r="D127" t="e">
        <f t="shared" si="12"/>
        <v>#N/A</v>
      </c>
      <c r="E127" t="e">
        <f t="shared" si="12"/>
        <v>#N/A</v>
      </c>
      <c r="F127" t="e">
        <f t="shared" si="12"/>
        <v>#N/A</v>
      </c>
      <c r="G127" t="e">
        <f t="shared" si="12"/>
        <v>#N/A</v>
      </c>
      <c r="H127" t="e">
        <f t="shared" si="12"/>
        <v>#N/A</v>
      </c>
      <c r="I127" t="e">
        <f t="shared" si="12"/>
        <v>#N/A</v>
      </c>
      <c r="J127" t="e">
        <f t="shared" si="12"/>
        <v>#N/A</v>
      </c>
      <c r="K127" t="e">
        <f t="shared" si="12"/>
        <v>#N/A</v>
      </c>
      <c r="L127" t="e">
        <f t="shared" si="12"/>
        <v>#N/A</v>
      </c>
      <c r="M127" t="e">
        <f t="shared" si="12"/>
        <v>#N/A</v>
      </c>
      <c r="N127" t="e">
        <f t="shared" si="12"/>
        <v>#N/A</v>
      </c>
      <c r="O127" t="e">
        <f t="shared" si="12"/>
        <v>#N/A</v>
      </c>
      <c r="P127" t="e">
        <f t="shared" si="12"/>
        <v>#N/A</v>
      </c>
    </row>
    <row r="128" spans="1:16" x14ac:dyDescent="0.25">
      <c r="A128" t="e">
        <f>CUBEMEMBER("pbiazure://api.powerbi.com 6e064a38-7f82-4416-9451-8d82a554b559 Model","[Facilities].[DATIMName].&amp;[Kijenge RC Dispensary]")</f>
        <v>#N/A</v>
      </c>
      <c r="B128" t="e">
        <f t="shared" si="12"/>
        <v>#N/A</v>
      </c>
      <c r="C128" t="e">
        <f t="shared" si="12"/>
        <v>#N/A</v>
      </c>
      <c r="D128" t="e">
        <f t="shared" si="12"/>
        <v>#N/A</v>
      </c>
      <c r="E128" t="e">
        <f t="shared" si="12"/>
        <v>#N/A</v>
      </c>
      <c r="F128" t="e">
        <f t="shared" si="12"/>
        <v>#N/A</v>
      </c>
      <c r="G128" t="e">
        <f t="shared" si="12"/>
        <v>#N/A</v>
      </c>
      <c r="H128" t="e">
        <f t="shared" si="12"/>
        <v>#N/A</v>
      </c>
      <c r="I128" t="e">
        <f t="shared" si="12"/>
        <v>#N/A</v>
      </c>
      <c r="J128" t="e">
        <f t="shared" si="12"/>
        <v>#N/A</v>
      </c>
      <c r="K128" t="e">
        <f t="shared" si="12"/>
        <v>#N/A</v>
      </c>
      <c r="L128" t="e">
        <f t="shared" si="12"/>
        <v>#N/A</v>
      </c>
      <c r="M128" t="e">
        <f t="shared" si="12"/>
        <v>#N/A</v>
      </c>
      <c r="N128" t="e">
        <f t="shared" si="12"/>
        <v>#N/A</v>
      </c>
      <c r="O128" t="e">
        <f t="shared" si="12"/>
        <v>#N/A</v>
      </c>
      <c r="P128" t="e">
        <f t="shared" si="12"/>
        <v>#N/A</v>
      </c>
    </row>
    <row r="129" spans="1:16" x14ac:dyDescent="0.25">
      <c r="A129" t="e">
        <f>CUBEMEMBER("pbiazure://api.powerbi.com 6e064a38-7f82-4416-9451-8d82a554b559 Model","[Facilities].[DATIMName].&amp;[Kijungu Dispensary]")</f>
        <v>#N/A</v>
      </c>
      <c r="B129" t="e">
        <f t="shared" si="12"/>
        <v>#N/A</v>
      </c>
      <c r="C129" t="e">
        <f t="shared" si="12"/>
        <v>#N/A</v>
      </c>
      <c r="D129" t="e">
        <f t="shared" si="12"/>
        <v>#N/A</v>
      </c>
      <c r="E129" t="e">
        <f t="shared" si="12"/>
        <v>#N/A</v>
      </c>
      <c r="F129" t="e">
        <f t="shared" si="12"/>
        <v>#N/A</v>
      </c>
      <c r="G129" t="e">
        <f t="shared" si="12"/>
        <v>#N/A</v>
      </c>
      <c r="H129" t="e">
        <f t="shared" si="12"/>
        <v>#N/A</v>
      </c>
      <c r="I129" t="e">
        <f t="shared" si="12"/>
        <v>#N/A</v>
      </c>
      <c r="J129" t="e">
        <f t="shared" si="12"/>
        <v>#N/A</v>
      </c>
      <c r="K129" t="e">
        <f t="shared" si="12"/>
        <v>#N/A</v>
      </c>
      <c r="L129" t="e">
        <f t="shared" si="12"/>
        <v>#N/A</v>
      </c>
      <c r="M129" t="e">
        <f t="shared" si="12"/>
        <v>#N/A</v>
      </c>
      <c r="N129" t="e">
        <f t="shared" si="12"/>
        <v>#N/A</v>
      </c>
      <c r="O129" t="e">
        <f t="shared" si="12"/>
        <v>#N/A</v>
      </c>
      <c r="P129" t="e">
        <f t="shared" si="12"/>
        <v>#N/A</v>
      </c>
    </row>
    <row r="130" spans="1:16" x14ac:dyDescent="0.25">
      <c r="A130" t="e">
        <f>CUBEMEMBER("pbiazure://api.powerbi.com 6e064a38-7f82-4416-9451-8d82a554b559 Model","[Facilities].[DATIMName].&amp;[Kikarara Dispensary]")</f>
        <v>#N/A</v>
      </c>
      <c r="B130" t="e">
        <f t="shared" si="12"/>
        <v>#N/A</v>
      </c>
      <c r="C130" t="e">
        <f t="shared" si="12"/>
        <v>#N/A</v>
      </c>
      <c r="D130" t="e">
        <f t="shared" si="12"/>
        <v>#N/A</v>
      </c>
      <c r="E130" t="e">
        <f t="shared" si="12"/>
        <v>#N/A</v>
      </c>
      <c r="F130" t="e">
        <f t="shared" si="12"/>
        <v>#N/A</v>
      </c>
      <c r="G130" t="e">
        <f t="shared" si="12"/>
        <v>#N/A</v>
      </c>
      <c r="H130" t="e">
        <f t="shared" si="12"/>
        <v>#N/A</v>
      </c>
      <c r="I130" t="e">
        <f t="shared" si="12"/>
        <v>#N/A</v>
      </c>
      <c r="J130" t="e">
        <f t="shared" si="12"/>
        <v>#N/A</v>
      </c>
      <c r="K130" t="e">
        <f t="shared" si="12"/>
        <v>#N/A</v>
      </c>
      <c r="L130" t="e">
        <f t="shared" si="12"/>
        <v>#N/A</v>
      </c>
      <c r="M130" t="e">
        <f t="shared" si="12"/>
        <v>#N/A</v>
      </c>
      <c r="N130" t="e">
        <f t="shared" si="12"/>
        <v>#N/A</v>
      </c>
      <c r="O130" t="e">
        <f t="shared" si="12"/>
        <v>#N/A</v>
      </c>
      <c r="P130" t="e">
        <f t="shared" si="12"/>
        <v>#N/A</v>
      </c>
    </row>
    <row r="131" spans="1:16" x14ac:dyDescent="0.25">
      <c r="A131" t="e">
        <f>CUBEMEMBER("pbiazure://api.powerbi.com 6e064a38-7f82-4416-9451-8d82a554b559 Model","[Facilities].[DATIMName].&amp;[Kikavu Chini Dispensary]")</f>
        <v>#N/A</v>
      </c>
      <c r="B131" t="e">
        <f t="shared" si="12"/>
        <v>#N/A</v>
      </c>
      <c r="C131" t="e">
        <f t="shared" si="12"/>
        <v>#N/A</v>
      </c>
      <c r="D131" t="e">
        <f t="shared" si="12"/>
        <v>#N/A</v>
      </c>
      <c r="E131" t="e">
        <f t="shared" si="12"/>
        <v>#N/A</v>
      </c>
      <c r="F131" t="e">
        <f t="shared" si="12"/>
        <v>#N/A</v>
      </c>
      <c r="G131" t="e">
        <f t="shared" si="12"/>
        <v>#N/A</v>
      </c>
      <c r="H131" t="e">
        <f t="shared" si="12"/>
        <v>#N/A</v>
      </c>
      <c r="I131" t="e">
        <f t="shared" si="12"/>
        <v>#N/A</v>
      </c>
      <c r="J131" t="e">
        <f t="shared" si="12"/>
        <v>#N/A</v>
      </c>
      <c r="K131" t="e">
        <f t="shared" si="12"/>
        <v>#N/A</v>
      </c>
      <c r="L131" t="e">
        <f t="shared" si="12"/>
        <v>#N/A</v>
      </c>
      <c r="M131" t="e">
        <f t="shared" si="12"/>
        <v>#N/A</v>
      </c>
      <c r="N131" t="e">
        <f t="shared" si="12"/>
        <v>#N/A</v>
      </c>
      <c r="O131" t="e">
        <f t="shared" si="12"/>
        <v>#N/A</v>
      </c>
      <c r="P131" t="e">
        <f t="shared" si="12"/>
        <v>#N/A</v>
      </c>
    </row>
    <row r="132" spans="1:16" x14ac:dyDescent="0.25">
      <c r="A132" t="e">
        <f>CUBEMEMBER("pbiazure://api.powerbi.com 6e064a38-7f82-4416-9451-8d82a554b559 Model","[Facilities].[DATIMName].&amp;[Kikombo Health Center]")</f>
        <v>#N/A</v>
      </c>
      <c r="B132" t="e">
        <f t="shared" si="12"/>
        <v>#N/A</v>
      </c>
      <c r="C132" t="e">
        <f t="shared" si="12"/>
        <v>#N/A</v>
      </c>
      <c r="D132" t="e">
        <f t="shared" si="12"/>
        <v>#N/A</v>
      </c>
      <c r="E132" t="e">
        <f t="shared" si="12"/>
        <v>#N/A</v>
      </c>
      <c r="F132" t="e">
        <f t="shared" si="12"/>
        <v>#N/A</v>
      </c>
      <c r="G132" t="e">
        <f t="shared" si="12"/>
        <v>#N/A</v>
      </c>
      <c r="H132" t="e">
        <f t="shared" si="12"/>
        <v>#N/A</v>
      </c>
      <c r="I132" t="e">
        <f t="shared" si="12"/>
        <v>#N/A</v>
      </c>
      <c r="J132" t="e">
        <f t="shared" si="12"/>
        <v>#N/A</v>
      </c>
      <c r="K132" t="e">
        <f t="shared" si="12"/>
        <v>#N/A</v>
      </c>
      <c r="L132" t="e">
        <f t="shared" si="12"/>
        <v>#N/A</v>
      </c>
      <c r="M132" t="e">
        <f t="shared" si="12"/>
        <v>#N/A</v>
      </c>
      <c r="N132" t="e">
        <f t="shared" si="12"/>
        <v>#N/A</v>
      </c>
      <c r="O132" t="e">
        <f t="shared" si="12"/>
        <v>#N/A</v>
      </c>
      <c r="P132" t="e">
        <f t="shared" si="12"/>
        <v>#N/A</v>
      </c>
    </row>
    <row r="133" spans="1:16" x14ac:dyDescent="0.25">
      <c r="A133" t="e">
        <f>CUBEMEMBER("pbiazure://api.powerbi.com 6e064a38-7f82-4416-9451-8d82a554b559 Model","[Facilities].[DATIMName].&amp;[Kikuyu Dispensary]")</f>
        <v>#N/A</v>
      </c>
      <c r="B133" t="e">
        <f t="shared" si="12"/>
        <v>#N/A</v>
      </c>
      <c r="C133" t="e">
        <f t="shared" si="12"/>
        <v>#N/A</v>
      </c>
      <c r="D133" t="e">
        <f t="shared" si="12"/>
        <v>#N/A</v>
      </c>
      <c r="E133" t="e">
        <f t="shared" si="12"/>
        <v>#N/A</v>
      </c>
      <c r="F133" t="e">
        <f t="shared" si="12"/>
        <v>#N/A</v>
      </c>
      <c r="G133" t="e">
        <f t="shared" si="12"/>
        <v>#N/A</v>
      </c>
      <c r="H133" t="e">
        <f t="shared" si="12"/>
        <v>#N/A</v>
      </c>
      <c r="I133" t="e">
        <f t="shared" si="12"/>
        <v>#N/A</v>
      </c>
      <c r="J133" t="e">
        <f t="shared" si="12"/>
        <v>#N/A</v>
      </c>
      <c r="K133" t="e">
        <f t="shared" si="12"/>
        <v>#N/A</v>
      </c>
      <c r="L133" t="e">
        <f t="shared" si="12"/>
        <v>#N/A</v>
      </c>
      <c r="M133" t="e">
        <f t="shared" si="12"/>
        <v>#N/A</v>
      </c>
      <c r="N133" t="e">
        <f t="shared" si="12"/>
        <v>#N/A</v>
      </c>
      <c r="O133" t="e">
        <f t="shared" si="12"/>
        <v>#N/A</v>
      </c>
      <c r="P133" t="e">
        <f t="shared" si="12"/>
        <v>#N/A</v>
      </c>
    </row>
    <row r="134" spans="1:16" x14ac:dyDescent="0.25">
      <c r="A134" t="e">
        <f>CUBEMEMBER("pbiazure://api.powerbi.com 6e064a38-7f82-4416-9451-8d82a554b559 Model","[Facilities].[DATIMName].&amp;[Kilema Hospital - Designated District Hospital]")</f>
        <v>#N/A</v>
      </c>
      <c r="B134" t="e">
        <f t="shared" si="12"/>
        <v>#N/A</v>
      </c>
      <c r="C134" t="e">
        <f t="shared" si="12"/>
        <v>#N/A</v>
      </c>
      <c r="D134" t="e">
        <f t="shared" si="12"/>
        <v>#N/A</v>
      </c>
      <c r="E134" t="e">
        <f t="shared" si="12"/>
        <v>#N/A</v>
      </c>
      <c r="F134" t="e">
        <f t="shared" si="12"/>
        <v>#N/A</v>
      </c>
      <c r="G134" t="e">
        <f t="shared" si="12"/>
        <v>#N/A</v>
      </c>
      <c r="H134" t="e">
        <f t="shared" si="12"/>
        <v>#N/A</v>
      </c>
      <c r="I134" t="e">
        <f t="shared" si="12"/>
        <v>#N/A</v>
      </c>
      <c r="J134" t="e">
        <f t="shared" si="12"/>
        <v>#N/A</v>
      </c>
      <c r="K134" t="e">
        <f t="shared" si="12"/>
        <v>#N/A</v>
      </c>
      <c r="L134" t="e">
        <f t="shared" si="12"/>
        <v>#N/A</v>
      </c>
      <c r="M134" t="e">
        <f t="shared" si="12"/>
        <v>#N/A</v>
      </c>
      <c r="N134" t="e">
        <f t="shared" si="12"/>
        <v>#N/A</v>
      </c>
      <c r="O134" t="e">
        <f t="shared" si="12"/>
        <v>#N/A</v>
      </c>
      <c r="P134" t="e">
        <f t="shared" si="12"/>
        <v>#N/A</v>
      </c>
    </row>
    <row r="135" spans="1:16" x14ac:dyDescent="0.25">
      <c r="A135" t="e">
        <f>CUBEMEMBER("pbiazure://api.powerbi.com 6e064a38-7f82-4416-9451-8d82a554b559 Model","[Facilities].[DATIMName].&amp;[Kilema Pofo Dispensary]")</f>
        <v>#N/A</v>
      </c>
      <c r="B135" t="e">
        <f t="shared" ref="B135:P144" si="13">CUBEVALUE("pbiazure://api.powerbi.com 6e064a38-7f82-4416-9451-8d82a554b559 Model",$B$1,$A135,B$4)</f>
        <v>#N/A</v>
      </c>
      <c r="C135" t="e">
        <f t="shared" si="13"/>
        <v>#N/A</v>
      </c>
      <c r="D135" t="e">
        <f t="shared" si="13"/>
        <v>#N/A</v>
      </c>
      <c r="E135" t="e">
        <f t="shared" si="13"/>
        <v>#N/A</v>
      </c>
      <c r="F135" t="e">
        <f t="shared" si="13"/>
        <v>#N/A</v>
      </c>
      <c r="G135" t="e">
        <f t="shared" si="13"/>
        <v>#N/A</v>
      </c>
      <c r="H135" t="e">
        <f t="shared" si="13"/>
        <v>#N/A</v>
      </c>
      <c r="I135" t="e">
        <f t="shared" si="13"/>
        <v>#N/A</v>
      </c>
      <c r="J135" t="e">
        <f t="shared" si="13"/>
        <v>#N/A</v>
      </c>
      <c r="K135" t="e">
        <f t="shared" si="13"/>
        <v>#N/A</v>
      </c>
      <c r="L135" t="e">
        <f t="shared" si="13"/>
        <v>#N/A</v>
      </c>
      <c r="M135" t="e">
        <f t="shared" si="13"/>
        <v>#N/A</v>
      </c>
      <c r="N135" t="e">
        <f t="shared" si="13"/>
        <v>#N/A</v>
      </c>
      <c r="O135" t="e">
        <f t="shared" si="13"/>
        <v>#N/A</v>
      </c>
      <c r="P135" t="e">
        <f t="shared" si="13"/>
        <v>#N/A</v>
      </c>
    </row>
    <row r="136" spans="1:16" x14ac:dyDescent="0.25">
      <c r="A136" t="e">
        <f>CUBEMEMBER("pbiazure://api.powerbi.com 6e064a38-7f82-4416-9451-8d82a554b559 Model","[Facilities].[DATIMName].&amp;[Kilimanjaro medical (PAPRI) Dispensary]")</f>
        <v>#N/A</v>
      </c>
      <c r="B136" t="e">
        <f t="shared" si="13"/>
        <v>#N/A</v>
      </c>
      <c r="C136" t="e">
        <f t="shared" si="13"/>
        <v>#N/A</v>
      </c>
      <c r="D136" t="e">
        <f t="shared" si="13"/>
        <v>#N/A</v>
      </c>
      <c r="E136" t="e">
        <f t="shared" si="13"/>
        <v>#N/A</v>
      </c>
      <c r="F136" t="e">
        <f t="shared" si="13"/>
        <v>#N/A</v>
      </c>
      <c r="G136" t="e">
        <f t="shared" si="13"/>
        <v>#N/A</v>
      </c>
      <c r="H136" t="e">
        <f t="shared" si="13"/>
        <v>#N/A</v>
      </c>
      <c r="I136" t="e">
        <f t="shared" si="13"/>
        <v>#N/A</v>
      </c>
      <c r="J136" t="e">
        <f t="shared" si="13"/>
        <v>#N/A</v>
      </c>
      <c r="K136" t="e">
        <f t="shared" si="13"/>
        <v>#N/A</v>
      </c>
      <c r="L136" t="e">
        <f t="shared" si="13"/>
        <v>#N/A</v>
      </c>
      <c r="M136" t="e">
        <f t="shared" si="13"/>
        <v>#N/A</v>
      </c>
      <c r="N136" t="e">
        <f t="shared" si="13"/>
        <v>#N/A</v>
      </c>
      <c r="O136" t="e">
        <f t="shared" si="13"/>
        <v>#N/A</v>
      </c>
      <c r="P136" t="e">
        <f t="shared" si="13"/>
        <v>#N/A</v>
      </c>
    </row>
    <row r="137" spans="1:16" x14ac:dyDescent="0.25">
      <c r="A137" t="e">
        <f>CUBEMEMBER("pbiazure://api.powerbi.com 6e064a38-7f82-4416-9451-8d82a554b559 Model","[Facilities].[DATIMName].&amp;[Kilimatinde Hospital]")</f>
        <v>#N/A</v>
      </c>
      <c r="B137" t="e">
        <f t="shared" si="13"/>
        <v>#N/A</v>
      </c>
      <c r="C137" t="e">
        <f t="shared" si="13"/>
        <v>#N/A</v>
      </c>
      <c r="D137" t="e">
        <f t="shared" si="13"/>
        <v>#N/A</v>
      </c>
      <c r="E137" t="e">
        <f t="shared" si="13"/>
        <v>#N/A</v>
      </c>
      <c r="F137" t="e">
        <f t="shared" si="13"/>
        <v>#N/A</v>
      </c>
      <c r="G137" t="e">
        <f t="shared" si="13"/>
        <v>#N/A</v>
      </c>
      <c r="H137" t="e">
        <f t="shared" si="13"/>
        <v>#N/A</v>
      </c>
      <c r="I137" t="e">
        <f t="shared" si="13"/>
        <v>#N/A</v>
      </c>
      <c r="J137" t="e">
        <f t="shared" si="13"/>
        <v>#N/A</v>
      </c>
      <c r="K137" t="e">
        <f t="shared" si="13"/>
        <v>#N/A</v>
      </c>
      <c r="L137" t="e">
        <f t="shared" si="13"/>
        <v>#N/A</v>
      </c>
      <c r="M137" t="e">
        <f t="shared" si="13"/>
        <v>#N/A</v>
      </c>
      <c r="N137" t="e">
        <f t="shared" si="13"/>
        <v>#N/A</v>
      </c>
      <c r="O137" t="e">
        <f t="shared" si="13"/>
        <v>#N/A</v>
      </c>
      <c r="P137" t="e">
        <f t="shared" si="13"/>
        <v>#N/A</v>
      </c>
    </row>
    <row r="138" spans="1:16" x14ac:dyDescent="0.25">
      <c r="A138" t="e">
        <f>CUBEMEMBER("pbiazure://api.powerbi.com 6e064a38-7f82-4416-9451-8d82a554b559 Model","[Facilities].[DATIMName].&amp;[Kilombero Dispensary]")</f>
        <v>#N/A</v>
      </c>
      <c r="B138" t="e">
        <f t="shared" si="13"/>
        <v>#N/A</v>
      </c>
      <c r="C138" t="e">
        <f t="shared" si="13"/>
        <v>#N/A</v>
      </c>
      <c r="D138" t="e">
        <f t="shared" si="13"/>
        <v>#N/A</v>
      </c>
      <c r="E138" t="e">
        <f t="shared" si="13"/>
        <v>#N/A</v>
      </c>
      <c r="F138" t="e">
        <f t="shared" si="13"/>
        <v>#N/A</v>
      </c>
      <c r="G138" t="e">
        <f t="shared" si="13"/>
        <v>#N/A</v>
      </c>
      <c r="H138" t="e">
        <f t="shared" si="13"/>
        <v>#N/A</v>
      </c>
      <c r="I138" t="e">
        <f t="shared" si="13"/>
        <v>#N/A</v>
      </c>
      <c r="J138" t="e">
        <f t="shared" si="13"/>
        <v>#N/A</v>
      </c>
      <c r="K138" t="e">
        <f t="shared" si="13"/>
        <v>#N/A</v>
      </c>
      <c r="L138" t="e">
        <f t="shared" si="13"/>
        <v>#N/A</v>
      </c>
      <c r="M138" t="e">
        <f t="shared" si="13"/>
        <v>#N/A</v>
      </c>
      <c r="N138" t="e">
        <f t="shared" si="13"/>
        <v>#N/A</v>
      </c>
      <c r="O138" t="e">
        <f t="shared" si="13"/>
        <v>#N/A</v>
      </c>
      <c r="P138" t="e">
        <f t="shared" si="13"/>
        <v>#N/A</v>
      </c>
    </row>
    <row r="139" spans="1:16" x14ac:dyDescent="0.25">
      <c r="A139" t="e">
        <f>CUBEMEMBER("pbiazure://api.powerbi.com 6e064a38-7f82-4416-9451-8d82a554b559 Model","[Facilities].[DATIMName].&amp;[Kimotorok Dispensary]")</f>
        <v>#N/A</v>
      </c>
      <c r="B139" t="e">
        <f t="shared" si="13"/>
        <v>#N/A</v>
      </c>
      <c r="C139" t="e">
        <f t="shared" si="13"/>
        <v>#N/A</v>
      </c>
      <c r="D139" t="e">
        <f t="shared" si="13"/>
        <v>#N/A</v>
      </c>
      <c r="E139" t="e">
        <f t="shared" si="13"/>
        <v>#N/A</v>
      </c>
      <c r="F139" t="e">
        <f t="shared" si="13"/>
        <v>#N/A</v>
      </c>
      <c r="G139" t="e">
        <f t="shared" si="13"/>
        <v>#N/A</v>
      </c>
      <c r="H139" t="e">
        <f t="shared" si="13"/>
        <v>#N/A</v>
      </c>
      <c r="I139" t="e">
        <f t="shared" si="13"/>
        <v>#N/A</v>
      </c>
      <c r="J139" t="e">
        <f t="shared" si="13"/>
        <v>#N/A</v>
      </c>
      <c r="K139" t="e">
        <f t="shared" si="13"/>
        <v>#N/A</v>
      </c>
      <c r="L139" t="e">
        <f t="shared" si="13"/>
        <v>#N/A</v>
      </c>
      <c r="M139" t="e">
        <f t="shared" si="13"/>
        <v>#N/A</v>
      </c>
      <c r="N139" t="e">
        <f t="shared" si="13"/>
        <v>#N/A</v>
      </c>
      <c r="O139" t="e">
        <f t="shared" si="13"/>
        <v>#N/A</v>
      </c>
      <c r="P139" t="e">
        <f t="shared" si="13"/>
        <v>#N/A</v>
      </c>
    </row>
    <row r="140" spans="1:16" x14ac:dyDescent="0.25">
      <c r="A140" t="e">
        <f>CUBEMEMBER("pbiazure://api.powerbi.com 6e064a38-7f82-4416-9451-8d82a554b559 Model","[Facilities].[DATIMName].&amp;[Kinangali Dispensary]")</f>
        <v>#N/A</v>
      </c>
      <c r="B140" t="e">
        <f t="shared" si="13"/>
        <v>#N/A</v>
      </c>
      <c r="C140" t="e">
        <f t="shared" si="13"/>
        <v>#N/A</v>
      </c>
      <c r="D140" t="e">
        <f t="shared" si="13"/>
        <v>#N/A</v>
      </c>
      <c r="E140" t="e">
        <f t="shared" si="13"/>
        <v>#N/A</v>
      </c>
      <c r="F140" t="e">
        <f t="shared" si="13"/>
        <v>#N/A</v>
      </c>
      <c r="G140" t="e">
        <f t="shared" si="13"/>
        <v>#N/A</v>
      </c>
      <c r="H140" t="e">
        <f t="shared" si="13"/>
        <v>#N/A</v>
      </c>
      <c r="I140" t="e">
        <f t="shared" si="13"/>
        <v>#N/A</v>
      </c>
      <c r="J140" t="e">
        <f t="shared" si="13"/>
        <v>#N/A</v>
      </c>
      <c r="K140" t="e">
        <f t="shared" si="13"/>
        <v>#N/A</v>
      </c>
      <c r="L140" t="e">
        <f t="shared" si="13"/>
        <v>#N/A</v>
      </c>
      <c r="M140" t="e">
        <f t="shared" si="13"/>
        <v>#N/A</v>
      </c>
      <c r="N140" t="e">
        <f t="shared" si="13"/>
        <v>#N/A</v>
      </c>
      <c r="O140" t="e">
        <f t="shared" si="13"/>
        <v>#N/A</v>
      </c>
      <c r="P140" t="e">
        <f t="shared" si="13"/>
        <v>#N/A</v>
      </c>
    </row>
    <row r="141" spans="1:16" x14ac:dyDescent="0.25">
      <c r="A141" t="e">
        <f>CUBEMEMBER("pbiazure://api.powerbi.com 6e064a38-7f82-4416-9451-8d82a554b559 Model","[Facilities].[DATIMName].&amp;[Kingale Dispensary]")</f>
        <v>#N/A</v>
      </c>
      <c r="B141" t="e">
        <f t="shared" si="13"/>
        <v>#N/A</v>
      </c>
      <c r="C141" t="e">
        <f t="shared" si="13"/>
        <v>#N/A</v>
      </c>
      <c r="D141" t="e">
        <f t="shared" si="13"/>
        <v>#N/A</v>
      </c>
      <c r="E141" t="e">
        <f t="shared" si="13"/>
        <v>#N/A</v>
      </c>
      <c r="F141" t="e">
        <f t="shared" si="13"/>
        <v>#N/A</v>
      </c>
      <c r="G141" t="e">
        <f t="shared" si="13"/>
        <v>#N/A</v>
      </c>
      <c r="H141" t="e">
        <f t="shared" si="13"/>
        <v>#N/A</v>
      </c>
      <c r="I141" t="e">
        <f t="shared" si="13"/>
        <v>#N/A</v>
      </c>
      <c r="J141" t="e">
        <f t="shared" si="13"/>
        <v>#N/A</v>
      </c>
      <c r="K141" t="e">
        <f t="shared" si="13"/>
        <v>#N/A</v>
      </c>
      <c r="L141" t="e">
        <f t="shared" si="13"/>
        <v>#N/A</v>
      </c>
      <c r="M141" t="e">
        <f t="shared" si="13"/>
        <v>#N/A</v>
      </c>
      <c r="N141" t="e">
        <f t="shared" si="13"/>
        <v>#N/A</v>
      </c>
      <c r="O141" t="e">
        <f t="shared" si="13"/>
        <v>#N/A</v>
      </c>
      <c r="P141" t="e">
        <f t="shared" si="13"/>
        <v>#N/A</v>
      </c>
    </row>
    <row r="142" spans="1:16" x14ac:dyDescent="0.25">
      <c r="A142" t="e">
        <f>CUBEMEMBER("pbiazure://api.powerbi.com 6e064a38-7f82-4416-9451-8d82a554b559 Model","[Facilities].[DATIMName].&amp;[Kintanula Dispensary]")</f>
        <v>#N/A</v>
      </c>
      <c r="B142" t="e">
        <f t="shared" si="13"/>
        <v>#N/A</v>
      </c>
      <c r="C142" t="e">
        <f t="shared" si="13"/>
        <v>#N/A</v>
      </c>
      <c r="D142" t="e">
        <f t="shared" si="13"/>
        <v>#N/A</v>
      </c>
      <c r="E142" t="e">
        <f t="shared" si="13"/>
        <v>#N/A</v>
      </c>
      <c r="F142" t="e">
        <f t="shared" si="13"/>
        <v>#N/A</v>
      </c>
      <c r="G142" t="e">
        <f t="shared" si="13"/>
        <v>#N/A</v>
      </c>
      <c r="H142" t="e">
        <f t="shared" si="13"/>
        <v>#N/A</v>
      </c>
      <c r="I142" t="e">
        <f t="shared" si="13"/>
        <v>#N/A</v>
      </c>
      <c r="J142" t="e">
        <f t="shared" si="13"/>
        <v>#N/A</v>
      </c>
      <c r="K142" t="e">
        <f t="shared" si="13"/>
        <v>#N/A</v>
      </c>
      <c r="L142" t="e">
        <f t="shared" si="13"/>
        <v>#N/A</v>
      </c>
      <c r="M142" t="e">
        <f t="shared" si="13"/>
        <v>#N/A</v>
      </c>
      <c r="N142" t="e">
        <f t="shared" si="13"/>
        <v>#N/A</v>
      </c>
      <c r="O142" t="e">
        <f t="shared" si="13"/>
        <v>#N/A</v>
      </c>
      <c r="P142" t="e">
        <f t="shared" si="13"/>
        <v>#N/A</v>
      </c>
    </row>
    <row r="143" spans="1:16" x14ac:dyDescent="0.25">
      <c r="A143" t="e">
        <f>CUBEMEMBER("pbiazure://api.powerbi.com 6e064a38-7f82-4416-9451-8d82a554b559 Model","[Facilities].[DATIMName].&amp;[Kintinku Health Center]")</f>
        <v>#N/A</v>
      </c>
      <c r="B143" t="e">
        <f t="shared" si="13"/>
        <v>#N/A</v>
      </c>
      <c r="C143" t="e">
        <f t="shared" si="13"/>
        <v>#N/A</v>
      </c>
      <c r="D143" t="e">
        <f t="shared" si="13"/>
        <v>#N/A</v>
      </c>
      <c r="E143" t="e">
        <f t="shared" si="13"/>
        <v>#N/A</v>
      </c>
      <c r="F143" t="e">
        <f t="shared" si="13"/>
        <v>#N/A</v>
      </c>
      <c r="G143" t="e">
        <f t="shared" si="13"/>
        <v>#N/A</v>
      </c>
      <c r="H143" t="e">
        <f t="shared" si="13"/>
        <v>#N/A</v>
      </c>
      <c r="I143" t="e">
        <f t="shared" si="13"/>
        <v>#N/A</v>
      </c>
      <c r="J143" t="e">
        <f t="shared" si="13"/>
        <v>#N/A</v>
      </c>
      <c r="K143" t="e">
        <f t="shared" si="13"/>
        <v>#N/A</v>
      </c>
      <c r="L143" t="e">
        <f t="shared" si="13"/>
        <v>#N/A</v>
      </c>
      <c r="M143" t="e">
        <f t="shared" si="13"/>
        <v>#N/A</v>
      </c>
      <c r="N143" t="e">
        <f t="shared" si="13"/>
        <v>#N/A</v>
      </c>
      <c r="O143" t="e">
        <f t="shared" si="13"/>
        <v>#N/A</v>
      </c>
      <c r="P143" t="e">
        <f t="shared" si="13"/>
        <v>#N/A</v>
      </c>
    </row>
    <row r="144" spans="1:16" x14ac:dyDescent="0.25">
      <c r="A144" t="e">
        <f>CUBEMEMBER("pbiazure://api.powerbi.com 6e064a38-7f82-4416-9451-8d82a554b559 Model","[Facilities].[DATIMName].&amp;[Kinyangiri Health Center]")</f>
        <v>#N/A</v>
      </c>
      <c r="B144" t="e">
        <f t="shared" si="13"/>
        <v>#N/A</v>
      </c>
      <c r="C144" t="e">
        <f t="shared" si="13"/>
        <v>#N/A</v>
      </c>
      <c r="D144" t="e">
        <f t="shared" si="13"/>
        <v>#N/A</v>
      </c>
      <c r="E144" t="e">
        <f t="shared" si="13"/>
        <v>#N/A</v>
      </c>
      <c r="F144" t="e">
        <f t="shared" si="13"/>
        <v>#N/A</v>
      </c>
      <c r="G144" t="e">
        <f t="shared" si="13"/>
        <v>#N/A</v>
      </c>
      <c r="H144" t="e">
        <f t="shared" si="13"/>
        <v>#N/A</v>
      </c>
      <c r="I144" t="e">
        <f t="shared" si="13"/>
        <v>#N/A</v>
      </c>
      <c r="J144" t="e">
        <f t="shared" si="13"/>
        <v>#N/A</v>
      </c>
      <c r="K144" t="e">
        <f t="shared" si="13"/>
        <v>#N/A</v>
      </c>
      <c r="L144" t="e">
        <f t="shared" si="13"/>
        <v>#N/A</v>
      </c>
      <c r="M144" t="e">
        <f t="shared" si="13"/>
        <v>#N/A</v>
      </c>
      <c r="N144" t="e">
        <f t="shared" si="13"/>
        <v>#N/A</v>
      </c>
      <c r="O144" t="e">
        <f t="shared" si="13"/>
        <v>#N/A</v>
      </c>
      <c r="P144" t="e">
        <f t="shared" si="13"/>
        <v>#N/A</v>
      </c>
    </row>
    <row r="145" spans="1:16" x14ac:dyDescent="0.25">
      <c r="A145" t="e">
        <f>CUBEMEMBER("pbiazure://api.powerbi.com 6e064a38-7f82-4416-9451-8d82a554b559 Model","[Facilities].[DATIMName].&amp;[Kinyasi Dispensary]")</f>
        <v>#N/A</v>
      </c>
      <c r="B145" t="e">
        <f t="shared" ref="B145:P154" si="14">CUBEVALUE("pbiazure://api.powerbi.com 6e064a38-7f82-4416-9451-8d82a554b559 Model",$B$1,$A145,B$4)</f>
        <v>#N/A</v>
      </c>
      <c r="C145" t="e">
        <f t="shared" si="14"/>
        <v>#N/A</v>
      </c>
      <c r="D145" t="e">
        <f t="shared" si="14"/>
        <v>#N/A</v>
      </c>
      <c r="E145" t="e">
        <f t="shared" si="14"/>
        <v>#N/A</v>
      </c>
      <c r="F145" t="e">
        <f t="shared" si="14"/>
        <v>#N/A</v>
      </c>
      <c r="G145" t="e">
        <f t="shared" si="14"/>
        <v>#N/A</v>
      </c>
      <c r="H145" t="e">
        <f t="shared" si="14"/>
        <v>#N/A</v>
      </c>
      <c r="I145" t="e">
        <f t="shared" si="14"/>
        <v>#N/A</v>
      </c>
      <c r="J145" t="e">
        <f t="shared" si="14"/>
        <v>#N/A</v>
      </c>
      <c r="K145" t="e">
        <f t="shared" si="14"/>
        <v>#N/A</v>
      </c>
      <c r="L145" t="e">
        <f t="shared" si="14"/>
        <v>#N/A</v>
      </c>
      <c r="M145" t="e">
        <f t="shared" si="14"/>
        <v>#N/A</v>
      </c>
      <c r="N145" t="e">
        <f t="shared" si="14"/>
        <v>#N/A</v>
      </c>
      <c r="O145" t="e">
        <f t="shared" si="14"/>
        <v>#N/A</v>
      </c>
      <c r="P145" t="e">
        <f t="shared" si="14"/>
        <v>#N/A</v>
      </c>
    </row>
    <row r="146" spans="1:16" x14ac:dyDescent="0.25">
      <c r="A146" t="e">
        <f>CUBEMEMBER("pbiazure://api.powerbi.com 6e064a38-7f82-4416-9451-8d82a554b559 Model","[Facilities].[DATIMName].&amp;[Kioga Dispensary]")</f>
        <v>#N/A</v>
      </c>
      <c r="B146" t="e">
        <f t="shared" si="14"/>
        <v>#N/A</v>
      </c>
      <c r="C146" t="e">
        <f t="shared" si="14"/>
        <v>#N/A</v>
      </c>
      <c r="D146" t="e">
        <f t="shared" si="14"/>
        <v>#N/A</v>
      </c>
      <c r="E146" t="e">
        <f t="shared" si="14"/>
        <v>#N/A</v>
      </c>
      <c r="F146" t="e">
        <f t="shared" si="14"/>
        <v>#N/A</v>
      </c>
      <c r="G146" t="e">
        <f t="shared" si="14"/>
        <v>#N/A</v>
      </c>
      <c r="H146" t="e">
        <f t="shared" si="14"/>
        <v>#N/A</v>
      </c>
      <c r="I146" t="e">
        <f t="shared" si="14"/>
        <v>#N/A</v>
      </c>
      <c r="J146" t="e">
        <f t="shared" si="14"/>
        <v>#N/A</v>
      </c>
      <c r="K146" t="e">
        <f t="shared" si="14"/>
        <v>#N/A</v>
      </c>
      <c r="L146" t="e">
        <f t="shared" si="14"/>
        <v>#N/A</v>
      </c>
      <c r="M146" t="e">
        <f t="shared" si="14"/>
        <v>#N/A</v>
      </c>
      <c r="N146" t="e">
        <f t="shared" si="14"/>
        <v>#N/A</v>
      </c>
      <c r="O146" t="e">
        <f t="shared" si="14"/>
        <v>#N/A</v>
      </c>
      <c r="P146" t="e">
        <f t="shared" si="14"/>
        <v>#N/A</v>
      </c>
    </row>
    <row r="147" spans="1:16" x14ac:dyDescent="0.25">
      <c r="A147" t="e">
        <f>CUBEMEMBER("pbiazure://api.powerbi.com 6e064a38-7f82-4416-9451-8d82a554b559 Model","[Facilities].[DATIMName].&amp;[Kiomboi Hospital - District Hospital]")</f>
        <v>#N/A</v>
      </c>
      <c r="B147" t="e">
        <f t="shared" si="14"/>
        <v>#N/A</v>
      </c>
      <c r="C147" t="e">
        <f t="shared" si="14"/>
        <v>#N/A</v>
      </c>
      <c r="D147" t="e">
        <f t="shared" si="14"/>
        <v>#N/A</v>
      </c>
      <c r="E147" t="e">
        <f t="shared" si="14"/>
        <v>#N/A</v>
      </c>
      <c r="F147" t="e">
        <f t="shared" si="14"/>
        <v>#N/A</v>
      </c>
      <c r="G147" t="e">
        <f t="shared" si="14"/>
        <v>#N/A</v>
      </c>
      <c r="H147" t="e">
        <f t="shared" si="14"/>
        <v>#N/A</v>
      </c>
      <c r="I147" t="e">
        <f t="shared" si="14"/>
        <v>#N/A</v>
      </c>
      <c r="J147" t="e">
        <f t="shared" si="14"/>
        <v>#N/A</v>
      </c>
      <c r="K147" t="e">
        <f t="shared" si="14"/>
        <v>#N/A</v>
      </c>
      <c r="L147" t="e">
        <f t="shared" si="14"/>
        <v>#N/A</v>
      </c>
      <c r="M147" t="e">
        <f t="shared" si="14"/>
        <v>#N/A</v>
      </c>
      <c r="N147" t="e">
        <f t="shared" si="14"/>
        <v>#N/A</v>
      </c>
      <c r="O147" t="e">
        <f t="shared" si="14"/>
        <v>#N/A</v>
      </c>
      <c r="P147" t="e">
        <f t="shared" si="14"/>
        <v>#N/A</v>
      </c>
    </row>
    <row r="148" spans="1:16" x14ac:dyDescent="0.25">
      <c r="A148" t="e">
        <f>CUBEMEMBER("pbiazure://api.powerbi.com 6e064a38-7f82-4416-9451-8d82a554b559 Model","[Facilities].[DATIMName].&amp;[Kiongozi Dispensary]")</f>
        <v>#N/A</v>
      </c>
      <c r="B148" t="e">
        <f t="shared" si="14"/>
        <v>#N/A</v>
      </c>
      <c r="C148" t="e">
        <f t="shared" si="14"/>
        <v>#N/A</v>
      </c>
      <c r="D148" t="e">
        <f t="shared" si="14"/>
        <v>#N/A</v>
      </c>
      <c r="E148" t="e">
        <f t="shared" si="14"/>
        <v>#N/A</v>
      </c>
      <c r="F148" t="e">
        <f t="shared" si="14"/>
        <v>#N/A</v>
      </c>
      <c r="G148" t="e">
        <f t="shared" si="14"/>
        <v>#N/A</v>
      </c>
      <c r="H148" t="e">
        <f t="shared" si="14"/>
        <v>#N/A</v>
      </c>
      <c r="I148" t="e">
        <f t="shared" si="14"/>
        <v>#N/A</v>
      </c>
      <c r="J148" t="e">
        <f t="shared" si="14"/>
        <v>#N/A</v>
      </c>
      <c r="K148" t="e">
        <f t="shared" si="14"/>
        <v>#N/A</v>
      </c>
      <c r="L148" t="e">
        <f t="shared" si="14"/>
        <v>#N/A</v>
      </c>
      <c r="M148" t="e">
        <f t="shared" si="14"/>
        <v>#N/A</v>
      </c>
      <c r="N148" t="e">
        <f t="shared" si="14"/>
        <v>#N/A</v>
      </c>
      <c r="O148" t="e">
        <f t="shared" si="14"/>
        <v>#N/A</v>
      </c>
      <c r="P148" t="e">
        <f t="shared" si="14"/>
        <v>#N/A</v>
      </c>
    </row>
    <row r="149" spans="1:16" x14ac:dyDescent="0.25">
      <c r="A149" t="e">
        <f>CUBEMEMBER("pbiazure://api.powerbi.com 6e064a38-7f82-4416-9451-8d82a554b559 Model","[Facilities].[DATIMName].&amp;[Kiperesa Dispensary]")</f>
        <v>#N/A</v>
      </c>
      <c r="B149" t="e">
        <f t="shared" si="14"/>
        <v>#N/A</v>
      </c>
      <c r="C149" t="e">
        <f t="shared" si="14"/>
        <v>#N/A</v>
      </c>
      <c r="D149" t="e">
        <f t="shared" si="14"/>
        <v>#N/A</v>
      </c>
      <c r="E149" t="e">
        <f t="shared" si="14"/>
        <v>#N/A</v>
      </c>
      <c r="F149" t="e">
        <f t="shared" si="14"/>
        <v>#N/A</v>
      </c>
      <c r="G149" t="e">
        <f t="shared" si="14"/>
        <v>#N/A</v>
      </c>
      <c r="H149" t="e">
        <f t="shared" si="14"/>
        <v>#N/A</v>
      </c>
      <c r="I149" t="e">
        <f t="shared" si="14"/>
        <v>#N/A</v>
      </c>
      <c r="J149" t="e">
        <f t="shared" si="14"/>
        <v>#N/A</v>
      </c>
      <c r="K149" t="e">
        <f t="shared" si="14"/>
        <v>#N/A</v>
      </c>
      <c r="L149" t="e">
        <f t="shared" si="14"/>
        <v>#N/A</v>
      </c>
      <c r="M149" t="e">
        <f t="shared" si="14"/>
        <v>#N/A</v>
      </c>
      <c r="N149" t="e">
        <f t="shared" si="14"/>
        <v>#N/A</v>
      </c>
      <c r="O149" t="e">
        <f t="shared" si="14"/>
        <v>#N/A</v>
      </c>
      <c r="P149" t="e">
        <f t="shared" si="14"/>
        <v>#N/A</v>
      </c>
    </row>
    <row r="150" spans="1:16" x14ac:dyDescent="0.25">
      <c r="A150" t="e">
        <f>CUBEMEMBER("pbiazure://api.powerbi.com 6e064a38-7f82-4416-9451-8d82a554b559 Model","[Facilities].[DATIMName].&amp;[Kiranyi Dispensary]")</f>
        <v>#N/A</v>
      </c>
      <c r="B150" t="e">
        <f t="shared" si="14"/>
        <v>#N/A</v>
      </c>
      <c r="C150" t="e">
        <f t="shared" si="14"/>
        <v>#N/A</v>
      </c>
      <c r="D150" t="e">
        <f t="shared" si="14"/>
        <v>#N/A</v>
      </c>
      <c r="E150" t="e">
        <f t="shared" si="14"/>
        <v>#N/A</v>
      </c>
      <c r="F150" t="e">
        <f t="shared" si="14"/>
        <v>#N/A</v>
      </c>
      <c r="G150" t="e">
        <f t="shared" si="14"/>
        <v>#N/A</v>
      </c>
      <c r="H150" t="e">
        <f t="shared" si="14"/>
        <v>#N/A</v>
      </c>
      <c r="I150" t="e">
        <f t="shared" si="14"/>
        <v>#N/A</v>
      </c>
      <c r="J150" t="e">
        <f t="shared" si="14"/>
        <v>#N/A</v>
      </c>
      <c r="K150" t="e">
        <f t="shared" si="14"/>
        <v>#N/A</v>
      </c>
      <c r="L150" t="e">
        <f t="shared" si="14"/>
        <v>#N/A</v>
      </c>
      <c r="M150" t="e">
        <f t="shared" si="14"/>
        <v>#N/A</v>
      </c>
      <c r="N150" t="e">
        <f t="shared" si="14"/>
        <v>#N/A</v>
      </c>
      <c r="O150" t="e">
        <f t="shared" si="14"/>
        <v>#N/A</v>
      </c>
      <c r="P150" t="e">
        <f t="shared" si="14"/>
        <v>#N/A</v>
      </c>
    </row>
    <row r="151" spans="1:16" x14ac:dyDescent="0.25">
      <c r="A151" t="e">
        <f>CUBEMEMBER("pbiazure://api.powerbi.com 6e064a38-7f82-4416-9451-8d82a554b559 Model","[Facilities].[DATIMName].&amp;[Kiru Dispensary]")</f>
        <v>#N/A</v>
      </c>
      <c r="B151" t="e">
        <f t="shared" si="14"/>
        <v>#N/A</v>
      </c>
      <c r="C151" t="e">
        <f t="shared" si="14"/>
        <v>#N/A</v>
      </c>
      <c r="D151" t="e">
        <f t="shared" si="14"/>
        <v>#N/A</v>
      </c>
      <c r="E151" t="e">
        <f t="shared" si="14"/>
        <v>#N/A</v>
      </c>
      <c r="F151" t="e">
        <f t="shared" si="14"/>
        <v>#N/A</v>
      </c>
      <c r="G151" t="e">
        <f t="shared" si="14"/>
        <v>#N/A</v>
      </c>
      <c r="H151" t="e">
        <f t="shared" si="14"/>
        <v>#N/A</v>
      </c>
      <c r="I151" t="e">
        <f t="shared" si="14"/>
        <v>#N/A</v>
      </c>
      <c r="J151" t="e">
        <f t="shared" si="14"/>
        <v>#N/A</v>
      </c>
      <c r="K151" t="e">
        <f t="shared" si="14"/>
        <v>#N/A</v>
      </c>
      <c r="L151" t="e">
        <f t="shared" si="14"/>
        <v>#N/A</v>
      </c>
      <c r="M151" t="e">
        <f t="shared" si="14"/>
        <v>#N/A</v>
      </c>
      <c r="N151" t="e">
        <f t="shared" si="14"/>
        <v>#N/A</v>
      </c>
      <c r="O151" t="e">
        <f t="shared" si="14"/>
        <v>#N/A</v>
      </c>
      <c r="P151" t="e">
        <f t="shared" si="14"/>
        <v>#N/A</v>
      </c>
    </row>
    <row r="152" spans="1:16" x14ac:dyDescent="0.25">
      <c r="A152" t="e">
        <f>CUBEMEMBER("pbiazure://api.powerbi.com 6e064a38-7f82-4416-9451-8d82a554b559 Model","[Facilities].[DATIMName].&amp;[Kirua Vunjo Health Center]")</f>
        <v>#N/A</v>
      </c>
      <c r="B152" t="e">
        <f t="shared" si="14"/>
        <v>#N/A</v>
      </c>
      <c r="C152" t="e">
        <f t="shared" si="14"/>
        <v>#N/A</v>
      </c>
      <c r="D152" t="e">
        <f t="shared" si="14"/>
        <v>#N/A</v>
      </c>
      <c r="E152" t="e">
        <f t="shared" si="14"/>
        <v>#N/A</v>
      </c>
      <c r="F152" t="e">
        <f t="shared" si="14"/>
        <v>#N/A</v>
      </c>
      <c r="G152" t="e">
        <f t="shared" si="14"/>
        <v>#N/A</v>
      </c>
      <c r="H152" t="e">
        <f t="shared" si="14"/>
        <v>#N/A</v>
      </c>
      <c r="I152" t="e">
        <f t="shared" si="14"/>
        <v>#N/A</v>
      </c>
      <c r="J152" t="e">
        <f t="shared" si="14"/>
        <v>#N/A</v>
      </c>
      <c r="K152" t="e">
        <f t="shared" si="14"/>
        <v>#N/A</v>
      </c>
      <c r="L152" t="e">
        <f t="shared" si="14"/>
        <v>#N/A</v>
      </c>
      <c r="M152" t="e">
        <f t="shared" si="14"/>
        <v>#N/A</v>
      </c>
      <c r="N152" t="e">
        <f t="shared" si="14"/>
        <v>#N/A</v>
      </c>
      <c r="O152" t="e">
        <f t="shared" si="14"/>
        <v>#N/A</v>
      </c>
      <c r="P152" t="e">
        <f t="shared" si="14"/>
        <v>#N/A</v>
      </c>
    </row>
    <row r="153" spans="1:16" x14ac:dyDescent="0.25">
      <c r="A153" t="e">
        <f>CUBEMEMBER("pbiazure://api.powerbi.com 6e064a38-7f82-4416-9451-8d82a554b559 Model","[Facilities].[DATIMName].&amp;[Kirurumo Health Center]")</f>
        <v>#N/A</v>
      </c>
      <c r="B153" t="e">
        <f t="shared" si="14"/>
        <v>#N/A</v>
      </c>
      <c r="C153" t="e">
        <f t="shared" si="14"/>
        <v>#N/A</v>
      </c>
      <c r="D153" t="e">
        <f t="shared" si="14"/>
        <v>#N/A</v>
      </c>
      <c r="E153" t="e">
        <f t="shared" si="14"/>
        <v>#N/A</v>
      </c>
      <c r="F153" t="e">
        <f t="shared" si="14"/>
        <v>#N/A</v>
      </c>
      <c r="G153" t="e">
        <f t="shared" si="14"/>
        <v>#N/A</v>
      </c>
      <c r="H153" t="e">
        <f t="shared" si="14"/>
        <v>#N/A</v>
      </c>
      <c r="I153" t="e">
        <f t="shared" si="14"/>
        <v>#N/A</v>
      </c>
      <c r="J153" t="e">
        <f t="shared" si="14"/>
        <v>#N/A</v>
      </c>
      <c r="K153" t="e">
        <f t="shared" si="14"/>
        <v>#N/A</v>
      </c>
      <c r="L153" t="e">
        <f t="shared" si="14"/>
        <v>#N/A</v>
      </c>
      <c r="M153" t="e">
        <f t="shared" si="14"/>
        <v>#N/A</v>
      </c>
      <c r="N153" t="e">
        <f t="shared" si="14"/>
        <v>#N/A</v>
      </c>
      <c r="O153" t="e">
        <f t="shared" si="14"/>
        <v>#N/A</v>
      </c>
      <c r="P153" t="e">
        <f t="shared" si="14"/>
        <v>#N/A</v>
      </c>
    </row>
    <row r="154" spans="1:16" x14ac:dyDescent="0.25">
      <c r="A154" t="e">
        <f>CUBEMEMBER("pbiazure://api.powerbi.com 6e064a38-7f82-4416-9451-8d82a554b559 Model","[Facilities].[DATIMName].&amp;[Kirwa Mashati Health Center]")</f>
        <v>#N/A</v>
      </c>
      <c r="B154" t="e">
        <f t="shared" si="14"/>
        <v>#N/A</v>
      </c>
      <c r="C154" t="e">
        <f t="shared" si="14"/>
        <v>#N/A</v>
      </c>
      <c r="D154" t="e">
        <f t="shared" si="14"/>
        <v>#N/A</v>
      </c>
      <c r="E154" t="e">
        <f t="shared" si="14"/>
        <v>#N/A</v>
      </c>
      <c r="F154" t="e">
        <f t="shared" si="14"/>
        <v>#N/A</v>
      </c>
      <c r="G154" t="e">
        <f t="shared" si="14"/>
        <v>#N/A</v>
      </c>
      <c r="H154" t="e">
        <f t="shared" si="14"/>
        <v>#N/A</v>
      </c>
      <c r="I154" t="e">
        <f t="shared" si="14"/>
        <v>#N/A</v>
      </c>
      <c r="J154" t="e">
        <f t="shared" si="14"/>
        <v>#N/A</v>
      </c>
      <c r="K154" t="e">
        <f t="shared" si="14"/>
        <v>#N/A</v>
      </c>
      <c r="L154" t="e">
        <f t="shared" si="14"/>
        <v>#N/A</v>
      </c>
      <c r="M154" t="e">
        <f t="shared" si="14"/>
        <v>#N/A</v>
      </c>
      <c r="N154" t="e">
        <f t="shared" si="14"/>
        <v>#N/A</v>
      </c>
      <c r="O154" t="e">
        <f t="shared" si="14"/>
        <v>#N/A</v>
      </c>
      <c r="P154" t="e">
        <f t="shared" si="14"/>
        <v>#N/A</v>
      </c>
    </row>
    <row r="155" spans="1:16" x14ac:dyDescent="0.25">
      <c r="A155" t="e">
        <f>CUBEMEMBER("pbiazure://api.powerbi.com 6e064a38-7f82-4416-9451-8d82a554b559 Model","[Facilities].[DATIMName].&amp;[Kisangara Health Center]")</f>
        <v>#N/A</v>
      </c>
      <c r="B155" t="e">
        <f t="shared" ref="B155:P164" si="15">CUBEVALUE("pbiazure://api.powerbi.com 6e064a38-7f82-4416-9451-8d82a554b559 Model",$B$1,$A155,B$4)</f>
        <v>#N/A</v>
      </c>
      <c r="C155" t="e">
        <f t="shared" si="15"/>
        <v>#N/A</v>
      </c>
      <c r="D155" t="e">
        <f t="shared" si="15"/>
        <v>#N/A</v>
      </c>
      <c r="E155" t="e">
        <f t="shared" si="15"/>
        <v>#N/A</v>
      </c>
      <c r="F155" t="e">
        <f t="shared" si="15"/>
        <v>#N/A</v>
      </c>
      <c r="G155" t="e">
        <f t="shared" si="15"/>
        <v>#N/A</v>
      </c>
      <c r="H155" t="e">
        <f t="shared" si="15"/>
        <v>#N/A</v>
      </c>
      <c r="I155" t="e">
        <f t="shared" si="15"/>
        <v>#N/A</v>
      </c>
      <c r="J155" t="e">
        <f t="shared" si="15"/>
        <v>#N/A</v>
      </c>
      <c r="K155" t="e">
        <f t="shared" si="15"/>
        <v>#N/A</v>
      </c>
      <c r="L155" t="e">
        <f t="shared" si="15"/>
        <v>#N/A</v>
      </c>
      <c r="M155" t="e">
        <f t="shared" si="15"/>
        <v>#N/A</v>
      </c>
      <c r="N155" t="e">
        <f t="shared" si="15"/>
        <v>#N/A</v>
      </c>
      <c r="O155" t="e">
        <f t="shared" si="15"/>
        <v>#N/A</v>
      </c>
      <c r="P155" t="e">
        <f t="shared" si="15"/>
        <v>#N/A</v>
      </c>
    </row>
    <row r="156" spans="1:16" x14ac:dyDescent="0.25">
      <c r="A156" t="e">
        <f>CUBEMEMBER("pbiazure://api.powerbi.com 6e064a38-7f82-4416-9451-8d82a554b559 Model","[Facilities].[DATIMName].&amp;[Kisese RHC Health Center]")</f>
        <v>#N/A</v>
      </c>
      <c r="B156" t="e">
        <f t="shared" si="15"/>
        <v>#N/A</v>
      </c>
      <c r="C156" t="e">
        <f t="shared" si="15"/>
        <v>#N/A</v>
      </c>
      <c r="D156" t="e">
        <f t="shared" si="15"/>
        <v>#N/A</v>
      </c>
      <c r="E156" t="e">
        <f t="shared" si="15"/>
        <v>#N/A</v>
      </c>
      <c r="F156" t="e">
        <f t="shared" si="15"/>
        <v>#N/A</v>
      </c>
      <c r="G156" t="e">
        <f t="shared" si="15"/>
        <v>#N/A</v>
      </c>
      <c r="H156" t="e">
        <f t="shared" si="15"/>
        <v>#N/A</v>
      </c>
      <c r="I156" t="e">
        <f t="shared" si="15"/>
        <v>#N/A</v>
      </c>
      <c r="J156" t="e">
        <f t="shared" si="15"/>
        <v>#N/A</v>
      </c>
      <c r="K156" t="e">
        <f t="shared" si="15"/>
        <v>#N/A</v>
      </c>
      <c r="L156" t="e">
        <f t="shared" si="15"/>
        <v>#N/A</v>
      </c>
      <c r="M156" t="e">
        <f t="shared" si="15"/>
        <v>#N/A</v>
      </c>
      <c r="N156" t="e">
        <f t="shared" si="15"/>
        <v>#N/A</v>
      </c>
      <c r="O156" t="e">
        <f t="shared" si="15"/>
        <v>#N/A</v>
      </c>
      <c r="P156" t="e">
        <f t="shared" si="15"/>
        <v>#N/A</v>
      </c>
    </row>
    <row r="157" spans="1:16" x14ac:dyDescent="0.25">
      <c r="A157" t="e">
        <f>CUBEMEMBER("pbiazure://api.powerbi.com 6e064a38-7f82-4416-9451-8d82a554b559 Model","[Facilities].[DATIMName].&amp;[Kisiki Health Center]")</f>
        <v>#N/A</v>
      </c>
      <c r="B157" t="e">
        <f t="shared" si="15"/>
        <v>#N/A</v>
      </c>
      <c r="C157" t="e">
        <f t="shared" si="15"/>
        <v>#N/A</v>
      </c>
      <c r="D157" t="e">
        <f t="shared" si="15"/>
        <v>#N/A</v>
      </c>
      <c r="E157" t="e">
        <f t="shared" si="15"/>
        <v>#N/A</v>
      </c>
      <c r="F157" t="e">
        <f t="shared" si="15"/>
        <v>#N/A</v>
      </c>
      <c r="G157" t="e">
        <f t="shared" si="15"/>
        <v>#N/A</v>
      </c>
      <c r="H157" t="e">
        <f t="shared" si="15"/>
        <v>#N/A</v>
      </c>
      <c r="I157" t="e">
        <f t="shared" si="15"/>
        <v>#N/A</v>
      </c>
      <c r="J157" t="e">
        <f t="shared" si="15"/>
        <v>#N/A</v>
      </c>
      <c r="K157" t="e">
        <f t="shared" si="15"/>
        <v>#N/A</v>
      </c>
      <c r="L157" t="e">
        <f t="shared" si="15"/>
        <v>#N/A</v>
      </c>
      <c r="M157" t="e">
        <f t="shared" si="15"/>
        <v>#N/A</v>
      </c>
      <c r="N157" t="e">
        <f t="shared" si="15"/>
        <v>#N/A</v>
      </c>
      <c r="O157" t="e">
        <f t="shared" si="15"/>
        <v>#N/A</v>
      </c>
      <c r="P157" t="e">
        <f t="shared" si="15"/>
        <v>#N/A</v>
      </c>
    </row>
    <row r="158" spans="1:16" x14ac:dyDescent="0.25">
      <c r="A158" t="e">
        <f>CUBEMEMBER("pbiazure://api.powerbi.com 6e064a38-7f82-4416-9451-8d82a554b559 Model","[Facilities].[DATIMName].&amp;[Kisiwani Health Center]")</f>
        <v>#N/A</v>
      </c>
      <c r="B158" t="e">
        <f t="shared" si="15"/>
        <v>#N/A</v>
      </c>
      <c r="C158" t="e">
        <f t="shared" si="15"/>
        <v>#N/A</v>
      </c>
      <c r="D158" t="e">
        <f t="shared" si="15"/>
        <v>#N/A</v>
      </c>
      <c r="E158" t="e">
        <f t="shared" si="15"/>
        <v>#N/A</v>
      </c>
      <c r="F158" t="e">
        <f t="shared" si="15"/>
        <v>#N/A</v>
      </c>
      <c r="G158" t="e">
        <f t="shared" si="15"/>
        <v>#N/A</v>
      </c>
      <c r="H158" t="e">
        <f t="shared" si="15"/>
        <v>#N/A</v>
      </c>
      <c r="I158" t="e">
        <f t="shared" si="15"/>
        <v>#N/A</v>
      </c>
      <c r="J158" t="e">
        <f t="shared" si="15"/>
        <v>#N/A</v>
      </c>
      <c r="K158" t="e">
        <f t="shared" si="15"/>
        <v>#N/A</v>
      </c>
      <c r="L158" t="e">
        <f t="shared" si="15"/>
        <v>#N/A</v>
      </c>
      <c r="M158" t="e">
        <f t="shared" si="15"/>
        <v>#N/A</v>
      </c>
      <c r="N158" t="e">
        <f t="shared" si="15"/>
        <v>#N/A</v>
      </c>
      <c r="O158" t="e">
        <f t="shared" si="15"/>
        <v>#N/A</v>
      </c>
      <c r="P158" t="e">
        <f t="shared" si="15"/>
        <v>#N/A</v>
      </c>
    </row>
    <row r="159" spans="1:16" x14ac:dyDescent="0.25">
      <c r="A159" t="e">
        <f>CUBEMEMBER("pbiazure://api.powerbi.com 6e064a38-7f82-4416-9451-8d82a554b559 Model","[Facilities].[DATIMName].&amp;[Kitwai A Dispensary]")</f>
        <v>#N/A</v>
      </c>
      <c r="B159" t="e">
        <f t="shared" si="15"/>
        <v>#N/A</v>
      </c>
      <c r="C159" t="e">
        <f t="shared" si="15"/>
        <v>#N/A</v>
      </c>
      <c r="D159" t="e">
        <f t="shared" si="15"/>
        <v>#N/A</v>
      </c>
      <c r="E159" t="e">
        <f t="shared" si="15"/>
        <v>#N/A</v>
      </c>
      <c r="F159" t="e">
        <f t="shared" si="15"/>
        <v>#N/A</v>
      </c>
      <c r="G159" t="e">
        <f t="shared" si="15"/>
        <v>#N/A</v>
      </c>
      <c r="H159" t="e">
        <f t="shared" si="15"/>
        <v>#N/A</v>
      </c>
      <c r="I159" t="e">
        <f t="shared" si="15"/>
        <v>#N/A</v>
      </c>
      <c r="J159" t="e">
        <f t="shared" si="15"/>
        <v>#N/A</v>
      </c>
      <c r="K159" t="e">
        <f t="shared" si="15"/>
        <v>#N/A</v>
      </c>
      <c r="L159" t="e">
        <f t="shared" si="15"/>
        <v>#N/A</v>
      </c>
      <c r="M159" t="e">
        <f t="shared" si="15"/>
        <v>#N/A</v>
      </c>
      <c r="N159" t="e">
        <f t="shared" si="15"/>
        <v>#N/A</v>
      </c>
      <c r="O159" t="e">
        <f t="shared" si="15"/>
        <v>#N/A</v>
      </c>
      <c r="P159" t="e">
        <f t="shared" si="15"/>
        <v>#N/A</v>
      </c>
    </row>
    <row r="160" spans="1:16" x14ac:dyDescent="0.25">
      <c r="A160" t="e">
        <f>CUBEMEMBER("pbiazure://api.powerbi.com 6e064a38-7f82-4416-9451-8d82a554b559 Model","[Facilities].[DATIMName].&amp;[Kondoa Hospital - District Hospital]")</f>
        <v>#N/A</v>
      </c>
      <c r="B160" t="e">
        <f t="shared" si="15"/>
        <v>#N/A</v>
      </c>
      <c r="C160" t="e">
        <f t="shared" si="15"/>
        <v>#N/A</v>
      </c>
      <c r="D160" t="e">
        <f t="shared" si="15"/>
        <v>#N/A</v>
      </c>
      <c r="E160" t="e">
        <f t="shared" si="15"/>
        <v>#N/A</v>
      </c>
      <c r="F160" t="e">
        <f t="shared" si="15"/>
        <v>#N/A</v>
      </c>
      <c r="G160" t="e">
        <f t="shared" si="15"/>
        <v>#N/A</v>
      </c>
      <c r="H160" t="e">
        <f t="shared" si="15"/>
        <v>#N/A</v>
      </c>
      <c r="I160" t="e">
        <f t="shared" si="15"/>
        <v>#N/A</v>
      </c>
      <c r="J160" t="e">
        <f t="shared" si="15"/>
        <v>#N/A</v>
      </c>
      <c r="K160" t="e">
        <f t="shared" si="15"/>
        <v>#N/A</v>
      </c>
      <c r="L160" t="e">
        <f t="shared" si="15"/>
        <v>#N/A</v>
      </c>
      <c r="M160" t="e">
        <f t="shared" si="15"/>
        <v>#N/A</v>
      </c>
      <c r="N160" t="e">
        <f t="shared" si="15"/>
        <v>#N/A</v>
      </c>
      <c r="O160" t="e">
        <f t="shared" si="15"/>
        <v>#N/A</v>
      </c>
      <c r="P160" t="e">
        <f t="shared" si="15"/>
        <v>#N/A</v>
      </c>
    </row>
    <row r="161" spans="1:16" x14ac:dyDescent="0.25">
      <c r="A161" t="e">
        <f>CUBEMEMBER("pbiazure://api.powerbi.com 6e064a38-7f82-4416-9451-8d82a554b559 Model","[Facilities].[DATIMName].&amp;[Kongwa Hospital]")</f>
        <v>#N/A</v>
      </c>
      <c r="B161" t="e">
        <f t="shared" si="15"/>
        <v>#N/A</v>
      </c>
      <c r="C161" t="e">
        <f t="shared" si="15"/>
        <v>#N/A</v>
      </c>
      <c r="D161" t="e">
        <f t="shared" si="15"/>
        <v>#N/A</v>
      </c>
      <c r="E161" t="e">
        <f t="shared" si="15"/>
        <v>#N/A</v>
      </c>
      <c r="F161" t="e">
        <f t="shared" si="15"/>
        <v>#N/A</v>
      </c>
      <c r="G161" t="e">
        <f t="shared" si="15"/>
        <v>#N/A</v>
      </c>
      <c r="H161" t="e">
        <f t="shared" si="15"/>
        <v>#N/A</v>
      </c>
      <c r="I161" t="e">
        <f t="shared" si="15"/>
        <v>#N/A</v>
      </c>
      <c r="J161" t="e">
        <f t="shared" si="15"/>
        <v>#N/A</v>
      </c>
      <c r="K161" t="e">
        <f t="shared" si="15"/>
        <v>#N/A</v>
      </c>
      <c r="L161" t="e">
        <f t="shared" si="15"/>
        <v>#N/A</v>
      </c>
      <c r="M161" t="e">
        <f t="shared" si="15"/>
        <v>#N/A</v>
      </c>
      <c r="N161" t="e">
        <f t="shared" si="15"/>
        <v>#N/A</v>
      </c>
      <c r="O161" t="e">
        <f t="shared" si="15"/>
        <v>#N/A</v>
      </c>
      <c r="P161" t="e">
        <f t="shared" si="15"/>
        <v>#N/A</v>
      </c>
    </row>
    <row r="162" spans="1:16" x14ac:dyDescent="0.25">
      <c r="A162" t="e">
        <f>CUBEMEMBER("pbiazure://api.powerbi.com 6e064a38-7f82-4416-9451-8d82a554b559 Model","[Facilities].[DATIMName].&amp;[Korongoni Dispensary]")</f>
        <v>#N/A</v>
      </c>
      <c r="B162" t="e">
        <f t="shared" si="15"/>
        <v>#N/A</v>
      </c>
      <c r="C162" t="e">
        <f t="shared" si="15"/>
        <v>#N/A</v>
      </c>
      <c r="D162" t="e">
        <f t="shared" si="15"/>
        <v>#N/A</v>
      </c>
      <c r="E162" t="e">
        <f t="shared" si="15"/>
        <v>#N/A</v>
      </c>
      <c r="F162" t="e">
        <f t="shared" si="15"/>
        <v>#N/A</v>
      </c>
      <c r="G162" t="e">
        <f t="shared" si="15"/>
        <v>#N/A</v>
      </c>
      <c r="H162" t="e">
        <f t="shared" si="15"/>
        <v>#N/A</v>
      </c>
      <c r="I162" t="e">
        <f t="shared" si="15"/>
        <v>#N/A</v>
      </c>
      <c r="J162" t="e">
        <f t="shared" si="15"/>
        <v>#N/A</v>
      </c>
      <c r="K162" t="e">
        <f t="shared" si="15"/>
        <v>#N/A</v>
      </c>
      <c r="L162" t="e">
        <f t="shared" si="15"/>
        <v>#N/A</v>
      </c>
      <c r="M162" t="e">
        <f t="shared" si="15"/>
        <v>#N/A</v>
      </c>
      <c r="N162" t="e">
        <f t="shared" si="15"/>
        <v>#N/A</v>
      </c>
      <c r="O162" t="e">
        <f t="shared" si="15"/>
        <v>#N/A</v>
      </c>
      <c r="P162" t="e">
        <f t="shared" si="15"/>
        <v>#N/A</v>
      </c>
    </row>
    <row r="163" spans="1:16" x14ac:dyDescent="0.25">
      <c r="A163" t="e">
        <f>CUBEMEMBER("pbiazure://api.powerbi.com 6e064a38-7f82-4416-9451-8d82a554b559 Model","[Facilities].[DATIMName].&amp;[Kwadelo Dispensary]")</f>
        <v>#N/A</v>
      </c>
      <c r="B163" t="e">
        <f t="shared" si="15"/>
        <v>#N/A</v>
      </c>
      <c r="C163" t="e">
        <f t="shared" si="15"/>
        <v>#N/A</v>
      </c>
      <c r="D163" t="e">
        <f t="shared" si="15"/>
        <v>#N/A</v>
      </c>
      <c r="E163" t="e">
        <f t="shared" si="15"/>
        <v>#N/A</v>
      </c>
      <c r="F163" t="e">
        <f t="shared" si="15"/>
        <v>#N/A</v>
      </c>
      <c r="G163" t="e">
        <f t="shared" si="15"/>
        <v>#N/A</v>
      </c>
      <c r="H163" t="e">
        <f t="shared" si="15"/>
        <v>#N/A</v>
      </c>
      <c r="I163" t="e">
        <f t="shared" si="15"/>
        <v>#N/A</v>
      </c>
      <c r="J163" t="e">
        <f t="shared" si="15"/>
        <v>#N/A</v>
      </c>
      <c r="K163" t="e">
        <f t="shared" si="15"/>
        <v>#N/A</v>
      </c>
      <c r="L163" t="e">
        <f t="shared" si="15"/>
        <v>#N/A</v>
      </c>
      <c r="M163" t="e">
        <f t="shared" si="15"/>
        <v>#N/A</v>
      </c>
      <c r="N163" t="e">
        <f t="shared" si="15"/>
        <v>#N/A</v>
      </c>
      <c r="O163" t="e">
        <f t="shared" si="15"/>
        <v>#N/A</v>
      </c>
      <c r="P163" t="e">
        <f t="shared" si="15"/>
        <v>#N/A</v>
      </c>
    </row>
    <row r="164" spans="1:16" x14ac:dyDescent="0.25">
      <c r="A164" t="e">
        <f>CUBEMEMBER("pbiazure://api.powerbi.com 6e064a38-7f82-4416-9451-8d82a554b559 Model","[Facilities].[DATIMName].&amp;[Kwamtoro Health Centre]")</f>
        <v>#N/A</v>
      </c>
      <c r="B164" t="e">
        <f t="shared" si="15"/>
        <v>#N/A</v>
      </c>
      <c r="C164" t="e">
        <f t="shared" si="15"/>
        <v>#N/A</v>
      </c>
      <c r="D164" t="e">
        <f t="shared" si="15"/>
        <v>#N/A</v>
      </c>
      <c r="E164" t="e">
        <f t="shared" si="15"/>
        <v>#N/A</v>
      </c>
      <c r="F164" t="e">
        <f t="shared" si="15"/>
        <v>#N/A</v>
      </c>
      <c r="G164" t="e">
        <f t="shared" si="15"/>
        <v>#N/A</v>
      </c>
      <c r="H164" t="e">
        <f t="shared" si="15"/>
        <v>#N/A</v>
      </c>
      <c r="I164" t="e">
        <f t="shared" si="15"/>
        <v>#N/A</v>
      </c>
      <c r="J164" t="e">
        <f t="shared" si="15"/>
        <v>#N/A</v>
      </c>
      <c r="K164" t="e">
        <f t="shared" si="15"/>
        <v>#N/A</v>
      </c>
      <c r="L164" t="e">
        <f t="shared" si="15"/>
        <v>#N/A</v>
      </c>
      <c r="M164" t="e">
        <f t="shared" si="15"/>
        <v>#N/A</v>
      </c>
      <c r="N164" t="e">
        <f t="shared" si="15"/>
        <v>#N/A</v>
      </c>
      <c r="O164" t="e">
        <f t="shared" si="15"/>
        <v>#N/A</v>
      </c>
      <c r="P164" t="e">
        <f t="shared" si="15"/>
        <v>#N/A</v>
      </c>
    </row>
    <row r="165" spans="1:16" x14ac:dyDescent="0.25">
      <c r="A165" t="e">
        <f>CUBEMEMBER("pbiazure://api.powerbi.com 6e064a38-7f82-4416-9451-8d82a554b559 Model","[Facilities].[DATIMName].&amp;[Kyomu Dispensary]")</f>
        <v>#N/A</v>
      </c>
      <c r="B165" t="e">
        <f t="shared" ref="B165:P174" si="16">CUBEVALUE("pbiazure://api.powerbi.com 6e064a38-7f82-4416-9451-8d82a554b559 Model",$B$1,$A165,B$4)</f>
        <v>#N/A</v>
      </c>
      <c r="C165" t="e">
        <f t="shared" si="16"/>
        <v>#N/A</v>
      </c>
      <c r="D165" t="e">
        <f t="shared" si="16"/>
        <v>#N/A</v>
      </c>
      <c r="E165" t="e">
        <f t="shared" si="16"/>
        <v>#N/A</v>
      </c>
      <c r="F165" t="e">
        <f t="shared" si="16"/>
        <v>#N/A</v>
      </c>
      <c r="G165" t="e">
        <f t="shared" si="16"/>
        <v>#N/A</v>
      </c>
      <c r="H165" t="e">
        <f t="shared" si="16"/>
        <v>#N/A</v>
      </c>
      <c r="I165" t="e">
        <f t="shared" si="16"/>
        <v>#N/A</v>
      </c>
      <c r="J165" t="e">
        <f t="shared" si="16"/>
        <v>#N/A</v>
      </c>
      <c r="K165" t="e">
        <f t="shared" si="16"/>
        <v>#N/A</v>
      </c>
      <c r="L165" t="e">
        <f t="shared" si="16"/>
        <v>#N/A</v>
      </c>
      <c r="M165" t="e">
        <f t="shared" si="16"/>
        <v>#N/A</v>
      </c>
      <c r="N165" t="e">
        <f t="shared" si="16"/>
        <v>#N/A</v>
      </c>
      <c r="O165" t="e">
        <f t="shared" si="16"/>
        <v>#N/A</v>
      </c>
      <c r="P165" t="e">
        <f t="shared" si="16"/>
        <v>#N/A</v>
      </c>
    </row>
    <row r="166" spans="1:16" x14ac:dyDescent="0.25">
      <c r="A166" t="e">
        <f>CUBEMEMBER("pbiazure://api.powerbi.com 6e064a38-7f82-4416-9451-8d82a554b559 Model","[Facilities].[DATIMName].&amp;[Labay Pentecoste Dispensary]")</f>
        <v>#N/A</v>
      </c>
      <c r="B166" t="e">
        <f t="shared" si="16"/>
        <v>#N/A</v>
      </c>
      <c r="C166" t="e">
        <f t="shared" si="16"/>
        <v>#N/A</v>
      </c>
      <c r="D166" t="e">
        <f t="shared" si="16"/>
        <v>#N/A</v>
      </c>
      <c r="E166" t="e">
        <f t="shared" si="16"/>
        <v>#N/A</v>
      </c>
      <c r="F166" t="e">
        <f t="shared" si="16"/>
        <v>#N/A</v>
      </c>
      <c r="G166" t="e">
        <f t="shared" si="16"/>
        <v>#N/A</v>
      </c>
      <c r="H166" t="e">
        <f t="shared" si="16"/>
        <v>#N/A</v>
      </c>
      <c r="I166" t="e">
        <f t="shared" si="16"/>
        <v>#N/A</v>
      </c>
      <c r="J166" t="e">
        <f t="shared" si="16"/>
        <v>#N/A</v>
      </c>
      <c r="K166" t="e">
        <f t="shared" si="16"/>
        <v>#N/A</v>
      </c>
      <c r="L166" t="e">
        <f t="shared" si="16"/>
        <v>#N/A</v>
      </c>
      <c r="M166" t="e">
        <f t="shared" si="16"/>
        <v>#N/A</v>
      </c>
      <c r="N166" t="e">
        <f t="shared" si="16"/>
        <v>#N/A</v>
      </c>
      <c r="O166" t="e">
        <f t="shared" si="16"/>
        <v>#N/A</v>
      </c>
      <c r="P166" t="e">
        <f t="shared" si="16"/>
        <v>#N/A</v>
      </c>
    </row>
    <row r="167" spans="1:16" x14ac:dyDescent="0.25">
      <c r="A167" t="e">
        <f>CUBEMEMBER("pbiazure://api.powerbi.com 6e064a38-7f82-4416-9451-8d82a554b559 Model","[Facilities].[DATIMName].&amp;[Laikala Dispensary]")</f>
        <v>#N/A</v>
      </c>
      <c r="B167" t="e">
        <f t="shared" si="16"/>
        <v>#N/A</v>
      </c>
      <c r="C167" t="e">
        <f t="shared" si="16"/>
        <v>#N/A</v>
      </c>
      <c r="D167" t="e">
        <f t="shared" si="16"/>
        <v>#N/A</v>
      </c>
      <c r="E167" t="e">
        <f t="shared" si="16"/>
        <v>#N/A</v>
      </c>
      <c r="F167" t="e">
        <f t="shared" si="16"/>
        <v>#N/A</v>
      </c>
      <c r="G167" t="e">
        <f t="shared" si="16"/>
        <v>#N/A</v>
      </c>
      <c r="H167" t="e">
        <f t="shared" si="16"/>
        <v>#N/A</v>
      </c>
      <c r="I167" t="e">
        <f t="shared" si="16"/>
        <v>#N/A</v>
      </c>
      <c r="J167" t="e">
        <f t="shared" si="16"/>
        <v>#N/A</v>
      </c>
      <c r="K167" t="e">
        <f t="shared" si="16"/>
        <v>#N/A</v>
      </c>
      <c r="L167" t="e">
        <f t="shared" si="16"/>
        <v>#N/A</v>
      </c>
      <c r="M167" t="e">
        <f t="shared" si="16"/>
        <v>#N/A</v>
      </c>
      <c r="N167" t="e">
        <f t="shared" si="16"/>
        <v>#N/A</v>
      </c>
      <c r="O167" t="e">
        <f t="shared" si="16"/>
        <v>#N/A</v>
      </c>
      <c r="P167" t="e">
        <f t="shared" si="16"/>
        <v>#N/A</v>
      </c>
    </row>
    <row r="168" spans="1:16" x14ac:dyDescent="0.25">
      <c r="A168" t="e">
        <f>CUBEMEMBER("pbiazure://api.powerbi.com 6e064a38-7f82-4416-9451-8d82a554b559 Model","[Facilities].[DATIMName].&amp;[Lamaiti Dispensary]")</f>
        <v>#N/A</v>
      </c>
      <c r="B168" t="e">
        <f t="shared" si="16"/>
        <v>#N/A</v>
      </c>
      <c r="C168" t="e">
        <f t="shared" si="16"/>
        <v>#N/A</v>
      </c>
      <c r="D168" t="e">
        <f t="shared" si="16"/>
        <v>#N/A</v>
      </c>
      <c r="E168" t="e">
        <f t="shared" si="16"/>
        <v>#N/A</v>
      </c>
      <c r="F168" t="e">
        <f t="shared" si="16"/>
        <v>#N/A</v>
      </c>
      <c r="G168" t="e">
        <f t="shared" si="16"/>
        <v>#N/A</v>
      </c>
      <c r="H168" t="e">
        <f t="shared" si="16"/>
        <v>#N/A</v>
      </c>
      <c r="I168" t="e">
        <f t="shared" si="16"/>
        <v>#N/A</v>
      </c>
      <c r="J168" t="e">
        <f t="shared" si="16"/>
        <v>#N/A</v>
      </c>
      <c r="K168" t="e">
        <f t="shared" si="16"/>
        <v>#N/A</v>
      </c>
      <c r="L168" t="e">
        <f t="shared" si="16"/>
        <v>#N/A</v>
      </c>
      <c r="M168" t="e">
        <f t="shared" si="16"/>
        <v>#N/A</v>
      </c>
      <c r="N168" t="e">
        <f t="shared" si="16"/>
        <v>#N/A</v>
      </c>
      <c r="O168" t="e">
        <f t="shared" si="16"/>
        <v>#N/A</v>
      </c>
      <c r="P168" t="e">
        <f t="shared" si="16"/>
        <v>#N/A</v>
      </c>
    </row>
    <row r="169" spans="1:16" x14ac:dyDescent="0.25">
      <c r="A169" t="e">
        <f>CUBEMEMBER("pbiazure://api.powerbi.com 6e064a38-7f82-4416-9451-8d82a554b559 Model","[Facilities].[DATIMName].&amp;[Lengasiti Dispensary]")</f>
        <v>#N/A</v>
      </c>
      <c r="B169" t="e">
        <f t="shared" si="16"/>
        <v>#N/A</v>
      </c>
      <c r="C169" t="e">
        <f t="shared" si="16"/>
        <v>#N/A</v>
      </c>
      <c r="D169" t="e">
        <f t="shared" si="16"/>
        <v>#N/A</v>
      </c>
      <c r="E169" t="e">
        <f t="shared" si="16"/>
        <v>#N/A</v>
      </c>
      <c r="F169" t="e">
        <f t="shared" si="16"/>
        <v>#N/A</v>
      </c>
      <c r="G169" t="e">
        <f t="shared" si="16"/>
        <v>#N/A</v>
      </c>
      <c r="H169" t="e">
        <f t="shared" si="16"/>
        <v>#N/A</v>
      </c>
      <c r="I169" t="e">
        <f t="shared" si="16"/>
        <v>#N/A</v>
      </c>
      <c r="J169" t="e">
        <f t="shared" si="16"/>
        <v>#N/A</v>
      </c>
      <c r="K169" t="e">
        <f t="shared" si="16"/>
        <v>#N/A</v>
      </c>
      <c r="L169" t="e">
        <f t="shared" si="16"/>
        <v>#N/A</v>
      </c>
      <c r="M169" t="e">
        <f t="shared" si="16"/>
        <v>#N/A</v>
      </c>
      <c r="N169" t="e">
        <f t="shared" si="16"/>
        <v>#N/A</v>
      </c>
      <c r="O169" t="e">
        <f t="shared" si="16"/>
        <v>#N/A</v>
      </c>
      <c r="P169" t="e">
        <f t="shared" si="16"/>
        <v>#N/A</v>
      </c>
    </row>
    <row r="170" spans="1:16" x14ac:dyDescent="0.25">
      <c r="A170" t="e">
        <f>CUBEMEMBER("pbiazure://api.powerbi.com 6e064a38-7f82-4416-9451-8d82a554b559 Model","[Facilities].[DATIMName].&amp;[Lerang'wa Dispensary]")</f>
        <v>#N/A</v>
      </c>
      <c r="B170" t="e">
        <f t="shared" si="16"/>
        <v>#N/A</v>
      </c>
      <c r="C170" t="e">
        <f t="shared" si="16"/>
        <v>#N/A</v>
      </c>
      <c r="D170" t="e">
        <f t="shared" si="16"/>
        <v>#N/A</v>
      </c>
      <c r="E170" t="e">
        <f t="shared" si="16"/>
        <v>#N/A</v>
      </c>
      <c r="F170" t="e">
        <f t="shared" si="16"/>
        <v>#N/A</v>
      </c>
      <c r="G170" t="e">
        <f t="shared" si="16"/>
        <v>#N/A</v>
      </c>
      <c r="H170" t="e">
        <f t="shared" si="16"/>
        <v>#N/A</v>
      </c>
      <c r="I170" t="e">
        <f t="shared" si="16"/>
        <v>#N/A</v>
      </c>
      <c r="J170" t="e">
        <f t="shared" si="16"/>
        <v>#N/A</v>
      </c>
      <c r="K170" t="e">
        <f t="shared" si="16"/>
        <v>#N/A</v>
      </c>
      <c r="L170" t="e">
        <f t="shared" si="16"/>
        <v>#N/A</v>
      </c>
      <c r="M170" t="e">
        <f t="shared" si="16"/>
        <v>#N/A</v>
      </c>
      <c r="N170" t="e">
        <f t="shared" si="16"/>
        <v>#N/A</v>
      </c>
      <c r="O170" t="e">
        <f t="shared" si="16"/>
        <v>#N/A</v>
      </c>
      <c r="P170" t="e">
        <f t="shared" si="16"/>
        <v>#N/A</v>
      </c>
    </row>
    <row r="171" spans="1:16" x14ac:dyDescent="0.25">
      <c r="A171" t="e">
        <f>CUBEMEMBER("pbiazure://api.powerbi.com 6e064a38-7f82-4416-9451-8d82a554b559 Model","[Facilities].[DATIMName].&amp;[Levishi Dispensary]")</f>
        <v>#N/A</v>
      </c>
      <c r="B171" t="e">
        <f t="shared" si="16"/>
        <v>#N/A</v>
      </c>
      <c r="C171" t="e">
        <f t="shared" si="16"/>
        <v>#N/A</v>
      </c>
      <c r="D171" t="e">
        <f t="shared" si="16"/>
        <v>#N/A</v>
      </c>
      <c r="E171" t="e">
        <f t="shared" si="16"/>
        <v>#N/A</v>
      </c>
      <c r="F171" t="e">
        <f t="shared" si="16"/>
        <v>#N/A</v>
      </c>
      <c r="G171" t="e">
        <f t="shared" si="16"/>
        <v>#N/A</v>
      </c>
      <c r="H171" t="e">
        <f t="shared" si="16"/>
        <v>#N/A</v>
      </c>
      <c r="I171" t="e">
        <f t="shared" si="16"/>
        <v>#N/A</v>
      </c>
      <c r="J171" t="e">
        <f t="shared" si="16"/>
        <v>#N/A</v>
      </c>
      <c r="K171" t="e">
        <f t="shared" si="16"/>
        <v>#N/A</v>
      </c>
      <c r="L171" t="e">
        <f t="shared" si="16"/>
        <v>#N/A</v>
      </c>
      <c r="M171" t="e">
        <f t="shared" si="16"/>
        <v>#N/A</v>
      </c>
      <c r="N171" t="e">
        <f t="shared" si="16"/>
        <v>#N/A</v>
      </c>
      <c r="O171" t="e">
        <f t="shared" si="16"/>
        <v>#N/A</v>
      </c>
      <c r="P171" t="e">
        <f t="shared" si="16"/>
        <v>#N/A</v>
      </c>
    </row>
    <row r="172" spans="1:16" x14ac:dyDescent="0.25">
      <c r="A172" t="e">
        <f>CUBEMEMBER("pbiazure://api.powerbi.com 6e064a38-7f82-4416-9451-8d82a554b559 Model","[Facilities].[DATIMName].&amp;[Levolosi Health Center]")</f>
        <v>#N/A</v>
      </c>
      <c r="B172" t="e">
        <f t="shared" si="16"/>
        <v>#N/A</v>
      </c>
      <c r="C172" t="e">
        <f t="shared" si="16"/>
        <v>#N/A</v>
      </c>
      <c r="D172" t="e">
        <f t="shared" si="16"/>
        <v>#N/A</v>
      </c>
      <c r="E172" t="e">
        <f t="shared" si="16"/>
        <v>#N/A</v>
      </c>
      <c r="F172" t="e">
        <f t="shared" si="16"/>
        <v>#N/A</v>
      </c>
      <c r="G172" t="e">
        <f t="shared" si="16"/>
        <v>#N/A</v>
      </c>
      <c r="H172" t="e">
        <f t="shared" si="16"/>
        <v>#N/A</v>
      </c>
      <c r="I172" t="e">
        <f t="shared" si="16"/>
        <v>#N/A</v>
      </c>
      <c r="J172" t="e">
        <f t="shared" si="16"/>
        <v>#N/A</v>
      </c>
      <c r="K172" t="e">
        <f t="shared" si="16"/>
        <v>#N/A</v>
      </c>
      <c r="L172" t="e">
        <f t="shared" si="16"/>
        <v>#N/A</v>
      </c>
      <c r="M172" t="e">
        <f t="shared" si="16"/>
        <v>#N/A</v>
      </c>
      <c r="N172" t="e">
        <f t="shared" si="16"/>
        <v>#N/A</v>
      </c>
      <c r="O172" t="e">
        <f t="shared" si="16"/>
        <v>#N/A</v>
      </c>
      <c r="P172" t="e">
        <f t="shared" si="16"/>
        <v>#N/A</v>
      </c>
    </row>
    <row r="173" spans="1:16" x14ac:dyDescent="0.25">
      <c r="A173" t="e">
        <f>CUBEMEMBER("pbiazure://api.powerbi.com 6e064a38-7f82-4416-9451-8d82a554b559 Model","[Facilities].[DATIMName].&amp;[Loiborsiret Dispensary]")</f>
        <v>#N/A</v>
      </c>
      <c r="B173" t="e">
        <f t="shared" si="16"/>
        <v>#N/A</v>
      </c>
      <c r="C173" t="e">
        <f t="shared" si="16"/>
        <v>#N/A</v>
      </c>
      <c r="D173" t="e">
        <f t="shared" si="16"/>
        <v>#N/A</v>
      </c>
      <c r="E173" t="e">
        <f t="shared" si="16"/>
        <v>#N/A</v>
      </c>
      <c r="F173" t="e">
        <f t="shared" si="16"/>
        <v>#N/A</v>
      </c>
      <c r="G173" t="e">
        <f t="shared" si="16"/>
        <v>#N/A</v>
      </c>
      <c r="H173" t="e">
        <f t="shared" si="16"/>
        <v>#N/A</v>
      </c>
      <c r="I173" t="e">
        <f t="shared" si="16"/>
        <v>#N/A</v>
      </c>
      <c r="J173" t="e">
        <f t="shared" si="16"/>
        <v>#N/A</v>
      </c>
      <c r="K173" t="e">
        <f t="shared" si="16"/>
        <v>#N/A</v>
      </c>
      <c r="L173" t="e">
        <f t="shared" si="16"/>
        <v>#N/A</v>
      </c>
      <c r="M173" t="e">
        <f t="shared" si="16"/>
        <v>#N/A</v>
      </c>
      <c r="N173" t="e">
        <f t="shared" si="16"/>
        <v>#N/A</v>
      </c>
      <c r="O173" t="e">
        <f t="shared" si="16"/>
        <v>#N/A</v>
      </c>
      <c r="P173" t="e">
        <f t="shared" si="16"/>
        <v>#N/A</v>
      </c>
    </row>
    <row r="174" spans="1:16" x14ac:dyDescent="0.25">
      <c r="A174" t="e">
        <f>CUBEMEMBER("pbiazure://api.powerbi.com 6e064a38-7f82-4416-9451-8d82a554b559 Model","[Facilities].[DATIMName].&amp;[Loliondo Health Center]")</f>
        <v>#N/A</v>
      </c>
      <c r="B174" t="e">
        <f t="shared" si="16"/>
        <v>#N/A</v>
      </c>
      <c r="C174" t="e">
        <f t="shared" si="16"/>
        <v>#N/A</v>
      </c>
      <c r="D174" t="e">
        <f t="shared" si="16"/>
        <v>#N/A</v>
      </c>
      <c r="E174" t="e">
        <f t="shared" si="16"/>
        <v>#N/A</v>
      </c>
      <c r="F174" t="e">
        <f t="shared" si="16"/>
        <v>#N/A</v>
      </c>
      <c r="G174" t="e">
        <f t="shared" si="16"/>
        <v>#N/A</v>
      </c>
      <c r="H174" t="e">
        <f t="shared" si="16"/>
        <v>#N/A</v>
      </c>
      <c r="I174" t="e">
        <f t="shared" si="16"/>
        <v>#N/A</v>
      </c>
      <c r="J174" t="e">
        <f t="shared" si="16"/>
        <v>#N/A</v>
      </c>
      <c r="K174" t="e">
        <f t="shared" si="16"/>
        <v>#N/A</v>
      </c>
      <c r="L174" t="e">
        <f t="shared" si="16"/>
        <v>#N/A</v>
      </c>
      <c r="M174" t="e">
        <f t="shared" si="16"/>
        <v>#N/A</v>
      </c>
      <c r="N174" t="e">
        <f t="shared" si="16"/>
        <v>#N/A</v>
      </c>
      <c r="O174" t="e">
        <f t="shared" si="16"/>
        <v>#N/A</v>
      </c>
      <c r="P174" t="e">
        <f t="shared" si="16"/>
        <v>#N/A</v>
      </c>
    </row>
    <row r="175" spans="1:16" x14ac:dyDescent="0.25">
      <c r="A175" t="e">
        <f>CUBEMEMBER("pbiazure://api.powerbi.com 6e064a38-7f82-4416-9451-8d82a554b559 Model","[Facilities].[DATIMName].&amp;[Lolkisale Dispensary]")</f>
        <v>#N/A</v>
      </c>
      <c r="B175" t="e">
        <f t="shared" ref="B175:P184" si="17">CUBEVALUE("pbiazure://api.powerbi.com 6e064a38-7f82-4416-9451-8d82a554b559 Model",$B$1,$A175,B$4)</f>
        <v>#N/A</v>
      </c>
      <c r="C175" t="e">
        <f t="shared" si="17"/>
        <v>#N/A</v>
      </c>
      <c r="D175" t="e">
        <f t="shared" si="17"/>
        <v>#N/A</v>
      </c>
      <c r="E175" t="e">
        <f t="shared" si="17"/>
        <v>#N/A</v>
      </c>
      <c r="F175" t="e">
        <f t="shared" si="17"/>
        <v>#N/A</v>
      </c>
      <c r="G175" t="e">
        <f t="shared" si="17"/>
        <v>#N/A</v>
      </c>
      <c r="H175" t="e">
        <f t="shared" si="17"/>
        <v>#N/A</v>
      </c>
      <c r="I175" t="e">
        <f t="shared" si="17"/>
        <v>#N/A</v>
      </c>
      <c r="J175" t="e">
        <f t="shared" si="17"/>
        <v>#N/A</v>
      </c>
      <c r="K175" t="e">
        <f t="shared" si="17"/>
        <v>#N/A</v>
      </c>
      <c r="L175" t="e">
        <f t="shared" si="17"/>
        <v>#N/A</v>
      </c>
      <c r="M175" t="e">
        <f t="shared" si="17"/>
        <v>#N/A</v>
      </c>
      <c r="N175" t="e">
        <f t="shared" si="17"/>
        <v>#N/A</v>
      </c>
      <c r="O175" t="e">
        <f t="shared" si="17"/>
        <v>#N/A</v>
      </c>
      <c r="P175" t="e">
        <f t="shared" si="17"/>
        <v>#N/A</v>
      </c>
    </row>
    <row r="176" spans="1:16" x14ac:dyDescent="0.25">
      <c r="A176" t="e">
        <f>CUBEMEMBER("pbiazure://api.powerbi.com 6e064a38-7f82-4416-9451-8d82a554b559 Model","[Facilities].[DATIMName].&amp;[Longido Health Center]")</f>
        <v>#N/A</v>
      </c>
      <c r="B176" t="e">
        <f t="shared" si="17"/>
        <v>#N/A</v>
      </c>
      <c r="C176" t="e">
        <f t="shared" si="17"/>
        <v>#N/A</v>
      </c>
      <c r="D176" t="e">
        <f t="shared" si="17"/>
        <v>#N/A</v>
      </c>
      <c r="E176" t="e">
        <f t="shared" si="17"/>
        <v>#N/A</v>
      </c>
      <c r="F176" t="e">
        <f t="shared" si="17"/>
        <v>#N/A</v>
      </c>
      <c r="G176" t="e">
        <f t="shared" si="17"/>
        <v>#N/A</v>
      </c>
      <c r="H176" t="e">
        <f t="shared" si="17"/>
        <v>#N/A</v>
      </c>
      <c r="I176" t="e">
        <f t="shared" si="17"/>
        <v>#N/A</v>
      </c>
      <c r="J176" t="e">
        <f t="shared" si="17"/>
        <v>#N/A</v>
      </c>
      <c r="K176" t="e">
        <f t="shared" si="17"/>
        <v>#N/A</v>
      </c>
      <c r="L176" t="e">
        <f t="shared" si="17"/>
        <v>#N/A</v>
      </c>
      <c r="M176" t="e">
        <f t="shared" si="17"/>
        <v>#N/A</v>
      </c>
      <c r="N176" t="e">
        <f t="shared" si="17"/>
        <v>#N/A</v>
      </c>
      <c r="O176" t="e">
        <f t="shared" si="17"/>
        <v>#N/A</v>
      </c>
      <c r="P176" t="e">
        <f t="shared" si="17"/>
        <v>#N/A</v>
      </c>
    </row>
    <row r="177" spans="1:16" x14ac:dyDescent="0.25">
      <c r="A177" t="e">
        <f>CUBEMEMBER("pbiazure://api.powerbi.com 6e064a38-7f82-4416-9451-8d82a554b559 Model","[Facilities].[DATIMName].&amp;[Lumuma RC Health Center]")</f>
        <v>#N/A</v>
      </c>
      <c r="B177" t="e">
        <f t="shared" si="17"/>
        <v>#N/A</v>
      </c>
      <c r="C177" t="e">
        <f t="shared" si="17"/>
        <v>#N/A</v>
      </c>
      <c r="D177" t="e">
        <f t="shared" si="17"/>
        <v>#N/A</v>
      </c>
      <c r="E177" t="e">
        <f t="shared" si="17"/>
        <v>#N/A</v>
      </c>
      <c r="F177" t="e">
        <f t="shared" si="17"/>
        <v>#N/A</v>
      </c>
      <c r="G177" t="e">
        <f t="shared" si="17"/>
        <v>#N/A</v>
      </c>
      <c r="H177" t="e">
        <f t="shared" si="17"/>
        <v>#N/A</v>
      </c>
      <c r="I177" t="e">
        <f t="shared" si="17"/>
        <v>#N/A</v>
      </c>
      <c r="J177" t="e">
        <f t="shared" si="17"/>
        <v>#N/A</v>
      </c>
      <c r="K177" t="e">
        <f t="shared" si="17"/>
        <v>#N/A</v>
      </c>
      <c r="L177" t="e">
        <f t="shared" si="17"/>
        <v>#N/A</v>
      </c>
      <c r="M177" t="e">
        <f t="shared" si="17"/>
        <v>#N/A</v>
      </c>
      <c r="N177" t="e">
        <f t="shared" si="17"/>
        <v>#N/A</v>
      </c>
      <c r="O177" t="e">
        <f t="shared" si="17"/>
        <v>#N/A</v>
      </c>
      <c r="P177" t="e">
        <f t="shared" si="17"/>
        <v>#N/A</v>
      </c>
    </row>
    <row r="178" spans="1:16" x14ac:dyDescent="0.25">
      <c r="A178" t="e">
        <f>CUBEMEMBER("pbiazure://api.powerbi.com 6e064a38-7f82-4416-9451-8d82a554b559 Model","[Facilities].[DATIMName].&amp;[Lyamungo RHC Health Center]")</f>
        <v>#N/A</v>
      </c>
      <c r="B178" t="e">
        <f t="shared" si="17"/>
        <v>#N/A</v>
      </c>
      <c r="C178" t="e">
        <f t="shared" si="17"/>
        <v>#N/A</v>
      </c>
      <c r="D178" t="e">
        <f t="shared" si="17"/>
        <v>#N/A</v>
      </c>
      <c r="E178" t="e">
        <f t="shared" si="17"/>
        <v>#N/A</v>
      </c>
      <c r="F178" t="e">
        <f t="shared" si="17"/>
        <v>#N/A</v>
      </c>
      <c r="G178" t="e">
        <f t="shared" si="17"/>
        <v>#N/A</v>
      </c>
      <c r="H178" t="e">
        <f t="shared" si="17"/>
        <v>#N/A</v>
      </c>
      <c r="I178" t="e">
        <f t="shared" si="17"/>
        <v>#N/A</v>
      </c>
      <c r="J178" t="e">
        <f t="shared" si="17"/>
        <v>#N/A</v>
      </c>
      <c r="K178" t="e">
        <f t="shared" si="17"/>
        <v>#N/A</v>
      </c>
      <c r="L178" t="e">
        <f t="shared" si="17"/>
        <v>#N/A</v>
      </c>
      <c r="M178" t="e">
        <f t="shared" si="17"/>
        <v>#N/A</v>
      </c>
      <c r="N178" t="e">
        <f t="shared" si="17"/>
        <v>#N/A</v>
      </c>
      <c r="O178" t="e">
        <f t="shared" si="17"/>
        <v>#N/A</v>
      </c>
      <c r="P178" t="e">
        <f t="shared" si="17"/>
        <v>#N/A</v>
      </c>
    </row>
    <row r="179" spans="1:16" x14ac:dyDescent="0.25">
      <c r="A179" t="e">
        <f>CUBEMEMBER("pbiazure://api.powerbi.com 6e064a38-7f82-4416-9451-8d82a554b559 Model","[Facilities].[DATIMName].&amp;[M&amp;M Kiwera Dispensary]")</f>
        <v>#N/A</v>
      </c>
      <c r="B179" t="e">
        <f t="shared" si="17"/>
        <v>#N/A</v>
      </c>
      <c r="C179" t="e">
        <f t="shared" si="17"/>
        <v>#N/A</v>
      </c>
      <c r="D179" t="e">
        <f t="shared" si="17"/>
        <v>#N/A</v>
      </c>
      <c r="E179" t="e">
        <f t="shared" si="17"/>
        <v>#N/A</v>
      </c>
      <c r="F179" t="e">
        <f t="shared" si="17"/>
        <v>#N/A</v>
      </c>
      <c r="G179" t="e">
        <f t="shared" si="17"/>
        <v>#N/A</v>
      </c>
      <c r="H179" t="e">
        <f t="shared" si="17"/>
        <v>#N/A</v>
      </c>
      <c r="I179" t="e">
        <f t="shared" si="17"/>
        <v>#N/A</v>
      </c>
      <c r="J179" t="e">
        <f t="shared" si="17"/>
        <v>#N/A</v>
      </c>
      <c r="K179" t="e">
        <f t="shared" si="17"/>
        <v>#N/A</v>
      </c>
      <c r="L179" t="e">
        <f t="shared" si="17"/>
        <v>#N/A</v>
      </c>
      <c r="M179" t="e">
        <f t="shared" si="17"/>
        <v>#N/A</v>
      </c>
      <c r="N179" t="e">
        <f t="shared" si="17"/>
        <v>#N/A</v>
      </c>
      <c r="O179" t="e">
        <f t="shared" si="17"/>
        <v>#N/A</v>
      </c>
      <c r="P179" t="e">
        <f t="shared" si="17"/>
        <v>#N/A</v>
      </c>
    </row>
    <row r="180" spans="1:16" x14ac:dyDescent="0.25">
      <c r="A180" t="e">
        <f>CUBEMEMBER("pbiazure://api.powerbi.com 6e064a38-7f82-4416-9451-8d82a554b559 Model","[Facilities].[DATIMName].&amp;[Mabogini Dispensary]")</f>
        <v>#N/A</v>
      </c>
      <c r="B180" t="e">
        <f t="shared" si="17"/>
        <v>#N/A</v>
      </c>
      <c r="C180" t="e">
        <f t="shared" si="17"/>
        <v>#N/A</v>
      </c>
      <c r="D180" t="e">
        <f t="shared" si="17"/>
        <v>#N/A</v>
      </c>
      <c r="E180" t="e">
        <f t="shared" si="17"/>
        <v>#N/A</v>
      </c>
      <c r="F180" t="e">
        <f t="shared" si="17"/>
        <v>#N/A</v>
      </c>
      <c r="G180" t="e">
        <f t="shared" si="17"/>
        <v>#N/A</v>
      </c>
      <c r="H180" t="e">
        <f t="shared" si="17"/>
        <v>#N/A</v>
      </c>
      <c r="I180" t="e">
        <f t="shared" si="17"/>
        <v>#N/A</v>
      </c>
      <c r="J180" t="e">
        <f t="shared" si="17"/>
        <v>#N/A</v>
      </c>
      <c r="K180" t="e">
        <f t="shared" si="17"/>
        <v>#N/A</v>
      </c>
      <c r="L180" t="e">
        <f t="shared" si="17"/>
        <v>#N/A</v>
      </c>
      <c r="M180" t="e">
        <f t="shared" si="17"/>
        <v>#N/A</v>
      </c>
      <c r="N180" t="e">
        <f t="shared" si="17"/>
        <v>#N/A</v>
      </c>
      <c r="O180" t="e">
        <f t="shared" si="17"/>
        <v>#N/A</v>
      </c>
      <c r="P180" t="e">
        <f t="shared" si="17"/>
        <v>#N/A</v>
      </c>
    </row>
    <row r="181" spans="1:16" x14ac:dyDescent="0.25">
      <c r="A181" t="e">
        <f>CUBEMEMBER("pbiazure://api.powerbi.com 6e064a38-7f82-4416-9451-8d82a554b559 Model","[Facilities].[DATIMName].&amp;[Machame Hospital - Designated District Hospital]")</f>
        <v>#N/A</v>
      </c>
      <c r="B181" t="e">
        <f t="shared" si="17"/>
        <v>#N/A</v>
      </c>
      <c r="C181" t="e">
        <f t="shared" si="17"/>
        <v>#N/A</v>
      </c>
      <c r="D181" t="e">
        <f t="shared" si="17"/>
        <v>#N/A</v>
      </c>
      <c r="E181" t="e">
        <f t="shared" si="17"/>
        <v>#N/A</v>
      </c>
      <c r="F181" t="e">
        <f t="shared" si="17"/>
        <v>#N/A</v>
      </c>
      <c r="G181" t="e">
        <f t="shared" si="17"/>
        <v>#N/A</v>
      </c>
      <c r="H181" t="e">
        <f t="shared" si="17"/>
        <v>#N/A</v>
      </c>
      <c r="I181" t="e">
        <f t="shared" si="17"/>
        <v>#N/A</v>
      </c>
      <c r="J181" t="e">
        <f t="shared" si="17"/>
        <v>#N/A</v>
      </c>
      <c r="K181" t="e">
        <f t="shared" si="17"/>
        <v>#N/A</v>
      </c>
      <c r="L181" t="e">
        <f t="shared" si="17"/>
        <v>#N/A</v>
      </c>
      <c r="M181" t="e">
        <f t="shared" si="17"/>
        <v>#N/A</v>
      </c>
      <c r="N181" t="e">
        <f t="shared" si="17"/>
        <v>#N/A</v>
      </c>
      <c r="O181" t="e">
        <f t="shared" si="17"/>
        <v>#N/A</v>
      </c>
      <c r="P181" t="e">
        <f t="shared" si="17"/>
        <v>#N/A</v>
      </c>
    </row>
    <row r="182" spans="1:16" x14ac:dyDescent="0.25">
      <c r="A182" t="e">
        <f>CUBEMEMBER("pbiazure://api.powerbi.com 6e064a38-7f82-4416-9451-8d82a554b559 Model","[Facilities].[DATIMName].&amp;[Magara Health Center]")</f>
        <v>#N/A</v>
      </c>
      <c r="B182" t="e">
        <f t="shared" si="17"/>
        <v>#N/A</v>
      </c>
      <c r="C182" t="e">
        <f t="shared" si="17"/>
        <v>#N/A</v>
      </c>
      <c r="D182" t="e">
        <f t="shared" si="17"/>
        <v>#N/A</v>
      </c>
      <c r="E182" t="e">
        <f t="shared" si="17"/>
        <v>#N/A</v>
      </c>
      <c r="F182" t="e">
        <f t="shared" si="17"/>
        <v>#N/A</v>
      </c>
      <c r="G182" t="e">
        <f t="shared" si="17"/>
        <v>#N/A</v>
      </c>
      <c r="H182" t="e">
        <f t="shared" si="17"/>
        <v>#N/A</v>
      </c>
      <c r="I182" t="e">
        <f t="shared" si="17"/>
        <v>#N/A</v>
      </c>
      <c r="J182" t="e">
        <f t="shared" si="17"/>
        <v>#N/A</v>
      </c>
      <c r="K182" t="e">
        <f t="shared" si="17"/>
        <v>#N/A</v>
      </c>
      <c r="L182" t="e">
        <f t="shared" si="17"/>
        <v>#N/A</v>
      </c>
      <c r="M182" t="e">
        <f t="shared" si="17"/>
        <v>#N/A</v>
      </c>
      <c r="N182" t="e">
        <f t="shared" si="17"/>
        <v>#N/A</v>
      </c>
      <c r="O182" t="e">
        <f t="shared" si="17"/>
        <v>#N/A</v>
      </c>
      <c r="P182" t="e">
        <f t="shared" si="17"/>
        <v>#N/A</v>
      </c>
    </row>
    <row r="183" spans="1:16" x14ac:dyDescent="0.25">
      <c r="A183" t="e">
        <f>CUBEMEMBER("pbiazure://api.powerbi.com 6e064a38-7f82-4416-9451-8d82a554b559 Model","[Facilities].[DATIMName].&amp;[Magugu Health Center]")</f>
        <v>#N/A</v>
      </c>
      <c r="B183" t="e">
        <f t="shared" si="17"/>
        <v>#N/A</v>
      </c>
      <c r="C183" t="e">
        <f t="shared" si="17"/>
        <v>#N/A</v>
      </c>
      <c r="D183" t="e">
        <f t="shared" si="17"/>
        <v>#N/A</v>
      </c>
      <c r="E183" t="e">
        <f t="shared" si="17"/>
        <v>#N/A</v>
      </c>
      <c r="F183" t="e">
        <f t="shared" si="17"/>
        <v>#N/A</v>
      </c>
      <c r="G183" t="e">
        <f t="shared" si="17"/>
        <v>#N/A</v>
      </c>
      <c r="H183" t="e">
        <f t="shared" si="17"/>
        <v>#N/A</v>
      </c>
      <c r="I183" t="e">
        <f t="shared" si="17"/>
        <v>#N/A</v>
      </c>
      <c r="J183" t="e">
        <f t="shared" si="17"/>
        <v>#N/A</v>
      </c>
      <c r="K183" t="e">
        <f t="shared" si="17"/>
        <v>#N/A</v>
      </c>
      <c r="L183" t="e">
        <f t="shared" si="17"/>
        <v>#N/A</v>
      </c>
      <c r="M183" t="e">
        <f t="shared" si="17"/>
        <v>#N/A</v>
      </c>
      <c r="N183" t="e">
        <f t="shared" si="17"/>
        <v>#N/A</v>
      </c>
      <c r="O183" t="e">
        <f t="shared" si="17"/>
        <v>#N/A</v>
      </c>
      <c r="P183" t="e">
        <f t="shared" si="17"/>
        <v>#N/A</v>
      </c>
    </row>
    <row r="184" spans="1:16" x14ac:dyDescent="0.25">
      <c r="A184" t="e">
        <f>CUBEMEMBER("pbiazure://api.powerbi.com 6e064a38-7f82-4416-9451-8d82a554b559 Model","[Facilities].[DATIMName].&amp;[Mahomanyika Dispensary]")</f>
        <v>#N/A</v>
      </c>
      <c r="B184" t="e">
        <f t="shared" si="17"/>
        <v>#N/A</v>
      </c>
      <c r="C184" t="e">
        <f t="shared" si="17"/>
        <v>#N/A</v>
      </c>
      <c r="D184" t="e">
        <f t="shared" si="17"/>
        <v>#N/A</v>
      </c>
      <c r="E184" t="e">
        <f t="shared" si="17"/>
        <v>#N/A</v>
      </c>
      <c r="F184" t="e">
        <f t="shared" si="17"/>
        <v>#N/A</v>
      </c>
      <c r="G184" t="e">
        <f t="shared" si="17"/>
        <v>#N/A</v>
      </c>
      <c r="H184" t="e">
        <f t="shared" si="17"/>
        <v>#N/A</v>
      </c>
      <c r="I184" t="e">
        <f t="shared" si="17"/>
        <v>#N/A</v>
      </c>
      <c r="J184" t="e">
        <f t="shared" si="17"/>
        <v>#N/A</v>
      </c>
      <c r="K184" t="e">
        <f t="shared" si="17"/>
        <v>#N/A</v>
      </c>
      <c r="L184" t="e">
        <f t="shared" si="17"/>
        <v>#N/A</v>
      </c>
      <c r="M184" t="e">
        <f t="shared" si="17"/>
        <v>#N/A</v>
      </c>
      <c r="N184" t="e">
        <f t="shared" si="17"/>
        <v>#N/A</v>
      </c>
      <c r="O184" t="e">
        <f t="shared" si="17"/>
        <v>#N/A</v>
      </c>
      <c r="P184" t="e">
        <f t="shared" si="17"/>
        <v>#N/A</v>
      </c>
    </row>
    <row r="185" spans="1:16" x14ac:dyDescent="0.25">
      <c r="A185" t="e">
        <f>CUBEMEMBER("pbiazure://api.powerbi.com 6e064a38-7f82-4416-9451-8d82a554b559 Model","[Facilities].[DATIMName].&amp;[Maili Sita RC Dispensary]")</f>
        <v>#N/A</v>
      </c>
      <c r="B185" t="e">
        <f t="shared" ref="B185:P194" si="18">CUBEVALUE("pbiazure://api.powerbi.com 6e064a38-7f82-4416-9451-8d82a554b559 Model",$B$1,$A185,B$4)</f>
        <v>#N/A</v>
      </c>
      <c r="C185" t="e">
        <f t="shared" si="18"/>
        <v>#N/A</v>
      </c>
      <c r="D185" t="e">
        <f t="shared" si="18"/>
        <v>#N/A</v>
      </c>
      <c r="E185" t="e">
        <f t="shared" si="18"/>
        <v>#N/A</v>
      </c>
      <c r="F185" t="e">
        <f t="shared" si="18"/>
        <v>#N/A</v>
      </c>
      <c r="G185" t="e">
        <f t="shared" si="18"/>
        <v>#N/A</v>
      </c>
      <c r="H185" t="e">
        <f t="shared" si="18"/>
        <v>#N/A</v>
      </c>
      <c r="I185" t="e">
        <f t="shared" si="18"/>
        <v>#N/A</v>
      </c>
      <c r="J185" t="e">
        <f t="shared" si="18"/>
        <v>#N/A</v>
      </c>
      <c r="K185" t="e">
        <f t="shared" si="18"/>
        <v>#N/A</v>
      </c>
      <c r="L185" t="e">
        <f t="shared" si="18"/>
        <v>#N/A</v>
      </c>
      <c r="M185" t="e">
        <f t="shared" si="18"/>
        <v>#N/A</v>
      </c>
      <c r="N185" t="e">
        <f t="shared" si="18"/>
        <v>#N/A</v>
      </c>
      <c r="O185" t="e">
        <f t="shared" si="18"/>
        <v>#N/A</v>
      </c>
      <c r="P185" t="e">
        <f t="shared" si="18"/>
        <v>#N/A</v>
      </c>
    </row>
    <row r="186" spans="1:16" x14ac:dyDescent="0.25">
      <c r="A186" t="e">
        <f>CUBEMEMBER("pbiazure://api.powerbi.com 6e064a38-7f82-4416-9451-8d82a554b559 Model","[Facilities].[DATIMName].&amp;[Majengo Health Center]")</f>
        <v>#N/A</v>
      </c>
      <c r="B186" t="e">
        <f t="shared" si="18"/>
        <v>#N/A</v>
      </c>
      <c r="C186" t="e">
        <f t="shared" si="18"/>
        <v>#N/A</v>
      </c>
      <c r="D186" t="e">
        <f t="shared" si="18"/>
        <v>#N/A</v>
      </c>
      <c r="E186" t="e">
        <f t="shared" si="18"/>
        <v>#N/A</v>
      </c>
      <c r="F186" t="e">
        <f t="shared" si="18"/>
        <v>#N/A</v>
      </c>
      <c r="G186" t="e">
        <f t="shared" si="18"/>
        <v>#N/A</v>
      </c>
      <c r="H186" t="e">
        <f t="shared" si="18"/>
        <v>#N/A</v>
      </c>
      <c r="I186" t="e">
        <f t="shared" si="18"/>
        <v>#N/A</v>
      </c>
      <c r="J186" t="e">
        <f t="shared" si="18"/>
        <v>#N/A</v>
      </c>
      <c r="K186" t="e">
        <f t="shared" si="18"/>
        <v>#N/A</v>
      </c>
      <c r="L186" t="e">
        <f t="shared" si="18"/>
        <v>#N/A</v>
      </c>
      <c r="M186" t="e">
        <f t="shared" si="18"/>
        <v>#N/A</v>
      </c>
      <c r="N186" t="e">
        <f t="shared" si="18"/>
        <v>#N/A</v>
      </c>
      <c r="O186" t="e">
        <f t="shared" si="18"/>
        <v>#N/A</v>
      </c>
      <c r="P186" t="e">
        <f t="shared" si="18"/>
        <v>#N/A</v>
      </c>
    </row>
    <row r="187" spans="1:16" x14ac:dyDescent="0.25">
      <c r="A187" t="e">
        <f>CUBEMEMBER("pbiazure://api.powerbi.com 6e064a38-7f82-4416-9451-8d82a554b559 Model","[Facilities].[DATIMName].&amp;[Makaa Pumwani Dispensary]")</f>
        <v>#N/A</v>
      </c>
      <c r="B187" t="e">
        <f t="shared" si="18"/>
        <v>#N/A</v>
      </c>
      <c r="C187" t="e">
        <f t="shared" si="18"/>
        <v>#N/A</v>
      </c>
      <c r="D187" t="e">
        <f t="shared" si="18"/>
        <v>#N/A</v>
      </c>
      <c r="E187" t="e">
        <f t="shared" si="18"/>
        <v>#N/A</v>
      </c>
      <c r="F187" t="e">
        <f t="shared" si="18"/>
        <v>#N/A</v>
      </c>
      <c r="G187" t="e">
        <f t="shared" si="18"/>
        <v>#N/A</v>
      </c>
      <c r="H187" t="e">
        <f t="shared" si="18"/>
        <v>#N/A</v>
      </c>
      <c r="I187" t="e">
        <f t="shared" si="18"/>
        <v>#N/A</v>
      </c>
      <c r="J187" t="e">
        <f t="shared" si="18"/>
        <v>#N/A</v>
      </c>
      <c r="K187" t="e">
        <f t="shared" si="18"/>
        <v>#N/A</v>
      </c>
      <c r="L187" t="e">
        <f t="shared" si="18"/>
        <v>#N/A</v>
      </c>
      <c r="M187" t="e">
        <f t="shared" si="18"/>
        <v>#N/A</v>
      </c>
      <c r="N187" t="e">
        <f t="shared" si="18"/>
        <v>#N/A</v>
      </c>
      <c r="O187" t="e">
        <f t="shared" si="18"/>
        <v>#N/A</v>
      </c>
      <c r="P187" t="e">
        <f t="shared" si="18"/>
        <v>#N/A</v>
      </c>
    </row>
    <row r="188" spans="1:16" x14ac:dyDescent="0.25">
      <c r="A188" t="e">
        <f>CUBEMEMBER("pbiazure://api.powerbi.com 6e064a38-7f82-4416-9451-8d82a554b559 Model","[Facilities].[DATIMName].&amp;[Makanya Health Center]")</f>
        <v>#N/A</v>
      </c>
      <c r="B188" t="e">
        <f t="shared" si="18"/>
        <v>#N/A</v>
      </c>
      <c r="C188" t="e">
        <f t="shared" si="18"/>
        <v>#N/A</v>
      </c>
      <c r="D188" t="e">
        <f t="shared" si="18"/>
        <v>#N/A</v>
      </c>
      <c r="E188" t="e">
        <f t="shared" si="18"/>
        <v>#N/A</v>
      </c>
      <c r="F188" t="e">
        <f t="shared" si="18"/>
        <v>#N/A</v>
      </c>
      <c r="G188" t="e">
        <f t="shared" si="18"/>
        <v>#N/A</v>
      </c>
      <c r="H188" t="e">
        <f t="shared" si="18"/>
        <v>#N/A</v>
      </c>
      <c r="I188" t="e">
        <f t="shared" si="18"/>
        <v>#N/A</v>
      </c>
      <c r="J188" t="e">
        <f t="shared" si="18"/>
        <v>#N/A</v>
      </c>
      <c r="K188" t="e">
        <f t="shared" si="18"/>
        <v>#N/A</v>
      </c>
      <c r="L188" t="e">
        <f t="shared" si="18"/>
        <v>#N/A</v>
      </c>
      <c r="M188" t="e">
        <f t="shared" si="18"/>
        <v>#N/A</v>
      </c>
      <c r="N188" t="e">
        <f t="shared" si="18"/>
        <v>#N/A</v>
      </c>
      <c r="O188" t="e">
        <f t="shared" si="18"/>
        <v>#N/A</v>
      </c>
      <c r="P188" t="e">
        <f t="shared" si="18"/>
        <v>#N/A</v>
      </c>
    </row>
    <row r="189" spans="1:16" x14ac:dyDescent="0.25">
      <c r="A189" t="e">
        <f>CUBEMEMBER("pbiazure://api.powerbi.com 6e064a38-7f82-4416-9451-8d82a554b559 Model","[Facilities].[DATIMName].&amp;[Makanya Kitivo Dispensary]")</f>
        <v>#N/A</v>
      </c>
      <c r="B189" t="e">
        <f t="shared" si="18"/>
        <v>#N/A</v>
      </c>
      <c r="C189" t="e">
        <f t="shared" si="18"/>
        <v>#N/A</v>
      </c>
      <c r="D189" t="e">
        <f t="shared" si="18"/>
        <v>#N/A</v>
      </c>
      <c r="E189" t="e">
        <f t="shared" si="18"/>
        <v>#N/A</v>
      </c>
      <c r="F189" t="e">
        <f t="shared" si="18"/>
        <v>#N/A</v>
      </c>
      <c r="G189" t="e">
        <f t="shared" si="18"/>
        <v>#N/A</v>
      </c>
      <c r="H189" t="e">
        <f t="shared" si="18"/>
        <v>#N/A</v>
      </c>
      <c r="I189" t="e">
        <f t="shared" si="18"/>
        <v>#N/A</v>
      </c>
      <c r="J189" t="e">
        <f t="shared" si="18"/>
        <v>#N/A</v>
      </c>
      <c r="K189" t="e">
        <f t="shared" si="18"/>
        <v>#N/A</v>
      </c>
      <c r="L189" t="e">
        <f t="shared" si="18"/>
        <v>#N/A</v>
      </c>
      <c r="M189" t="e">
        <f t="shared" si="18"/>
        <v>#N/A</v>
      </c>
      <c r="N189" t="e">
        <f t="shared" si="18"/>
        <v>#N/A</v>
      </c>
      <c r="O189" t="e">
        <f t="shared" si="18"/>
        <v>#N/A</v>
      </c>
      <c r="P189" t="e">
        <f t="shared" si="18"/>
        <v>#N/A</v>
      </c>
    </row>
    <row r="190" spans="1:16" x14ac:dyDescent="0.25">
      <c r="A190" t="e">
        <f>CUBEMEMBER("pbiazure://api.powerbi.com 6e064a38-7f82-4416-9451-8d82a554b559 Model","[Facilities].[DATIMName].&amp;[Makawa Dispensary]")</f>
        <v>#N/A</v>
      </c>
      <c r="B190" t="e">
        <f t="shared" si="18"/>
        <v>#N/A</v>
      </c>
      <c r="C190" t="e">
        <f t="shared" si="18"/>
        <v>#N/A</v>
      </c>
      <c r="D190" t="e">
        <f t="shared" si="18"/>
        <v>#N/A</v>
      </c>
      <c r="E190" t="e">
        <f t="shared" si="18"/>
        <v>#N/A</v>
      </c>
      <c r="F190" t="e">
        <f t="shared" si="18"/>
        <v>#N/A</v>
      </c>
      <c r="G190" t="e">
        <f t="shared" si="18"/>
        <v>#N/A</v>
      </c>
      <c r="H190" t="e">
        <f t="shared" si="18"/>
        <v>#N/A</v>
      </c>
      <c r="I190" t="e">
        <f t="shared" si="18"/>
        <v>#N/A</v>
      </c>
      <c r="J190" t="e">
        <f t="shared" si="18"/>
        <v>#N/A</v>
      </c>
      <c r="K190" t="e">
        <f t="shared" si="18"/>
        <v>#N/A</v>
      </c>
      <c r="L190" t="e">
        <f t="shared" si="18"/>
        <v>#N/A</v>
      </c>
      <c r="M190" t="e">
        <f t="shared" si="18"/>
        <v>#N/A</v>
      </c>
      <c r="N190" t="e">
        <f t="shared" si="18"/>
        <v>#N/A</v>
      </c>
      <c r="O190" t="e">
        <f t="shared" si="18"/>
        <v>#N/A</v>
      </c>
      <c r="P190" t="e">
        <f t="shared" si="18"/>
        <v>#N/A</v>
      </c>
    </row>
    <row r="191" spans="1:16" x14ac:dyDescent="0.25">
      <c r="A191" t="e">
        <f>CUBEMEMBER("pbiazure://api.powerbi.com 6e064a38-7f82-4416-9451-8d82a554b559 Model","[Facilities].[DATIMName].&amp;[Makiba Health Center]")</f>
        <v>#N/A</v>
      </c>
      <c r="B191" t="e">
        <f t="shared" si="18"/>
        <v>#N/A</v>
      </c>
      <c r="C191" t="e">
        <f t="shared" si="18"/>
        <v>#N/A</v>
      </c>
      <c r="D191" t="e">
        <f t="shared" si="18"/>
        <v>#N/A</v>
      </c>
      <c r="E191" t="e">
        <f t="shared" si="18"/>
        <v>#N/A</v>
      </c>
      <c r="F191" t="e">
        <f t="shared" si="18"/>
        <v>#N/A</v>
      </c>
      <c r="G191" t="e">
        <f t="shared" si="18"/>
        <v>#N/A</v>
      </c>
      <c r="H191" t="e">
        <f t="shared" si="18"/>
        <v>#N/A</v>
      </c>
      <c r="I191" t="e">
        <f t="shared" si="18"/>
        <v>#N/A</v>
      </c>
      <c r="J191" t="e">
        <f t="shared" si="18"/>
        <v>#N/A</v>
      </c>
      <c r="K191" t="e">
        <f t="shared" si="18"/>
        <v>#N/A</v>
      </c>
      <c r="L191" t="e">
        <f t="shared" si="18"/>
        <v>#N/A</v>
      </c>
      <c r="M191" t="e">
        <f t="shared" si="18"/>
        <v>#N/A</v>
      </c>
      <c r="N191" t="e">
        <f t="shared" si="18"/>
        <v>#N/A</v>
      </c>
      <c r="O191" t="e">
        <f t="shared" si="18"/>
        <v>#N/A</v>
      </c>
      <c r="P191" t="e">
        <f t="shared" si="18"/>
        <v>#N/A</v>
      </c>
    </row>
    <row r="192" spans="1:16" x14ac:dyDescent="0.25">
      <c r="A192" t="e">
        <f>CUBEMEMBER("pbiazure://api.powerbi.com 6e064a38-7f82-4416-9451-8d82a554b559 Model","[Facilities].[DATIMName].&amp;[Makiungu Hospital - Designated District Hospital]")</f>
        <v>#N/A</v>
      </c>
      <c r="B192" t="e">
        <f t="shared" si="18"/>
        <v>#N/A</v>
      </c>
      <c r="C192" t="e">
        <f t="shared" si="18"/>
        <v>#N/A</v>
      </c>
      <c r="D192" t="e">
        <f t="shared" si="18"/>
        <v>#N/A</v>
      </c>
      <c r="E192" t="e">
        <f t="shared" si="18"/>
        <v>#N/A</v>
      </c>
      <c r="F192" t="e">
        <f t="shared" si="18"/>
        <v>#N/A</v>
      </c>
      <c r="G192" t="e">
        <f t="shared" si="18"/>
        <v>#N/A</v>
      </c>
      <c r="H192" t="e">
        <f t="shared" si="18"/>
        <v>#N/A</v>
      </c>
      <c r="I192" t="e">
        <f t="shared" si="18"/>
        <v>#N/A</v>
      </c>
      <c r="J192" t="e">
        <f t="shared" si="18"/>
        <v>#N/A</v>
      </c>
      <c r="K192" t="e">
        <f t="shared" si="18"/>
        <v>#N/A</v>
      </c>
      <c r="L192" t="e">
        <f t="shared" si="18"/>
        <v>#N/A</v>
      </c>
      <c r="M192" t="e">
        <f t="shared" si="18"/>
        <v>#N/A</v>
      </c>
      <c r="N192" t="e">
        <f t="shared" si="18"/>
        <v>#N/A</v>
      </c>
      <c r="O192" t="e">
        <f t="shared" si="18"/>
        <v>#N/A</v>
      </c>
      <c r="P192" t="e">
        <f t="shared" si="18"/>
        <v>#N/A</v>
      </c>
    </row>
    <row r="193" spans="1:16" x14ac:dyDescent="0.25">
      <c r="A193" t="e">
        <f>CUBEMEMBER("pbiazure://api.powerbi.com 6e064a38-7f82-4416-9451-8d82a554b559 Model","[Facilities].[DATIMName].&amp;[Makole Dispensary]")</f>
        <v>#N/A</v>
      </c>
      <c r="B193" t="e">
        <f t="shared" si="18"/>
        <v>#N/A</v>
      </c>
      <c r="C193" t="e">
        <f t="shared" si="18"/>
        <v>#N/A</v>
      </c>
      <c r="D193" t="e">
        <f t="shared" si="18"/>
        <v>#N/A</v>
      </c>
      <c r="E193" t="e">
        <f t="shared" si="18"/>
        <v>#N/A</v>
      </c>
      <c r="F193" t="e">
        <f t="shared" si="18"/>
        <v>#N/A</v>
      </c>
      <c r="G193" t="e">
        <f t="shared" si="18"/>
        <v>#N/A</v>
      </c>
      <c r="H193" t="e">
        <f t="shared" si="18"/>
        <v>#N/A</v>
      </c>
      <c r="I193" t="e">
        <f t="shared" si="18"/>
        <v>#N/A</v>
      </c>
      <c r="J193" t="e">
        <f t="shared" si="18"/>
        <v>#N/A</v>
      </c>
      <c r="K193" t="e">
        <f t="shared" si="18"/>
        <v>#N/A</v>
      </c>
      <c r="L193" t="e">
        <f t="shared" si="18"/>
        <v>#N/A</v>
      </c>
      <c r="M193" t="e">
        <f t="shared" si="18"/>
        <v>#N/A</v>
      </c>
      <c r="N193" t="e">
        <f t="shared" si="18"/>
        <v>#N/A</v>
      </c>
      <c r="O193" t="e">
        <f t="shared" si="18"/>
        <v>#N/A</v>
      </c>
      <c r="P193" t="e">
        <f t="shared" si="18"/>
        <v>#N/A</v>
      </c>
    </row>
    <row r="194" spans="1:16" x14ac:dyDescent="0.25">
      <c r="A194" t="e">
        <f>CUBEMEMBER("pbiazure://api.powerbi.com 6e064a38-7f82-4416-9451-8d82a554b559 Model","[Facilities].[DATIMName].&amp;[Makole HC Health Center]")</f>
        <v>#N/A</v>
      </c>
      <c r="B194" t="e">
        <f t="shared" si="18"/>
        <v>#N/A</v>
      </c>
      <c r="C194" t="e">
        <f t="shared" si="18"/>
        <v>#N/A</v>
      </c>
      <c r="D194" t="e">
        <f t="shared" si="18"/>
        <v>#N/A</v>
      </c>
      <c r="E194" t="e">
        <f t="shared" si="18"/>
        <v>#N/A</v>
      </c>
      <c r="F194" t="e">
        <f t="shared" si="18"/>
        <v>#N/A</v>
      </c>
      <c r="G194" t="e">
        <f t="shared" si="18"/>
        <v>#N/A</v>
      </c>
      <c r="H194" t="e">
        <f t="shared" si="18"/>
        <v>#N/A</v>
      </c>
      <c r="I194" t="e">
        <f t="shared" si="18"/>
        <v>#N/A</v>
      </c>
      <c r="J194" t="e">
        <f t="shared" si="18"/>
        <v>#N/A</v>
      </c>
      <c r="K194" t="e">
        <f t="shared" si="18"/>
        <v>#N/A</v>
      </c>
      <c r="L194" t="e">
        <f t="shared" si="18"/>
        <v>#N/A</v>
      </c>
      <c r="M194" t="e">
        <f t="shared" si="18"/>
        <v>#N/A</v>
      </c>
      <c r="N194" t="e">
        <f t="shared" si="18"/>
        <v>#N/A</v>
      </c>
      <c r="O194" t="e">
        <f t="shared" si="18"/>
        <v>#N/A</v>
      </c>
      <c r="P194" t="e">
        <f t="shared" si="18"/>
        <v>#N/A</v>
      </c>
    </row>
    <row r="195" spans="1:16" x14ac:dyDescent="0.25">
      <c r="A195" t="e">
        <f>CUBEMEMBER("pbiazure://api.powerbi.com 6e064a38-7f82-4416-9451-8d82a554b559 Model","[Facilities].[DATIMName].&amp;[Makuyuni Dispensary]")</f>
        <v>#N/A</v>
      </c>
      <c r="B195" t="e">
        <f t="shared" ref="B195:P204" si="19">CUBEVALUE("pbiazure://api.powerbi.com 6e064a38-7f82-4416-9451-8d82a554b559 Model",$B$1,$A195,B$4)</f>
        <v>#N/A</v>
      </c>
      <c r="C195" t="e">
        <f t="shared" si="19"/>
        <v>#N/A</v>
      </c>
      <c r="D195" t="e">
        <f t="shared" si="19"/>
        <v>#N/A</v>
      </c>
      <c r="E195" t="e">
        <f t="shared" si="19"/>
        <v>#N/A</v>
      </c>
      <c r="F195" t="e">
        <f t="shared" si="19"/>
        <v>#N/A</v>
      </c>
      <c r="G195" t="e">
        <f t="shared" si="19"/>
        <v>#N/A</v>
      </c>
      <c r="H195" t="e">
        <f t="shared" si="19"/>
        <v>#N/A</v>
      </c>
      <c r="I195" t="e">
        <f t="shared" si="19"/>
        <v>#N/A</v>
      </c>
      <c r="J195" t="e">
        <f t="shared" si="19"/>
        <v>#N/A</v>
      </c>
      <c r="K195" t="e">
        <f t="shared" si="19"/>
        <v>#N/A</v>
      </c>
      <c r="L195" t="e">
        <f t="shared" si="19"/>
        <v>#N/A</v>
      </c>
      <c r="M195" t="e">
        <f t="shared" si="19"/>
        <v>#N/A</v>
      </c>
      <c r="N195" t="e">
        <f t="shared" si="19"/>
        <v>#N/A</v>
      </c>
      <c r="O195" t="e">
        <f t="shared" si="19"/>
        <v>#N/A</v>
      </c>
      <c r="P195" t="e">
        <f t="shared" si="19"/>
        <v>#N/A</v>
      </c>
    </row>
    <row r="196" spans="1:16" x14ac:dyDescent="0.25">
      <c r="A196" t="e">
        <f>CUBEMEMBER("pbiazure://api.powerbi.com 6e064a38-7f82-4416-9451-8d82a554b559 Model","[Facilities].[DATIMName].&amp;[Malambo Health Center]")</f>
        <v>#N/A</v>
      </c>
      <c r="B196" t="e">
        <f t="shared" si="19"/>
        <v>#N/A</v>
      </c>
      <c r="C196" t="e">
        <f t="shared" si="19"/>
        <v>#N/A</v>
      </c>
      <c r="D196" t="e">
        <f t="shared" si="19"/>
        <v>#N/A</v>
      </c>
      <c r="E196" t="e">
        <f t="shared" si="19"/>
        <v>#N/A</v>
      </c>
      <c r="F196" t="e">
        <f t="shared" si="19"/>
        <v>#N/A</v>
      </c>
      <c r="G196" t="e">
        <f t="shared" si="19"/>
        <v>#N/A</v>
      </c>
      <c r="H196" t="e">
        <f t="shared" si="19"/>
        <v>#N/A</v>
      </c>
      <c r="I196" t="e">
        <f t="shared" si="19"/>
        <v>#N/A</v>
      </c>
      <c r="J196" t="e">
        <f t="shared" si="19"/>
        <v>#N/A</v>
      </c>
      <c r="K196" t="e">
        <f t="shared" si="19"/>
        <v>#N/A</v>
      </c>
      <c r="L196" t="e">
        <f t="shared" si="19"/>
        <v>#N/A</v>
      </c>
      <c r="M196" t="e">
        <f t="shared" si="19"/>
        <v>#N/A</v>
      </c>
      <c r="N196" t="e">
        <f t="shared" si="19"/>
        <v>#N/A</v>
      </c>
      <c r="O196" t="e">
        <f t="shared" si="19"/>
        <v>#N/A</v>
      </c>
      <c r="P196" t="e">
        <f t="shared" si="19"/>
        <v>#N/A</v>
      </c>
    </row>
    <row r="197" spans="1:16" x14ac:dyDescent="0.25">
      <c r="A197" t="e">
        <f>CUBEMEMBER("pbiazure://api.powerbi.com 6e064a38-7f82-4416-9451-8d82a554b559 Model","[Facilities].[DATIMName].&amp;[Malangi Dispensary]")</f>
        <v>#N/A</v>
      </c>
      <c r="B197" t="e">
        <f t="shared" si="19"/>
        <v>#N/A</v>
      </c>
      <c r="C197" t="e">
        <f t="shared" si="19"/>
        <v>#N/A</v>
      </c>
      <c r="D197" t="e">
        <f t="shared" si="19"/>
        <v>#N/A</v>
      </c>
      <c r="E197" t="e">
        <f t="shared" si="19"/>
        <v>#N/A</v>
      </c>
      <c r="F197" t="e">
        <f t="shared" si="19"/>
        <v>#N/A</v>
      </c>
      <c r="G197" t="e">
        <f t="shared" si="19"/>
        <v>#N/A</v>
      </c>
      <c r="H197" t="e">
        <f t="shared" si="19"/>
        <v>#N/A</v>
      </c>
      <c r="I197" t="e">
        <f t="shared" si="19"/>
        <v>#N/A</v>
      </c>
      <c r="J197" t="e">
        <f t="shared" si="19"/>
        <v>#N/A</v>
      </c>
      <c r="K197" t="e">
        <f t="shared" si="19"/>
        <v>#N/A</v>
      </c>
      <c r="L197" t="e">
        <f t="shared" si="19"/>
        <v>#N/A</v>
      </c>
      <c r="M197" t="e">
        <f t="shared" si="19"/>
        <v>#N/A</v>
      </c>
      <c r="N197" t="e">
        <f t="shared" si="19"/>
        <v>#N/A</v>
      </c>
      <c r="O197" t="e">
        <f t="shared" si="19"/>
        <v>#N/A</v>
      </c>
      <c r="P197" t="e">
        <f t="shared" si="19"/>
        <v>#N/A</v>
      </c>
    </row>
    <row r="198" spans="1:16" x14ac:dyDescent="0.25">
      <c r="A198" t="e">
        <f>CUBEMEMBER("pbiazure://api.powerbi.com 6e064a38-7f82-4416-9451-8d82a554b559 Model","[Facilities].[DATIMName].&amp;[Mamire Health Center]")</f>
        <v>#N/A</v>
      </c>
      <c r="B198" t="e">
        <f t="shared" si="19"/>
        <v>#N/A</v>
      </c>
      <c r="C198" t="e">
        <f t="shared" si="19"/>
        <v>#N/A</v>
      </c>
      <c r="D198" t="e">
        <f t="shared" si="19"/>
        <v>#N/A</v>
      </c>
      <c r="E198" t="e">
        <f t="shared" si="19"/>
        <v>#N/A</v>
      </c>
      <c r="F198" t="e">
        <f t="shared" si="19"/>
        <v>#N/A</v>
      </c>
      <c r="G198" t="e">
        <f t="shared" si="19"/>
        <v>#N/A</v>
      </c>
      <c r="H198" t="e">
        <f t="shared" si="19"/>
        <v>#N/A</v>
      </c>
      <c r="I198" t="e">
        <f t="shared" si="19"/>
        <v>#N/A</v>
      </c>
      <c r="J198" t="e">
        <f t="shared" si="19"/>
        <v>#N/A</v>
      </c>
      <c r="K198" t="e">
        <f t="shared" si="19"/>
        <v>#N/A</v>
      </c>
      <c r="L198" t="e">
        <f t="shared" si="19"/>
        <v>#N/A</v>
      </c>
      <c r="M198" t="e">
        <f t="shared" si="19"/>
        <v>#N/A</v>
      </c>
      <c r="N198" t="e">
        <f t="shared" si="19"/>
        <v>#N/A</v>
      </c>
      <c r="O198" t="e">
        <f t="shared" si="19"/>
        <v>#N/A</v>
      </c>
      <c r="P198" t="e">
        <f t="shared" si="19"/>
        <v>#N/A</v>
      </c>
    </row>
    <row r="199" spans="1:16" x14ac:dyDescent="0.25">
      <c r="A199" t="e">
        <f>CUBEMEMBER("pbiazure://api.powerbi.com 6e064a38-7f82-4416-9451-8d82a554b559 Model","[Facilities].[DATIMName].&amp;[Manchali Dispensary]")</f>
        <v>#N/A</v>
      </c>
      <c r="B199" t="e">
        <f t="shared" si="19"/>
        <v>#N/A</v>
      </c>
      <c r="C199" t="e">
        <f t="shared" si="19"/>
        <v>#N/A</v>
      </c>
      <c r="D199" t="e">
        <f t="shared" si="19"/>
        <v>#N/A</v>
      </c>
      <c r="E199" t="e">
        <f t="shared" si="19"/>
        <v>#N/A</v>
      </c>
      <c r="F199" t="e">
        <f t="shared" si="19"/>
        <v>#N/A</v>
      </c>
      <c r="G199" t="e">
        <f t="shared" si="19"/>
        <v>#N/A</v>
      </c>
      <c r="H199" t="e">
        <f t="shared" si="19"/>
        <v>#N/A</v>
      </c>
      <c r="I199" t="e">
        <f t="shared" si="19"/>
        <v>#N/A</v>
      </c>
      <c r="J199" t="e">
        <f t="shared" si="19"/>
        <v>#N/A</v>
      </c>
      <c r="K199" t="e">
        <f t="shared" si="19"/>
        <v>#N/A</v>
      </c>
      <c r="L199" t="e">
        <f t="shared" si="19"/>
        <v>#N/A</v>
      </c>
      <c r="M199" t="e">
        <f t="shared" si="19"/>
        <v>#N/A</v>
      </c>
      <c r="N199" t="e">
        <f t="shared" si="19"/>
        <v>#N/A</v>
      </c>
      <c r="O199" t="e">
        <f t="shared" si="19"/>
        <v>#N/A</v>
      </c>
      <c r="P199" t="e">
        <f t="shared" si="19"/>
        <v>#N/A</v>
      </c>
    </row>
    <row r="200" spans="1:16" x14ac:dyDescent="0.25">
      <c r="A200" t="e">
        <f>CUBEMEMBER("pbiazure://api.powerbi.com 6e064a38-7f82-4416-9451-8d82a554b559 Model","[Facilities].[DATIMName].&amp;[Mang'ola Chini Health Center]")</f>
        <v>#N/A</v>
      </c>
      <c r="B200" t="e">
        <f t="shared" si="19"/>
        <v>#N/A</v>
      </c>
      <c r="C200" t="e">
        <f t="shared" si="19"/>
        <v>#N/A</v>
      </c>
      <c r="D200" t="e">
        <f t="shared" si="19"/>
        <v>#N/A</v>
      </c>
      <c r="E200" t="e">
        <f t="shared" si="19"/>
        <v>#N/A</v>
      </c>
      <c r="F200" t="e">
        <f t="shared" si="19"/>
        <v>#N/A</v>
      </c>
      <c r="G200" t="e">
        <f t="shared" si="19"/>
        <v>#N/A</v>
      </c>
      <c r="H200" t="e">
        <f t="shared" si="19"/>
        <v>#N/A</v>
      </c>
      <c r="I200" t="e">
        <f t="shared" si="19"/>
        <v>#N/A</v>
      </c>
      <c r="J200" t="e">
        <f t="shared" si="19"/>
        <v>#N/A</v>
      </c>
      <c r="K200" t="e">
        <f t="shared" si="19"/>
        <v>#N/A</v>
      </c>
      <c r="L200" t="e">
        <f t="shared" si="19"/>
        <v>#N/A</v>
      </c>
      <c r="M200" t="e">
        <f t="shared" si="19"/>
        <v>#N/A</v>
      </c>
      <c r="N200" t="e">
        <f t="shared" si="19"/>
        <v>#N/A</v>
      </c>
      <c r="O200" t="e">
        <f t="shared" si="19"/>
        <v>#N/A</v>
      </c>
      <c r="P200" t="e">
        <f t="shared" si="19"/>
        <v>#N/A</v>
      </c>
    </row>
    <row r="201" spans="1:16" x14ac:dyDescent="0.25">
      <c r="A201" t="e">
        <f>CUBEMEMBER("pbiazure://api.powerbi.com 6e064a38-7f82-4416-9451-8d82a554b559 Model","[Facilities].[DATIMName].&amp;[Manyara Hospital - Regional Referral Hospital]")</f>
        <v>#N/A</v>
      </c>
      <c r="B201" t="e">
        <f t="shared" si="19"/>
        <v>#N/A</v>
      </c>
      <c r="C201" t="e">
        <f t="shared" si="19"/>
        <v>#N/A</v>
      </c>
      <c r="D201" t="e">
        <f t="shared" si="19"/>
        <v>#N/A</v>
      </c>
      <c r="E201" t="e">
        <f t="shared" si="19"/>
        <v>#N/A</v>
      </c>
      <c r="F201" t="e">
        <f t="shared" si="19"/>
        <v>#N/A</v>
      </c>
      <c r="G201" t="e">
        <f t="shared" si="19"/>
        <v>#N/A</v>
      </c>
      <c r="H201" t="e">
        <f t="shared" si="19"/>
        <v>#N/A</v>
      </c>
      <c r="I201" t="e">
        <f t="shared" si="19"/>
        <v>#N/A</v>
      </c>
      <c r="J201" t="e">
        <f t="shared" si="19"/>
        <v>#N/A</v>
      </c>
      <c r="K201" t="e">
        <f t="shared" si="19"/>
        <v>#N/A</v>
      </c>
      <c r="L201" t="e">
        <f t="shared" si="19"/>
        <v>#N/A</v>
      </c>
      <c r="M201" t="e">
        <f t="shared" si="19"/>
        <v>#N/A</v>
      </c>
      <c r="N201" t="e">
        <f t="shared" si="19"/>
        <v>#N/A</v>
      </c>
      <c r="O201" t="e">
        <f t="shared" si="19"/>
        <v>#N/A</v>
      </c>
      <c r="P201" t="e">
        <f t="shared" si="19"/>
        <v>#N/A</v>
      </c>
    </row>
    <row r="202" spans="1:16" x14ac:dyDescent="0.25">
      <c r="A202" t="e">
        <f>CUBEMEMBER("pbiazure://api.powerbi.com 6e064a38-7f82-4416-9451-8d82a554b559 Model","[Facilities].[DATIMName].&amp;[Manyoni Hospital - District Hospital]")</f>
        <v>#N/A</v>
      </c>
      <c r="B202" t="e">
        <f t="shared" si="19"/>
        <v>#N/A</v>
      </c>
      <c r="C202" t="e">
        <f t="shared" si="19"/>
        <v>#N/A</v>
      </c>
      <c r="D202" t="e">
        <f t="shared" si="19"/>
        <v>#N/A</v>
      </c>
      <c r="E202" t="e">
        <f t="shared" si="19"/>
        <v>#N/A</v>
      </c>
      <c r="F202" t="e">
        <f t="shared" si="19"/>
        <v>#N/A</v>
      </c>
      <c r="G202" t="e">
        <f t="shared" si="19"/>
        <v>#N/A</v>
      </c>
      <c r="H202" t="e">
        <f t="shared" si="19"/>
        <v>#N/A</v>
      </c>
      <c r="I202" t="e">
        <f t="shared" si="19"/>
        <v>#N/A</v>
      </c>
      <c r="J202" t="e">
        <f t="shared" si="19"/>
        <v>#N/A</v>
      </c>
      <c r="K202" t="e">
        <f t="shared" si="19"/>
        <v>#N/A</v>
      </c>
      <c r="L202" t="e">
        <f t="shared" si="19"/>
        <v>#N/A</v>
      </c>
      <c r="M202" t="e">
        <f t="shared" si="19"/>
        <v>#N/A</v>
      </c>
      <c r="N202" t="e">
        <f t="shared" si="19"/>
        <v>#N/A</v>
      </c>
      <c r="O202" t="e">
        <f t="shared" si="19"/>
        <v>#N/A</v>
      </c>
      <c r="P202" t="e">
        <f t="shared" si="19"/>
        <v>#N/A</v>
      </c>
    </row>
    <row r="203" spans="1:16" x14ac:dyDescent="0.25">
      <c r="A203" t="e">
        <f>CUBEMEMBER("pbiazure://api.powerbi.com 6e064a38-7f82-4416-9451-8d82a554b559 Model","[Facilities].[DATIMName].&amp;[Maore Dispensary]")</f>
        <v>#N/A</v>
      </c>
      <c r="B203" t="e">
        <f t="shared" si="19"/>
        <v>#N/A</v>
      </c>
      <c r="C203" t="e">
        <f t="shared" si="19"/>
        <v>#N/A</v>
      </c>
      <c r="D203" t="e">
        <f t="shared" si="19"/>
        <v>#N/A</v>
      </c>
      <c r="E203" t="e">
        <f t="shared" si="19"/>
        <v>#N/A</v>
      </c>
      <c r="F203" t="e">
        <f t="shared" si="19"/>
        <v>#N/A</v>
      </c>
      <c r="G203" t="e">
        <f t="shared" si="19"/>
        <v>#N/A</v>
      </c>
      <c r="H203" t="e">
        <f t="shared" si="19"/>
        <v>#N/A</v>
      </c>
      <c r="I203" t="e">
        <f t="shared" si="19"/>
        <v>#N/A</v>
      </c>
      <c r="J203" t="e">
        <f t="shared" si="19"/>
        <v>#N/A</v>
      </c>
      <c r="K203" t="e">
        <f t="shared" si="19"/>
        <v>#N/A</v>
      </c>
      <c r="L203" t="e">
        <f t="shared" si="19"/>
        <v>#N/A</v>
      </c>
      <c r="M203" t="e">
        <f t="shared" si="19"/>
        <v>#N/A</v>
      </c>
      <c r="N203" t="e">
        <f t="shared" si="19"/>
        <v>#N/A</v>
      </c>
      <c r="O203" t="e">
        <f t="shared" si="19"/>
        <v>#N/A</v>
      </c>
      <c r="P203" t="e">
        <f t="shared" si="19"/>
        <v>#N/A</v>
      </c>
    </row>
    <row r="204" spans="1:16" x14ac:dyDescent="0.25">
      <c r="A204" t="e">
        <f>CUBEMEMBER("pbiazure://api.powerbi.com 6e064a38-7f82-4416-9451-8d82a554b559 Model","[Facilities].[DATIMName].&amp;[Marangu Lutheran Hospital]")</f>
        <v>#N/A</v>
      </c>
      <c r="B204" t="e">
        <f t="shared" si="19"/>
        <v>#N/A</v>
      </c>
      <c r="C204" t="e">
        <f t="shared" si="19"/>
        <v>#N/A</v>
      </c>
      <c r="D204" t="e">
        <f t="shared" si="19"/>
        <v>#N/A</v>
      </c>
      <c r="E204" t="e">
        <f t="shared" si="19"/>
        <v>#N/A</v>
      </c>
      <c r="F204" t="e">
        <f t="shared" si="19"/>
        <v>#N/A</v>
      </c>
      <c r="G204" t="e">
        <f t="shared" si="19"/>
        <v>#N/A</v>
      </c>
      <c r="H204" t="e">
        <f t="shared" si="19"/>
        <v>#N/A</v>
      </c>
      <c r="I204" t="e">
        <f t="shared" si="19"/>
        <v>#N/A</v>
      </c>
      <c r="J204" t="e">
        <f t="shared" si="19"/>
        <v>#N/A</v>
      </c>
      <c r="K204" t="e">
        <f t="shared" si="19"/>
        <v>#N/A</v>
      </c>
      <c r="L204" t="e">
        <f t="shared" si="19"/>
        <v>#N/A</v>
      </c>
      <c r="M204" t="e">
        <f t="shared" si="19"/>
        <v>#N/A</v>
      </c>
      <c r="N204" t="e">
        <f t="shared" si="19"/>
        <v>#N/A</v>
      </c>
      <c r="O204" t="e">
        <f t="shared" si="19"/>
        <v>#N/A</v>
      </c>
      <c r="P204" t="e">
        <f t="shared" si="19"/>
        <v>#N/A</v>
      </c>
    </row>
    <row r="205" spans="1:16" x14ac:dyDescent="0.25">
      <c r="A205" t="e">
        <f>CUBEMEMBER("pbiazure://api.powerbi.com 6e064a38-7f82-4416-9451-8d82a554b559 Model","[Facilities].[DATIMName].&amp;[Maretadu Dispensary]")</f>
        <v>#N/A</v>
      </c>
      <c r="B205" t="e">
        <f t="shared" ref="B205:P214" si="20">CUBEVALUE("pbiazure://api.powerbi.com 6e064a38-7f82-4416-9451-8d82a554b559 Model",$B$1,$A205,B$4)</f>
        <v>#N/A</v>
      </c>
      <c r="C205" t="e">
        <f t="shared" si="20"/>
        <v>#N/A</v>
      </c>
      <c r="D205" t="e">
        <f t="shared" si="20"/>
        <v>#N/A</v>
      </c>
      <c r="E205" t="e">
        <f t="shared" si="20"/>
        <v>#N/A</v>
      </c>
      <c r="F205" t="e">
        <f t="shared" si="20"/>
        <v>#N/A</v>
      </c>
      <c r="G205" t="e">
        <f t="shared" si="20"/>
        <v>#N/A</v>
      </c>
      <c r="H205" t="e">
        <f t="shared" si="20"/>
        <v>#N/A</v>
      </c>
      <c r="I205" t="e">
        <f t="shared" si="20"/>
        <v>#N/A</v>
      </c>
      <c r="J205" t="e">
        <f t="shared" si="20"/>
        <v>#N/A</v>
      </c>
      <c r="K205" t="e">
        <f t="shared" si="20"/>
        <v>#N/A</v>
      </c>
      <c r="L205" t="e">
        <f t="shared" si="20"/>
        <v>#N/A</v>
      </c>
      <c r="M205" t="e">
        <f t="shared" si="20"/>
        <v>#N/A</v>
      </c>
      <c r="N205" t="e">
        <f t="shared" si="20"/>
        <v>#N/A</v>
      </c>
      <c r="O205" t="e">
        <f t="shared" si="20"/>
        <v>#N/A</v>
      </c>
      <c r="P205" t="e">
        <f t="shared" si="20"/>
        <v>#N/A</v>
      </c>
    </row>
    <row r="206" spans="1:16" x14ac:dyDescent="0.25">
      <c r="A206" t="e">
        <f>CUBEMEMBER("pbiazure://api.powerbi.com 6e064a38-7f82-4416-9451-8d82a554b559 Model","[Facilities].[DATIMName].&amp;[Mareu Health Center]")</f>
        <v>#N/A</v>
      </c>
      <c r="B206" t="e">
        <f t="shared" si="20"/>
        <v>#N/A</v>
      </c>
      <c r="C206" t="e">
        <f t="shared" si="20"/>
        <v>#N/A</v>
      </c>
      <c r="D206" t="e">
        <f t="shared" si="20"/>
        <v>#N/A</v>
      </c>
      <c r="E206" t="e">
        <f t="shared" si="20"/>
        <v>#N/A</v>
      </c>
      <c r="F206" t="e">
        <f t="shared" si="20"/>
        <v>#N/A</v>
      </c>
      <c r="G206" t="e">
        <f t="shared" si="20"/>
        <v>#N/A</v>
      </c>
      <c r="H206" t="e">
        <f t="shared" si="20"/>
        <v>#N/A</v>
      </c>
      <c r="I206" t="e">
        <f t="shared" si="20"/>
        <v>#N/A</v>
      </c>
      <c r="J206" t="e">
        <f t="shared" si="20"/>
        <v>#N/A</v>
      </c>
      <c r="K206" t="e">
        <f t="shared" si="20"/>
        <v>#N/A</v>
      </c>
      <c r="L206" t="e">
        <f t="shared" si="20"/>
        <v>#N/A</v>
      </c>
      <c r="M206" t="e">
        <f t="shared" si="20"/>
        <v>#N/A</v>
      </c>
      <c r="N206" t="e">
        <f t="shared" si="20"/>
        <v>#N/A</v>
      </c>
      <c r="O206" t="e">
        <f t="shared" si="20"/>
        <v>#N/A</v>
      </c>
      <c r="P206" t="e">
        <f t="shared" si="20"/>
        <v>#N/A</v>
      </c>
    </row>
    <row r="207" spans="1:16" x14ac:dyDescent="0.25">
      <c r="A207" t="e">
        <f>CUBEMEMBER("pbiazure://api.powerbi.com 6e064a38-7f82-4416-9451-8d82a554b559 Model","[Facilities].[DATIMName].&amp;[Masama Health Center]")</f>
        <v>#N/A</v>
      </c>
      <c r="B207" t="e">
        <f t="shared" si="20"/>
        <v>#N/A</v>
      </c>
      <c r="C207" t="e">
        <f t="shared" si="20"/>
        <v>#N/A</v>
      </c>
      <c r="D207" t="e">
        <f t="shared" si="20"/>
        <v>#N/A</v>
      </c>
      <c r="E207" t="e">
        <f t="shared" si="20"/>
        <v>#N/A</v>
      </c>
      <c r="F207" t="e">
        <f t="shared" si="20"/>
        <v>#N/A</v>
      </c>
      <c r="G207" t="e">
        <f t="shared" si="20"/>
        <v>#N/A</v>
      </c>
      <c r="H207" t="e">
        <f t="shared" si="20"/>
        <v>#N/A</v>
      </c>
      <c r="I207" t="e">
        <f t="shared" si="20"/>
        <v>#N/A</v>
      </c>
      <c r="J207" t="e">
        <f t="shared" si="20"/>
        <v>#N/A</v>
      </c>
      <c r="K207" t="e">
        <f t="shared" si="20"/>
        <v>#N/A</v>
      </c>
      <c r="L207" t="e">
        <f t="shared" si="20"/>
        <v>#N/A</v>
      </c>
      <c r="M207" t="e">
        <f t="shared" si="20"/>
        <v>#N/A</v>
      </c>
      <c r="N207" t="e">
        <f t="shared" si="20"/>
        <v>#N/A</v>
      </c>
      <c r="O207" t="e">
        <f t="shared" si="20"/>
        <v>#N/A</v>
      </c>
      <c r="P207" t="e">
        <f t="shared" si="20"/>
        <v>#N/A</v>
      </c>
    </row>
    <row r="208" spans="1:16" x14ac:dyDescent="0.25">
      <c r="A208" t="e">
        <f>CUBEMEMBER("pbiazure://api.powerbi.com 6e064a38-7f82-4416-9451-8d82a554b559 Model","[Facilities].[DATIMName].&amp;[Matovolwa Health Center]")</f>
        <v>#N/A</v>
      </c>
      <c r="B208" t="e">
        <f t="shared" si="20"/>
        <v>#N/A</v>
      </c>
      <c r="C208" t="e">
        <f t="shared" si="20"/>
        <v>#N/A</v>
      </c>
      <c r="D208" t="e">
        <f t="shared" si="20"/>
        <v>#N/A</v>
      </c>
      <c r="E208" t="e">
        <f t="shared" si="20"/>
        <v>#N/A</v>
      </c>
      <c r="F208" t="e">
        <f t="shared" si="20"/>
        <v>#N/A</v>
      </c>
      <c r="G208" t="e">
        <f t="shared" si="20"/>
        <v>#N/A</v>
      </c>
      <c r="H208" t="e">
        <f t="shared" si="20"/>
        <v>#N/A</v>
      </c>
      <c r="I208" t="e">
        <f t="shared" si="20"/>
        <v>#N/A</v>
      </c>
      <c r="J208" t="e">
        <f t="shared" si="20"/>
        <v>#N/A</v>
      </c>
      <c r="K208" t="e">
        <f t="shared" si="20"/>
        <v>#N/A</v>
      </c>
      <c r="L208" t="e">
        <f t="shared" si="20"/>
        <v>#N/A</v>
      </c>
      <c r="M208" t="e">
        <f t="shared" si="20"/>
        <v>#N/A</v>
      </c>
      <c r="N208" t="e">
        <f t="shared" si="20"/>
        <v>#N/A</v>
      </c>
      <c r="O208" t="e">
        <f t="shared" si="20"/>
        <v>#N/A</v>
      </c>
      <c r="P208" t="e">
        <f t="shared" si="20"/>
        <v>#N/A</v>
      </c>
    </row>
    <row r="209" spans="1:16" x14ac:dyDescent="0.25">
      <c r="A209" t="e">
        <f>CUBEMEMBER("pbiazure://api.powerbi.com 6e064a38-7f82-4416-9451-8d82a554b559 Model","[Facilities].[DATIMName].&amp;[Matui Azimio Dispensary]")</f>
        <v>#N/A</v>
      </c>
      <c r="B209" t="e">
        <f t="shared" si="20"/>
        <v>#N/A</v>
      </c>
      <c r="C209" t="e">
        <f t="shared" si="20"/>
        <v>#N/A</v>
      </c>
      <c r="D209" t="e">
        <f t="shared" si="20"/>
        <v>#N/A</v>
      </c>
      <c r="E209" t="e">
        <f t="shared" si="20"/>
        <v>#N/A</v>
      </c>
      <c r="F209" t="e">
        <f t="shared" si="20"/>
        <v>#N/A</v>
      </c>
      <c r="G209" t="e">
        <f t="shared" si="20"/>
        <v>#N/A</v>
      </c>
      <c r="H209" t="e">
        <f t="shared" si="20"/>
        <v>#N/A</v>
      </c>
      <c r="I209" t="e">
        <f t="shared" si="20"/>
        <v>#N/A</v>
      </c>
      <c r="J209" t="e">
        <f t="shared" si="20"/>
        <v>#N/A</v>
      </c>
      <c r="K209" t="e">
        <f t="shared" si="20"/>
        <v>#N/A</v>
      </c>
      <c r="L209" t="e">
        <f t="shared" si="20"/>
        <v>#N/A</v>
      </c>
      <c r="M209" t="e">
        <f t="shared" si="20"/>
        <v>#N/A</v>
      </c>
      <c r="N209" t="e">
        <f t="shared" si="20"/>
        <v>#N/A</v>
      </c>
      <c r="O209" t="e">
        <f t="shared" si="20"/>
        <v>#N/A</v>
      </c>
      <c r="P209" t="e">
        <f t="shared" si="20"/>
        <v>#N/A</v>
      </c>
    </row>
    <row r="210" spans="1:16" x14ac:dyDescent="0.25">
      <c r="A210" t="e">
        <f>CUBEMEMBER("pbiazure://api.powerbi.com 6e064a38-7f82-4416-9451-8d82a554b559 Model","[Facilities].[DATIMName].&amp;[Matumbulu Dispensary]")</f>
        <v>#N/A</v>
      </c>
      <c r="B210" t="e">
        <f t="shared" si="20"/>
        <v>#N/A</v>
      </c>
      <c r="C210" t="e">
        <f t="shared" si="20"/>
        <v>#N/A</v>
      </c>
      <c r="D210" t="e">
        <f t="shared" si="20"/>
        <v>#N/A</v>
      </c>
      <c r="E210" t="e">
        <f t="shared" si="20"/>
        <v>#N/A</v>
      </c>
      <c r="F210" t="e">
        <f t="shared" si="20"/>
        <v>#N/A</v>
      </c>
      <c r="G210" t="e">
        <f t="shared" si="20"/>
        <v>#N/A</v>
      </c>
      <c r="H210" t="e">
        <f t="shared" si="20"/>
        <v>#N/A</v>
      </c>
      <c r="I210" t="e">
        <f t="shared" si="20"/>
        <v>#N/A</v>
      </c>
      <c r="J210" t="e">
        <f t="shared" si="20"/>
        <v>#N/A</v>
      </c>
      <c r="K210" t="e">
        <f t="shared" si="20"/>
        <v>#N/A</v>
      </c>
      <c r="L210" t="e">
        <f t="shared" si="20"/>
        <v>#N/A</v>
      </c>
      <c r="M210" t="e">
        <f t="shared" si="20"/>
        <v>#N/A</v>
      </c>
      <c r="N210" t="e">
        <f t="shared" si="20"/>
        <v>#N/A</v>
      </c>
      <c r="O210" t="e">
        <f t="shared" si="20"/>
        <v>#N/A</v>
      </c>
      <c r="P210" t="e">
        <f t="shared" si="20"/>
        <v>#N/A</v>
      </c>
    </row>
    <row r="211" spans="1:16" x14ac:dyDescent="0.25">
      <c r="A211" t="e">
        <f>CUBEMEMBER("pbiazure://api.powerbi.com 6e064a38-7f82-4416-9451-8d82a554b559 Model","[Facilities].[DATIMName].&amp;[Mawenzi Hospital - Regional Referral Hospital]")</f>
        <v>#N/A</v>
      </c>
      <c r="B211" t="e">
        <f t="shared" si="20"/>
        <v>#N/A</v>
      </c>
      <c r="C211" t="e">
        <f t="shared" si="20"/>
        <v>#N/A</v>
      </c>
      <c r="D211" t="e">
        <f t="shared" si="20"/>
        <v>#N/A</v>
      </c>
      <c r="E211" t="e">
        <f t="shared" si="20"/>
        <v>#N/A</v>
      </c>
      <c r="F211" t="e">
        <f t="shared" si="20"/>
        <v>#N/A</v>
      </c>
      <c r="G211" t="e">
        <f t="shared" si="20"/>
        <v>#N/A</v>
      </c>
      <c r="H211" t="e">
        <f t="shared" si="20"/>
        <v>#N/A</v>
      </c>
      <c r="I211" t="e">
        <f t="shared" si="20"/>
        <v>#N/A</v>
      </c>
      <c r="J211" t="e">
        <f t="shared" si="20"/>
        <v>#N/A</v>
      </c>
      <c r="K211" t="e">
        <f t="shared" si="20"/>
        <v>#N/A</v>
      </c>
      <c r="L211" t="e">
        <f t="shared" si="20"/>
        <v>#N/A</v>
      </c>
      <c r="M211" t="e">
        <f t="shared" si="20"/>
        <v>#N/A</v>
      </c>
      <c r="N211" t="e">
        <f t="shared" si="20"/>
        <v>#N/A</v>
      </c>
      <c r="O211" t="e">
        <f t="shared" si="20"/>
        <v>#N/A</v>
      </c>
      <c r="P211" t="e">
        <f t="shared" si="20"/>
        <v>#N/A</v>
      </c>
    </row>
    <row r="212" spans="1:16" x14ac:dyDescent="0.25">
      <c r="A212" t="e">
        <f>CUBEMEMBER("pbiazure://api.powerbi.com 6e064a38-7f82-4416-9451-8d82a554b559 Model","[Facilities].[DATIMName].&amp;[Mbande Dispensary]")</f>
        <v>#N/A</v>
      </c>
      <c r="B212" t="e">
        <f t="shared" si="20"/>
        <v>#N/A</v>
      </c>
      <c r="C212" t="e">
        <f t="shared" si="20"/>
        <v>#N/A</v>
      </c>
      <c r="D212" t="e">
        <f t="shared" si="20"/>
        <v>#N/A</v>
      </c>
      <c r="E212" t="e">
        <f t="shared" si="20"/>
        <v>#N/A</v>
      </c>
      <c r="F212" t="e">
        <f t="shared" si="20"/>
        <v>#N/A</v>
      </c>
      <c r="G212" t="e">
        <f t="shared" si="20"/>
        <v>#N/A</v>
      </c>
      <c r="H212" t="e">
        <f t="shared" si="20"/>
        <v>#N/A</v>
      </c>
      <c r="I212" t="e">
        <f t="shared" si="20"/>
        <v>#N/A</v>
      </c>
      <c r="J212" t="e">
        <f t="shared" si="20"/>
        <v>#N/A</v>
      </c>
      <c r="K212" t="e">
        <f t="shared" si="20"/>
        <v>#N/A</v>
      </c>
      <c r="L212" t="e">
        <f t="shared" si="20"/>
        <v>#N/A</v>
      </c>
      <c r="M212" t="e">
        <f t="shared" si="20"/>
        <v>#N/A</v>
      </c>
      <c r="N212" t="e">
        <f t="shared" si="20"/>
        <v>#N/A</v>
      </c>
      <c r="O212" t="e">
        <f t="shared" si="20"/>
        <v>#N/A</v>
      </c>
      <c r="P212" t="e">
        <f t="shared" si="20"/>
        <v>#N/A</v>
      </c>
    </row>
    <row r="213" spans="1:16" x14ac:dyDescent="0.25">
      <c r="A213" t="e">
        <f>CUBEMEMBER("pbiazure://api.powerbi.com 6e064a38-7f82-4416-9451-8d82a554b559 Model","[Facilities].[DATIMName].&amp;[Mbori Dispensary]")</f>
        <v>#N/A</v>
      </c>
      <c r="B213" t="e">
        <f t="shared" si="20"/>
        <v>#N/A</v>
      </c>
      <c r="C213" t="e">
        <f t="shared" si="20"/>
        <v>#N/A</v>
      </c>
      <c r="D213" t="e">
        <f t="shared" si="20"/>
        <v>#N/A</v>
      </c>
      <c r="E213" t="e">
        <f t="shared" si="20"/>
        <v>#N/A</v>
      </c>
      <c r="F213" t="e">
        <f t="shared" si="20"/>
        <v>#N/A</v>
      </c>
      <c r="G213" t="e">
        <f t="shared" si="20"/>
        <v>#N/A</v>
      </c>
      <c r="H213" t="e">
        <f t="shared" si="20"/>
        <v>#N/A</v>
      </c>
      <c r="I213" t="e">
        <f t="shared" si="20"/>
        <v>#N/A</v>
      </c>
      <c r="J213" t="e">
        <f t="shared" si="20"/>
        <v>#N/A</v>
      </c>
      <c r="K213" t="e">
        <f t="shared" si="20"/>
        <v>#N/A</v>
      </c>
      <c r="L213" t="e">
        <f t="shared" si="20"/>
        <v>#N/A</v>
      </c>
      <c r="M213" t="e">
        <f t="shared" si="20"/>
        <v>#N/A</v>
      </c>
      <c r="N213" t="e">
        <f t="shared" si="20"/>
        <v>#N/A</v>
      </c>
      <c r="O213" t="e">
        <f t="shared" si="20"/>
        <v>#N/A</v>
      </c>
      <c r="P213" t="e">
        <f t="shared" si="20"/>
        <v>#N/A</v>
      </c>
    </row>
    <row r="214" spans="1:16" x14ac:dyDescent="0.25">
      <c r="A214" t="e">
        <f>CUBEMEMBER("pbiazure://api.powerbi.com 6e064a38-7f82-4416-9451-8d82a554b559 Model","[Facilities].[DATIMName].&amp;[Mbuguni Health Center]")</f>
        <v>#N/A</v>
      </c>
      <c r="B214" t="e">
        <f t="shared" si="20"/>
        <v>#N/A</v>
      </c>
      <c r="C214" t="e">
        <f t="shared" si="20"/>
        <v>#N/A</v>
      </c>
      <c r="D214" t="e">
        <f t="shared" si="20"/>
        <v>#N/A</v>
      </c>
      <c r="E214" t="e">
        <f t="shared" si="20"/>
        <v>#N/A</v>
      </c>
      <c r="F214" t="e">
        <f t="shared" si="20"/>
        <v>#N/A</v>
      </c>
      <c r="G214" t="e">
        <f t="shared" si="20"/>
        <v>#N/A</v>
      </c>
      <c r="H214" t="e">
        <f t="shared" si="20"/>
        <v>#N/A</v>
      </c>
      <c r="I214" t="e">
        <f t="shared" si="20"/>
        <v>#N/A</v>
      </c>
      <c r="J214" t="e">
        <f t="shared" si="20"/>
        <v>#N/A</v>
      </c>
      <c r="K214" t="e">
        <f t="shared" si="20"/>
        <v>#N/A</v>
      </c>
      <c r="L214" t="e">
        <f t="shared" si="20"/>
        <v>#N/A</v>
      </c>
      <c r="M214" t="e">
        <f t="shared" si="20"/>
        <v>#N/A</v>
      </c>
      <c r="N214" t="e">
        <f t="shared" si="20"/>
        <v>#N/A</v>
      </c>
      <c r="O214" t="e">
        <f t="shared" si="20"/>
        <v>#N/A</v>
      </c>
      <c r="P214" t="e">
        <f t="shared" si="20"/>
        <v>#N/A</v>
      </c>
    </row>
    <row r="215" spans="1:16" x14ac:dyDescent="0.25">
      <c r="A215" t="e">
        <f>CUBEMEMBER("pbiazure://api.powerbi.com 6e064a38-7f82-4416-9451-8d82a554b559 Model","[Facilities].[DATIMName].&amp;[Mbulu Hospital - District Hospital]")</f>
        <v>#N/A</v>
      </c>
      <c r="B215" t="e">
        <f t="shared" ref="B215:P224" si="21">CUBEVALUE("pbiazure://api.powerbi.com 6e064a38-7f82-4416-9451-8d82a554b559 Model",$B$1,$A215,B$4)</f>
        <v>#N/A</v>
      </c>
      <c r="C215" t="e">
        <f t="shared" si="21"/>
        <v>#N/A</v>
      </c>
      <c r="D215" t="e">
        <f t="shared" si="21"/>
        <v>#N/A</v>
      </c>
      <c r="E215" t="e">
        <f t="shared" si="21"/>
        <v>#N/A</v>
      </c>
      <c r="F215" t="e">
        <f t="shared" si="21"/>
        <v>#N/A</v>
      </c>
      <c r="G215" t="e">
        <f t="shared" si="21"/>
        <v>#N/A</v>
      </c>
      <c r="H215" t="e">
        <f t="shared" si="21"/>
        <v>#N/A</v>
      </c>
      <c r="I215" t="e">
        <f t="shared" si="21"/>
        <v>#N/A</v>
      </c>
      <c r="J215" t="e">
        <f t="shared" si="21"/>
        <v>#N/A</v>
      </c>
      <c r="K215" t="e">
        <f t="shared" si="21"/>
        <v>#N/A</v>
      </c>
      <c r="L215" t="e">
        <f t="shared" si="21"/>
        <v>#N/A</v>
      </c>
      <c r="M215" t="e">
        <f t="shared" si="21"/>
        <v>#N/A</v>
      </c>
      <c r="N215" t="e">
        <f t="shared" si="21"/>
        <v>#N/A</v>
      </c>
      <c r="O215" t="e">
        <f t="shared" si="21"/>
        <v>#N/A</v>
      </c>
      <c r="P215" t="e">
        <f t="shared" si="21"/>
        <v>#N/A</v>
      </c>
    </row>
    <row r="216" spans="1:16" x14ac:dyDescent="0.25">
      <c r="A216" t="e">
        <f>CUBEMEMBER("pbiazure://api.powerbi.com 6e064a38-7f82-4416-9451-8d82a554b559 Model","[Facilities].[DATIMName].&amp;[Mbuyuni Health Center]")</f>
        <v>#N/A</v>
      </c>
      <c r="B216" t="e">
        <f t="shared" si="21"/>
        <v>#N/A</v>
      </c>
      <c r="C216" t="e">
        <f t="shared" si="21"/>
        <v>#N/A</v>
      </c>
      <c r="D216" t="e">
        <f t="shared" si="21"/>
        <v>#N/A</v>
      </c>
      <c r="E216" t="e">
        <f t="shared" si="21"/>
        <v>#N/A</v>
      </c>
      <c r="F216" t="e">
        <f t="shared" si="21"/>
        <v>#N/A</v>
      </c>
      <c r="G216" t="e">
        <f t="shared" si="21"/>
        <v>#N/A</v>
      </c>
      <c r="H216" t="e">
        <f t="shared" si="21"/>
        <v>#N/A</v>
      </c>
      <c r="I216" t="e">
        <f t="shared" si="21"/>
        <v>#N/A</v>
      </c>
      <c r="J216" t="e">
        <f t="shared" si="21"/>
        <v>#N/A</v>
      </c>
      <c r="K216" t="e">
        <f t="shared" si="21"/>
        <v>#N/A</v>
      </c>
      <c r="L216" t="e">
        <f t="shared" si="21"/>
        <v>#N/A</v>
      </c>
      <c r="M216" t="e">
        <f t="shared" si="21"/>
        <v>#N/A</v>
      </c>
      <c r="N216" t="e">
        <f t="shared" si="21"/>
        <v>#N/A</v>
      </c>
      <c r="O216" t="e">
        <f t="shared" si="21"/>
        <v>#N/A</v>
      </c>
      <c r="P216" t="e">
        <f t="shared" si="21"/>
        <v>#N/A</v>
      </c>
    </row>
    <row r="217" spans="1:16" x14ac:dyDescent="0.25">
      <c r="A217" t="e">
        <f>CUBEMEMBER("pbiazure://api.powerbi.com 6e064a38-7f82-4416-9451-8d82a554b559 Model","[Facilities].[DATIMName].&amp;[Mererani RC Dispensary]")</f>
        <v>#N/A</v>
      </c>
      <c r="B217" t="e">
        <f t="shared" si="21"/>
        <v>#N/A</v>
      </c>
      <c r="C217" t="e">
        <f t="shared" si="21"/>
        <v>#N/A</v>
      </c>
      <c r="D217" t="e">
        <f t="shared" si="21"/>
        <v>#N/A</v>
      </c>
      <c r="E217" t="e">
        <f t="shared" si="21"/>
        <v>#N/A</v>
      </c>
      <c r="F217" t="e">
        <f t="shared" si="21"/>
        <v>#N/A</v>
      </c>
      <c r="G217" t="e">
        <f t="shared" si="21"/>
        <v>#N/A</v>
      </c>
      <c r="H217" t="e">
        <f t="shared" si="21"/>
        <v>#N/A</v>
      </c>
      <c r="I217" t="e">
        <f t="shared" si="21"/>
        <v>#N/A</v>
      </c>
      <c r="J217" t="e">
        <f t="shared" si="21"/>
        <v>#N/A</v>
      </c>
      <c r="K217" t="e">
        <f t="shared" si="21"/>
        <v>#N/A</v>
      </c>
      <c r="L217" t="e">
        <f t="shared" si="21"/>
        <v>#N/A</v>
      </c>
      <c r="M217" t="e">
        <f t="shared" si="21"/>
        <v>#N/A</v>
      </c>
      <c r="N217" t="e">
        <f t="shared" si="21"/>
        <v>#N/A</v>
      </c>
      <c r="O217" t="e">
        <f t="shared" si="21"/>
        <v>#N/A</v>
      </c>
      <c r="P217" t="e">
        <f t="shared" si="21"/>
        <v>#N/A</v>
      </c>
    </row>
    <row r="218" spans="1:16" x14ac:dyDescent="0.25">
      <c r="A218" t="e">
        <f>CUBEMEMBER("pbiazure://api.powerbi.com 6e064a38-7f82-4416-9451-8d82a554b559 Model","[Facilities].[DATIMName].&amp;[Meru Hospital - District Hospital]")</f>
        <v>#N/A</v>
      </c>
      <c r="B218" t="e">
        <f t="shared" si="21"/>
        <v>#N/A</v>
      </c>
      <c r="C218" t="e">
        <f t="shared" si="21"/>
        <v>#N/A</v>
      </c>
      <c r="D218" t="e">
        <f t="shared" si="21"/>
        <v>#N/A</v>
      </c>
      <c r="E218" t="e">
        <f t="shared" si="21"/>
        <v>#N/A</v>
      </c>
      <c r="F218" t="e">
        <f t="shared" si="21"/>
        <v>#N/A</v>
      </c>
      <c r="G218" t="e">
        <f t="shared" si="21"/>
        <v>#N/A</v>
      </c>
      <c r="H218" t="e">
        <f t="shared" si="21"/>
        <v>#N/A</v>
      </c>
      <c r="I218" t="e">
        <f t="shared" si="21"/>
        <v>#N/A</v>
      </c>
      <c r="J218" t="e">
        <f t="shared" si="21"/>
        <v>#N/A</v>
      </c>
      <c r="K218" t="e">
        <f t="shared" si="21"/>
        <v>#N/A</v>
      </c>
      <c r="L218" t="e">
        <f t="shared" si="21"/>
        <v>#N/A</v>
      </c>
      <c r="M218" t="e">
        <f t="shared" si="21"/>
        <v>#N/A</v>
      </c>
      <c r="N218" t="e">
        <f t="shared" si="21"/>
        <v>#N/A</v>
      </c>
      <c r="O218" t="e">
        <f t="shared" si="21"/>
        <v>#N/A</v>
      </c>
      <c r="P218" t="e">
        <f t="shared" si="21"/>
        <v>#N/A</v>
      </c>
    </row>
    <row r="219" spans="1:16" x14ac:dyDescent="0.25">
      <c r="A219" t="e">
        <f>CUBEMEMBER("pbiazure://api.powerbi.com 6e064a38-7f82-4416-9451-8d82a554b559 Model","[Facilities].[DATIMName].&amp;[Mgandu Dispensary]")</f>
        <v>#N/A</v>
      </c>
      <c r="B219" t="e">
        <f t="shared" si="21"/>
        <v>#N/A</v>
      </c>
      <c r="C219" t="e">
        <f t="shared" si="21"/>
        <v>#N/A</v>
      </c>
      <c r="D219" t="e">
        <f t="shared" si="21"/>
        <v>#N/A</v>
      </c>
      <c r="E219" t="e">
        <f t="shared" si="21"/>
        <v>#N/A</v>
      </c>
      <c r="F219" t="e">
        <f t="shared" si="21"/>
        <v>#N/A</v>
      </c>
      <c r="G219" t="e">
        <f t="shared" si="21"/>
        <v>#N/A</v>
      </c>
      <c r="H219" t="e">
        <f t="shared" si="21"/>
        <v>#N/A</v>
      </c>
      <c r="I219" t="e">
        <f t="shared" si="21"/>
        <v>#N/A</v>
      </c>
      <c r="J219" t="e">
        <f t="shared" si="21"/>
        <v>#N/A</v>
      </c>
      <c r="K219" t="e">
        <f t="shared" si="21"/>
        <v>#N/A</v>
      </c>
      <c r="L219" t="e">
        <f t="shared" si="21"/>
        <v>#N/A</v>
      </c>
      <c r="M219" t="e">
        <f t="shared" si="21"/>
        <v>#N/A</v>
      </c>
      <c r="N219" t="e">
        <f t="shared" si="21"/>
        <v>#N/A</v>
      </c>
      <c r="O219" t="e">
        <f t="shared" si="21"/>
        <v>#N/A</v>
      </c>
      <c r="P219" t="e">
        <f t="shared" si="21"/>
        <v>#N/A</v>
      </c>
    </row>
    <row r="220" spans="1:16" x14ac:dyDescent="0.25">
      <c r="A220" t="e">
        <f>CUBEMEMBER("pbiazure://api.powerbi.com 6e064a38-7f82-4416-9451-8d82a554b559 Model","[Facilities].[DATIMName].&amp;[Mgongo Health Center]")</f>
        <v>#N/A</v>
      </c>
      <c r="B220" t="e">
        <f t="shared" si="21"/>
        <v>#N/A</v>
      </c>
      <c r="C220" t="e">
        <f t="shared" si="21"/>
        <v>#N/A</v>
      </c>
      <c r="D220" t="e">
        <f t="shared" si="21"/>
        <v>#N/A</v>
      </c>
      <c r="E220" t="e">
        <f t="shared" si="21"/>
        <v>#N/A</v>
      </c>
      <c r="F220" t="e">
        <f t="shared" si="21"/>
        <v>#N/A</v>
      </c>
      <c r="G220" t="e">
        <f t="shared" si="21"/>
        <v>#N/A</v>
      </c>
      <c r="H220" t="e">
        <f t="shared" si="21"/>
        <v>#N/A</v>
      </c>
      <c r="I220" t="e">
        <f t="shared" si="21"/>
        <v>#N/A</v>
      </c>
      <c r="J220" t="e">
        <f t="shared" si="21"/>
        <v>#N/A</v>
      </c>
      <c r="K220" t="e">
        <f t="shared" si="21"/>
        <v>#N/A</v>
      </c>
      <c r="L220" t="e">
        <f t="shared" si="21"/>
        <v>#N/A</v>
      </c>
      <c r="M220" t="e">
        <f t="shared" si="21"/>
        <v>#N/A</v>
      </c>
      <c r="N220" t="e">
        <f t="shared" si="21"/>
        <v>#N/A</v>
      </c>
      <c r="O220" t="e">
        <f t="shared" si="21"/>
        <v>#N/A</v>
      </c>
      <c r="P220" t="e">
        <f t="shared" si="21"/>
        <v>#N/A</v>
      </c>
    </row>
    <row r="221" spans="1:16" x14ac:dyDescent="0.25">
      <c r="A221" t="e">
        <f>CUBEMEMBER("pbiazure://api.powerbi.com 6e064a38-7f82-4416-9451-8d82a554b559 Model","[Facilities].[DATIMName].&amp;[Mgori Health Center]")</f>
        <v>#N/A</v>
      </c>
      <c r="B221" t="e">
        <f t="shared" si="21"/>
        <v>#N/A</v>
      </c>
      <c r="C221" t="e">
        <f t="shared" si="21"/>
        <v>#N/A</v>
      </c>
      <c r="D221" t="e">
        <f t="shared" si="21"/>
        <v>#N/A</v>
      </c>
      <c r="E221" t="e">
        <f t="shared" si="21"/>
        <v>#N/A</v>
      </c>
      <c r="F221" t="e">
        <f t="shared" si="21"/>
        <v>#N/A</v>
      </c>
      <c r="G221" t="e">
        <f t="shared" si="21"/>
        <v>#N/A</v>
      </c>
      <c r="H221" t="e">
        <f t="shared" si="21"/>
        <v>#N/A</v>
      </c>
      <c r="I221" t="e">
        <f t="shared" si="21"/>
        <v>#N/A</v>
      </c>
      <c r="J221" t="e">
        <f t="shared" si="21"/>
        <v>#N/A</v>
      </c>
      <c r="K221" t="e">
        <f t="shared" si="21"/>
        <v>#N/A</v>
      </c>
      <c r="L221" t="e">
        <f t="shared" si="21"/>
        <v>#N/A</v>
      </c>
      <c r="M221" t="e">
        <f t="shared" si="21"/>
        <v>#N/A</v>
      </c>
      <c r="N221" t="e">
        <f t="shared" si="21"/>
        <v>#N/A</v>
      </c>
      <c r="O221" t="e">
        <f t="shared" si="21"/>
        <v>#N/A</v>
      </c>
      <c r="P221" t="e">
        <f t="shared" si="21"/>
        <v>#N/A</v>
      </c>
    </row>
    <row r="222" spans="1:16" x14ac:dyDescent="0.25">
      <c r="A222" t="e">
        <f>CUBEMEMBER("pbiazure://api.powerbi.com 6e064a38-7f82-4416-9451-8d82a554b559 Model","[Facilities].[DATIMName].&amp;[Mgungira Dispensary]")</f>
        <v>#N/A</v>
      </c>
      <c r="B222" t="e">
        <f t="shared" si="21"/>
        <v>#N/A</v>
      </c>
      <c r="C222" t="e">
        <f t="shared" si="21"/>
        <v>#N/A</v>
      </c>
      <c r="D222" t="e">
        <f t="shared" si="21"/>
        <v>#N/A</v>
      </c>
      <c r="E222" t="e">
        <f t="shared" si="21"/>
        <v>#N/A</v>
      </c>
      <c r="F222" t="e">
        <f t="shared" si="21"/>
        <v>#N/A</v>
      </c>
      <c r="G222" t="e">
        <f t="shared" si="21"/>
        <v>#N/A</v>
      </c>
      <c r="H222" t="e">
        <f t="shared" si="21"/>
        <v>#N/A</v>
      </c>
      <c r="I222" t="e">
        <f t="shared" si="21"/>
        <v>#N/A</v>
      </c>
      <c r="J222" t="e">
        <f t="shared" si="21"/>
        <v>#N/A</v>
      </c>
      <c r="K222" t="e">
        <f t="shared" si="21"/>
        <v>#N/A</v>
      </c>
      <c r="L222" t="e">
        <f t="shared" si="21"/>
        <v>#N/A</v>
      </c>
      <c r="M222" t="e">
        <f t="shared" si="21"/>
        <v>#N/A</v>
      </c>
      <c r="N222" t="e">
        <f t="shared" si="21"/>
        <v>#N/A</v>
      </c>
      <c r="O222" t="e">
        <f t="shared" si="21"/>
        <v>#N/A</v>
      </c>
      <c r="P222" t="e">
        <f t="shared" si="21"/>
        <v>#N/A</v>
      </c>
    </row>
    <row r="223" spans="1:16" x14ac:dyDescent="0.25">
      <c r="A223" t="e">
        <f>CUBEMEMBER("pbiazure://api.powerbi.com 6e064a38-7f82-4416-9451-8d82a554b559 Model","[Facilities].[DATIMName].&amp;[Mhintiri Dispensary]")</f>
        <v>#N/A</v>
      </c>
      <c r="B223" t="e">
        <f t="shared" si="21"/>
        <v>#N/A</v>
      </c>
      <c r="C223" t="e">
        <f t="shared" si="21"/>
        <v>#N/A</v>
      </c>
      <c r="D223" t="e">
        <f t="shared" si="21"/>
        <v>#N/A</v>
      </c>
      <c r="E223" t="e">
        <f t="shared" si="21"/>
        <v>#N/A</v>
      </c>
      <c r="F223" t="e">
        <f t="shared" si="21"/>
        <v>#N/A</v>
      </c>
      <c r="G223" t="e">
        <f t="shared" si="21"/>
        <v>#N/A</v>
      </c>
      <c r="H223" t="e">
        <f t="shared" si="21"/>
        <v>#N/A</v>
      </c>
      <c r="I223" t="e">
        <f t="shared" si="21"/>
        <v>#N/A</v>
      </c>
      <c r="J223" t="e">
        <f t="shared" si="21"/>
        <v>#N/A</v>
      </c>
      <c r="K223" t="e">
        <f t="shared" si="21"/>
        <v>#N/A</v>
      </c>
      <c r="L223" t="e">
        <f t="shared" si="21"/>
        <v>#N/A</v>
      </c>
      <c r="M223" t="e">
        <f t="shared" si="21"/>
        <v>#N/A</v>
      </c>
      <c r="N223" t="e">
        <f t="shared" si="21"/>
        <v>#N/A</v>
      </c>
      <c r="O223" t="e">
        <f t="shared" si="21"/>
        <v>#N/A</v>
      </c>
      <c r="P223" t="e">
        <f t="shared" si="21"/>
        <v>#N/A</v>
      </c>
    </row>
    <row r="224" spans="1:16" x14ac:dyDescent="0.25">
      <c r="A224" t="e">
        <f>CUBEMEMBER("pbiazure://api.powerbi.com 6e064a38-7f82-4416-9451-8d82a554b559 Model","[Facilities].[DATIMName].&amp;[Mima Dispensary]")</f>
        <v>#N/A</v>
      </c>
      <c r="B224" t="e">
        <f t="shared" si="21"/>
        <v>#N/A</v>
      </c>
      <c r="C224" t="e">
        <f t="shared" si="21"/>
        <v>#N/A</v>
      </c>
      <c r="D224" t="e">
        <f t="shared" si="21"/>
        <v>#N/A</v>
      </c>
      <c r="E224" t="e">
        <f t="shared" si="21"/>
        <v>#N/A</v>
      </c>
      <c r="F224" t="e">
        <f t="shared" si="21"/>
        <v>#N/A</v>
      </c>
      <c r="G224" t="e">
        <f t="shared" si="21"/>
        <v>#N/A</v>
      </c>
      <c r="H224" t="e">
        <f t="shared" si="21"/>
        <v>#N/A</v>
      </c>
      <c r="I224" t="e">
        <f t="shared" si="21"/>
        <v>#N/A</v>
      </c>
      <c r="J224" t="e">
        <f t="shared" si="21"/>
        <v>#N/A</v>
      </c>
      <c r="K224" t="e">
        <f t="shared" si="21"/>
        <v>#N/A</v>
      </c>
      <c r="L224" t="e">
        <f t="shared" si="21"/>
        <v>#N/A</v>
      </c>
      <c r="M224" t="e">
        <f t="shared" si="21"/>
        <v>#N/A</v>
      </c>
      <c r="N224" t="e">
        <f t="shared" si="21"/>
        <v>#N/A</v>
      </c>
      <c r="O224" t="e">
        <f t="shared" si="21"/>
        <v>#N/A</v>
      </c>
      <c r="P224" t="e">
        <f t="shared" si="21"/>
        <v>#N/A</v>
      </c>
    </row>
    <row r="225" spans="1:16" x14ac:dyDescent="0.25">
      <c r="A225" t="e">
        <f>CUBEMEMBER("pbiazure://api.powerbi.com 6e064a38-7f82-4416-9451-8d82a554b559 Model","[Facilities].[DATIMName].&amp;[Mirembe Mental Health (MMHH) Hospital - National Super Specialist Hospital]")</f>
        <v>#N/A</v>
      </c>
      <c r="B225" t="e">
        <f t="shared" ref="B225:P234" si="22">CUBEVALUE("pbiazure://api.powerbi.com 6e064a38-7f82-4416-9451-8d82a554b559 Model",$B$1,$A225,B$4)</f>
        <v>#N/A</v>
      </c>
      <c r="C225" t="e">
        <f t="shared" si="22"/>
        <v>#N/A</v>
      </c>
      <c r="D225" t="e">
        <f t="shared" si="22"/>
        <v>#N/A</v>
      </c>
      <c r="E225" t="e">
        <f t="shared" si="22"/>
        <v>#N/A</v>
      </c>
      <c r="F225" t="e">
        <f t="shared" si="22"/>
        <v>#N/A</v>
      </c>
      <c r="G225" t="e">
        <f t="shared" si="22"/>
        <v>#N/A</v>
      </c>
      <c r="H225" t="e">
        <f t="shared" si="22"/>
        <v>#N/A</v>
      </c>
      <c r="I225" t="e">
        <f t="shared" si="22"/>
        <v>#N/A</v>
      </c>
      <c r="J225" t="e">
        <f t="shared" si="22"/>
        <v>#N/A</v>
      </c>
      <c r="K225" t="e">
        <f t="shared" si="22"/>
        <v>#N/A</v>
      </c>
      <c r="L225" t="e">
        <f t="shared" si="22"/>
        <v>#N/A</v>
      </c>
      <c r="M225" t="e">
        <f t="shared" si="22"/>
        <v>#N/A</v>
      </c>
      <c r="N225" t="e">
        <f t="shared" si="22"/>
        <v>#N/A</v>
      </c>
      <c r="O225" t="e">
        <f t="shared" si="22"/>
        <v>#N/A</v>
      </c>
      <c r="P225" t="e">
        <f t="shared" si="22"/>
        <v>#N/A</v>
      </c>
    </row>
    <row r="226" spans="1:16" x14ac:dyDescent="0.25">
      <c r="A226" t="e">
        <f>CUBEMEMBER("pbiazure://api.powerbi.com 6e064a38-7f82-4416-9451-8d82a554b559 Model","[Facilities].[DATIMName].&amp;[Mirerani UHC Health Center]")</f>
        <v>#N/A</v>
      </c>
      <c r="B226" t="e">
        <f t="shared" si="22"/>
        <v>#N/A</v>
      </c>
      <c r="C226" t="e">
        <f t="shared" si="22"/>
        <v>#N/A</v>
      </c>
      <c r="D226" t="e">
        <f t="shared" si="22"/>
        <v>#N/A</v>
      </c>
      <c r="E226" t="e">
        <f t="shared" si="22"/>
        <v>#N/A</v>
      </c>
      <c r="F226" t="e">
        <f t="shared" si="22"/>
        <v>#N/A</v>
      </c>
      <c r="G226" t="e">
        <f t="shared" si="22"/>
        <v>#N/A</v>
      </c>
      <c r="H226" t="e">
        <f t="shared" si="22"/>
        <v>#N/A</v>
      </c>
      <c r="I226" t="e">
        <f t="shared" si="22"/>
        <v>#N/A</v>
      </c>
      <c r="J226" t="e">
        <f t="shared" si="22"/>
        <v>#N/A</v>
      </c>
      <c r="K226" t="e">
        <f t="shared" si="22"/>
        <v>#N/A</v>
      </c>
      <c r="L226" t="e">
        <f t="shared" si="22"/>
        <v>#N/A</v>
      </c>
      <c r="M226" t="e">
        <f t="shared" si="22"/>
        <v>#N/A</v>
      </c>
      <c r="N226" t="e">
        <f t="shared" si="22"/>
        <v>#N/A</v>
      </c>
      <c r="O226" t="e">
        <f t="shared" si="22"/>
        <v>#N/A</v>
      </c>
      <c r="P226" t="e">
        <f t="shared" si="22"/>
        <v>#N/A</v>
      </c>
    </row>
    <row r="227" spans="1:16" x14ac:dyDescent="0.25">
      <c r="A227" t="e">
        <f>CUBEMEMBER("pbiazure://api.powerbi.com 6e064a38-7f82-4416-9451-8d82a554b559 Model","[Facilities].[DATIMName].&amp;[Misigiri Dispensary]")</f>
        <v>#N/A</v>
      </c>
      <c r="B227" t="e">
        <f t="shared" si="22"/>
        <v>#N/A</v>
      </c>
      <c r="C227" t="e">
        <f t="shared" si="22"/>
        <v>#N/A</v>
      </c>
      <c r="D227" t="e">
        <f t="shared" si="22"/>
        <v>#N/A</v>
      </c>
      <c r="E227" t="e">
        <f t="shared" si="22"/>
        <v>#N/A</v>
      </c>
      <c r="F227" t="e">
        <f t="shared" si="22"/>
        <v>#N/A</v>
      </c>
      <c r="G227" t="e">
        <f t="shared" si="22"/>
        <v>#N/A</v>
      </c>
      <c r="H227" t="e">
        <f t="shared" si="22"/>
        <v>#N/A</v>
      </c>
      <c r="I227" t="e">
        <f t="shared" si="22"/>
        <v>#N/A</v>
      </c>
      <c r="J227" t="e">
        <f t="shared" si="22"/>
        <v>#N/A</v>
      </c>
      <c r="K227" t="e">
        <f t="shared" si="22"/>
        <v>#N/A</v>
      </c>
      <c r="L227" t="e">
        <f t="shared" si="22"/>
        <v>#N/A</v>
      </c>
      <c r="M227" t="e">
        <f t="shared" si="22"/>
        <v>#N/A</v>
      </c>
      <c r="N227" t="e">
        <f t="shared" si="22"/>
        <v>#N/A</v>
      </c>
      <c r="O227" t="e">
        <f t="shared" si="22"/>
        <v>#N/A</v>
      </c>
      <c r="P227" t="e">
        <f t="shared" si="22"/>
        <v>#N/A</v>
      </c>
    </row>
    <row r="228" spans="1:16" x14ac:dyDescent="0.25">
      <c r="A228" t="e">
        <f>CUBEMEMBER("pbiazure://api.powerbi.com 6e064a38-7f82-4416-9451-8d82a554b559 Model","[Facilities].[DATIMName].&amp;[Mitundu Health Center]")</f>
        <v>#N/A</v>
      </c>
      <c r="B228" t="e">
        <f t="shared" si="22"/>
        <v>#N/A</v>
      </c>
      <c r="C228" t="e">
        <f t="shared" si="22"/>
        <v>#N/A</v>
      </c>
      <c r="D228" t="e">
        <f t="shared" si="22"/>
        <v>#N/A</v>
      </c>
      <c r="E228" t="e">
        <f t="shared" si="22"/>
        <v>#N/A</v>
      </c>
      <c r="F228" t="e">
        <f t="shared" si="22"/>
        <v>#N/A</v>
      </c>
      <c r="G228" t="e">
        <f t="shared" si="22"/>
        <v>#N/A</v>
      </c>
      <c r="H228" t="e">
        <f t="shared" si="22"/>
        <v>#N/A</v>
      </c>
      <c r="I228" t="e">
        <f t="shared" si="22"/>
        <v>#N/A</v>
      </c>
      <c r="J228" t="e">
        <f t="shared" si="22"/>
        <v>#N/A</v>
      </c>
      <c r="K228" t="e">
        <f t="shared" si="22"/>
        <v>#N/A</v>
      </c>
      <c r="L228" t="e">
        <f t="shared" si="22"/>
        <v>#N/A</v>
      </c>
      <c r="M228" t="e">
        <f t="shared" si="22"/>
        <v>#N/A</v>
      </c>
      <c r="N228" t="e">
        <f t="shared" si="22"/>
        <v>#N/A</v>
      </c>
      <c r="O228" t="e">
        <f t="shared" si="22"/>
        <v>#N/A</v>
      </c>
      <c r="P228" t="e">
        <f t="shared" si="22"/>
        <v>#N/A</v>
      </c>
    </row>
    <row r="229" spans="1:16" x14ac:dyDescent="0.25">
      <c r="A229" t="e">
        <f>CUBEMEMBER("pbiazure://api.powerbi.com 6e064a38-7f82-4416-9451-8d82a554b559 Model","[Facilities].[DATIMName].&amp;[Mitundu RC Mision Dispensary]")</f>
        <v>#N/A</v>
      </c>
      <c r="B229" t="e">
        <f t="shared" si="22"/>
        <v>#N/A</v>
      </c>
      <c r="C229" t="e">
        <f t="shared" si="22"/>
        <v>#N/A</v>
      </c>
      <c r="D229" t="e">
        <f t="shared" si="22"/>
        <v>#N/A</v>
      </c>
      <c r="E229" t="e">
        <f t="shared" si="22"/>
        <v>#N/A</v>
      </c>
      <c r="F229" t="e">
        <f t="shared" si="22"/>
        <v>#N/A</v>
      </c>
      <c r="G229" t="e">
        <f t="shared" si="22"/>
        <v>#N/A</v>
      </c>
      <c r="H229" t="e">
        <f t="shared" si="22"/>
        <v>#N/A</v>
      </c>
      <c r="I229" t="e">
        <f t="shared" si="22"/>
        <v>#N/A</v>
      </c>
      <c r="J229" t="e">
        <f t="shared" si="22"/>
        <v>#N/A</v>
      </c>
      <c r="K229" t="e">
        <f t="shared" si="22"/>
        <v>#N/A</v>
      </c>
      <c r="L229" t="e">
        <f t="shared" si="22"/>
        <v>#N/A</v>
      </c>
      <c r="M229" t="e">
        <f t="shared" si="22"/>
        <v>#N/A</v>
      </c>
      <c r="N229" t="e">
        <f t="shared" si="22"/>
        <v>#N/A</v>
      </c>
      <c r="O229" t="e">
        <f t="shared" si="22"/>
        <v>#N/A</v>
      </c>
      <c r="P229" t="e">
        <f t="shared" si="22"/>
        <v>#N/A</v>
      </c>
    </row>
    <row r="230" spans="1:16" x14ac:dyDescent="0.25">
      <c r="A230" t="e">
        <f>CUBEMEMBER("pbiazure://api.powerbi.com 6e064a38-7f82-4416-9451-8d82a554b559 Model","[Facilities].[DATIMName].&amp;[Mkalama Health Center]")</f>
        <v>#N/A</v>
      </c>
      <c r="B230" t="e">
        <f t="shared" si="22"/>
        <v>#N/A</v>
      </c>
      <c r="C230" t="e">
        <f t="shared" si="22"/>
        <v>#N/A</v>
      </c>
      <c r="D230" t="e">
        <f t="shared" si="22"/>
        <v>#N/A</v>
      </c>
      <c r="E230" t="e">
        <f t="shared" si="22"/>
        <v>#N/A</v>
      </c>
      <c r="F230" t="e">
        <f t="shared" si="22"/>
        <v>#N/A</v>
      </c>
      <c r="G230" t="e">
        <f t="shared" si="22"/>
        <v>#N/A</v>
      </c>
      <c r="H230" t="e">
        <f t="shared" si="22"/>
        <v>#N/A</v>
      </c>
      <c r="I230" t="e">
        <f t="shared" si="22"/>
        <v>#N/A</v>
      </c>
      <c r="J230" t="e">
        <f t="shared" si="22"/>
        <v>#N/A</v>
      </c>
      <c r="K230" t="e">
        <f t="shared" si="22"/>
        <v>#N/A</v>
      </c>
      <c r="L230" t="e">
        <f t="shared" si="22"/>
        <v>#N/A</v>
      </c>
      <c r="M230" t="e">
        <f t="shared" si="22"/>
        <v>#N/A</v>
      </c>
      <c r="N230" t="e">
        <f t="shared" si="22"/>
        <v>#N/A</v>
      </c>
      <c r="O230" t="e">
        <f t="shared" si="22"/>
        <v>#N/A</v>
      </c>
      <c r="P230" t="e">
        <f t="shared" si="22"/>
        <v>#N/A</v>
      </c>
    </row>
    <row r="231" spans="1:16" x14ac:dyDescent="0.25">
      <c r="A231" t="e">
        <f>CUBEMEMBER("pbiazure://api.powerbi.com 6e064a38-7f82-4416-9451-8d82a554b559 Model","[Facilities].[DATIMName].&amp;[Mkoka Health Centre]")</f>
        <v>#N/A</v>
      </c>
      <c r="B231" t="e">
        <f t="shared" si="22"/>
        <v>#N/A</v>
      </c>
      <c r="C231" t="e">
        <f t="shared" si="22"/>
        <v>#N/A</v>
      </c>
      <c r="D231" t="e">
        <f t="shared" si="22"/>
        <v>#N/A</v>
      </c>
      <c r="E231" t="e">
        <f t="shared" si="22"/>
        <v>#N/A</v>
      </c>
      <c r="F231" t="e">
        <f t="shared" si="22"/>
        <v>#N/A</v>
      </c>
      <c r="G231" t="e">
        <f t="shared" si="22"/>
        <v>#N/A</v>
      </c>
      <c r="H231" t="e">
        <f t="shared" si="22"/>
        <v>#N/A</v>
      </c>
      <c r="I231" t="e">
        <f t="shared" si="22"/>
        <v>#N/A</v>
      </c>
      <c r="J231" t="e">
        <f t="shared" si="22"/>
        <v>#N/A</v>
      </c>
      <c r="K231" t="e">
        <f t="shared" si="22"/>
        <v>#N/A</v>
      </c>
      <c r="L231" t="e">
        <f t="shared" si="22"/>
        <v>#N/A</v>
      </c>
      <c r="M231" t="e">
        <f t="shared" si="22"/>
        <v>#N/A</v>
      </c>
      <c r="N231" t="e">
        <f t="shared" si="22"/>
        <v>#N/A</v>
      </c>
      <c r="O231" t="e">
        <f t="shared" si="22"/>
        <v>#N/A</v>
      </c>
      <c r="P231" t="e">
        <f t="shared" si="22"/>
        <v>#N/A</v>
      </c>
    </row>
    <row r="232" spans="1:16" x14ac:dyDescent="0.25">
      <c r="A232" t="e">
        <f>CUBEMEMBER("pbiazure://api.powerbi.com 6e064a38-7f82-4416-9451-8d82a554b559 Model","[Facilities].[DATIMName].&amp;[Mkondai Dispensary]")</f>
        <v>#N/A</v>
      </c>
      <c r="B232" t="e">
        <f t="shared" si="22"/>
        <v>#N/A</v>
      </c>
      <c r="C232" t="e">
        <f t="shared" si="22"/>
        <v>#N/A</v>
      </c>
      <c r="D232" t="e">
        <f t="shared" si="22"/>
        <v>#N/A</v>
      </c>
      <c r="E232" t="e">
        <f t="shared" si="22"/>
        <v>#N/A</v>
      </c>
      <c r="F232" t="e">
        <f t="shared" si="22"/>
        <v>#N/A</v>
      </c>
      <c r="G232" t="e">
        <f t="shared" si="22"/>
        <v>#N/A</v>
      </c>
      <c r="H232" t="e">
        <f t="shared" si="22"/>
        <v>#N/A</v>
      </c>
      <c r="I232" t="e">
        <f t="shared" si="22"/>
        <v>#N/A</v>
      </c>
      <c r="J232" t="e">
        <f t="shared" si="22"/>
        <v>#N/A</v>
      </c>
      <c r="K232" t="e">
        <f t="shared" si="22"/>
        <v>#N/A</v>
      </c>
      <c r="L232" t="e">
        <f t="shared" si="22"/>
        <v>#N/A</v>
      </c>
      <c r="M232" t="e">
        <f t="shared" si="22"/>
        <v>#N/A</v>
      </c>
      <c r="N232" t="e">
        <f t="shared" si="22"/>
        <v>#N/A</v>
      </c>
      <c r="O232" t="e">
        <f t="shared" si="22"/>
        <v>#N/A</v>
      </c>
      <c r="P232" t="e">
        <f t="shared" si="22"/>
        <v>#N/A</v>
      </c>
    </row>
    <row r="233" spans="1:16" x14ac:dyDescent="0.25">
      <c r="A233" t="e">
        <f>CUBEMEMBER("pbiazure://api.powerbi.com 6e064a38-7f82-4416-9451-8d82a554b559 Model","[Facilities].[DATIMName].&amp;[Mkonoo Health Center]")</f>
        <v>#N/A</v>
      </c>
      <c r="B233" t="e">
        <f t="shared" si="22"/>
        <v>#N/A</v>
      </c>
      <c r="C233" t="e">
        <f t="shared" si="22"/>
        <v>#N/A</v>
      </c>
      <c r="D233" t="e">
        <f t="shared" si="22"/>
        <v>#N/A</v>
      </c>
      <c r="E233" t="e">
        <f t="shared" si="22"/>
        <v>#N/A</v>
      </c>
      <c r="F233" t="e">
        <f t="shared" si="22"/>
        <v>#N/A</v>
      </c>
      <c r="G233" t="e">
        <f t="shared" si="22"/>
        <v>#N/A</v>
      </c>
      <c r="H233" t="e">
        <f t="shared" si="22"/>
        <v>#N/A</v>
      </c>
      <c r="I233" t="e">
        <f t="shared" si="22"/>
        <v>#N/A</v>
      </c>
      <c r="J233" t="e">
        <f t="shared" si="22"/>
        <v>#N/A</v>
      </c>
      <c r="K233" t="e">
        <f t="shared" si="22"/>
        <v>#N/A</v>
      </c>
      <c r="L233" t="e">
        <f t="shared" si="22"/>
        <v>#N/A</v>
      </c>
      <c r="M233" t="e">
        <f t="shared" si="22"/>
        <v>#N/A</v>
      </c>
      <c r="N233" t="e">
        <f t="shared" si="22"/>
        <v>#N/A</v>
      </c>
      <c r="O233" t="e">
        <f t="shared" si="22"/>
        <v>#N/A</v>
      </c>
      <c r="P233" t="e">
        <f t="shared" si="22"/>
        <v>#N/A</v>
      </c>
    </row>
    <row r="234" spans="1:16" x14ac:dyDescent="0.25">
      <c r="A234" t="e">
        <f>CUBEMEMBER("pbiazure://api.powerbi.com 6e064a38-7f82-4416-9451-8d82a554b559 Model","[Facilities].[DATIMName].&amp;[Mkonze Health Center]")</f>
        <v>#N/A</v>
      </c>
      <c r="B234" t="e">
        <f t="shared" si="22"/>
        <v>#N/A</v>
      </c>
      <c r="C234" t="e">
        <f t="shared" si="22"/>
        <v>#N/A</v>
      </c>
      <c r="D234" t="e">
        <f t="shared" si="22"/>
        <v>#N/A</v>
      </c>
      <c r="E234" t="e">
        <f t="shared" si="22"/>
        <v>#N/A</v>
      </c>
      <c r="F234" t="e">
        <f t="shared" si="22"/>
        <v>#N/A</v>
      </c>
      <c r="G234" t="e">
        <f t="shared" si="22"/>
        <v>#N/A</v>
      </c>
      <c r="H234" t="e">
        <f t="shared" si="22"/>
        <v>#N/A</v>
      </c>
      <c r="I234" t="e">
        <f t="shared" si="22"/>
        <v>#N/A</v>
      </c>
      <c r="J234" t="e">
        <f t="shared" si="22"/>
        <v>#N/A</v>
      </c>
      <c r="K234" t="e">
        <f t="shared" si="22"/>
        <v>#N/A</v>
      </c>
      <c r="L234" t="e">
        <f t="shared" si="22"/>
        <v>#N/A</v>
      </c>
      <c r="M234" t="e">
        <f t="shared" si="22"/>
        <v>#N/A</v>
      </c>
      <c r="N234" t="e">
        <f t="shared" si="22"/>
        <v>#N/A</v>
      </c>
      <c r="O234" t="e">
        <f t="shared" si="22"/>
        <v>#N/A</v>
      </c>
      <c r="P234" t="e">
        <f t="shared" si="22"/>
        <v>#N/A</v>
      </c>
    </row>
    <row r="235" spans="1:16" x14ac:dyDescent="0.25">
      <c r="A235" t="e">
        <f>CUBEMEMBER("pbiazure://api.powerbi.com 6e064a38-7f82-4416-9451-8d82a554b559 Model","[Facilities].[DATIMName].&amp;[Mlali Health Center]")</f>
        <v>#N/A</v>
      </c>
      <c r="B235" t="e">
        <f t="shared" ref="B235:P244" si="23">CUBEVALUE("pbiazure://api.powerbi.com 6e064a38-7f82-4416-9451-8d82a554b559 Model",$B$1,$A235,B$4)</f>
        <v>#N/A</v>
      </c>
      <c r="C235" t="e">
        <f t="shared" si="23"/>
        <v>#N/A</v>
      </c>
      <c r="D235" t="e">
        <f t="shared" si="23"/>
        <v>#N/A</v>
      </c>
      <c r="E235" t="e">
        <f t="shared" si="23"/>
        <v>#N/A</v>
      </c>
      <c r="F235" t="e">
        <f t="shared" si="23"/>
        <v>#N/A</v>
      </c>
      <c r="G235" t="e">
        <f t="shared" si="23"/>
        <v>#N/A</v>
      </c>
      <c r="H235" t="e">
        <f t="shared" si="23"/>
        <v>#N/A</v>
      </c>
      <c r="I235" t="e">
        <f t="shared" si="23"/>
        <v>#N/A</v>
      </c>
      <c r="J235" t="e">
        <f t="shared" si="23"/>
        <v>#N/A</v>
      </c>
      <c r="K235" t="e">
        <f t="shared" si="23"/>
        <v>#N/A</v>
      </c>
      <c r="L235" t="e">
        <f t="shared" si="23"/>
        <v>#N/A</v>
      </c>
      <c r="M235" t="e">
        <f t="shared" si="23"/>
        <v>#N/A</v>
      </c>
      <c r="N235" t="e">
        <f t="shared" si="23"/>
        <v>#N/A</v>
      </c>
      <c r="O235" t="e">
        <f t="shared" si="23"/>
        <v>#N/A</v>
      </c>
      <c r="P235" t="e">
        <f t="shared" si="23"/>
        <v>#N/A</v>
      </c>
    </row>
    <row r="236" spans="1:16" x14ac:dyDescent="0.25">
      <c r="A236" t="e">
        <f>CUBEMEMBER("pbiazure://api.powerbi.com 6e064a38-7f82-4416-9451-8d82a554b559 Model","[Facilities].[DATIMName].&amp;[Mlowa Barabarani Health Center]")</f>
        <v>#N/A</v>
      </c>
      <c r="B236" t="e">
        <f t="shared" si="23"/>
        <v>#N/A</v>
      </c>
      <c r="C236" t="e">
        <f t="shared" si="23"/>
        <v>#N/A</v>
      </c>
      <c r="D236" t="e">
        <f t="shared" si="23"/>
        <v>#N/A</v>
      </c>
      <c r="E236" t="e">
        <f t="shared" si="23"/>
        <v>#N/A</v>
      </c>
      <c r="F236" t="e">
        <f t="shared" si="23"/>
        <v>#N/A</v>
      </c>
      <c r="G236" t="e">
        <f t="shared" si="23"/>
        <v>#N/A</v>
      </c>
      <c r="H236" t="e">
        <f t="shared" si="23"/>
        <v>#N/A</v>
      </c>
      <c r="I236" t="e">
        <f t="shared" si="23"/>
        <v>#N/A</v>
      </c>
      <c r="J236" t="e">
        <f t="shared" si="23"/>
        <v>#N/A</v>
      </c>
      <c r="K236" t="e">
        <f t="shared" si="23"/>
        <v>#N/A</v>
      </c>
      <c r="L236" t="e">
        <f t="shared" si="23"/>
        <v>#N/A</v>
      </c>
      <c r="M236" t="e">
        <f t="shared" si="23"/>
        <v>#N/A</v>
      </c>
      <c r="N236" t="e">
        <f t="shared" si="23"/>
        <v>#N/A</v>
      </c>
      <c r="O236" t="e">
        <f t="shared" si="23"/>
        <v>#N/A</v>
      </c>
      <c r="P236" t="e">
        <f t="shared" si="23"/>
        <v>#N/A</v>
      </c>
    </row>
    <row r="237" spans="1:16" x14ac:dyDescent="0.25">
      <c r="A237" t="e">
        <f>CUBEMEMBER("pbiazure://api.powerbi.com 6e064a38-7f82-4416-9451-8d82a554b559 Model","[Facilities].[DATIMName].&amp;[Mnenia Health Center]")</f>
        <v>#N/A</v>
      </c>
      <c r="B237" t="e">
        <f t="shared" si="23"/>
        <v>#N/A</v>
      </c>
      <c r="C237" t="e">
        <f t="shared" si="23"/>
        <v>#N/A</v>
      </c>
      <c r="D237" t="e">
        <f t="shared" si="23"/>
        <v>#N/A</v>
      </c>
      <c r="E237" t="e">
        <f t="shared" si="23"/>
        <v>#N/A</v>
      </c>
      <c r="F237" t="e">
        <f t="shared" si="23"/>
        <v>#N/A</v>
      </c>
      <c r="G237" t="e">
        <f t="shared" si="23"/>
        <v>#N/A</v>
      </c>
      <c r="H237" t="e">
        <f t="shared" si="23"/>
        <v>#N/A</v>
      </c>
      <c r="I237" t="e">
        <f t="shared" si="23"/>
        <v>#N/A</v>
      </c>
      <c r="J237" t="e">
        <f t="shared" si="23"/>
        <v>#N/A</v>
      </c>
      <c r="K237" t="e">
        <f t="shared" si="23"/>
        <v>#N/A</v>
      </c>
      <c r="L237" t="e">
        <f t="shared" si="23"/>
        <v>#N/A</v>
      </c>
      <c r="M237" t="e">
        <f t="shared" si="23"/>
        <v>#N/A</v>
      </c>
      <c r="N237" t="e">
        <f t="shared" si="23"/>
        <v>#N/A</v>
      </c>
      <c r="O237" t="e">
        <f t="shared" si="23"/>
        <v>#N/A</v>
      </c>
      <c r="P237" t="e">
        <f t="shared" si="23"/>
        <v>#N/A</v>
      </c>
    </row>
    <row r="238" spans="1:16" x14ac:dyDescent="0.25">
      <c r="A238" t="e">
        <f>CUBEMEMBER("pbiazure://api.powerbi.com 6e064a38-7f82-4416-9451-8d82a554b559 Model","[Facilities].[DATIMName].&amp;[Moivo Dispensary]")</f>
        <v>#N/A</v>
      </c>
      <c r="B238" t="e">
        <f t="shared" si="23"/>
        <v>#N/A</v>
      </c>
      <c r="C238" t="e">
        <f t="shared" si="23"/>
        <v>#N/A</v>
      </c>
      <c r="D238" t="e">
        <f t="shared" si="23"/>
        <v>#N/A</v>
      </c>
      <c r="E238" t="e">
        <f t="shared" si="23"/>
        <v>#N/A</v>
      </c>
      <c r="F238" t="e">
        <f t="shared" si="23"/>
        <v>#N/A</v>
      </c>
      <c r="G238" t="e">
        <f t="shared" si="23"/>
        <v>#N/A</v>
      </c>
      <c r="H238" t="e">
        <f t="shared" si="23"/>
        <v>#N/A</v>
      </c>
      <c r="I238" t="e">
        <f t="shared" si="23"/>
        <v>#N/A</v>
      </c>
      <c r="J238" t="e">
        <f t="shared" si="23"/>
        <v>#N/A</v>
      </c>
      <c r="K238" t="e">
        <f t="shared" si="23"/>
        <v>#N/A</v>
      </c>
      <c r="L238" t="e">
        <f t="shared" si="23"/>
        <v>#N/A</v>
      </c>
      <c r="M238" t="e">
        <f t="shared" si="23"/>
        <v>#N/A</v>
      </c>
      <c r="N238" t="e">
        <f t="shared" si="23"/>
        <v>#N/A</v>
      </c>
      <c r="O238" t="e">
        <f t="shared" si="23"/>
        <v>#N/A</v>
      </c>
      <c r="P238" t="e">
        <f t="shared" si="23"/>
        <v>#N/A</v>
      </c>
    </row>
    <row r="239" spans="1:16" x14ac:dyDescent="0.25">
      <c r="A239" t="e">
        <f>CUBEMEMBER("pbiazure://api.powerbi.com 6e064a38-7f82-4416-9451-8d82a554b559 Model","[Facilities].[DATIMName].&amp;[Mondo Dispensary]")</f>
        <v>#N/A</v>
      </c>
      <c r="B239" t="e">
        <f t="shared" si="23"/>
        <v>#N/A</v>
      </c>
      <c r="C239" t="e">
        <f t="shared" si="23"/>
        <v>#N/A</v>
      </c>
      <c r="D239" t="e">
        <f t="shared" si="23"/>
        <v>#N/A</v>
      </c>
      <c r="E239" t="e">
        <f t="shared" si="23"/>
        <v>#N/A</v>
      </c>
      <c r="F239" t="e">
        <f t="shared" si="23"/>
        <v>#N/A</v>
      </c>
      <c r="G239" t="e">
        <f t="shared" si="23"/>
        <v>#N/A</v>
      </c>
      <c r="H239" t="e">
        <f t="shared" si="23"/>
        <v>#N/A</v>
      </c>
      <c r="I239" t="e">
        <f t="shared" si="23"/>
        <v>#N/A</v>
      </c>
      <c r="J239" t="e">
        <f t="shared" si="23"/>
        <v>#N/A</v>
      </c>
      <c r="K239" t="e">
        <f t="shared" si="23"/>
        <v>#N/A</v>
      </c>
      <c r="L239" t="e">
        <f t="shared" si="23"/>
        <v>#N/A</v>
      </c>
      <c r="M239" t="e">
        <f t="shared" si="23"/>
        <v>#N/A</v>
      </c>
      <c r="N239" t="e">
        <f t="shared" si="23"/>
        <v>#N/A</v>
      </c>
      <c r="O239" t="e">
        <f t="shared" si="23"/>
        <v>#N/A</v>
      </c>
      <c r="P239" t="e">
        <f t="shared" si="23"/>
        <v>#N/A</v>
      </c>
    </row>
    <row r="240" spans="1:16" x14ac:dyDescent="0.25">
      <c r="A240" t="e">
        <f>CUBEMEMBER("pbiazure://api.powerbi.com 6e064a38-7f82-4416-9451-8d82a554b559 Model","[Facilities].[DATIMName].&amp;[Monduli Hospital - District Hospital]")</f>
        <v>#N/A</v>
      </c>
      <c r="B240" t="e">
        <f t="shared" si="23"/>
        <v>#N/A</v>
      </c>
      <c r="C240" t="e">
        <f t="shared" si="23"/>
        <v>#N/A</v>
      </c>
      <c r="D240" t="e">
        <f t="shared" si="23"/>
        <v>#N/A</v>
      </c>
      <c r="E240" t="e">
        <f t="shared" si="23"/>
        <v>#N/A</v>
      </c>
      <c r="F240" t="e">
        <f t="shared" si="23"/>
        <v>#N/A</v>
      </c>
      <c r="G240" t="e">
        <f t="shared" si="23"/>
        <v>#N/A</v>
      </c>
      <c r="H240" t="e">
        <f t="shared" si="23"/>
        <v>#N/A</v>
      </c>
      <c r="I240" t="e">
        <f t="shared" si="23"/>
        <v>#N/A</v>
      </c>
      <c r="J240" t="e">
        <f t="shared" si="23"/>
        <v>#N/A</v>
      </c>
      <c r="K240" t="e">
        <f t="shared" si="23"/>
        <v>#N/A</v>
      </c>
      <c r="L240" t="e">
        <f t="shared" si="23"/>
        <v>#N/A</v>
      </c>
      <c r="M240" t="e">
        <f t="shared" si="23"/>
        <v>#N/A</v>
      </c>
      <c r="N240" t="e">
        <f t="shared" si="23"/>
        <v>#N/A</v>
      </c>
      <c r="O240" t="e">
        <f t="shared" si="23"/>
        <v>#N/A</v>
      </c>
      <c r="P240" t="e">
        <f t="shared" si="23"/>
        <v>#N/A</v>
      </c>
    </row>
    <row r="241" spans="1:16" x14ac:dyDescent="0.25">
      <c r="A241" t="e">
        <f>CUBEMEMBER("pbiazure://api.powerbi.com 6e064a38-7f82-4416-9451-8d82a554b559 Model","[Facilities].[DATIMName].&amp;[Moshes Health Center]")</f>
        <v>#N/A</v>
      </c>
      <c r="B241" t="e">
        <f t="shared" si="23"/>
        <v>#N/A</v>
      </c>
      <c r="C241" t="e">
        <f t="shared" si="23"/>
        <v>#N/A</v>
      </c>
      <c r="D241" t="e">
        <f t="shared" si="23"/>
        <v>#N/A</v>
      </c>
      <c r="E241" t="e">
        <f t="shared" si="23"/>
        <v>#N/A</v>
      </c>
      <c r="F241" t="e">
        <f t="shared" si="23"/>
        <v>#N/A</v>
      </c>
      <c r="G241" t="e">
        <f t="shared" si="23"/>
        <v>#N/A</v>
      </c>
      <c r="H241" t="e">
        <f t="shared" si="23"/>
        <v>#N/A</v>
      </c>
      <c r="I241" t="e">
        <f t="shared" si="23"/>
        <v>#N/A</v>
      </c>
      <c r="J241" t="e">
        <f t="shared" si="23"/>
        <v>#N/A</v>
      </c>
      <c r="K241" t="e">
        <f t="shared" si="23"/>
        <v>#N/A</v>
      </c>
      <c r="L241" t="e">
        <f t="shared" si="23"/>
        <v>#N/A</v>
      </c>
      <c r="M241" t="e">
        <f t="shared" si="23"/>
        <v>#N/A</v>
      </c>
      <c r="N241" t="e">
        <f t="shared" si="23"/>
        <v>#N/A</v>
      </c>
      <c r="O241" t="e">
        <f t="shared" si="23"/>
        <v>#N/A</v>
      </c>
      <c r="P241" t="e">
        <f t="shared" si="23"/>
        <v>#N/A</v>
      </c>
    </row>
    <row r="242" spans="1:16" x14ac:dyDescent="0.25">
      <c r="A242" t="e">
        <f>CUBEMEMBER("pbiazure://api.powerbi.com 6e064a38-7f82-4416-9451-8d82a554b559 Model","[Facilities].[DATIMName].&amp;[Moyo wa Yesu na Maria Dispensary]")</f>
        <v>#N/A</v>
      </c>
      <c r="B242" t="e">
        <f t="shared" si="23"/>
        <v>#N/A</v>
      </c>
      <c r="C242" t="e">
        <f t="shared" si="23"/>
        <v>#N/A</v>
      </c>
      <c r="D242" t="e">
        <f t="shared" si="23"/>
        <v>#N/A</v>
      </c>
      <c r="E242" t="e">
        <f t="shared" si="23"/>
        <v>#N/A</v>
      </c>
      <c r="F242" t="e">
        <f t="shared" si="23"/>
        <v>#N/A</v>
      </c>
      <c r="G242" t="e">
        <f t="shared" si="23"/>
        <v>#N/A</v>
      </c>
      <c r="H242" t="e">
        <f t="shared" si="23"/>
        <v>#N/A</v>
      </c>
      <c r="I242" t="e">
        <f t="shared" si="23"/>
        <v>#N/A</v>
      </c>
      <c r="J242" t="e">
        <f t="shared" si="23"/>
        <v>#N/A</v>
      </c>
      <c r="K242" t="e">
        <f t="shared" si="23"/>
        <v>#N/A</v>
      </c>
      <c r="L242" t="e">
        <f t="shared" si="23"/>
        <v>#N/A</v>
      </c>
      <c r="M242" t="e">
        <f t="shared" si="23"/>
        <v>#N/A</v>
      </c>
      <c r="N242" t="e">
        <f t="shared" si="23"/>
        <v>#N/A</v>
      </c>
      <c r="O242" t="e">
        <f t="shared" si="23"/>
        <v>#N/A</v>
      </c>
      <c r="P242" t="e">
        <f t="shared" si="23"/>
        <v>#N/A</v>
      </c>
    </row>
    <row r="243" spans="1:16" x14ac:dyDescent="0.25">
      <c r="A243" t="e">
        <f>CUBEMEMBER("pbiazure://api.powerbi.com 6e064a38-7f82-4416-9451-8d82a554b559 Model","[Facilities].[DATIMName].&amp;[Mpalanga Dispensary]")</f>
        <v>#N/A</v>
      </c>
      <c r="B243" t="e">
        <f t="shared" si="23"/>
        <v>#N/A</v>
      </c>
      <c r="C243" t="e">
        <f t="shared" si="23"/>
        <v>#N/A</v>
      </c>
      <c r="D243" t="e">
        <f t="shared" si="23"/>
        <v>#N/A</v>
      </c>
      <c r="E243" t="e">
        <f t="shared" si="23"/>
        <v>#N/A</v>
      </c>
      <c r="F243" t="e">
        <f t="shared" si="23"/>
        <v>#N/A</v>
      </c>
      <c r="G243" t="e">
        <f t="shared" si="23"/>
        <v>#N/A</v>
      </c>
      <c r="H243" t="e">
        <f t="shared" si="23"/>
        <v>#N/A</v>
      </c>
      <c r="I243" t="e">
        <f t="shared" si="23"/>
        <v>#N/A</v>
      </c>
      <c r="J243" t="e">
        <f t="shared" si="23"/>
        <v>#N/A</v>
      </c>
      <c r="K243" t="e">
        <f t="shared" si="23"/>
        <v>#N/A</v>
      </c>
      <c r="L243" t="e">
        <f t="shared" si="23"/>
        <v>#N/A</v>
      </c>
      <c r="M243" t="e">
        <f t="shared" si="23"/>
        <v>#N/A</v>
      </c>
      <c r="N243" t="e">
        <f t="shared" si="23"/>
        <v>#N/A</v>
      </c>
      <c r="O243" t="e">
        <f t="shared" si="23"/>
        <v>#N/A</v>
      </c>
      <c r="P243" t="e">
        <f t="shared" si="23"/>
        <v>#N/A</v>
      </c>
    </row>
    <row r="244" spans="1:16" x14ac:dyDescent="0.25">
      <c r="A244" t="e">
        <f>CUBEMEMBER("pbiazure://api.powerbi.com 6e064a38-7f82-4416-9451-8d82a554b559 Model","[Facilities].[DATIMName].&amp;[Mpamatwa Dispensary]")</f>
        <v>#N/A</v>
      </c>
      <c r="B244" t="e">
        <f t="shared" si="23"/>
        <v>#N/A</v>
      </c>
      <c r="C244" t="e">
        <f t="shared" si="23"/>
        <v>#N/A</v>
      </c>
      <c r="D244" t="e">
        <f t="shared" si="23"/>
        <v>#N/A</v>
      </c>
      <c r="E244" t="e">
        <f t="shared" si="23"/>
        <v>#N/A</v>
      </c>
      <c r="F244" t="e">
        <f t="shared" si="23"/>
        <v>#N/A</v>
      </c>
      <c r="G244" t="e">
        <f t="shared" si="23"/>
        <v>#N/A</v>
      </c>
      <c r="H244" t="e">
        <f t="shared" si="23"/>
        <v>#N/A</v>
      </c>
      <c r="I244" t="e">
        <f t="shared" si="23"/>
        <v>#N/A</v>
      </c>
      <c r="J244" t="e">
        <f t="shared" si="23"/>
        <v>#N/A</v>
      </c>
      <c r="K244" t="e">
        <f t="shared" si="23"/>
        <v>#N/A</v>
      </c>
      <c r="L244" t="e">
        <f t="shared" si="23"/>
        <v>#N/A</v>
      </c>
      <c r="M244" t="e">
        <f t="shared" si="23"/>
        <v>#N/A</v>
      </c>
      <c r="N244" t="e">
        <f t="shared" si="23"/>
        <v>#N/A</v>
      </c>
      <c r="O244" t="e">
        <f t="shared" si="23"/>
        <v>#N/A</v>
      </c>
      <c r="P244" t="e">
        <f t="shared" si="23"/>
        <v>#N/A</v>
      </c>
    </row>
    <row r="245" spans="1:16" x14ac:dyDescent="0.25">
      <c r="A245" t="e">
        <f>CUBEMEMBER("pbiazure://api.powerbi.com 6e064a38-7f82-4416-9451-8d82a554b559 Model","[Facilities].[DATIMName].&amp;[Mpunguzi Dispensary]")</f>
        <v>#N/A</v>
      </c>
      <c r="B245" t="e">
        <f t="shared" ref="B245:P254" si="24">CUBEVALUE("pbiazure://api.powerbi.com 6e064a38-7f82-4416-9451-8d82a554b559 Model",$B$1,$A245,B$4)</f>
        <v>#N/A</v>
      </c>
      <c r="C245" t="e">
        <f t="shared" si="24"/>
        <v>#N/A</v>
      </c>
      <c r="D245" t="e">
        <f t="shared" si="24"/>
        <v>#N/A</v>
      </c>
      <c r="E245" t="e">
        <f t="shared" si="24"/>
        <v>#N/A</v>
      </c>
      <c r="F245" t="e">
        <f t="shared" si="24"/>
        <v>#N/A</v>
      </c>
      <c r="G245" t="e">
        <f t="shared" si="24"/>
        <v>#N/A</v>
      </c>
      <c r="H245" t="e">
        <f t="shared" si="24"/>
        <v>#N/A</v>
      </c>
      <c r="I245" t="e">
        <f t="shared" si="24"/>
        <v>#N/A</v>
      </c>
      <c r="J245" t="e">
        <f t="shared" si="24"/>
        <v>#N/A</v>
      </c>
      <c r="K245" t="e">
        <f t="shared" si="24"/>
        <v>#N/A</v>
      </c>
      <c r="L245" t="e">
        <f t="shared" si="24"/>
        <v>#N/A</v>
      </c>
      <c r="M245" t="e">
        <f t="shared" si="24"/>
        <v>#N/A</v>
      </c>
      <c r="N245" t="e">
        <f t="shared" si="24"/>
        <v>#N/A</v>
      </c>
      <c r="O245" t="e">
        <f t="shared" si="24"/>
        <v>#N/A</v>
      </c>
      <c r="P245" t="e">
        <f t="shared" si="24"/>
        <v>#N/A</v>
      </c>
    </row>
    <row r="246" spans="1:16" x14ac:dyDescent="0.25">
      <c r="A246" t="e">
        <f>CUBEMEMBER("pbiazure://api.powerbi.com 6e064a38-7f82-4416-9451-8d82a554b559 Model","[Facilities].[DATIMName].&amp;[Mpwapwa Hospital - District Hospital]")</f>
        <v>#N/A</v>
      </c>
      <c r="B246" t="e">
        <f t="shared" si="24"/>
        <v>#N/A</v>
      </c>
      <c r="C246" t="e">
        <f t="shared" si="24"/>
        <v>#N/A</v>
      </c>
      <c r="D246" t="e">
        <f t="shared" si="24"/>
        <v>#N/A</v>
      </c>
      <c r="E246" t="e">
        <f t="shared" si="24"/>
        <v>#N/A</v>
      </c>
      <c r="F246" t="e">
        <f t="shared" si="24"/>
        <v>#N/A</v>
      </c>
      <c r="G246" t="e">
        <f t="shared" si="24"/>
        <v>#N/A</v>
      </c>
      <c r="H246" t="e">
        <f t="shared" si="24"/>
        <v>#N/A</v>
      </c>
      <c r="I246" t="e">
        <f t="shared" si="24"/>
        <v>#N/A</v>
      </c>
      <c r="J246" t="e">
        <f t="shared" si="24"/>
        <v>#N/A</v>
      </c>
      <c r="K246" t="e">
        <f t="shared" si="24"/>
        <v>#N/A</v>
      </c>
      <c r="L246" t="e">
        <f t="shared" si="24"/>
        <v>#N/A</v>
      </c>
      <c r="M246" t="e">
        <f t="shared" si="24"/>
        <v>#N/A</v>
      </c>
      <c r="N246" t="e">
        <f t="shared" si="24"/>
        <v>#N/A</v>
      </c>
      <c r="O246" t="e">
        <f t="shared" si="24"/>
        <v>#N/A</v>
      </c>
      <c r="P246" t="e">
        <f t="shared" si="24"/>
        <v>#N/A</v>
      </c>
    </row>
    <row r="247" spans="1:16" x14ac:dyDescent="0.25">
      <c r="A247" t="e">
        <f>CUBEMEMBER("pbiazure://api.powerbi.com 6e064a38-7f82-4416-9451-8d82a554b559 Model","[Facilities].[DATIMName].&amp;[Mpwayungu Health Center]")</f>
        <v>#N/A</v>
      </c>
      <c r="B247" t="e">
        <f t="shared" si="24"/>
        <v>#N/A</v>
      </c>
      <c r="C247" t="e">
        <f t="shared" si="24"/>
        <v>#N/A</v>
      </c>
      <c r="D247" t="e">
        <f t="shared" si="24"/>
        <v>#N/A</v>
      </c>
      <c r="E247" t="e">
        <f t="shared" si="24"/>
        <v>#N/A</v>
      </c>
      <c r="F247" t="e">
        <f t="shared" si="24"/>
        <v>#N/A</v>
      </c>
      <c r="G247" t="e">
        <f t="shared" si="24"/>
        <v>#N/A</v>
      </c>
      <c r="H247" t="e">
        <f t="shared" si="24"/>
        <v>#N/A</v>
      </c>
      <c r="I247" t="e">
        <f t="shared" si="24"/>
        <v>#N/A</v>
      </c>
      <c r="J247" t="e">
        <f t="shared" si="24"/>
        <v>#N/A</v>
      </c>
      <c r="K247" t="e">
        <f t="shared" si="24"/>
        <v>#N/A</v>
      </c>
      <c r="L247" t="e">
        <f t="shared" si="24"/>
        <v>#N/A</v>
      </c>
      <c r="M247" t="e">
        <f t="shared" si="24"/>
        <v>#N/A</v>
      </c>
      <c r="N247" t="e">
        <f t="shared" si="24"/>
        <v>#N/A</v>
      </c>
      <c r="O247" t="e">
        <f t="shared" si="24"/>
        <v>#N/A</v>
      </c>
      <c r="P247" t="e">
        <f t="shared" si="24"/>
        <v>#N/A</v>
      </c>
    </row>
    <row r="248" spans="1:16" x14ac:dyDescent="0.25">
      <c r="A248" t="e">
        <f>CUBEMEMBER("pbiazure://api.powerbi.com 6e064a38-7f82-4416-9451-8d82a554b559 Model","[Facilities].[DATIMName].&amp;[Mrijo Health Center]")</f>
        <v>#N/A</v>
      </c>
      <c r="B248" t="e">
        <f t="shared" si="24"/>
        <v>#N/A</v>
      </c>
      <c r="C248" t="e">
        <f t="shared" si="24"/>
        <v>#N/A</v>
      </c>
      <c r="D248" t="e">
        <f t="shared" si="24"/>
        <v>#N/A</v>
      </c>
      <c r="E248" t="e">
        <f t="shared" si="24"/>
        <v>#N/A</v>
      </c>
      <c r="F248" t="e">
        <f t="shared" si="24"/>
        <v>#N/A</v>
      </c>
      <c r="G248" t="e">
        <f t="shared" si="24"/>
        <v>#N/A</v>
      </c>
      <c r="H248" t="e">
        <f t="shared" si="24"/>
        <v>#N/A</v>
      </c>
      <c r="I248" t="e">
        <f t="shared" si="24"/>
        <v>#N/A</v>
      </c>
      <c r="J248" t="e">
        <f t="shared" si="24"/>
        <v>#N/A</v>
      </c>
      <c r="K248" t="e">
        <f t="shared" si="24"/>
        <v>#N/A</v>
      </c>
      <c r="L248" t="e">
        <f t="shared" si="24"/>
        <v>#N/A</v>
      </c>
      <c r="M248" t="e">
        <f t="shared" si="24"/>
        <v>#N/A</v>
      </c>
      <c r="N248" t="e">
        <f t="shared" si="24"/>
        <v>#N/A</v>
      </c>
      <c r="O248" t="e">
        <f t="shared" si="24"/>
        <v>#N/A</v>
      </c>
      <c r="P248" t="e">
        <f t="shared" si="24"/>
        <v>#N/A</v>
      </c>
    </row>
    <row r="249" spans="1:16" x14ac:dyDescent="0.25">
      <c r="A249" t="e">
        <f>CUBEMEMBER("pbiazure://api.powerbi.com 6e064a38-7f82-4416-9451-8d82a554b559 Model","[Facilities].[DATIMName].&amp;[Msaranga Dispensary]")</f>
        <v>#N/A</v>
      </c>
      <c r="B249" t="e">
        <f t="shared" si="24"/>
        <v>#N/A</v>
      </c>
      <c r="C249" t="e">
        <f t="shared" si="24"/>
        <v>#N/A</v>
      </c>
      <c r="D249" t="e">
        <f t="shared" si="24"/>
        <v>#N/A</v>
      </c>
      <c r="E249" t="e">
        <f t="shared" si="24"/>
        <v>#N/A</v>
      </c>
      <c r="F249" t="e">
        <f t="shared" si="24"/>
        <v>#N/A</v>
      </c>
      <c r="G249" t="e">
        <f t="shared" si="24"/>
        <v>#N/A</v>
      </c>
      <c r="H249" t="e">
        <f t="shared" si="24"/>
        <v>#N/A</v>
      </c>
      <c r="I249" t="e">
        <f t="shared" si="24"/>
        <v>#N/A</v>
      </c>
      <c r="J249" t="e">
        <f t="shared" si="24"/>
        <v>#N/A</v>
      </c>
      <c r="K249" t="e">
        <f t="shared" si="24"/>
        <v>#N/A</v>
      </c>
      <c r="L249" t="e">
        <f t="shared" si="24"/>
        <v>#N/A</v>
      </c>
      <c r="M249" t="e">
        <f t="shared" si="24"/>
        <v>#N/A</v>
      </c>
      <c r="N249" t="e">
        <f t="shared" si="24"/>
        <v>#N/A</v>
      </c>
      <c r="O249" t="e">
        <f t="shared" si="24"/>
        <v>#N/A</v>
      </c>
      <c r="P249" t="e">
        <f t="shared" si="24"/>
        <v>#N/A</v>
      </c>
    </row>
    <row r="250" spans="1:16" x14ac:dyDescent="0.25">
      <c r="A250" t="e">
        <f>CUBEMEMBER("pbiazure://api.powerbi.com 6e064a38-7f82-4416-9451-8d82a554b559 Model","[Facilities].[DATIMName].&amp;[Msitu wa Tembo Dispensary]")</f>
        <v>#N/A</v>
      </c>
      <c r="B250" t="e">
        <f t="shared" si="24"/>
        <v>#N/A</v>
      </c>
      <c r="C250" t="e">
        <f t="shared" si="24"/>
        <v>#N/A</v>
      </c>
      <c r="D250" t="e">
        <f t="shared" si="24"/>
        <v>#N/A</v>
      </c>
      <c r="E250" t="e">
        <f t="shared" si="24"/>
        <v>#N/A</v>
      </c>
      <c r="F250" t="e">
        <f t="shared" si="24"/>
        <v>#N/A</v>
      </c>
      <c r="G250" t="e">
        <f t="shared" si="24"/>
        <v>#N/A</v>
      </c>
      <c r="H250" t="e">
        <f t="shared" si="24"/>
        <v>#N/A</v>
      </c>
      <c r="I250" t="e">
        <f t="shared" si="24"/>
        <v>#N/A</v>
      </c>
      <c r="J250" t="e">
        <f t="shared" si="24"/>
        <v>#N/A</v>
      </c>
      <c r="K250" t="e">
        <f t="shared" si="24"/>
        <v>#N/A</v>
      </c>
      <c r="L250" t="e">
        <f t="shared" si="24"/>
        <v>#N/A</v>
      </c>
      <c r="M250" t="e">
        <f t="shared" si="24"/>
        <v>#N/A</v>
      </c>
      <c r="N250" t="e">
        <f t="shared" si="24"/>
        <v>#N/A</v>
      </c>
      <c r="O250" t="e">
        <f t="shared" si="24"/>
        <v>#N/A</v>
      </c>
      <c r="P250" t="e">
        <f t="shared" si="24"/>
        <v>#N/A</v>
      </c>
    </row>
    <row r="251" spans="1:16" x14ac:dyDescent="0.25">
      <c r="A251" t="e">
        <f>CUBEMEMBER("pbiazure://api.powerbi.com 6e064a38-7f82-4416-9451-8d82a554b559 Model","[Facilities].[DATIMName].&amp;[Msosa Dispensary]")</f>
        <v>#N/A</v>
      </c>
      <c r="B251" t="e">
        <f t="shared" si="24"/>
        <v>#N/A</v>
      </c>
      <c r="C251" t="e">
        <f t="shared" si="24"/>
        <v>#N/A</v>
      </c>
      <c r="D251" t="e">
        <f t="shared" si="24"/>
        <v>#N/A</v>
      </c>
      <c r="E251" t="e">
        <f t="shared" si="24"/>
        <v>#N/A</v>
      </c>
      <c r="F251" t="e">
        <f t="shared" si="24"/>
        <v>#N/A</v>
      </c>
      <c r="G251" t="e">
        <f t="shared" si="24"/>
        <v>#N/A</v>
      </c>
      <c r="H251" t="e">
        <f t="shared" si="24"/>
        <v>#N/A</v>
      </c>
      <c r="I251" t="e">
        <f t="shared" si="24"/>
        <v>#N/A</v>
      </c>
      <c r="J251" t="e">
        <f t="shared" si="24"/>
        <v>#N/A</v>
      </c>
      <c r="K251" t="e">
        <f t="shared" si="24"/>
        <v>#N/A</v>
      </c>
      <c r="L251" t="e">
        <f t="shared" si="24"/>
        <v>#N/A</v>
      </c>
      <c r="M251" t="e">
        <f t="shared" si="24"/>
        <v>#N/A</v>
      </c>
      <c r="N251" t="e">
        <f t="shared" si="24"/>
        <v>#N/A</v>
      </c>
      <c r="O251" t="e">
        <f t="shared" si="24"/>
        <v>#N/A</v>
      </c>
      <c r="P251" t="e">
        <f t="shared" si="24"/>
        <v>#N/A</v>
      </c>
    </row>
    <row r="252" spans="1:16" x14ac:dyDescent="0.25">
      <c r="A252" t="e">
        <f>CUBEMEMBER("pbiazure://api.powerbi.com 6e064a38-7f82-4416-9451-8d82a554b559 Model","[Facilities].[DATIMName].&amp;[Mt. Meru Hospital - Regional Referral Hospital]")</f>
        <v>#N/A</v>
      </c>
      <c r="B252" t="e">
        <f t="shared" si="24"/>
        <v>#N/A</v>
      </c>
      <c r="C252" t="e">
        <f t="shared" si="24"/>
        <v>#N/A</v>
      </c>
      <c r="D252" t="e">
        <f t="shared" si="24"/>
        <v>#N/A</v>
      </c>
      <c r="E252" t="e">
        <f t="shared" si="24"/>
        <v>#N/A</v>
      </c>
      <c r="F252" t="e">
        <f t="shared" si="24"/>
        <v>#N/A</v>
      </c>
      <c r="G252" t="e">
        <f t="shared" si="24"/>
        <v>#N/A</v>
      </c>
      <c r="H252" t="e">
        <f t="shared" si="24"/>
        <v>#N/A</v>
      </c>
      <c r="I252" t="e">
        <f t="shared" si="24"/>
        <v>#N/A</v>
      </c>
      <c r="J252" t="e">
        <f t="shared" si="24"/>
        <v>#N/A</v>
      </c>
      <c r="K252" t="e">
        <f t="shared" si="24"/>
        <v>#N/A</v>
      </c>
      <c r="L252" t="e">
        <f t="shared" si="24"/>
        <v>#N/A</v>
      </c>
      <c r="M252" t="e">
        <f t="shared" si="24"/>
        <v>#N/A</v>
      </c>
      <c r="N252" t="e">
        <f t="shared" si="24"/>
        <v>#N/A</v>
      </c>
      <c r="O252" t="e">
        <f t="shared" si="24"/>
        <v>#N/A</v>
      </c>
      <c r="P252" t="e">
        <f t="shared" si="24"/>
        <v>#N/A</v>
      </c>
    </row>
    <row r="253" spans="1:16" x14ac:dyDescent="0.25">
      <c r="A253" t="e">
        <f>CUBEMEMBER("pbiazure://api.powerbi.com 6e064a38-7f82-4416-9451-8d82a554b559 Model","[Facilities].[DATIMName].&amp;[Mtakuja Dispensary]")</f>
        <v>#N/A</v>
      </c>
      <c r="B253" t="e">
        <f t="shared" si="24"/>
        <v>#N/A</v>
      </c>
      <c r="C253" t="e">
        <f t="shared" si="24"/>
        <v>#N/A</v>
      </c>
      <c r="D253" t="e">
        <f t="shared" si="24"/>
        <v>#N/A</v>
      </c>
      <c r="E253" t="e">
        <f t="shared" si="24"/>
        <v>#N/A</v>
      </c>
      <c r="F253" t="e">
        <f t="shared" si="24"/>
        <v>#N/A</v>
      </c>
      <c r="G253" t="e">
        <f t="shared" si="24"/>
        <v>#N/A</v>
      </c>
      <c r="H253" t="e">
        <f t="shared" si="24"/>
        <v>#N/A</v>
      </c>
      <c r="I253" t="e">
        <f t="shared" si="24"/>
        <v>#N/A</v>
      </c>
      <c r="J253" t="e">
        <f t="shared" si="24"/>
        <v>#N/A</v>
      </c>
      <c r="K253" t="e">
        <f t="shared" si="24"/>
        <v>#N/A</v>
      </c>
      <c r="L253" t="e">
        <f t="shared" si="24"/>
        <v>#N/A</v>
      </c>
      <c r="M253" t="e">
        <f t="shared" si="24"/>
        <v>#N/A</v>
      </c>
      <c r="N253" t="e">
        <f t="shared" si="24"/>
        <v>#N/A</v>
      </c>
      <c r="O253" t="e">
        <f t="shared" si="24"/>
        <v>#N/A</v>
      </c>
      <c r="P253" t="e">
        <f t="shared" si="24"/>
        <v>#N/A</v>
      </c>
    </row>
    <row r="254" spans="1:16" x14ac:dyDescent="0.25">
      <c r="A254" t="e">
        <f>CUBEMEMBER("pbiazure://api.powerbi.com 6e064a38-7f82-4416-9451-8d82a554b559 Model","[Facilities].[DATIMName].&amp;[Mtanana A Dispensary]")</f>
        <v>#N/A</v>
      </c>
      <c r="B254" t="e">
        <f t="shared" si="24"/>
        <v>#N/A</v>
      </c>
      <c r="C254" t="e">
        <f t="shared" si="24"/>
        <v>#N/A</v>
      </c>
      <c r="D254" t="e">
        <f t="shared" si="24"/>
        <v>#N/A</v>
      </c>
      <c r="E254" t="e">
        <f t="shared" si="24"/>
        <v>#N/A</v>
      </c>
      <c r="F254" t="e">
        <f t="shared" si="24"/>
        <v>#N/A</v>
      </c>
      <c r="G254" t="e">
        <f t="shared" si="24"/>
        <v>#N/A</v>
      </c>
      <c r="H254" t="e">
        <f t="shared" si="24"/>
        <v>#N/A</v>
      </c>
      <c r="I254" t="e">
        <f t="shared" si="24"/>
        <v>#N/A</v>
      </c>
      <c r="J254" t="e">
        <f t="shared" si="24"/>
        <v>#N/A</v>
      </c>
      <c r="K254" t="e">
        <f t="shared" si="24"/>
        <v>#N/A</v>
      </c>
      <c r="L254" t="e">
        <f t="shared" si="24"/>
        <v>#N/A</v>
      </c>
      <c r="M254" t="e">
        <f t="shared" si="24"/>
        <v>#N/A</v>
      </c>
      <c r="N254" t="e">
        <f t="shared" si="24"/>
        <v>#N/A</v>
      </c>
      <c r="O254" t="e">
        <f t="shared" si="24"/>
        <v>#N/A</v>
      </c>
      <c r="P254" t="e">
        <f t="shared" si="24"/>
        <v>#N/A</v>
      </c>
    </row>
    <row r="255" spans="1:16" x14ac:dyDescent="0.25">
      <c r="A255" t="e">
        <f>CUBEMEMBER("pbiazure://api.powerbi.com 6e064a38-7f82-4416-9451-8d82a554b559 Model","[Facilities].[DATIMName].&amp;[Mtitaa Health Center]")</f>
        <v>#N/A</v>
      </c>
      <c r="B255" t="e">
        <f t="shared" ref="B255:P264" si="25">CUBEVALUE("pbiazure://api.powerbi.com 6e064a38-7f82-4416-9451-8d82a554b559 Model",$B$1,$A255,B$4)</f>
        <v>#N/A</v>
      </c>
      <c r="C255" t="e">
        <f t="shared" si="25"/>
        <v>#N/A</v>
      </c>
      <c r="D255" t="e">
        <f t="shared" si="25"/>
        <v>#N/A</v>
      </c>
      <c r="E255" t="e">
        <f t="shared" si="25"/>
        <v>#N/A</v>
      </c>
      <c r="F255" t="e">
        <f t="shared" si="25"/>
        <v>#N/A</v>
      </c>
      <c r="G255" t="e">
        <f t="shared" si="25"/>
        <v>#N/A</v>
      </c>
      <c r="H255" t="e">
        <f t="shared" si="25"/>
        <v>#N/A</v>
      </c>
      <c r="I255" t="e">
        <f t="shared" si="25"/>
        <v>#N/A</v>
      </c>
      <c r="J255" t="e">
        <f t="shared" si="25"/>
        <v>#N/A</v>
      </c>
      <c r="K255" t="e">
        <f t="shared" si="25"/>
        <v>#N/A</v>
      </c>
      <c r="L255" t="e">
        <f t="shared" si="25"/>
        <v>#N/A</v>
      </c>
      <c r="M255" t="e">
        <f t="shared" si="25"/>
        <v>#N/A</v>
      </c>
      <c r="N255" t="e">
        <f t="shared" si="25"/>
        <v>#N/A</v>
      </c>
      <c r="O255" t="e">
        <f t="shared" si="25"/>
        <v>#N/A</v>
      </c>
      <c r="P255" t="e">
        <f t="shared" si="25"/>
        <v>#N/A</v>
      </c>
    </row>
    <row r="256" spans="1:16" x14ac:dyDescent="0.25">
      <c r="A256" t="e">
        <f>CUBEMEMBER("pbiazure://api.powerbi.com 6e064a38-7f82-4416-9451-8d82a554b559 Model","[Facilities].[DATIMName].&amp;[Mto wa Mbu Health Center]")</f>
        <v>#N/A</v>
      </c>
      <c r="B256" t="e">
        <f t="shared" si="25"/>
        <v>#N/A</v>
      </c>
      <c r="C256" t="e">
        <f t="shared" si="25"/>
        <v>#N/A</v>
      </c>
      <c r="D256" t="e">
        <f t="shared" si="25"/>
        <v>#N/A</v>
      </c>
      <c r="E256" t="e">
        <f t="shared" si="25"/>
        <v>#N/A</v>
      </c>
      <c r="F256" t="e">
        <f t="shared" si="25"/>
        <v>#N/A</v>
      </c>
      <c r="G256" t="e">
        <f t="shared" si="25"/>
        <v>#N/A</v>
      </c>
      <c r="H256" t="e">
        <f t="shared" si="25"/>
        <v>#N/A</v>
      </c>
      <c r="I256" t="e">
        <f t="shared" si="25"/>
        <v>#N/A</v>
      </c>
      <c r="J256" t="e">
        <f t="shared" si="25"/>
        <v>#N/A</v>
      </c>
      <c r="K256" t="e">
        <f t="shared" si="25"/>
        <v>#N/A</v>
      </c>
      <c r="L256" t="e">
        <f t="shared" si="25"/>
        <v>#N/A</v>
      </c>
      <c r="M256" t="e">
        <f t="shared" si="25"/>
        <v>#N/A</v>
      </c>
      <c r="N256" t="e">
        <f t="shared" si="25"/>
        <v>#N/A</v>
      </c>
      <c r="O256" t="e">
        <f t="shared" si="25"/>
        <v>#N/A</v>
      </c>
      <c r="P256" t="e">
        <f t="shared" si="25"/>
        <v>#N/A</v>
      </c>
    </row>
    <row r="257" spans="1:16" x14ac:dyDescent="0.25">
      <c r="A257" t="e">
        <f>CUBEMEMBER("pbiazure://api.powerbi.com 6e064a38-7f82-4416-9451-8d82a554b559 Model","[Facilities].[DATIMName].&amp;[Mto wa Mbu RC Dispensary]")</f>
        <v>#N/A</v>
      </c>
      <c r="B257" t="e">
        <f t="shared" si="25"/>
        <v>#N/A</v>
      </c>
      <c r="C257" t="e">
        <f t="shared" si="25"/>
        <v>#N/A</v>
      </c>
      <c r="D257" t="e">
        <f t="shared" si="25"/>
        <v>#N/A</v>
      </c>
      <c r="E257" t="e">
        <f t="shared" si="25"/>
        <v>#N/A</v>
      </c>
      <c r="F257" t="e">
        <f t="shared" si="25"/>
        <v>#N/A</v>
      </c>
      <c r="G257" t="e">
        <f t="shared" si="25"/>
        <v>#N/A</v>
      </c>
      <c r="H257" t="e">
        <f t="shared" si="25"/>
        <v>#N/A</v>
      </c>
      <c r="I257" t="e">
        <f t="shared" si="25"/>
        <v>#N/A</v>
      </c>
      <c r="J257" t="e">
        <f t="shared" si="25"/>
        <v>#N/A</v>
      </c>
      <c r="K257" t="e">
        <f t="shared" si="25"/>
        <v>#N/A</v>
      </c>
      <c r="L257" t="e">
        <f t="shared" si="25"/>
        <v>#N/A</v>
      </c>
      <c r="M257" t="e">
        <f t="shared" si="25"/>
        <v>#N/A</v>
      </c>
      <c r="N257" t="e">
        <f t="shared" si="25"/>
        <v>#N/A</v>
      </c>
      <c r="O257" t="e">
        <f t="shared" si="25"/>
        <v>#N/A</v>
      </c>
      <c r="P257" t="e">
        <f t="shared" si="25"/>
        <v>#N/A</v>
      </c>
    </row>
    <row r="258" spans="1:16" x14ac:dyDescent="0.25">
      <c r="A258" t="e">
        <f>CUBEMEMBER("pbiazure://api.powerbi.com 6e064a38-7f82-4416-9451-8d82a554b559 Model","[Facilities].[DATIMName].&amp;[Mtoa Dispensary]")</f>
        <v>#N/A</v>
      </c>
      <c r="B258" t="e">
        <f t="shared" si="25"/>
        <v>#N/A</v>
      </c>
      <c r="C258" t="e">
        <f t="shared" si="25"/>
        <v>#N/A</v>
      </c>
      <c r="D258" t="e">
        <f t="shared" si="25"/>
        <v>#N/A</v>
      </c>
      <c r="E258" t="e">
        <f t="shared" si="25"/>
        <v>#N/A</v>
      </c>
      <c r="F258" t="e">
        <f t="shared" si="25"/>
        <v>#N/A</v>
      </c>
      <c r="G258" t="e">
        <f t="shared" si="25"/>
        <v>#N/A</v>
      </c>
      <c r="H258" t="e">
        <f t="shared" si="25"/>
        <v>#N/A</v>
      </c>
      <c r="I258" t="e">
        <f t="shared" si="25"/>
        <v>#N/A</v>
      </c>
      <c r="J258" t="e">
        <f t="shared" si="25"/>
        <v>#N/A</v>
      </c>
      <c r="K258" t="e">
        <f t="shared" si="25"/>
        <v>#N/A</v>
      </c>
      <c r="L258" t="e">
        <f t="shared" si="25"/>
        <v>#N/A</v>
      </c>
      <c r="M258" t="e">
        <f t="shared" si="25"/>
        <v>#N/A</v>
      </c>
      <c r="N258" t="e">
        <f t="shared" si="25"/>
        <v>#N/A</v>
      </c>
      <c r="O258" t="e">
        <f t="shared" si="25"/>
        <v>#N/A</v>
      </c>
      <c r="P258" t="e">
        <f t="shared" si="25"/>
        <v>#N/A</v>
      </c>
    </row>
    <row r="259" spans="1:16" x14ac:dyDescent="0.25">
      <c r="A259" t="e">
        <f>CUBEMEMBER("pbiazure://api.powerbi.com 6e064a38-7f82-4416-9451-8d82a554b559 Model","[Facilities].[DATIMName].&amp;[Mundarara Dispensary]")</f>
        <v>#N/A</v>
      </c>
      <c r="B259" t="e">
        <f t="shared" si="25"/>
        <v>#N/A</v>
      </c>
      <c r="C259" t="e">
        <f t="shared" si="25"/>
        <v>#N/A</v>
      </c>
      <c r="D259" t="e">
        <f t="shared" si="25"/>
        <v>#N/A</v>
      </c>
      <c r="E259" t="e">
        <f t="shared" si="25"/>
        <v>#N/A</v>
      </c>
      <c r="F259" t="e">
        <f t="shared" si="25"/>
        <v>#N/A</v>
      </c>
      <c r="G259" t="e">
        <f t="shared" si="25"/>
        <v>#N/A</v>
      </c>
      <c r="H259" t="e">
        <f t="shared" si="25"/>
        <v>#N/A</v>
      </c>
      <c r="I259" t="e">
        <f t="shared" si="25"/>
        <v>#N/A</v>
      </c>
      <c r="J259" t="e">
        <f t="shared" si="25"/>
        <v>#N/A</v>
      </c>
      <c r="K259" t="e">
        <f t="shared" si="25"/>
        <v>#N/A</v>
      </c>
      <c r="L259" t="e">
        <f t="shared" si="25"/>
        <v>#N/A</v>
      </c>
      <c r="M259" t="e">
        <f t="shared" si="25"/>
        <v>#N/A</v>
      </c>
      <c r="N259" t="e">
        <f t="shared" si="25"/>
        <v>#N/A</v>
      </c>
      <c r="O259" t="e">
        <f t="shared" si="25"/>
        <v>#N/A</v>
      </c>
      <c r="P259" t="e">
        <f t="shared" si="25"/>
        <v>#N/A</v>
      </c>
    </row>
    <row r="260" spans="1:16" x14ac:dyDescent="0.25">
      <c r="A260" t="e">
        <f>CUBEMEMBER("pbiazure://api.powerbi.com 6e064a38-7f82-4416-9451-8d82a554b559 Model","[Facilities].[DATIMName].&amp;[Mundemu Health Center]")</f>
        <v>#N/A</v>
      </c>
      <c r="B260" t="e">
        <f t="shared" si="25"/>
        <v>#N/A</v>
      </c>
      <c r="C260" t="e">
        <f t="shared" si="25"/>
        <v>#N/A</v>
      </c>
      <c r="D260" t="e">
        <f t="shared" si="25"/>
        <v>#N/A</v>
      </c>
      <c r="E260" t="e">
        <f t="shared" si="25"/>
        <v>#N/A</v>
      </c>
      <c r="F260" t="e">
        <f t="shared" si="25"/>
        <v>#N/A</v>
      </c>
      <c r="G260" t="e">
        <f t="shared" si="25"/>
        <v>#N/A</v>
      </c>
      <c r="H260" t="e">
        <f t="shared" si="25"/>
        <v>#N/A</v>
      </c>
      <c r="I260" t="e">
        <f t="shared" si="25"/>
        <v>#N/A</v>
      </c>
      <c r="J260" t="e">
        <f t="shared" si="25"/>
        <v>#N/A</v>
      </c>
      <c r="K260" t="e">
        <f t="shared" si="25"/>
        <v>#N/A</v>
      </c>
      <c r="L260" t="e">
        <f t="shared" si="25"/>
        <v>#N/A</v>
      </c>
      <c r="M260" t="e">
        <f t="shared" si="25"/>
        <v>#N/A</v>
      </c>
      <c r="N260" t="e">
        <f t="shared" si="25"/>
        <v>#N/A</v>
      </c>
      <c r="O260" t="e">
        <f t="shared" si="25"/>
        <v>#N/A</v>
      </c>
      <c r="P260" t="e">
        <f t="shared" si="25"/>
        <v>#N/A</v>
      </c>
    </row>
    <row r="261" spans="1:16" x14ac:dyDescent="0.25">
      <c r="A261" t="e">
        <f>CUBEMEMBER("pbiazure://api.powerbi.com 6e064a38-7f82-4416-9451-8d82a554b559 Model","[Facilities].[DATIMName].&amp;[Mvumi Mission Hospital - Designated District Hospital]")</f>
        <v>#N/A</v>
      </c>
      <c r="B261" t="e">
        <f t="shared" si="25"/>
        <v>#N/A</v>
      </c>
      <c r="C261" t="e">
        <f t="shared" si="25"/>
        <v>#N/A</v>
      </c>
      <c r="D261" t="e">
        <f t="shared" si="25"/>
        <v>#N/A</v>
      </c>
      <c r="E261" t="e">
        <f t="shared" si="25"/>
        <v>#N/A</v>
      </c>
      <c r="F261" t="e">
        <f t="shared" si="25"/>
        <v>#N/A</v>
      </c>
      <c r="G261" t="e">
        <f t="shared" si="25"/>
        <v>#N/A</v>
      </c>
      <c r="H261" t="e">
        <f t="shared" si="25"/>
        <v>#N/A</v>
      </c>
      <c r="I261" t="e">
        <f t="shared" si="25"/>
        <v>#N/A</v>
      </c>
      <c r="J261" t="e">
        <f t="shared" si="25"/>
        <v>#N/A</v>
      </c>
      <c r="K261" t="e">
        <f t="shared" si="25"/>
        <v>#N/A</v>
      </c>
      <c r="L261" t="e">
        <f t="shared" si="25"/>
        <v>#N/A</v>
      </c>
      <c r="M261" t="e">
        <f t="shared" si="25"/>
        <v>#N/A</v>
      </c>
      <c r="N261" t="e">
        <f t="shared" si="25"/>
        <v>#N/A</v>
      </c>
      <c r="O261" t="e">
        <f t="shared" si="25"/>
        <v>#N/A</v>
      </c>
      <c r="P261" t="e">
        <f t="shared" si="25"/>
        <v>#N/A</v>
      </c>
    </row>
    <row r="262" spans="1:16" x14ac:dyDescent="0.25">
      <c r="A262" t="e">
        <f>CUBEMEMBER("pbiazure://api.powerbi.com 6e064a38-7f82-4416-9451-8d82a554b559 Model","[Facilities].[DATIMName].&amp;[Mwada Dispensary]")</f>
        <v>#N/A</v>
      </c>
      <c r="B262" t="e">
        <f t="shared" si="25"/>
        <v>#N/A</v>
      </c>
      <c r="C262" t="e">
        <f t="shared" si="25"/>
        <v>#N/A</v>
      </c>
      <c r="D262" t="e">
        <f t="shared" si="25"/>
        <v>#N/A</v>
      </c>
      <c r="E262" t="e">
        <f t="shared" si="25"/>
        <v>#N/A</v>
      </c>
      <c r="F262" t="e">
        <f t="shared" si="25"/>
        <v>#N/A</v>
      </c>
      <c r="G262" t="e">
        <f t="shared" si="25"/>
        <v>#N/A</v>
      </c>
      <c r="H262" t="e">
        <f t="shared" si="25"/>
        <v>#N/A</v>
      </c>
      <c r="I262" t="e">
        <f t="shared" si="25"/>
        <v>#N/A</v>
      </c>
      <c r="J262" t="e">
        <f t="shared" si="25"/>
        <v>#N/A</v>
      </c>
      <c r="K262" t="e">
        <f t="shared" si="25"/>
        <v>#N/A</v>
      </c>
      <c r="L262" t="e">
        <f t="shared" si="25"/>
        <v>#N/A</v>
      </c>
      <c r="M262" t="e">
        <f t="shared" si="25"/>
        <v>#N/A</v>
      </c>
      <c r="N262" t="e">
        <f t="shared" si="25"/>
        <v>#N/A</v>
      </c>
      <c r="O262" t="e">
        <f t="shared" si="25"/>
        <v>#N/A</v>
      </c>
      <c r="P262" t="e">
        <f t="shared" si="25"/>
        <v>#N/A</v>
      </c>
    </row>
    <row r="263" spans="1:16" x14ac:dyDescent="0.25">
      <c r="A263" t="e">
        <f>CUBEMEMBER("pbiazure://api.powerbi.com 6e064a38-7f82-4416-9451-8d82a554b559 Model","[Facilities].[DATIMName].&amp;[Mwamagembe Dispensary]")</f>
        <v>#N/A</v>
      </c>
      <c r="B263" t="e">
        <f t="shared" si="25"/>
        <v>#N/A</v>
      </c>
      <c r="C263" t="e">
        <f t="shared" si="25"/>
        <v>#N/A</v>
      </c>
      <c r="D263" t="e">
        <f t="shared" si="25"/>
        <v>#N/A</v>
      </c>
      <c r="E263" t="e">
        <f t="shared" si="25"/>
        <v>#N/A</v>
      </c>
      <c r="F263" t="e">
        <f t="shared" si="25"/>
        <v>#N/A</v>
      </c>
      <c r="G263" t="e">
        <f t="shared" si="25"/>
        <v>#N/A</v>
      </c>
      <c r="H263" t="e">
        <f t="shared" si="25"/>
        <v>#N/A</v>
      </c>
      <c r="I263" t="e">
        <f t="shared" si="25"/>
        <v>#N/A</v>
      </c>
      <c r="J263" t="e">
        <f t="shared" si="25"/>
        <v>#N/A</v>
      </c>
      <c r="K263" t="e">
        <f t="shared" si="25"/>
        <v>#N/A</v>
      </c>
      <c r="L263" t="e">
        <f t="shared" si="25"/>
        <v>#N/A</v>
      </c>
      <c r="M263" t="e">
        <f t="shared" si="25"/>
        <v>#N/A</v>
      </c>
      <c r="N263" t="e">
        <f t="shared" si="25"/>
        <v>#N/A</v>
      </c>
      <c r="O263" t="e">
        <f t="shared" si="25"/>
        <v>#N/A</v>
      </c>
      <c r="P263" t="e">
        <f t="shared" si="25"/>
        <v>#N/A</v>
      </c>
    </row>
    <row r="264" spans="1:16" x14ac:dyDescent="0.25">
      <c r="A264" t="e">
        <f>CUBEMEMBER("pbiazure://api.powerbi.com 6e064a38-7f82-4416-9451-8d82a554b559 Model","[Facilities].[DATIMName].&amp;[Mwana Kianga Dispensary]")</f>
        <v>#N/A</v>
      </c>
      <c r="B264" t="e">
        <f t="shared" si="25"/>
        <v>#N/A</v>
      </c>
      <c r="C264" t="e">
        <f t="shared" si="25"/>
        <v>#N/A</v>
      </c>
      <c r="D264" t="e">
        <f t="shared" si="25"/>
        <v>#N/A</v>
      </c>
      <c r="E264" t="e">
        <f t="shared" si="25"/>
        <v>#N/A</v>
      </c>
      <c r="F264" t="e">
        <f t="shared" si="25"/>
        <v>#N/A</v>
      </c>
      <c r="G264" t="e">
        <f t="shared" si="25"/>
        <v>#N/A</v>
      </c>
      <c r="H264" t="e">
        <f t="shared" si="25"/>
        <v>#N/A</v>
      </c>
      <c r="I264" t="e">
        <f t="shared" si="25"/>
        <v>#N/A</v>
      </c>
      <c r="J264" t="e">
        <f t="shared" si="25"/>
        <v>#N/A</v>
      </c>
      <c r="K264" t="e">
        <f t="shared" si="25"/>
        <v>#N/A</v>
      </c>
      <c r="L264" t="e">
        <f t="shared" si="25"/>
        <v>#N/A</v>
      </c>
      <c r="M264" t="e">
        <f t="shared" si="25"/>
        <v>#N/A</v>
      </c>
      <c r="N264" t="e">
        <f t="shared" si="25"/>
        <v>#N/A</v>
      </c>
      <c r="O264" t="e">
        <f t="shared" si="25"/>
        <v>#N/A</v>
      </c>
      <c r="P264" t="e">
        <f t="shared" si="25"/>
        <v>#N/A</v>
      </c>
    </row>
    <row r="265" spans="1:16" x14ac:dyDescent="0.25">
      <c r="A265" t="e">
        <f>CUBEMEMBER("pbiazure://api.powerbi.com 6e064a38-7f82-4416-9451-8d82a554b559 Model","[Facilities].[DATIMName].&amp;[Mwandet Dispensary]")</f>
        <v>#N/A</v>
      </c>
      <c r="B265" t="e">
        <f t="shared" ref="B265:P274" si="26">CUBEVALUE("pbiazure://api.powerbi.com 6e064a38-7f82-4416-9451-8d82a554b559 Model",$B$1,$A265,B$4)</f>
        <v>#N/A</v>
      </c>
      <c r="C265" t="e">
        <f t="shared" si="26"/>
        <v>#N/A</v>
      </c>
      <c r="D265" t="e">
        <f t="shared" si="26"/>
        <v>#N/A</v>
      </c>
      <c r="E265" t="e">
        <f t="shared" si="26"/>
        <v>#N/A</v>
      </c>
      <c r="F265" t="e">
        <f t="shared" si="26"/>
        <v>#N/A</v>
      </c>
      <c r="G265" t="e">
        <f t="shared" si="26"/>
        <v>#N/A</v>
      </c>
      <c r="H265" t="e">
        <f t="shared" si="26"/>
        <v>#N/A</v>
      </c>
      <c r="I265" t="e">
        <f t="shared" si="26"/>
        <v>#N/A</v>
      </c>
      <c r="J265" t="e">
        <f t="shared" si="26"/>
        <v>#N/A</v>
      </c>
      <c r="K265" t="e">
        <f t="shared" si="26"/>
        <v>#N/A</v>
      </c>
      <c r="L265" t="e">
        <f t="shared" si="26"/>
        <v>#N/A</v>
      </c>
      <c r="M265" t="e">
        <f t="shared" si="26"/>
        <v>#N/A</v>
      </c>
      <c r="N265" t="e">
        <f t="shared" si="26"/>
        <v>#N/A</v>
      </c>
      <c r="O265" t="e">
        <f t="shared" si="26"/>
        <v>#N/A</v>
      </c>
      <c r="P265" t="e">
        <f t="shared" si="26"/>
        <v>#N/A</v>
      </c>
    </row>
    <row r="266" spans="1:16" x14ac:dyDescent="0.25">
      <c r="A266" t="e">
        <f>CUBEMEMBER("pbiazure://api.powerbi.com 6e064a38-7f82-4416-9451-8d82a554b559 Model","[Facilities].[DATIMName].&amp;[Mwanga Health Center]")</f>
        <v>#N/A</v>
      </c>
      <c r="B266" t="e">
        <f t="shared" si="26"/>
        <v>#N/A</v>
      </c>
      <c r="C266" t="e">
        <f t="shared" si="26"/>
        <v>#N/A</v>
      </c>
      <c r="D266" t="e">
        <f t="shared" si="26"/>
        <v>#N/A</v>
      </c>
      <c r="E266" t="e">
        <f t="shared" si="26"/>
        <v>#N/A</v>
      </c>
      <c r="F266" t="e">
        <f t="shared" si="26"/>
        <v>#N/A</v>
      </c>
      <c r="G266" t="e">
        <f t="shared" si="26"/>
        <v>#N/A</v>
      </c>
      <c r="H266" t="e">
        <f t="shared" si="26"/>
        <v>#N/A</v>
      </c>
      <c r="I266" t="e">
        <f t="shared" si="26"/>
        <v>#N/A</v>
      </c>
      <c r="J266" t="e">
        <f t="shared" si="26"/>
        <v>#N/A</v>
      </c>
      <c r="K266" t="e">
        <f t="shared" si="26"/>
        <v>#N/A</v>
      </c>
      <c r="L266" t="e">
        <f t="shared" si="26"/>
        <v>#N/A</v>
      </c>
      <c r="M266" t="e">
        <f t="shared" si="26"/>
        <v>#N/A</v>
      </c>
      <c r="N266" t="e">
        <f t="shared" si="26"/>
        <v>#N/A</v>
      </c>
      <c r="O266" t="e">
        <f t="shared" si="26"/>
        <v>#N/A</v>
      </c>
      <c r="P266" t="e">
        <f t="shared" si="26"/>
        <v>#N/A</v>
      </c>
    </row>
    <row r="267" spans="1:16" x14ac:dyDescent="0.25">
      <c r="A267" t="e">
        <f>CUBEMEMBER("pbiazure://api.powerbi.com 6e064a38-7f82-4416-9451-8d82a554b559 Model","[Facilities].[DATIMName].&amp;[Mwika Health Center]")</f>
        <v>#N/A</v>
      </c>
      <c r="B267" t="e">
        <f t="shared" si="26"/>
        <v>#N/A</v>
      </c>
      <c r="C267" t="e">
        <f t="shared" si="26"/>
        <v>#N/A</v>
      </c>
      <c r="D267" t="e">
        <f t="shared" si="26"/>
        <v>#N/A</v>
      </c>
      <c r="E267" t="e">
        <f t="shared" si="26"/>
        <v>#N/A</v>
      </c>
      <c r="F267" t="e">
        <f t="shared" si="26"/>
        <v>#N/A</v>
      </c>
      <c r="G267" t="e">
        <f t="shared" si="26"/>
        <v>#N/A</v>
      </c>
      <c r="H267" t="e">
        <f t="shared" si="26"/>
        <v>#N/A</v>
      </c>
      <c r="I267" t="e">
        <f t="shared" si="26"/>
        <v>#N/A</v>
      </c>
      <c r="J267" t="e">
        <f t="shared" si="26"/>
        <v>#N/A</v>
      </c>
      <c r="K267" t="e">
        <f t="shared" si="26"/>
        <v>#N/A</v>
      </c>
      <c r="L267" t="e">
        <f t="shared" si="26"/>
        <v>#N/A</v>
      </c>
      <c r="M267" t="e">
        <f t="shared" si="26"/>
        <v>#N/A</v>
      </c>
      <c r="N267" t="e">
        <f t="shared" si="26"/>
        <v>#N/A</v>
      </c>
      <c r="O267" t="e">
        <f t="shared" si="26"/>
        <v>#N/A</v>
      </c>
      <c r="P267" t="e">
        <f t="shared" si="26"/>
        <v>#N/A</v>
      </c>
    </row>
    <row r="268" spans="1:16" x14ac:dyDescent="0.25">
      <c r="A268" t="e">
        <f>CUBEMEMBER("pbiazure://api.powerbi.com 6e064a38-7f82-4416-9451-8d82a554b559 Model","[Facilities].[DATIMName].&amp;[Naberera Health Center]")</f>
        <v>#N/A</v>
      </c>
      <c r="B268" t="e">
        <f t="shared" si="26"/>
        <v>#N/A</v>
      </c>
      <c r="C268" t="e">
        <f t="shared" si="26"/>
        <v>#N/A</v>
      </c>
      <c r="D268" t="e">
        <f t="shared" si="26"/>
        <v>#N/A</v>
      </c>
      <c r="E268" t="e">
        <f t="shared" si="26"/>
        <v>#N/A</v>
      </c>
      <c r="F268" t="e">
        <f t="shared" si="26"/>
        <v>#N/A</v>
      </c>
      <c r="G268" t="e">
        <f t="shared" si="26"/>
        <v>#N/A</v>
      </c>
      <c r="H268" t="e">
        <f t="shared" si="26"/>
        <v>#N/A</v>
      </c>
      <c r="I268" t="e">
        <f t="shared" si="26"/>
        <v>#N/A</v>
      </c>
      <c r="J268" t="e">
        <f t="shared" si="26"/>
        <v>#N/A</v>
      </c>
      <c r="K268" t="e">
        <f t="shared" si="26"/>
        <v>#N/A</v>
      </c>
      <c r="L268" t="e">
        <f t="shared" si="26"/>
        <v>#N/A</v>
      </c>
      <c r="M268" t="e">
        <f t="shared" si="26"/>
        <v>#N/A</v>
      </c>
      <c r="N268" t="e">
        <f t="shared" si="26"/>
        <v>#N/A</v>
      </c>
      <c r="O268" t="e">
        <f t="shared" si="26"/>
        <v>#N/A</v>
      </c>
      <c r="P268" t="e">
        <f t="shared" si="26"/>
        <v>#N/A</v>
      </c>
    </row>
    <row r="269" spans="1:16" x14ac:dyDescent="0.25">
      <c r="A269" t="e">
        <f>CUBEMEMBER("pbiazure://api.powerbi.com 6e064a38-7f82-4416-9451-8d82a554b559 Model","[Facilities].[DATIMName].&amp;[Naibili Dispensary]")</f>
        <v>#N/A</v>
      </c>
      <c r="B269" t="e">
        <f t="shared" si="26"/>
        <v>#N/A</v>
      </c>
      <c r="C269" t="e">
        <f t="shared" si="26"/>
        <v>#N/A</v>
      </c>
      <c r="D269" t="e">
        <f t="shared" si="26"/>
        <v>#N/A</v>
      </c>
      <c r="E269" t="e">
        <f t="shared" si="26"/>
        <v>#N/A</v>
      </c>
      <c r="F269" t="e">
        <f t="shared" si="26"/>
        <v>#N/A</v>
      </c>
      <c r="G269" t="e">
        <f t="shared" si="26"/>
        <v>#N/A</v>
      </c>
      <c r="H269" t="e">
        <f t="shared" si="26"/>
        <v>#N/A</v>
      </c>
      <c r="I269" t="e">
        <f t="shared" si="26"/>
        <v>#N/A</v>
      </c>
      <c r="J269" t="e">
        <f t="shared" si="26"/>
        <v>#N/A</v>
      </c>
      <c r="K269" t="e">
        <f t="shared" si="26"/>
        <v>#N/A</v>
      </c>
      <c r="L269" t="e">
        <f t="shared" si="26"/>
        <v>#N/A</v>
      </c>
      <c r="M269" t="e">
        <f t="shared" si="26"/>
        <v>#N/A</v>
      </c>
      <c r="N269" t="e">
        <f t="shared" si="26"/>
        <v>#N/A</v>
      </c>
      <c r="O269" t="e">
        <f t="shared" si="26"/>
        <v>#N/A</v>
      </c>
      <c r="P269" t="e">
        <f t="shared" si="26"/>
        <v>#N/A</v>
      </c>
    </row>
    <row r="270" spans="1:16" x14ac:dyDescent="0.25">
      <c r="A270" t="e">
        <f>CUBEMEMBER("pbiazure://api.powerbi.com 6e064a38-7f82-4416-9451-8d82a554b559 Model","[Facilities].[DATIMName].&amp;[Nainokanoka Health Center]")</f>
        <v>#N/A</v>
      </c>
      <c r="B270" t="e">
        <f t="shared" si="26"/>
        <v>#N/A</v>
      </c>
      <c r="C270" t="e">
        <f t="shared" si="26"/>
        <v>#N/A</v>
      </c>
      <c r="D270" t="e">
        <f t="shared" si="26"/>
        <v>#N/A</v>
      </c>
      <c r="E270" t="e">
        <f t="shared" si="26"/>
        <v>#N/A</v>
      </c>
      <c r="F270" t="e">
        <f t="shared" si="26"/>
        <v>#N/A</v>
      </c>
      <c r="G270" t="e">
        <f t="shared" si="26"/>
        <v>#N/A</v>
      </c>
      <c r="H270" t="e">
        <f t="shared" si="26"/>
        <v>#N/A</v>
      </c>
      <c r="I270" t="e">
        <f t="shared" si="26"/>
        <v>#N/A</v>
      </c>
      <c r="J270" t="e">
        <f t="shared" si="26"/>
        <v>#N/A</v>
      </c>
      <c r="K270" t="e">
        <f t="shared" si="26"/>
        <v>#N/A</v>
      </c>
      <c r="L270" t="e">
        <f t="shared" si="26"/>
        <v>#N/A</v>
      </c>
      <c r="M270" t="e">
        <f t="shared" si="26"/>
        <v>#N/A</v>
      </c>
      <c r="N270" t="e">
        <f t="shared" si="26"/>
        <v>#N/A</v>
      </c>
      <c r="O270" t="e">
        <f t="shared" si="26"/>
        <v>#N/A</v>
      </c>
      <c r="P270" t="e">
        <f t="shared" si="26"/>
        <v>#N/A</v>
      </c>
    </row>
    <row r="271" spans="1:16" x14ac:dyDescent="0.25">
      <c r="A271" t="e">
        <f>CUBEMEMBER("pbiazure://api.powerbi.com 6e064a38-7f82-4416-9451-8d82a554b559 Model","[Facilities].[DATIMName].&amp;[Naisinyai Dispensary]")</f>
        <v>#N/A</v>
      </c>
      <c r="B271" t="e">
        <f t="shared" si="26"/>
        <v>#N/A</v>
      </c>
      <c r="C271" t="e">
        <f t="shared" si="26"/>
        <v>#N/A</v>
      </c>
      <c r="D271" t="e">
        <f t="shared" si="26"/>
        <v>#N/A</v>
      </c>
      <c r="E271" t="e">
        <f t="shared" si="26"/>
        <v>#N/A</v>
      </c>
      <c r="F271" t="e">
        <f t="shared" si="26"/>
        <v>#N/A</v>
      </c>
      <c r="G271" t="e">
        <f t="shared" si="26"/>
        <v>#N/A</v>
      </c>
      <c r="H271" t="e">
        <f t="shared" si="26"/>
        <v>#N/A</v>
      </c>
      <c r="I271" t="e">
        <f t="shared" si="26"/>
        <v>#N/A</v>
      </c>
      <c r="J271" t="e">
        <f t="shared" si="26"/>
        <v>#N/A</v>
      </c>
      <c r="K271" t="e">
        <f t="shared" si="26"/>
        <v>#N/A</v>
      </c>
      <c r="L271" t="e">
        <f t="shared" si="26"/>
        <v>#N/A</v>
      </c>
      <c r="M271" t="e">
        <f t="shared" si="26"/>
        <v>#N/A</v>
      </c>
      <c r="N271" t="e">
        <f t="shared" si="26"/>
        <v>#N/A</v>
      </c>
      <c r="O271" t="e">
        <f t="shared" si="26"/>
        <v>#N/A</v>
      </c>
      <c r="P271" t="e">
        <f t="shared" si="26"/>
        <v>#N/A</v>
      </c>
    </row>
    <row r="272" spans="1:16" x14ac:dyDescent="0.25">
      <c r="A272" t="e">
        <f>CUBEMEMBER("pbiazure://api.powerbi.com 6e064a38-7f82-4416-9451-8d82a554b559 Model","[Facilities].[DATIMName].&amp;[Namalulu Dispensary]")</f>
        <v>#N/A</v>
      </c>
      <c r="B272" t="e">
        <f t="shared" si="26"/>
        <v>#N/A</v>
      </c>
      <c r="C272" t="e">
        <f t="shared" si="26"/>
        <v>#N/A</v>
      </c>
      <c r="D272" t="e">
        <f t="shared" si="26"/>
        <v>#N/A</v>
      </c>
      <c r="E272" t="e">
        <f t="shared" si="26"/>
        <v>#N/A</v>
      </c>
      <c r="F272" t="e">
        <f t="shared" si="26"/>
        <v>#N/A</v>
      </c>
      <c r="G272" t="e">
        <f t="shared" si="26"/>
        <v>#N/A</v>
      </c>
      <c r="H272" t="e">
        <f t="shared" si="26"/>
        <v>#N/A</v>
      </c>
      <c r="I272" t="e">
        <f t="shared" si="26"/>
        <v>#N/A</v>
      </c>
      <c r="J272" t="e">
        <f t="shared" si="26"/>
        <v>#N/A</v>
      </c>
      <c r="K272" t="e">
        <f t="shared" si="26"/>
        <v>#N/A</v>
      </c>
      <c r="L272" t="e">
        <f t="shared" si="26"/>
        <v>#N/A</v>
      </c>
      <c r="M272" t="e">
        <f t="shared" si="26"/>
        <v>#N/A</v>
      </c>
      <c r="N272" t="e">
        <f t="shared" si="26"/>
        <v>#N/A</v>
      </c>
      <c r="O272" t="e">
        <f t="shared" si="26"/>
        <v>#N/A</v>
      </c>
      <c r="P272" t="e">
        <f t="shared" si="26"/>
        <v>#N/A</v>
      </c>
    </row>
    <row r="273" spans="1:16" x14ac:dyDescent="0.25">
      <c r="A273" t="e">
        <f>CUBEMEMBER("pbiazure://api.powerbi.com 6e064a38-7f82-4416-9451-8d82a554b559 Model","[Facilities].[DATIMName].&amp;[Namanga Dispensary]")</f>
        <v>#N/A</v>
      </c>
      <c r="B273" t="e">
        <f t="shared" si="26"/>
        <v>#N/A</v>
      </c>
      <c r="C273" t="e">
        <f t="shared" si="26"/>
        <v>#N/A</v>
      </c>
      <c r="D273" t="e">
        <f t="shared" si="26"/>
        <v>#N/A</v>
      </c>
      <c r="E273" t="e">
        <f t="shared" si="26"/>
        <v>#N/A</v>
      </c>
      <c r="F273" t="e">
        <f t="shared" si="26"/>
        <v>#N/A</v>
      </c>
      <c r="G273" t="e">
        <f t="shared" si="26"/>
        <v>#N/A</v>
      </c>
      <c r="H273" t="e">
        <f t="shared" si="26"/>
        <v>#N/A</v>
      </c>
      <c r="I273" t="e">
        <f t="shared" si="26"/>
        <v>#N/A</v>
      </c>
      <c r="J273" t="e">
        <f t="shared" si="26"/>
        <v>#N/A</v>
      </c>
      <c r="K273" t="e">
        <f t="shared" si="26"/>
        <v>#N/A</v>
      </c>
      <c r="L273" t="e">
        <f t="shared" si="26"/>
        <v>#N/A</v>
      </c>
      <c r="M273" t="e">
        <f t="shared" si="26"/>
        <v>#N/A</v>
      </c>
      <c r="N273" t="e">
        <f t="shared" si="26"/>
        <v>#N/A</v>
      </c>
      <c r="O273" t="e">
        <f t="shared" si="26"/>
        <v>#N/A</v>
      </c>
      <c r="P273" t="e">
        <f t="shared" si="26"/>
        <v>#N/A</v>
      </c>
    </row>
    <row r="274" spans="1:16" x14ac:dyDescent="0.25">
      <c r="A274" t="e">
        <f>CUBEMEMBER("pbiazure://api.powerbi.com 6e064a38-7f82-4416-9451-8d82a554b559 Model","[Facilities].[DATIMName].&amp;[Ndago Health Center]")</f>
        <v>#N/A</v>
      </c>
      <c r="B274" t="e">
        <f t="shared" si="26"/>
        <v>#N/A</v>
      </c>
      <c r="C274" t="e">
        <f t="shared" si="26"/>
        <v>#N/A</v>
      </c>
      <c r="D274" t="e">
        <f t="shared" si="26"/>
        <v>#N/A</v>
      </c>
      <c r="E274" t="e">
        <f t="shared" si="26"/>
        <v>#N/A</v>
      </c>
      <c r="F274" t="e">
        <f t="shared" si="26"/>
        <v>#N/A</v>
      </c>
      <c r="G274" t="e">
        <f t="shared" si="26"/>
        <v>#N/A</v>
      </c>
      <c r="H274" t="e">
        <f t="shared" si="26"/>
        <v>#N/A</v>
      </c>
      <c r="I274" t="e">
        <f t="shared" si="26"/>
        <v>#N/A</v>
      </c>
      <c r="J274" t="e">
        <f t="shared" si="26"/>
        <v>#N/A</v>
      </c>
      <c r="K274" t="e">
        <f t="shared" si="26"/>
        <v>#N/A</v>
      </c>
      <c r="L274" t="e">
        <f t="shared" si="26"/>
        <v>#N/A</v>
      </c>
      <c r="M274" t="e">
        <f t="shared" si="26"/>
        <v>#N/A</v>
      </c>
      <c r="N274" t="e">
        <f t="shared" si="26"/>
        <v>#N/A</v>
      </c>
      <c r="O274" t="e">
        <f t="shared" si="26"/>
        <v>#N/A</v>
      </c>
      <c r="P274" t="e">
        <f t="shared" si="26"/>
        <v>#N/A</v>
      </c>
    </row>
    <row r="275" spans="1:16" x14ac:dyDescent="0.25">
      <c r="A275" t="e">
        <f>CUBEMEMBER("pbiazure://api.powerbi.com 6e064a38-7f82-4416-9451-8d82a554b559 Model","[Facilities].[DATIMName].&amp;[Ndedo Dispensary]")</f>
        <v>#N/A</v>
      </c>
      <c r="B275" t="e">
        <f t="shared" ref="B275:P284" si="27">CUBEVALUE("pbiazure://api.powerbi.com 6e064a38-7f82-4416-9451-8d82a554b559 Model",$B$1,$A275,B$4)</f>
        <v>#N/A</v>
      </c>
      <c r="C275" t="e">
        <f t="shared" si="27"/>
        <v>#N/A</v>
      </c>
      <c r="D275" t="e">
        <f t="shared" si="27"/>
        <v>#N/A</v>
      </c>
      <c r="E275" t="e">
        <f t="shared" si="27"/>
        <v>#N/A</v>
      </c>
      <c r="F275" t="e">
        <f t="shared" si="27"/>
        <v>#N/A</v>
      </c>
      <c r="G275" t="e">
        <f t="shared" si="27"/>
        <v>#N/A</v>
      </c>
      <c r="H275" t="e">
        <f t="shared" si="27"/>
        <v>#N/A</v>
      </c>
      <c r="I275" t="e">
        <f t="shared" si="27"/>
        <v>#N/A</v>
      </c>
      <c r="J275" t="e">
        <f t="shared" si="27"/>
        <v>#N/A</v>
      </c>
      <c r="K275" t="e">
        <f t="shared" si="27"/>
        <v>#N/A</v>
      </c>
      <c r="L275" t="e">
        <f t="shared" si="27"/>
        <v>#N/A</v>
      </c>
      <c r="M275" t="e">
        <f t="shared" si="27"/>
        <v>#N/A</v>
      </c>
      <c r="N275" t="e">
        <f t="shared" si="27"/>
        <v>#N/A</v>
      </c>
      <c r="O275" t="e">
        <f t="shared" si="27"/>
        <v>#N/A</v>
      </c>
      <c r="P275" t="e">
        <f t="shared" si="27"/>
        <v>#N/A</v>
      </c>
    </row>
    <row r="276" spans="1:16" x14ac:dyDescent="0.25">
      <c r="A276" t="e">
        <f>CUBEMEMBER("pbiazure://api.powerbi.com 6e064a38-7f82-4416-9451-8d82a554b559 Model","[Facilities].[DATIMName].&amp;[Ndungu Health Center]")</f>
        <v>#N/A</v>
      </c>
      <c r="B276" t="e">
        <f t="shared" si="27"/>
        <v>#N/A</v>
      </c>
      <c r="C276" t="e">
        <f t="shared" si="27"/>
        <v>#N/A</v>
      </c>
      <c r="D276" t="e">
        <f t="shared" si="27"/>
        <v>#N/A</v>
      </c>
      <c r="E276" t="e">
        <f t="shared" si="27"/>
        <v>#N/A</v>
      </c>
      <c r="F276" t="e">
        <f t="shared" si="27"/>
        <v>#N/A</v>
      </c>
      <c r="G276" t="e">
        <f t="shared" si="27"/>
        <v>#N/A</v>
      </c>
      <c r="H276" t="e">
        <f t="shared" si="27"/>
        <v>#N/A</v>
      </c>
      <c r="I276" t="e">
        <f t="shared" si="27"/>
        <v>#N/A</v>
      </c>
      <c r="J276" t="e">
        <f t="shared" si="27"/>
        <v>#N/A</v>
      </c>
      <c r="K276" t="e">
        <f t="shared" si="27"/>
        <v>#N/A</v>
      </c>
      <c r="L276" t="e">
        <f t="shared" si="27"/>
        <v>#N/A</v>
      </c>
      <c r="M276" t="e">
        <f t="shared" si="27"/>
        <v>#N/A</v>
      </c>
      <c r="N276" t="e">
        <f t="shared" si="27"/>
        <v>#N/A</v>
      </c>
      <c r="O276" t="e">
        <f t="shared" si="27"/>
        <v>#N/A</v>
      </c>
      <c r="P276" t="e">
        <f t="shared" si="27"/>
        <v>#N/A</v>
      </c>
    </row>
    <row r="277" spans="1:16" x14ac:dyDescent="0.25">
      <c r="A277" t="e">
        <f>CUBEMEMBER("pbiazure://api.powerbi.com 6e064a38-7f82-4416-9451-8d82a554b559 Model","[Facilities].[DATIMName].&amp;[Nduruma Health Center]")</f>
        <v>#N/A</v>
      </c>
      <c r="B277" t="e">
        <f t="shared" si="27"/>
        <v>#N/A</v>
      </c>
      <c r="C277" t="e">
        <f t="shared" si="27"/>
        <v>#N/A</v>
      </c>
      <c r="D277" t="e">
        <f t="shared" si="27"/>
        <v>#N/A</v>
      </c>
      <c r="E277" t="e">
        <f t="shared" si="27"/>
        <v>#N/A</v>
      </c>
      <c r="F277" t="e">
        <f t="shared" si="27"/>
        <v>#N/A</v>
      </c>
      <c r="G277" t="e">
        <f t="shared" si="27"/>
        <v>#N/A</v>
      </c>
      <c r="H277" t="e">
        <f t="shared" si="27"/>
        <v>#N/A</v>
      </c>
      <c r="I277" t="e">
        <f t="shared" si="27"/>
        <v>#N/A</v>
      </c>
      <c r="J277" t="e">
        <f t="shared" si="27"/>
        <v>#N/A</v>
      </c>
      <c r="K277" t="e">
        <f t="shared" si="27"/>
        <v>#N/A</v>
      </c>
      <c r="L277" t="e">
        <f t="shared" si="27"/>
        <v>#N/A</v>
      </c>
      <c r="M277" t="e">
        <f t="shared" si="27"/>
        <v>#N/A</v>
      </c>
      <c r="N277" t="e">
        <f t="shared" si="27"/>
        <v>#N/A</v>
      </c>
      <c r="O277" t="e">
        <f t="shared" si="27"/>
        <v>#N/A</v>
      </c>
      <c r="P277" t="e">
        <f t="shared" si="27"/>
        <v>#N/A</v>
      </c>
    </row>
    <row r="278" spans="1:16" x14ac:dyDescent="0.25">
      <c r="A278" t="e">
        <f>CUBEMEMBER("pbiazure://api.powerbi.com 6e064a38-7f82-4416-9451-8d82a554b559 Model","[Facilities].[DATIMName].&amp;[Neema Health Center]")</f>
        <v>#N/A</v>
      </c>
      <c r="B278" t="e">
        <f t="shared" si="27"/>
        <v>#N/A</v>
      </c>
      <c r="C278" t="e">
        <f t="shared" si="27"/>
        <v>#N/A</v>
      </c>
      <c r="D278" t="e">
        <f t="shared" si="27"/>
        <v>#N/A</v>
      </c>
      <c r="E278" t="e">
        <f t="shared" si="27"/>
        <v>#N/A</v>
      </c>
      <c r="F278" t="e">
        <f t="shared" si="27"/>
        <v>#N/A</v>
      </c>
      <c r="G278" t="e">
        <f t="shared" si="27"/>
        <v>#N/A</v>
      </c>
      <c r="H278" t="e">
        <f t="shared" si="27"/>
        <v>#N/A</v>
      </c>
      <c r="I278" t="e">
        <f t="shared" si="27"/>
        <v>#N/A</v>
      </c>
      <c r="J278" t="e">
        <f t="shared" si="27"/>
        <v>#N/A</v>
      </c>
      <c r="K278" t="e">
        <f t="shared" si="27"/>
        <v>#N/A</v>
      </c>
      <c r="L278" t="e">
        <f t="shared" si="27"/>
        <v>#N/A</v>
      </c>
      <c r="M278" t="e">
        <f t="shared" si="27"/>
        <v>#N/A</v>
      </c>
      <c r="N278" t="e">
        <f t="shared" si="27"/>
        <v>#N/A</v>
      </c>
      <c r="O278" t="e">
        <f t="shared" si="27"/>
        <v>#N/A</v>
      </c>
      <c r="P278" t="e">
        <f t="shared" si="27"/>
        <v>#N/A</v>
      </c>
    </row>
    <row r="279" spans="1:16" x14ac:dyDescent="0.25">
      <c r="A279" t="e">
        <f>CUBEMEMBER("pbiazure://api.powerbi.com 6e064a38-7f82-4416-9451-8d82a554b559 Model","[Facilities].[DATIMName].&amp;[Ngage Dispensary]")</f>
        <v>#N/A</v>
      </c>
      <c r="B279" t="e">
        <f t="shared" si="27"/>
        <v>#N/A</v>
      </c>
      <c r="C279" t="e">
        <f t="shared" si="27"/>
        <v>#N/A</v>
      </c>
      <c r="D279" t="e">
        <f t="shared" si="27"/>
        <v>#N/A</v>
      </c>
      <c r="E279" t="e">
        <f t="shared" si="27"/>
        <v>#N/A</v>
      </c>
      <c r="F279" t="e">
        <f t="shared" si="27"/>
        <v>#N/A</v>
      </c>
      <c r="G279" t="e">
        <f t="shared" si="27"/>
        <v>#N/A</v>
      </c>
      <c r="H279" t="e">
        <f t="shared" si="27"/>
        <v>#N/A</v>
      </c>
      <c r="I279" t="e">
        <f t="shared" si="27"/>
        <v>#N/A</v>
      </c>
      <c r="J279" t="e">
        <f t="shared" si="27"/>
        <v>#N/A</v>
      </c>
      <c r="K279" t="e">
        <f t="shared" si="27"/>
        <v>#N/A</v>
      </c>
      <c r="L279" t="e">
        <f t="shared" si="27"/>
        <v>#N/A</v>
      </c>
      <c r="M279" t="e">
        <f t="shared" si="27"/>
        <v>#N/A</v>
      </c>
      <c r="N279" t="e">
        <f t="shared" si="27"/>
        <v>#N/A</v>
      </c>
      <c r="O279" t="e">
        <f t="shared" si="27"/>
        <v>#N/A</v>
      </c>
      <c r="P279" t="e">
        <f t="shared" si="27"/>
        <v>#N/A</v>
      </c>
    </row>
    <row r="280" spans="1:16" x14ac:dyDescent="0.25">
      <c r="A280" t="e">
        <f>CUBEMEMBER("pbiazure://api.powerbi.com 6e064a38-7f82-4416-9451-8d82a554b559 Model","[Facilities].[DATIMName].&amp;[Ngaramtoni Dispensary]")</f>
        <v>#N/A</v>
      </c>
      <c r="B280" t="e">
        <f t="shared" si="27"/>
        <v>#N/A</v>
      </c>
      <c r="C280" t="e">
        <f t="shared" si="27"/>
        <v>#N/A</v>
      </c>
      <c r="D280" t="e">
        <f t="shared" si="27"/>
        <v>#N/A</v>
      </c>
      <c r="E280" t="e">
        <f t="shared" si="27"/>
        <v>#N/A</v>
      </c>
      <c r="F280" t="e">
        <f t="shared" si="27"/>
        <v>#N/A</v>
      </c>
      <c r="G280" t="e">
        <f t="shared" si="27"/>
        <v>#N/A</v>
      </c>
      <c r="H280" t="e">
        <f t="shared" si="27"/>
        <v>#N/A</v>
      </c>
      <c r="I280" t="e">
        <f t="shared" si="27"/>
        <v>#N/A</v>
      </c>
      <c r="J280" t="e">
        <f t="shared" si="27"/>
        <v>#N/A</v>
      </c>
      <c r="K280" t="e">
        <f t="shared" si="27"/>
        <v>#N/A</v>
      </c>
      <c r="L280" t="e">
        <f t="shared" si="27"/>
        <v>#N/A</v>
      </c>
      <c r="M280" t="e">
        <f t="shared" si="27"/>
        <v>#N/A</v>
      </c>
      <c r="N280" t="e">
        <f t="shared" si="27"/>
        <v>#N/A</v>
      </c>
      <c r="O280" t="e">
        <f t="shared" si="27"/>
        <v>#N/A</v>
      </c>
      <c r="P280" t="e">
        <f t="shared" si="27"/>
        <v>#N/A</v>
      </c>
    </row>
    <row r="281" spans="1:16" x14ac:dyDescent="0.25">
      <c r="A281" t="e">
        <f>CUBEMEMBER("pbiazure://api.powerbi.com 6e064a38-7f82-4416-9451-8d82a554b559 Model","[Facilities].[DATIMName].&amp;[Ngarenairobi Dispensary]")</f>
        <v>#N/A</v>
      </c>
      <c r="B281" t="e">
        <f t="shared" si="27"/>
        <v>#N/A</v>
      </c>
      <c r="C281" t="e">
        <f t="shared" si="27"/>
        <v>#N/A</v>
      </c>
      <c r="D281" t="e">
        <f t="shared" si="27"/>
        <v>#N/A</v>
      </c>
      <c r="E281" t="e">
        <f t="shared" si="27"/>
        <v>#N/A</v>
      </c>
      <c r="F281" t="e">
        <f t="shared" si="27"/>
        <v>#N/A</v>
      </c>
      <c r="G281" t="e">
        <f t="shared" si="27"/>
        <v>#N/A</v>
      </c>
      <c r="H281" t="e">
        <f t="shared" si="27"/>
        <v>#N/A</v>
      </c>
      <c r="I281" t="e">
        <f t="shared" si="27"/>
        <v>#N/A</v>
      </c>
      <c r="J281" t="e">
        <f t="shared" si="27"/>
        <v>#N/A</v>
      </c>
      <c r="K281" t="e">
        <f t="shared" si="27"/>
        <v>#N/A</v>
      </c>
      <c r="L281" t="e">
        <f t="shared" si="27"/>
        <v>#N/A</v>
      </c>
      <c r="M281" t="e">
        <f t="shared" si="27"/>
        <v>#N/A</v>
      </c>
      <c r="N281" t="e">
        <f t="shared" si="27"/>
        <v>#N/A</v>
      </c>
      <c r="O281" t="e">
        <f t="shared" si="27"/>
        <v>#N/A</v>
      </c>
      <c r="P281" t="e">
        <f t="shared" si="27"/>
        <v>#N/A</v>
      </c>
    </row>
    <row r="282" spans="1:16" x14ac:dyDescent="0.25">
      <c r="A282" t="e">
        <f>CUBEMEMBER("pbiazure://api.powerbi.com 6e064a38-7f82-4416-9451-8d82a554b559 Model","[Facilities].[DATIMName].&amp;[Ngarenanyuki Health Center]")</f>
        <v>#N/A</v>
      </c>
      <c r="B282" t="e">
        <f t="shared" si="27"/>
        <v>#N/A</v>
      </c>
      <c r="C282" t="e">
        <f t="shared" si="27"/>
        <v>#N/A</v>
      </c>
      <c r="D282" t="e">
        <f t="shared" si="27"/>
        <v>#N/A</v>
      </c>
      <c r="E282" t="e">
        <f t="shared" si="27"/>
        <v>#N/A</v>
      </c>
      <c r="F282" t="e">
        <f t="shared" si="27"/>
        <v>#N/A</v>
      </c>
      <c r="G282" t="e">
        <f t="shared" si="27"/>
        <v>#N/A</v>
      </c>
      <c r="H282" t="e">
        <f t="shared" si="27"/>
        <v>#N/A</v>
      </c>
      <c r="I282" t="e">
        <f t="shared" si="27"/>
        <v>#N/A</v>
      </c>
      <c r="J282" t="e">
        <f t="shared" si="27"/>
        <v>#N/A</v>
      </c>
      <c r="K282" t="e">
        <f t="shared" si="27"/>
        <v>#N/A</v>
      </c>
      <c r="L282" t="e">
        <f t="shared" si="27"/>
        <v>#N/A</v>
      </c>
      <c r="M282" t="e">
        <f t="shared" si="27"/>
        <v>#N/A</v>
      </c>
      <c r="N282" t="e">
        <f t="shared" si="27"/>
        <v>#N/A</v>
      </c>
      <c r="O282" t="e">
        <f t="shared" si="27"/>
        <v>#N/A</v>
      </c>
      <c r="P282" t="e">
        <f t="shared" si="27"/>
        <v>#N/A</v>
      </c>
    </row>
    <row r="283" spans="1:16" x14ac:dyDescent="0.25">
      <c r="A283" t="e">
        <f>CUBEMEMBER("pbiazure://api.powerbi.com 6e064a38-7f82-4416-9451-8d82a554b559 Model","[Facilities].[DATIMName].&amp;[Ngarenaro Health Center]")</f>
        <v>#N/A</v>
      </c>
      <c r="B283" t="e">
        <f t="shared" si="27"/>
        <v>#N/A</v>
      </c>
      <c r="C283" t="e">
        <f t="shared" si="27"/>
        <v>#N/A</v>
      </c>
      <c r="D283" t="e">
        <f t="shared" si="27"/>
        <v>#N/A</v>
      </c>
      <c r="E283" t="e">
        <f t="shared" si="27"/>
        <v>#N/A</v>
      </c>
      <c r="F283" t="e">
        <f t="shared" si="27"/>
        <v>#N/A</v>
      </c>
      <c r="G283" t="e">
        <f t="shared" si="27"/>
        <v>#N/A</v>
      </c>
      <c r="H283" t="e">
        <f t="shared" si="27"/>
        <v>#N/A</v>
      </c>
      <c r="I283" t="e">
        <f t="shared" si="27"/>
        <v>#N/A</v>
      </c>
      <c r="J283" t="e">
        <f t="shared" si="27"/>
        <v>#N/A</v>
      </c>
      <c r="K283" t="e">
        <f t="shared" si="27"/>
        <v>#N/A</v>
      </c>
      <c r="L283" t="e">
        <f t="shared" si="27"/>
        <v>#N/A</v>
      </c>
      <c r="M283" t="e">
        <f t="shared" si="27"/>
        <v>#N/A</v>
      </c>
      <c r="N283" t="e">
        <f t="shared" si="27"/>
        <v>#N/A</v>
      </c>
      <c r="O283" t="e">
        <f t="shared" si="27"/>
        <v>#N/A</v>
      </c>
      <c r="P283" t="e">
        <f t="shared" si="27"/>
        <v>#N/A</v>
      </c>
    </row>
    <row r="284" spans="1:16" x14ac:dyDescent="0.25">
      <c r="A284" t="e">
        <f>CUBEMEMBER("pbiazure://api.powerbi.com 6e064a38-7f82-4416-9451-8d82a554b559 Model","[Facilities].[DATIMName].&amp;[Ngaresero Dispensary]")</f>
        <v>#N/A</v>
      </c>
      <c r="B284" t="e">
        <f t="shared" si="27"/>
        <v>#N/A</v>
      </c>
      <c r="C284" t="e">
        <f t="shared" si="27"/>
        <v>#N/A</v>
      </c>
      <c r="D284" t="e">
        <f t="shared" si="27"/>
        <v>#N/A</v>
      </c>
      <c r="E284" t="e">
        <f t="shared" si="27"/>
        <v>#N/A</v>
      </c>
      <c r="F284" t="e">
        <f t="shared" si="27"/>
        <v>#N/A</v>
      </c>
      <c r="G284" t="e">
        <f t="shared" si="27"/>
        <v>#N/A</v>
      </c>
      <c r="H284" t="e">
        <f t="shared" si="27"/>
        <v>#N/A</v>
      </c>
      <c r="I284" t="e">
        <f t="shared" si="27"/>
        <v>#N/A</v>
      </c>
      <c r="J284" t="e">
        <f t="shared" si="27"/>
        <v>#N/A</v>
      </c>
      <c r="K284" t="e">
        <f t="shared" si="27"/>
        <v>#N/A</v>
      </c>
      <c r="L284" t="e">
        <f t="shared" si="27"/>
        <v>#N/A</v>
      </c>
      <c r="M284" t="e">
        <f t="shared" si="27"/>
        <v>#N/A</v>
      </c>
      <c r="N284" t="e">
        <f t="shared" si="27"/>
        <v>#N/A</v>
      </c>
      <c r="O284" t="e">
        <f t="shared" si="27"/>
        <v>#N/A</v>
      </c>
      <c r="P284" t="e">
        <f t="shared" si="27"/>
        <v>#N/A</v>
      </c>
    </row>
    <row r="285" spans="1:16" x14ac:dyDescent="0.25">
      <c r="A285" t="e">
        <f>CUBEMEMBER("pbiazure://api.powerbi.com 6e064a38-7f82-4416-9451-8d82a554b559 Model","[Facilities].[DATIMName].&amp;[Nghonghonha Dispensary]")</f>
        <v>#N/A</v>
      </c>
      <c r="B285" t="e">
        <f t="shared" ref="B285:P294" si="28">CUBEVALUE("pbiazure://api.powerbi.com 6e064a38-7f82-4416-9451-8d82a554b559 Model",$B$1,$A285,B$4)</f>
        <v>#N/A</v>
      </c>
      <c r="C285" t="e">
        <f t="shared" si="28"/>
        <v>#N/A</v>
      </c>
      <c r="D285" t="e">
        <f t="shared" si="28"/>
        <v>#N/A</v>
      </c>
      <c r="E285" t="e">
        <f t="shared" si="28"/>
        <v>#N/A</v>
      </c>
      <c r="F285" t="e">
        <f t="shared" si="28"/>
        <v>#N/A</v>
      </c>
      <c r="G285" t="e">
        <f t="shared" si="28"/>
        <v>#N/A</v>
      </c>
      <c r="H285" t="e">
        <f t="shared" si="28"/>
        <v>#N/A</v>
      </c>
      <c r="I285" t="e">
        <f t="shared" si="28"/>
        <v>#N/A</v>
      </c>
      <c r="J285" t="e">
        <f t="shared" si="28"/>
        <v>#N/A</v>
      </c>
      <c r="K285" t="e">
        <f t="shared" si="28"/>
        <v>#N/A</v>
      </c>
      <c r="L285" t="e">
        <f t="shared" si="28"/>
        <v>#N/A</v>
      </c>
      <c r="M285" t="e">
        <f t="shared" si="28"/>
        <v>#N/A</v>
      </c>
      <c r="N285" t="e">
        <f t="shared" si="28"/>
        <v>#N/A</v>
      </c>
      <c r="O285" t="e">
        <f t="shared" si="28"/>
        <v>#N/A</v>
      </c>
      <c r="P285" t="e">
        <f t="shared" si="28"/>
        <v>#N/A</v>
      </c>
    </row>
    <row r="286" spans="1:16" x14ac:dyDescent="0.25">
      <c r="A286" t="e">
        <f>CUBEMEMBER("pbiazure://api.powerbi.com 6e064a38-7f82-4416-9451-8d82a554b559 Model","[Facilities].[DATIMName].&amp;[Ngomai Dispensary]")</f>
        <v>#N/A</v>
      </c>
      <c r="B286" t="e">
        <f t="shared" si="28"/>
        <v>#N/A</v>
      </c>
      <c r="C286" t="e">
        <f t="shared" si="28"/>
        <v>#N/A</v>
      </c>
      <c r="D286" t="e">
        <f t="shared" si="28"/>
        <v>#N/A</v>
      </c>
      <c r="E286" t="e">
        <f t="shared" si="28"/>
        <v>#N/A</v>
      </c>
      <c r="F286" t="e">
        <f t="shared" si="28"/>
        <v>#N/A</v>
      </c>
      <c r="G286" t="e">
        <f t="shared" si="28"/>
        <v>#N/A</v>
      </c>
      <c r="H286" t="e">
        <f t="shared" si="28"/>
        <v>#N/A</v>
      </c>
      <c r="I286" t="e">
        <f t="shared" si="28"/>
        <v>#N/A</v>
      </c>
      <c r="J286" t="e">
        <f t="shared" si="28"/>
        <v>#N/A</v>
      </c>
      <c r="K286" t="e">
        <f t="shared" si="28"/>
        <v>#N/A</v>
      </c>
      <c r="L286" t="e">
        <f t="shared" si="28"/>
        <v>#N/A</v>
      </c>
      <c r="M286" t="e">
        <f t="shared" si="28"/>
        <v>#N/A</v>
      </c>
      <c r="N286" t="e">
        <f t="shared" si="28"/>
        <v>#N/A</v>
      </c>
      <c r="O286" t="e">
        <f t="shared" si="28"/>
        <v>#N/A</v>
      </c>
      <c r="P286" t="e">
        <f t="shared" si="28"/>
        <v>#N/A</v>
      </c>
    </row>
    <row r="287" spans="1:16" x14ac:dyDescent="0.25">
      <c r="A287" t="e">
        <f>CUBEMEMBER("pbiazure://api.powerbi.com 6e064a38-7f82-4416-9451-8d82a554b559 Model","[Facilities].[DATIMName].&amp;[Ngorbobo Dispensary]")</f>
        <v>#N/A</v>
      </c>
      <c r="B287" t="e">
        <f t="shared" si="28"/>
        <v>#N/A</v>
      </c>
      <c r="C287" t="e">
        <f t="shared" si="28"/>
        <v>#N/A</v>
      </c>
      <c r="D287" t="e">
        <f t="shared" si="28"/>
        <v>#N/A</v>
      </c>
      <c r="E287" t="e">
        <f t="shared" si="28"/>
        <v>#N/A</v>
      </c>
      <c r="F287" t="e">
        <f t="shared" si="28"/>
        <v>#N/A</v>
      </c>
      <c r="G287" t="e">
        <f t="shared" si="28"/>
        <v>#N/A</v>
      </c>
      <c r="H287" t="e">
        <f t="shared" si="28"/>
        <v>#N/A</v>
      </c>
      <c r="I287" t="e">
        <f t="shared" si="28"/>
        <v>#N/A</v>
      </c>
      <c r="J287" t="e">
        <f t="shared" si="28"/>
        <v>#N/A</v>
      </c>
      <c r="K287" t="e">
        <f t="shared" si="28"/>
        <v>#N/A</v>
      </c>
      <c r="L287" t="e">
        <f t="shared" si="28"/>
        <v>#N/A</v>
      </c>
      <c r="M287" t="e">
        <f t="shared" si="28"/>
        <v>#N/A</v>
      </c>
      <c r="N287" t="e">
        <f t="shared" si="28"/>
        <v>#N/A</v>
      </c>
      <c r="O287" t="e">
        <f t="shared" si="28"/>
        <v>#N/A</v>
      </c>
      <c r="P287" t="e">
        <f t="shared" si="28"/>
        <v>#N/A</v>
      </c>
    </row>
    <row r="288" spans="1:16" x14ac:dyDescent="0.25">
      <c r="A288" t="e">
        <f>CUBEMEMBER("pbiazure://api.powerbi.com 6e064a38-7f82-4416-9451-8d82a554b559 Model","[Facilities].[DATIMName].&amp;[Ngorika Dispensary]")</f>
        <v>#N/A</v>
      </c>
      <c r="B288" t="e">
        <f t="shared" si="28"/>
        <v>#N/A</v>
      </c>
      <c r="C288" t="e">
        <f t="shared" si="28"/>
        <v>#N/A</v>
      </c>
      <c r="D288" t="e">
        <f t="shared" si="28"/>
        <v>#N/A</v>
      </c>
      <c r="E288" t="e">
        <f t="shared" si="28"/>
        <v>#N/A</v>
      </c>
      <c r="F288" t="e">
        <f t="shared" si="28"/>
        <v>#N/A</v>
      </c>
      <c r="G288" t="e">
        <f t="shared" si="28"/>
        <v>#N/A</v>
      </c>
      <c r="H288" t="e">
        <f t="shared" si="28"/>
        <v>#N/A</v>
      </c>
      <c r="I288" t="e">
        <f t="shared" si="28"/>
        <v>#N/A</v>
      </c>
      <c r="J288" t="e">
        <f t="shared" si="28"/>
        <v>#N/A</v>
      </c>
      <c r="K288" t="e">
        <f t="shared" si="28"/>
        <v>#N/A</v>
      </c>
      <c r="L288" t="e">
        <f t="shared" si="28"/>
        <v>#N/A</v>
      </c>
      <c r="M288" t="e">
        <f t="shared" si="28"/>
        <v>#N/A</v>
      </c>
      <c r="N288" t="e">
        <f t="shared" si="28"/>
        <v>#N/A</v>
      </c>
      <c r="O288" t="e">
        <f t="shared" si="28"/>
        <v>#N/A</v>
      </c>
      <c r="P288" t="e">
        <f t="shared" si="28"/>
        <v>#N/A</v>
      </c>
    </row>
    <row r="289" spans="1:16" x14ac:dyDescent="0.25">
      <c r="A289" t="e">
        <f>CUBEMEMBER("pbiazure://api.powerbi.com 6e064a38-7f82-4416-9451-8d82a554b559 Model","[Facilities].[DATIMName].&amp;[Ngoyoni Hospital Hospital - Other Hospital]")</f>
        <v>#N/A</v>
      </c>
      <c r="B289" t="e">
        <f t="shared" si="28"/>
        <v>#N/A</v>
      </c>
      <c r="C289" t="e">
        <f t="shared" si="28"/>
        <v>#N/A</v>
      </c>
      <c r="D289" t="e">
        <f t="shared" si="28"/>
        <v>#N/A</v>
      </c>
      <c r="E289" t="e">
        <f t="shared" si="28"/>
        <v>#N/A</v>
      </c>
      <c r="F289" t="e">
        <f t="shared" si="28"/>
        <v>#N/A</v>
      </c>
      <c r="G289" t="e">
        <f t="shared" si="28"/>
        <v>#N/A</v>
      </c>
      <c r="H289" t="e">
        <f t="shared" si="28"/>
        <v>#N/A</v>
      </c>
      <c r="I289" t="e">
        <f t="shared" si="28"/>
        <v>#N/A</v>
      </c>
      <c r="J289" t="e">
        <f t="shared" si="28"/>
        <v>#N/A</v>
      </c>
      <c r="K289" t="e">
        <f t="shared" si="28"/>
        <v>#N/A</v>
      </c>
      <c r="L289" t="e">
        <f t="shared" si="28"/>
        <v>#N/A</v>
      </c>
      <c r="M289" t="e">
        <f t="shared" si="28"/>
        <v>#N/A</v>
      </c>
      <c r="N289" t="e">
        <f t="shared" si="28"/>
        <v>#N/A</v>
      </c>
      <c r="O289" t="e">
        <f t="shared" si="28"/>
        <v>#N/A</v>
      </c>
      <c r="P289" t="e">
        <f t="shared" si="28"/>
        <v>#N/A</v>
      </c>
    </row>
    <row r="290" spans="1:16" x14ac:dyDescent="0.25">
      <c r="A290" t="e">
        <f>CUBEMEMBER("pbiazure://api.powerbi.com 6e064a38-7f82-4416-9451-8d82a554b559 Model","[Facilities].[DATIMName].&amp;[Njoge Dispensary]")</f>
        <v>#N/A</v>
      </c>
      <c r="B290" t="e">
        <f t="shared" si="28"/>
        <v>#N/A</v>
      </c>
      <c r="C290" t="e">
        <f t="shared" si="28"/>
        <v>#N/A</v>
      </c>
      <c r="D290" t="e">
        <f t="shared" si="28"/>
        <v>#N/A</v>
      </c>
      <c r="E290" t="e">
        <f t="shared" si="28"/>
        <v>#N/A</v>
      </c>
      <c r="F290" t="e">
        <f t="shared" si="28"/>
        <v>#N/A</v>
      </c>
      <c r="G290" t="e">
        <f t="shared" si="28"/>
        <v>#N/A</v>
      </c>
      <c r="H290" t="e">
        <f t="shared" si="28"/>
        <v>#N/A</v>
      </c>
      <c r="I290" t="e">
        <f t="shared" si="28"/>
        <v>#N/A</v>
      </c>
      <c r="J290" t="e">
        <f t="shared" si="28"/>
        <v>#N/A</v>
      </c>
      <c r="K290" t="e">
        <f t="shared" si="28"/>
        <v>#N/A</v>
      </c>
      <c r="L290" t="e">
        <f t="shared" si="28"/>
        <v>#N/A</v>
      </c>
      <c r="M290" t="e">
        <f t="shared" si="28"/>
        <v>#N/A</v>
      </c>
      <c r="N290" t="e">
        <f t="shared" si="28"/>
        <v>#N/A</v>
      </c>
      <c r="O290" t="e">
        <f t="shared" si="28"/>
        <v>#N/A</v>
      </c>
      <c r="P290" t="e">
        <f t="shared" si="28"/>
        <v>#N/A</v>
      </c>
    </row>
    <row r="291" spans="1:16" x14ac:dyDescent="0.25">
      <c r="A291" t="e">
        <f>CUBEMEMBER("pbiazure://api.powerbi.com 6e064a38-7f82-4416-9451-8d82a554b559 Model","[Facilities].[DATIMName].&amp;[Njoro Dispensary]")</f>
        <v>#N/A</v>
      </c>
      <c r="B291" t="e">
        <f t="shared" si="28"/>
        <v>#N/A</v>
      </c>
      <c r="C291" t="e">
        <f t="shared" si="28"/>
        <v>#N/A</v>
      </c>
      <c r="D291" t="e">
        <f t="shared" si="28"/>
        <v>#N/A</v>
      </c>
      <c r="E291" t="e">
        <f t="shared" si="28"/>
        <v>#N/A</v>
      </c>
      <c r="F291" t="e">
        <f t="shared" si="28"/>
        <v>#N/A</v>
      </c>
      <c r="G291" t="e">
        <f t="shared" si="28"/>
        <v>#N/A</v>
      </c>
      <c r="H291" t="e">
        <f t="shared" si="28"/>
        <v>#N/A</v>
      </c>
      <c r="I291" t="e">
        <f t="shared" si="28"/>
        <v>#N/A</v>
      </c>
      <c r="J291" t="e">
        <f t="shared" si="28"/>
        <v>#N/A</v>
      </c>
      <c r="K291" t="e">
        <f t="shared" si="28"/>
        <v>#N/A</v>
      </c>
      <c r="L291" t="e">
        <f t="shared" si="28"/>
        <v>#N/A</v>
      </c>
      <c r="M291" t="e">
        <f t="shared" si="28"/>
        <v>#N/A</v>
      </c>
      <c r="N291" t="e">
        <f t="shared" si="28"/>
        <v>#N/A</v>
      </c>
      <c r="O291" t="e">
        <f t="shared" si="28"/>
        <v>#N/A</v>
      </c>
      <c r="P291" t="e">
        <f t="shared" si="28"/>
        <v>#N/A</v>
      </c>
    </row>
    <row r="292" spans="1:16" x14ac:dyDescent="0.25">
      <c r="A292" t="e">
        <f>CUBEMEMBER("pbiazure://api.powerbi.com 6e064a38-7f82-4416-9451-8d82a554b559 Model","[Facilities].[DATIMName].&amp;[Nkhome Dispensary]")</f>
        <v>#N/A</v>
      </c>
      <c r="B292" t="e">
        <f t="shared" si="28"/>
        <v>#N/A</v>
      </c>
      <c r="C292" t="e">
        <f t="shared" si="28"/>
        <v>#N/A</v>
      </c>
      <c r="D292" t="e">
        <f t="shared" si="28"/>
        <v>#N/A</v>
      </c>
      <c r="E292" t="e">
        <f t="shared" si="28"/>
        <v>#N/A</v>
      </c>
      <c r="F292" t="e">
        <f t="shared" si="28"/>
        <v>#N/A</v>
      </c>
      <c r="G292" t="e">
        <f t="shared" si="28"/>
        <v>#N/A</v>
      </c>
      <c r="H292" t="e">
        <f t="shared" si="28"/>
        <v>#N/A</v>
      </c>
      <c r="I292" t="e">
        <f t="shared" si="28"/>
        <v>#N/A</v>
      </c>
      <c r="J292" t="e">
        <f t="shared" si="28"/>
        <v>#N/A</v>
      </c>
      <c r="K292" t="e">
        <f t="shared" si="28"/>
        <v>#N/A</v>
      </c>
      <c r="L292" t="e">
        <f t="shared" si="28"/>
        <v>#N/A</v>
      </c>
      <c r="M292" t="e">
        <f t="shared" si="28"/>
        <v>#N/A</v>
      </c>
      <c r="N292" t="e">
        <f t="shared" si="28"/>
        <v>#N/A</v>
      </c>
      <c r="O292" t="e">
        <f t="shared" si="28"/>
        <v>#N/A</v>
      </c>
      <c r="P292" t="e">
        <f t="shared" si="28"/>
        <v>#N/A</v>
      </c>
    </row>
    <row r="293" spans="1:16" x14ac:dyDescent="0.25">
      <c r="A293" t="e">
        <f>CUBEMEMBER("pbiazure://api.powerbi.com 6e064a38-7f82-4416-9451-8d82a554b559 Model","[Facilities].[DATIMName].&amp;[Nkoaranga Hospital - Other Hospital]")</f>
        <v>#N/A</v>
      </c>
      <c r="B293" t="e">
        <f t="shared" si="28"/>
        <v>#N/A</v>
      </c>
      <c r="C293" t="e">
        <f t="shared" si="28"/>
        <v>#N/A</v>
      </c>
      <c r="D293" t="e">
        <f t="shared" si="28"/>
        <v>#N/A</v>
      </c>
      <c r="E293" t="e">
        <f t="shared" si="28"/>
        <v>#N/A</v>
      </c>
      <c r="F293" t="e">
        <f t="shared" si="28"/>
        <v>#N/A</v>
      </c>
      <c r="G293" t="e">
        <f t="shared" si="28"/>
        <v>#N/A</v>
      </c>
      <c r="H293" t="e">
        <f t="shared" si="28"/>
        <v>#N/A</v>
      </c>
      <c r="I293" t="e">
        <f t="shared" si="28"/>
        <v>#N/A</v>
      </c>
      <c r="J293" t="e">
        <f t="shared" si="28"/>
        <v>#N/A</v>
      </c>
      <c r="K293" t="e">
        <f t="shared" si="28"/>
        <v>#N/A</v>
      </c>
      <c r="L293" t="e">
        <f t="shared" si="28"/>
        <v>#N/A</v>
      </c>
      <c r="M293" t="e">
        <f t="shared" si="28"/>
        <v>#N/A</v>
      </c>
      <c r="N293" t="e">
        <f t="shared" si="28"/>
        <v>#N/A</v>
      </c>
      <c r="O293" t="e">
        <f t="shared" si="28"/>
        <v>#N/A</v>
      </c>
      <c r="P293" t="e">
        <f t="shared" si="28"/>
        <v>#N/A</v>
      </c>
    </row>
    <row r="294" spans="1:16" x14ac:dyDescent="0.25">
      <c r="A294" t="e">
        <f>CUBEMEMBER("pbiazure://api.powerbi.com 6e064a38-7f82-4416-9451-8d82a554b559 Model","[Facilities].[DATIMName].&amp;[Nkonko Health Center]")</f>
        <v>#N/A</v>
      </c>
      <c r="B294" t="e">
        <f t="shared" si="28"/>
        <v>#N/A</v>
      </c>
      <c r="C294" t="e">
        <f t="shared" si="28"/>
        <v>#N/A</v>
      </c>
      <c r="D294" t="e">
        <f t="shared" si="28"/>
        <v>#N/A</v>
      </c>
      <c r="E294" t="e">
        <f t="shared" si="28"/>
        <v>#N/A</v>
      </c>
      <c r="F294" t="e">
        <f t="shared" si="28"/>
        <v>#N/A</v>
      </c>
      <c r="G294" t="e">
        <f t="shared" si="28"/>
        <v>#N/A</v>
      </c>
      <c r="H294" t="e">
        <f t="shared" si="28"/>
        <v>#N/A</v>
      </c>
      <c r="I294" t="e">
        <f t="shared" si="28"/>
        <v>#N/A</v>
      </c>
      <c r="J294" t="e">
        <f t="shared" si="28"/>
        <v>#N/A</v>
      </c>
      <c r="K294" t="e">
        <f t="shared" si="28"/>
        <v>#N/A</v>
      </c>
      <c r="L294" t="e">
        <f t="shared" si="28"/>
        <v>#N/A</v>
      </c>
      <c r="M294" t="e">
        <f t="shared" si="28"/>
        <v>#N/A</v>
      </c>
      <c r="N294" t="e">
        <f t="shared" si="28"/>
        <v>#N/A</v>
      </c>
      <c r="O294" t="e">
        <f t="shared" si="28"/>
        <v>#N/A</v>
      </c>
      <c r="P294" t="e">
        <f t="shared" si="28"/>
        <v>#N/A</v>
      </c>
    </row>
    <row r="295" spans="1:16" x14ac:dyDescent="0.25">
      <c r="A295" t="e">
        <f>CUBEMEMBER("pbiazure://api.powerbi.com 6e064a38-7f82-4416-9451-8d82a554b559 Model","[Facilities].[DATIMName].&amp;[Nkwae Dispensary]")</f>
        <v>#N/A</v>
      </c>
      <c r="B295" t="e">
        <f t="shared" ref="B295:P304" si="29">CUBEVALUE("pbiazure://api.powerbi.com 6e064a38-7f82-4416-9451-8d82a554b559 Model",$B$1,$A295,B$4)</f>
        <v>#N/A</v>
      </c>
      <c r="C295" t="e">
        <f t="shared" si="29"/>
        <v>#N/A</v>
      </c>
      <c r="D295" t="e">
        <f t="shared" si="29"/>
        <v>#N/A</v>
      </c>
      <c r="E295" t="e">
        <f t="shared" si="29"/>
        <v>#N/A</v>
      </c>
      <c r="F295" t="e">
        <f t="shared" si="29"/>
        <v>#N/A</v>
      </c>
      <c r="G295" t="e">
        <f t="shared" si="29"/>
        <v>#N/A</v>
      </c>
      <c r="H295" t="e">
        <f t="shared" si="29"/>
        <v>#N/A</v>
      </c>
      <c r="I295" t="e">
        <f t="shared" si="29"/>
        <v>#N/A</v>
      </c>
      <c r="J295" t="e">
        <f t="shared" si="29"/>
        <v>#N/A</v>
      </c>
      <c r="K295" t="e">
        <f t="shared" si="29"/>
        <v>#N/A</v>
      </c>
      <c r="L295" t="e">
        <f t="shared" si="29"/>
        <v>#N/A</v>
      </c>
      <c r="M295" t="e">
        <f t="shared" si="29"/>
        <v>#N/A</v>
      </c>
      <c r="N295" t="e">
        <f t="shared" si="29"/>
        <v>#N/A</v>
      </c>
      <c r="O295" t="e">
        <f t="shared" si="29"/>
        <v>#N/A</v>
      </c>
      <c r="P295" t="e">
        <f t="shared" si="29"/>
        <v>#N/A</v>
      </c>
    </row>
    <row r="296" spans="1:16" x14ac:dyDescent="0.25">
      <c r="A296" t="e">
        <f>CUBEMEMBER("pbiazure://api.powerbi.com 6e064a38-7f82-4416-9451-8d82a554b559 Model","[Facilities].[DATIMName].&amp;[Nkwansira Health Center]")</f>
        <v>#N/A</v>
      </c>
      <c r="B296" t="e">
        <f t="shared" si="29"/>
        <v>#N/A</v>
      </c>
      <c r="C296" t="e">
        <f t="shared" si="29"/>
        <v>#N/A</v>
      </c>
      <c r="D296" t="e">
        <f t="shared" si="29"/>
        <v>#N/A</v>
      </c>
      <c r="E296" t="e">
        <f t="shared" si="29"/>
        <v>#N/A</v>
      </c>
      <c r="F296" t="e">
        <f t="shared" si="29"/>
        <v>#N/A</v>
      </c>
      <c r="G296" t="e">
        <f t="shared" si="29"/>
        <v>#N/A</v>
      </c>
      <c r="H296" t="e">
        <f t="shared" si="29"/>
        <v>#N/A</v>
      </c>
      <c r="I296" t="e">
        <f t="shared" si="29"/>
        <v>#N/A</v>
      </c>
      <c r="J296" t="e">
        <f t="shared" si="29"/>
        <v>#N/A</v>
      </c>
      <c r="K296" t="e">
        <f t="shared" si="29"/>
        <v>#N/A</v>
      </c>
      <c r="L296" t="e">
        <f t="shared" si="29"/>
        <v>#N/A</v>
      </c>
      <c r="M296" t="e">
        <f t="shared" si="29"/>
        <v>#N/A</v>
      </c>
      <c r="N296" t="e">
        <f t="shared" si="29"/>
        <v>#N/A</v>
      </c>
      <c r="O296" t="e">
        <f t="shared" si="29"/>
        <v>#N/A</v>
      </c>
      <c r="P296" t="e">
        <f t="shared" si="29"/>
        <v>#N/A</v>
      </c>
    </row>
    <row r="297" spans="1:16" x14ac:dyDescent="0.25">
      <c r="A297" t="e">
        <f>CUBEMEMBER("pbiazure://api.powerbi.com 6e064a38-7f82-4416-9451-8d82a554b559 Model","[Facilities].[DATIMName].&amp;[Ntwike Dispensary]")</f>
        <v>#N/A</v>
      </c>
      <c r="B297" t="e">
        <f t="shared" si="29"/>
        <v>#N/A</v>
      </c>
      <c r="C297" t="e">
        <f t="shared" si="29"/>
        <v>#N/A</v>
      </c>
      <c r="D297" t="e">
        <f t="shared" si="29"/>
        <v>#N/A</v>
      </c>
      <c r="E297" t="e">
        <f t="shared" si="29"/>
        <v>#N/A</v>
      </c>
      <c r="F297" t="e">
        <f t="shared" si="29"/>
        <v>#N/A</v>
      </c>
      <c r="G297" t="e">
        <f t="shared" si="29"/>
        <v>#N/A</v>
      </c>
      <c r="H297" t="e">
        <f t="shared" si="29"/>
        <v>#N/A</v>
      </c>
      <c r="I297" t="e">
        <f t="shared" si="29"/>
        <v>#N/A</v>
      </c>
      <c r="J297" t="e">
        <f t="shared" si="29"/>
        <v>#N/A</v>
      </c>
      <c r="K297" t="e">
        <f t="shared" si="29"/>
        <v>#N/A</v>
      </c>
      <c r="L297" t="e">
        <f t="shared" si="29"/>
        <v>#N/A</v>
      </c>
      <c r="M297" t="e">
        <f t="shared" si="29"/>
        <v>#N/A</v>
      </c>
      <c r="N297" t="e">
        <f t="shared" si="29"/>
        <v>#N/A</v>
      </c>
      <c r="O297" t="e">
        <f t="shared" si="29"/>
        <v>#N/A</v>
      </c>
      <c r="P297" t="e">
        <f t="shared" si="29"/>
        <v>#N/A</v>
      </c>
    </row>
    <row r="298" spans="1:16" x14ac:dyDescent="0.25">
      <c r="A298" t="e">
        <f>CUBEMEMBER("pbiazure://api.powerbi.com 6e064a38-7f82-4416-9451-8d82a554b559 Model","[Facilities].[DATIMName].&amp;[Nyumba ya Mungu Dispensary]")</f>
        <v>#N/A</v>
      </c>
      <c r="B298" t="e">
        <f t="shared" si="29"/>
        <v>#N/A</v>
      </c>
      <c r="C298" t="e">
        <f t="shared" si="29"/>
        <v>#N/A</v>
      </c>
      <c r="D298" t="e">
        <f t="shared" si="29"/>
        <v>#N/A</v>
      </c>
      <c r="E298" t="e">
        <f t="shared" si="29"/>
        <v>#N/A</v>
      </c>
      <c r="F298" t="e">
        <f t="shared" si="29"/>
        <v>#N/A</v>
      </c>
      <c r="G298" t="e">
        <f t="shared" si="29"/>
        <v>#N/A</v>
      </c>
      <c r="H298" t="e">
        <f t="shared" si="29"/>
        <v>#N/A</v>
      </c>
      <c r="I298" t="e">
        <f t="shared" si="29"/>
        <v>#N/A</v>
      </c>
      <c r="J298" t="e">
        <f t="shared" si="29"/>
        <v>#N/A</v>
      </c>
      <c r="K298" t="e">
        <f t="shared" si="29"/>
        <v>#N/A</v>
      </c>
      <c r="L298" t="e">
        <f t="shared" si="29"/>
        <v>#N/A</v>
      </c>
      <c r="M298" t="e">
        <f t="shared" si="29"/>
        <v>#N/A</v>
      </c>
      <c r="N298" t="e">
        <f t="shared" si="29"/>
        <v>#N/A</v>
      </c>
      <c r="O298" t="e">
        <f t="shared" si="29"/>
        <v>#N/A</v>
      </c>
      <c r="P298" t="e">
        <f t="shared" si="29"/>
        <v>#N/A</v>
      </c>
    </row>
    <row r="299" spans="1:16" x14ac:dyDescent="0.25">
      <c r="A299" t="e">
        <f>CUBEMEMBER("pbiazure://api.powerbi.com 6e064a38-7f82-4416-9451-8d82a554b559 Model","[Facilities].[DATIMName].&amp;[Nzungoni Dispensary]")</f>
        <v>#N/A</v>
      </c>
      <c r="B299" t="e">
        <f t="shared" si="29"/>
        <v>#N/A</v>
      </c>
      <c r="C299" t="e">
        <f t="shared" si="29"/>
        <v>#N/A</v>
      </c>
      <c r="D299" t="e">
        <f t="shared" si="29"/>
        <v>#N/A</v>
      </c>
      <c r="E299" t="e">
        <f t="shared" si="29"/>
        <v>#N/A</v>
      </c>
      <c r="F299" t="e">
        <f t="shared" si="29"/>
        <v>#N/A</v>
      </c>
      <c r="G299" t="e">
        <f t="shared" si="29"/>
        <v>#N/A</v>
      </c>
      <c r="H299" t="e">
        <f t="shared" si="29"/>
        <v>#N/A</v>
      </c>
      <c r="I299" t="e">
        <f t="shared" si="29"/>
        <v>#N/A</v>
      </c>
      <c r="J299" t="e">
        <f t="shared" si="29"/>
        <v>#N/A</v>
      </c>
      <c r="K299" t="e">
        <f t="shared" si="29"/>
        <v>#N/A</v>
      </c>
      <c r="L299" t="e">
        <f t="shared" si="29"/>
        <v>#N/A</v>
      </c>
      <c r="M299" t="e">
        <f t="shared" si="29"/>
        <v>#N/A</v>
      </c>
      <c r="N299" t="e">
        <f t="shared" si="29"/>
        <v>#N/A</v>
      </c>
      <c r="O299" t="e">
        <f t="shared" si="29"/>
        <v>#N/A</v>
      </c>
      <c r="P299" t="e">
        <f t="shared" si="29"/>
        <v>#N/A</v>
      </c>
    </row>
    <row r="300" spans="1:16" x14ac:dyDescent="0.25">
      <c r="A300" t="e">
        <f>CUBEMEMBER("pbiazure://api.powerbi.com 6e064a38-7f82-4416-9451-8d82a554b559 Model","[Facilities].[DATIMName].&amp;[Oldeani Health Center]")</f>
        <v>#N/A</v>
      </c>
      <c r="B300" t="e">
        <f t="shared" si="29"/>
        <v>#N/A</v>
      </c>
      <c r="C300" t="e">
        <f t="shared" si="29"/>
        <v>#N/A</v>
      </c>
      <c r="D300" t="e">
        <f t="shared" si="29"/>
        <v>#N/A</v>
      </c>
      <c r="E300" t="e">
        <f t="shared" si="29"/>
        <v>#N/A</v>
      </c>
      <c r="F300" t="e">
        <f t="shared" si="29"/>
        <v>#N/A</v>
      </c>
      <c r="G300" t="e">
        <f t="shared" si="29"/>
        <v>#N/A</v>
      </c>
      <c r="H300" t="e">
        <f t="shared" si="29"/>
        <v>#N/A</v>
      </c>
      <c r="I300" t="e">
        <f t="shared" si="29"/>
        <v>#N/A</v>
      </c>
      <c r="J300" t="e">
        <f t="shared" si="29"/>
        <v>#N/A</v>
      </c>
      <c r="K300" t="e">
        <f t="shared" si="29"/>
        <v>#N/A</v>
      </c>
      <c r="L300" t="e">
        <f t="shared" si="29"/>
        <v>#N/A</v>
      </c>
      <c r="M300" t="e">
        <f t="shared" si="29"/>
        <v>#N/A</v>
      </c>
      <c r="N300" t="e">
        <f t="shared" si="29"/>
        <v>#N/A</v>
      </c>
      <c r="O300" t="e">
        <f t="shared" si="29"/>
        <v>#N/A</v>
      </c>
      <c r="P300" t="e">
        <f t="shared" si="29"/>
        <v>#N/A</v>
      </c>
    </row>
    <row r="301" spans="1:16" x14ac:dyDescent="0.25">
      <c r="A301" t="e">
        <f>CUBEMEMBER("pbiazure://api.powerbi.com 6e064a38-7f82-4416-9451-8d82a554b559 Model","[Facilities].[DATIMName].&amp;[Oldonyo Sambu Health Center]")</f>
        <v>#N/A</v>
      </c>
      <c r="B301" t="e">
        <f t="shared" si="29"/>
        <v>#N/A</v>
      </c>
      <c r="C301" t="e">
        <f t="shared" si="29"/>
        <v>#N/A</v>
      </c>
      <c r="D301" t="e">
        <f t="shared" si="29"/>
        <v>#N/A</v>
      </c>
      <c r="E301" t="e">
        <f t="shared" si="29"/>
        <v>#N/A</v>
      </c>
      <c r="F301" t="e">
        <f t="shared" si="29"/>
        <v>#N/A</v>
      </c>
      <c r="G301" t="e">
        <f t="shared" si="29"/>
        <v>#N/A</v>
      </c>
      <c r="H301" t="e">
        <f t="shared" si="29"/>
        <v>#N/A</v>
      </c>
      <c r="I301" t="e">
        <f t="shared" si="29"/>
        <v>#N/A</v>
      </c>
      <c r="J301" t="e">
        <f t="shared" si="29"/>
        <v>#N/A</v>
      </c>
      <c r="K301" t="e">
        <f t="shared" si="29"/>
        <v>#N/A</v>
      </c>
      <c r="L301" t="e">
        <f t="shared" si="29"/>
        <v>#N/A</v>
      </c>
      <c r="M301" t="e">
        <f t="shared" si="29"/>
        <v>#N/A</v>
      </c>
      <c r="N301" t="e">
        <f t="shared" si="29"/>
        <v>#N/A</v>
      </c>
      <c r="O301" t="e">
        <f t="shared" si="29"/>
        <v>#N/A</v>
      </c>
      <c r="P301" t="e">
        <f t="shared" si="29"/>
        <v>#N/A</v>
      </c>
    </row>
    <row r="302" spans="1:16" x14ac:dyDescent="0.25">
      <c r="A302" t="e">
        <f>CUBEMEMBER("pbiazure://api.powerbi.com 6e064a38-7f82-4416-9451-8d82a554b559 Model","[Facilities].[DATIMName].&amp;[Olkokola RC Dispensary]")</f>
        <v>#N/A</v>
      </c>
      <c r="B302" t="e">
        <f t="shared" si="29"/>
        <v>#N/A</v>
      </c>
      <c r="C302" t="e">
        <f t="shared" si="29"/>
        <v>#N/A</v>
      </c>
      <c r="D302" t="e">
        <f t="shared" si="29"/>
        <v>#N/A</v>
      </c>
      <c r="E302" t="e">
        <f t="shared" si="29"/>
        <v>#N/A</v>
      </c>
      <c r="F302" t="e">
        <f t="shared" si="29"/>
        <v>#N/A</v>
      </c>
      <c r="G302" t="e">
        <f t="shared" si="29"/>
        <v>#N/A</v>
      </c>
      <c r="H302" t="e">
        <f t="shared" si="29"/>
        <v>#N/A</v>
      </c>
      <c r="I302" t="e">
        <f t="shared" si="29"/>
        <v>#N/A</v>
      </c>
      <c r="J302" t="e">
        <f t="shared" si="29"/>
        <v>#N/A</v>
      </c>
      <c r="K302" t="e">
        <f t="shared" si="29"/>
        <v>#N/A</v>
      </c>
      <c r="L302" t="e">
        <f t="shared" si="29"/>
        <v>#N/A</v>
      </c>
      <c r="M302" t="e">
        <f t="shared" si="29"/>
        <v>#N/A</v>
      </c>
      <c r="N302" t="e">
        <f t="shared" si="29"/>
        <v>#N/A</v>
      </c>
      <c r="O302" t="e">
        <f t="shared" si="29"/>
        <v>#N/A</v>
      </c>
      <c r="P302" t="e">
        <f t="shared" si="29"/>
        <v>#N/A</v>
      </c>
    </row>
    <row r="303" spans="1:16" x14ac:dyDescent="0.25">
      <c r="A303" t="e">
        <f>CUBEMEMBER("pbiazure://api.powerbi.com 6e064a38-7f82-4416-9451-8d82a554b559 Model","[Facilities].[DATIMName].&amp;[Oltrument Hospital - District Hospital]")</f>
        <v>#N/A</v>
      </c>
      <c r="B303" t="e">
        <f t="shared" si="29"/>
        <v>#N/A</v>
      </c>
      <c r="C303" t="e">
        <f t="shared" si="29"/>
        <v>#N/A</v>
      </c>
      <c r="D303" t="e">
        <f t="shared" si="29"/>
        <v>#N/A</v>
      </c>
      <c r="E303" t="e">
        <f t="shared" si="29"/>
        <v>#N/A</v>
      </c>
      <c r="F303" t="e">
        <f t="shared" si="29"/>
        <v>#N/A</v>
      </c>
      <c r="G303" t="e">
        <f t="shared" si="29"/>
        <v>#N/A</v>
      </c>
      <c r="H303" t="e">
        <f t="shared" si="29"/>
        <v>#N/A</v>
      </c>
      <c r="I303" t="e">
        <f t="shared" si="29"/>
        <v>#N/A</v>
      </c>
      <c r="J303" t="e">
        <f t="shared" si="29"/>
        <v>#N/A</v>
      </c>
      <c r="K303" t="e">
        <f t="shared" si="29"/>
        <v>#N/A</v>
      </c>
      <c r="L303" t="e">
        <f t="shared" si="29"/>
        <v>#N/A</v>
      </c>
      <c r="M303" t="e">
        <f t="shared" si="29"/>
        <v>#N/A</v>
      </c>
      <c r="N303" t="e">
        <f t="shared" si="29"/>
        <v>#N/A</v>
      </c>
      <c r="O303" t="e">
        <f t="shared" si="29"/>
        <v>#N/A</v>
      </c>
      <c r="P303" t="e">
        <f t="shared" si="29"/>
        <v>#N/A</v>
      </c>
    </row>
    <row r="304" spans="1:16" x14ac:dyDescent="0.25">
      <c r="A304" t="e">
        <f>CUBEMEMBER("pbiazure://api.powerbi.com 6e064a38-7f82-4416-9451-8d82a554b559 Model","[Facilities].[DATIMName].&amp;[Orkesumet KKKT Hospital]")</f>
        <v>#N/A</v>
      </c>
      <c r="B304" t="e">
        <f t="shared" si="29"/>
        <v>#N/A</v>
      </c>
      <c r="C304" t="e">
        <f t="shared" si="29"/>
        <v>#N/A</v>
      </c>
      <c r="D304" t="e">
        <f t="shared" si="29"/>
        <v>#N/A</v>
      </c>
      <c r="E304" t="e">
        <f t="shared" si="29"/>
        <v>#N/A</v>
      </c>
      <c r="F304" t="e">
        <f t="shared" si="29"/>
        <v>#N/A</v>
      </c>
      <c r="G304" t="e">
        <f t="shared" si="29"/>
        <v>#N/A</v>
      </c>
      <c r="H304" t="e">
        <f t="shared" si="29"/>
        <v>#N/A</v>
      </c>
      <c r="I304" t="e">
        <f t="shared" si="29"/>
        <v>#N/A</v>
      </c>
      <c r="J304" t="e">
        <f t="shared" si="29"/>
        <v>#N/A</v>
      </c>
      <c r="K304" t="e">
        <f t="shared" si="29"/>
        <v>#N/A</v>
      </c>
      <c r="L304" t="e">
        <f t="shared" si="29"/>
        <v>#N/A</v>
      </c>
      <c r="M304" t="e">
        <f t="shared" si="29"/>
        <v>#N/A</v>
      </c>
      <c r="N304" t="e">
        <f t="shared" si="29"/>
        <v>#N/A</v>
      </c>
      <c r="O304" t="e">
        <f t="shared" si="29"/>
        <v>#N/A</v>
      </c>
      <c r="P304" t="e">
        <f t="shared" si="29"/>
        <v>#N/A</v>
      </c>
    </row>
    <row r="305" spans="1:16" x14ac:dyDescent="0.25">
      <c r="A305" t="e">
        <f>CUBEMEMBER("pbiazure://api.powerbi.com 6e064a38-7f82-4416-9451-8d82a554b559 Model","[Facilities].[DATIMName].&amp;[Orkesumet UHC Health Center]")</f>
        <v>#N/A</v>
      </c>
      <c r="B305" t="e">
        <f t="shared" ref="B305:P314" si="30">CUBEVALUE("pbiazure://api.powerbi.com 6e064a38-7f82-4416-9451-8d82a554b559 Model",$B$1,$A305,B$4)</f>
        <v>#N/A</v>
      </c>
      <c r="C305" t="e">
        <f t="shared" si="30"/>
        <v>#N/A</v>
      </c>
      <c r="D305" t="e">
        <f t="shared" si="30"/>
        <v>#N/A</v>
      </c>
      <c r="E305" t="e">
        <f t="shared" si="30"/>
        <v>#N/A</v>
      </c>
      <c r="F305" t="e">
        <f t="shared" si="30"/>
        <v>#N/A</v>
      </c>
      <c r="G305" t="e">
        <f t="shared" si="30"/>
        <v>#N/A</v>
      </c>
      <c r="H305" t="e">
        <f t="shared" si="30"/>
        <v>#N/A</v>
      </c>
      <c r="I305" t="e">
        <f t="shared" si="30"/>
        <v>#N/A</v>
      </c>
      <c r="J305" t="e">
        <f t="shared" si="30"/>
        <v>#N/A</v>
      </c>
      <c r="K305" t="e">
        <f t="shared" si="30"/>
        <v>#N/A</v>
      </c>
      <c r="L305" t="e">
        <f t="shared" si="30"/>
        <v>#N/A</v>
      </c>
      <c r="M305" t="e">
        <f t="shared" si="30"/>
        <v>#N/A</v>
      </c>
      <c r="N305" t="e">
        <f t="shared" si="30"/>
        <v>#N/A</v>
      </c>
      <c r="O305" t="e">
        <f t="shared" si="30"/>
        <v>#N/A</v>
      </c>
      <c r="P305" t="e">
        <f t="shared" si="30"/>
        <v>#N/A</v>
      </c>
    </row>
    <row r="306" spans="1:16" x14ac:dyDescent="0.25">
      <c r="A306" t="e">
        <f>CUBEMEMBER("pbiazure://api.powerbi.com 6e064a38-7f82-4416-9451-8d82a554b559 Model","[Facilities].[DATIMName].&amp;[Pahi Dispensary]")</f>
        <v>#N/A</v>
      </c>
      <c r="B306" t="e">
        <f t="shared" si="30"/>
        <v>#N/A</v>
      </c>
      <c r="C306" t="e">
        <f t="shared" si="30"/>
        <v>#N/A</v>
      </c>
      <c r="D306" t="e">
        <f t="shared" si="30"/>
        <v>#N/A</v>
      </c>
      <c r="E306" t="e">
        <f t="shared" si="30"/>
        <v>#N/A</v>
      </c>
      <c r="F306" t="e">
        <f t="shared" si="30"/>
        <v>#N/A</v>
      </c>
      <c r="G306" t="e">
        <f t="shared" si="30"/>
        <v>#N/A</v>
      </c>
      <c r="H306" t="e">
        <f t="shared" si="30"/>
        <v>#N/A</v>
      </c>
      <c r="I306" t="e">
        <f t="shared" si="30"/>
        <v>#N/A</v>
      </c>
      <c r="J306" t="e">
        <f t="shared" si="30"/>
        <v>#N/A</v>
      </c>
      <c r="K306" t="e">
        <f t="shared" si="30"/>
        <v>#N/A</v>
      </c>
      <c r="L306" t="e">
        <f t="shared" si="30"/>
        <v>#N/A</v>
      </c>
      <c r="M306" t="e">
        <f t="shared" si="30"/>
        <v>#N/A</v>
      </c>
      <c r="N306" t="e">
        <f t="shared" si="30"/>
        <v>#N/A</v>
      </c>
      <c r="O306" t="e">
        <f t="shared" si="30"/>
        <v>#N/A</v>
      </c>
      <c r="P306" t="e">
        <f t="shared" si="30"/>
        <v>#N/A</v>
      </c>
    </row>
    <row r="307" spans="1:16" x14ac:dyDescent="0.25">
      <c r="A307" t="e">
        <f>CUBEMEMBER("pbiazure://api.powerbi.com 6e064a38-7f82-4416-9451-8d82a554b559 Model","[Facilities].[DATIMName].&amp;[Pandambili Dispensary]")</f>
        <v>#N/A</v>
      </c>
      <c r="B307" t="e">
        <f t="shared" si="30"/>
        <v>#N/A</v>
      </c>
      <c r="C307" t="e">
        <f t="shared" si="30"/>
        <v>#N/A</v>
      </c>
      <c r="D307" t="e">
        <f t="shared" si="30"/>
        <v>#N/A</v>
      </c>
      <c r="E307" t="e">
        <f t="shared" si="30"/>
        <v>#N/A</v>
      </c>
      <c r="F307" t="e">
        <f t="shared" si="30"/>
        <v>#N/A</v>
      </c>
      <c r="G307" t="e">
        <f t="shared" si="30"/>
        <v>#N/A</v>
      </c>
      <c r="H307" t="e">
        <f t="shared" si="30"/>
        <v>#N/A</v>
      </c>
      <c r="I307" t="e">
        <f t="shared" si="30"/>
        <v>#N/A</v>
      </c>
      <c r="J307" t="e">
        <f t="shared" si="30"/>
        <v>#N/A</v>
      </c>
      <c r="K307" t="e">
        <f t="shared" si="30"/>
        <v>#N/A</v>
      </c>
      <c r="L307" t="e">
        <f t="shared" si="30"/>
        <v>#N/A</v>
      </c>
      <c r="M307" t="e">
        <f t="shared" si="30"/>
        <v>#N/A</v>
      </c>
      <c r="N307" t="e">
        <f t="shared" si="30"/>
        <v>#N/A</v>
      </c>
      <c r="O307" t="e">
        <f t="shared" si="30"/>
        <v>#N/A</v>
      </c>
      <c r="P307" t="e">
        <f t="shared" si="30"/>
        <v>#N/A</v>
      </c>
    </row>
    <row r="308" spans="1:16" x14ac:dyDescent="0.25">
      <c r="A308" t="e">
        <f>CUBEMEMBER("pbiazure://api.powerbi.com 6e064a38-7f82-4416-9451-8d82a554b559 Model","[Facilities].[DATIMName].&amp;[Pasua Health Center]")</f>
        <v>#N/A</v>
      </c>
      <c r="B308" t="e">
        <f t="shared" si="30"/>
        <v>#N/A</v>
      </c>
      <c r="C308" t="e">
        <f t="shared" si="30"/>
        <v>#N/A</v>
      </c>
      <c r="D308" t="e">
        <f t="shared" si="30"/>
        <v>#N/A</v>
      </c>
      <c r="E308" t="e">
        <f t="shared" si="30"/>
        <v>#N/A</v>
      </c>
      <c r="F308" t="e">
        <f t="shared" si="30"/>
        <v>#N/A</v>
      </c>
      <c r="G308" t="e">
        <f t="shared" si="30"/>
        <v>#N/A</v>
      </c>
      <c r="H308" t="e">
        <f t="shared" si="30"/>
        <v>#N/A</v>
      </c>
      <c r="I308" t="e">
        <f t="shared" si="30"/>
        <v>#N/A</v>
      </c>
      <c r="J308" t="e">
        <f t="shared" si="30"/>
        <v>#N/A</v>
      </c>
      <c r="K308" t="e">
        <f t="shared" si="30"/>
        <v>#N/A</v>
      </c>
      <c r="L308" t="e">
        <f t="shared" si="30"/>
        <v>#N/A</v>
      </c>
      <c r="M308" t="e">
        <f t="shared" si="30"/>
        <v>#N/A</v>
      </c>
      <c r="N308" t="e">
        <f t="shared" si="30"/>
        <v>#N/A</v>
      </c>
      <c r="O308" t="e">
        <f t="shared" si="30"/>
        <v>#N/A</v>
      </c>
      <c r="P308" t="e">
        <f t="shared" si="30"/>
        <v>#N/A</v>
      </c>
    </row>
    <row r="309" spans="1:16" x14ac:dyDescent="0.25">
      <c r="A309" t="e">
        <f>CUBEMEMBER("pbiazure://api.powerbi.com 6e064a38-7f82-4416-9451-8d82a554b559 Model","[Facilities].[DATIMName].&amp;[Puma Dispensary]")</f>
        <v>#N/A</v>
      </c>
      <c r="B309" t="e">
        <f t="shared" si="30"/>
        <v>#N/A</v>
      </c>
      <c r="C309" t="e">
        <f t="shared" si="30"/>
        <v>#N/A</v>
      </c>
      <c r="D309" t="e">
        <f t="shared" si="30"/>
        <v>#N/A</v>
      </c>
      <c r="E309" t="e">
        <f t="shared" si="30"/>
        <v>#N/A</v>
      </c>
      <c r="F309" t="e">
        <f t="shared" si="30"/>
        <v>#N/A</v>
      </c>
      <c r="G309" t="e">
        <f t="shared" si="30"/>
        <v>#N/A</v>
      </c>
      <c r="H309" t="e">
        <f t="shared" si="30"/>
        <v>#N/A</v>
      </c>
      <c r="I309" t="e">
        <f t="shared" si="30"/>
        <v>#N/A</v>
      </c>
      <c r="J309" t="e">
        <f t="shared" si="30"/>
        <v>#N/A</v>
      </c>
      <c r="K309" t="e">
        <f t="shared" si="30"/>
        <v>#N/A</v>
      </c>
      <c r="L309" t="e">
        <f t="shared" si="30"/>
        <v>#N/A</v>
      </c>
      <c r="M309" t="e">
        <f t="shared" si="30"/>
        <v>#N/A</v>
      </c>
      <c r="N309" t="e">
        <f t="shared" si="30"/>
        <v>#N/A</v>
      </c>
      <c r="O309" t="e">
        <f t="shared" si="30"/>
        <v>#N/A</v>
      </c>
      <c r="P309" t="e">
        <f t="shared" si="30"/>
        <v>#N/A</v>
      </c>
    </row>
    <row r="310" spans="1:16" x14ac:dyDescent="0.25">
      <c r="A310" t="e">
        <f>CUBEMEMBER("pbiazure://api.powerbi.com 6e064a38-7f82-4416-9451-8d82a554b559 Model","[Facilities].[DATIMName].&amp;[Pwaga Dispensary]")</f>
        <v>#N/A</v>
      </c>
      <c r="B310" t="e">
        <f t="shared" si="30"/>
        <v>#N/A</v>
      </c>
      <c r="C310" t="e">
        <f t="shared" si="30"/>
        <v>#N/A</v>
      </c>
      <c r="D310" t="e">
        <f t="shared" si="30"/>
        <v>#N/A</v>
      </c>
      <c r="E310" t="e">
        <f t="shared" si="30"/>
        <v>#N/A</v>
      </c>
      <c r="F310" t="e">
        <f t="shared" si="30"/>
        <v>#N/A</v>
      </c>
      <c r="G310" t="e">
        <f t="shared" si="30"/>
        <v>#N/A</v>
      </c>
      <c r="H310" t="e">
        <f t="shared" si="30"/>
        <v>#N/A</v>
      </c>
      <c r="I310" t="e">
        <f t="shared" si="30"/>
        <v>#N/A</v>
      </c>
      <c r="J310" t="e">
        <f t="shared" si="30"/>
        <v>#N/A</v>
      </c>
      <c r="K310" t="e">
        <f t="shared" si="30"/>
        <v>#N/A</v>
      </c>
      <c r="L310" t="e">
        <f t="shared" si="30"/>
        <v>#N/A</v>
      </c>
      <c r="M310" t="e">
        <f t="shared" si="30"/>
        <v>#N/A</v>
      </c>
      <c r="N310" t="e">
        <f t="shared" si="30"/>
        <v>#N/A</v>
      </c>
      <c r="O310" t="e">
        <f t="shared" si="30"/>
        <v>#N/A</v>
      </c>
      <c r="P310" t="e">
        <f t="shared" si="30"/>
        <v>#N/A</v>
      </c>
    </row>
    <row r="311" spans="1:16" x14ac:dyDescent="0.25">
      <c r="A311" t="e">
        <f>CUBEMEMBER("pbiazure://api.powerbi.com 6e064a38-7f82-4416-9451-8d82a554b559 Model","[Facilities].[DATIMName].&amp;[Queen of Universal Hospital]")</f>
        <v>#N/A</v>
      </c>
      <c r="B311" t="e">
        <f t="shared" si="30"/>
        <v>#N/A</v>
      </c>
      <c r="C311" t="e">
        <f t="shared" si="30"/>
        <v>#N/A</v>
      </c>
      <c r="D311" t="e">
        <f t="shared" si="30"/>
        <v>#N/A</v>
      </c>
      <c r="E311" t="e">
        <f t="shared" si="30"/>
        <v>#N/A</v>
      </c>
      <c r="F311" t="e">
        <f t="shared" si="30"/>
        <v>#N/A</v>
      </c>
      <c r="G311" t="e">
        <f t="shared" si="30"/>
        <v>#N/A</v>
      </c>
      <c r="H311" t="e">
        <f t="shared" si="30"/>
        <v>#N/A</v>
      </c>
      <c r="I311" t="e">
        <f t="shared" si="30"/>
        <v>#N/A</v>
      </c>
      <c r="J311" t="e">
        <f t="shared" si="30"/>
        <v>#N/A</v>
      </c>
      <c r="K311" t="e">
        <f t="shared" si="30"/>
        <v>#N/A</v>
      </c>
      <c r="L311" t="e">
        <f t="shared" si="30"/>
        <v>#N/A</v>
      </c>
      <c r="M311" t="e">
        <f t="shared" si="30"/>
        <v>#N/A</v>
      </c>
      <c r="N311" t="e">
        <f t="shared" si="30"/>
        <v>#N/A</v>
      </c>
      <c r="O311" t="e">
        <f t="shared" si="30"/>
        <v>#N/A</v>
      </c>
      <c r="P311" t="e">
        <f t="shared" si="30"/>
        <v>#N/A</v>
      </c>
    </row>
    <row r="312" spans="1:16" x14ac:dyDescent="0.25">
      <c r="A312" t="e">
        <f>CUBEMEMBER("pbiazure://api.powerbi.com 6e064a38-7f82-4416-9451-8d82a554b559 Model","[Facilities].[DATIMName].&amp;[Railway Dispensary]")</f>
        <v>#N/A</v>
      </c>
      <c r="B312" t="e">
        <f t="shared" si="30"/>
        <v>#N/A</v>
      </c>
      <c r="C312" t="e">
        <f t="shared" si="30"/>
        <v>#N/A</v>
      </c>
      <c r="D312" t="e">
        <f t="shared" si="30"/>
        <v>#N/A</v>
      </c>
      <c r="E312" t="e">
        <f t="shared" si="30"/>
        <v>#N/A</v>
      </c>
      <c r="F312" t="e">
        <f t="shared" si="30"/>
        <v>#N/A</v>
      </c>
      <c r="G312" t="e">
        <f t="shared" si="30"/>
        <v>#N/A</v>
      </c>
      <c r="H312" t="e">
        <f t="shared" si="30"/>
        <v>#N/A</v>
      </c>
      <c r="I312" t="e">
        <f t="shared" si="30"/>
        <v>#N/A</v>
      </c>
      <c r="J312" t="e">
        <f t="shared" si="30"/>
        <v>#N/A</v>
      </c>
      <c r="K312" t="e">
        <f t="shared" si="30"/>
        <v>#N/A</v>
      </c>
      <c r="L312" t="e">
        <f t="shared" si="30"/>
        <v>#N/A</v>
      </c>
      <c r="M312" t="e">
        <f t="shared" si="30"/>
        <v>#N/A</v>
      </c>
      <c r="N312" t="e">
        <f t="shared" si="30"/>
        <v>#N/A</v>
      </c>
      <c r="O312" t="e">
        <f t="shared" si="30"/>
        <v>#N/A</v>
      </c>
      <c r="P312" t="e">
        <f t="shared" si="30"/>
        <v>#N/A</v>
      </c>
    </row>
    <row r="313" spans="1:16" x14ac:dyDescent="0.25">
      <c r="A313" t="e">
        <f>CUBEMEMBER("pbiazure://api.powerbi.com 6e064a38-7f82-4416-9451-8d82a554b559 Model","[Facilities].[DATIMName].&amp;[Rau Dispensary]")</f>
        <v>#N/A</v>
      </c>
      <c r="B313" t="e">
        <f t="shared" si="30"/>
        <v>#N/A</v>
      </c>
      <c r="C313" t="e">
        <f t="shared" si="30"/>
        <v>#N/A</v>
      </c>
      <c r="D313" t="e">
        <f t="shared" si="30"/>
        <v>#N/A</v>
      </c>
      <c r="E313" t="e">
        <f t="shared" si="30"/>
        <v>#N/A</v>
      </c>
      <c r="F313" t="e">
        <f t="shared" si="30"/>
        <v>#N/A</v>
      </c>
      <c r="G313" t="e">
        <f t="shared" si="30"/>
        <v>#N/A</v>
      </c>
      <c r="H313" t="e">
        <f t="shared" si="30"/>
        <v>#N/A</v>
      </c>
      <c r="I313" t="e">
        <f t="shared" si="30"/>
        <v>#N/A</v>
      </c>
      <c r="J313" t="e">
        <f t="shared" si="30"/>
        <v>#N/A</v>
      </c>
      <c r="K313" t="e">
        <f t="shared" si="30"/>
        <v>#N/A</v>
      </c>
      <c r="L313" t="e">
        <f t="shared" si="30"/>
        <v>#N/A</v>
      </c>
      <c r="M313" t="e">
        <f t="shared" si="30"/>
        <v>#N/A</v>
      </c>
      <c r="N313" t="e">
        <f t="shared" si="30"/>
        <v>#N/A</v>
      </c>
      <c r="O313" t="e">
        <f t="shared" si="30"/>
        <v>#N/A</v>
      </c>
      <c r="P313" t="e">
        <f t="shared" si="30"/>
        <v>#N/A</v>
      </c>
    </row>
    <row r="314" spans="1:16" x14ac:dyDescent="0.25">
      <c r="A314" t="e">
        <f>CUBEMEMBER("pbiazure://api.powerbi.com 6e064a38-7f82-4416-9451-8d82a554b559 Model","[Facilities].[DATIMName].&amp;[Rhotia RC Health Center]")</f>
        <v>#N/A</v>
      </c>
      <c r="B314" t="e">
        <f t="shared" si="30"/>
        <v>#N/A</v>
      </c>
      <c r="C314" t="e">
        <f t="shared" si="30"/>
        <v>#N/A</v>
      </c>
      <c r="D314" t="e">
        <f t="shared" si="30"/>
        <v>#N/A</v>
      </c>
      <c r="E314" t="e">
        <f t="shared" si="30"/>
        <v>#N/A</v>
      </c>
      <c r="F314" t="e">
        <f t="shared" si="30"/>
        <v>#N/A</v>
      </c>
      <c r="G314" t="e">
        <f t="shared" si="30"/>
        <v>#N/A</v>
      </c>
      <c r="H314" t="e">
        <f t="shared" si="30"/>
        <v>#N/A</v>
      </c>
      <c r="I314" t="e">
        <f t="shared" si="30"/>
        <v>#N/A</v>
      </c>
      <c r="J314" t="e">
        <f t="shared" si="30"/>
        <v>#N/A</v>
      </c>
      <c r="K314" t="e">
        <f t="shared" si="30"/>
        <v>#N/A</v>
      </c>
      <c r="L314" t="e">
        <f t="shared" si="30"/>
        <v>#N/A</v>
      </c>
      <c r="M314" t="e">
        <f t="shared" si="30"/>
        <v>#N/A</v>
      </c>
      <c r="N314" t="e">
        <f t="shared" si="30"/>
        <v>#N/A</v>
      </c>
      <c r="O314" t="e">
        <f t="shared" si="30"/>
        <v>#N/A</v>
      </c>
      <c r="P314" t="e">
        <f t="shared" si="30"/>
        <v>#N/A</v>
      </c>
    </row>
    <row r="315" spans="1:16" x14ac:dyDescent="0.25">
      <c r="A315" t="e">
        <f>CUBEMEMBER("pbiazure://api.powerbi.com 6e064a38-7f82-4416-9451-8d82a554b559 Model","[Facilities].[DATIMName].&amp;[Riroda Dispensary]")</f>
        <v>#N/A</v>
      </c>
      <c r="B315" t="e">
        <f t="shared" ref="B315:P324" si="31">CUBEVALUE("pbiazure://api.powerbi.com 6e064a38-7f82-4416-9451-8d82a554b559 Model",$B$1,$A315,B$4)</f>
        <v>#N/A</v>
      </c>
      <c r="C315" t="e">
        <f t="shared" si="31"/>
        <v>#N/A</v>
      </c>
      <c r="D315" t="e">
        <f t="shared" si="31"/>
        <v>#N/A</v>
      </c>
      <c r="E315" t="e">
        <f t="shared" si="31"/>
        <v>#N/A</v>
      </c>
      <c r="F315" t="e">
        <f t="shared" si="31"/>
        <v>#N/A</v>
      </c>
      <c r="G315" t="e">
        <f t="shared" si="31"/>
        <v>#N/A</v>
      </c>
      <c r="H315" t="e">
        <f t="shared" si="31"/>
        <v>#N/A</v>
      </c>
      <c r="I315" t="e">
        <f t="shared" si="31"/>
        <v>#N/A</v>
      </c>
      <c r="J315" t="e">
        <f t="shared" si="31"/>
        <v>#N/A</v>
      </c>
      <c r="K315" t="e">
        <f t="shared" si="31"/>
        <v>#N/A</v>
      </c>
      <c r="L315" t="e">
        <f t="shared" si="31"/>
        <v>#N/A</v>
      </c>
      <c r="M315" t="e">
        <f t="shared" si="31"/>
        <v>#N/A</v>
      </c>
      <c r="N315" t="e">
        <f t="shared" si="31"/>
        <v>#N/A</v>
      </c>
      <c r="O315" t="e">
        <f t="shared" si="31"/>
        <v>#N/A</v>
      </c>
      <c r="P315" t="e">
        <f t="shared" si="31"/>
        <v>#N/A</v>
      </c>
    </row>
    <row r="316" spans="1:16" x14ac:dyDescent="0.25">
      <c r="A316" t="e">
        <f>CUBEMEMBER("pbiazure://api.powerbi.com 6e064a38-7f82-4416-9451-8d82a554b559 Model","[Facilities].[DATIMName].&amp;[Riroda public Dispensary]")</f>
        <v>#N/A</v>
      </c>
      <c r="B316" t="e">
        <f t="shared" si="31"/>
        <v>#N/A</v>
      </c>
      <c r="C316" t="e">
        <f t="shared" si="31"/>
        <v>#N/A</v>
      </c>
      <c r="D316" t="e">
        <f t="shared" si="31"/>
        <v>#N/A</v>
      </c>
      <c r="E316" t="e">
        <f t="shared" si="31"/>
        <v>#N/A</v>
      </c>
      <c r="F316" t="e">
        <f t="shared" si="31"/>
        <v>#N/A</v>
      </c>
      <c r="G316" t="e">
        <f t="shared" si="31"/>
        <v>#N/A</v>
      </c>
      <c r="H316" t="e">
        <f t="shared" si="31"/>
        <v>#N/A</v>
      </c>
      <c r="I316" t="e">
        <f t="shared" si="31"/>
        <v>#N/A</v>
      </c>
      <c r="J316" t="e">
        <f t="shared" si="31"/>
        <v>#N/A</v>
      </c>
      <c r="K316" t="e">
        <f t="shared" si="31"/>
        <v>#N/A</v>
      </c>
      <c r="L316" t="e">
        <f t="shared" si="31"/>
        <v>#N/A</v>
      </c>
      <c r="M316" t="e">
        <f t="shared" si="31"/>
        <v>#N/A</v>
      </c>
      <c r="N316" t="e">
        <f t="shared" si="31"/>
        <v>#N/A</v>
      </c>
      <c r="O316" t="e">
        <f t="shared" si="31"/>
        <v>#N/A</v>
      </c>
      <c r="P316" t="e">
        <f t="shared" si="31"/>
        <v>#N/A</v>
      </c>
    </row>
    <row r="317" spans="1:16" x14ac:dyDescent="0.25">
      <c r="A317" t="e">
        <f>CUBEMEMBER("pbiazure://api.powerbi.com 6e064a38-7f82-4416-9451-8d82a554b559 Model","[Facilities].[DATIMName].&amp;[Rongai Dispensary]")</f>
        <v>#N/A</v>
      </c>
      <c r="B317" t="e">
        <f t="shared" si="31"/>
        <v>#N/A</v>
      </c>
      <c r="C317" t="e">
        <f t="shared" si="31"/>
        <v>#N/A</v>
      </c>
      <c r="D317" t="e">
        <f t="shared" si="31"/>
        <v>#N/A</v>
      </c>
      <c r="E317" t="e">
        <f t="shared" si="31"/>
        <v>#N/A</v>
      </c>
      <c r="F317" t="e">
        <f t="shared" si="31"/>
        <v>#N/A</v>
      </c>
      <c r="G317" t="e">
        <f t="shared" si="31"/>
        <v>#N/A</v>
      </c>
      <c r="H317" t="e">
        <f t="shared" si="31"/>
        <v>#N/A</v>
      </c>
      <c r="I317" t="e">
        <f t="shared" si="31"/>
        <v>#N/A</v>
      </c>
      <c r="J317" t="e">
        <f t="shared" si="31"/>
        <v>#N/A</v>
      </c>
      <c r="K317" t="e">
        <f t="shared" si="31"/>
        <v>#N/A</v>
      </c>
      <c r="L317" t="e">
        <f t="shared" si="31"/>
        <v>#N/A</v>
      </c>
      <c r="M317" t="e">
        <f t="shared" si="31"/>
        <v>#N/A</v>
      </c>
      <c r="N317" t="e">
        <f t="shared" si="31"/>
        <v>#N/A</v>
      </c>
      <c r="O317" t="e">
        <f t="shared" si="31"/>
        <v>#N/A</v>
      </c>
      <c r="P317" t="e">
        <f t="shared" si="31"/>
        <v>#N/A</v>
      </c>
    </row>
    <row r="318" spans="1:16" x14ac:dyDescent="0.25">
      <c r="A318" t="e">
        <f>CUBEMEMBER("pbiazure://api.powerbi.com 6e064a38-7f82-4416-9451-8d82a554b559 Model","[Facilities].[DATIMName].&amp;[Rudi Health Center]")</f>
        <v>#N/A</v>
      </c>
      <c r="B318" t="e">
        <f t="shared" si="31"/>
        <v>#N/A</v>
      </c>
      <c r="C318" t="e">
        <f t="shared" si="31"/>
        <v>#N/A</v>
      </c>
      <c r="D318" t="e">
        <f t="shared" si="31"/>
        <v>#N/A</v>
      </c>
      <c r="E318" t="e">
        <f t="shared" si="31"/>
        <v>#N/A</v>
      </c>
      <c r="F318" t="e">
        <f t="shared" si="31"/>
        <v>#N/A</v>
      </c>
      <c r="G318" t="e">
        <f t="shared" si="31"/>
        <v>#N/A</v>
      </c>
      <c r="H318" t="e">
        <f t="shared" si="31"/>
        <v>#N/A</v>
      </c>
      <c r="I318" t="e">
        <f t="shared" si="31"/>
        <v>#N/A</v>
      </c>
      <c r="J318" t="e">
        <f t="shared" si="31"/>
        <v>#N/A</v>
      </c>
      <c r="K318" t="e">
        <f t="shared" si="31"/>
        <v>#N/A</v>
      </c>
      <c r="L318" t="e">
        <f t="shared" si="31"/>
        <v>#N/A</v>
      </c>
      <c r="M318" t="e">
        <f t="shared" si="31"/>
        <v>#N/A</v>
      </c>
      <c r="N318" t="e">
        <f t="shared" si="31"/>
        <v>#N/A</v>
      </c>
      <c r="O318" t="e">
        <f t="shared" si="31"/>
        <v>#N/A</v>
      </c>
      <c r="P318" t="e">
        <f t="shared" si="31"/>
        <v>#N/A</v>
      </c>
    </row>
    <row r="319" spans="1:16" x14ac:dyDescent="0.25">
      <c r="A319" t="e">
        <f>CUBEMEMBER("pbiazure://api.powerbi.com 6e064a38-7f82-4416-9451-8d82a554b559 Model","[Facilities].[DATIMName].&amp;[Rundugai Dispensary]")</f>
        <v>#N/A</v>
      </c>
      <c r="B319" t="e">
        <f t="shared" si="31"/>
        <v>#N/A</v>
      </c>
      <c r="C319" t="e">
        <f t="shared" si="31"/>
        <v>#N/A</v>
      </c>
      <c r="D319" t="e">
        <f t="shared" si="31"/>
        <v>#N/A</v>
      </c>
      <c r="E319" t="e">
        <f t="shared" si="31"/>
        <v>#N/A</v>
      </c>
      <c r="F319" t="e">
        <f t="shared" si="31"/>
        <v>#N/A</v>
      </c>
      <c r="G319" t="e">
        <f t="shared" si="31"/>
        <v>#N/A</v>
      </c>
      <c r="H319" t="e">
        <f t="shared" si="31"/>
        <v>#N/A</v>
      </c>
      <c r="I319" t="e">
        <f t="shared" si="31"/>
        <v>#N/A</v>
      </c>
      <c r="J319" t="e">
        <f t="shared" si="31"/>
        <v>#N/A</v>
      </c>
      <c r="K319" t="e">
        <f t="shared" si="31"/>
        <v>#N/A</v>
      </c>
      <c r="L319" t="e">
        <f t="shared" si="31"/>
        <v>#N/A</v>
      </c>
      <c r="M319" t="e">
        <f t="shared" si="31"/>
        <v>#N/A</v>
      </c>
      <c r="N319" t="e">
        <f t="shared" si="31"/>
        <v>#N/A</v>
      </c>
      <c r="O319" t="e">
        <f t="shared" si="31"/>
        <v>#N/A</v>
      </c>
      <c r="P319" t="e">
        <f t="shared" si="31"/>
        <v>#N/A</v>
      </c>
    </row>
    <row r="320" spans="1:16" x14ac:dyDescent="0.25">
      <c r="A320" t="e">
        <f>CUBEMEMBER("pbiazure://api.powerbi.com 6e064a38-7f82-4416-9451-8d82a554b559 Model","[Facilities].[DATIMName].&amp;[Rungwa Dispensary]")</f>
        <v>#N/A</v>
      </c>
      <c r="B320" t="e">
        <f t="shared" si="31"/>
        <v>#N/A</v>
      </c>
      <c r="C320" t="e">
        <f t="shared" si="31"/>
        <v>#N/A</v>
      </c>
      <c r="D320" t="e">
        <f t="shared" si="31"/>
        <v>#N/A</v>
      </c>
      <c r="E320" t="e">
        <f t="shared" si="31"/>
        <v>#N/A</v>
      </c>
      <c r="F320" t="e">
        <f t="shared" si="31"/>
        <v>#N/A</v>
      </c>
      <c r="G320" t="e">
        <f t="shared" si="31"/>
        <v>#N/A</v>
      </c>
      <c r="H320" t="e">
        <f t="shared" si="31"/>
        <v>#N/A</v>
      </c>
      <c r="I320" t="e">
        <f t="shared" si="31"/>
        <v>#N/A</v>
      </c>
      <c r="J320" t="e">
        <f t="shared" si="31"/>
        <v>#N/A</v>
      </c>
      <c r="K320" t="e">
        <f t="shared" si="31"/>
        <v>#N/A</v>
      </c>
      <c r="L320" t="e">
        <f t="shared" si="31"/>
        <v>#N/A</v>
      </c>
      <c r="M320" t="e">
        <f t="shared" si="31"/>
        <v>#N/A</v>
      </c>
      <c r="N320" t="e">
        <f t="shared" si="31"/>
        <v>#N/A</v>
      </c>
      <c r="O320" t="e">
        <f t="shared" si="31"/>
        <v>#N/A</v>
      </c>
      <c r="P320" t="e">
        <f t="shared" si="31"/>
        <v>#N/A</v>
      </c>
    </row>
    <row r="321" spans="1:16" x14ac:dyDescent="0.25">
      <c r="A321" t="e">
        <f>CUBEMEMBER("pbiazure://api.powerbi.com 6e064a38-7f82-4416-9451-8d82a554b559 Model","[Facilities].[DATIMName].&amp;[Ruvu Remit Dispensary]")</f>
        <v>#N/A</v>
      </c>
      <c r="B321" t="e">
        <f t="shared" si="31"/>
        <v>#N/A</v>
      </c>
      <c r="C321" t="e">
        <f t="shared" si="31"/>
        <v>#N/A</v>
      </c>
      <c r="D321" t="e">
        <f t="shared" si="31"/>
        <v>#N/A</v>
      </c>
      <c r="E321" t="e">
        <f t="shared" si="31"/>
        <v>#N/A</v>
      </c>
      <c r="F321" t="e">
        <f t="shared" si="31"/>
        <v>#N/A</v>
      </c>
      <c r="G321" t="e">
        <f t="shared" si="31"/>
        <v>#N/A</v>
      </c>
      <c r="H321" t="e">
        <f t="shared" si="31"/>
        <v>#N/A</v>
      </c>
      <c r="I321" t="e">
        <f t="shared" si="31"/>
        <v>#N/A</v>
      </c>
      <c r="J321" t="e">
        <f t="shared" si="31"/>
        <v>#N/A</v>
      </c>
      <c r="K321" t="e">
        <f t="shared" si="31"/>
        <v>#N/A</v>
      </c>
      <c r="L321" t="e">
        <f t="shared" si="31"/>
        <v>#N/A</v>
      </c>
      <c r="M321" t="e">
        <f t="shared" si="31"/>
        <v>#N/A</v>
      </c>
      <c r="N321" t="e">
        <f t="shared" si="31"/>
        <v>#N/A</v>
      </c>
      <c r="O321" t="e">
        <f t="shared" si="31"/>
        <v>#N/A</v>
      </c>
      <c r="P321" t="e">
        <f t="shared" si="31"/>
        <v>#N/A</v>
      </c>
    </row>
    <row r="322" spans="1:16" x14ac:dyDescent="0.25">
      <c r="A322" t="e">
        <f>CUBEMEMBER("pbiazure://api.powerbi.com 6e064a38-7f82-4416-9451-8d82a554b559 Model","[Facilities].[DATIMName].&amp;[Sabilo Dispensary]")</f>
        <v>#N/A</v>
      </c>
      <c r="B322" t="e">
        <f t="shared" si="31"/>
        <v>#N/A</v>
      </c>
      <c r="C322" t="e">
        <f t="shared" si="31"/>
        <v>#N/A</v>
      </c>
      <c r="D322" t="e">
        <f t="shared" si="31"/>
        <v>#N/A</v>
      </c>
      <c r="E322" t="e">
        <f t="shared" si="31"/>
        <v>#N/A</v>
      </c>
      <c r="F322" t="e">
        <f t="shared" si="31"/>
        <v>#N/A</v>
      </c>
      <c r="G322" t="e">
        <f t="shared" si="31"/>
        <v>#N/A</v>
      </c>
      <c r="H322" t="e">
        <f t="shared" si="31"/>
        <v>#N/A</v>
      </c>
      <c r="I322" t="e">
        <f t="shared" si="31"/>
        <v>#N/A</v>
      </c>
      <c r="J322" t="e">
        <f t="shared" si="31"/>
        <v>#N/A</v>
      </c>
      <c r="K322" t="e">
        <f t="shared" si="31"/>
        <v>#N/A</v>
      </c>
      <c r="L322" t="e">
        <f t="shared" si="31"/>
        <v>#N/A</v>
      </c>
      <c r="M322" t="e">
        <f t="shared" si="31"/>
        <v>#N/A</v>
      </c>
      <c r="N322" t="e">
        <f t="shared" si="31"/>
        <v>#N/A</v>
      </c>
      <c r="O322" t="e">
        <f t="shared" si="31"/>
        <v>#N/A</v>
      </c>
      <c r="P322" t="e">
        <f t="shared" si="31"/>
        <v>#N/A</v>
      </c>
    </row>
    <row r="323" spans="1:16" x14ac:dyDescent="0.25">
      <c r="A323" t="e">
        <f>CUBEMEMBER("pbiazure://api.powerbi.com 6e064a38-7f82-4416-9451-8d82a554b559 Model","[Facilities].[DATIMName].&amp;[Sagara Dispensary]")</f>
        <v>#N/A</v>
      </c>
      <c r="B323" t="e">
        <f t="shared" si="31"/>
        <v>#N/A</v>
      </c>
      <c r="C323" t="e">
        <f t="shared" si="31"/>
        <v>#N/A</v>
      </c>
      <c r="D323" t="e">
        <f t="shared" si="31"/>
        <v>#N/A</v>
      </c>
      <c r="E323" t="e">
        <f t="shared" si="31"/>
        <v>#N/A</v>
      </c>
      <c r="F323" t="e">
        <f t="shared" si="31"/>
        <v>#N/A</v>
      </c>
      <c r="G323" t="e">
        <f t="shared" si="31"/>
        <v>#N/A</v>
      </c>
      <c r="H323" t="e">
        <f t="shared" si="31"/>
        <v>#N/A</v>
      </c>
      <c r="I323" t="e">
        <f t="shared" si="31"/>
        <v>#N/A</v>
      </c>
      <c r="J323" t="e">
        <f t="shared" si="31"/>
        <v>#N/A</v>
      </c>
      <c r="K323" t="e">
        <f t="shared" si="31"/>
        <v>#N/A</v>
      </c>
      <c r="L323" t="e">
        <f t="shared" si="31"/>
        <v>#N/A</v>
      </c>
      <c r="M323" t="e">
        <f t="shared" si="31"/>
        <v>#N/A</v>
      </c>
      <c r="N323" t="e">
        <f t="shared" si="31"/>
        <v>#N/A</v>
      </c>
      <c r="O323" t="e">
        <f t="shared" si="31"/>
        <v>#N/A</v>
      </c>
      <c r="P323" t="e">
        <f t="shared" si="31"/>
        <v>#N/A</v>
      </c>
    </row>
    <row r="324" spans="1:16" x14ac:dyDescent="0.25">
      <c r="A324" t="e">
        <f>CUBEMEMBER("pbiazure://api.powerbi.com 6e064a38-7f82-4416-9451-8d82a554b559 Model","[Facilities].[DATIMName].&amp;[Sakami Dispensary]")</f>
        <v>#N/A</v>
      </c>
      <c r="B324" t="e">
        <f t="shared" si="31"/>
        <v>#N/A</v>
      </c>
      <c r="C324" t="e">
        <f t="shared" si="31"/>
        <v>#N/A</v>
      </c>
      <c r="D324" t="e">
        <f t="shared" si="31"/>
        <v>#N/A</v>
      </c>
      <c r="E324" t="e">
        <f t="shared" si="31"/>
        <v>#N/A</v>
      </c>
      <c r="F324" t="e">
        <f t="shared" si="31"/>
        <v>#N/A</v>
      </c>
      <c r="G324" t="e">
        <f t="shared" si="31"/>
        <v>#N/A</v>
      </c>
      <c r="H324" t="e">
        <f t="shared" si="31"/>
        <v>#N/A</v>
      </c>
      <c r="I324" t="e">
        <f t="shared" si="31"/>
        <v>#N/A</v>
      </c>
      <c r="J324" t="e">
        <f t="shared" si="31"/>
        <v>#N/A</v>
      </c>
      <c r="K324" t="e">
        <f t="shared" si="31"/>
        <v>#N/A</v>
      </c>
      <c r="L324" t="e">
        <f t="shared" si="31"/>
        <v>#N/A</v>
      </c>
      <c r="M324" t="e">
        <f t="shared" si="31"/>
        <v>#N/A</v>
      </c>
      <c r="N324" t="e">
        <f t="shared" si="31"/>
        <v>#N/A</v>
      </c>
      <c r="O324" t="e">
        <f t="shared" si="31"/>
        <v>#N/A</v>
      </c>
      <c r="P324" t="e">
        <f t="shared" si="31"/>
        <v>#N/A</v>
      </c>
    </row>
    <row r="325" spans="1:16" x14ac:dyDescent="0.25">
      <c r="A325" t="e">
        <f>CUBEMEMBER("pbiazure://api.powerbi.com 6e064a38-7f82-4416-9451-8d82a554b559 Model","[Facilities].[DATIMName].&amp;[Sambasha Dispensary]")</f>
        <v>#N/A</v>
      </c>
      <c r="B325" t="e">
        <f t="shared" ref="B325:P334" si="32">CUBEVALUE("pbiazure://api.powerbi.com 6e064a38-7f82-4416-9451-8d82a554b559 Model",$B$1,$A325,B$4)</f>
        <v>#N/A</v>
      </c>
      <c r="C325" t="e">
        <f t="shared" si="32"/>
        <v>#N/A</v>
      </c>
      <c r="D325" t="e">
        <f t="shared" si="32"/>
        <v>#N/A</v>
      </c>
      <c r="E325" t="e">
        <f t="shared" si="32"/>
        <v>#N/A</v>
      </c>
      <c r="F325" t="e">
        <f t="shared" si="32"/>
        <v>#N/A</v>
      </c>
      <c r="G325" t="e">
        <f t="shared" si="32"/>
        <v>#N/A</v>
      </c>
      <c r="H325" t="e">
        <f t="shared" si="32"/>
        <v>#N/A</v>
      </c>
      <c r="I325" t="e">
        <f t="shared" si="32"/>
        <v>#N/A</v>
      </c>
      <c r="J325" t="e">
        <f t="shared" si="32"/>
        <v>#N/A</v>
      </c>
      <c r="K325" t="e">
        <f t="shared" si="32"/>
        <v>#N/A</v>
      </c>
      <c r="L325" t="e">
        <f t="shared" si="32"/>
        <v>#N/A</v>
      </c>
      <c r="M325" t="e">
        <f t="shared" si="32"/>
        <v>#N/A</v>
      </c>
      <c r="N325" t="e">
        <f t="shared" si="32"/>
        <v>#N/A</v>
      </c>
      <c r="O325" t="e">
        <f t="shared" si="32"/>
        <v>#N/A</v>
      </c>
      <c r="P325" t="e">
        <f t="shared" si="32"/>
        <v>#N/A</v>
      </c>
    </row>
    <row r="326" spans="1:16" x14ac:dyDescent="0.25">
      <c r="A326" t="e">
        <f>CUBEMEMBER("pbiazure://api.powerbi.com 6e064a38-7f82-4416-9451-8d82a554b559 Model","[Facilities].[DATIMName].&amp;[Same Hospital - District Hospital]")</f>
        <v>#N/A</v>
      </c>
      <c r="B326" t="e">
        <f t="shared" si="32"/>
        <v>#N/A</v>
      </c>
      <c r="C326" t="e">
        <f t="shared" si="32"/>
        <v>#N/A</v>
      </c>
      <c r="D326" t="e">
        <f t="shared" si="32"/>
        <v>#N/A</v>
      </c>
      <c r="E326" t="e">
        <f t="shared" si="32"/>
        <v>#N/A</v>
      </c>
      <c r="F326" t="e">
        <f t="shared" si="32"/>
        <v>#N/A</v>
      </c>
      <c r="G326" t="e">
        <f t="shared" si="32"/>
        <v>#N/A</v>
      </c>
      <c r="H326" t="e">
        <f t="shared" si="32"/>
        <v>#N/A</v>
      </c>
      <c r="I326" t="e">
        <f t="shared" si="32"/>
        <v>#N/A</v>
      </c>
      <c r="J326" t="e">
        <f t="shared" si="32"/>
        <v>#N/A</v>
      </c>
      <c r="K326" t="e">
        <f t="shared" si="32"/>
        <v>#N/A</v>
      </c>
      <c r="L326" t="e">
        <f t="shared" si="32"/>
        <v>#N/A</v>
      </c>
      <c r="M326" t="e">
        <f t="shared" si="32"/>
        <v>#N/A</v>
      </c>
      <c r="N326" t="e">
        <f t="shared" si="32"/>
        <v>#N/A</v>
      </c>
      <c r="O326" t="e">
        <f t="shared" si="32"/>
        <v>#N/A</v>
      </c>
      <c r="P326" t="e">
        <f t="shared" si="32"/>
        <v>#N/A</v>
      </c>
    </row>
    <row r="327" spans="1:16" x14ac:dyDescent="0.25">
      <c r="A327" t="e">
        <f>CUBEMEMBER("pbiazure://api.powerbi.com 6e064a38-7f82-4416-9451-8d82a554b559 Model","[Facilities].[DATIMName].&amp;[Sanya juu Dispensary]")</f>
        <v>#N/A</v>
      </c>
      <c r="B327" t="e">
        <f t="shared" si="32"/>
        <v>#N/A</v>
      </c>
      <c r="C327" t="e">
        <f t="shared" si="32"/>
        <v>#N/A</v>
      </c>
      <c r="D327" t="e">
        <f t="shared" si="32"/>
        <v>#N/A</v>
      </c>
      <c r="E327" t="e">
        <f t="shared" si="32"/>
        <v>#N/A</v>
      </c>
      <c r="F327" t="e">
        <f t="shared" si="32"/>
        <v>#N/A</v>
      </c>
      <c r="G327" t="e">
        <f t="shared" si="32"/>
        <v>#N/A</v>
      </c>
      <c r="H327" t="e">
        <f t="shared" si="32"/>
        <v>#N/A</v>
      </c>
      <c r="I327" t="e">
        <f t="shared" si="32"/>
        <v>#N/A</v>
      </c>
      <c r="J327" t="e">
        <f t="shared" si="32"/>
        <v>#N/A</v>
      </c>
      <c r="K327" t="e">
        <f t="shared" si="32"/>
        <v>#N/A</v>
      </c>
      <c r="L327" t="e">
        <f t="shared" si="32"/>
        <v>#N/A</v>
      </c>
      <c r="M327" t="e">
        <f t="shared" si="32"/>
        <v>#N/A</v>
      </c>
      <c r="N327" t="e">
        <f t="shared" si="32"/>
        <v>#N/A</v>
      </c>
      <c r="O327" t="e">
        <f t="shared" si="32"/>
        <v>#N/A</v>
      </c>
      <c r="P327" t="e">
        <f t="shared" si="32"/>
        <v>#N/A</v>
      </c>
    </row>
    <row r="328" spans="1:16" x14ac:dyDescent="0.25">
      <c r="A328" t="e">
        <f>CUBEMEMBER("pbiazure://api.powerbi.com 6e064a38-7f82-4416-9451-8d82a554b559 Model","[Facilities].[DATIMName].&amp;[Sanya Lutheran Health Center]")</f>
        <v>#N/A</v>
      </c>
      <c r="B328" t="e">
        <f t="shared" si="32"/>
        <v>#N/A</v>
      </c>
      <c r="C328" t="e">
        <f t="shared" si="32"/>
        <v>#N/A</v>
      </c>
      <c r="D328" t="e">
        <f t="shared" si="32"/>
        <v>#N/A</v>
      </c>
      <c r="E328" t="e">
        <f t="shared" si="32"/>
        <v>#N/A</v>
      </c>
      <c r="F328" t="e">
        <f t="shared" si="32"/>
        <v>#N/A</v>
      </c>
      <c r="G328" t="e">
        <f t="shared" si="32"/>
        <v>#N/A</v>
      </c>
      <c r="H328" t="e">
        <f t="shared" si="32"/>
        <v>#N/A</v>
      </c>
      <c r="I328" t="e">
        <f t="shared" si="32"/>
        <v>#N/A</v>
      </c>
      <c r="J328" t="e">
        <f t="shared" si="32"/>
        <v>#N/A</v>
      </c>
      <c r="K328" t="e">
        <f t="shared" si="32"/>
        <v>#N/A</v>
      </c>
      <c r="L328" t="e">
        <f t="shared" si="32"/>
        <v>#N/A</v>
      </c>
      <c r="M328" t="e">
        <f t="shared" si="32"/>
        <v>#N/A</v>
      </c>
      <c r="N328" t="e">
        <f t="shared" si="32"/>
        <v>#N/A</v>
      </c>
      <c r="O328" t="e">
        <f t="shared" si="32"/>
        <v>#N/A</v>
      </c>
      <c r="P328" t="e">
        <f t="shared" si="32"/>
        <v>#N/A</v>
      </c>
    </row>
    <row r="329" spans="1:16" x14ac:dyDescent="0.25">
      <c r="A329" t="e">
        <f>CUBEMEMBER("pbiazure://api.powerbi.com 6e064a38-7f82-4416-9451-8d82a554b559 Model","[Facilities].[DATIMName].&amp;[Sanza Dispensary]")</f>
        <v>#N/A</v>
      </c>
      <c r="B329" t="e">
        <f t="shared" si="32"/>
        <v>#N/A</v>
      </c>
      <c r="C329" t="e">
        <f t="shared" si="32"/>
        <v>#N/A</v>
      </c>
      <c r="D329" t="e">
        <f t="shared" si="32"/>
        <v>#N/A</v>
      </c>
      <c r="E329" t="e">
        <f t="shared" si="32"/>
        <v>#N/A</v>
      </c>
      <c r="F329" t="e">
        <f t="shared" si="32"/>
        <v>#N/A</v>
      </c>
      <c r="G329" t="e">
        <f t="shared" si="32"/>
        <v>#N/A</v>
      </c>
      <c r="H329" t="e">
        <f t="shared" si="32"/>
        <v>#N/A</v>
      </c>
      <c r="I329" t="e">
        <f t="shared" si="32"/>
        <v>#N/A</v>
      </c>
      <c r="J329" t="e">
        <f t="shared" si="32"/>
        <v>#N/A</v>
      </c>
      <c r="K329" t="e">
        <f t="shared" si="32"/>
        <v>#N/A</v>
      </c>
      <c r="L329" t="e">
        <f t="shared" si="32"/>
        <v>#N/A</v>
      </c>
      <c r="M329" t="e">
        <f t="shared" si="32"/>
        <v>#N/A</v>
      </c>
      <c r="N329" t="e">
        <f t="shared" si="32"/>
        <v>#N/A</v>
      </c>
      <c r="O329" t="e">
        <f t="shared" si="32"/>
        <v>#N/A</v>
      </c>
      <c r="P329" t="e">
        <f t="shared" si="32"/>
        <v>#N/A</v>
      </c>
    </row>
    <row r="330" spans="1:16" x14ac:dyDescent="0.25">
      <c r="A330" t="e">
        <f>CUBEMEMBER("pbiazure://api.powerbi.com 6e064a38-7f82-4416-9451-8d82a554b559 Model","[Facilities].[DATIMName].&amp;[Sasilo Dispensary]")</f>
        <v>#N/A</v>
      </c>
      <c r="B330" t="e">
        <f t="shared" si="32"/>
        <v>#N/A</v>
      </c>
      <c r="C330" t="e">
        <f t="shared" si="32"/>
        <v>#N/A</v>
      </c>
      <c r="D330" t="e">
        <f t="shared" si="32"/>
        <v>#N/A</v>
      </c>
      <c r="E330" t="e">
        <f t="shared" si="32"/>
        <v>#N/A</v>
      </c>
      <c r="F330" t="e">
        <f t="shared" si="32"/>
        <v>#N/A</v>
      </c>
      <c r="G330" t="e">
        <f t="shared" si="32"/>
        <v>#N/A</v>
      </c>
      <c r="H330" t="e">
        <f t="shared" si="32"/>
        <v>#N/A</v>
      </c>
      <c r="I330" t="e">
        <f t="shared" si="32"/>
        <v>#N/A</v>
      </c>
      <c r="J330" t="e">
        <f t="shared" si="32"/>
        <v>#N/A</v>
      </c>
      <c r="K330" t="e">
        <f t="shared" si="32"/>
        <v>#N/A</v>
      </c>
      <c r="L330" t="e">
        <f t="shared" si="32"/>
        <v>#N/A</v>
      </c>
      <c r="M330" t="e">
        <f t="shared" si="32"/>
        <v>#N/A</v>
      </c>
      <c r="N330" t="e">
        <f t="shared" si="32"/>
        <v>#N/A</v>
      </c>
      <c r="O330" t="e">
        <f t="shared" si="32"/>
        <v>#N/A</v>
      </c>
      <c r="P330" t="e">
        <f t="shared" si="32"/>
        <v>#N/A</v>
      </c>
    </row>
    <row r="331" spans="1:16" x14ac:dyDescent="0.25">
      <c r="A331" t="e">
        <f>CUBEMEMBER("pbiazure://api.powerbi.com 6e064a38-7f82-4416-9451-8d82a554b559 Model","[Facilities].[DATIMName].&amp;[Selela Dispensary]")</f>
        <v>#N/A</v>
      </c>
      <c r="B331" t="e">
        <f t="shared" si="32"/>
        <v>#N/A</v>
      </c>
      <c r="C331" t="e">
        <f t="shared" si="32"/>
        <v>#N/A</v>
      </c>
      <c r="D331" t="e">
        <f t="shared" si="32"/>
        <v>#N/A</v>
      </c>
      <c r="E331" t="e">
        <f t="shared" si="32"/>
        <v>#N/A</v>
      </c>
      <c r="F331" t="e">
        <f t="shared" si="32"/>
        <v>#N/A</v>
      </c>
      <c r="G331" t="e">
        <f t="shared" si="32"/>
        <v>#N/A</v>
      </c>
      <c r="H331" t="e">
        <f t="shared" si="32"/>
        <v>#N/A</v>
      </c>
      <c r="I331" t="e">
        <f t="shared" si="32"/>
        <v>#N/A</v>
      </c>
      <c r="J331" t="e">
        <f t="shared" si="32"/>
        <v>#N/A</v>
      </c>
      <c r="K331" t="e">
        <f t="shared" si="32"/>
        <v>#N/A</v>
      </c>
      <c r="L331" t="e">
        <f t="shared" si="32"/>
        <v>#N/A</v>
      </c>
      <c r="M331" t="e">
        <f t="shared" si="32"/>
        <v>#N/A</v>
      </c>
      <c r="N331" t="e">
        <f t="shared" si="32"/>
        <v>#N/A</v>
      </c>
      <c r="O331" t="e">
        <f t="shared" si="32"/>
        <v>#N/A</v>
      </c>
      <c r="P331" t="e">
        <f t="shared" si="32"/>
        <v>#N/A</v>
      </c>
    </row>
    <row r="332" spans="1:16" x14ac:dyDescent="0.25">
      <c r="A332" t="e">
        <f>CUBEMEMBER("pbiazure://api.powerbi.com 6e064a38-7f82-4416-9451-8d82a554b559 Model","[Facilities].[DATIMName].&amp;[Selian Hospital - Designated District Hospital]")</f>
        <v>#N/A</v>
      </c>
      <c r="B332" t="e">
        <f t="shared" si="32"/>
        <v>#N/A</v>
      </c>
      <c r="C332" t="e">
        <f t="shared" si="32"/>
        <v>#N/A</v>
      </c>
      <c r="D332" t="e">
        <f t="shared" si="32"/>
        <v>#N/A</v>
      </c>
      <c r="E332" t="e">
        <f t="shared" si="32"/>
        <v>#N/A</v>
      </c>
      <c r="F332" t="e">
        <f t="shared" si="32"/>
        <v>#N/A</v>
      </c>
      <c r="G332" t="e">
        <f t="shared" si="32"/>
        <v>#N/A</v>
      </c>
      <c r="H332" t="e">
        <f t="shared" si="32"/>
        <v>#N/A</v>
      </c>
      <c r="I332" t="e">
        <f t="shared" si="32"/>
        <v>#N/A</v>
      </c>
      <c r="J332" t="e">
        <f t="shared" si="32"/>
        <v>#N/A</v>
      </c>
      <c r="K332" t="e">
        <f t="shared" si="32"/>
        <v>#N/A</v>
      </c>
      <c r="L332" t="e">
        <f t="shared" si="32"/>
        <v>#N/A</v>
      </c>
      <c r="M332" t="e">
        <f t="shared" si="32"/>
        <v>#N/A</v>
      </c>
      <c r="N332" t="e">
        <f t="shared" si="32"/>
        <v>#N/A</v>
      </c>
      <c r="O332" t="e">
        <f t="shared" si="32"/>
        <v>#N/A</v>
      </c>
      <c r="P332" t="e">
        <f t="shared" si="32"/>
        <v>#N/A</v>
      </c>
    </row>
    <row r="333" spans="1:16" x14ac:dyDescent="0.25">
      <c r="A333" t="e">
        <f>CUBEMEMBER("pbiazure://api.powerbi.com 6e064a38-7f82-4416-9451-8d82a554b559 Model","[Facilities].[DATIMName].&amp;[Sepuka Health Center]")</f>
        <v>#N/A</v>
      </c>
      <c r="B333" t="e">
        <f t="shared" si="32"/>
        <v>#N/A</v>
      </c>
      <c r="C333" t="e">
        <f t="shared" si="32"/>
        <v>#N/A</v>
      </c>
      <c r="D333" t="e">
        <f t="shared" si="32"/>
        <v>#N/A</v>
      </c>
      <c r="E333" t="e">
        <f t="shared" si="32"/>
        <v>#N/A</v>
      </c>
      <c r="F333" t="e">
        <f t="shared" si="32"/>
        <v>#N/A</v>
      </c>
      <c r="G333" t="e">
        <f t="shared" si="32"/>
        <v>#N/A</v>
      </c>
      <c r="H333" t="e">
        <f t="shared" si="32"/>
        <v>#N/A</v>
      </c>
      <c r="I333" t="e">
        <f t="shared" si="32"/>
        <v>#N/A</v>
      </c>
      <c r="J333" t="e">
        <f t="shared" si="32"/>
        <v>#N/A</v>
      </c>
      <c r="K333" t="e">
        <f t="shared" si="32"/>
        <v>#N/A</v>
      </c>
      <c r="L333" t="e">
        <f t="shared" si="32"/>
        <v>#N/A</v>
      </c>
      <c r="M333" t="e">
        <f t="shared" si="32"/>
        <v>#N/A</v>
      </c>
      <c r="N333" t="e">
        <f t="shared" si="32"/>
        <v>#N/A</v>
      </c>
      <c r="O333" t="e">
        <f t="shared" si="32"/>
        <v>#N/A</v>
      </c>
      <c r="P333" t="e">
        <f t="shared" si="32"/>
        <v>#N/A</v>
      </c>
    </row>
    <row r="334" spans="1:16" x14ac:dyDescent="0.25">
      <c r="A334" t="e">
        <f>CUBEMEMBER("pbiazure://api.powerbi.com 6e064a38-7f82-4416-9451-8d82a554b559 Model","[Facilities].[DATIMName].&amp;[Shelui Dispensary]")</f>
        <v>#N/A</v>
      </c>
      <c r="B334" t="e">
        <f t="shared" si="32"/>
        <v>#N/A</v>
      </c>
      <c r="C334" t="e">
        <f t="shared" si="32"/>
        <v>#N/A</v>
      </c>
      <c r="D334" t="e">
        <f t="shared" si="32"/>
        <v>#N/A</v>
      </c>
      <c r="E334" t="e">
        <f t="shared" si="32"/>
        <v>#N/A</v>
      </c>
      <c r="F334" t="e">
        <f t="shared" si="32"/>
        <v>#N/A</v>
      </c>
      <c r="G334" t="e">
        <f t="shared" si="32"/>
        <v>#N/A</v>
      </c>
      <c r="H334" t="e">
        <f t="shared" si="32"/>
        <v>#N/A</v>
      </c>
      <c r="I334" t="e">
        <f t="shared" si="32"/>
        <v>#N/A</v>
      </c>
      <c r="J334" t="e">
        <f t="shared" si="32"/>
        <v>#N/A</v>
      </c>
      <c r="K334" t="e">
        <f t="shared" si="32"/>
        <v>#N/A</v>
      </c>
      <c r="L334" t="e">
        <f t="shared" si="32"/>
        <v>#N/A</v>
      </c>
      <c r="M334" t="e">
        <f t="shared" si="32"/>
        <v>#N/A</v>
      </c>
      <c r="N334" t="e">
        <f t="shared" si="32"/>
        <v>#N/A</v>
      </c>
      <c r="O334" t="e">
        <f t="shared" si="32"/>
        <v>#N/A</v>
      </c>
      <c r="P334" t="e">
        <f t="shared" si="32"/>
        <v>#N/A</v>
      </c>
    </row>
    <row r="335" spans="1:16" x14ac:dyDescent="0.25">
      <c r="A335" t="e">
        <f>CUBEMEMBER("pbiazure://api.powerbi.com 6e064a38-7f82-4416-9451-8d82a554b559 Model","[Facilities].[DATIMName].&amp;[Shengena Health Center]")</f>
        <v>#N/A</v>
      </c>
      <c r="B335" t="e">
        <f t="shared" ref="B335:P344" si="33">CUBEVALUE("pbiazure://api.powerbi.com 6e064a38-7f82-4416-9451-8d82a554b559 Model",$B$1,$A335,B$4)</f>
        <v>#N/A</v>
      </c>
      <c r="C335" t="e">
        <f t="shared" si="33"/>
        <v>#N/A</v>
      </c>
      <c r="D335" t="e">
        <f t="shared" si="33"/>
        <v>#N/A</v>
      </c>
      <c r="E335" t="e">
        <f t="shared" si="33"/>
        <v>#N/A</v>
      </c>
      <c r="F335" t="e">
        <f t="shared" si="33"/>
        <v>#N/A</v>
      </c>
      <c r="G335" t="e">
        <f t="shared" si="33"/>
        <v>#N/A</v>
      </c>
      <c r="H335" t="e">
        <f t="shared" si="33"/>
        <v>#N/A</v>
      </c>
      <c r="I335" t="e">
        <f t="shared" si="33"/>
        <v>#N/A</v>
      </c>
      <c r="J335" t="e">
        <f t="shared" si="33"/>
        <v>#N/A</v>
      </c>
      <c r="K335" t="e">
        <f t="shared" si="33"/>
        <v>#N/A</v>
      </c>
      <c r="L335" t="e">
        <f t="shared" si="33"/>
        <v>#N/A</v>
      </c>
      <c r="M335" t="e">
        <f t="shared" si="33"/>
        <v>#N/A</v>
      </c>
      <c r="N335" t="e">
        <f t="shared" si="33"/>
        <v>#N/A</v>
      </c>
      <c r="O335" t="e">
        <f t="shared" si="33"/>
        <v>#N/A</v>
      </c>
      <c r="P335" t="e">
        <f t="shared" si="33"/>
        <v>#N/A</v>
      </c>
    </row>
    <row r="336" spans="1:16" x14ac:dyDescent="0.25">
      <c r="A336" t="e">
        <f>CUBEMEMBER("pbiazure://api.powerbi.com 6e064a38-7f82-4416-9451-8d82a554b559 Model","[Facilities].[DATIMName].&amp;[Shimbwe Health Center]")</f>
        <v>#N/A</v>
      </c>
      <c r="B336" t="e">
        <f t="shared" si="33"/>
        <v>#N/A</v>
      </c>
      <c r="C336" t="e">
        <f t="shared" si="33"/>
        <v>#N/A</v>
      </c>
      <c r="D336" t="e">
        <f t="shared" si="33"/>
        <v>#N/A</v>
      </c>
      <c r="E336" t="e">
        <f t="shared" si="33"/>
        <v>#N/A</v>
      </c>
      <c r="F336" t="e">
        <f t="shared" si="33"/>
        <v>#N/A</v>
      </c>
      <c r="G336" t="e">
        <f t="shared" si="33"/>
        <v>#N/A</v>
      </c>
      <c r="H336" t="e">
        <f t="shared" si="33"/>
        <v>#N/A</v>
      </c>
      <c r="I336" t="e">
        <f t="shared" si="33"/>
        <v>#N/A</v>
      </c>
      <c r="J336" t="e">
        <f t="shared" si="33"/>
        <v>#N/A</v>
      </c>
      <c r="K336" t="e">
        <f t="shared" si="33"/>
        <v>#N/A</v>
      </c>
      <c r="L336" t="e">
        <f t="shared" si="33"/>
        <v>#N/A</v>
      </c>
      <c r="M336" t="e">
        <f t="shared" si="33"/>
        <v>#N/A</v>
      </c>
      <c r="N336" t="e">
        <f t="shared" si="33"/>
        <v>#N/A</v>
      </c>
      <c r="O336" t="e">
        <f t="shared" si="33"/>
        <v>#N/A</v>
      </c>
      <c r="P336" t="e">
        <f t="shared" si="33"/>
        <v>#N/A</v>
      </c>
    </row>
    <row r="337" spans="1:16" x14ac:dyDescent="0.25">
      <c r="A337" t="e">
        <f>CUBEMEMBER("pbiazure://api.powerbi.com 6e064a38-7f82-4416-9451-8d82a554b559 Model","[Facilities].[DATIMName].&amp;[Shiri Matunda Dispensary]")</f>
        <v>#N/A</v>
      </c>
      <c r="B337" t="e">
        <f t="shared" si="33"/>
        <v>#N/A</v>
      </c>
      <c r="C337" t="e">
        <f t="shared" si="33"/>
        <v>#N/A</v>
      </c>
      <c r="D337" t="e">
        <f t="shared" si="33"/>
        <v>#N/A</v>
      </c>
      <c r="E337" t="e">
        <f t="shared" si="33"/>
        <v>#N/A</v>
      </c>
      <c r="F337" t="e">
        <f t="shared" si="33"/>
        <v>#N/A</v>
      </c>
      <c r="G337" t="e">
        <f t="shared" si="33"/>
        <v>#N/A</v>
      </c>
      <c r="H337" t="e">
        <f t="shared" si="33"/>
        <v>#N/A</v>
      </c>
      <c r="I337" t="e">
        <f t="shared" si="33"/>
        <v>#N/A</v>
      </c>
      <c r="J337" t="e">
        <f t="shared" si="33"/>
        <v>#N/A</v>
      </c>
      <c r="K337" t="e">
        <f t="shared" si="33"/>
        <v>#N/A</v>
      </c>
      <c r="L337" t="e">
        <f t="shared" si="33"/>
        <v>#N/A</v>
      </c>
      <c r="M337" t="e">
        <f t="shared" si="33"/>
        <v>#N/A</v>
      </c>
      <c r="N337" t="e">
        <f t="shared" si="33"/>
        <v>#N/A</v>
      </c>
      <c r="O337" t="e">
        <f t="shared" si="33"/>
        <v>#N/A</v>
      </c>
      <c r="P337" t="e">
        <f t="shared" si="33"/>
        <v>#N/A</v>
      </c>
    </row>
    <row r="338" spans="1:16" x14ac:dyDescent="0.25">
      <c r="A338" t="e">
        <f>CUBEMEMBER("pbiazure://api.powerbi.com 6e064a38-7f82-4416-9451-8d82a554b559 Model","[Facilities].[DATIMName].&amp;[Shirimgungani Dispensary]")</f>
        <v>#N/A</v>
      </c>
      <c r="B338" t="e">
        <f t="shared" si="33"/>
        <v>#N/A</v>
      </c>
      <c r="C338" t="e">
        <f t="shared" si="33"/>
        <v>#N/A</v>
      </c>
      <c r="D338" t="e">
        <f t="shared" si="33"/>
        <v>#N/A</v>
      </c>
      <c r="E338" t="e">
        <f t="shared" si="33"/>
        <v>#N/A</v>
      </c>
      <c r="F338" t="e">
        <f t="shared" si="33"/>
        <v>#N/A</v>
      </c>
      <c r="G338" t="e">
        <f t="shared" si="33"/>
        <v>#N/A</v>
      </c>
      <c r="H338" t="e">
        <f t="shared" si="33"/>
        <v>#N/A</v>
      </c>
      <c r="I338" t="e">
        <f t="shared" si="33"/>
        <v>#N/A</v>
      </c>
      <c r="J338" t="e">
        <f t="shared" si="33"/>
        <v>#N/A</v>
      </c>
      <c r="K338" t="e">
        <f t="shared" si="33"/>
        <v>#N/A</v>
      </c>
      <c r="L338" t="e">
        <f t="shared" si="33"/>
        <v>#N/A</v>
      </c>
      <c r="M338" t="e">
        <f t="shared" si="33"/>
        <v>#N/A</v>
      </c>
      <c r="N338" t="e">
        <f t="shared" si="33"/>
        <v>#N/A</v>
      </c>
      <c r="O338" t="e">
        <f t="shared" si="33"/>
        <v>#N/A</v>
      </c>
      <c r="P338" t="e">
        <f t="shared" si="33"/>
        <v>#N/A</v>
      </c>
    </row>
    <row r="339" spans="1:16" x14ac:dyDescent="0.25">
      <c r="A339" t="e">
        <f>CUBEMEMBER("pbiazure://api.powerbi.com 6e064a38-7f82-4416-9451-8d82a554b559 Model","[Facilities].[DATIMName].&amp;[Siha Health Center]")</f>
        <v>#N/A</v>
      </c>
      <c r="B339" t="e">
        <f t="shared" si="33"/>
        <v>#N/A</v>
      </c>
      <c r="C339" t="e">
        <f t="shared" si="33"/>
        <v>#N/A</v>
      </c>
      <c r="D339" t="e">
        <f t="shared" si="33"/>
        <v>#N/A</v>
      </c>
      <c r="E339" t="e">
        <f t="shared" si="33"/>
        <v>#N/A</v>
      </c>
      <c r="F339" t="e">
        <f t="shared" si="33"/>
        <v>#N/A</v>
      </c>
      <c r="G339" t="e">
        <f t="shared" si="33"/>
        <v>#N/A</v>
      </c>
      <c r="H339" t="e">
        <f t="shared" si="33"/>
        <v>#N/A</v>
      </c>
      <c r="I339" t="e">
        <f t="shared" si="33"/>
        <v>#N/A</v>
      </c>
      <c r="J339" t="e">
        <f t="shared" si="33"/>
        <v>#N/A</v>
      </c>
      <c r="K339" t="e">
        <f t="shared" si="33"/>
        <v>#N/A</v>
      </c>
      <c r="L339" t="e">
        <f t="shared" si="33"/>
        <v>#N/A</v>
      </c>
      <c r="M339" t="e">
        <f t="shared" si="33"/>
        <v>#N/A</v>
      </c>
      <c r="N339" t="e">
        <f t="shared" si="33"/>
        <v>#N/A</v>
      </c>
      <c r="O339" t="e">
        <f t="shared" si="33"/>
        <v>#N/A</v>
      </c>
      <c r="P339" t="e">
        <f t="shared" si="33"/>
        <v>#N/A</v>
      </c>
    </row>
    <row r="340" spans="1:16" x14ac:dyDescent="0.25">
      <c r="A340" t="e">
        <f>CUBEMEMBER("pbiazure://api.powerbi.com 6e064a38-7f82-4416-9451-8d82a554b559 Model","[Facilities].[DATIMName].&amp;[Siha Hospital - District Hospital]")</f>
        <v>#N/A</v>
      </c>
      <c r="B340" t="e">
        <f t="shared" si="33"/>
        <v>#N/A</v>
      </c>
      <c r="C340" t="e">
        <f t="shared" si="33"/>
        <v>#N/A</v>
      </c>
      <c r="D340" t="e">
        <f t="shared" si="33"/>
        <v>#N/A</v>
      </c>
      <c r="E340" t="e">
        <f t="shared" si="33"/>
        <v>#N/A</v>
      </c>
      <c r="F340" t="e">
        <f t="shared" si="33"/>
        <v>#N/A</v>
      </c>
      <c r="G340" t="e">
        <f t="shared" si="33"/>
        <v>#N/A</v>
      </c>
      <c r="H340" t="e">
        <f t="shared" si="33"/>
        <v>#N/A</v>
      </c>
      <c r="I340" t="e">
        <f t="shared" si="33"/>
        <v>#N/A</v>
      </c>
      <c r="J340" t="e">
        <f t="shared" si="33"/>
        <v>#N/A</v>
      </c>
      <c r="K340" t="e">
        <f t="shared" si="33"/>
        <v>#N/A</v>
      </c>
      <c r="L340" t="e">
        <f t="shared" si="33"/>
        <v>#N/A</v>
      </c>
      <c r="M340" t="e">
        <f t="shared" si="33"/>
        <v>#N/A</v>
      </c>
      <c r="N340" t="e">
        <f t="shared" si="33"/>
        <v>#N/A</v>
      </c>
      <c r="O340" t="e">
        <f t="shared" si="33"/>
        <v>#N/A</v>
      </c>
      <c r="P340" t="e">
        <f t="shared" si="33"/>
        <v>#N/A</v>
      </c>
    </row>
    <row r="341" spans="1:16" x14ac:dyDescent="0.25">
      <c r="A341" t="e">
        <f>CUBEMEMBER("pbiazure://api.powerbi.com 6e064a38-7f82-4416-9451-8d82a554b559 Model","[Facilities].[DATIMName].&amp;[Siima Health Center]")</f>
        <v>#N/A</v>
      </c>
      <c r="B341" t="e">
        <f t="shared" si="33"/>
        <v>#N/A</v>
      </c>
      <c r="C341" t="e">
        <f t="shared" si="33"/>
        <v>#N/A</v>
      </c>
      <c r="D341" t="e">
        <f t="shared" si="33"/>
        <v>#N/A</v>
      </c>
      <c r="E341" t="e">
        <f t="shared" si="33"/>
        <v>#N/A</v>
      </c>
      <c r="F341" t="e">
        <f t="shared" si="33"/>
        <v>#N/A</v>
      </c>
      <c r="G341" t="e">
        <f t="shared" si="33"/>
        <v>#N/A</v>
      </c>
      <c r="H341" t="e">
        <f t="shared" si="33"/>
        <v>#N/A</v>
      </c>
      <c r="I341" t="e">
        <f t="shared" si="33"/>
        <v>#N/A</v>
      </c>
      <c r="J341" t="e">
        <f t="shared" si="33"/>
        <v>#N/A</v>
      </c>
      <c r="K341" t="e">
        <f t="shared" si="33"/>
        <v>#N/A</v>
      </c>
      <c r="L341" t="e">
        <f t="shared" si="33"/>
        <v>#N/A</v>
      </c>
      <c r="M341" t="e">
        <f t="shared" si="33"/>
        <v>#N/A</v>
      </c>
      <c r="N341" t="e">
        <f t="shared" si="33"/>
        <v>#N/A</v>
      </c>
      <c r="O341" t="e">
        <f t="shared" si="33"/>
        <v>#N/A</v>
      </c>
      <c r="P341" t="e">
        <f t="shared" si="33"/>
        <v>#N/A</v>
      </c>
    </row>
    <row r="342" spans="1:16" x14ac:dyDescent="0.25">
      <c r="A342" t="e">
        <f>CUBEMEMBER("pbiazure://api.powerbi.com 6e064a38-7f82-4416-9451-8d82a554b559 Model","[Facilities].[DATIMName].&amp;[Simanjiro HC Health Center]")</f>
        <v>#N/A</v>
      </c>
      <c r="B342" t="e">
        <f t="shared" si="33"/>
        <v>#N/A</v>
      </c>
      <c r="C342" t="e">
        <f t="shared" si="33"/>
        <v>#N/A</v>
      </c>
      <c r="D342" t="e">
        <f t="shared" si="33"/>
        <v>#N/A</v>
      </c>
      <c r="E342" t="e">
        <f t="shared" si="33"/>
        <v>#N/A</v>
      </c>
      <c r="F342" t="e">
        <f t="shared" si="33"/>
        <v>#N/A</v>
      </c>
      <c r="G342" t="e">
        <f t="shared" si="33"/>
        <v>#N/A</v>
      </c>
      <c r="H342" t="e">
        <f t="shared" si="33"/>
        <v>#N/A</v>
      </c>
      <c r="I342" t="e">
        <f t="shared" si="33"/>
        <v>#N/A</v>
      </c>
      <c r="J342" t="e">
        <f t="shared" si="33"/>
        <v>#N/A</v>
      </c>
      <c r="K342" t="e">
        <f t="shared" si="33"/>
        <v>#N/A</v>
      </c>
      <c r="L342" t="e">
        <f t="shared" si="33"/>
        <v>#N/A</v>
      </c>
      <c r="M342" t="e">
        <f t="shared" si="33"/>
        <v>#N/A</v>
      </c>
      <c r="N342" t="e">
        <f t="shared" si="33"/>
        <v>#N/A</v>
      </c>
      <c r="O342" t="e">
        <f t="shared" si="33"/>
        <v>#N/A</v>
      </c>
      <c r="P342" t="e">
        <f t="shared" si="33"/>
        <v>#N/A</v>
      </c>
    </row>
    <row r="343" spans="1:16" x14ac:dyDescent="0.25">
      <c r="A343" t="e">
        <f>CUBEMEMBER("pbiazure://api.powerbi.com 6e064a38-7f82-4416-9451-8d82a554b559 Model","[Facilities].[DATIMName].&amp;[Singida Hospital - Regional Referral Hospital]")</f>
        <v>#N/A</v>
      </c>
      <c r="B343" t="e">
        <f t="shared" si="33"/>
        <v>#N/A</v>
      </c>
      <c r="C343" t="e">
        <f t="shared" si="33"/>
        <v>#N/A</v>
      </c>
      <c r="D343" t="e">
        <f t="shared" si="33"/>
        <v>#N/A</v>
      </c>
      <c r="E343" t="e">
        <f t="shared" si="33"/>
        <v>#N/A</v>
      </c>
      <c r="F343" t="e">
        <f t="shared" si="33"/>
        <v>#N/A</v>
      </c>
      <c r="G343" t="e">
        <f t="shared" si="33"/>
        <v>#N/A</v>
      </c>
      <c r="H343" t="e">
        <f t="shared" si="33"/>
        <v>#N/A</v>
      </c>
      <c r="I343" t="e">
        <f t="shared" si="33"/>
        <v>#N/A</v>
      </c>
      <c r="J343" t="e">
        <f t="shared" si="33"/>
        <v>#N/A</v>
      </c>
      <c r="K343" t="e">
        <f t="shared" si="33"/>
        <v>#N/A</v>
      </c>
      <c r="L343" t="e">
        <f t="shared" si="33"/>
        <v>#N/A</v>
      </c>
      <c r="M343" t="e">
        <f t="shared" si="33"/>
        <v>#N/A</v>
      </c>
      <c r="N343" t="e">
        <f t="shared" si="33"/>
        <v>#N/A</v>
      </c>
      <c r="O343" t="e">
        <f t="shared" si="33"/>
        <v>#N/A</v>
      </c>
      <c r="P343" t="e">
        <f t="shared" si="33"/>
        <v>#N/A</v>
      </c>
    </row>
    <row r="344" spans="1:16" x14ac:dyDescent="0.25">
      <c r="A344" t="e">
        <f>CUBEMEMBER("pbiazure://api.powerbi.com 6e064a38-7f82-4416-9451-8d82a554b559 Model","[Facilities].[DATIMName].&amp;[Sokoine Health Center]")</f>
        <v>#N/A</v>
      </c>
      <c r="B344" t="e">
        <f t="shared" si="33"/>
        <v>#N/A</v>
      </c>
      <c r="C344" t="e">
        <f t="shared" si="33"/>
        <v>#N/A</v>
      </c>
      <c r="D344" t="e">
        <f t="shared" si="33"/>
        <v>#N/A</v>
      </c>
      <c r="E344" t="e">
        <f t="shared" si="33"/>
        <v>#N/A</v>
      </c>
      <c r="F344" t="e">
        <f t="shared" si="33"/>
        <v>#N/A</v>
      </c>
      <c r="G344" t="e">
        <f t="shared" si="33"/>
        <v>#N/A</v>
      </c>
      <c r="H344" t="e">
        <f t="shared" si="33"/>
        <v>#N/A</v>
      </c>
      <c r="I344" t="e">
        <f t="shared" si="33"/>
        <v>#N/A</v>
      </c>
      <c r="J344" t="e">
        <f t="shared" si="33"/>
        <v>#N/A</v>
      </c>
      <c r="K344" t="e">
        <f t="shared" si="33"/>
        <v>#N/A</v>
      </c>
      <c r="L344" t="e">
        <f t="shared" si="33"/>
        <v>#N/A</v>
      </c>
      <c r="M344" t="e">
        <f t="shared" si="33"/>
        <v>#N/A</v>
      </c>
      <c r="N344" t="e">
        <f t="shared" si="33"/>
        <v>#N/A</v>
      </c>
      <c r="O344" t="e">
        <f t="shared" si="33"/>
        <v>#N/A</v>
      </c>
      <c r="P344" t="e">
        <f t="shared" si="33"/>
        <v>#N/A</v>
      </c>
    </row>
    <row r="345" spans="1:16" x14ac:dyDescent="0.25">
      <c r="A345" t="e">
        <f>CUBEMEMBER("pbiazure://api.powerbi.com 6e064a38-7f82-4416-9451-8d82a554b559 Model","[Facilities].[DATIMName].&amp;[Sombetini Dispensary]")</f>
        <v>#N/A</v>
      </c>
      <c r="B345" t="e">
        <f t="shared" ref="B345:P354" si="34">CUBEVALUE("pbiazure://api.powerbi.com 6e064a38-7f82-4416-9451-8d82a554b559 Model",$B$1,$A345,B$4)</f>
        <v>#N/A</v>
      </c>
      <c r="C345" t="e">
        <f t="shared" si="34"/>
        <v>#N/A</v>
      </c>
      <c r="D345" t="e">
        <f t="shared" si="34"/>
        <v>#N/A</v>
      </c>
      <c r="E345" t="e">
        <f t="shared" si="34"/>
        <v>#N/A</v>
      </c>
      <c r="F345" t="e">
        <f t="shared" si="34"/>
        <v>#N/A</v>
      </c>
      <c r="G345" t="e">
        <f t="shared" si="34"/>
        <v>#N/A</v>
      </c>
      <c r="H345" t="e">
        <f t="shared" si="34"/>
        <v>#N/A</v>
      </c>
      <c r="I345" t="e">
        <f t="shared" si="34"/>
        <v>#N/A</v>
      </c>
      <c r="J345" t="e">
        <f t="shared" si="34"/>
        <v>#N/A</v>
      </c>
      <c r="K345" t="e">
        <f t="shared" si="34"/>
        <v>#N/A</v>
      </c>
      <c r="L345" t="e">
        <f t="shared" si="34"/>
        <v>#N/A</v>
      </c>
      <c r="M345" t="e">
        <f t="shared" si="34"/>
        <v>#N/A</v>
      </c>
      <c r="N345" t="e">
        <f t="shared" si="34"/>
        <v>#N/A</v>
      </c>
      <c r="O345" t="e">
        <f t="shared" si="34"/>
        <v>#N/A</v>
      </c>
      <c r="P345" t="e">
        <f t="shared" si="34"/>
        <v>#N/A</v>
      </c>
    </row>
    <row r="346" spans="1:16" x14ac:dyDescent="0.25">
      <c r="A346" t="e">
        <f>CUBEMEMBER("pbiazure://api.powerbi.com 6e064a38-7f82-4416-9451-8d82a554b559 Model","[Facilities].[DATIMName].&amp;[Songambele Dispensary]")</f>
        <v>#N/A</v>
      </c>
      <c r="B346" t="e">
        <f t="shared" si="34"/>
        <v>#N/A</v>
      </c>
      <c r="C346" t="e">
        <f t="shared" si="34"/>
        <v>#N/A</v>
      </c>
      <c r="D346" t="e">
        <f t="shared" si="34"/>
        <v>#N/A</v>
      </c>
      <c r="E346" t="e">
        <f t="shared" si="34"/>
        <v>#N/A</v>
      </c>
      <c r="F346" t="e">
        <f t="shared" si="34"/>
        <v>#N/A</v>
      </c>
      <c r="G346" t="e">
        <f t="shared" si="34"/>
        <v>#N/A</v>
      </c>
      <c r="H346" t="e">
        <f t="shared" si="34"/>
        <v>#N/A</v>
      </c>
      <c r="I346" t="e">
        <f t="shared" si="34"/>
        <v>#N/A</v>
      </c>
      <c r="J346" t="e">
        <f t="shared" si="34"/>
        <v>#N/A</v>
      </c>
      <c r="K346" t="e">
        <f t="shared" si="34"/>
        <v>#N/A</v>
      </c>
      <c r="L346" t="e">
        <f t="shared" si="34"/>
        <v>#N/A</v>
      </c>
      <c r="M346" t="e">
        <f t="shared" si="34"/>
        <v>#N/A</v>
      </c>
      <c r="N346" t="e">
        <f t="shared" si="34"/>
        <v>#N/A</v>
      </c>
      <c r="O346" t="e">
        <f t="shared" si="34"/>
        <v>#N/A</v>
      </c>
      <c r="P346" t="e">
        <f t="shared" si="34"/>
        <v>#N/A</v>
      </c>
    </row>
    <row r="347" spans="1:16" x14ac:dyDescent="0.25">
      <c r="A347" t="e">
        <f>CUBEMEMBER("pbiazure://api.powerbi.com 6e064a38-7f82-4416-9451-8d82a554b559 Model","[Facilities].[DATIMName].&amp;[Soya Dispensary]")</f>
        <v>#N/A</v>
      </c>
      <c r="B347" t="e">
        <f t="shared" si="34"/>
        <v>#N/A</v>
      </c>
      <c r="C347" t="e">
        <f t="shared" si="34"/>
        <v>#N/A</v>
      </c>
      <c r="D347" t="e">
        <f t="shared" si="34"/>
        <v>#N/A</v>
      </c>
      <c r="E347" t="e">
        <f t="shared" si="34"/>
        <v>#N/A</v>
      </c>
      <c r="F347" t="e">
        <f t="shared" si="34"/>
        <v>#N/A</v>
      </c>
      <c r="G347" t="e">
        <f t="shared" si="34"/>
        <v>#N/A</v>
      </c>
      <c r="H347" t="e">
        <f t="shared" si="34"/>
        <v>#N/A</v>
      </c>
      <c r="I347" t="e">
        <f t="shared" si="34"/>
        <v>#N/A</v>
      </c>
      <c r="J347" t="e">
        <f t="shared" si="34"/>
        <v>#N/A</v>
      </c>
      <c r="K347" t="e">
        <f t="shared" si="34"/>
        <v>#N/A</v>
      </c>
      <c r="L347" t="e">
        <f t="shared" si="34"/>
        <v>#N/A</v>
      </c>
      <c r="M347" t="e">
        <f t="shared" si="34"/>
        <v>#N/A</v>
      </c>
      <c r="N347" t="e">
        <f t="shared" si="34"/>
        <v>#N/A</v>
      </c>
      <c r="O347" t="e">
        <f t="shared" si="34"/>
        <v>#N/A</v>
      </c>
      <c r="P347" t="e">
        <f t="shared" si="34"/>
        <v>#N/A</v>
      </c>
    </row>
    <row r="348" spans="1:16" x14ac:dyDescent="0.25">
      <c r="A348" t="e">
        <f>CUBEMEMBER("pbiazure://api.powerbi.com 6e064a38-7f82-4416-9451-8d82a554b559 Model","[Facilities].[DATIMName].&amp;[St Carolus Hospital - Designated District Hospital]")</f>
        <v>#N/A</v>
      </c>
      <c r="B348" t="e">
        <f t="shared" si="34"/>
        <v>#N/A</v>
      </c>
      <c r="C348" t="e">
        <f t="shared" si="34"/>
        <v>#N/A</v>
      </c>
      <c r="D348" t="e">
        <f t="shared" si="34"/>
        <v>#N/A</v>
      </c>
      <c r="E348" t="e">
        <f t="shared" si="34"/>
        <v>#N/A</v>
      </c>
      <c r="F348" t="e">
        <f t="shared" si="34"/>
        <v>#N/A</v>
      </c>
      <c r="G348" t="e">
        <f t="shared" si="34"/>
        <v>#N/A</v>
      </c>
      <c r="H348" t="e">
        <f t="shared" si="34"/>
        <v>#N/A</v>
      </c>
      <c r="I348" t="e">
        <f t="shared" si="34"/>
        <v>#N/A</v>
      </c>
      <c r="J348" t="e">
        <f t="shared" si="34"/>
        <v>#N/A</v>
      </c>
      <c r="K348" t="e">
        <f t="shared" si="34"/>
        <v>#N/A</v>
      </c>
      <c r="L348" t="e">
        <f t="shared" si="34"/>
        <v>#N/A</v>
      </c>
      <c r="M348" t="e">
        <f t="shared" si="34"/>
        <v>#N/A</v>
      </c>
      <c r="N348" t="e">
        <f t="shared" si="34"/>
        <v>#N/A</v>
      </c>
      <c r="O348" t="e">
        <f t="shared" si="34"/>
        <v>#N/A</v>
      </c>
      <c r="P348" t="e">
        <f t="shared" si="34"/>
        <v>#N/A</v>
      </c>
    </row>
    <row r="349" spans="1:16" x14ac:dyDescent="0.25">
      <c r="A349" t="e">
        <f>CUBEMEMBER("pbiazure://api.powerbi.com 6e064a38-7f82-4416-9451-8d82a554b559 Model","[Facilities].[DATIMName].&amp;[St Lukes Health Center]")</f>
        <v>#N/A</v>
      </c>
      <c r="B349" t="e">
        <f t="shared" si="34"/>
        <v>#N/A</v>
      </c>
      <c r="C349" t="e">
        <f t="shared" si="34"/>
        <v>#N/A</v>
      </c>
      <c r="D349" t="e">
        <f t="shared" si="34"/>
        <v>#N/A</v>
      </c>
      <c r="E349" t="e">
        <f t="shared" si="34"/>
        <v>#N/A</v>
      </c>
      <c r="F349" t="e">
        <f t="shared" si="34"/>
        <v>#N/A</v>
      </c>
      <c r="G349" t="e">
        <f t="shared" si="34"/>
        <v>#N/A</v>
      </c>
      <c r="H349" t="e">
        <f t="shared" si="34"/>
        <v>#N/A</v>
      </c>
      <c r="I349" t="e">
        <f t="shared" si="34"/>
        <v>#N/A</v>
      </c>
      <c r="J349" t="e">
        <f t="shared" si="34"/>
        <v>#N/A</v>
      </c>
      <c r="K349" t="e">
        <f t="shared" si="34"/>
        <v>#N/A</v>
      </c>
      <c r="L349" t="e">
        <f t="shared" si="34"/>
        <v>#N/A</v>
      </c>
      <c r="M349" t="e">
        <f t="shared" si="34"/>
        <v>#N/A</v>
      </c>
      <c r="N349" t="e">
        <f t="shared" si="34"/>
        <v>#N/A</v>
      </c>
      <c r="O349" t="e">
        <f t="shared" si="34"/>
        <v>#N/A</v>
      </c>
      <c r="P349" t="e">
        <f t="shared" si="34"/>
        <v>#N/A</v>
      </c>
    </row>
    <row r="350" spans="1:16" x14ac:dyDescent="0.25">
      <c r="A350" t="e">
        <f>CUBEMEMBER("pbiazure://api.powerbi.com 6e064a38-7f82-4416-9451-8d82a554b559 Model","[Facilities].[DATIMName].&amp;[St. Alois Health Center]")</f>
        <v>#N/A</v>
      </c>
      <c r="B350" t="e">
        <f t="shared" si="34"/>
        <v>#N/A</v>
      </c>
      <c r="C350" t="e">
        <f t="shared" si="34"/>
        <v>#N/A</v>
      </c>
      <c r="D350" t="e">
        <f t="shared" si="34"/>
        <v>#N/A</v>
      </c>
      <c r="E350" t="e">
        <f t="shared" si="34"/>
        <v>#N/A</v>
      </c>
      <c r="F350" t="e">
        <f t="shared" si="34"/>
        <v>#N/A</v>
      </c>
      <c r="G350" t="e">
        <f t="shared" si="34"/>
        <v>#N/A</v>
      </c>
      <c r="H350" t="e">
        <f t="shared" si="34"/>
        <v>#N/A</v>
      </c>
      <c r="I350" t="e">
        <f t="shared" si="34"/>
        <v>#N/A</v>
      </c>
      <c r="J350" t="e">
        <f t="shared" si="34"/>
        <v>#N/A</v>
      </c>
      <c r="K350" t="e">
        <f t="shared" si="34"/>
        <v>#N/A</v>
      </c>
      <c r="L350" t="e">
        <f t="shared" si="34"/>
        <v>#N/A</v>
      </c>
      <c r="M350" t="e">
        <f t="shared" si="34"/>
        <v>#N/A</v>
      </c>
      <c r="N350" t="e">
        <f t="shared" si="34"/>
        <v>#N/A</v>
      </c>
      <c r="O350" t="e">
        <f t="shared" si="34"/>
        <v>#N/A</v>
      </c>
      <c r="P350" t="e">
        <f t="shared" si="34"/>
        <v>#N/A</v>
      </c>
    </row>
    <row r="351" spans="1:16" x14ac:dyDescent="0.25">
      <c r="A351" t="e">
        <f>CUBEMEMBER("pbiazure://api.powerbi.com 6e064a38-7f82-4416-9451-8d82a554b559 Model","[Facilities].[DATIMName].&amp;[St. Elizabeth Hospital - Designated District Hospital]")</f>
        <v>#N/A</v>
      </c>
      <c r="B351" t="e">
        <f t="shared" si="34"/>
        <v>#N/A</v>
      </c>
      <c r="C351" t="e">
        <f t="shared" si="34"/>
        <v>#N/A</v>
      </c>
      <c r="D351" t="e">
        <f t="shared" si="34"/>
        <v>#N/A</v>
      </c>
      <c r="E351" t="e">
        <f t="shared" si="34"/>
        <v>#N/A</v>
      </c>
      <c r="F351" t="e">
        <f t="shared" si="34"/>
        <v>#N/A</v>
      </c>
      <c r="G351" t="e">
        <f t="shared" si="34"/>
        <v>#N/A</v>
      </c>
      <c r="H351" t="e">
        <f t="shared" si="34"/>
        <v>#N/A</v>
      </c>
      <c r="I351" t="e">
        <f t="shared" si="34"/>
        <v>#N/A</v>
      </c>
      <c r="J351" t="e">
        <f t="shared" si="34"/>
        <v>#N/A</v>
      </c>
      <c r="K351" t="e">
        <f t="shared" si="34"/>
        <v>#N/A</v>
      </c>
      <c r="L351" t="e">
        <f t="shared" si="34"/>
        <v>#N/A</v>
      </c>
      <c r="M351" t="e">
        <f t="shared" si="34"/>
        <v>#N/A</v>
      </c>
      <c r="N351" t="e">
        <f t="shared" si="34"/>
        <v>#N/A</v>
      </c>
      <c r="O351" t="e">
        <f t="shared" si="34"/>
        <v>#N/A</v>
      </c>
      <c r="P351" t="e">
        <f t="shared" si="34"/>
        <v>#N/A</v>
      </c>
    </row>
    <row r="352" spans="1:16" x14ac:dyDescent="0.25">
      <c r="A352" t="e">
        <f>CUBEMEMBER("pbiazure://api.powerbi.com 6e064a38-7f82-4416-9451-8d82a554b559 Model","[Facilities].[DATIMName].&amp;[St. Gasper Hospital - Referral Hospital]")</f>
        <v>#N/A</v>
      </c>
      <c r="B352" t="e">
        <f t="shared" si="34"/>
        <v>#N/A</v>
      </c>
      <c r="C352" t="e">
        <f t="shared" si="34"/>
        <v>#N/A</v>
      </c>
      <c r="D352" t="e">
        <f t="shared" si="34"/>
        <v>#N/A</v>
      </c>
      <c r="E352" t="e">
        <f t="shared" si="34"/>
        <v>#N/A</v>
      </c>
      <c r="F352" t="e">
        <f t="shared" si="34"/>
        <v>#N/A</v>
      </c>
      <c r="G352" t="e">
        <f t="shared" si="34"/>
        <v>#N/A</v>
      </c>
      <c r="H352" t="e">
        <f t="shared" si="34"/>
        <v>#N/A</v>
      </c>
      <c r="I352" t="e">
        <f t="shared" si="34"/>
        <v>#N/A</v>
      </c>
      <c r="J352" t="e">
        <f t="shared" si="34"/>
        <v>#N/A</v>
      </c>
      <c r="K352" t="e">
        <f t="shared" si="34"/>
        <v>#N/A</v>
      </c>
      <c r="L352" t="e">
        <f t="shared" si="34"/>
        <v>#N/A</v>
      </c>
      <c r="M352" t="e">
        <f t="shared" si="34"/>
        <v>#N/A</v>
      </c>
      <c r="N352" t="e">
        <f t="shared" si="34"/>
        <v>#N/A</v>
      </c>
      <c r="O352" t="e">
        <f t="shared" si="34"/>
        <v>#N/A</v>
      </c>
      <c r="P352" t="e">
        <f t="shared" si="34"/>
        <v>#N/A</v>
      </c>
    </row>
    <row r="353" spans="1:16" x14ac:dyDescent="0.25">
      <c r="A353" t="e">
        <f>CUBEMEMBER("pbiazure://api.powerbi.com 6e064a38-7f82-4416-9451-8d82a554b559 Model","[Facilities].[DATIMName].&amp;[St. Gemma Hospital - Designated District Hospital]")</f>
        <v>#N/A</v>
      </c>
      <c r="B353" t="e">
        <f t="shared" si="34"/>
        <v>#N/A</v>
      </c>
      <c r="C353" t="e">
        <f t="shared" si="34"/>
        <v>#N/A</v>
      </c>
      <c r="D353" t="e">
        <f t="shared" si="34"/>
        <v>#N/A</v>
      </c>
      <c r="E353" t="e">
        <f t="shared" si="34"/>
        <v>#N/A</v>
      </c>
      <c r="F353" t="e">
        <f t="shared" si="34"/>
        <v>#N/A</v>
      </c>
      <c r="G353" t="e">
        <f t="shared" si="34"/>
        <v>#N/A</v>
      </c>
      <c r="H353" t="e">
        <f t="shared" si="34"/>
        <v>#N/A</v>
      </c>
      <c r="I353" t="e">
        <f t="shared" si="34"/>
        <v>#N/A</v>
      </c>
      <c r="J353" t="e">
        <f t="shared" si="34"/>
        <v>#N/A</v>
      </c>
      <c r="K353" t="e">
        <f t="shared" si="34"/>
        <v>#N/A</v>
      </c>
      <c r="L353" t="e">
        <f t="shared" si="34"/>
        <v>#N/A</v>
      </c>
      <c r="M353" t="e">
        <f t="shared" si="34"/>
        <v>#N/A</v>
      </c>
      <c r="N353" t="e">
        <f t="shared" si="34"/>
        <v>#N/A</v>
      </c>
      <c r="O353" t="e">
        <f t="shared" si="34"/>
        <v>#N/A</v>
      </c>
      <c r="P353" t="e">
        <f t="shared" si="34"/>
        <v>#N/A</v>
      </c>
    </row>
    <row r="354" spans="1:16" x14ac:dyDescent="0.25">
      <c r="A354" t="e">
        <f>CUBEMEMBER("pbiazure://api.powerbi.com 6e064a38-7f82-4416-9451-8d82a554b559 Model","[Facilities].[DATIMName].&amp;[St. Joseph Hospital - Designated District Hospital]")</f>
        <v>#N/A</v>
      </c>
      <c r="B354" t="e">
        <f t="shared" si="34"/>
        <v>#N/A</v>
      </c>
      <c r="C354" t="e">
        <f t="shared" si="34"/>
        <v>#N/A</v>
      </c>
      <c r="D354" t="e">
        <f t="shared" si="34"/>
        <v>#N/A</v>
      </c>
      <c r="E354" t="e">
        <f t="shared" si="34"/>
        <v>#N/A</v>
      </c>
      <c r="F354" t="e">
        <f t="shared" si="34"/>
        <v>#N/A</v>
      </c>
      <c r="G354" t="e">
        <f t="shared" si="34"/>
        <v>#N/A</v>
      </c>
      <c r="H354" t="e">
        <f t="shared" si="34"/>
        <v>#N/A</v>
      </c>
      <c r="I354" t="e">
        <f t="shared" si="34"/>
        <v>#N/A</v>
      </c>
      <c r="J354" t="e">
        <f t="shared" si="34"/>
        <v>#N/A</v>
      </c>
      <c r="K354" t="e">
        <f t="shared" si="34"/>
        <v>#N/A</v>
      </c>
      <c r="L354" t="e">
        <f t="shared" si="34"/>
        <v>#N/A</v>
      </c>
      <c r="M354" t="e">
        <f t="shared" si="34"/>
        <v>#N/A</v>
      </c>
      <c r="N354" t="e">
        <f t="shared" si="34"/>
        <v>#N/A</v>
      </c>
      <c r="O354" t="e">
        <f t="shared" si="34"/>
        <v>#N/A</v>
      </c>
      <c r="P354" t="e">
        <f t="shared" si="34"/>
        <v>#N/A</v>
      </c>
    </row>
    <row r="355" spans="1:16" x14ac:dyDescent="0.25">
      <c r="A355" t="e">
        <f>CUBEMEMBER("pbiazure://api.powerbi.com 6e064a38-7f82-4416-9451-8d82a554b559 Model","[Facilities].[DATIMName].&amp;[St. Thomas Health Center]")</f>
        <v>#N/A</v>
      </c>
      <c r="B355" t="e">
        <f t="shared" ref="B355:P364" si="35">CUBEVALUE("pbiazure://api.powerbi.com 6e064a38-7f82-4416-9451-8d82a554b559 Model",$B$1,$A355,B$4)</f>
        <v>#N/A</v>
      </c>
      <c r="C355" t="e">
        <f t="shared" si="35"/>
        <v>#N/A</v>
      </c>
      <c r="D355" t="e">
        <f t="shared" si="35"/>
        <v>#N/A</v>
      </c>
      <c r="E355" t="e">
        <f t="shared" si="35"/>
        <v>#N/A</v>
      </c>
      <c r="F355" t="e">
        <f t="shared" si="35"/>
        <v>#N/A</v>
      </c>
      <c r="G355" t="e">
        <f t="shared" si="35"/>
        <v>#N/A</v>
      </c>
      <c r="H355" t="e">
        <f t="shared" si="35"/>
        <v>#N/A</v>
      </c>
      <c r="I355" t="e">
        <f t="shared" si="35"/>
        <v>#N/A</v>
      </c>
      <c r="J355" t="e">
        <f t="shared" si="35"/>
        <v>#N/A</v>
      </c>
      <c r="K355" t="e">
        <f t="shared" si="35"/>
        <v>#N/A</v>
      </c>
      <c r="L355" t="e">
        <f t="shared" si="35"/>
        <v>#N/A</v>
      </c>
      <c r="M355" t="e">
        <f t="shared" si="35"/>
        <v>#N/A</v>
      </c>
      <c r="N355" t="e">
        <f t="shared" si="35"/>
        <v>#N/A</v>
      </c>
      <c r="O355" t="e">
        <f t="shared" si="35"/>
        <v>#N/A</v>
      </c>
      <c r="P355" t="e">
        <f t="shared" si="35"/>
        <v>#N/A</v>
      </c>
    </row>
    <row r="356" spans="1:16" x14ac:dyDescent="0.25">
      <c r="A356" t="e">
        <f>CUBEMEMBER("pbiazure://api.powerbi.com 6e064a38-7f82-4416-9451-8d82a554b559 Model","[Facilities].[DATIMName].&amp;[Sukuro Dispensary]")</f>
        <v>#N/A</v>
      </c>
      <c r="B356" t="e">
        <f t="shared" si="35"/>
        <v>#N/A</v>
      </c>
      <c r="C356" t="e">
        <f t="shared" si="35"/>
        <v>#N/A</v>
      </c>
      <c r="D356" t="e">
        <f t="shared" si="35"/>
        <v>#N/A</v>
      </c>
      <c r="E356" t="e">
        <f t="shared" si="35"/>
        <v>#N/A</v>
      </c>
      <c r="F356" t="e">
        <f t="shared" si="35"/>
        <v>#N/A</v>
      </c>
      <c r="G356" t="e">
        <f t="shared" si="35"/>
        <v>#N/A</v>
      </c>
      <c r="H356" t="e">
        <f t="shared" si="35"/>
        <v>#N/A</v>
      </c>
      <c r="I356" t="e">
        <f t="shared" si="35"/>
        <v>#N/A</v>
      </c>
      <c r="J356" t="e">
        <f t="shared" si="35"/>
        <v>#N/A</v>
      </c>
      <c r="K356" t="e">
        <f t="shared" si="35"/>
        <v>#N/A</v>
      </c>
      <c r="L356" t="e">
        <f t="shared" si="35"/>
        <v>#N/A</v>
      </c>
      <c r="M356" t="e">
        <f t="shared" si="35"/>
        <v>#N/A</v>
      </c>
      <c r="N356" t="e">
        <f t="shared" si="35"/>
        <v>#N/A</v>
      </c>
      <c r="O356" t="e">
        <f t="shared" si="35"/>
        <v>#N/A</v>
      </c>
      <c r="P356" t="e">
        <f t="shared" si="35"/>
        <v>#N/A</v>
      </c>
    </row>
    <row r="357" spans="1:16" x14ac:dyDescent="0.25">
      <c r="A357" t="e">
        <f>CUBEMEMBER("pbiazure://api.powerbi.com 6e064a38-7f82-4416-9451-8d82a554b559 Model","[Facilities].[DATIMName].&amp;[Sunya Health Center]")</f>
        <v>#N/A</v>
      </c>
      <c r="B357" t="e">
        <f t="shared" si="35"/>
        <v>#N/A</v>
      </c>
      <c r="C357" t="e">
        <f t="shared" si="35"/>
        <v>#N/A</v>
      </c>
      <c r="D357" t="e">
        <f t="shared" si="35"/>
        <v>#N/A</v>
      </c>
      <c r="E357" t="e">
        <f t="shared" si="35"/>
        <v>#N/A</v>
      </c>
      <c r="F357" t="e">
        <f t="shared" si="35"/>
        <v>#N/A</v>
      </c>
      <c r="G357" t="e">
        <f t="shared" si="35"/>
        <v>#N/A</v>
      </c>
      <c r="H357" t="e">
        <f t="shared" si="35"/>
        <v>#N/A</v>
      </c>
      <c r="I357" t="e">
        <f t="shared" si="35"/>
        <v>#N/A</v>
      </c>
      <c r="J357" t="e">
        <f t="shared" si="35"/>
        <v>#N/A</v>
      </c>
      <c r="K357" t="e">
        <f t="shared" si="35"/>
        <v>#N/A</v>
      </c>
      <c r="L357" t="e">
        <f t="shared" si="35"/>
        <v>#N/A</v>
      </c>
      <c r="M357" t="e">
        <f t="shared" si="35"/>
        <v>#N/A</v>
      </c>
      <c r="N357" t="e">
        <f t="shared" si="35"/>
        <v>#N/A</v>
      </c>
      <c r="O357" t="e">
        <f t="shared" si="35"/>
        <v>#N/A</v>
      </c>
      <c r="P357" t="e">
        <f t="shared" si="35"/>
        <v>#N/A</v>
      </c>
    </row>
    <row r="358" spans="1:16" x14ac:dyDescent="0.25">
      <c r="A358" t="e">
        <f>CUBEMEMBER("pbiazure://api.powerbi.com 6e064a38-7f82-4416-9451-8d82a554b559 Model","[Facilities].[DATIMName].&amp;[Tambi Dispensary]")</f>
        <v>#N/A</v>
      </c>
      <c r="B358" t="e">
        <f t="shared" si="35"/>
        <v>#N/A</v>
      </c>
      <c r="C358" t="e">
        <f t="shared" si="35"/>
        <v>#N/A</v>
      </c>
      <c r="D358" t="e">
        <f t="shared" si="35"/>
        <v>#N/A</v>
      </c>
      <c r="E358" t="e">
        <f t="shared" si="35"/>
        <v>#N/A</v>
      </c>
      <c r="F358" t="e">
        <f t="shared" si="35"/>
        <v>#N/A</v>
      </c>
      <c r="G358" t="e">
        <f t="shared" si="35"/>
        <v>#N/A</v>
      </c>
      <c r="H358" t="e">
        <f t="shared" si="35"/>
        <v>#N/A</v>
      </c>
      <c r="I358" t="e">
        <f t="shared" si="35"/>
        <v>#N/A</v>
      </c>
      <c r="J358" t="e">
        <f t="shared" si="35"/>
        <v>#N/A</v>
      </c>
      <c r="K358" t="e">
        <f t="shared" si="35"/>
        <v>#N/A</v>
      </c>
      <c r="L358" t="e">
        <f t="shared" si="35"/>
        <v>#N/A</v>
      </c>
      <c r="M358" t="e">
        <f t="shared" si="35"/>
        <v>#N/A</v>
      </c>
      <c r="N358" t="e">
        <f t="shared" si="35"/>
        <v>#N/A</v>
      </c>
      <c r="O358" t="e">
        <f t="shared" si="35"/>
        <v>#N/A</v>
      </c>
      <c r="P358" t="e">
        <f t="shared" si="35"/>
        <v>#N/A</v>
      </c>
    </row>
    <row r="359" spans="1:16" x14ac:dyDescent="0.25">
      <c r="A359" t="e">
        <f>CUBEMEMBER("pbiazure://api.powerbi.com 6e064a38-7f82-4416-9451-8d82a554b559 Model","[Facilities].[DATIMName].&amp;[Tarakea Health Center]")</f>
        <v>#N/A</v>
      </c>
      <c r="B359" t="e">
        <f t="shared" si="35"/>
        <v>#N/A</v>
      </c>
      <c r="C359" t="e">
        <f t="shared" si="35"/>
        <v>#N/A</v>
      </c>
      <c r="D359" t="e">
        <f t="shared" si="35"/>
        <v>#N/A</v>
      </c>
      <c r="E359" t="e">
        <f t="shared" si="35"/>
        <v>#N/A</v>
      </c>
      <c r="F359" t="e">
        <f t="shared" si="35"/>
        <v>#N/A</v>
      </c>
      <c r="G359" t="e">
        <f t="shared" si="35"/>
        <v>#N/A</v>
      </c>
      <c r="H359" t="e">
        <f t="shared" si="35"/>
        <v>#N/A</v>
      </c>
      <c r="I359" t="e">
        <f t="shared" si="35"/>
        <v>#N/A</v>
      </c>
      <c r="J359" t="e">
        <f t="shared" si="35"/>
        <v>#N/A</v>
      </c>
      <c r="K359" t="e">
        <f t="shared" si="35"/>
        <v>#N/A</v>
      </c>
      <c r="L359" t="e">
        <f t="shared" si="35"/>
        <v>#N/A</v>
      </c>
      <c r="M359" t="e">
        <f t="shared" si="35"/>
        <v>#N/A</v>
      </c>
      <c r="N359" t="e">
        <f t="shared" si="35"/>
        <v>#N/A</v>
      </c>
      <c r="O359" t="e">
        <f t="shared" si="35"/>
        <v>#N/A</v>
      </c>
      <c r="P359" t="e">
        <f t="shared" si="35"/>
        <v>#N/A</v>
      </c>
    </row>
    <row r="360" spans="1:16" x14ac:dyDescent="0.25">
      <c r="A360" t="e">
        <f>CUBEMEMBER("pbiazure://api.powerbi.com 6e064a38-7f82-4416-9451-8d82a554b559 Model","[Facilities].[DATIMName].&amp;[Terrat Dispensary]")</f>
        <v>#N/A</v>
      </c>
      <c r="B360" t="e">
        <f t="shared" si="35"/>
        <v>#N/A</v>
      </c>
      <c r="C360" t="e">
        <f t="shared" si="35"/>
        <v>#N/A</v>
      </c>
      <c r="D360" t="e">
        <f t="shared" si="35"/>
        <v>#N/A</v>
      </c>
      <c r="E360" t="e">
        <f t="shared" si="35"/>
        <v>#N/A</v>
      </c>
      <c r="F360" t="e">
        <f t="shared" si="35"/>
        <v>#N/A</v>
      </c>
      <c r="G360" t="e">
        <f t="shared" si="35"/>
        <v>#N/A</v>
      </c>
      <c r="H360" t="e">
        <f t="shared" si="35"/>
        <v>#N/A</v>
      </c>
      <c r="I360" t="e">
        <f t="shared" si="35"/>
        <v>#N/A</v>
      </c>
      <c r="J360" t="e">
        <f t="shared" si="35"/>
        <v>#N/A</v>
      </c>
      <c r="K360" t="e">
        <f t="shared" si="35"/>
        <v>#N/A</v>
      </c>
      <c r="L360" t="e">
        <f t="shared" si="35"/>
        <v>#N/A</v>
      </c>
      <c r="M360" t="e">
        <f t="shared" si="35"/>
        <v>#N/A</v>
      </c>
      <c r="N360" t="e">
        <f t="shared" si="35"/>
        <v>#N/A</v>
      </c>
      <c r="O360" t="e">
        <f t="shared" si="35"/>
        <v>#N/A</v>
      </c>
      <c r="P360" t="e">
        <f t="shared" si="35"/>
        <v>#N/A</v>
      </c>
    </row>
    <row r="361" spans="1:16" x14ac:dyDescent="0.25">
      <c r="A361" t="e">
        <f>CUBEMEMBER("pbiazure://api.powerbi.com 6e064a38-7f82-4416-9451-8d82a554b559 Model","[Facilities].[DATIMName].&amp;[Thawi Dispensary]")</f>
        <v>#N/A</v>
      </c>
      <c r="B361" t="e">
        <f t="shared" si="35"/>
        <v>#N/A</v>
      </c>
      <c r="C361" t="e">
        <f t="shared" si="35"/>
        <v>#N/A</v>
      </c>
      <c r="D361" t="e">
        <f t="shared" si="35"/>
        <v>#N/A</v>
      </c>
      <c r="E361" t="e">
        <f t="shared" si="35"/>
        <v>#N/A</v>
      </c>
      <c r="F361" t="e">
        <f t="shared" si="35"/>
        <v>#N/A</v>
      </c>
      <c r="G361" t="e">
        <f t="shared" si="35"/>
        <v>#N/A</v>
      </c>
      <c r="H361" t="e">
        <f t="shared" si="35"/>
        <v>#N/A</v>
      </c>
      <c r="I361" t="e">
        <f t="shared" si="35"/>
        <v>#N/A</v>
      </c>
      <c r="J361" t="e">
        <f t="shared" si="35"/>
        <v>#N/A</v>
      </c>
      <c r="K361" t="e">
        <f t="shared" si="35"/>
        <v>#N/A</v>
      </c>
      <c r="L361" t="e">
        <f t="shared" si="35"/>
        <v>#N/A</v>
      </c>
      <c r="M361" t="e">
        <f t="shared" si="35"/>
        <v>#N/A</v>
      </c>
      <c r="N361" t="e">
        <f t="shared" si="35"/>
        <v>#N/A</v>
      </c>
      <c r="O361" t="e">
        <f t="shared" si="35"/>
        <v>#N/A</v>
      </c>
      <c r="P361" t="e">
        <f t="shared" si="35"/>
        <v>#N/A</v>
      </c>
    </row>
    <row r="362" spans="1:16" x14ac:dyDescent="0.25">
      <c r="A362" t="e">
        <f>CUBEMEMBER("pbiazure://api.powerbi.com 6e064a38-7f82-4416-9451-8d82a554b559 Model","[Facilities].[DATIMName].&amp;[Themi Health Center]")</f>
        <v>#N/A</v>
      </c>
      <c r="B362" t="e">
        <f t="shared" si="35"/>
        <v>#N/A</v>
      </c>
      <c r="C362" t="e">
        <f t="shared" si="35"/>
        <v>#N/A</v>
      </c>
      <c r="D362" t="e">
        <f t="shared" si="35"/>
        <v>#N/A</v>
      </c>
      <c r="E362" t="e">
        <f t="shared" si="35"/>
        <v>#N/A</v>
      </c>
      <c r="F362" t="e">
        <f t="shared" si="35"/>
        <v>#N/A</v>
      </c>
      <c r="G362" t="e">
        <f t="shared" si="35"/>
        <v>#N/A</v>
      </c>
      <c r="H362" t="e">
        <f t="shared" si="35"/>
        <v>#N/A</v>
      </c>
      <c r="I362" t="e">
        <f t="shared" si="35"/>
        <v>#N/A</v>
      </c>
      <c r="J362" t="e">
        <f t="shared" si="35"/>
        <v>#N/A</v>
      </c>
      <c r="K362" t="e">
        <f t="shared" si="35"/>
        <v>#N/A</v>
      </c>
      <c r="L362" t="e">
        <f t="shared" si="35"/>
        <v>#N/A</v>
      </c>
      <c r="M362" t="e">
        <f t="shared" si="35"/>
        <v>#N/A</v>
      </c>
      <c r="N362" t="e">
        <f t="shared" si="35"/>
        <v>#N/A</v>
      </c>
      <c r="O362" t="e">
        <f t="shared" si="35"/>
        <v>#N/A</v>
      </c>
      <c r="P362" t="e">
        <f t="shared" si="35"/>
        <v>#N/A</v>
      </c>
    </row>
    <row r="363" spans="1:16" x14ac:dyDescent="0.25">
      <c r="A363" t="e">
        <f>CUBEMEMBER("pbiazure://api.powerbi.com 6e064a38-7f82-4416-9451-8d82a554b559 Model","[Facilities].[DATIMName].&amp;[TPC Hospital - Other Hospital]")</f>
        <v>#N/A</v>
      </c>
      <c r="B363" t="e">
        <f t="shared" si="35"/>
        <v>#N/A</v>
      </c>
      <c r="C363" t="e">
        <f t="shared" si="35"/>
        <v>#N/A</v>
      </c>
      <c r="D363" t="e">
        <f t="shared" si="35"/>
        <v>#N/A</v>
      </c>
      <c r="E363" t="e">
        <f t="shared" si="35"/>
        <v>#N/A</v>
      </c>
      <c r="F363" t="e">
        <f t="shared" si="35"/>
        <v>#N/A</v>
      </c>
      <c r="G363" t="e">
        <f t="shared" si="35"/>
        <v>#N/A</v>
      </c>
      <c r="H363" t="e">
        <f t="shared" si="35"/>
        <v>#N/A</v>
      </c>
      <c r="I363" t="e">
        <f t="shared" si="35"/>
        <v>#N/A</v>
      </c>
      <c r="J363" t="e">
        <f t="shared" si="35"/>
        <v>#N/A</v>
      </c>
      <c r="K363" t="e">
        <f t="shared" si="35"/>
        <v>#N/A</v>
      </c>
      <c r="L363" t="e">
        <f t="shared" si="35"/>
        <v>#N/A</v>
      </c>
      <c r="M363" t="e">
        <f t="shared" si="35"/>
        <v>#N/A</v>
      </c>
      <c r="N363" t="e">
        <f t="shared" si="35"/>
        <v>#N/A</v>
      </c>
      <c r="O363" t="e">
        <f t="shared" si="35"/>
        <v>#N/A</v>
      </c>
      <c r="P363" t="e">
        <f t="shared" si="35"/>
        <v>#N/A</v>
      </c>
    </row>
    <row r="364" spans="1:16" x14ac:dyDescent="0.25">
      <c r="A364" t="e">
        <f>CUBEMEMBER("pbiazure://api.powerbi.com 6e064a38-7f82-4416-9451-8d82a554b559 Model","[Facilities].[DATIMName].&amp;[Tubugwe Dispensary]")</f>
        <v>#N/A</v>
      </c>
      <c r="B364" t="e">
        <f t="shared" si="35"/>
        <v>#N/A</v>
      </c>
      <c r="C364" t="e">
        <f t="shared" si="35"/>
        <v>#N/A</v>
      </c>
      <c r="D364" t="e">
        <f t="shared" si="35"/>
        <v>#N/A</v>
      </c>
      <c r="E364" t="e">
        <f t="shared" si="35"/>
        <v>#N/A</v>
      </c>
      <c r="F364" t="e">
        <f t="shared" si="35"/>
        <v>#N/A</v>
      </c>
      <c r="G364" t="e">
        <f t="shared" si="35"/>
        <v>#N/A</v>
      </c>
      <c r="H364" t="e">
        <f t="shared" si="35"/>
        <v>#N/A</v>
      </c>
      <c r="I364" t="e">
        <f t="shared" si="35"/>
        <v>#N/A</v>
      </c>
      <c r="J364" t="e">
        <f t="shared" si="35"/>
        <v>#N/A</v>
      </c>
      <c r="K364" t="e">
        <f t="shared" si="35"/>
        <v>#N/A</v>
      </c>
      <c r="L364" t="e">
        <f t="shared" si="35"/>
        <v>#N/A</v>
      </c>
      <c r="M364" t="e">
        <f t="shared" si="35"/>
        <v>#N/A</v>
      </c>
      <c r="N364" t="e">
        <f t="shared" si="35"/>
        <v>#N/A</v>
      </c>
      <c r="O364" t="e">
        <f t="shared" si="35"/>
        <v>#N/A</v>
      </c>
      <c r="P364" t="e">
        <f t="shared" si="35"/>
        <v>#N/A</v>
      </c>
    </row>
    <row r="365" spans="1:16" x14ac:dyDescent="0.25">
      <c r="A365" t="e">
        <f>CUBEMEMBER("pbiazure://api.powerbi.com 6e064a38-7f82-4416-9451-8d82a554b559 Model","[Facilities].[DATIMName].&amp;[Tumaini Hospital]")</f>
        <v>#N/A</v>
      </c>
      <c r="B365" t="e">
        <f t="shared" ref="B365:P374" si="36">CUBEVALUE("pbiazure://api.powerbi.com 6e064a38-7f82-4416-9451-8d82a554b559 Model",$B$1,$A365,B$4)</f>
        <v>#N/A</v>
      </c>
      <c r="C365" t="e">
        <f t="shared" si="36"/>
        <v>#N/A</v>
      </c>
      <c r="D365" t="e">
        <f t="shared" si="36"/>
        <v>#N/A</v>
      </c>
      <c r="E365" t="e">
        <f t="shared" si="36"/>
        <v>#N/A</v>
      </c>
      <c r="F365" t="e">
        <f t="shared" si="36"/>
        <v>#N/A</v>
      </c>
      <c r="G365" t="e">
        <f t="shared" si="36"/>
        <v>#N/A</v>
      </c>
      <c r="H365" t="e">
        <f t="shared" si="36"/>
        <v>#N/A</v>
      </c>
      <c r="I365" t="e">
        <f t="shared" si="36"/>
        <v>#N/A</v>
      </c>
      <c r="J365" t="e">
        <f t="shared" si="36"/>
        <v>#N/A</v>
      </c>
      <c r="K365" t="e">
        <f t="shared" si="36"/>
        <v>#N/A</v>
      </c>
      <c r="L365" t="e">
        <f t="shared" si="36"/>
        <v>#N/A</v>
      </c>
      <c r="M365" t="e">
        <f t="shared" si="36"/>
        <v>#N/A</v>
      </c>
      <c r="N365" t="e">
        <f t="shared" si="36"/>
        <v>#N/A</v>
      </c>
      <c r="O365" t="e">
        <f t="shared" si="36"/>
        <v>#N/A</v>
      </c>
      <c r="P365" t="e">
        <f t="shared" si="36"/>
        <v>#N/A</v>
      </c>
    </row>
    <row r="366" spans="1:16" x14ac:dyDescent="0.25">
      <c r="A366" t="e">
        <f>CUBEMEMBER("pbiazure://api.powerbi.com 6e064a38-7f82-4416-9451-8d82a554b559 Model","[Facilities].[DATIMName].&amp;[UDOM Health Center]")</f>
        <v>#N/A</v>
      </c>
      <c r="B366" t="e">
        <f t="shared" si="36"/>
        <v>#N/A</v>
      </c>
      <c r="C366" t="e">
        <f t="shared" si="36"/>
        <v>#N/A</v>
      </c>
      <c r="D366" t="e">
        <f t="shared" si="36"/>
        <v>#N/A</v>
      </c>
      <c r="E366" t="e">
        <f t="shared" si="36"/>
        <v>#N/A</v>
      </c>
      <c r="F366" t="e">
        <f t="shared" si="36"/>
        <v>#N/A</v>
      </c>
      <c r="G366" t="e">
        <f t="shared" si="36"/>
        <v>#N/A</v>
      </c>
      <c r="H366" t="e">
        <f t="shared" si="36"/>
        <v>#N/A</v>
      </c>
      <c r="I366" t="e">
        <f t="shared" si="36"/>
        <v>#N/A</v>
      </c>
      <c r="J366" t="e">
        <f t="shared" si="36"/>
        <v>#N/A</v>
      </c>
      <c r="K366" t="e">
        <f t="shared" si="36"/>
        <v>#N/A</v>
      </c>
      <c r="L366" t="e">
        <f t="shared" si="36"/>
        <v>#N/A</v>
      </c>
      <c r="M366" t="e">
        <f t="shared" si="36"/>
        <v>#N/A</v>
      </c>
      <c r="N366" t="e">
        <f t="shared" si="36"/>
        <v>#N/A</v>
      </c>
      <c r="O366" t="e">
        <f t="shared" si="36"/>
        <v>#N/A</v>
      </c>
      <c r="P366" t="e">
        <f t="shared" si="36"/>
        <v>#N/A</v>
      </c>
    </row>
    <row r="367" spans="1:16" x14ac:dyDescent="0.25">
      <c r="A367" t="e">
        <f>CUBEMEMBER("pbiazure://api.powerbi.com 6e064a38-7f82-4416-9451-8d82a554b559 Model","[Facilities].[DATIMName].&amp;[Ugogoni Health Center]")</f>
        <v>#N/A</v>
      </c>
      <c r="B367" t="e">
        <f t="shared" si="36"/>
        <v>#N/A</v>
      </c>
      <c r="C367" t="e">
        <f t="shared" si="36"/>
        <v>#N/A</v>
      </c>
      <c r="D367" t="e">
        <f t="shared" si="36"/>
        <v>#N/A</v>
      </c>
      <c r="E367" t="e">
        <f t="shared" si="36"/>
        <v>#N/A</v>
      </c>
      <c r="F367" t="e">
        <f t="shared" si="36"/>
        <v>#N/A</v>
      </c>
      <c r="G367" t="e">
        <f t="shared" si="36"/>
        <v>#N/A</v>
      </c>
      <c r="H367" t="e">
        <f t="shared" si="36"/>
        <v>#N/A</v>
      </c>
      <c r="I367" t="e">
        <f t="shared" si="36"/>
        <v>#N/A</v>
      </c>
      <c r="J367" t="e">
        <f t="shared" si="36"/>
        <v>#N/A</v>
      </c>
      <c r="K367" t="e">
        <f t="shared" si="36"/>
        <v>#N/A</v>
      </c>
      <c r="L367" t="e">
        <f t="shared" si="36"/>
        <v>#N/A</v>
      </c>
      <c r="M367" t="e">
        <f t="shared" si="36"/>
        <v>#N/A</v>
      </c>
      <c r="N367" t="e">
        <f t="shared" si="36"/>
        <v>#N/A</v>
      </c>
      <c r="O367" t="e">
        <f t="shared" si="36"/>
        <v>#N/A</v>
      </c>
      <c r="P367" t="e">
        <f t="shared" si="36"/>
        <v>#N/A</v>
      </c>
    </row>
    <row r="368" spans="1:16" x14ac:dyDescent="0.25">
      <c r="A368" t="e">
        <f>CUBEMEMBER("pbiazure://api.powerbi.com 6e064a38-7f82-4416-9451-8d82a554b559 Model","[Facilities].[DATIMName].&amp;[Uhasibu Dispensary]")</f>
        <v>#N/A</v>
      </c>
      <c r="B368" t="e">
        <f t="shared" si="36"/>
        <v>#N/A</v>
      </c>
      <c r="C368" t="e">
        <f t="shared" si="36"/>
        <v>#N/A</v>
      </c>
      <c r="D368" t="e">
        <f t="shared" si="36"/>
        <v>#N/A</v>
      </c>
      <c r="E368" t="e">
        <f t="shared" si="36"/>
        <v>#N/A</v>
      </c>
      <c r="F368" t="e">
        <f t="shared" si="36"/>
        <v>#N/A</v>
      </c>
      <c r="G368" t="e">
        <f t="shared" si="36"/>
        <v>#N/A</v>
      </c>
      <c r="H368" t="e">
        <f t="shared" si="36"/>
        <v>#N/A</v>
      </c>
      <c r="I368" t="e">
        <f t="shared" si="36"/>
        <v>#N/A</v>
      </c>
      <c r="J368" t="e">
        <f t="shared" si="36"/>
        <v>#N/A</v>
      </c>
      <c r="K368" t="e">
        <f t="shared" si="36"/>
        <v>#N/A</v>
      </c>
      <c r="L368" t="e">
        <f t="shared" si="36"/>
        <v>#N/A</v>
      </c>
      <c r="M368" t="e">
        <f t="shared" si="36"/>
        <v>#N/A</v>
      </c>
      <c r="N368" t="e">
        <f t="shared" si="36"/>
        <v>#N/A</v>
      </c>
      <c r="O368" t="e">
        <f t="shared" si="36"/>
        <v>#N/A</v>
      </c>
      <c r="P368" t="e">
        <f t="shared" si="36"/>
        <v>#N/A</v>
      </c>
    </row>
    <row r="369" spans="1:16" x14ac:dyDescent="0.25">
      <c r="A369" t="e">
        <f>CUBEMEMBER("pbiazure://api.powerbi.com 6e064a38-7f82-4416-9451-8d82a554b559 Model","[Facilities].[DATIMName].&amp;[Ulemo Dispensary]")</f>
        <v>#N/A</v>
      </c>
      <c r="B369" t="e">
        <f t="shared" si="36"/>
        <v>#N/A</v>
      </c>
      <c r="C369" t="e">
        <f t="shared" si="36"/>
        <v>#N/A</v>
      </c>
      <c r="D369" t="e">
        <f t="shared" si="36"/>
        <v>#N/A</v>
      </c>
      <c r="E369" t="e">
        <f t="shared" si="36"/>
        <v>#N/A</v>
      </c>
      <c r="F369" t="e">
        <f t="shared" si="36"/>
        <v>#N/A</v>
      </c>
      <c r="G369" t="e">
        <f t="shared" si="36"/>
        <v>#N/A</v>
      </c>
      <c r="H369" t="e">
        <f t="shared" si="36"/>
        <v>#N/A</v>
      </c>
      <c r="I369" t="e">
        <f t="shared" si="36"/>
        <v>#N/A</v>
      </c>
      <c r="J369" t="e">
        <f t="shared" si="36"/>
        <v>#N/A</v>
      </c>
      <c r="K369" t="e">
        <f t="shared" si="36"/>
        <v>#N/A</v>
      </c>
      <c r="L369" t="e">
        <f t="shared" si="36"/>
        <v>#N/A</v>
      </c>
      <c r="M369" t="e">
        <f t="shared" si="36"/>
        <v>#N/A</v>
      </c>
      <c r="N369" t="e">
        <f t="shared" si="36"/>
        <v>#N/A</v>
      </c>
      <c r="O369" t="e">
        <f t="shared" si="36"/>
        <v>#N/A</v>
      </c>
      <c r="P369" t="e">
        <f t="shared" si="36"/>
        <v>#N/A</v>
      </c>
    </row>
    <row r="370" spans="1:16" x14ac:dyDescent="0.25">
      <c r="A370" t="e">
        <f>CUBEMEMBER("pbiazure://api.powerbi.com 6e064a38-7f82-4416-9451-8d82a554b559 Model","[Facilities].[DATIMName].&amp;[UMATI Clinic]")</f>
        <v>#N/A</v>
      </c>
      <c r="B370" t="e">
        <f t="shared" si="36"/>
        <v>#N/A</v>
      </c>
      <c r="C370" t="e">
        <f t="shared" si="36"/>
        <v>#N/A</v>
      </c>
      <c r="D370" t="e">
        <f t="shared" si="36"/>
        <v>#N/A</v>
      </c>
      <c r="E370" t="e">
        <f t="shared" si="36"/>
        <v>#N/A</v>
      </c>
      <c r="F370" t="e">
        <f t="shared" si="36"/>
        <v>#N/A</v>
      </c>
      <c r="G370" t="e">
        <f t="shared" si="36"/>
        <v>#N/A</v>
      </c>
      <c r="H370" t="e">
        <f t="shared" si="36"/>
        <v>#N/A</v>
      </c>
      <c r="I370" t="e">
        <f t="shared" si="36"/>
        <v>#N/A</v>
      </c>
      <c r="J370" t="e">
        <f t="shared" si="36"/>
        <v>#N/A</v>
      </c>
      <c r="K370" t="e">
        <f t="shared" si="36"/>
        <v>#N/A</v>
      </c>
      <c r="L370" t="e">
        <f t="shared" si="36"/>
        <v>#N/A</v>
      </c>
      <c r="M370" t="e">
        <f t="shared" si="36"/>
        <v>#N/A</v>
      </c>
      <c r="N370" t="e">
        <f t="shared" si="36"/>
        <v>#N/A</v>
      </c>
      <c r="O370" t="e">
        <f t="shared" si="36"/>
        <v>#N/A</v>
      </c>
      <c r="P370" t="e">
        <f t="shared" si="36"/>
        <v>#N/A</v>
      </c>
    </row>
    <row r="371" spans="1:16" x14ac:dyDescent="0.25">
      <c r="A371" t="e">
        <f>CUBEMEMBER("pbiazure://api.powerbi.com 6e064a38-7f82-4416-9451-8d82a554b559 Model","[Facilities].[DATIMName].&amp;[Umbwe Health Center]")</f>
        <v>#N/A</v>
      </c>
      <c r="B371" t="e">
        <f t="shared" si="36"/>
        <v>#N/A</v>
      </c>
      <c r="C371" t="e">
        <f t="shared" si="36"/>
        <v>#N/A</v>
      </c>
      <c r="D371" t="e">
        <f t="shared" si="36"/>
        <v>#N/A</v>
      </c>
      <c r="E371" t="e">
        <f t="shared" si="36"/>
        <v>#N/A</v>
      </c>
      <c r="F371" t="e">
        <f t="shared" si="36"/>
        <v>#N/A</v>
      </c>
      <c r="G371" t="e">
        <f t="shared" si="36"/>
        <v>#N/A</v>
      </c>
      <c r="H371" t="e">
        <f t="shared" si="36"/>
        <v>#N/A</v>
      </c>
      <c r="I371" t="e">
        <f t="shared" si="36"/>
        <v>#N/A</v>
      </c>
      <c r="J371" t="e">
        <f t="shared" si="36"/>
        <v>#N/A</v>
      </c>
      <c r="K371" t="e">
        <f t="shared" si="36"/>
        <v>#N/A</v>
      </c>
      <c r="L371" t="e">
        <f t="shared" si="36"/>
        <v>#N/A</v>
      </c>
      <c r="M371" t="e">
        <f t="shared" si="36"/>
        <v>#N/A</v>
      </c>
      <c r="N371" t="e">
        <f t="shared" si="36"/>
        <v>#N/A</v>
      </c>
      <c r="O371" t="e">
        <f t="shared" si="36"/>
        <v>#N/A</v>
      </c>
      <c r="P371" t="e">
        <f t="shared" si="36"/>
        <v>#N/A</v>
      </c>
    </row>
    <row r="372" spans="1:16" x14ac:dyDescent="0.25">
      <c r="A372" t="e">
        <f>CUBEMEMBER("pbiazure://api.powerbi.com 6e064a38-7f82-4416-9451-8d82a554b559 Model","[Facilities].[DATIMName].&amp;[Uru kaskazini Dispensary]")</f>
        <v>#N/A</v>
      </c>
      <c r="B372" t="e">
        <f t="shared" si="36"/>
        <v>#N/A</v>
      </c>
      <c r="C372" t="e">
        <f t="shared" si="36"/>
        <v>#N/A</v>
      </c>
      <c r="D372" t="e">
        <f t="shared" si="36"/>
        <v>#N/A</v>
      </c>
      <c r="E372" t="e">
        <f t="shared" si="36"/>
        <v>#N/A</v>
      </c>
      <c r="F372" t="e">
        <f t="shared" si="36"/>
        <v>#N/A</v>
      </c>
      <c r="G372" t="e">
        <f t="shared" si="36"/>
        <v>#N/A</v>
      </c>
      <c r="H372" t="e">
        <f t="shared" si="36"/>
        <v>#N/A</v>
      </c>
      <c r="I372" t="e">
        <f t="shared" si="36"/>
        <v>#N/A</v>
      </c>
      <c r="J372" t="e">
        <f t="shared" si="36"/>
        <v>#N/A</v>
      </c>
      <c r="K372" t="e">
        <f t="shared" si="36"/>
        <v>#N/A</v>
      </c>
      <c r="L372" t="e">
        <f t="shared" si="36"/>
        <v>#N/A</v>
      </c>
      <c r="M372" t="e">
        <f t="shared" si="36"/>
        <v>#N/A</v>
      </c>
      <c r="N372" t="e">
        <f t="shared" si="36"/>
        <v>#N/A</v>
      </c>
      <c r="O372" t="e">
        <f t="shared" si="36"/>
        <v>#N/A</v>
      </c>
      <c r="P372" t="e">
        <f t="shared" si="36"/>
        <v>#N/A</v>
      </c>
    </row>
    <row r="373" spans="1:16" x14ac:dyDescent="0.25">
      <c r="A373" t="e">
        <f>CUBEMEMBER("pbiazure://api.powerbi.com 6e064a38-7f82-4416-9451-8d82a554b559 Model","[Facilities].[DATIMName].&amp;[Uru Kyaseni Health Center]")</f>
        <v>#N/A</v>
      </c>
      <c r="B373" t="e">
        <f t="shared" si="36"/>
        <v>#N/A</v>
      </c>
      <c r="C373" t="e">
        <f t="shared" si="36"/>
        <v>#N/A</v>
      </c>
      <c r="D373" t="e">
        <f t="shared" si="36"/>
        <v>#N/A</v>
      </c>
      <c r="E373" t="e">
        <f t="shared" si="36"/>
        <v>#N/A</v>
      </c>
      <c r="F373" t="e">
        <f t="shared" si="36"/>
        <v>#N/A</v>
      </c>
      <c r="G373" t="e">
        <f t="shared" si="36"/>
        <v>#N/A</v>
      </c>
      <c r="H373" t="e">
        <f t="shared" si="36"/>
        <v>#N/A</v>
      </c>
      <c r="I373" t="e">
        <f t="shared" si="36"/>
        <v>#N/A</v>
      </c>
      <c r="J373" t="e">
        <f t="shared" si="36"/>
        <v>#N/A</v>
      </c>
      <c r="K373" t="e">
        <f t="shared" si="36"/>
        <v>#N/A</v>
      </c>
      <c r="L373" t="e">
        <f t="shared" si="36"/>
        <v>#N/A</v>
      </c>
      <c r="M373" t="e">
        <f t="shared" si="36"/>
        <v>#N/A</v>
      </c>
      <c r="N373" t="e">
        <f t="shared" si="36"/>
        <v>#N/A</v>
      </c>
      <c r="O373" t="e">
        <f t="shared" si="36"/>
        <v>#N/A</v>
      </c>
      <c r="P373" t="e">
        <f t="shared" si="36"/>
        <v>#N/A</v>
      </c>
    </row>
    <row r="374" spans="1:16" x14ac:dyDescent="0.25">
      <c r="A374" t="e">
        <f>CUBEMEMBER("pbiazure://api.powerbi.com 6e064a38-7f82-4416-9451-8d82a554b559 Model","[Facilities].[DATIMName].&amp;[Urughu Dispensary]")</f>
        <v>#N/A</v>
      </c>
      <c r="B374" t="e">
        <f t="shared" si="36"/>
        <v>#N/A</v>
      </c>
      <c r="C374" t="e">
        <f t="shared" si="36"/>
        <v>#N/A</v>
      </c>
      <c r="D374" t="e">
        <f t="shared" si="36"/>
        <v>#N/A</v>
      </c>
      <c r="E374" t="e">
        <f t="shared" si="36"/>
        <v>#N/A</v>
      </c>
      <c r="F374" t="e">
        <f t="shared" si="36"/>
        <v>#N/A</v>
      </c>
      <c r="G374" t="e">
        <f t="shared" si="36"/>
        <v>#N/A</v>
      </c>
      <c r="H374" t="e">
        <f t="shared" si="36"/>
        <v>#N/A</v>
      </c>
      <c r="I374" t="e">
        <f t="shared" si="36"/>
        <v>#N/A</v>
      </c>
      <c r="J374" t="e">
        <f t="shared" si="36"/>
        <v>#N/A</v>
      </c>
      <c r="K374" t="e">
        <f t="shared" si="36"/>
        <v>#N/A</v>
      </c>
      <c r="L374" t="e">
        <f t="shared" si="36"/>
        <v>#N/A</v>
      </c>
      <c r="M374" t="e">
        <f t="shared" si="36"/>
        <v>#N/A</v>
      </c>
      <c r="N374" t="e">
        <f t="shared" si="36"/>
        <v>#N/A</v>
      </c>
      <c r="O374" t="e">
        <f t="shared" si="36"/>
        <v>#N/A</v>
      </c>
      <c r="P374" t="e">
        <f t="shared" si="36"/>
        <v>#N/A</v>
      </c>
    </row>
    <row r="375" spans="1:16" x14ac:dyDescent="0.25">
      <c r="A375" t="e">
        <f>CUBEMEMBER("pbiazure://api.powerbi.com 6e064a38-7f82-4416-9451-8d82a554b559 Model","[Facilities].[DATIMName].&amp;[Usa RC Health Center]")</f>
        <v>#N/A</v>
      </c>
      <c r="B375" t="e">
        <f t="shared" ref="B375:P380" si="37">CUBEVALUE("pbiazure://api.powerbi.com 6e064a38-7f82-4416-9451-8d82a554b559 Model",$B$1,$A375,B$4)</f>
        <v>#N/A</v>
      </c>
      <c r="C375" t="e">
        <f t="shared" si="37"/>
        <v>#N/A</v>
      </c>
      <c r="D375" t="e">
        <f t="shared" si="37"/>
        <v>#N/A</v>
      </c>
      <c r="E375" t="e">
        <f t="shared" si="37"/>
        <v>#N/A</v>
      </c>
      <c r="F375" t="e">
        <f t="shared" si="37"/>
        <v>#N/A</v>
      </c>
      <c r="G375" t="e">
        <f t="shared" si="37"/>
        <v>#N/A</v>
      </c>
      <c r="H375" t="e">
        <f t="shared" si="37"/>
        <v>#N/A</v>
      </c>
      <c r="I375" t="e">
        <f t="shared" si="37"/>
        <v>#N/A</v>
      </c>
      <c r="J375" t="e">
        <f t="shared" si="37"/>
        <v>#N/A</v>
      </c>
      <c r="K375" t="e">
        <f t="shared" si="37"/>
        <v>#N/A</v>
      </c>
      <c r="L375" t="e">
        <f t="shared" si="37"/>
        <v>#N/A</v>
      </c>
      <c r="M375" t="e">
        <f t="shared" si="37"/>
        <v>#N/A</v>
      </c>
      <c r="N375" t="e">
        <f t="shared" si="37"/>
        <v>#N/A</v>
      </c>
      <c r="O375" t="e">
        <f t="shared" si="37"/>
        <v>#N/A</v>
      </c>
      <c r="P375" t="e">
        <f t="shared" si="37"/>
        <v>#N/A</v>
      </c>
    </row>
    <row r="376" spans="1:16" x14ac:dyDescent="0.25">
      <c r="A376" t="e">
        <f>CUBEMEMBER("pbiazure://api.powerbi.com 6e064a38-7f82-4416-9451-8d82a554b559 Model","[Facilities].[DATIMName].&amp;[USA River Health Center]")</f>
        <v>#N/A</v>
      </c>
      <c r="B376" t="e">
        <f t="shared" si="37"/>
        <v>#N/A</v>
      </c>
      <c r="C376" t="e">
        <f t="shared" si="37"/>
        <v>#N/A</v>
      </c>
      <c r="D376" t="e">
        <f t="shared" si="37"/>
        <v>#N/A</v>
      </c>
      <c r="E376" t="e">
        <f t="shared" si="37"/>
        <v>#N/A</v>
      </c>
      <c r="F376" t="e">
        <f t="shared" si="37"/>
        <v>#N/A</v>
      </c>
      <c r="G376" t="e">
        <f t="shared" si="37"/>
        <v>#N/A</v>
      </c>
      <c r="H376" t="e">
        <f t="shared" si="37"/>
        <v>#N/A</v>
      </c>
      <c r="I376" t="e">
        <f t="shared" si="37"/>
        <v>#N/A</v>
      </c>
      <c r="J376" t="e">
        <f t="shared" si="37"/>
        <v>#N/A</v>
      </c>
      <c r="K376" t="e">
        <f t="shared" si="37"/>
        <v>#N/A</v>
      </c>
      <c r="L376" t="e">
        <f t="shared" si="37"/>
        <v>#N/A</v>
      </c>
      <c r="M376" t="e">
        <f t="shared" si="37"/>
        <v>#N/A</v>
      </c>
      <c r="N376" t="e">
        <f t="shared" si="37"/>
        <v>#N/A</v>
      </c>
      <c r="O376" t="e">
        <f t="shared" si="37"/>
        <v>#N/A</v>
      </c>
      <c r="P376" t="e">
        <f t="shared" si="37"/>
        <v>#N/A</v>
      </c>
    </row>
    <row r="377" spans="1:16" x14ac:dyDescent="0.25">
      <c r="A377" t="e">
        <f>CUBEMEMBER("pbiazure://api.powerbi.com 6e064a38-7f82-4416-9451-8d82a554b559 Model","[Facilities].[DATIMName].&amp;[Usangi Hospital - District Hospital]")</f>
        <v>#N/A</v>
      </c>
      <c r="B377" t="e">
        <f t="shared" si="37"/>
        <v>#N/A</v>
      </c>
      <c r="C377" t="e">
        <f t="shared" si="37"/>
        <v>#N/A</v>
      </c>
      <c r="D377" t="e">
        <f t="shared" si="37"/>
        <v>#N/A</v>
      </c>
      <c r="E377" t="e">
        <f t="shared" si="37"/>
        <v>#N/A</v>
      </c>
      <c r="F377" t="e">
        <f t="shared" si="37"/>
        <v>#N/A</v>
      </c>
      <c r="G377" t="e">
        <f t="shared" si="37"/>
        <v>#N/A</v>
      </c>
      <c r="H377" t="e">
        <f t="shared" si="37"/>
        <v>#N/A</v>
      </c>
      <c r="I377" t="e">
        <f t="shared" si="37"/>
        <v>#N/A</v>
      </c>
      <c r="J377" t="e">
        <f t="shared" si="37"/>
        <v>#N/A</v>
      </c>
      <c r="K377" t="e">
        <f t="shared" si="37"/>
        <v>#N/A</v>
      </c>
      <c r="L377" t="e">
        <f t="shared" si="37"/>
        <v>#N/A</v>
      </c>
      <c r="M377" t="e">
        <f t="shared" si="37"/>
        <v>#N/A</v>
      </c>
      <c r="N377" t="e">
        <f t="shared" si="37"/>
        <v>#N/A</v>
      </c>
      <c r="O377" t="e">
        <f t="shared" si="37"/>
        <v>#N/A</v>
      </c>
      <c r="P377" t="e">
        <f t="shared" si="37"/>
        <v>#N/A</v>
      </c>
    </row>
    <row r="378" spans="1:16" x14ac:dyDescent="0.25">
      <c r="A378" t="e">
        <f>CUBEMEMBER("pbiazure://api.powerbi.com 6e064a38-7f82-4416-9451-8d82a554b559 Model","[Facilities].[DATIMName].&amp;[Village of Hope Health Center]")</f>
        <v>#N/A</v>
      </c>
      <c r="B378" t="e">
        <f t="shared" si="37"/>
        <v>#N/A</v>
      </c>
      <c r="C378" t="e">
        <f t="shared" si="37"/>
        <v>#N/A</v>
      </c>
      <c r="D378" t="e">
        <f t="shared" si="37"/>
        <v>#N/A</v>
      </c>
      <c r="E378" t="e">
        <f t="shared" si="37"/>
        <v>#N/A</v>
      </c>
      <c r="F378" t="e">
        <f t="shared" si="37"/>
        <v>#N/A</v>
      </c>
      <c r="G378" t="e">
        <f t="shared" si="37"/>
        <v>#N/A</v>
      </c>
      <c r="H378" t="e">
        <f t="shared" si="37"/>
        <v>#N/A</v>
      </c>
      <c r="I378" t="e">
        <f t="shared" si="37"/>
        <v>#N/A</v>
      </c>
      <c r="J378" t="e">
        <f t="shared" si="37"/>
        <v>#N/A</v>
      </c>
      <c r="K378" t="e">
        <f t="shared" si="37"/>
        <v>#N/A</v>
      </c>
      <c r="L378" t="e">
        <f t="shared" si="37"/>
        <v>#N/A</v>
      </c>
      <c r="M378" t="e">
        <f t="shared" si="37"/>
        <v>#N/A</v>
      </c>
      <c r="N378" t="e">
        <f t="shared" si="37"/>
        <v>#N/A</v>
      </c>
      <c r="O378" t="e">
        <f t="shared" si="37"/>
        <v>#N/A</v>
      </c>
      <c r="P378" t="e">
        <f t="shared" si="37"/>
        <v>#N/A</v>
      </c>
    </row>
    <row r="379" spans="1:16" x14ac:dyDescent="0.25">
      <c r="A379" t="e">
        <f>CUBEMEMBER("pbiazure://api.powerbi.com 6e064a38-7f82-4416-9451-8d82a554b559 Model","[Facilities].[DATIMName].&amp;[Wasso Hospital - Designated District Hospital]")</f>
        <v>#N/A</v>
      </c>
      <c r="B379" t="e">
        <f t="shared" si="37"/>
        <v>#N/A</v>
      </c>
      <c r="C379" t="e">
        <f t="shared" si="37"/>
        <v>#N/A</v>
      </c>
      <c r="D379" t="e">
        <f t="shared" si="37"/>
        <v>#N/A</v>
      </c>
      <c r="E379" t="e">
        <f t="shared" si="37"/>
        <v>#N/A</v>
      </c>
      <c r="F379" t="e">
        <f t="shared" si="37"/>
        <v>#N/A</v>
      </c>
      <c r="G379" t="e">
        <f t="shared" si="37"/>
        <v>#N/A</v>
      </c>
      <c r="H379" t="e">
        <f t="shared" si="37"/>
        <v>#N/A</v>
      </c>
      <c r="I379" t="e">
        <f t="shared" si="37"/>
        <v>#N/A</v>
      </c>
      <c r="J379" t="e">
        <f t="shared" si="37"/>
        <v>#N/A</v>
      </c>
      <c r="K379" t="e">
        <f t="shared" si="37"/>
        <v>#N/A</v>
      </c>
      <c r="L379" t="e">
        <f t="shared" si="37"/>
        <v>#N/A</v>
      </c>
      <c r="M379" t="e">
        <f t="shared" si="37"/>
        <v>#N/A</v>
      </c>
      <c r="N379" t="e">
        <f t="shared" si="37"/>
        <v>#N/A</v>
      </c>
      <c r="O379" t="e">
        <f t="shared" si="37"/>
        <v>#N/A</v>
      </c>
      <c r="P379" t="e">
        <f t="shared" si="37"/>
        <v>#N/A</v>
      </c>
    </row>
    <row r="380" spans="1:16" x14ac:dyDescent="0.25">
      <c r="A380" t="e">
        <f>CUBEMEMBER("pbiazure://api.powerbi.com 6e064a38-7f82-4416-9451-8d82a554b559 Model","[Facilities].[DATIMName].&amp;[Zuzu Dispensary]")</f>
        <v>#N/A</v>
      </c>
      <c r="B380" t="e">
        <f t="shared" si="37"/>
        <v>#N/A</v>
      </c>
      <c r="C380" t="e">
        <f t="shared" si="37"/>
        <v>#N/A</v>
      </c>
      <c r="D380" t="e">
        <f t="shared" si="37"/>
        <v>#N/A</v>
      </c>
      <c r="E380" t="e">
        <f t="shared" si="37"/>
        <v>#N/A</v>
      </c>
      <c r="F380" t="e">
        <f t="shared" si="37"/>
        <v>#N/A</v>
      </c>
      <c r="G380" t="e">
        <f t="shared" si="37"/>
        <v>#N/A</v>
      </c>
      <c r="H380" t="e">
        <f t="shared" si="37"/>
        <v>#N/A</v>
      </c>
      <c r="I380" t="e">
        <f t="shared" si="37"/>
        <v>#N/A</v>
      </c>
      <c r="J380" t="e">
        <f t="shared" si="37"/>
        <v>#N/A</v>
      </c>
      <c r="K380" t="e">
        <f t="shared" si="37"/>
        <v>#N/A</v>
      </c>
      <c r="L380" t="e">
        <f t="shared" si="37"/>
        <v>#N/A</v>
      </c>
      <c r="M380" t="e">
        <f t="shared" si="37"/>
        <v>#N/A</v>
      </c>
      <c r="N380" t="e">
        <f t="shared" si="37"/>
        <v>#N/A</v>
      </c>
      <c r="O380" t="e">
        <f t="shared" si="37"/>
        <v>#N/A</v>
      </c>
      <c r="P380" t="e">
        <f t="shared" si="37"/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13"/>
  <sheetViews>
    <sheetView workbookViewId="0"/>
  </sheetViews>
  <sheetFormatPr defaultRowHeight="15" x14ac:dyDescent="0.25"/>
  <cols>
    <col min="1" max="1" width="73.5703125" bestFit="1" customWidth="1"/>
    <col min="2" max="2" width="13.42578125" bestFit="1" customWidth="1"/>
    <col min="3" max="3" width="8.42578125" bestFit="1" customWidth="1"/>
    <col min="4" max="4" width="23.5703125" bestFit="1" customWidth="1"/>
    <col min="5" max="5" width="8.85546875" bestFit="1" customWidth="1"/>
    <col min="6" max="7" width="9.85546875" bestFit="1" customWidth="1"/>
    <col min="8" max="8" width="7.85546875" bestFit="1" customWidth="1"/>
    <col min="9" max="9" width="3" bestFit="1" customWidth="1"/>
    <col min="10" max="10" width="3.42578125" bestFit="1" customWidth="1"/>
    <col min="11" max="11" width="5.140625" bestFit="1" customWidth="1"/>
    <col min="12" max="13" width="11.42578125" bestFit="1" customWidth="1"/>
    <col min="14" max="14" width="9.42578125" bestFit="1" customWidth="1"/>
    <col min="15" max="15" width="8.7109375" bestFit="1" customWidth="1"/>
    <col min="16" max="16" width="8.5703125" bestFit="1" customWidth="1"/>
    <col min="17" max="17" width="8.28515625" customWidth="1"/>
    <col min="18" max="18" width="8.28515625" bestFit="1" customWidth="1"/>
    <col min="19" max="19" width="67.140625" bestFit="1" customWidth="1"/>
    <col min="20" max="28" width="15.42578125" bestFit="1" customWidth="1"/>
    <col min="29" max="29" width="13.7109375" bestFit="1" customWidth="1"/>
    <col min="30" max="30" width="11.28515625" customWidth="1"/>
    <col min="31" max="31" width="11.140625" bestFit="1" customWidth="1"/>
    <col min="32" max="58" width="11.28515625" customWidth="1"/>
    <col min="59" max="59" width="11.28515625" bestFit="1" customWidth="1"/>
    <col min="60" max="60" width="11.28515625" customWidth="1"/>
    <col min="61" max="61" width="11.28515625" bestFit="1" customWidth="1"/>
    <col min="62" max="62" width="13.7109375" bestFit="1" customWidth="1"/>
    <col min="63" max="63" width="11.28515625" bestFit="1" customWidth="1"/>
    <col min="64" max="64" width="11.140625" bestFit="1" customWidth="1"/>
  </cols>
  <sheetData>
    <row r="1" spans="1:14" x14ac:dyDescent="0.25">
      <c r="A1" s="84" t="s">
        <v>1651</v>
      </c>
      <c r="B1" s="76" t="s" vm="3">
        <v>1652</v>
      </c>
    </row>
    <row r="3" spans="1:14" x14ac:dyDescent="0.25">
      <c r="A3" s="1"/>
      <c r="B3" s="75" t="s">
        <v>1650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3"/>
    </row>
    <row r="4" spans="1:14" x14ac:dyDescent="0.25">
      <c r="A4" s="75" t="s">
        <v>1648</v>
      </c>
      <c r="B4" s="1" t="s">
        <v>1649</v>
      </c>
      <c r="C4" s="77" t="s">
        <v>24</v>
      </c>
      <c r="D4" s="77" t="s">
        <v>1654</v>
      </c>
      <c r="E4" s="77" t="s">
        <v>159</v>
      </c>
      <c r="F4" s="77" t="s">
        <v>155</v>
      </c>
      <c r="G4" s="77" t="s">
        <v>156</v>
      </c>
      <c r="H4" s="77" t="s">
        <v>157</v>
      </c>
      <c r="I4" s="77" t="s">
        <v>1655</v>
      </c>
      <c r="J4" s="77" t="s">
        <v>1656</v>
      </c>
      <c r="K4" s="77" t="s">
        <v>1657</v>
      </c>
      <c r="L4" s="77" t="s">
        <v>1653</v>
      </c>
      <c r="M4" s="77" t="s">
        <v>1658</v>
      </c>
      <c r="N4" s="78" t="s">
        <v>1659</v>
      </c>
    </row>
    <row r="5" spans="1:14" x14ac:dyDescent="0.25">
      <c r="A5" s="1"/>
      <c r="B5" s="79"/>
      <c r="C5" s="80"/>
      <c r="D5" s="87"/>
      <c r="E5" s="80"/>
      <c r="F5" s="87"/>
      <c r="G5" s="87"/>
      <c r="H5" s="87"/>
      <c r="I5" s="87"/>
      <c r="J5" s="87"/>
      <c r="K5" s="87">
        <v>1</v>
      </c>
      <c r="L5" s="87"/>
      <c r="M5" s="87"/>
      <c r="N5" s="85"/>
    </row>
    <row r="6" spans="1:14" x14ac:dyDescent="0.25">
      <c r="A6" s="81" t="s">
        <v>237</v>
      </c>
      <c r="B6" s="82">
        <v>2</v>
      </c>
      <c r="C6" s="83">
        <v>6</v>
      </c>
      <c r="D6" s="88">
        <v>71</v>
      </c>
      <c r="E6" s="83">
        <v>76</v>
      </c>
      <c r="F6" s="88">
        <v>5</v>
      </c>
      <c r="G6" s="88">
        <v>1</v>
      </c>
      <c r="H6" s="88"/>
      <c r="I6" s="88"/>
      <c r="J6" s="88">
        <v>4</v>
      </c>
      <c r="K6" s="88"/>
      <c r="L6" s="88">
        <v>28</v>
      </c>
      <c r="M6" s="88">
        <v>2</v>
      </c>
      <c r="N6" s="86">
        <v>46</v>
      </c>
    </row>
    <row r="7" spans="1:14" x14ac:dyDescent="0.25">
      <c r="A7" s="81" t="s">
        <v>1583</v>
      </c>
      <c r="B7" s="82"/>
      <c r="C7" s="83">
        <v>1</v>
      </c>
      <c r="D7" s="88">
        <v>57</v>
      </c>
      <c r="E7" s="83">
        <v>55</v>
      </c>
      <c r="F7" s="88">
        <v>1</v>
      </c>
      <c r="G7" s="88"/>
      <c r="H7" s="88"/>
      <c r="I7" s="88">
        <v>1</v>
      </c>
      <c r="J7" s="88">
        <v>1</v>
      </c>
      <c r="K7" s="88"/>
      <c r="L7" s="88">
        <v>6</v>
      </c>
      <c r="M7" s="88"/>
      <c r="N7" s="86">
        <v>49</v>
      </c>
    </row>
    <row r="8" spans="1:14" x14ac:dyDescent="0.25">
      <c r="A8" s="81" t="s">
        <v>241</v>
      </c>
      <c r="B8" s="82">
        <v>3</v>
      </c>
      <c r="C8" s="83">
        <v>8</v>
      </c>
      <c r="D8" s="88">
        <v>494</v>
      </c>
      <c r="E8" s="83">
        <v>501</v>
      </c>
      <c r="F8" s="88">
        <v>7</v>
      </c>
      <c r="G8" s="88"/>
      <c r="H8" s="88"/>
      <c r="I8" s="88"/>
      <c r="J8" s="88">
        <v>1</v>
      </c>
      <c r="K8" s="88"/>
      <c r="L8" s="88">
        <v>38</v>
      </c>
      <c r="M8" s="88">
        <v>17</v>
      </c>
      <c r="N8" s="86">
        <v>446</v>
      </c>
    </row>
    <row r="9" spans="1:14" x14ac:dyDescent="0.25">
      <c r="A9" s="81" t="s">
        <v>1564</v>
      </c>
      <c r="B9" s="82">
        <v>13</v>
      </c>
      <c r="C9" s="83">
        <v>14</v>
      </c>
      <c r="D9" s="88">
        <v>2244</v>
      </c>
      <c r="E9" s="83">
        <v>2222</v>
      </c>
      <c r="F9" s="88">
        <v>14</v>
      </c>
      <c r="G9" s="88"/>
      <c r="H9" s="88"/>
      <c r="I9" s="88">
        <v>3</v>
      </c>
      <c r="J9" s="88">
        <v>11</v>
      </c>
      <c r="K9" s="88">
        <v>2</v>
      </c>
      <c r="L9" s="88">
        <v>130</v>
      </c>
      <c r="M9" s="88">
        <v>215</v>
      </c>
      <c r="N9" s="86">
        <v>1877</v>
      </c>
    </row>
    <row r="10" spans="1:14" x14ac:dyDescent="0.25">
      <c r="A10" s="81" t="s">
        <v>1642</v>
      </c>
      <c r="B10" s="82">
        <v>1</v>
      </c>
      <c r="C10" s="83">
        <v>1</v>
      </c>
      <c r="D10" s="88">
        <v>60</v>
      </c>
      <c r="E10" s="83">
        <v>59</v>
      </c>
      <c r="F10" s="88">
        <v>1</v>
      </c>
      <c r="G10" s="88"/>
      <c r="H10" s="88"/>
      <c r="I10" s="88"/>
      <c r="J10" s="88">
        <v>1</v>
      </c>
      <c r="K10" s="88"/>
      <c r="L10" s="88">
        <v>19</v>
      </c>
      <c r="M10" s="88">
        <v>5</v>
      </c>
      <c r="N10" s="86">
        <v>35</v>
      </c>
    </row>
    <row r="11" spans="1:14" x14ac:dyDescent="0.25">
      <c r="A11" s="81" t="s">
        <v>1640</v>
      </c>
      <c r="B11" s="82">
        <v>33</v>
      </c>
      <c r="C11" s="83">
        <v>23</v>
      </c>
      <c r="D11" s="88">
        <v>1527</v>
      </c>
      <c r="E11" s="83">
        <v>1561</v>
      </c>
      <c r="F11" s="88">
        <v>23</v>
      </c>
      <c r="G11" s="88"/>
      <c r="H11" s="88"/>
      <c r="I11" s="88">
        <v>5</v>
      </c>
      <c r="J11" s="88">
        <v>18</v>
      </c>
      <c r="K11" s="88">
        <v>1</v>
      </c>
      <c r="L11" s="88">
        <v>724</v>
      </c>
      <c r="M11" s="88">
        <v>80</v>
      </c>
      <c r="N11" s="86">
        <v>757</v>
      </c>
    </row>
    <row r="12" spans="1:14" x14ac:dyDescent="0.25">
      <c r="A12" s="81" t="s">
        <v>1600</v>
      </c>
      <c r="B12" s="82">
        <v>2</v>
      </c>
      <c r="C12" s="83"/>
      <c r="D12" s="88">
        <v>89</v>
      </c>
      <c r="E12" s="83">
        <v>88</v>
      </c>
      <c r="F12" s="88"/>
      <c r="G12" s="88"/>
      <c r="H12" s="88"/>
      <c r="I12" s="88"/>
      <c r="J12" s="88"/>
      <c r="K12" s="88"/>
      <c r="L12" s="88">
        <v>48</v>
      </c>
      <c r="M12" s="88">
        <v>3</v>
      </c>
      <c r="N12" s="86">
        <v>37</v>
      </c>
    </row>
    <row r="13" spans="1:14" x14ac:dyDescent="0.25">
      <c r="A13" s="81" t="s">
        <v>446</v>
      </c>
      <c r="B13" s="82"/>
      <c r="C13" s="83">
        <v>1</v>
      </c>
      <c r="D13" s="88">
        <v>54</v>
      </c>
      <c r="E13" s="83">
        <v>55</v>
      </c>
      <c r="F13" s="88">
        <v>1</v>
      </c>
      <c r="G13" s="88"/>
      <c r="H13" s="88"/>
      <c r="I13" s="88"/>
      <c r="J13" s="88"/>
      <c r="K13" s="88">
        <v>2</v>
      </c>
      <c r="L13" s="88">
        <v>10</v>
      </c>
      <c r="M13" s="88">
        <v>3</v>
      </c>
      <c r="N13" s="86">
        <v>42</v>
      </c>
    </row>
    <row r="14" spans="1:14" x14ac:dyDescent="0.25">
      <c r="A14" s="81" t="s">
        <v>449</v>
      </c>
      <c r="B14" s="82">
        <v>6</v>
      </c>
      <c r="C14" s="83">
        <v>4</v>
      </c>
      <c r="D14" s="88">
        <v>483</v>
      </c>
      <c r="E14" s="83">
        <v>484</v>
      </c>
      <c r="F14" s="88">
        <v>4</v>
      </c>
      <c r="G14" s="88"/>
      <c r="H14" s="88"/>
      <c r="I14" s="88">
        <v>3</v>
      </c>
      <c r="J14" s="88">
        <v>14</v>
      </c>
      <c r="K14" s="88">
        <v>2</v>
      </c>
      <c r="L14" s="88">
        <v>143</v>
      </c>
      <c r="M14" s="88">
        <v>33</v>
      </c>
      <c r="N14" s="86">
        <v>308</v>
      </c>
    </row>
    <row r="15" spans="1:14" x14ac:dyDescent="0.25">
      <c r="A15" s="81" t="s">
        <v>452</v>
      </c>
      <c r="B15" s="82"/>
      <c r="C15" s="83">
        <v>1</v>
      </c>
      <c r="D15" s="88">
        <v>8</v>
      </c>
      <c r="E15" s="83">
        <v>9</v>
      </c>
      <c r="F15" s="88">
        <v>1</v>
      </c>
      <c r="G15" s="88"/>
      <c r="H15" s="88"/>
      <c r="I15" s="88"/>
      <c r="J15" s="88"/>
      <c r="K15" s="88"/>
      <c r="L15" s="88"/>
      <c r="M15" s="88">
        <v>9</v>
      </c>
      <c r="N15" s="86"/>
    </row>
    <row r="16" spans="1:14" x14ac:dyDescent="0.25">
      <c r="A16" s="81" t="s">
        <v>1097</v>
      </c>
      <c r="B16" s="82"/>
      <c r="C16" s="83"/>
      <c r="D16" s="88">
        <v>34</v>
      </c>
      <c r="E16" s="83">
        <v>34</v>
      </c>
      <c r="F16" s="88"/>
      <c r="G16" s="88"/>
      <c r="H16" s="88"/>
      <c r="I16" s="88"/>
      <c r="J16" s="88"/>
      <c r="K16" s="88"/>
      <c r="L16" s="88">
        <v>8</v>
      </c>
      <c r="M16" s="88">
        <v>4</v>
      </c>
      <c r="N16" s="86">
        <v>22</v>
      </c>
    </row>
    <row r="17" spans="1:14" x14ac:dyDescent="0.25">
      <c r="A17" s="81" t="s">
        <v>1101</v>
      </c>
      <c r="B17" s="82">
        <v>3</v>
      </c>
      <c r="C17" s="83">
        <v>4</v>
      </c>
      <c r="D17" s="88">
        <v>127</v>
      </c>
      <c r="E17" s="83">
        <v>134</v>
      </c>
      <c r="F17" s="88">
        <v>4</v>
      </c>
      <c r="G17" s="88"/>
      <c r="H17" s="88"/>
      <c r="I17" s="88">
        <v>1</v>
      </c>
      <c r="J17" s="88">
        <v>2</v>
      </c>
      <c r="K17" s="88"/>
      <c r="L17" s="88">
        <v>99</v>
      </c>
      <c r="M17" s="88">
        <v>17</v>
      </c>
      <c r="N17" s="86">
        <v>18</v>
      </c>
    </row>
    <row r="18" spans="1:14" x14ac:dyDescent="0.25">
      <c r="A18" s="81" t="s">
        <v>1667</v>
      </c>
      <c r="B18" s="82">
        <v>3</v>
      </c>
      <c r="C18" s="83">
        <v>3</v>
      </c>
      <c r="D18" s="88">
        <v>132</v>
      </c>
      <c r="E18" s="83">
        <v>135</v>
      </c>
      <c r="F18" s="88">
        <v>3</v>
      </c>
      <c r="G18" s="88"/>
      <c r="H18" s="88"/>
      <c r="I18" s="88">
        <v>1</v>
      </c>
      <c r="J18" s="88"/>
      <c r="K18" s="88"/>
      <c r="L18" s="88">
        <v>38</v>
      </c>
      <c r="M18" s="88">
        <v>31</v>
      </c>
      <c r="N18" s="86">
        <v>66</v>
      </c>
    </row>
    <row r="19" spans="1:14" x14ac:dyDescent="0.25">
      <c r="A19" s="81" t="s">
        <v>1625</v>
      </c>
      <c r="B19" s="82"/>
      <c r="C19" s="83">
        <v>2</v>
      </c>
      <c r="D19" s="88">
        <v>51</v>
      </c>
      <c r="E19" s="83">
        <v>55</v>
      </c>
      <c r="F19" s="88">
        <v>2</v>
      </c>
      <c r="G19" s="88"/>
      <c r="H19" s="88"/>
      <c r="I19" s="88">
        <v>2</v>
      </c>
      <c r="J19" s="88"/>
      <c r="K19" s="88"/>
      <c r="L19" s="88">
        <v>24</v>
      </c>
      <c r="M19" s="88">
        <v>14</v>
      </c>
      <c r="N19" s="86">
        <v>17</v>
      </c>
    </row>
    <row r="20" spans="1:14" x14ac:dyDescent="0.25">
      <c r="A20" s="81" t="s">
        <v>463</v>
      </c>
      <c r="B20" s="82"/>
      <c r="C20" s="83">
        <v>2</v>
      </c>
      <c r="D20" s="88">
        <v>128</v>
      </c>
      <c r="E20" s="83">
        <v>127</v>
      </c>
      <c r="F20" s="88">
        <v>2</v>
      </c>
      <c r="G20" s="88"/>
      <c r="H20" s="88"/>
      <c r="I20" s="88"/>
      <c r="J20" s="88">
        <v>1</v>
      </c>
      <c r="K20" s="88"/>
      <c r="L20" s="88">
        <v>61</v>
      </c>
      <c r="M20" s="88">
        <v>1</v>
      </c>
      <c r="N20" s="86">
        <v>65</v>
      </c>
    </row>
    <row r="21" spans="1:14" x14ac:dyDescent="0.25">
      <c r="A21" s="81" t="s">
        <v>467</v>
      </c>
      <c r="B21" s="82"/>
      <c r="C21" s="83"/>
      <c r="D21" s="88">
        <v>7</v>
      </c>
      <c r="E21" s="83">
        <v>7</v>
      </c>
      <c r="F21" s="88"/>
      <c r="G21" s="88"/>
      <c r="H21" s="88"/>
      <c r="I21" s="88"/>
      <c r="J21" s="88"/>
      <c r="K21" s="88"/>
      <c r="L21" s="88">
        <v>7</v>
      </c>
      <c r="M21" s="88"/>
      <c r="N21" s="86"/>
    </row>
    <row r="22" spans="1:14" x14ac:dyDescent="0.25">
      <c r="A22" s="81" t="s">
        <v>838</v>
      </c>
      <c r="B22" s="82">
        <v>8</v>
      </c>
      <c r="C22" s="83">
        <v>13</v>
      </c>
      <c r="D22" s="88">
        <v>398</v>
      </c>
      <c r="E22" s="83">
        <v>422</v>
      </c>
      <c r="F22" s="88">
        <v>13</v>
      </c>
      <c r="G22" s="88"/>
      <c r="H22" s="88"/>
      <c r="I22" s="88">
        <v>2</v>
      </c>
      <c r="J22" s="88">
        <v>2</v>
      </c>
      <c r="K22" s="88">
        <v>3</v>
      </c>
      <c r="L22" s="88">
        <v>132</v>
      </c>
      <c r="M22" s="88">
        <v>17</v>
      </c>
      <c r="N22" s="86">
        <v>273</v>
      </c>
    </row>
    <row r="23" spans="1:14" x14ac:dyDescent="0.25">
      <c r="A23" s="81" t="s">
        <v>1108</v>
      </c>
      <c r="B23" s="82">
        <v>3</v>
      </c>
      <c r="C23" s="83">
        <v>9</v>
      </c>
      <c r="D23" s="88">
        <v>179</v>
      </c>
      <c r="E23" s="83">
        <v>188</v>
      </c>
      <c r="F23" s="88">
        <v>7</v>
      </c>
      <c r="G23" s="88"/>
      <c r="H23" s="88"/>
      <c r="I23" s="88"/>
      <c r="J23" s="88"/>
      <c r="K23" s="88"/>
      <c r="L23" s="88">
        <v>82</v>
      </c>
      <c r="M23" s="88">
        <v>3</v>
      </c>
      <c r="N23" s="86">
        <v>103</v>
      </c>
    </row>
    <row r="24" spans="1:14" x14ac:dyDescent="0.25">
      <c r="A24" s="81" t="s">
        <v>1581</v>
      </c>
      <c r="B24" s="82">
        <v>3</v>
      </c>
      <c r="C24" s="83">
        <v>1</v>
      </c>
      <c r="D24" s="88">
        <v>187</v>
      </c>
      <c r="E24" s="83">
        <v>190</v>
      </c>
      <c r="F24" s="88"/>
      <c r="G24" s="88"/>
      <c r="H24" s="88">
        <v>1</v>
      </c>
      <c r="I24" s="88"/>
      <c r="J24" s="88">
        <v>7</v>
      </c>
      <c r="K24" s="88"/>
      <c r="L24" s="88">
        <v>14</v>
      </c>
      <c r="M24" s="88">
        <v>53</v>
      </c>
      <c r="N24" s="86">
        <v>123</v>
      </c>
    </row>
    <row r="25" spans="1:14" x14ac:dyDescent="0.25">
      <c r="A25" s="81" t="s">
        <v>1111</v>
      </c>
      <c r="B25" s="82">
        <v>1</v>
      </c>
      <c r="C25" s="83"/>
      <c r="D25" s="88">
        <v>16</v>
      </c>
      <c r="E25" s="83">
        <v>18</v>
      </c>
      <c r="F25" s="88"/>
      <c r="G25" s="88"/>
      <c r="H25" s="88"/>
      <c r="I25" s="88"/>
      <c r="J25" s="88"/>
      <c r="K25" s="88"/>
      <c r="L25" s="88">
        <v>13</v>
      </c>
      <c r="M25" s="88">
        <v>5</v>
      </c>
      <c r="N25" s="86"/>
    </row>
    <row r="26" spans="1:14" x14ac:dyDescent="0.25">
      <c r="A26" s="81" t="s">
        <v>1594</v>
      </c>
      <c r="B26" s="82"/>
      <c r="C26" s="83"/>
      <c r="D26" s="88">
        <v>218</v>
      </c>
      <c r="E26" s="83">
        <v>155</v>
      </c>
      <c r="F26" s="88"/>
      <c r="G26" s="88"/>
      <c r="H26" s="88"/>
      <c r="I26" s="88"/>
      <c r="J26" s="88"/>
      <c r="K26" s="88"/>
      <c r="L26" s="88">
        <v>38</v>
      </c>
      <c r="M26" s="88"/>
      <c r="N26" s="86">
        <v>117</v>
      </c>
    </row>
    <row r="27" spans="1:14" x14ac:dyDescent="0.25">
      <c r="A27" s="81" t="s">
        <v>476</v>
      </c>
      <c r="B27" s="82"/>
      <c r="C27" s="83"/>
      <c r="D27" s="88">
        <v>12</v>
      </c>
      <c r="E27" s="83">
        <v>13</v>
      </c>
      <c r="F27" s="88"/>
      <c r="G27" s="88"/>
      <c r="H27" s="88"/>
      <c r="I27" s="88"/>
      <c r="J27" s="88"/>
      <c r="K27" s="88"/>
      <c r="L27" s="88">
        <v>5</v>
      </c>
      <c r="M27" s="88">
        <v>2</v>
      </c>
      <c r="N27" s="86">
        <v>6</v>
      </c>
    </row>
    <row r="28" spans="1:14" x14ac:dyDescent="0.25">
      <c r="A28" s="81" t="s">
        <v>480</v>
      </c>
      <c r="B28" s="82">
        <v>1</v>
      </c>
      <c r="C28" s="83"/>
      <c r="D28" s="88">
        <v>4</v>
      </c>
      <c r="E28" s="83">
        <v>4</v>
      </c>
      <c r="F28" s="88"/>
      <c r="G28" s="88"/>
      <c r="H28" s="88"/>
      <c r="I28" s="88"/>
      <c r="J28" s="88"/>
      <c r="K28" s="88"/>
      <c r="L28" s="88">
        <v>1</v>
      </c>
      <c r="M28" s="88">
        <v>1</v>
      </c>
      <c r="N28" s="86">
        <v>2</v>
      </c>
    </row>
    <row r="29" spans="1:14" x14ac:dyDescent="0.25">
      <c r="A29" s="81" t="s">
        <v>483</v>
      </c>
      <c r="B29" s="82">
        <v>2</v>
      </c>
      <c r="C29" s="83">
        <v>1</v>
      </c>
      <c r="D29" s="88">
        <v>14</v>
      </c>
      <c r="E29" s="83">
        <v>15</v>
      </c>
      <c r="F29" s="88">
        <v>1</v>
      </c>
      <c r="G29" s="88"/>
      <c r="H29" s="88"/>
      <c r="I29" s="88"/>
      <c r="J29" s="88"/>
      <c r="K29" s="88"/>
      <c r="L29" s="88">
        <v>11</v>
      </c>
      <c r="M29" s="88">
        <v>4</v>
      </c>
      <c r="N29" s="86"/>
    </row>
    <row r="30" spans="1:14" x14ac:dyDescent="0.25">
      <c r="A30" s="81" t="s">
        <v>1560</v>
      </c>
      <c r="B30" s="82">
        <v>21</v>
      </c>
      <c r="C30" s="83">
        <v>22</v>
      </c>
      <c r="D30" s="88">
        <v>987</v>
      </c>
      <c r="E30" s="83">
        <v>1001</v>
      </c>
      <c r="F30" s="88">
        <v>20</v>
      </c>
      <c r="G30" s="88"/>
      <c r="H30" s="88">
        <v>2</v>
      </c>
      <c r="I30" s="88">
        <v>2</v>
      </c>
      <c r="J30" s="88">
        <v>1</v>
      </c>
      <c r="K30" s="88">
        <v>1</v>
      </c>
      <c r="L30" s="88">
        <v>275</v>
      </c>
      <c r="M30" s="88">
        <v>78</v>
      </c>
      <c r="N30" s="86">
        <v>648</v>
      </c>
    </row>
    <row r="31" spans="1:14" x14ac:dyDescent="0.25">
      <c r="A31" s="81" t="s">
        <v>1549</v>
      </c>
      <c r="B31" s="82">
        <v>2</v>
      </c>
      <c r="C31" s="83">
        <v>9</v>
      </c>
      <c r="D31" s="88">
        <v>141</v>
      </c>
      <c r="E31" s="83">
        <v>149</v>
      </c>
      <c r="F31" s="88">
        <v>8</v>
      </c>
      <c r="G31" s="88"/>
      <c r="H31" s="88"/>
      <c r="I31" s="88"/>
      <c r="J31" s="88"/>
      <c r="K31" s="88"/>
      <c r="L31" s="88">
        <v>36</v>
      </c>
      <c r="M31" s="88">
        <v>18</v>
      </c>
      <c r="N31" s="86">
        <v>95</v>
      </c>
    </row>
    <row r="32" spans="1:14" x14ac:dyDescent="0.25">
      <c r="A32" s="81" t="s">
        <v>1591</v>
      </c>
      <c r="B32" s="82">
        <v>12</v>
      </c>
      <c r="C32" s="83">
        <v>6</v>
      </c>
      <c r="D32" s="88">
        <v>95</v>
      </c>
      <c r="E32" s="83">
        <v>99</v>
      </c>
      <c r="F32" s="88">
        <v>6</v>
      </c>
      <c r="G32" s="88"/>
      <c r="H32" s="88"/>
      <c r="I32" s="88"/>
      <c r="J32" s="88"/>
      <c r="K32" s="88"/>
      <c r="L32" s="88">
        <v>76</v>
      </c>
      <c r="M32" s="88">
        <v>8</v>
      </c>
      <c r="N32" s="86">
        <v>15</v>
      </c>
    </row>
    <row r="33" spans="1:14" x14ac:dyDescent="0.25">
      <c r="A33" s="81" t="s">
        <v>496</v>
      </c>
      <c r="B33" s="82">
        <v>3</v>
      </c>
      <c r="C33" s="83">
        <v>1</v>
      </c>
      <c r="D33" s="88">
        <v>80</v>
      </c>
      <c r="E33" s="83">
        <v>81</v>
      </c>
      <c r="F33" s="88">
        <v>1</v>
      </c>
      <c r="G33" s="88"/>
      <c r="H33" s="88"/>
      <c r="I33" s="88"/>
      <c r="J33" s="88"/>
      <c r="K33" s="88"/>
      <c r="L33" s="88">
        <v>46</v>
      </c>
      <c r="M33" s="88">
        <v>13</v>
      </c>
      <c r="N33" s="86">
        <v>22</v>
      </c>
    </row>
    <row r="34" spans="1:14" x14ac:dyDescent="0.25">
      <c r="A34" s="81" t="s">
        <v>499</v>
      </c>
      <c r="B34" s="82">
        <v>4</v>
      </c>
      <c r="C34" s="83">
        <v>9</v>
      </c>
      <c r="D34" s="88">
        <v>101</v>
      </c>
      <c r="E34" s="83">
        <v>119</v>
      </c>
      <c r="F34" s="88">
        <v>8</v>
      </c>
      <c r="G34" s="88"/>
      <c r="H34" s="88">
        <v>1</v>
      </c>
      <c r="I34" s="88">
        <v>3</v>
      </c>
      <c r="J34" s="88"/>
      <c r="K34" s="88">
        <v>1</v>
      </c>
      <c r="L34" s="88">
        <v>81</v>
      </c>
      <c r="M34" s="88">
        <v>4</v>
      </c>
      <c r="N34" s="86">
        <v>34</v>
      </c>
    </row>
    <row r="35" spans="1:14" x14ac:dyDescent="0.25">
      <c r="A35" s="81" t="s">
        <v>505</v>
      </c>
      <c r="B35" s="82"/>
      <c r="C35" s="83"/>
      <c r="D35" s="88">
        <v>28</v>
      </c>
      <c r="E35" s="83">
        <v>31</v>
      </c>
      <c r="F35" s="88"/>
      <c r="G35" s="88"/>
      <c r="H35" s="88"/>
      <c r="I35" s="88"/>
      <c r="J35" s="88"/>
      <c r="K35" s="88"/>
      <c r="L35" s="88">
        <v>30</v>
      </c>
      <c r="M35" s="88">
        <v>1</v>
      </c>
      <c r="N35" s="86"/>
    </row>
    <row r="36" spans="1:14" x14ac:dyDescent="0.25">
      <c r="A36" s="81" t="s">
        <v>511</v>
      </c>
      <c r="B36" s="82">
        <v>4</v>
      </c>
      <c r="C36" s="83">
        <v>5</v>
      </c>
      <c r="D36" s="88">
        <v>516</v>
      </c>
      <c r="E36" s="83">
        <v>492</v>
      </c>
      <c r="F36" s="88">
        <v>5</v>
      </c>
      <c r="G36" s="88"/>
      <c r="H36" s="88"/>
      <c r="I36" s="88"/>
      <c r="J36" s="88">
        <v>2</v>
      </c>
      <c r="K36" s="88">
        <v>2</v>
      </c>
      <c r="L36" s="88">
        <v>138</v>
      </c>
      <c r="M36" s="88">
        <v>46</v>
      </c>
      <c r="N36" s="86">
        <v>308</v>
      </c>
    </row>
    <row r="37" spans="1:14" x14ac:dyDescent="0.25">
      <c r="A37" s="81" t="s">
        <v>515</v>
      </c>
      <c r="B37" s="82">
        <v>4</v>
      </c>
      <c r="C37" s="83">
        <v>2</v>
      </c>
      <c r="D37" s="88">
        <v>798</v>
      </c>
      <c r="E37" s="83">
        <v>796</v>
      </c>
      <c r="F37" s="88">
        <v>2</v>
      </c>
      <c r="G37" s="88"/>
      <c r="H37" s="88"/>
      <c r="I37" s="88"/>
      <c r="J37" s="88">
        <v>2</v>
      </c>
      <c r="K37" s="88">
        <v>1</v>
      </c>
      <c r="L37" s="88">
        <v>126</v>
      </c>
      <c r="M37" s="88">
        <v>38</v>
      </c>
      <c r="N37" s="86">
        <v>632</v>
      </c>
    </row>
    <row r="38" spans="1:14" x14ac:dyDescent="0.25">
      <c r="A38" s="81" t="s">
        <v>518</v>
      </c>
      <c r="B38" s="82">
        <v>2</v>
      </c>
      <c r="C38" s="83">
        <v>2</v>
      </c>
      <c r="D38" s="88">
        <v>72</v>
      </c>
      <c r="E38" s="83">
        <v>67</v>
      </c>
      <c r="F38" s="88">
        <v>2</v>
      </c>
      <c r="G38" s="88"/>
      <c r="H38" s="88"/>
      <c r="I38" s="88"/>
      <c r="J38" s="88"/>
      <c r="K38" s="88"/>
      <c r="L38" s="88">
        <v>14</v>
      </c>
      <c r="M38" s="88">
        <v>5</v>
      </c>
      <c r="N38" s="86">
        <v>48</v>
      </c>
    </row>
    <row r="39" spans="1:14" x14ac:dyDescent="0.25">
      <c r="A39" s="81" t="s">
        <v>521</v>
      </c>
      <c r="B39" s="82">
        <v>4</v>
      </c>
      <c r="C39" s="83">
        <v>4</v>
      </c>
      <c r="D39" s="88">
        <v>56</v>
      </c>
      <c r="E39" s="83">
        <v>59</v>
      </c>
      <c r="F39" s="88">
        <v>4</v>
      </c>
      <c r="G39" s="88"/>
      <c r="H39" s="88"/>
      <c r="I39" s="88"/>
      <c r="J39" s="88"/>
      <c r="K39" s="88"/>
      <c r="L39" s="88">
        <v>33</v>
      </c>
      <c r="M39" s="88">
        <v>4</v>
      </c>
      <c r="N39" s="86">
        <v>22</v>
      </c>
    </row>
    <row r="40" spans="1:14" x14ac:dyDescent="0.25">
      <c r="A40" s="81" t="s">
        <v>247</v>
      </c>
      <c r="B40" s="82">
        <v>12</v>
      </c>
      <c r="C40" s="83">
        <v>16</v>
      </c>
      <c r="D40" s="88">
        <v>489</v>
      </c>
      <c r="E40" s="83">
        <v>496</v>
      </c>
      <c r="F40" s="88">
        <v>16</v>
      </c>
      <c r="G40" s="88"/>
      <c r="H40" s="88"/>
      <c r="I40" s="88">
        <v>4</v>
      </c>
      <c r="J40" s="88">
        <v>1</v>
      </c>
      <c r="K40" s="88">
        <v>1</v>
      </c>
      <c r="L40" s="88">
        <v>196</v>
      </c>
      <c r="M40" s="88">
        <v>36</v>
      </c>
      <c r="N40" s="86">
        <v>264</v>
      </c>
    </row>
    <row r="41" spans="1:14" x14ac:dyDescent="0.25">
      <c r="A41" s="81" t="s">
        <v>1561</v>
      </c>
      <c r="B41" s="82">
        <v>4</v>
      </c>
      <c r="C41" s="83">
        <v>8</v>
      </c>
      <c r="D41" s="88">
        <v>714</v>
      </c>
      <c r="E41" s="83">
        <v>723</v>
      </c>
      <c r="F41" s="88">
        <v>6</v>
      </c>
      <c r="G41" s="88">
        <v>1</v>
      </c>
      <c r="H41" s="88">
        <v>1</v>
      </c>
      <c r="I41" s="88"/>
      <c r="J41" s="88">
        <v>13</v>
      </c>
      <c r="K41" s="88">
        <v>2</v>
      </c>
      <c r="L41" s="88">
        <v>88</v>
      </c>
      <c r="M41" s="88">
        <v>161</v>
      </c>
      <c r="N41" s="86">
        <v>474</v>
      </c>
    </row>
    <row r="42" spans="1:14" x14ac:dyDescent="0.25">
      <c r="A42" s="81" t="s">
        <v>1121</v>
      </c>
      <c r="B42" s="82">
        <v>1</v>
      </c>
      <c r="C42" s="83">
        <v>2</v>
      </c>
      <c r="D42" s="88">
        <v>65</v>
      </c>
      <c r="E42" s="83">
        <v>66</v>
      </c>
      <c r="F42" s="88">
        <v>2</v>
      </c>
      <c r="G42" s="88"/>
      <c r="H42" s="88"/>
      <c r="I42" s="88"/>
      <c r="J42" s="88"/>
      <c r="K42" s="88"/>
      <c r="L42" s="88">
        <v>21</v>
      </c>
      <c r="M42" s="88">
        <v>2</v>
      </c>
      <c r="N42" s="86">
        <v>43</v>
      </c>
    </row>
    <row r="43" spans="1:14" x14ac:dyDescent="0.25">
      <c r="A43" s="81" t="s">
        <v>1646</v>
      </c>
      <c r="B43" s="82">
        <v>10</v>
      </c>
      <c r="C43" s="83">
        <v>6</v>
      </c>
      <c r="D43" s="88">
        <v>287</v>
      </c>
      <c r="E43" s="83">
        <v>297</v>
      </c>
      <c r="F43" s="88">
        <v>6</v>
      </c>
      <c r="G43" s="88"/>
      <c r="H43" s="88"/>
      <c r="I43" s="88">
        <v>1</v>
      </c>
      <c r="J43" s="88"/>
      <c r="K43" s="88"/>
      <c r="L43" s="88">
        <v>216</v>
      </c>
      <c r="M43" s="88">
        <v>24</v>
      </c>
      <c r="N43" s="86">
        <v>57</v>
      </c>
    </row>
    <row r="44" spans="1:14" x14ac:dyDescent="0.25">
      <c r="A44" s="81" t="s">
        <v>1622</v>
      </c>
      <c r="B44" s="82">
        <v>1</v>
      </c>
      <c r="C44" s="83"/>
      <c r="D44" s="88">
        <v>59</v>
      </c>
      <c r="E44" s="83">
        <v>59</v>
      </c>
      <c r="F44" s="88"/>
      <c r="G44" s="88"/>
      <c r="H44" s="88"/>
      <c r="I44" s="88"/>
      <c r="J44" s="88"/>
      <c r="K44" s="88"/>
      <c r="L44" s="88">
        <v>20</v>
      </c>
      <c r="M44" s="88">
        <v>9</v>
      </c>
      <c r="N44" s="86">
        <v>30</v>
      </c>
    </row>
    <row r="45" spans="1:14" x14ac:dyDescent="0.25">
      <c r="A45" s="81" t="s">
        <v>1575</v>
      </c>
      <c r="B45" s="82">
        <v>28</v>
      </c>
      <c r="C45" s="83">
        <v>34</v>
      </c>
      <c r="D45" s="88">
        <v>3725</v>
      </c>
      <c r="E45" s="83">
        <v>3750</v>
      </c>
      <c r="F45" s="88">
        <v>33</v>
      </c>
      <c r="G45" s="88"/>
      <c r="H45" s="88">
        <v>1</v>
      </c>
      <c r="I45" s="88">
        <v>23</v>
      </c>
      <c r="J45" s="88">
        <v>43</v>
      </c>
      <c r="K45" s="88">
        <v>1</v>
      </c>
      <c r="L45" s="88">
        <v>398</v>
      </c>
      <c r="M45" s="88">
        <v>167</v>
      </c>
      <c r="N45" s="86">
        <v>3185</v>
      </c>
    </row>
    <row r="46" spans="1:14" x14ac:dyDescent="0.25">
      <c r="A46" s="81" t="s">
        <v>1124</v>
      </c>
      <c r="B46" s="82">
        <v>1</v>
      </c>
      <c r="C46" s="83">
        <v>1</v>
      </c>
      <c r="D46" s="88">
        <v>224</v>
      </c>
      <c r="E46" s="83">
        <v>226</v>
      </c>
      <c r="F46" s="88">
        <v>1</v>
      </c>
      <c r="G46" s="88"/>
      <c r="H46" s="88"/>
      <c r="I46" s="88"/>
      <c r="J46" s="88">
        <v>2</v>
      </c>
      <c r="K46" s="88"/>
      <c r="L46" s="88">
        <v>84</v>
      </c>
      <c r="M46" s="88">
        <v>52</v>
      </c>
      <c r="N46" s="86">
        <v>90</v>
      </c>
    </row>
    <row r="47" spans="1:14" x14ac:dyDescent="0.25">
      <c r="A47" s="81" t="s">
        <v>1127</v>
      </c>
      <c r="B47" s="82">
        <v>1</v>
      </c>
      <c r="C47" s="83">
        <v>3</v>
      </c>
      <c r="D47" s="88">
        <v>138</v>
      </c>
      <c r="E47" s="83">
        <v>138</v>
      </c>
      <c r="F47" s="88">
        <v>3</v>
      </c>
      <c r="G47" s="88"/>
      <c r="H47" s="88"/>
      <c r="I47" s="88"/>
      <c r="J47" s="88">
        <v>1</v>
      </c>
      <c r="K47" s="88"/>
      <c r="L47" s="88">
        <v>83</v>
      </c>
      <c r="M47" s="88">
        <v>13</v>
      </c>
      <c r="N47" s="86">
        <v>42</v>
      </c>
    </row>
    <row r="48" spans="1:14" x14ac:dyDescent="0.25">
      <c r="A48" s="81" t="s">
        <v>1587</v>
      </c>
      <c r="B48" s="82">
        <v>2</v>
      </c>
      <c r="C48" s="83">
        <v>1</v>
      </c>
      <c r="D48" s="88">
        <v>50</v>
      </c>
      <c r="E48" s="83">
        <v>54</v>
      </c>
      <c r="F48" s="88">
        <v>1</v>
      </c>
      <c r="G48" s="88"/>
      <c r="H48" s="88"/>
      <c r="I48" s="88">
        <v>4</v>
      </c>
      <c r="J48" s="88">
        <v>1</v>
      </c>
      <c r="K48" s="88"/>
      <c r="L48" s="88">
        <v>28</v>
      </c>
      <c r="M48" s="88">
        <v>10</v>
      </c>
      <c r="N48" s="86">
        <v>16</v>
      </c>
    </row>
    <row r="49" spans="1:14" x14ac:dyDescent="0.25">
      <c r="A49" s="81" t="s">
        <v>1129</v>
      </c>
      <c r="B49" s="82">
        <v>2</v>
      </c>
      <c r="C49" s="83">
        <v>4</v>
      </c>
      <c r="D49" s="88">
        <v>75</v>
      </c>
      <c r="E49" s="83">
        <v>80</v>
      </c>
      <c r="F49" s="88">
        <v>2</v>
      </c>
      <c r="G49" s="88"/>
      <c r="H49" s="88">
        <v>2</v>
      </c>
      <c r="I49" s="88"/>
      <c r="J49" s="88"/>
      <c r="K49" s="88"/>
      <c r="L49" s="88">
        <v>38</v>
      </c>
      <c r="M49" s="88">
        <v>7</v>
      </c>
      <c r="N49" s="86">
        <v>35</v>
      </c>
    </row>
    <row r="50" spans="1:14" x14ac:dyDescent="0.25">
      <c r="A50" s="81" t="s">
        <v>258</v>
      </c>
      <c r="B50" s="82"/>
      <c r="C50" s="83">
        <v>2</v>
      </c>
      <c r="D50" s="88">
        <v>136</v>
      </c>
      <c r="E50" s="83">
        <v>133</v>
      </c>
      <c r="F50" s="88">
        <v>2</v>
      </c>
      <c r="G50" s="88"/>
      <c r="H50" s="88"/>
      <c r="I50" s="88"/>
      <c r="J50" s="88">
        <v>1</v>
      </c>
      <c r="K50" s="88"/>
      <c r="L50" s="88">
        <v>66</v>
      </c>
      <c r="M50" s="88">
        <v>2</v>
      </c>
      <c r="N50" s="86">
        <v>65</v>
      </c>
    </row>
    <row r="51" spans="1:14" x14ac:dyDescent="0.25">
      <c r="A51" s="81" t="s">
        <v>1135</v>
      </c>
      <c r="B51" s="82"/>
      <c r="C51" s="83">
        <v>6</v>
      </c>
      <c r="D51" s="88">
        <v>174</v>
      </c>
      <c r="E51" s="83">
        <v>178</v>
      </c>
      <c r="F51" s="88">
        <v>5</v>
      </c>
      <c r="G51" s="88"/>
      <c r="H51" s="88">
        <v>1</v>
      </c>
      <c r="I51" s="88">
        <v>1</v>
      </c>
      <c r="J51" s="88">
        <v>2</v>
      </c>
      <c r="K51" s="88"/>
      <c r="L51" s="88">
        <v>72</v>
      </c>
      <c r="M51" s="88">
        <v>2</v>
      </c>
      <c r="N51" s="86">
        <v>104</v>
      </c>
    </row>
    <row r="52" spans="1:14" x14ac:dyDescent="0.25">
      <c r="A52" s="81" t="s">
        <v>1562</v>
      </c>
      <c r="B52" s="82">
        <v>3</v>
      </c>
      <c r="C52" s="83">
        <v>5</v>
      </c>
      <c r="D52" s="88">
        <v>182</v>
      </c>
      <c r="E52" s="83">
        <v>172</v>
      </c>
      <c r="F52" s="88">
        <v>5</v>
      </c>
      <c r="G52" s="88"/>
      <c r="H52" s="88"/>
      <c r="I52" s="88"/>
      <c r="J52" s="88"/>
      <c r="K52" s="88">
        <v>5</v>
      </c>
      <c r="L52" s="88">
        <v>109</v>
      </c>
      <c r="M52" s="88">
        <v>3</v>
      </c>
      <c r="N52" s="86">
        <v>60</v>
      </c>
    </row>
    <row r="53" spans="1:14" x14ac:dyDescent="0.25">
      <c r="A53" s="81" t="s">
        <v>1630</v>
      </c>
      <c r="B53" s="82">
        <v>2</v>
      </c>
      <c r="C53" s="83">
        <v>7</v>
      </c>
      <c r="D53" s="88">
        <v>53</v>
      </c>
      <c r="E53" s="83">
        <v>63</v>
      </c>
      <c r="F53" s="88">
        <v>7</v>
      </c>
      <c r="G53" s="88"/>
      <c r="H53" s="88"/>
      <c r="I53" s="88"/>
      <c r="J53" s="88"/>
      <c r="K53" s="88"/>
      <c r="L53" s="88">
        <v>42</v>
      </c>
      <c r="M53" s="88">
        <v>5</v>
      </c>
      <c r="N53" s="86">
        <v>16</v>
      </c>
    </row>
    <row r="54" spans="1:14" x14ac:dyDescent="0.25">
      <c r="A54" s="81" t="s">
        <v>1140</v>
      </c>
      <c r="B54" s="82">
        <v>6</v>
      </c>
      <c r="C54" s="83">
        <v>5</v>
      </c>
      <c r="D54" s="88">
        <v>386</v>
      </c>
      <c r="E54" s="83">
        <v>380</v>
      </c>
      <c r="F54" s="88">
        <v>5</v>
      </c>
      <c r="G54" s="88"/>
      <c r="H54" s="88"/>
      <c r="I54" s="88"/>
      <c r="J54" s="88">
        <v>23</v>
      </c>
      <c r="K54" s="88">
        <v>2</v>
      </c>
      <c r="L54" s="88">
        <v>115</v>
      </c>
      <c r="M54" s="88">
        <v>23</v>
      </c>
      <c r="N54" s="86">
        <v>242</v>
      </c>
    </row>
    <row r="55" spans="1:14" x14ac:dyDescent="0.25">
      <c r="A55" s="81" t="s">
        <v>268</v>
      </c>
      <c r="B55" s="82"/>
      <c r="C55" s="83">
        <v>1</v>
      </c>
      <c r="D55" s="88">
        <v>7</v>
      </c>
      <c r="E55" s="83">
        <v>16</v>
      </c>
      <c r="F55" s="88">
        <v>1</v>
      </c>
      <c r="G55" s="88"/>
      <c r="H55" s="88"/>
      <c r="I55" s="88">
        <v>2</v>
      </c>
      <c r="J55" s="88"/>
      <c r="K55" s="88"/>
      <c r="L55" s="88">
        <v>13</v>
      </c>
      <c r="M55" s="88">
        <v>3</v>
      </c>
      <c r="N55" s="86"/>
    </row>
    <row r="56" spans="1:14" x14ac:dyDescent="0.25">
      <c r="A56" s="81" t="s">
        <v>851</v>
      </c>
      <c r="B56" s="82">
        <v>17</v>
      </c>
      <c r="C56" s="83">
        <v>17</v>
      </c>
      <c r="D56" s="88">
        <v>226</v>
      </c>
      <c r="E56" s="83">
        <v>235</v>
      </c>
      <c r="F56" s="88">
        <v>17</v>
      </c>
      <c r="G56" s="88"/>
      <c r="H56" s="88"/>
      <c r="I56" s="88">
        <v>2</v>
      </c>
      <c r="J56" s="88">
        <v>1</v>
      </c>
      <c r="K56" s="88"/>
      <c r="L56" s="88">
        <v>125</v>
      </c>
      <c r="M56" s="88">
        <v>29</v>
      </c>
      <c r="N56" s="86">
        <v>81</v>
      </c>
    </row>
    <row r="57" spans="1:14" x14ac:dyDescent="0.25">
      <c r="A57" s="81" t="s">
        <v>1143</v>
      </c>
      <c r="B57" s="82">
        <v>2</v>
      </c>
      <c r="C57" s="83">
        <v>5</v>
      </c>
      <c r="D57" s="88">
        <v>350</v>
      </c>
      <c r="E57" s="83">
        <v>358</v>
      </c>
      <c r="F57" s="88">
        <v>5</v>
      </c>
      <c r="G57" s="88"/>
      <c r="H57" s="88"/>
      <c r="I57" s="88">
        <v>1</v>
      </c>
      <c r="J57" s="88">
        <v>4</v>
      </c>
      <c r="K57" s="88"/>
      <c r="L57" s="88">
        <v>89</v>
      </c>
      <c r="M57" s="88">
        <v>21</v>
      </c>
      <c r="N57" s="86">
        <v>248</v>
      </c>
    </row>
    <row r="58" spans="1:14" x14ac:dyDescent="0.25">
      <c r="A58" s="81" t="s">
        <v>1633</v>
      </c>
      <c r="B58" s="82"/>
      <c r="C58" s="83"/>
      <c r="D58" s="88">
        <v>27</v>
      </c>
      <c r="E58" s="83">
        <v>33</v>
      </c>
      <c r="F58" s="88"/>
      <c r="G58" s="88"/>
      <c r="H58" s="88"/>
      <c r="I58" s="88"/>
      <c r="J58" s="88"/>
      <c r="K58" s="88"/>
      <c r="L58" s="88">
        <v>24</v>
      </c>
      <c r="M58" s="88">
        <v>6</v>
      </c>
      <c r="N58" s="86">
        <v>3</v>
      </c>
    </row>
    <row r="59" spans="1:14" x14ac:dyDescent="0.25">
      <c r="A59" s="81" t="s">
        <v>1146</v>
      </c>
      <c r="B59" s="82"/>
      <c r="C59" s="83">
        <v>1</v>
      </c>
      <c r="D59" s="88">
        <v>11</v>
      </c>
      <c r="E59" s="83">
        <v>13</v>
      </c>
      <c r="F59" s="88"/>
      <c r="G59" s="88"/>
      <c r="H59" s="88">
        <v>1</v>
      </c>
      <c r="I59" s="88">
        <v>1</v>
      </c>
      <c r="J59" s="88"/>
      <c r="K59" s="88"/>
      <c r="L59" s="88">
        <v>12</v>
      </c>
      <c r="M59" s="88">
        <v>1</v>
      </c>
      <c r="N59" s="86"/>
    </row>
    <row r="60" spans="1:14" x14ac:dyDescent="0.25">
      <c r="A60" s="81" t="s">
        <v>1149</v>
      </c>
      <c r="B60" s="82">
        <v>2</v>
      </c>
      <c r="C60" s="83"/>
      <c r="D60" s="88">
        <v>49</v>
      </c>
      <c r="E60" s="83">
        <v>45</v>
      </c>
      <c r="F60" s="88"/>
      <c r="G60" s="88"/>
      <c r="H60" s="88"/>
      <c r="I60" s="88"/>
      <c r="J60" s="88">
        <v>2</v>
      </c>
      <c r="K60" s="88"/>
      <c r="L60" s="88">
        <v>22</v>
      </c>
      <c r="M60" s="88"/>
      <c r="N60" s="86">
        <v>23</v>
      </c>
    </row>
    <row r="61" spans="1:14" x14ac:dyDescent="0.25">
      <c r="A61" s="81" t="s">
        <v>1628</v>
      </c>
      <c r="B61" s="82">
        <v>1</v>
      </c>
      <c r="C61" s="83"/>
      <c r="D61" s="88">
        <v>256</v>
      </c>
      <c r="E61" s="83">
        <v>252</v>
      </c>
      <c r="F61" s="88"/>
      <c r="G61" s="88"/>
      <c r="H61" s="88"/>
      <c r="I61" s="88">
        <v>3</v>
      </c>
      <c r="J61" s="88">
        <v>1</v>
      </c>
      <c r="K61" s="88">
        <v>2</v>
      </c>
      <c r="L61" s="88">
        <v>34</v>
      </c>
      <c r="M61" s="88">
        <v>31</v>
      </c>
      <c r="N61" s="86">
        <v>187</v>
      </c>
    </row>
    <row r="62" spans="1:14" x14ac:dyDescent="0.25">
      <c r="A62" s="81" t="s">
        <v>1152</v>
      </c>
      <c r="B62" s="82"/>
      <c r="C62" s="83">
        <v>1</v>
      </c>
      <c r="D62" s="88">
        <v>24</v>
      </c>
      <c r="E62" s="83">
        <v>30</v>
      </c>
      <c r="F62" s="88">
        <v>1</v>
      </c>
      <c r="G62" s="88"/>
      <c r="H62" s="88"/>
      <c r="I62" s="88"/>
      <c r="J62" s="88">
        <v>1</v>
      </c>
      <c r="K62" s="88"/>
      <c r="L62" s="88">
        <v>28</v>
      </c>
      <c r="M62" s="88">
        <v>2</v>
      </c>
      <c r="N62" s="86"/>
    </row>
    <row r="63" spans="1:14" x14ac:dyDescent="0.25">
      <c r="A63" s="81" t="s">
        <v>1579</v>
      </c>
      <c r="B63" s="82">
        <v>24</v>
      </c>
      <c r="C63" s="83">
        <v>16</v>
      </c>
      <c r="D63" s="88">
        <v>1601</v>
      </c>
      <c r="E63" s="83">
        <v>1568</v>
      </c>
      <c r="F63" s="88">
        <v>14</v>
      </c>
      <c r="G63" s="88">
        <v>1</v>
      </c>
      <c r="H63" s="88">
        <v>1</v>
      </c>
      <c r="I63" s="88">
        <v>2</v>
      </c>
      <c r="J63" s="88">
        <v>42</v>
      </c>
      <c r="K63" s="88"/>
      <c r="L63" s="88">
        <v>279</v>
      </c>
      <c r="M63" s="88">
        <v>103</v>
      </c>
      <c r="N63" s="86">
        <v>1186</v>
      </c>
    </row>
    <row r="64" spans="1:14" x14ac:dyDescent="0.25">
      <c r="A64" s="81" t="s">
        <v>532</v>
      </c>
      <c r="B64" s="82">
        <v>3</v>
      </c>
      <c r="C64" s="83">
        <v>9</v>
      </c>
      <c r="D64" s="88">
        <v>221</v>
      </c>
      <c r="E64" s="83">
        <v>222</v>
      </c>
      <c r="F64" s="88">
        <v>8</v>
      </c>
      <c r="G64" s="88">
        <v>1</v>
      </c>
      <c r="H64" s="88"/>
      <c r="I64" s="88"/>
      <c r="J64" s="88">
        <v>3</v>
      </c>
      <c r="K64" s="88">
        <v>1</v>
      </c>
      <c r="L64" s="88">
        <v>61</v>
      </c>
      <c r="M64" s="88">
        <v>36</v>
      </c>
      <c r="N64" s="86">
        <v>125</v>
      </c>
    </row>
    <row r="65" spans="1:14" x14ac:dyDescent="0.25">
      <c r="A65" s="81" t="s">
        <v>538</v>
      </c>
      <c r="B65" s="82">
        <v>2</v>
      </c>
      <c r="C65" s="83">
        <v>17</v>
      </c>
      <c r="D65" s="88">
        <v>279</v>
      </c>
      <c r="E65" s="83">
        <v>294</v>
      </c>
      <c r="F65" s="88">
        <v>16</v>
      </c>
      <c r="G65" s="88">
        <v>1</v>
      </c>
      <c r="H65" s="88"/>
      <c r="I65" s="88">
        <v>2</v>
      </c>
      <c r="J65" s="88">
        <v>4</v>
      </c>
      <c r="K65" s="88"/>
      <c r="L65" s="88">
        <v>91</v>
      </c>
      <c r="M65" s="88">
        <v>35</v>
      </c>
      <c r="N65" s="86">
        <v>168</v>
      </c>
    </row>
    <row r="66" spans="1:14" x14ac:dyDescent="0.25">
      <c r="A66" s="81" t="s">
        <v>541</v>
      </c>
      <c r="B66" s="82">
        <v>2</v>
      </c>
      <c r="C66" s="83"/>
      <c r="D66" s="88">
        <v>70</v>
      </c>
      <c r="E66" s="83">
        <v>70</v>
      </c>
      <c r="F66" s="88"/>
      <c r="G66" s="88"/>
      <c r="H66" s="88"/>
      <c r="I66" s="88"/>
      <c r="J66" s="88"/>
      <c r="K66" s="88"/>
      <c r="L66" s="88">
        <v>2</v>
      </c>
      <c r="M66" s="88">
        <v>13</v>
      </c>
      <c r="N66" s="86">
        <v>55</v>
      </c>
    </row>
    <row r="67" spans="1:14" x14ac:dyDescent="0.25">
      <c r="A67" s="81" t="s">
        <v>1155</v>
      </c>
      <c r="B67" s="82"/>
      <c r="C67" s="83">
        <v>1</v>
      </c>
      <c r="D67" s="88">
        <v>8</v>
      </c>
      <c r="E67" s="83">
        <v>11</v>
      </c>
      <c r="F67" s="88">
        <v>1</v>
      </c>
      <c r="G67" s="88"/>
      <c r="H67" s="88"/>
      <c r="I67" s="88">
        <v>1</v>
      </c>
      <c r="J67" s="88"/>
      <c r="K67" s="88"/>
      <c r="L67" s="88">
        <v>10</v>
      </c>
      <c r="M67" s="88">
        <v>1</v>
      </c>
      <c r="N67" s="86"/>
    </row>
    <row r="68" spans="1:14" x14ac:dyDescent="0.25">
      <c r="A68" s="81" t="s">
        <v>861</v>
      </c>
      <c r="B68" s="82">
        <v>1</v>
      </c>
      <c r="C68" s="83">
        <v>5</v>
      </c>
      <c r="D68" s="88">
        <v>440</v>
      </c>
      <c r="E68" s="83">
        <v>450</v>
      </c>
      <c r="F68" s="88">
        <v>5</v>
      </c>
      <c r="G68" s="88"/>
      <c r="H68" s="88"/>
      <c r="I68" s="88">
        <v>3</v>
      </c>
      <c r="J68" s="88">
        <v>12</v>
      </c>
      <c r="K68" s="88">
        <v>2</v>
      </c>
      <c r="L68" s="88">
        <v>150</v>
      </c>
      <c r="M68" s="88">
        <v>16</v>
      </c>
      <c r="N68" s="86">
        <v>284</v>
      </c>
    </row>
    <row r="69" spans="1:14" x14ac:dyDescent="0.25">
      <c r="A69" s="81" t="s">
        <v>1636</v>
      </c>
      <c r="B69" s="82"/>
      <c r="C69" s="83">
        <v>1</v>
      </c>
      <c r="D69" s="88">
        <v>10</v>
      </c>
      <c r="E69" s="83">
        <v>11</v>
      </c>
      <c r="F69" s="88">
        <v>1</v>
      </c>
      <c r="G69" s="88"/>
      <c r="H69" s="88"/>
      <c r="I69" s="88"/>
      <c r="J69" s="88"/>
      <c r="K69" s="88"/>
      <c r="L69" s="88">
        <v>7</v>
      </c>
      <c r="M69" s="88">
        <v>4</v>
      </c>
      <c r="N69" s="86"/>
    </row>
    <row r="70" spans="1:14" x14ac:dyDescent="0.25">
      <c r="A70" s="81" t="s">
        <v>1571</v>
      </c>
      <c r="B70" s="82">
        <v>24</v>
      </c>
      <c r="C70" s="83">
        <v>26</v>
      </c>
      <c r="D70" s="88">
        <v>853</v>
      </c>
      <c r="E70" s="83">
        <v>860</v>
      </c>
      <c r="F70" s="88">
        <v>26</v>
      </c>
      <c r="G70" s="88"/>
      <c r="H70" s="88"/>
      <c r="I70" s="88">
        <v>1</v>
      </c>
      <c r="J70" s="88">
        <v>3</v>
      </c>
      <c r="K70" s="88">
        <v>3</v>
      </c>
      <c r="L70" s="88">
        <v>200</v>
      </c>
      <c r="M70" s="88">
        <v>95</v>
      </c>
      <c r="N70" s="86">
        <v>565</v>
      </c>
    </row>
    <row r="71" spans="1:14" x14ac:dyDescent="0.25">
      <c r="A71" s="81" t="s">
        <v>543</v>
      </c>
      <c r="B71" s="82">
        <v>5</v>
      </c>
      <c r="C71" s="83">
        <v>8</v>
      </c>
      <c r="D71" s="88">
        <v>323</v>
      </c>
      <c r="E71" s="83">
        <v>336</v>
      </c>
      <c r="F71" s="88">
        <v>7</v>
      </c>
      <c r="G71" s="88"/>
      <c r="H71" s="88">
        <v>1</v>
      </c>
      <c r="I71" s="88">
        <v>2</v>
      </c>
      <c r="J71" s="88">
        <v>1</v>
      </c>
      <c r="K71" s="88">
        <v>3</v>
      </c>
      <c r="L71" s="88">
        <v>60</v>
      </c>
      <c r="M71" s="88">
        <v>58</v>
      </c>
      <c r="N71" s="86">
        <v>218</v>
      </c>
    </row>
    <row r="72" spans="1:14" x14ac:dyDescent="0.25">
      <c r="A72" s="81" t="s">
        <v>1612</v>
      </c>
      <c r="B72" s="82">
        <v>3</v>
      </c>
      <c r="C72" s="83">
        <v>3</v>
      </c>
      <c r="D72" s="88">
        <v>22</v>
      </c>
      <c r="E72" s="83">
        <v>26</v>
      </c>
      <c r="F72" s="88">
        <v>2</v>
      </c>
      <c r="G72" s="88"/>
      <c r="H72" s="88">
        <v>1</v>
      </c>
      <c r="I72" s="88">
        <v>2</v>
      </c>
      <c r="J72" s="88"/>
      <c r="K72" s="88"/>
      <c r="L72" s="88">
        <v>7</v>
      </c>
      <c r="M72" s="88">
        <v>7</v>
      </c>
      <c r="N72" s="86">
        <v>12</v>
      </c>
    </row>
    <row r="73" spans="1:14" x14ac:dyDescent="0.25">
      <c r="A73" s="81" t="s">
        <v>548</v>
      </c>
      <c r="B73" s="82"/>
      <c r="C73" s="83"/>
      <c r="D73" s="88">
        <v>8</v>
      </c>
      <c r="E73" s="83">
        <v>8</v>
      </c>
      <c r="F73" s="88"/>
      <c r="G73" s="88"/>
      <c r="H73" s="88"/>
      <c r="I73" s="88"/>
      <c r="J73" s="88">
        <v>1</v>
      </c>
      <c r="K73" s="88"/>
      <c r="L73" s="88">
        <v>6</v>
      </c>
      <c r="M73" s="88">
        <v>1</v>
      </c>
      <c r="N73" s="86">
        <v>1</v>
      </c>
    </row>
    <row r="74" spans="1:14" x14ac:dyDescent="0.25">
      <c r="A74" s="81" t="s">
        <v>1590</v>
      </c>
      <c r="B74" s="82">
        <v>3</v>
      </c>
      <c r="C74" s="83">
        <v>7</v>
      </c>
      <c r="D74" s="88">
        <v>1028</v>
      </c>
      <c r="E74" s="83">
        <v>1027</v>
      </c>
      <c r="F74" s="88">
        <v>7</v>
      </c>
      <c r="G74" s="88"/>
      <c r="H74" s="88"/>
      <c r="I74" s="88">
        <v>3</v>
      </c>
      <c r="J74" s="88">
        <v>7</v>
      </c>
      <c r="K74" s="88"/>
      <c r="L74" s="88">
        <v>111</v>
      </c>
      <c r="M74" s="88">
        <v>14</v>
      </c>
      <c r="N74" s="86">
        <v>902</v>
      </c>
    </row>
    <row r="75" spans="1:14" x14ac:dyDescent="0.25">
      <c r="A75" s="81" t="s">
        <v>1601</v>
      </c>
      <c r="B75" s="82">
        <v>6</v>
      </c>
      <c r="C75" s="83">
        <v>17</v>
      </c>
      <c r="D75" s="88">
        <v>1011</v>
      </c>
      <c r="E75" s="83">
        <v>1017</v>
      </c>
      <c r="F75" s="88">
        <v>14</v>
      </c>
      <c r="G75" s="88">
        <v>1</v>
      </c>
      <c r="H75" s="88">
        <v>2</v>
      </c>
      <c r="I75" s="88">
        <v>1</v>
      </c>
      <c r="J75" s="88">
        <v>1</v>
      </c>
      <c r="K75" s="88">
        <v>3</v>
      </c>
      <c r="L75" s="88">
        <v>150</v>
      </c>
      <c r="M75" s="88">
        <v>160</v>
      </c>
      <c r="N75" s="86">
        <v>707</v>
      </c>
    </row>
    <row r="76" spans="1:14" x14ac:dyDescent="0.25">
      <c r="A76" s="81" t="s">
        <v>551</v>
      </c>
      <c r="B76" s="82">
        <v>2</v>
      </c>
      <c r="C76" s="83">
        <v>1</v>
      </c>
      <c r="D76" s="88">
        <v>89</v>
      </c>
      <c r="E76" s="83">
        <v>94</v>
      </c>
      <c r="F76" s="88">
        <v>1</v>
      </c>
      <c r="G76" s="88"/>
      <c r="H76" s="88"/>
      <c r="I76" s="88">
        <v>4</v>
      </c>
      <c r="J76" s="88"/>
      <c r="K76" s="88"/>
      <c r="L76" s="88">
        <v>35</v>
      </c>
      <c r="M76" s="88">
        <v>40</v>
      </c>
      <c r="N76" s="86">
        <v>19</v>
      </c>
    </row>
    <row r="77" spans="1:14" x14ac:dyDescent="0.25">
      <c r="A77" s="81" t="s">
        <v>554</v>
      </c>
      <c r="B77" s="82">
        <v>1</v>
      </c>
      <c r="C77" s="83">
        <v>1</v>
      </c>
      <c r="D77" s="88">
        <v>8</v>
      </c>
      <c r="E77" s="83">
        <v>9</v>
      </c>
      <c r="F77" s="88">
        <v>1</v>
      </c>
      <c r="G77" s="88"/>
      <c r="H77" s="88"/>
      <c r="I77" s="88"/>
      <c r="J77" s="88"/>
      <c r="K77" s="88"/>
      <c r="L77" s="88">
        <v>7</v>
      </c>
      <c r="M77" s="88">
        <v>2</v>
      </c>
      <c r="N77" s="86"/>
    </row>
    <row r="78" spans="1:14" x14ac:dyDescent="0.25">
      <c r="A78" s="81" t="s">
        <v>557</v>
      </c>
      <c r="B78" s="82">
        <v>1</v>
      </c>
      <c r="C78" s="83"/>
      <c r="D78" s="88">
        <v>16</v>
      </c>
      <c r="E78" s="83">
        <v>18</v>
      </c>
      <c r="F78" s="88"/>
      <c r="G78" s="88"/>
      <c r="H78" s="88"/>
      <c r="I78" s="88">
        <v>2</v>
      </c>
      <c r="J78" s="88"/>
      <c r="K78" s="88"/>
      <c r="L78" s="88">
        <v>11</v>
      </c>
      <c r="M78" s="88">
        <v>1</v>
      </c>
      <c r="N78" s="86">
        <v>6</v>
      </c>
    </row>
    <row r="79" spans="1:14" x14ac:dyDescent="0.25">
      <c r="A79" s="81" t="s">
        <v>560</v>
      </c>
      <c r="B79" s="82">
        <v>1</v>
      </c>
      <c r="C79" s="83">
        <v>1</v>
      </c>
      <c r="D79" s="88">
        <v>19</v>
      </c>
      <c r="E79" s="83">
        <v>21</v>
      </c>
      <c r="F79" s="88">
        <v>1</v>
      </c>
      <c r="G79" s="88"/>
      <c r="H79" s="88"/>
      <c r="I79" s="88"/>
      <c r="J79" s="88"/>
      <c r="K79" s="88"/>
      <c r="L79" s="88">
        <v>17</v>
      </c>
      <c r="M79" s="88">
        <v>2</v>
      </c>
      <c r="N79" s="86">
        <v>2</v>
      </c>
    </row>
    <row r="80" spans="1:14" x14ac:dyDescent="0.25">
      <c r="A80" s="81" t="s">
        <v>1553</v>
      </c>
      <c r="B80" s="82"/>
      <c r="C80" s="83">
        <v>1</v>
      </c>
      <c r="D80" s="88">
        <v>11</v>
      </c>
      <c r="E80" s="83">
        <v>10</v>
      </c>
      <c r="F80" s="88">
        <v>1</v>
      </c>
      <c r="G80" s="88"/>
      <c r="H80" s="88"/>
      <c r="I80" s="88"/>
      <c r="J80" s="88"/>
      <c r="K80" s="88"/>
      <c r="L80" s="88">
        <v>6</v>
      </c>
      <c r="M80" s="88">
        <v>4</v>
      </c>
      <c r="N80" s="86"/>
    </row>
    <row r="81" spans="1:14" x14ac:dyDescent="0.25">
      <c r="A81" s="81" t="s">
        <v>569</v>
      </c>
      <c r="B81" s="82">
        <v>4</v>
      </c>
      <c r="C81" s="83">
        <v>1</v>
      </c>
      <c r="D81" s="88">
        <v>42</v>
      </c>
      <c r="E81" s="83">
        <v>43</v>
      </c>
      <c r="F81" s="88">
        <v>1</v>
      </c>
      <c r="G81" s="88"/>
      <c r="H81" s="88"/>
      <c r="I81" s="88"/>
      <c r="J81" s="88">
        <v>1</v>
      </c>
      <c r="K81" s="88"/>
      <c r="L81" s="88">
        <v>22</v>
      </c>
      <c r="M81" s="88">
        <v>21</v>
      </c>
      <c r="N81" s="86"/>
    </row>
    <row r="82" spans="1:14" x14ac:dyDescent="0.25">
      <c r="A82" s="81" t="s">
        <v>1577</v>
      </c>
      <c r="B82" s="82">
        <v>2</v>
      </c>
      <c r="C82" s="83"/>
      <c r="D82" s="88">
        <v>5</v>
      </c>
      <c r="E82" s="83">
        <v>5</v>
      </c>
      <c r="F82" s="88"/>
      <c r="G82" s="88"/>
      <c r="H82" s="88"/>
      <c r="I82" s="88"/>
      <c r="J82" s="88"/>
      <c r="K82" s="88"/>
      <c r="L82" s="88">
        <v>3</v>
      </c>
      <c r="M82" s="88">
        <v>1</v>
      </c>
      <c r="N82" s="86">
        <v>1</v>
      </c>
    </row>
    <row r="83" spans="1:14" x14ac:dyDescent="0.25">
      <c r="A83" s="81" t="s">
        <v>1570</v>
      </c>
      <c r="B83" s="82">
        <v>3</v>
      </c>
      <c r="C83" s="83">
        <v>2</v>
      </c>
      <c r="D83" s="88">
        <v>599</v>
      </c>
      <c r="E83" s="83">
        <v>600</v>
      </c>
      <c r="F83" s="88">
        <v>2</v>
      </c>
      <c r="G83" s="88"/>
      <c r="H83" s="88"/>
      <c r="I83" s="88">
        <v>1</v>
      </c>
      <c r="J83" s="88">
        <v>2</v>
      </c>
      <c r="K83" s="88"/>
      <c r="L83" s="88">
        <v>88</v>
      </c>
      <c r="M83" s="88">
        <v>8</v>
      </c>
      <c r="N83" s="86">
        <v>504</v>
      </c>
    </row>
    <row r="84" spans="1:14" x14ac:dyDescent="0.25">
      <c r="A84" s="81" t="s">
        <v>578</v>
      </c>
      <c r="B84" s="82">
        <v>2</v>
      </c>
      <c r="C84" s="83">
        <v>1</v>
      </c>
      <c r="D84" s="88">
        <v>41</v>
      </c>
      <c r="E84" s="83">
        <v>44</v>
      </c>
      <c r="F84" s="88">
        <v>1</v>
      </c>
      <c r="G84" s="88"/>
      <c r="H84" s="88"/>
      <c r="I84" s="88">
        <v>2</v>
      </c>
      <c r="J84" s="88"/>
      <c r="K84" s="88"/>
      <c r="L84" s="88">
        <v>15</v>
      </c>
      <c r="M84" s="88">
        <v>2</v>
      </c>
      <c r="N84" s="86">
        <v>27</v>
      </c>
    </row>
    <row r="85" spans="1:14" x14ac:dyDescent="0.25">
      <c r="A85" s="81" t="s">
        <v>878</v>
      </c>
      <c r="B85" s="82">
        <v>1</v>
      </c>
      <c r="C85" s="83">
        <v>2</v>
      </c>
      <c r="D85" s="88">
        <v>176</v>
      </c>
      <c r="E85" s="83">
        <v>180</v>
      </c>
      <c r="F85" s="88">
        <v>2</v>
      </c>
      <c r="G85" s="88"/>
      <c r="H85" s="88"/>
      <c r="I85" s="88">
        <v>1</v>
      </c>
      <c r="J85" s="88">
        <v>1</v>
      </c>
      <c r="K85" s="88"/>
      <c r="L85" s="88">
        <v>65</v>
      </c>
      <c r="M85" s="88">
        <v>9</v>
      </c>
      <c r="N85" s="86">
        <v>106</v>
      </c>
    </row>
    <row r="86" spans="1:14" x14ac:dyDescent="0.25">
      <c r="A86" s="81" t="s">
        <v>1162</v>
      </c>
      <c r="B86" s="82"/>
      <c r="C86" s="83"/>
      <c r="D86" s="88">
        <v>12</v>
      </c>
      <c r="E86" s="83">
        <v>13</v>
      </c>
      <c r="F86" s="88"/>
      <c r="G86" s="88"/>
      <c r="H86" s="88"/>
      <c r="I86" s="88"/>
      <c r="J86" s="88"/>
      <c r="K86" s="88"/>
      <c r="L86" s="88">
        <v>1</v>
      </c>
      <c r="M86" s="88">
        <v>10</v>
      </c>
      <c r="N86" s="86">
        <v>2</v>
      </c>
    </row>
    <row r="87" spans="1:14" x14ac:dyDescent="0.25">
      <c r="A87" s="81" t="s">
        <v>279</v>
      </c>
      <c r="B87" s="82">
        <v>33</v>
      </c>
      <c r="C87" s="83">
        <v>35</v>
      </c>
      <c r="D87" s="88">
        <v>1608</v>
      </c>
      <c r="E87" s="83">
        <v>1637</v>
      </c>
      <c r="F87" s="88">
        <v>35</v>
      </c>
      <c r="G87" s="88"/>
      <c r="H87" s="88"/>
      <c r="I87" s="88">
        <v>4</v>
      </c>
      <c r="J87" s="88">
        <v>7</v>
      </c>
      <c r="K87" s="88"/>
      <c r="L87" s="88">
        <v>247</v>
      </c>
      <c r="M87" s="88">
        <v>290</v>
      </c>
      <c r="N87" s="86">
        <v>1100</v>
      </c>
    </row>
    <row r="88" spans="1:14" x14ac:dyDescent="0.25">
      <c r="A88" s="81" t="s">
        <v>1558</v>
      </c>
      <c r="B88" s="82"/>
      <c r="C88" s="83"/>
      <c r="D88" s="88">
        <v>23</v>
      </c>
      <c r="E88" s="83">
        <v>26</v>
      </c>
      <c r="F88" s="88"/>
      <c r="G88" s="88"/>
      <c r="H88" s="88"/>
      <c r="I88" s="88"/>
      <c r="J88" s="88"/>
      <c r="K88" s="88"/>
      <c r="L88" s="88"/>
      <c r="M88" s="88"/>
      <c r="N88" s="86">
        <v>26</v>
      </c>
    </row>
    <row r="89" spans="1:14" x14ac:dyDescent="0.25">
      <c r="A89" s="81" t="s">
        <v>285</v>
      </c>
      <c r="B89" s="82"/>
      <c r="C89" s="83">
        <v>2</v>
      </c>
      <c r="D89" s="88">
        <v>79</v>
      </c>
      <c r="E89" s="83">
        <v>80</v>
      </c>
      <c r="F89" s="88">
        <v>2</v>
      </c>
      <c r="G89" s="88"/>
      <c r="H89" s="88"/>
      <c r="I89" s="88"/>
      <c r="J89" s="88">
        <v>1</v>
      </c>
      <c r="K89" s="88"/>
      <c r="L89" s="88">
        <v>22</v>
      </c>
      <c r="M89" s="88">
        <v>9</v>
      </c>
      <c r="N89" s="86">
        <v>49</v>
      </c>
    </row>
    <row r="90" spans="1:14" x14ac:dyDescent="0.25">
      <c r="A90" s="81" t="s">
        <v>288</v>
      </c>
      <c r="B90" s="82">
        <v>11</v>
      </c>
      <c r="C90" s="83">
        <v>8</v>
      </c>
      <c r="D90" s="88">
        <v>813</v>
      </c>
      <c r="E90" s="83">
        <v>817</v>
      </c>
      <c r="F90" s="88">
        <v>7</v>
      </c>
      <c r="G90" s="88">
        <v>1</v>
      </c>
      <c r="H90" s="88"/>
      <c r="I90" s="88">
        <v>3</v>
      </c>
      <c r="J90" s="88">
        <v>6</v>
      </c>
      <c r="K90" s="88">
        <v>1</v>
      </c>
      <c r="L90" s="88">
        <v>231</v>
      </c>
      <c r="M90" s="88">
        <v>37</v>
      </c>
      <c r="N90" s="86">
        <v>549</v>
      </c>
    </row>
    <row r="91" spans="1:14" x14ac:dyDescent="0.25">
      <c r="A91" s="81" t="s">
        <v>1599</v>
      </c>
      <c r="B91" s="82">
        <v>4</v>
      </c>
      <c r="C91" s="83">
        <v>6</v>
      </c>
      <c r="D91" s="88">
        <v>357</v>
      </c>
      <c r="E91" s="83">
        <v>357</v>
      </c>
      <c r="F91" s="88">
        <v>5</v>
      </c>
      <c r="G91" s="88"/>
      <c r="H91" s="88">
        <v>1</v>
      </c>
      <c r="I91" s="88">
        <v>1</v>
      </c>
      <c r="J91" s="88">
        <v>3</v>
      </c>
      <c r="K91" s="88">
        <v>1</v>
      </c>
      <c r="L91" s="88">
        <v>118</v>
      </c>
      <c r="M91" s="88">
        <v>8</v>
      </c>
      <c r="N91" s="86">
        <v>231</v>
      </c>
    </row>
    <row r="92" spans="1:14" x14ac:dyDescent="0.25">
      <c r="A92" s="81" t="s">
        <v>886</v>
      </c>
      <c r="B92" s="82">
        <v>10</v>
      </c>
      <c r="C92" s="83">
        <v>4</v>
      </c>
      <c r="D92" s="88">
        <v>563</v>
      </c>
      <c r="E92" s="83">
        <v>565</v>
      </c>
      <c r="F92" s="88">
        <v>4</v>
      </c>
      <c r="G92" s="88"/>
      <c r="H92" s="88"/>
      <c r="I92" s="88">
        <v>1</v>
      </c>
      <c r="J92" s="88">
        <v>3</v>
      </c>
      <c r="K92" s="88"/>
      <c r="L92" s="88">
        <v>112</v>
      </c>
      <c r="M92" s="88">
        <v>17</v>
      </c>
      <c r="N92" s="86">
        <v>436</v>
      </c>
    </row>
    <row r="93" spans="1:14" x14ac:dyDescent="0.25">
      <c r="A93" s="81" t="s">
        <v>1165</v>
      </c>
      <c r="B93" s="82">
        <v>1</v>
      </c>
      <c r="C93" s="83">
        <v>1</v>
      </c>
      <c r="D93" s="88">
        <v>111</v>
      </c>
      <c r="E93" s="83">
        <v>111</v>
      </c>
      <c r="F93" s="88">
        <v>1</v>
      </c>
      <c r="G93" s="88"/>
      <c r="H93" s="88"/>
      <c r="I93" s="88">
        <v>1</v>
      </c>
      <c r="J93" s="88"/>
      <c r="K93" s="88"/>
      <c r="L93" s="88">
        <v>50</v>
      </c>
      <c r="M93" s="88">
        <v>14</v>
      </c>
      <c r="N93" s="86">
        <v>47</v>
      </c>
    </row>
    <row r="94" spans="1:14" x14ac:dyDescent="0.25">
      <c r="A94" s="81" t="s">
        <v>1595</v>
      </c>
      <c r="B94" s="82">
        <v>9</v>
      </c>
      <c r="C94" s="83">
        <v>7</v>
      </c>
      <c r="D94" s="88">
        <v>2686</v>
      </c>
      <c r="E94" s="83">
        <v>2665</v>
      </c>
      <c r="F94" s="88">
        <v>4</v>
      </c>
      <c r="G94" s="88">
        <v>2</v>
      </c>
      <c r="H94" s="88"/>
      <c r="I94" s="88">
        <v>2</v>
      </c>
      <c r="J94" s="88">
        <v>11</v>
      </c>
      <c r="K94" s="88">
        <v>4</v>
      </c>
      <c r="L94" s="88">
        <v>402</v>
      </c>
      <c r="M94" s="88">
        <v>39</v>
      </c>
      <c r="N94" s="86">
        <v>2224</v>
      </c>
    </row>
    <row r="95" spans="1:14" x14ac:dyDescent="0.25">
      <c r="A95" s="81" t="s">
        <v>581</v>
      </c>
      <c r="B95" s="82">
        <v>1</v>
      </c>
      <c r="C95" s="83">
        <v>6</v>
      </c>
      <c r="D95" s="88">
        <v>49</v>
      </c>
      <c r="E95" s="83">
        <v>54</v>
      </c>
      <c r="F95" s="88">
        <v>6</v>
      </c>
      <c r="G95" s="88"/>
      <c r="H95" s="88"/>
      <c r="I95" s="88">
        <v>2</v>
      </c>
      <c r="J95" s="88"/>
      <c r="K95" s="88">
        <v>1</v>
      </c>
      <c r="L95" s="88">
        <v>23</v>
      </c>
      <c r="M95" s="88">
        <v>7</v>
      </c>
      <c r="N95" s="86">
        <v>24</v>
      </c>
    </row>
    <row r="96" spans="1:14" x14ac:dyDescent="0.25">
      <c r="A96" s="81" t="s">
        <v>892</v>
      </c>
      <c r="B96" s="82">
        <v>5</v>
      </c>
      <c r="C96" s="83">
        <v>5</v>
      </c>
      <c r="D96" s="88">
        <v>519</v>
      </c>
      <c r="E96" s="83">
        <v>527</v>
      </c>
      <c r="F96" s="88">
        <v>5</v>
      </c>
      <c r="G96" s="88"/>
      <c r="H96" s="88"/>
      <c r="I96" s="88">
        <v>2</v>
      </c>
      <c r="J96" s="88"/>
      <c r="K96" s="88"/>
      <c r="L96" s="88">
        <v>76</v>
      </c>
      <c r="M96" s="88">
        <v>21</v>
      </c>
      <c r="N96" s="86">
        <v>430</v>
      </c>
    </row>
    <row r="97" spans="1:14" x14ac:dyDescent="0.25">
      <c r="A97" s="81" t="s">
        <v>294</v>
      </c>
      <c r="B97" s="82">
        <v>3</v>
      </c>
      <c r="C97" s="83">
        <v>5</v>
      </c>
      <c r="D97" s="88">
        <v>86</v>
      </c>
      <c r="E97" s="83">
        <v>89</v>
      </c>
      <c r="F97" s="88">
        <v>5</v>
      </c>
      <c r="G97" s="88"/>
      <c r="H97" s="88"/>
      <c r="I97" s="88"/>
      <c r="J97" s="88">
        <v>1</v>
      </c>
      <c r="K97" s="88"/>
      <c r="L97" s="88">
        <v>66</v>
      </c>
      <c r="M97" s="88">
        <v>5</v>
      </c>
      <c r="N97" s="86">
        <v>18</v>
      </c>
    </row>
    <row r="98" spans="1:14" x14ac:dyDescent="0.25">
      <c r="A98" s="81" t="s">
        <v>1576</v>
      </c>
      <c r="B98" s="82"/>
      <c r="C98" s="83"/>
      <c r="D98" s="88">
        <v>23</v>
      </c>
      <c r="E98" s="83">
        <v>16</v>
      </c>
      <c r="F98" s="88"/>
      <c r="G98" s="88"/>
      <c r="H98" s="88"/>
      <c r="I98" s="88"/>
      <c r="J98" s="88"/>
      <c r="K98" s="88"/>
      <c r="L98" s="88"/>
      <c r="M98" s="88"/>
      <c r="N98" s="86">
        <v>16</v>
      </c>
    </row>
    <row r="99" spans="1:14" x14ac:dyDescent="0.25">
      <c r="A99" s="81" t="s">
        <v>586</v>
      </c>
      <c r="B99" s="82">
        <v>20</v>
      </c>
      <c r="C99" s="83">
        <v>12</v>
      </c>
      <c r="D99" s="88">
        <v>500</v>
      </c>
      <c r="E99" s="83">
        <v>521</v>
      </c>
      <c r="F99" s="88">
        <v>12</v>
      </c>
      <c r="G99" s="88"/>
      <c r="H99" s="88"/>
      <c r="I99" s="88">
        <v>4</v>
      </c>
      <c r="J99" s="88">
        <v>5</v>
      </c>
      <c r="K99" s="88">
        <v>2</v>
      </c>
      <c r="L99" s="88">
        <v>103</v>
      </c>
      <c r="M99" s="88">
        <v>166</v>
      </c>
      <c r="N99" s="86">
        <v>252</v>
      </c>
    </row>
    <row r="100" spans="1:14" x14ac:dyDescent="0.25">
      <c r="A100" s="81" t="s">
        <v>589</v>
      </c>
      <c r="B100" s="82">
        <v>8</v>
      </c>
      <c r="C100" s="83">
        <v>9</v>
      </c>
      <c r="D100" s="88">
        <v>423</v>
      </c>
      <c r="E100" s="83">
        <v>433</v>
      </c>
      <c r="F100" s="88">
        <v>8</v>
      </c>
      <c r="G100" s="88">
        <v>1</v>
      </c>
      <c r="H100" s="88"/>
      <c r="I100" s="88">
        <v>2</v>
      </c>
      <c r="J100" s="88">
        <v>3</v>
      </c>
      <c r="K100" s="88">
        <v>1</v>
      </c>
      <c r="L100" s="88">
        <v>123</v>
      </c>
      <c r="M100" s="88">
        <v>58</v>
      </c>
      <c r="N100" s="86">
        <v>252</v>
      </c>
    </row>
    <row r="101" spans="1:14" x14ac:dyDescent="0.25">
      <c r="A101" s="81" t="s">
        <v>1624</v>
      </c>
      <c r="B101" s="82">
        <v>17</v>
      </c>
      <c r="C101" s="83">
        <v>20</v>
      </c>
      <c r="D101" s="88">
        <v>1258</v>
      </c>
      <c r="E101" s="83">
        <v>1285</v>
      </c>
      <c r="F101" s="88">
        <v>17</v>
      </c>
      <c r="G101" s="88">
        <v>2</v>
      </c>
      <c r="H101" s="88">
        <v>1</v>
      </c>
      <c r="I101" s="88">
        <v>1</v>
      </c>
      <c r="J101" s="88">
        <v>19</v>
      </c>
      <c r="K101" s="88">
        <v>2</v>
      </c>
      <c r="L101" s="88">
        <v>494</v>
      </c>
      <c r="M101" s="88">
        <v>90</v>
      </c>
      <c r="N101" s="86">
        <v>701</v>
      </c>
    </row>
    <row r="102" spans="1:14" x14ac:dyDescent="0.25">
      <c r="A102" s="81" t="s">
        <v>1578</v>
      </c>
      <c r="B102" s="82">
        <v>5</v>
      </c>
      <c r="C102" s="83">
        <v>8</v>
      </c>
      <c r="D102" s="88">
        <v>857</v>
      </c>
      <c r="E102" s="83">
        <v>860</v>
      </c>
      <c r="F102" s="88">
        <v>7</v>
      </c>
      <c r="G102" s="88">
        <v>1</v>
      </c>
      <c r="H102" s="88"/>
      <c r="I102" s="88">
        <v>1</v>
      </c>
      <c r="J102" s="88">
        <v>3</v>
      </c>
      <c r="K102" s="88">
        <v>1</v>
      </c>
      <c r="L102" s="88">
        <v>92</v>
      </c>
      <c r="M102" s="88">
        <v>4</v>
      </c>
      <c r="N102" s="86">
        <v>764</v>
      </c>
    </row>
    <row r="103" spans="1:14" x14ac:dyDescent="0.25">
      <c r="A103" s="81" t="s">
        <v>1567</v>
      </c>
      <c r="B103" s="82">
        <v>1</v>
      </c>
      <c r="C103" s="83">
        <v>5</v>
      </c>
      <c r="D103" s="88">
        <v>367</v>
      </c>
      <c r="E103" s="83">
        <v>374</v>
      </c>
      <c r="F103" s="88">
        <v>5</v>
      </c>
      <c r="G103" s="88"/>
      <c r="H103" s="88"/>
      <c r="I103" s="88">
        <v>2</v>
      </c>
      <c r="J103" s="88">
        <v>1</v>
      </c>
      <c r="K103" s="88"/>
      <c r="L103" s="88">
        <v>51</v>
      </c>
      <c r="M103" s="88">
        <v>13</v>
      </c>
      <c r="N103" s="86">
        <v>310</v>
      </c>
    </row>
    <row r="104" spans="1:14" x14ac:dyDescent="0.25">
      <c r="A104" s="81" t="s">
        <v>1552</v>
      </c>
      <c r="B104" s="82">
        <v>10</v>
      </c>
      <c r="C104" s="83">
        <v>8</v>
      </c>
      <c r="D104" s="88">
        <v>859</v>
      </c>
      <c r="E104" s="83">
        <v>861</v>
      </c>
      <c r="F104" s="88">
        <v>5</v>
      </c>
      <c r="G104" s="88">
        <v>2</v>
      </c>
      <c r="H104" s="88">
        <v>1</v>
      </c>
      <c r="I104" s="88">
        <v>3</v>
      </c>
      <c r="J104" s="88">
        <v>5</v>
      </c>
      <c r="K104" s="88">
        <v>3</v>
      </c>
      <c r="L104" s="88">
        <v>142</v>
      </c>
      <c r="M104" s="88">
        <v>40</v>
      </c>
      <c r="N104" s="86">
        <v>679</v>
      </c>
    </row>
    <row r="105" spans="1:14" x14ac:dyDescent="0.25">
      <c r="A105" s="81" t="s">
        <v>591</v>
      </c>
      <c r="B105" s="82">
        <v>1</v>
      </c>
      <c r="C105" s="83"/>
      <c r="D105" s="88">
        <v>4</v>
      </c>
      <c r="E105" s="83">
        <v>4</v>
      </c>
      <c r="F105" s="88"/>
      <c r="G105" s="88"/>
      <c r="H105" s="88"/>
      <c r="I105" s="88"/>
      <c r="J105" s="88"/>
      <c r="K105" s="88"/>
      <c r="L105" s="88">
        <v>4</v>
      </c>
      <c r="M105" s="88"/>
      <c r="N105" s="86"/>
    </row>
    <row r="106" spans="1:14" x14ac:dyDescent="0.25">
      <c r="A106" s="81" t="s">
        <v>907</v>
      </c>
      <c r="B106" s="82">
        <v>2</v>
      </c>
      <c r="C106" s="83"/>
      <c r="D106" s="88">
        <v>21</v>
      </c>
      <c r="E106" s="83">
        <v>19</v>
      </c>
      <c r="F106" s="88"/>
      <c r="G106" s="88"/>
      <c r="H106" s="88"/>
      <c r="I106" s="88"/>
      <c r="J106" s="88"/>
      <c r="K106" s="88"/>
      <c r="L106" s="88">
        <v>11</v>
      </c>
      <c r="M106" s="88">
        <v>8</v>
      </c>
      <c r="N106" s="86"/>
    </row>
    <row r="107" spans="1:14" x14ac:dyDescent="0.25">
      <c r="A107" s="81" t="s">
        <v>910</v>
      </c>
      <c r="B107" s="82">
        <v>2</v>
      </c>
      <c r="C107" s="83">
        <v>1</v>
      </c>
      <c r="D107" s="88">
        <v>225</v>
      </c>
      <c r="E107" s="83">
        <v>240</v>
      </c>
      <c r="F107" s="88">
        <v>1</v>
      </c>
      <c r="G107" s="88"/>
      <c r="H107" s="88"/>
      <c r="I107" s="88">
        <v>1</v>
      </c>
      <c r="J107" s="88"/>
      <c r="K107" s="88"/>
      <c r="L107" s="88">
        <v>54</v>
      </c>
      <c r="M107" s="88">
        <v>4</v>
      </c>
      <c r="N107" s="86">
        <v>182</v>
      </c>
    </row>
    <row r="108" spans="1:14" x14ac:dyDescent="0.25">
      <c r="A108" s="81" t="s">
        <v>913</v>
      </c>
      <c r="B108" s="82"/>
      <c r="C108" s="83">
        <v>1</v>
      </c>
      <c r="D108" s="88">
        <v>88</v>
      </c>
      <c r="E108" s="83">
        <v>87</v>
      </c>
      <c r="F108" s="88">
        <v>1</v>
      </c>
      <c r="G108" s="88"/>
      <c r="H108" s="88"/>
      <c r="I108" s="88"/>
      <c r="J108" s="88">
        <v>2</v>
      </c>
      <c r="K108" s="88"/>
      <c r="L108" s="88">
        <v>21</v>
      </c>
      <c r="M108" s="88">
        <v>6</v>
      </c>
      <c r="N108" s="86">
        <v>60</v>
      </c>
    </row>
    <row r="109" spans="1:14" x14ac:dyDescent="0.25">
      <c r="A109" s="81" t="s">
        <v>297</v>
      </c>
      <c r="B109" s="82">
        <v>6</v>
      </c>
      <c r="C109" s="83">
        <v>7</v>
      </c>
      <c r="D109" s="88">
        <v>193</v>
      </c>
      <c r="E109" s="83">
        <v>202</v>
      </c>
      <c r="F109" s="88">
        <v>6</v>
      </c>
      <c r="G109" s="88"/>
      <c r="H109" s="88">
        <v>1</v>
      </c>
      <c r="I109" s="88"/>
      <c r="J109" s="88"/>
      <c r="K109" s="88">
        <v>1</v>
      </c>
      <c r="L109" s="88">
        <v>57</v>
      </c>
      <c r="M109" s="88">
        <v>48</v>
      </c>
      <c r="N109" s="86">
        <v>97</v>
      </c>
    </row>
    <row r="110" spans="1:14" x14ac:dyDescent="0.25">
      <c r="A110" s="81" t="s">
        <v>1171</v>
      </c>
      <c r="B110" s="82">
        <v>5</v>
      </c>
      <c r="C110" s="83">
        <v>8</v>
      </c>
      <c r="D110" s="88">
        <v>264</v>
      </c>
      <c r="E110" s="83">
        <v>270</v>
      </c>
      <c r="F110" s="88">
        <v>8</v>
      </c>
      <c r="G110" s="88"/>
      <c r="H110" s="88"/>
      <c r="I110" s="88"/>
      <c r="J110" s="88"/>
      <c r="K110" s="88">
        <v>2</v>
      </c>
      <c r="L110" s="88">
        <v>202</v>
      </c>
      <c r="M110" s="88">
        <v>13</v>
      </c>
      <c r="N110" s="86">
        <v>55</v>
      </c>
    </row>
    <row r="111" spans="1:14" x14ac:dyDescent="0.25">
      <c r="A111" s="81" t="s">
        <v>916</v>
      </c>
      <c r="B111" s="82"/>
      <c r="C111" s="83">
        <v>1</v>
      </c>
      <c r="D111" s="88">
        <v>11</v>
      </c>
      <c r="E111" s="83">
        <v>12</v>
      </c>
      <c r="F111" s="88">
        <v>1</v>
      </c>
      <c r="G111" s="88"/>
      <c r="H111" s="88"/>
      <c r="I111" s="88"/>
      <c r="J111" s="88"/>
      <c r="K111" s="88"/>
      <c r="L111" s="88">
        <v>8</v>
      </c>
      <c r="M111" s="88">
        <v>4</v>
      </c>
      <c r="N111" s="86"/>
    </row>
    <row r="112" spans="1:14" x14ac:dyDescent="0.25">
      <c r="A112" s="81" t="s">
        <v>919</v>
      </c>
      <c r="B112" s="82">
        <v>2</v>
      </c>
      <c r="C112" s="83">
        <v>1</v>
      </c>
      <c r="D112" s="88">
        <v>91</v>
      </c>
      <c r="E112" s="83">
        <v>93</v>
      </c>
      <c r="F112" s="88">
        <v>1</v>
      </c>
      <c r="G112" s="88"/>
      <c r="H112" s="88"/>
      <c r="I112" s="88"/>
      <c r="J112" s="88">
        <v>2</v>
      </c>
      <c r="K112" s="88"/>
      <c r="L112" s="88">
        <v>16</v>
      </c>
      <c r="M112" s="88">
        <v>10</v>
      </c>
      <c r="N112" s="86">
        <v>67</v>
      </c>
    </row>
    <row r="113" spans="1:14" x14ac:dyDescent="0.25">
      <c r="A113" s="81" t="s">
        <v>597</v>
      </c>
      <c r="B113" s="82"/>
      <c r="C113" s="83">
        <v>4</v>
      </c>
      <c r="D113" s="88">
        <v>164</v>
      </c>
      <c r="E113" s="83">
        <v>168</v>
      </c>
      <c r="F113" s="88">
        <v>4</v>
      </c>
      <c r="G113" s="88"/>
      <c r="H113" s="88"/>
      <c r="I113" s="88"/>
      <c r="J113" s="88">
        <v>1</v>
      </c>
      <c r="K113" s="88"/>
      <c r="L113" s="88">
        <v>22</v>
      </c>
      <c r="M113" s="88">
        <v>1</v>
      </c>
      <c r="N113" s="86">
        <v>145</v>
      </c>
    </row>
    <row r="114" spans="1:14" x14ac:dyDescent="0.25">
      <c r="A114" s="81" t="s">
        <v>603</v>
      </c>
      <c r="B114" s="82">
        <v>7</v>
      </c>
      <c r="C114" s="83">
        <v>5</v>
      </c>
      <c r="D114" s="88">
        <v>172</v>
      </c>
      <c r="E114" s="83">
        <v>170</v>
      </c>
      <c r="F114" s="88">
        <v>5</v>
      </c>
      <c r="G114" s="88"/>
      <c r="H114" s="88"/>
      <c r="I114" s="88">
        <v>1</v>
      </c>
      <c r="J114" s="88">
        <v>3</v>
      </c>
      <c r="K114" s="88">
        <v>1</v>
      </c>
      <c r="L114" s="88">
        <v>91</v>
      </c>
      <c r="M114" s="88">
        <v>4</v>
      </c>
      <c r="N114" s="86">
        <v>75</v>
      </c>
    </row>
    <row r="115" spans="1:14" x14ac:dyDescent="0.25">
      <c r="A115" s="81" t="s">
        <v>1582</v>
      </c>
      <c r="B115" s="82">
        <v>1</v>
      </c>
      <c r="C115" s="83">
        <v>7</v>
      </c>
      <c r="D115" s="88">
        <v>887</v>
      </c>
      <c r="E115" s="83">
        <v>888</v>
      </c>
      <c r="F115" s="88">
        <v>6</v>
      </c>
      <c r="G115" s="88"/>
      <c r="H115" s="88">
        <v>1</v>
      </c>
      <c r="I115" s="88"/>
      <c r="J115" s="88">
        <v>10</v>
      </c>
      <c r="K115" s="88">
        <v>1</v>
      </c>
      <c r="L115" s="88">
        <v>114</v>
      </c>
      <c r="M115" s="88">
        <v>42</v>
      </c>
      <c r="N115" s="86">
        <v>732</v>
      </c>
    </row>
    <row r="116" spans="1:14" x14ac:dyDescent="0.25">
      <c r="A116" s="81" t="s">
        <v>928</v>
      </c>
      <c r="B116" s="82"/>
      <c r="C116" s="83"/>
      <c r="D116" s="88">
        <v>11</v>
      </c>
      <c r="E116" s="83">
        <v>11</v>
      </c>
      <c r="F116" s="88"/>
      <c r="G116" s="88"/>
      <c r="H116" s="88"/>
      <c r="I116" s="88"/>
      <c r="J116" s="88"/>
      <c r="K116" s="88"/>
      <c r="L116" s="88">
        <v>10</v>
      </c>
      <c r="M116" s="88">
        <v>1</v>
      </c>
      <c r="N116" s="86"/>
    </row>
    <row r="117" spans="1:14" x14ac:dyDescent="0.25">
      <c r="A117" s="81" t="s">
        <v>1572</v>
      </c>
      <c r="B117" s="82">
        <v>7</v>
      </c>
      <c r="C117" s="83">
        <v>4</v>
      </c>
      <c r="D117" s="88">
        <v>193</v>
      </c>
      <c r="E117" s="83">
        <v>190</v>
      </c>
      <c r="F117" s="88">
        <v>4</v>
      </c>
      <c r="G117" s="88"/>
      <c r="H117" s="88"/>
      <c r="I117" s="88"/>
      <c r="J117" s="88">
        <v>7</v>
      </c>
      <c r="K117" s="88"/>
      <c r="L117" s="88">
        <v>77</v>
      </c>
      <c r="M117" s="88">
        <v>27</v>
      </c>
      <c r="N117" s="86">
        <v>86</v>
      </c>
    </row>
    <row r="118" spans="1:14" x14ac:dyDescent="0.25">
      <c r="A118" s="81" t="s">
        <v>1174</v>
      </c>
      <c r="B118" s="82"/>
      <c r="C118" s="83"/>
      <c r="D118" s="88">
        <v>7</v>
      </c>
      <c r="E118" s="83">
        <v>8</v>
      </c>
      <c r="F118" s="88"/>
      <c r="G118" s="88"/>
      <c r="H118" s="88"/>
      <c r="I118" s="88"/>
      <c r="J118" s="88">
        <v>1</v>
      </c>
      <c r="K118" s="88"/>
      <c r="L118" s="88">
        <v>7</v>
      </c>
      <c r="M118" s="88">
        <v>1</v>
      </c>
      <c r="N118" s="86"/>
    </row>
    <row r="119" spans="1:14" x14ac:dyDescent="0.25">
      <c r="A119" s="81" t="s">
        <v>1177</v>
      </c>
      <c r="B119" s="82"/>
      <c r="C119" s="83"/>
      <c r="D119" s="88">
        <v>17</v>
      </c>
      <c r="E119" s="83">
        <v>17</v>
      </c>
      <c r="F119" s="88"/>
      <c r="G119" s="88"/>
      <c r="H119" s="88"/>
      <c r="I119" s="88"/>
      <c r="J119" s="88"/>
      <c r="K119" s="88"/>
      <c r="L119" s="88">
        <v>16</v>
      </c>
      <c r="M119" s="88">
        <v>1</v>
      </c>
      <c r="N119" s="86"/>
    </row>
    <row r="120" spans="1:14" x14ac:dyDescent="0.25">
      <c r="A120" s="81" t="s">
        <v>606</v>
      </c>
      <c r="B120" s="82"/>
      <c r="C120" s="83">
        <v>1</v>
      </c>
      <c r="D120" s="88">
        <v>21</v>
      </c>
      <c r="E120" s="83">
        <v>22</v>
      </c>
      <c r="F120" s="88">
        <v>1</v>
      </c>
      <c r="G120" s="88"/>
      <c r="H120" s="88"/>
      <c r="I120" s="88"/>
      <c r="J120" s="88">
        <v>2</v>
      </c>
      <c r="K120" s="88"/>
      <c r="L120" s="88">
        <v>5</v>
      </c>
      <c r="M120" s="88">
        <v>4</v>
      </c>
      <c r="N120" s="86">
        <v>13</v>
      </c>
    </row>
    <row r="121" spans="1:14" x14ac:dyDescent="0.25">
      <c r="A121" s="81" t="s">
        <v>609</v>
      </c>
      <c r="B121" s="82">
        <v>1</v>
      </c>
      <c r="C121" s="83"/>
      <c r="D121" s="88">
        <v>30</v>
      </c>
      <c r="E121" s="83">
        <v>30</v>
      </c>
      <c r="F121" s="88"/>
      <c r="G121" s="88"/>
      <c r="H121" s="88"/>
      <c r="I121" s="88"/>
      <c r="J121" s="88"/>
      <c r="K121" s="88"/>
      <c r="L121" s="88">
        <v>1</v>
      </c>
      <c r="M121" s="88">
        <v>1</v>
      </c>
      <c r="N121" s="86">
        <v>28</v>
      </c>
    </row>
    <row r="122" spans="1:14" x14ac:dyDescent="0.25">
      <c r="A122" s="81" t="s">
        <v>300</v>
      </c>
      <c r="B122" s="82"/>
      <c r="C122" s="83">
        <v>4</v>
      </c>
      <c r="D122" s="88">
        <v>14</v>
      </c>
      <c r="E122" s="83">
        <v>16</v>
      </c>
      <c r="F122" s="88">
        <v>3</v>
      </c>
      <c r="G122" s="88">
        <v>1</v>
      </c>
      <c r="H122" s="88"/>
      <c r="I122" s="88"/>
      <c r="J122" s="88"/>
      <c r="K122" s="88"/>
      <c r="L122" s="88">
        <v>15</v>
      </c>
      <c r="M122" s="88">
        <v>1</v>
      </c>
      <c r="N122" s="86"/>
    </row>
    <row r="123" spans="1:14" x14ac:dyDescent="0.25">
      <c r="A123" s="81" t="s">
        <v>1180</v>
      </c>
      <c r="B123" s="82">
        <v>2</v>
      </c>
      <c r="C123" s="83"/>
      <c r="D123" s="88">
        <v>43</v>
      </c>
      <c r="E123" s="83">
        <v>48</v>
      </c>
      <c r="F123" s="88"/>
      <c r="G123" s="88"/>
      <c r="H123" s="88"/>
      <c r="I123" s="88">
        <v>1</v>
      </c>
      <c r="J123" s="88">
        <v>1</v>
      </c>
      <c r="K123" s="88"/>
      <c r="L123" s="88">
        <v>45</v>
      </c>
      <c r="M123" s="88">
        <v>1</v>
      </c>
      <c r="N123" s="86">
        <v>2</v>
      </c>
    </row>
    <row r="124" spans="1:14" x14ac:dyDescent="0.25">
      <c r="A124" s="81" t="s">
        <v>1183</v>
      </c>
      <c r="B124" s="82"/>
      <c r="C124" s="83">
        <v>1</v>
      </c>
      <c r="D124" s="88">
        <v>122</v>
      </c>
      <c r="E124" s="83">
        <v>124</v>
      </c>
      <c r="F124" s="88">
        <v>1</v>
      </c>
      <c r="G124" s="88"/>
      <c r="H124" s="88"/>
      <c r="I124" s="88"/>
      <c r="J124" s="88"/>
      <c r="K124" s="88"/>
      <c r="L124" s="88">
        <v>22</v>
      </c>
      <c r="M124" s="88">
        <v>3</v>
      </c>
      <c r="N124" s="86">
        <v>99</v>
      </c>
    </row>
    <row r="125" spans="1:14" x14ac:dyDescent="0.25">
      <c r="A125" s="81" t="s">
        <v>1668</v>
      </c>
      <c r="B125" s="82"/>
      <c r="C125" s="83">
        <v>1</v>
      </c>
      <c r="D125" s="88">
        <v>8</v>
      </c>
      <c r="E125" s="83">
        <v>9</v>
      </c>
      <c r="F125" s="88">
        <v>1</v>
      </c>
      <c r="G125" s="88"/>
      <c r="H125" s="88"/>
      <c r="I125" s="88"/>
      <c r="J125" s="88"/>
      <c r="K125" s="88"/>
      <c r="L125" s="88">
        <v>8</v>
      </c>
      <c r="M125" s="88">
        <v>1</v>
      </c>
      <c r="N125" s="86"/>
    </row>
    <row r="126" spans="1:14" x14ac:dyDescent="0.25">
      <c r="A126" s="81" t="s">
        <v>303</v>
      </c>
      <c r="B126" s="82"/>
      <c r="C126" s="83"/>
      <c r="D126" s="88">
        <v>57</v>
      </c>
      <c r="E126" s="83">
        <v>57</v>
      </c>
      <c r="F126" s="88"/>
      <c r="G126" s="88"/>
      <c r="H126" s="88"/>
      <c r="I126" s="88"/>
      <c r="J126" s="88"/>
      <c r="K126" s="88"/>
      <c r="L126" s="88">
        <v>17</v>
      </c>
      <c r="M126" s="88">
        <v>1</v>
      </c>
      <c r="N126" s="86">
        <v>39</v>
      </c>
    </row>
    <row r="127" spans="1:14" x14ac:dyDescent="0.25">
      <c r="A127" s="81" t="s">
        <v>1188</v>
      </c>
      <c r="B127" s="82">
        <v>1</v>
      </c>
      <c r="C127" s="83"/>
      <c r="D127" s="88">
        <v>27</v>
      </c>
      <c r="E127" s="83">
        <v>32</v>
      </c>
      <c r="F127" s="88"/>
      <c r="G127" s="88"/>
      <c r="H127" s="88"/>
      <c r="I127" s="88"/>
      <c r="J127" s="88">
        <v>1</v>
      </c>
      <c r="K127" s="88"/>
      <c r="L127" s="88">
        <v>8</v>
      </c>
      <c r="M127" s="88"/>
      <c r="N127" s="86">
        <v>24</v>
      </c>
    </row>
    <row r="128" spans="1:14" x14ac:dyDescent="0.25">
      <c r="A128" s="81" t="s">
        <v>1604</v>
      </c>
      <c r="B128" s="82">
        <v>2</v>
      </c>
      <c r="C128" s="83">
        <v>1</v>
      </c>
      <c r="D128" s="88">
        <v>176</v>
      </c>
      <c r="E128" s="83">
        <v>175</v>
      </c>
      <c r="F128" s="88">
        <v>1</v>
      </c>
      <c r="G128" s="88"/>
      <c r="H128" s="88"/>
      <c r="I128" s="88">
        <v>2</v>
      </c>
      <c r="J128" s="88">
        <v>1</v>
      </c>
      <c r="K128" s="88"/>
      <c r="L128" s="88">
        <v>111</v>
      </c>
      <c r="M128" s="88">
        <v>13</v>
      </c>
      <c r="N128" s="86">
        <v>51</v>
      </c>
    </row>
    <row r="129" spans="1:14" x14ac:dyDescent="0.25">
      <c r="A129" s="81" t="s">
        <v>307</v>
      </c>
      <c r="B129" s="82">
        <v>4</v>
      </c>
      <c r="C129" s="83">
        <v>4</v>
      </c>
      <c r="D129" s="88">
        <v>571</v>
      </c>
      <c r="E129" s="83">
        <v>558</v>
      </c>
      <c r="F129" s="88">
        <v>3</v>
      </c>
      <c r="G129" s="88"/>
      <c r="H129" s="88">
        <v>1</v>
      </c>
      <c r="I129" s="88"/>
      <c r="J129" s="88">
        <v>5</v>
      </c>
      <c r="K129" s="88">
        <v>2</v>
      </c>
      <c r="L129" s="88">
        <v>160</v>
      </c>
      <c r="M129" s="88">
        <v>53</v>
      </c>
      <c r="N129" s="86">
        <v>345</v>
      </c>
    </row>
    <row r="130" spans="1:14" x14ac:dyDescent="0.25">
      <c r="A130" s="81" t="s">
        <v>934</v>
      </c>
      <c r="B130" s="82">
        <v>3</v>
      </c>
      <c r="C130" s="83">
        <v>2</v>
      </c>
      <c r="D130" s="88">
        <v>403</v>
      </c>
      <c r="E130" s="83">
        <v>403</v>
      </c>
      <c r="F130" s="88">
        <v>2</v>
      </c>
      <c r="G130" s="88"/>
      <c r="H130" s="88"/>
      <c r="I130" s="88">
        <v>1</v>
      </c>
      <c r="J130" s="88">
        <v>1</v>
      </c>
      <c r="K130" s="88">
        <v>1</v>
      </c>
      <c r="L130" s="88">
        <v>93</v>
      </c>
      <c r="M130" s="88">
        <v>15</v>
      </c>
      <c r="N130" s="86">
        <v>295</v>
      </c>
    </row>
    <row r="131" spans="1:14" x14ac:dyDescent="0.25">
      <c r="A131" s="81" t="s">
        <v>937</v>
      </c>
      <c r="B131" s="82">
        <v>8</v>
      </c>
      <c r="C131" s="83">
        <v>5</v>
      </c>
      <c r="D131" s="88">
        <v>596</v>
      </c>
      <c r="E131" s="83">
        <v>597</v>
      </c>
      <c r="F131" s="88">
        <v>5</v>
      </c>
      <c r="G131" s="88"/>
      <c r="H131" s="88"/>
      <c r="I131" s="88">
        <v>1</v>
      </c>
      <c r="J131" s="88">
        <v>2</v>
      </c>
      <c r="K131" s="88"/>
      <c r="L131" s="88">
        <v>103</v>
      </c>
      <c r="M131" s="88">
        <v>8</v>
      </c>
      <c r="N131" s="86">
        <v>486</v>
      </c>
    </row>
    <row r="132" spans="1:14" x14ac:dyDescent="0.25">
      <c r="A132" s="81" t="s">
        <v>1565</v>
      </c>
      <c r="B132" s="82">
        <v>1</v>
      </c>
      <c r="C132" s="83">
        <v>1</v>
      </c>
      <c r="D132" s="88">
        <v>195</v>
      </c>
      <c r="E132" s="83">
        <v>189</v>
      </c>
      <c r="F132" s="88">
        <v>1</v>
      </c>
      <c r="G132" s="88"/>
      <c r="H132" s="88"/>
      <c r="I132" s="88">
        <v>1</v>
      </c>
      <c r="J132" s="88">
        <v>1</v>
      </c>
      <c r="K132" s="88"/>
      <c r="L132" s="88">
        <v>10</v>
      </c>
      <c r="M132" s="88">
        <v>4</v>
      </c>
      <c r="N132" s="86">
        <v>175</v>
      </c>
    </row>
    <row r="133" spans="1:14" x14ac:dyDescent="0.25">
      <c r="A133" s="81" t="s">
        <v>940</v>
      </c>
      <c r="B133" s="82">
        <v>2</v>
      </c>
      <c r="C133" s="83">
        <v>1</v>
      </c>
      <c r="D133" s="88">
        <v>221</v>
      </c>
      <c r="E133" s="83">
        <v>222</v>
      </c>
      <c r="F133" s="88">
        <v>1</v>
      </c>
      <c r="G133" s="88"/>
      <c r="H133" s="88"/>
      <c r="I133" s="88">
        <v>1</v>
      </c>
      <c r="J133" s="88">
        <v>2</v>
      </c>
      <c r="K133" s="88"/>
      <c r="L133" s="88">
        <v>5</v>
      </c>
      <c r="M133" s="88">
        <v>58</v>
      </c>
      <c r="N133" s="86">
        <v>159</v>
      </c>
    </row>
    <row r="134" spans="1:14" x14ac:dyDescent="0.25">
      <c r="A134" s="81" t="s">
        <v>943</v>
      </c>
      <c r="B134" s="82"/>
      <c r="C134" s="83"/>
      <c r="D134" s="88">
        <v>189</v>
      </c>
      <c r="E134" s="83">
        <v>189</v>
      </c>
      <c r="F134" s="88"/>
      <c r="G134" s="88"/>
      <c r="H134" s="88"/>
      <c r="I134" s="88"/>
      <c r="J134" s="88"/>
      <c r="K134" s="88"/>
      <c r="L134" s="88">
        <v>104</v>
      </c>
      <c r="M134" s="88">
        <v>23</v>
      </c>
      <c r="N134" s="86">
        <v>62</v>
      </c>
    </row>
    <row r="135" spans="1:14" x14ac:dyDescent="0.25">
      <c r="A135" s="81" t="s">
        <v>1191</v>
      </c>
      <c r="B135" s="82">
        <v>1</v>
      </c>
      <c r="C135" s="83"/>
      <c r="D135" s="88">
        <v>22</v>
      </c>
      <c r="E135" s="83">
        <v>22</v>
      </c>
      <c r="F135" s="88"/>
      <c r="G135" s="88"/>
      <c r="H135" s="88"/>
      <c r="I135" s="88"/>
      <c r="J135" s="88">
        <v>1</v>
      </c>
      <c r="K135" s="88"/>
      <c r="L135" s="88">
        <v>21</v>
      </c>
      <c r="M135" s="88">
        <v>1</v>
      </c>
      <c r="N135" s="86"/>
    </row>
    <row r="136" spans="1:14" x14ac:dyDescent="0.25">
      <c r="A136" s="81" t="s">
        <v>1639</v>
      </c>
      <c r="B136" s="82">
        <v>9</v>
      </c>
      <c r="C136" s="83">
        <v>17</v>
      </c>
      <c r="D136" s="88">
        <v>1499</v>
      </c>
      <c r="E136" s="83">
        <v>1502</v>
      </c>
      <c r="F136" s="88">
        <v>16</v>
      </c>
      <c r="G136" s="88">
        <v>1</v>
      </c>
      <c r="H136" s="88"/>
      <c r="I136" s="88">
        <v>5</v>
      </c>
      <c r="J136" s="88">
        <v>25</v>
      </c>
      <c r="K136" s="88">
        <v>2</v>
      </c>
      <c r="L136" s="88">
        <v>193</v>
      </c>
      <c r="M136" s="88">
        <v>154</v>
      </c>
      <c r="N136" s="86">
        <v>1155</v>
      </c>
    </row>
    <row r="137" spans="1:14" x14ac:dyDescent="0.25">
      <c r="A137" s="81" t="s">
        <v>617</v>
      </c>
      <c r="B137" s="82"/>
      <c r="C137" s="83"/>
      <c r="D137" s="88">
        <v>8</v>
      </c>
      <c r="E137" s="83">
        <v>9</v>
      </c>
      <c r="F137" s="88"/>
      <c r="G137" s="88"/>
      <c r="H137" s="88"/>
      <c r="I137" s="88"/>
      <c r="J137" s="88"/>
      <c r="K137" s="88"/>
      <c r="L137" s="88">
        <v>1</v>
      </c>
      <c r="M137" s="88">
        <v>8</v>
      </c>
      <c r="N137" s="86"/>
    </row>
    <row r="138" spans="1:14" x14ac:dyDescent="0.25">
      <c r="A138" s="81" t="s">
        <v>1619</v>
      </c>
      <c r="B138" s="82">
        <v>7</v>
      </c>
      <c r="C138" s="83">
        <v>13</v>
      </c>
      <c r="D138" s="88">
        <v>1017</v>
      </c>
      <c r="E138" s="83">
        <v>1053</v>
      </c>
      <c r="F138" s="88">
        <v>11</v>
      </c>
      <c r="G138" s="88"/>
      <c r="H138" s="88">
        <v>2</v>
      </c>
      <c r="I138" s="88">
        <v>2</v>
      </c>
      <c r="J138" s="88">
        <v>4</v>
      </c>
      <c r="K138" s="88">
        <v>2</v>
      </c>
      <c r="L138" s="88">
        <v>309</v>
      </c>
      <c r="M138" s="88">
        <v>11</v>
      </c>
      <c r="N138" s="86">
        <v>733</v>
      </c>
    </row>
    <row r="139" spans="1:14" x14ac:dyDescent="0.25">
      <c r="A139" s="81" t="s">
        <v>946</v>
      </c>
      <c r="B139" s="82">
        <v>31</v>
      </c>
      <c r="C139" s="83">
        <v>29</v>
      </c>
      <c r="D139" s="88">
        <v>70</v>
      </c>
      <c r="E139" s="83">
        <v>98</v>
      </c>
      <c r="F139" s="88">
        <v>29</v>
      </c>
      <c r="G139" s="88"/>
      <c r="H139" s="88"/>
      <c r="I139" s="88"/>
      <c r="J139" s="88">
        <v>4</v>
      </c>
      <c r="K139" s="88">
        <v>1</v>
      </c>
      <c r="L139" s="88">
        <v>76</v>
      </c>
      <c r="M139" s="88">
        <v>22</v>
      </c>
      <c r="N139" s="86"/>
    </row>
    <row r="140" spans="1:14" x14ac:dyDescent="0.25">
      <c r="A140" s="81" t="s">
        <v>1568</v>
      </c>
      <c r="B140" s="82">
        <v>2</v>
      </c>
      <c r="C140" s="83">
        <v>5</v>
      </c>
      <c r="D140" s="88">
        <v>188</v>
      </c>
      <c r="E140" s="83">
        <v>189</v>
      </c>
      <c r="F140" s="88">
        <v>5</v>
      </c>
      <c r="G140" s="88"/>
      <c r="H140" s="88"/>
      <c r="I140" s="88"/>
      <c r="J140" s="88">
        <v>2</v>
      </c>
      <c r="K140" s="88"/>
      <c r="L140" s="88">
        <v>54</v>
      </c>
      <c r="M140" s="88">
        <v>6</v>
      </c>
      <c r="N140" s="86">
        <v>129</v>
      </c>
    </row>
    <row r="141" spans="1:14" x14ac:dyDescent="0.25">
      <c r="A141" s="81" t="s">
        <v>949</v>
      </c>
      <c r="B141" s="82"/>
      <c r="C141" s="83"/>
      <c r="D141" s="88">
        <v>26</v>
      </c>
      <c r="E141" s="83">
        <v>26</v>
      </c>
      <c r="F141" s="88"/>
      <c r="G141" s="88"/>
      <c r="H141" s="88"/>
      <c r="I141" s="88"/>
      <c r="J141" s="88">
        <v>2</v>
      </c>
      <c r="K141" s="88"/>
      <c r="L141" s="88">
        <v>19</v>
      </c>
      <c r="M141" s="88">
        <v>5</v>
      </c>
      <c r="N141" s="86">
        <v>2</v>
      </c>
    </row>
    <row r="142" spans="1:14" x14ac:dyDescent="0.25">
      <c r="A142" s="81" t="s">
        <v>1197</v>
      </c>
      <c r="B142" s="82"/>
      <c r="C142" s="83">
        <v>1</v>
      </c>
      <c r="D142" s="88">
        <v>15</v>
      </c>
      <c r="E142" s="83">
        <v>16</v>
      </c>
      <c r="F142" s="88">
        <v>1</v>
      </c>
      <c r="G142" s="88"/>
      <c r="H142" s="88"/>
      <c r="I142" s="88"/>
      <c r="J142" s="88"/>
      <c r="K142" s="88"/>
      <c r="L142" s="88">
        <v>1</v>
      </c>
      <c r="M142" s="88">
        <v>3</v>
      </c>
      <c r="N142" s="86">
        <v>12</v>
      </c>
    </row>
    <row r="143" spans="1:14" x14ac:dyDescent="0.25">
      <c r="A143" s="81" t="s">
        <v>629</v>
      </c>
      <c r="B143" s="82">
        <v>1</v>
      </c>
      <c r="C143" s="83">
        <v>5</v>
      </c>
      <c r="D143" s="88">
        <v>55</v>
      </c>
      <c r="E143" s="83">
        <v>61</v>
      </c>
      <c r="F143" s="88">
        <v>5</v>
      </c>
      <c r="G143" s="88"/>
      <c r="H143" s="88"/>
      <c r="I143" s="88">
        <v>1</v>
      </c>
      <c r="J143" s="88"/>
      <c r="K143" s="88"/>
      <c r="L143" s="88">
        <v>16</v>
      </c>
      <c r="M143" s="88">
        <v>35</v>
      </c>
      <c r="N143" s="86">
        <v>10</v>
      </c>
    </row>
    <row r="144" spans="1:14" x14ac:dyDescent="0.25">
      <c r="A144" s="81" t="s">
        <v>632</v>
      </c>
      <c r="B144" s="82">
        <v>2</v>
      </c>
      <c r="C144" s="83"/>
      <c r="D144" s="88">
        <v>41</v>
      </c>
      <c r="E144" s="83">
        <v>39</v>
      </c>
      <c r="F144" s="88"/>
      <c r="G144" s="88"/>
      <c r="H144" s="88"/>
      <c r="I144" s="88"/>
      <c r="J144" s="88"/>
      <c r="K144" s="88">
        <v>1</v>
      </c>
      <c r="L144" s="88">
        <v>32</v>
      </c>
      <c r="M144" s="88"/>
      <c r="N144" s="86">
        <v>7</v>
      </c>
    </row>
    <row r="145" spans="1:14" x14ac:dyDescent="0.25">
      <c r="A145" s="81" t="s">
        <v>1203</v>
      </c>
      <c r="B145" s="82"/>
      <c r="C145" s="83"/>
      <c r="D145" s="88">
        <v>6</v>
      </c>
      <c r="E145" s="83">
        <v>9</v>
      </c>
      <c r="F145" s="88"/>
      <c r="G145" s="88"/>
      <c r="H145" s="88"/>
      <c r="I145" s="88"/>
      <c r="J145" s="88"/>
      <c r="K145" s="88"/>
      <c r="L145" s="88">
        <v>6</v>
      </c>
      <c r="M145" s="88">
        <v>1</v>
      </c>
      <c r="N145" s="86">
        <v>2</v>
      </c>
    </row>
    <row r="146" spans="1:14" x14ac:dyDescent="0.25">
      <c r="A146" s="81" t="s">
        <v>310</v>
      </c>
      <c r="B146" s="82"/>
      <c r="C146" s="83"/>
      <c r="D146" s="88">
        <v>46</v>
      </c>
      <c r="E146" s="83">
        <v>49</v>
      </c>
      <c r="F146" s="88"/>
      <c r="G146" s="88"/>
      <c r="H146" s="88"/>
      <c r="I146" s="88"/>
      <c r="J146" s="88">
        <v>1</v>
      </c>
      <c r="K146" s="88"/>
      <c r="L146" s="88">
        <v>26</v>
      </c>
      <c r="M146" s="88">
        <v>3</v>
      </c>
      <c r="N146" s="86">
        <v>20</v>
      </c>
    </row>
    <row r="147" spans="1:14" x14ac:dyDescent="0.25">
      <c r="A147" s="81" t="s">
        <v>952</v>
      </c>
      <c r="B147" s="82">
        <v>5</v>
      </c>
      <c r="C147" s="83">
        <v>2</v>
      </c>
      <c r="D147" s="88">
        <v>65</v>
      </c>
      <c r="E147" s="83">
        <v>65</v>
      </c>
      <c r="F147" s="88">
        <v>2</v>
      </c>
      <c r="G147" s="88"/>
      <c r="H147" s="88"/>
      <c r="I147" s="88">
        <v>1</v>
      </c>
      <c r="J147" s="88"/>
      <c r="K147" s="88"/>
      <c r="L147" s="88">
        <v>25</v>
      </c>
      <c r="M147" s="88">
        <v>1</v>
      </c>
      <c r="N147" s="86">
        <v>39</v>
      </c>
    </row>
    <row r="148" spans="1:14" x14ac:dyDescent="0.25">
      <c r="A148" s="81" t="s">
        <v>312</v>
      </c>
      <c r="B148" s="82">
        <v>25</v>
      </c>
      <c r="C148" s="83">
        <v>23</v>
      </c>
      <c r="D148" s="88">
        <v>2099</v>
      </c>
      <c r="E148" s="83">
        <v>2000</v>
      </c>
      <c r="F148" s="88">
        <v>23</v>
      </c>
      <c r="G148" s="88"/>
      <c r="H148" s="88"/>
      <c r="I148" s="88">
        <v>8</v>
      </c>
      <c r="J148" s="88">
        <v>6</v>
      </c>
      <c r="K148" s="88">
        <v>2</v>
      </c>
      <c r="L148" s="88">
        <v>263</v>
      </c>
      <c r="M148" s="88">
        <v>346</v>
      </c>
      <c r="N148" s="86">
        <v>1391</v>
      </c>
    </row>
    <row r="149" spans="1:14" x14ac:dyDescent="0.25">
      <c r="A149" s="81" t="s">
        <v>1597</v>
      </c>
      <c r="B149" s="82"/>
      <c r="C149" s="83"/>
      <c r="D149" s="88">
        <v>50</v>
      </c>
      <c r="E149" s="83">
        <v>46</v>
      </c>
      <c r="F149" s="88"/>
      <c r="G149" s="88"/>
      <c r="H149" s="88"/>
      <c r="I149" s="88"/>
      <c r="J149" s="88"/>
      <c r="K149" s="88"/>
      <c r="L149" s="88">
        <v>44</v>
      </c>
      <c r="M149" s="88">
        <v>2</v>
      </c>
      <c r="N149" s="86"/>
    </row>
    <row r="150" spans="1:14" x14ac:dyDescent="0.25">
      <c r="A150" s="81" t="s">
        <v>315</v>
      </c>
      <c r="B150" s="82"/>
      <c r="C150" s="83"/>
      <c r="D150" s="88">
        <v>53</v>
      </c>
      <c r="E150" s="83">
        <v>56</v>
      </c>
      <c r="F150" s="88"/>
      <c r="G150" s="88"/>
      <c r="H150" s="88"/>
      <c r="I150" s="88"/>
      <c r="J150" s="88">
        <v>2</v>
      </c>
      <c r="K150" s="88"/>
      <c r="L150" s="88">
        <v>15</v>
      </c>
      <c r="M150" s="88">
        <v>6</v>
      </c>
      <c r="N150" s="86">
        <v>35</v>
      </c>
    </row>
    <row r="151" spans="1:14" x14ac:dyDescent="0.25">
      <c r="A151" s="81" t="s">
        <v>318</v>
      </c>
      <c r="B151" s="82"/>
      <c r="C151" s="83">
        <v>1</v>
      </c>
      <c r="D151" s="88">
        <v>99</v>
      </c>
      <c r="E151" s="83">
        <v>92</v>
      </c>
      <c r="F151" s="88">
        <v>1</v>
      </c>
      <c r="G151" s="88"/>
      <c r="H151" s="88"/>
      <c r="I151" s="88"/>
      <c r="J151" s="88"/>
      <c r="K151" s="88"/>
      <c r="L151" s="88">
        <v>22</v>
      </c>
      <c r="M151" s="88">
        <v>12</v>
      </c>
      <c r="N151" s="86">
        <v>58</v>
      </c>
    </row>
    <row r="152" spans="1:14" x14ac:dyDescent="0.25">
      <c r="A152" s="81" t="s">
        <v>321</v>
      </c>
      <c r="B152" s="82">
        <v>6</v>
      </c>
      <c r="C152" s="83">
        <v>5</v>
      </c>
      <c r="D152" s="88">
        <v>303</v>
      </c>
      <c r="E152" s="83">
        <v>306</v>
      </c>
      <c r="F152" s="88">
        <v>5</v>
      </c>
      <c r="G152" s="88"/>
      <c r="H152" s="88"/>
      <c r="I152" s="88"/>
      <c r="J152" s="88"/>
      <c r="K152" s="88"/>
      <c r="L152" s="88">
        <v>147</v>
      </c>
      <c r="M152" s="88">
        <v>21</v>
      </c>
      <c r="N152" s="86">
        <v>138</v>
      </c>
    </row>
    <row r="153" spans="1:14" x14ac:dyDescent="0.25">
      <c r="A153" s="81" t="s">
        <v>641</v>
      </c>
      <c r="B153" s="82">
        <v>2</v>
      </c>
      <c r="C153" s="83">
        <v>1</v>
      </c>
      <c r="D153" s="88">
        <v>282</v>
      </c>
      <c r="E153" s="83">
        <v>280</v>
      </c>
      <c r="F153" s="88">
        <v>1</v>
      </c>
      <c r="G153" s="88"/>
      <c r="H153" s="88"/>
      <c r="I153" s="88">
        <v>1</v>
      </c>
      <c r="J153" s="88">
        <v>1</v>
      </c>
      <c r="K153" s="88"/>
      <c r="L153" s="88">
        <v>27</v>
      </c>
      <c r="M153" s="88">
        <v>29</v>
      </c>
      <c r="N153" s="86">
        <v>224</v>
      </c>
    </row>
    <row r="154" spans="1:14" x14ac:dyDescent="0.25">
      <c r="A154" s="81" t="s">
        <v>1634</v>
      </c>
      <c r="B154" s="82">
        <v>3</v>
      </c>
      <c r="C154" s="83">
        <v>1</v>
      </c>
      <c r="D154" s="88">
        <v>16</v>
      </c>
      <c r="E154" s="83">
        <v>19</v>
      </c>
      <c r="F154" s="88">
        <v>1</v>
      </c>
      <c r="G154" s="88"/>
      <c r="H154" s="88"/>
      <c r="I154" s="88"/>
      <c r="J154" s="88"/>
      <c r="K154" s="88"/>
      <c r="L154" s="88">
        <v>10</v>
      </c>
      <c r="M154" s="88">
        <v>3</v>
      </c>
      <c r="N154" s="86">
        <v>6</v>
      </c>
    </row>
    <row r="155" spans="1:14" x14ac:dyDescent="0.25">
      <c r="A155" s="81" t="s">
        <v>957</v>
      </c>
      <c r="B155" s="82"/>
      <c r="C155" s="83">
        <v>1</v>
      </c>
      <c r="D155" s="88">
        <v>20</v>
      </c>
      <c r="E155" s="83">
        <v>21</v>
      </c>
      <c r="F155" s="88">
        <v>1</v>
      </c>
      <c r="G155" s="88"/>
      <c r="H155" s="88"/>
      <c r="I155" s="88"/>
      <c r="J155" s="88"/>
      <c r="K155" s="88"/>
      <c r="L155" s="88">
        <v>13</v>
      </c>
      <c r="M155" s="88">
        <v>1</v>
      </c>
      <c r="N155" s="86">
        <v>7</v>
      </c>
    </row>
    <row r="156" spans="1:14" x14ac:dyDescent="0.25">
      <c r="A156" s="81" t="s">
        <v>1631</v>
      </c>
      <c r="B156" s="82">
        <v>8</v>
      </c>
      <c r="C156" s="83">
        <v>4</v>
      </c>
      <c r="D156" s="88">
        <v>732</v>
      </c>
      <c r="E156" s="83">
        <v>734</v>
      </c>
      <c r="F156" s="88">
        <v>4</v>
      </c>
      <c r="G156" s="88"/>
      <c r="H156" s="88"/>
      <c r="I156" s="88"/>
      <c r="J156" s="88">
        <v>1</v>
      </c>
      <c r="K156" s="88">
        <v>2</v>
      </c>
      <c r="L156" s="88">
        <v>90</v>
      </c>
      <c r="M156" s="88">
        <v>21</v>
      </c>
      <c r="N156" s="86">
        <v>623</v>
      </c>
    </row>
    <row r="157" spans="1:14" x14ac:dyDescent="0.25">
      <c r="A157" s="81" t="s">
        <v>1208</v>
      </c>
      <c r="B157" s="82"/>
      <c r="C157" s="83"/>
      <c r="D157" s="88">
        <v>104</v>
      </c>
      <c r="E157" s="83">
        <v>102</v>
      </c>
      <c r="F157" s="88"/>
      <c r="G157" s="88"/>
      <c r="H157" s="88"/>
      <c r="I157" s="88">
        <v>2</v>
      </c>
      <c r="J157" s="88"/>
      <c r="K157" s="88"/>
      <c r="L157" s="88">
        <v>36</v>
      </c>
      <c r="M157" s="88"/>
      <c r="N157" s="86">
        <v>66</v>
      </c>
    </row>
    <row r="158" spans="1:14" x14ac:dyDescent="0.25">
      <c r="A158" s="81" t="s">
        <v>1211</v>
      </c>
      <c r="B158" s="82">
        <v>10</v>
      </c>
      <c r="C158" s="83">
        <v>11</v>
      </c>
      <c r="D158" s="88">
        <v>735</v>
      </c>
      <c r="E158" s="83">
        <v>735</v>
      </c>
      <c r="F158" s="88">
        <v>11</v>
      </c>
      <c r="G158" s="88"/>
      <c r="H158" s="88"/>
      <c r="I158" s="88">
        <v>2</v>
      </c>
      <c r="J158" s="88">
        <v>62</v>
      </c>
      <c r="K158" s="88"/>
      <c r="L158" s="88">
        <v>266</v>
      </c>
      <c r="M158" s="88">
        <v>7</v>
      </c>
      <c r="N158" s="86">
        <v>462</v>
      </c>
    </row>
    <row r="159" spans="1:14" x14ac:dyDescent="0.25">
      <c r="A159" s="81" t="s">
        <v>1641</v>
      </c>
      <c r="B159" s="82"/>
      <c r="C159" s="83">
        <v>1</v>
      </c>
      <c r="D159" s="88">
        <v>6</v>
      </c>
      <c r="E159" s="83">
        <v>8</v>
      </c>
      <c r="F159" s="88"/>
      <c r="G159" s="88"/>
      <c r="H159" s="88">
        <v>1</v>
      </c>
      <c r="I159" s="88">
        <v>1</v>
      </c>
      <c r="J159" s="88">
        <v>1</v>
      </c>
      <c r="K159" s="88"/>
      <c r="L159" s="88">
        <v>8</v>
      </c>
      <c r="M159" s="88"/>
      <c r="N159" s="86"/>
    </row>
    <row r="160" spans="1:14" x14ac:dyDescent="0.25">
      <c r="A160" s="81" t="s">
        <v>962</v>
      </c>
      <c r="B160" s="82"/>
      <c r="C160" s="83">
        <v>2</v>
      </c>
      <c r="D160" s="88">
        <v>32</v>
      </c>
      <c r="E160" s="83">
        <v>43</v>
      </c>
      <c r="F160" s="88">
        <v>2</v>
      </c>
      <c r="G160" s="88"/>
      <c r="H160" s="88"/>
      <c r="I160" s="88">
        <v>7</v>
      </c>
      <c r="J160" s="88"/>
      <c r="K160" s="88"/>
      <c r="L160" s="88">
        <v>9</v>
      </c>
      <c r="M160" s="88">
        <v>7</v>
      </c>
      <c r="N160" s="86">
        <v>27</v>
      </c>
    </row>
    <row r="161" spans="1:14" x14ac:dyDescent="0.25">
      <c r="A161" s="81" t="s">
        <v>964</v>
      </c>
      <c r="B161" s="82">
        <v>6</v>
      </c>
      <c r="C161" s="83">
        <v>17</v>
      </c>
      <c r="D161" s="88">
        <v>1255</v>
      </c>
      <c r="E161" s="83">
        <v>1265</v>
      </c>
      <c r="F161" s="88">
        <v>16</v>
      </c>
      <c r="G161" s="88"/>
      <c r="H161" s="88">
        <v>1</v>
      </c>
      <c r="I161" s="88">
        <v>3</v>
      </c>
      <c r="J161" s="88">
        <v>5</v>
      </c>
      <c r="K161" s="88">
        <v>1</v>
      </c>
      <c r="L161" s="88">
        <v>181</v>
      </c>
      <c r="M161" s="88">
        <v>137</v>
      </c>
      <c r="N161" s="86">
        <v>947</v>
      </c>
    </row>
    <row r="162" spans="1:14" x14ac:dyDescent="0.25">
      <c r="A162" s="81" t="s">
        <v>967</v>
      </c>
      <c r="B162" s="82">
        <v>1</v>
      </c>
      <c r="C162" s="83"/>
      <c r="D162" s="88">
        <v>10</v>
      </c>
      <c r="E162" s="83">
        <v>10</v>
      </c>
      <c r="F162" s="88"/>
      <c r="G162" s="88"/>
      <c r="H162" s="88"/>
      <c r="I162" s="88"/>
      <c r="J162" s="88"/>
      <c r="K162" s="88"/>
      <c r="L162" s="88">
        <v>1</v>
      </c>
      <c r="M162" s="88">
        <v>8</v>
      </c>
      <c r="N162" s="86">
        <v>1</v>
      </c>
    </row>
    <row r="163" spans="1:14" x14ac:dyDescent="0.25">
      <c r="A163" s="81" t="s">
        <v>970</v>
      </c>
      <c r="B163" s="82">
        <v>1</v>
      </c>
      <c r="C163" s="83"/>
      <c r="D163" s="88">
        <v>19</v>
      </c>
      <c r="E163" s="83">
        <v>20</v>
      </c>
      <c r="F163" s="88"/>
      <c r="G163" s="88"/>
      <c r="H163" s="88"/>
      <c r="I163" s="88"/>
      <c r="J163" s="88">
        <v>7</v>
      </c>
      <c r="K163" s="88"/>
      <c r="L163" s="88">
        <v>20</v>
      </c>
      <c r="M163" s="88"/>
      <c r="N163" s="86"/>
    </row>
    <row r="164" spans="1:14" x14ac:dyDescent="0.25">
      <c r="A164" s="81" t="s">
        <v>972</v>
      </c>
      <c r="B164" s="82">
        <v>1</v>
      </c>
      <c r="C164" s="83"/>
      <c r="D164" s="88">
        <v>138</v>
      </c>
      <c r="E164" s="83">
        <v>142</v>
      </c>
      <c r="F164" s="88"/>
      <c r="G164" s="88"/>
      <c r="H164" s="88"/>
      <c r="I164" s="88">
        <v>4</v>
      </c>
      <c r="J164" s="88">
        <v>2</v>
      </c>
      <c r="K164" s="88">
        <v>1</v>
      </c>
      <c r="L164" s="88">
        <v>76</v>
      </c>
      <c r="M164" s="88">
        <v>13</v>
      </c>
      <c r="N164" s="86">
        <v>53</v>
      </c>
    </row>
    <row r="165" spans="1:14" x14ac:dyDescent="0.25">
      <c r="A165" s="81" t="s">
        <v>327</v>
      </c>
      <c r="B165" s="82">
        <v>1</v>
      </c>
      <c r="C165" s="83">
        <v>2</v>
      </c>
      <c r="D165" s="88">
        <v>44</v>
      </c>
      <c r="E165" s="83">
        <v>47</v>
      </c>
      <c r="F165" s="88">
        <v>2</v>
      </c>
      <c r="G165" s="88"/>
      <c r="H165" s="88"/>
      <c r="I165" s="88">
        <v>2</v>
      </c>
      <c r="J165" s="88"/>
      <c r="K165" s="88"/>
      <c r="L165" s="88">
        <v>21</v>
      </c>
      <c r="M165" s="88">
        <v>5</v>
      </c>
      <c r="N165" s="86">
        <v>21</v>
      </c>
    </row>
    <row r="166" spans="1:14" x14ac:dyDescent="0.25">
      <c r="A166" s="81" t="s">
        <v>1632</v>
      </c>
      <c r="B166" s="82">
        <v>62</v>
      </c>
      <c r="C166" s="83">
        <v>54</v>
      </c>
      <c r="D166" s="88">
        <v>3700</v>
      </c>
      <c r="E166" s="83">
        <v>3724</v>
      </c>
      <c r="F166" s="88">
        <v>53</v>
      </c>
      <c r="G166" s="88"/>
      <c r="H166" s="88"/>
      <c r="I166" s="88">
        <v>20</v>
      </c>
      <c r="J166" s="88">
        <v>32</v>
      </c>
      <c r="K166" s="88">
        <v>2</v>
      </c>
      <c r="L166" s="88">
        <v>587</v>
      </c>
      <c r="M166" s="88">
        <v>497</v>
      </c>
      <c r="N166" s="86">
        <v>2640</v>
      </c>
    </row>
    <row r="167" spans="1:14" x14ac:dyDescent="0.25">
      <c r="A167" s="81" t="s">
        <v>330</v>
      </c>
      <c r="B167" s="82">
        <v>3</v>
      </c>
      <c r="C167" s="83">
        <v>6</v>
      </c>
      <c r="D167" s="88">
        <v>140</v>
      </c>
      <c r="E167" s="83">
        <v>146</v>
      </c>
      <c r="F167" s="88">
        <v>5</v>
      </c>
      <c r="G167" s="88">
        <v>1</v>
      </c>
      <c r="H167" s="88"/>
      <c r="I167" s="88"/>
      <c r="J167" s="88"/>
      <c r="K167" s="88">
        <v>1</v>
      </c>
      <c r="L167" s="88">
        <v>69</v>
      </c>
      <c r="M167" s="88">
        <v>10</v>
      </c>
      <c r="N167" s="86">
        <v>67</v>
      </c>
    </row>
    <row r="168" spans="1:14" x14ac:dyDescent="0.25">
      <c r="A168" s="81" t="s">
        <v>333</v>
      </c>
      <c r="B168" s="82">
        <v>1</v>
      </c>
      <c r="C168" s="83">
        <v>1</v>
      </c>
      <c r="D168" s="88">
        <v>45</v>
      </c>
      <c r="E168" s="83">
        <v>49</v>
      </c>
      <c r="F168" s="88">
        <v>1</v>
      </c>
      <c r="G168" s="88"/>
      <c r="H168" s="88"/>
      <c r="I168" s="88">
        <v>1</v>
      </c>
      <c r="J168" s="88"/>
      <c r="K168" s="88"/>
      <c r="L168" s="88">
        <v>20</v>
      </c>
      <c r="M168" s="88">
        <v>5</v>
      </c>
      <c r="N168" s="86">
        <v>24</v>
      </c>
    </row>
    <row r="169" spans="1:14" x14ac:dyDescent="0.25">
      <c r="A169" s="81" t="s">
        <v>1213</v>
      </c>
      <c r="B169" s="82">
        <v>1</v>
      </c>
      <c r="C169" s="83"/>
      <c r="D169" s="88">
        <v>15</v>
      </c>
      <c r="E169" s="83">
        <v>15</v>
      </c>
      <c r="F169" s="88"/>
      <c r="G169" s="88"/>
      <c r="H169" s="88"/>
      <c r="I169" s="88"/>
      <c r="J169" s="88"/>
      <c r="K169" s="88"/>
      <c r="L169" s="88">
        <v>15</v>
      </c>
      <c r="M169" s="88"/>
      <c r="N169" s="86"/>
    </row>
    <row r="170" spans="1:14" x14ac:dyDescent="0.25">
      <c r="A170" s="81" t="s">
        <v>1216</v>
      </c>
      <c r="B170" s="82"/>
      <c r="C170" s="83"/>
      <c r="D170" s="88">
        <v>82</v>
      </c>
      <c r="E170" s="83">
        <v>83</v>
      </c>
      <c r="F170" s="88"/>
      <c r="G170" s="88"/>
      <c r="H170" s="88"/>
      <c r="I170" s="88"/>
      <c r="J170" s="88"/>
      <c r="K170" s="88"/>
      <c r="L170" s="88">
        <v>23</v>
      </c>
      <c r="M170" s="88">
        <v>1</v>
      </c>
      <c r="N170" s="86">
        <v>59</v>
      </c>
    </row>
    <row r="171" spans="1:14" x14ac:dyDescent="0.25">
      <c r="A171" s="81" t="s">
        <v>656</v>
      </c>
      <c r="B171" s="82">
        <v>1</v>
      </c>
      <c r="C171" s="83">
        <v>3</v>
      </c>
      <c r="D171" s="88">
        <v>85</v>
      </c>
      <c r="E171" s="83">
        <v>88</v>
      </c>
      <c r="F171" s="88">
        <v>3</v>
      </c>
      <c r="G171" s="88"/>
      <c r="H171" s="88"/>
      <c r="I171" s="88"/>
      <c r="J171" s="88"/>
      <c r="K171" s="88"/>
      <c r="L171" s="88">
        <v>3</v>
      </c>
      <c r="M171" s="88">
        <v>53</v>
      </c>
      <c r="N171" s="86">
        <v>32</v>
      </c>
    </row>
    <row r="172" spans="1:14" x14ac:dyDescent="0.25">
      <c r="A172" s="81" t="s">
        <v>1617</v>
      </c>
      <c r="B172" s="82">
        <v>6</v>
      </c>
      <c r="C172" s="83">
        <v>5</v>
      </c>
      <c r="D172" s="88">
        <v>238</v>
      </c>
      <c r="E172" s="83">
        <v>236</v>
      </c>
      <c r="F172" s="88">
        <v>5</v>
      </c>
      <c r="G172" s="88"/>
      <c r="H172" s="88"/>
      <c r="I172" s="88"/>
      <c r="J172" s="88">
        <v>1</v>
      </c>
      <c r="K172" s="88">
        <v>1</v>
      </c>
      <c r="L172" s="88">
        <v>79</v>
      </c>
      <c r="M172" s="88">
        <v>12</v>
      </c>
      <c r="N172" s="86">
        <v>145</v>
      </c>
    </row>
    <row r="173" spans="1:14" x14ac:dyDescent="0.25">
      <c r="A173" s="81" t="s">
        <v>976</v>
      </c>
      <c r="B173" s="82">
        <v>3</v>
      </c>
      <c r="C173" s="83"/>
      <c r="D173" s="88">
        <v>19</v>
      </c>
      <c r="E173" s="83">
        <v>40</v>
      </c>
      <c r="F173" s="88"/>
      <c r="G173" s="88"/>
      <c r="H173" s="88"/>
      <c r="I173" s="88">
        <v>21</v>
      </c>
      <c r="J173" s="88"/>
      <c r="K173" s="88"/>
      <c r="L173" s="88">
        <v>37</v>
      </c>
      <c r="M173" s="88">
        <v>3</v>
      </c>
      <c r="N173" s="86"/>
    </row>
    <row r="174" spans="1:14" x14ac:dyDescent="0.25">
      <c r="A174" s="81" t="s">
        <v>1551</v>
      </c>
      <c r="B174" s="82">
        <v>4</v>
      </c>
      <c r="C174" s="83">
        <v>5</v>
      </c>
      <c r="D174" s="88">
        <v>1004</v>
      </c>
      <c r="E174" s="83">
        <v>1005</v>
      </c>
      <c r="F174" s="88">
        <v>5</v>
      </c>
      <c r="G174" s="88"/>
      <c r="H174" s="88"/>
      <c r="I174" s="88">
        <v>1</v>
      </c>
      <c r="J174" s="88">
        <v>5</v>
      </c>
      <c r="K174" s="88">
        <v>3</v>
      </c>
      <c r="L174" s="88">
        <v>109</v>
      </c>
      <c r="M174" s="88">
        <v>13</v>
      </c>
      <c r="N174" s="86">
        <v>883</v>
      </c>
    </row>
    <row r="175" spans="1:14" x14ac:dyDescent="0.25">
      <c r="A175" s="81" t="s">
        <v>1221</v>
      </c>
      <c r="B175" s="82"/>
      <c r="C175" s="83"/>
      <c r="D175" s="88">
        <v>29</v>
      </c>
      <c r="E175" s="83">
        <v>31</v>
      </c>
      <c r="F175" s="88"/>
      <c r="G175" s="88"/>
      <c r="H175" s="88"/>
      <c r="I175" s="88"/>
      <c r="J175" s="88"/>
      <c r="K175" s="88">
        <v>1</v>
      </c>
      <c r="L175" s="88">
        <v>23</v>
      </c>
      <c r="M175" s="88">
        <v>4</v>
      </c>
      <c r="N175" s="86">
        <v>4</v>
      </c>
    </row>
    <row r="176" spans="1:14" x14ac:dyDescent="0.25">
      <c r="A176" s="81" t="s">
        <v>339</v>
      </c>
      <c r="B176" s="82"/>
      <c r="C176" s="83">
        <v>1</v>
      </c>
      <c r="D176" s="88">
        <v>59</v>
      </c>
      <c r="E176" s="83">
        <v>60</v>
      </c>
      <c r="F176" s="88"/>
      <c r="G176" s="88">
        <v>1</v>
      </c>
      <c r="H176" s="88"/>
      <c r="I176" s="88">
        <v>1</v>
      </c>
      <c r="J176" s="88"/>
      <c r="K176" s="88"/>
      <c r="L176" s="88">
        <v>26</v>
      </c>
      <c r="M176" s="88">
        <v>5</v>
      </c>
      <c r="N176" s="86">
        <v>29</v>
      </c>
    </row>
    <row r="177" spans="1:14" x14ac:dyDescent="0.25">
      <c r="A177" s="81" t="s">
        <v>982</v>
      </c>
      <c r="B177" s="82"/>
      <c r="C177" s="83">
        <v>2</v>
      </c>
      <c r="D177" s="88">
        <v>235</v>
      </c>
      <c r="E177" s="83">
        <v>236</v>
      </c>
      <c r="F177" s="88">
        <v>1</v>
      </c>
      <c r="G177" s="88">
        <v>1</v>
      </c>
      <c r="H177" s="88"/>
      <c r="I177" s="88">
        <v>2</v>
      </c>
      <c r="J177" s="88">
        <v>1</v>
      </c>
      <c r="K177" s="88"/>
      <c r="L177" s="88">
        <v>46</v>
      </c>
      <c r="M177" s="88">
        <v>9</v>
      </c>
      <c r="N177" s="86">
        <v>181</v>
      </c>
    </row>
    <row r="178" spans="1:14" x14ac:dyDescent="0.25">
      <c r="A178" s="81" t="s">
        <v>1224</v>
      </c>
      <c r="B178" s="82">
        <v>4</v>
      </c>
      <c r="C178" s="83">
        <v>10</v>
      </c>
      <c r="D178" s="88">
        <v>317</v>
      </c>
      <c r="E178" s="83">
        <v>323</v>
      </c>
      <c r="F178" s="88">
        <v>10</v>
      </c>
      <c r="G178" s="88"/>
      <c r="H178" s="88"/>
      <c r="I178" s="88"/>
      <c r="J178" s="88"/>
      <c r="K178" s="88"/>
      <c r="L178" s="88">
        <v>55</v>
      </c>
      <c r="M178" s="88">
        <v>53</v>
      </c>
      <c r="N178" s="86">
        <v>215</v>
      </c>
    </row>
    <row r="179" spans="1:14" x14ac:dyDescent="0.25">
      <c r="A179" s="81" t="s">
        <v>665</v>
      </c>
      <c r="B179" s="82">
        <v>2</v>
      </c>
      <c r="C179" s="83">
        <v>3</v>
      </c>
      <c r="D179" s="88">
        <v>392</v>
      </c>
      <c r="E179" s="83">
        <v>396</v>
      </c>
      <c r="F179" s="88">
        <v>3</v>
      </c>
      <c r="G179" s="88"/>
      <c r="H179" s="88"/>
      <c r="I179" s="88">
        <v>1</v>
      </c>
      <c r="J179" s="88">
        <v>7</v>
      </c>
      <c r="K179" s="88"/>
      <c r="L179" s="88">
        <v>85</v>
      </c>
      <c r="M179" s="88">
        <v>91</v>
      </c>
      <c r="N179" s="86">
        <v>220</v>
      </c>
    </row>
    <row r="180" spans="1:14" x14ac:dyDescent="0.25">
      <c r="A180" s="81" t="s">
        <v>1598</v>
      </c>
      <c r="B180" s="82">
        <v>23</v>
      </c>
      <c r="C180" s="83">
        <v>17</v>
      </c>
      <c r="D180" s="88">
        <v>3664</v>
      </c>
      <c r="E180" s="83">
        <v>3663</v>
      </c>
      <c r="F180" s="88">
        <v>15</v>
      </c>
      <c r="G180" s="88">
        <v>1</v>
      </c>
      <c r="H180" s="88">
        <v>1</v>
      </c>
      <c r="I180" s="88">
        <v>12</v>
      </c>
      <c r="J180" s="88">
        <v>13</v>
      </c>
      <c r="K180" s="88">
        <v>5</v>
      </c>
      <c r="L180" s="88">
        <v>635</v>
      </c>
      <c r="M180" s="88">
        <v>282</v>
      </c>
      <c r="N180" s="86">
        <v>2746</v>
      </c>
    </row>
    <row r="181" spans="1:14" x14ac:dyDescent="0.25">
      <c r="A181" s="81" t="s">
        <v>671</v>
      </c>
      <c r="B181" s="82">
        <v>1</v>
      </c>
      <c r="C181" s="83">
        <v>2</v>
      </c>
      <c r="D181" s="88">
        <v>27</v>
      </c>
      <c r="E181" s="83">
        <v>26</v>
      </c>
      <c r="F181" s="88">
        <v>2</v>
      </c>
      <c r="G181" s="88"/>
      <c r="H181" s="88"/>
      <c r="I181" s="88"/>
      <c r="J181" s="88"/>
      <c r="K181" s="88"/>
      <c r="L181" s="88">
        <v>25</v>
      </c>
      <c r="M181" s="88"/>
      <c r="N181" s="86">
        <v>1</v>
      </c>
    </row>
    <row r="182" spans="1:14" x14ac:dyDescent="0.25">
      <c r="A182" s="81" t="s">
        <v>674</v>
      </c>
      <c r="B182" s="82"/>
      <c r="C182" s="83">
        <v>2</v>
      </c>
      <c r="D182" s="88">
        <v>118</v>
      </c>
      <c r="E182" s="83">
        <v>124</v>
      </c>
      <c r="F182" s="88">
        <v>1</v>
      </c>
      <c r="G182" s="88">
        <v>1</v>
      </c>
      <c r="H182" s="88"/>
      <c r="I182" s="88">
        <v>1</v>
      </c>
      <c r="J182" s="88">
        <v>2</v>
      </c>
      <c r="K182" s="88"/>
      <c r="L182" s="88">
        <v>48</v>
      </c>
      <c r="M182" s="88">
        <v>3</v>
      </c>
      <c r="N182" s="86">
        <v>73</v>
      </c>
    </row>
    <row r="183" spans="1:14" x14ac:dyDescent="0.25">
      <c r="A183" s="81" t="s">
        <v>342</v>
      </c>
      <c r="B183" s="82"/>
      <c r="C183" s="83">
        <v>2</v>
      </c>
      <c r="D183" s="88">
        <v>201</v>
      </c>
      <c r="E183" s="83">
        <v>204</v>
      </c>
      <c r="F183" s="88">
        <v>1</v>
      </c>
      <c r="G183" s="88"/>
      <c r="H183" s="88">
        <v>1</v>
      </c>
      <c r="I183" s="88"/>
      <c r="J183" s="88"/>
      <c r="K183" s="88"/>
      <c r="L183" s="88">
        <v>55</v>
      </c>
      <c r="M183" s="88">
        <v>23</v>
      </c>
      <c r="N183" s="86">
        <v>126</v>
      </c>
    </row>
    <row r="184" spans="1:14" x14ac:dyDescent="0.25">
      <c r="A184" s="81" t="s">
        <v>1603</v>
      </c>
      <c r="B184" s="82">
        <v>6</v>
      </c>
      <c r="C184" s="83">
        <v>5</v>
      </c>
      <c r="D184" s="88">
        <v>430</v>
      </c>
      <c r="E184" s="83">
        <v>425</v>
      </c>
      <c r="F184" s="88">
        <v>4</v>
      </c>
      <c r="G184" s="88"/>
      <c r="H184" s="88">
        <v>1</v>
      </c>
      <c r="I184" s="88">
        <v>1</v>
      </c>
      <c r="J184" s="88">
        <v>5</v>
      </c>
      <c r="K184" s="88">
        <v>1</v>
      </c>
      <c r="L184" s="88">
        <v>150</v>
      </c>
      <c r="M184" s="88">
        <v>60</v>
      </c>
      <c r="N184" s="86">
        <v>215</v>
      </c>
    </row>
    <row r="185" spans="1:14" x14ac:dyDescent="0.25">
      <c r="A185" s="81" t="s">
        <v>345</v>
      </c>
      <c r="B185" s="82">
        <v>1</v>
      </c>
      <c r="C185" s="83">
        <v>1</v>
      </c>
      <c r="D185" s="88">
        <v>151</v>
      </c>
      <c r="E185" s="83">
        <v>155</v>
      </c>
      <c r="F185" s="88">
        <v>1</v>
      </c>
      <c r="G185" s="88"/>
      <c r="H185" s="88"/>
      <c r="I185" s="88"/>
      <c r="J185" s="88"/>
      <c r="K185" s="88"/>
      <c r="L185" s="88">
        <v>81</v>
      </c>
      <c r="M185" s="88">
        <v>15</v>
      </c>
      <c r="N185" s="86">
        <v>59</v>
      </c>
    </row>
    <row r="186" spans="1:14" x14ac:dyDescent="0.25">
      <c r="A186" s="81" t="s">
        <v>1613</v>
      </c>
      <c r="B186" s="82">
        <v>1</v>
      </c>
      <c r="C186" s="83">
        <v>2</v>
      </c>
      <c r="D186" s="88">
        <v>68</v>
      </c>
      <c r="E186" s="83">
        <v>70</v>
      </c>
      <c r="F186" s="88">
        <v>2</v>
      </c>
      <c r="G186" s="88"/>
      <c r="H186" s="88"/>
      <c r="I186" s="88"/>
      <c r="J186" s="88">
        <v>5</v>
      </c>
      <c r="K186" s="88"/>
      <c r="L186" s="88">
        <v>38</v>
      </c>
      <c r="M186" s="88">
        <v>4</v>
      </c>
      <c r="N186" s="86">
        <v>28</v>
      </c>
    </row>
    <row r="187" spans="1:14" x14ac:dyDescent="0.25">
      <c r="A187" s="81" t="s">
        <v>1614</v>
      </c>
      <c r="B187" s="82">
        <v>13</v>
      </c>
      <c r="C187" s="83">
        <v>13</v>
      </c>
      <c r="D187" s="88">
        <v>1565</v>
      </c>
      <c r="E187" s="83">
        <v>1560</v>
      </c>
      <c r="F187" s="88">
        <v>13</v>
      </c>
      <c r="G187" s="88"/>
      <c r="H187" s="88"/>
      <c r="I187" s="88">
        <v>5</v>
      </c>
      <c r="J187" s="88">
        <v>16</v>
      </c>
      <c r="K187" s="88">
        <v>1</v>
      </c>
      <c r="L187" s="88">
        <v>407</v>
      </c>
      <c r="M187" s="88">
        <v>36</v>
      </c>
      <c r="N187" s="86">
        <v>1117</v>
      </c>
    </row>
    <row r="188" spans="1:14" x14ac:dyDescent="0.25">
      <c r="A188" s="81" t="s">
        <v>677</v>
      </c>
      <c r="B188" s="82"/>
      <c r="C188" s="83">
        <v>1</v>
      </c>
      <c r="D188" s="88">
        <v>24</v>
      </c>
      <c r="E188" s="83">
        <v>17</v>
      </c>
      <c r="F188" s="88">
        <v>1</v>
      </c>
      <c r="G188" s="88"/>
      <c r="H188" s="88"/>
      <c r="I188" s="88"/>
      <c r="J188" s="88"/>
      <c r="K188" s="88"/>
      <c r="L188" s="88">
        <v>3</v>
      </c>
      <c r="M188" s="88">
        <v>1</v>
      </c>
      <c r="N188" s="86">
        <v>13</v>
      </c>
    </row>
    <row r="189" spans="1:14" x14ac:dyDescent="0.25">
      <c r="A189" s="81" t="s">
        <v>680</v>
      </c>
      <c r="B189" s="82">
        <v>4</v>
      </c>
      <c r="C189" s="83">
        <v>7</v>
      </c>
      <c r="D189" s="88">
        <v>63</v>
      </c>
      <c r="E189" s="83">
        <v>67</v>
      </c>
      <c r="F189" s="88">
        <v>7</v>
      </c>
      <c r="G189" s="88"/>
      <c r="H189" s="88"/>
      <c r="I189" s="88"/>
      <c r="J189" s="88">
        <v>1</v>
      </c>
      <c r="K189" s="88"/>
      <c r="L189" s="88">
        <v>39</v>
      </c>
      <c r="M189" s="88"/>
      <c r="N189" s="86">
        <v>28</v>
      </c>
    </row>
    <row r="190" spans="1:14" x14ac:dyDescent="0.25">
      <c r="A190" s="81" t="s">
        <v>1584</v>
      </c>
      <c r="B190" s="82">
        <v>8</v>
      </c>
      <c r="C190" s="83">
        <v>14</v>
      </c>
      <c r="D190" s="88">
        <v>1451</v>
      </c>
      <c r="E190" s="83">
        <v>1444</v>
      </c>
      <c r="F190" s="88">
        <v>14</v>
      </c>
      <c r="G190" s="88"/>
      <c r="H190" s="88"/>
      <c r="I190" s="88">
        <v>3</v>
      </c>
      <c r="J190" s="88">
        <v>25</v>
      </c>
      <c r="K190" s="88">
        <v>4</v>
      </c>
      <c r="L190" s="88">
        <v>257</v>
      </c>
      <c r="M190" s="88">
        <v>6</v>
      </c>
      <c r="N190" s="86">
        <v>1181</v>
      </c>
    </row>
    <row r="191" spans="1:14" x14ac:dyDescent="0.25">
      <c r="A191" s="81" t="s">
        <v>1643</v>
      </c>
      <c r="B191" s="82">
        <v>35</v>
      </c>
      <c r="C191" s="83">
        <v>7</v>
      </c>
      <c r="D191" s="88">
        <v>957</v>
      </c>
      <c r="E191" s="83">
        <v>953</v>
      </c>
      <c r="F191" s="88">
        <v>7</v>
      </c>
      <c r="G191" s="88"/>
      <c r="H191" s="88"/>
      <c r="I191" s="88">
        <v>2</v>
      </c>
      <c r="J191" s="88">
        <v>35</v>
      </c>
      <c r="K191" s="88">
        <v>2</v>
      </c>
      <c r="L191" s="88">
        <v>346</v>
      </c>
      <c r="M191" s="88">
        <v>71</v>
      </c>
      <c r="N191" s="86">
        <v>536</v>
      </c>
    </row>
    <row r="192" spans="1:14" x14ac:dyDescent="0.25">
      <c r="A192" s="81" t="s">
        <v>1559</v>
      </c>
      <c r="B192" s="82">
        <v>9</v>
      </c>
      <c r="C192" s="83">
        <v>16</v>
      </c>
      <c r="D192" s="88">
        <v>588</v>
      </c>
      <c r="E192" s="83">
        <v>620</v>
      </c>
      <c r="F192" s="88">
        <v>16</v>
      </c>
      <c r="G192" s="88"/>
      <c r="H192" s="88"/>
      <c r="I192" s="88">
        <v>1</v>
      </c>
      <c r="J192" s="88">
        <v>3</v>
      </c>
      <c r="K192" s="88">
        <v>1</v>
      </c>
      <c r="L192" s="88">
        <v>152</v>
      </c>
      <c r="M192" s="88">
        <v>45</v>
      </c>
      <c r="N192" s="86">
        <v>423</v>
      </c>
    </row>
    <row r="193" spans="1:14" x14ac:dyDescent="0.25">
      <c r="A193" s="81" t="s">
        <v>689</v>
      </c>
      <c r="B193" s="82"/>
      <c r="C193" s="83"/>
      <c r="D193" s="88">
        <v>4</v>
      </c>
      <c r="E193" s="83">
        <v>14</v>
      </c>
      <c r="F193" s="88"/>
      <c r="G193" s="88"/>
      <c r="H193" s="88"/>
      <c r="I193" s="88"/>
      <c r="J193" s="88"/>
      <c r="K193" s="88"/>
      <c r="L193" s="88">
        <v>14</v>
      </c>
      <c r="M193" s="88"/>
      <c r="N193" s="86"/>
    </row>
    <row r="194" spans="1:14" x14ac:dyDescent="0.25">
      <c r="A194" s="81" t="s">
        <v>351</v>
      </c>
      <c r="B194" s="82"/>
      <c r="C194" s="83"/>
      <c r="D194" s="88">
        <v>22</v>
      </c>
      <c r="E194" s="83">
        <v>21</v>
      </c>
      <c r="F194" s="88"/>
      <c r="G194" s="88"/>
      <c r="H194" s="88"/>
      <c r="I194" s="88"/>
      <c r="J194" s="88"/>
      <c r="K194" s="88"/>
      <c r="L194" s="88">
        <v>17</v>
      </c>
      <c r="M194" s="88">
        <v>2</v>
      </c>
      <c r="N194" s="86">
        <v>2</v>
      </c>
    </row>
    <row r="195" spans="1:14" x14ac:dyDescent="0.25">
      <c r="A195" s="81" t="s">
        <v>691</v>
      </c>
      <c r="B195" s="82"/>
      <c r="C195" s="83">
        <v>1</v>
      </c>
      <c r="D195" s="88">
        <v>33</v>
      </c>
      <c r="E195" s="83">
        <v>34</v>
      </c>
      <c r="F195" s="88">
        <v>1</v>
      </c>
      <c r="G195" s="88"/>
      <c r="H195" s="88"/>
      <c r="I195" s="88"/>
      <c r="J195" s="88"/>
      <c r="K195" s="88"/>
      <c r="L195" s="88">
        <v>28</v>
      </c>
      <c r="M195" s="88">
        <v>2</v>
      </c>
      <c r="N195" s="86">
        <v>4</v>
      </c>
    </row>
    <row r="196" spans="1:14" x14ac:dyDescent="0.25">
      <c r="A196" s="81" t="s">
        <v>694</v>
      </c>
      <c r="B196" s="82">
        <v>12</v>
      </c>
      <c r="C196" s="83">
        <v>11</v>
      </c>
      <c r="D196" s="88">
        <v>665</v>
      </c>
      <c r="E196" s="83">
        <v>672</v>
      </c>
      <c r="F196" s="88">
        <v>11</v>
      </c>
      <c r="G196" s="88"/>
      <c r="H196" s="88"/>
      <c r="I196" s="88">
        <v>2</v>
      </c>
      <c r="J196" s="88">
        <v>6</v>
      </c>
      <c r="K196" s="88">
        <v>4</v>
      </c>
      <c r="L196" s="88">
        <v>107</v>
      </c>
      <c r="M196" s="88">
        <v>129</v>
      </c>
      <c r="N196" s="86">
        <v>436</v>
      </c>
    </row>
    <row r="197" spans="1:14" x14ac:dyDescent="0.25">
      <c r="A197" s="81" t="s">
        <v>697</v>
      </c>
      <c r="B197" s="82">
        <v>20</v>
      </c>
      <c r="C197" s="83">
        <v>15</v>
      </c>
      <c r="D197" s="88">
        <v>708</v>
      </c>
      <c r="E197" s="83">
        <v>715</v>
      </c>
      <c r="F197" s="88">
        <v>14</v>
      </c>
      <c r="G197" s="88"/>
      <c r="H197" s="88">
        <v>1</v>
      </c>
      <c r="I197" s="88">
        <v>1</v>
      </c>
      <c r="J197" s="88">
        <v>1</v>
      </c>
      <c r="K197" s="88">
        <v>1</v>
      </c>
      <c r="L197" s="88">
        <v>203</v>
      </c>
      <c r="M197" s="88">
        <v>69</v>
      </c>
      <c r="N197" s="86">
        <v>443</v>
      </c>
    </row>
    <row r="198" spans="1:14" x14ac:dyDescent="0.25">
      <c r="A198" s="81" t="s">
        <v>700</v>
      </c>
      <c r="B198" s="82">
        <v>4</v>
      </c>
      <c r="C198" s="83">
        <v>5</v>
      </c>
      <c r="D198" s="88">
        <v>266</v>
      </c>
      <c r="E198" s="83">
        <v>270</v>
      </c>
      <c r="F198" s="88">
        <v>5</v>
      </c>
      <c r="G198" s="88"/>
      <c r="H198" s="88"/>
      <c r="I198" s="88">
        <v>1</v>
      </c>
      <c r="J198" s="88">
        <v>5</v>
      </c>
      <c r="K198" s="88">
        <v>1</v>
      </c>
      <c r="L198" s="88">
        <v>41</v>
      </c>
      <c r="M198" s="88">
        <v>33</v>
      </c>
      <c r="N198" s="86">
        <v>196</v>
      </c>
    </row>
    <row r="199" spans="1:14" x14ac:dyDescent="0.25">
      <c r="A199" s="81" t="s">
        <v>354</v>
      </c>
      <c r="B199" s="82">
        <v>3</v>
      </c>
      <c r="C199" s="83">
        <v>7</v>
      </c>
      <c r="D199" s="88">
        <v>162</v>
      </c>
      <c r="E199" s="83">
        <v>166</v>
      </c>
      <c r="F199" s="88">
        <v>6</v>
      </c>
      <c r="G199" s="88">
        <v>1</v>
      </c>
      <c r="H199" s="88"/>
      <c r="I199" s="88"/>
      <c r="J199" s="88"/>
      <c r="K199" s="88"/>
      <c r="L199" s="88">
        <v>49</v>
      </c>
      <c r="M199" s="88">
        <v>29</v>
      </c>
      <c r="N199" s="86">
        <v>88</v>
      </c>
    </row>
    <row r="200" spans="1:14" x14ac:dyDescent="0.25">
      <c r="A200" s="81" t="s">
        <v>703</v>
      </c>
      <c r="B200" s="82"/>
      <c r="C200" s="83">
        <v>4</v>
      </c>
      <c r="D200" s="88">
        <v>14</v>
      </c>
      <c r="E200" s="83">
        <v>19</v>
      </c>
      <c r="F200" s="88">
        <v>4</v>
      </c>
      <c r="G200" s="88"/>
      <c r="H200" s="88"/>
      <c r="I200" s="88">
        <v>1</v>
      </c>
      <c r="J200" s="88"/>
      <c r="K200" s="88"/>
      <c r="L200" s="88">
        <v>10</v>
      </c>
      <c r="M200" s="88">
        <v>5</v>
      </c>
      <c r="N200" s="86">
        <v>4</v>
      </c>
    </row>
    <row r="201" spans="1:14" x14ac:dyDescent="0.25">
      <c r="A201" s="81" t="s">
        <v>1629</v>
      </c>
      <c r="B201" s="82">
        <v>2</v>
      </c>
      <c r="C201" s="83">
        <v>6</v>
      </c>
      <c r="D201" s="88">
        <v>290</v>
      </c>
      <c r="E201" s="83">
        <v>297</v>
      </c>
      <c r="F201" s="88">
        <v>6</v>
      </c>
      <c r="G201" s="88"/>
      <c r="H201" s="88"/>
      <c r="I201" s="88">
        <v>1</v>
      </c>
      <c r="J201" s="88">
        <v>4</v>
      </c>
      <c r="K201" s="88"/>
      <c r="L201" s="88">
        <v>61</v>
      </c>
      <c r="M201" s="88">
        <v>17</v>
      </c>
      <c r="N201" s="86">
        <v>219</v>
      </c>
    </row>
    <row r="202" spans="1:14" x14ac:dyDescent="0.25">
      <c r="A202" s="81" t="s">
        <v>987</v>
      </c>
      <c r="B202" s="82">
        <v>3</v>
      </c>
      <c r="C202" s="83">
        <v>2</v>
      </c>
      <c r="D202" s="88">
        <v>68</v>
      </c>
      <c r="E202" s="83">
        <v>84</v>
      </c>
      <c r="F202" s="88">
        <v>2</v>
      </c>
      <c r="G202" s="88"/>
      <c r="H202" s="88"/>
      <c r="I202" s="88">
        <v>17</v>
      </c>
      <c r="J202" s="88"/>
      <c r="K202" s="88"/>
      <c r="L202" s="88">
        <v>10</v>
      </c>
      <c r="M202" s="88">
        <v>12</v>
      </c>
      <c r="N202" s="86">
        <v>62</v>
      </c>
    </row>
    <row r="203" spans="1:14" x14ac:dyDescent="0.25">
      <c r="A203" s="81" t="s">
        <v>706</v>
      </c>
      <c r="B203" s="82">
        <v>4</v>
      </c>
      <c r="C203" s="83">
        <v>3</v>
      </c>
      <c r="D203" s="88">
        <v>19</v>
      </c>
      <c r="E203" s="83">
        <v>22</v>
      </c>
      <c r="F203" s="88">
        <v>3</v>
      </c>
      <c r="G203" s="88"/>
      <c r="H203" s="88"/>
      <c r="I203" s="88">
        <v>1</v>
      </c>
      <c r="J203" s="88"/>
      <c r="K203" s="88"/>
      <c r="L203" s="88">
        <v>20</v>
      </c>
      <c r="M203" s="88">
        <v>2</v>
      </c>
      <c r="N203" s="86"/>
    </row>
    <row r="204" spans="1:14" x14ac:dyDescent="0.25">
      <c r="A204" s="81" t="s">
        <v>708</v>
      </c>
      <c r="B204" s="82"/>
      <c r="C204" s="83"/>
      <c r="D204" s="88">
        <v>29</v>
      </c>
      <c r="E204" s="83">
        <v>30</v>
      </c>
      <c r="F204" s="88"/>
      <c r="G204" s="88"/>
      <c r="H204" s="88"/>
      <c r="I204" s="88"/>
      <c r="J204" s="88"/>
      <c r="K204" s="88"/>
      <c r="L204" s="88">
        <v>14</v>
      </c>
      <c r="M204" s="88">
        <v>7</v>
      </c>
      <c r="N204" s="86">
        <v>9</v>
      </c>
    </row>
    <row r="205" spans="1:14" x14ac:dyDescent="0.25">
      <c r="A205" s="81" t="s">
        <v>710</v>
      </c>
      <c r="B205" s="82">
        <v>1</v>
      </c>
      <c r="C205" s="83"/>
      <c r="D205" s="88">
        <v>22</v>
      </c>
      <c r="E205" s="83">
        <v>21</v>
      </c>
      <c r="F205" s="88"/>
      <c r="G205" s="88"/>
      <c r="H205" s="88"/>
      <c r="I205" s="88"/>
      <c r="J205" s="88">
        <v>1</v>
      </c>
      <c r="K205" s="88"/>
      <c r="L205" s="88">
        <v>13</v>
      </c>
      <c r="M205" s="88">
        <v>8</v>
      </c>
      <c r="N205" s="86"/>
    </row>
    <row r="206" spans="1:14" x14ac:dyDescent="0.25">
      <c r="A206" s="81" t="s">
        <v>1616</v>
      </c>
      <c r="B206" s="82">
        <v>21</v>
      </c>
      <c r="C206" s="83">
        <v>17</v>
      </c>
      <c r="D206" s="88">
        <v>1547</v>
      </c>
      <c r="E206" s="83">
        <v>1548</v>
      </c>
      <c r="F206" s="88">
        <v>17</v>
      </c>
      <c r="G206" s="88"/>
      <c r="H206" s="88"/>
      <c r="I206" s="88">
        <v>3</v>
      </c>
      <c r="J206" s="88">
        <v>12</v>
      </c>
      <c r="K206" s="88">
        <v>2</v>
      </c>
      <c r="L206" s="88">
        <v>210</v>
      </c>
      <c r="M206" s="88">
        <v>66</v>
      </c>
      <c r="N206" s="86">
        <v>1272</v>
      </c>
    </row>
    <row r="207" spans="1:14" x14ac:dyDescent="0.25">
      <c r="A207" s="81" t="s">
        <v>716</v>
      </c>
      <c r="B207" s="82">
        <v>10</v>
      </c>
      <c r="C207" s="83">
        <v>16</v>
      </c>
      <c r="D207" s="88">
        <v>621</v>
      </c>
      <c r="E207" s="83">
        <v>642</v>
      </c>
      <c r="F207" s="88">
        <v>16</v>
      </c>
      <c r="G207" s="88"/>
      <c r="H207" s="88"/>
      <c r="I207" s="88">
        <v>1</v>
      </c>
      <c r="J207" s="88">
        <v>3</v>
      </c>
      <c r="K207" s="88"/>
      <c r="L207" s="88">
        <v>200</v>
      </c>
      <c r="M207" s="88">
        <v>126</v>
      </c>
      <c r="N207" s="86">
        <v>316</v>
      </c>
    </row>
    <row r="208" spans="1:14" x14ac:dyDescent="0.25">
      <c r="A208" s="81" t="s">
        <v>719</v>
      </c>
      <c r="B208" s="82">
        <v>4</v>
      </c>
      <c r="C208" s="83">
        <v>9</v>
      </c>
      <c r="D208" s="88">
        <v>187</v>
      </c>
      <c r="E208" s="83">
        <v>194</v>
      </c>
      <c r="F208" s="88">
        <v>9</v>
      </c>
      <c r="G208" s="88"/>
      <c r="H208" s="88"/>
      <c r="I208" s="88"/>
      <c r="J208" s="88"/>
      <c r="K208" s="88"/>
      <c r="L208" s="88">
        <v>47</v>
      </c>
      <c r="M208" s="88">
        <v>17</v>
      </c>
      <c r="N208" s="86">
        <v>130</v>
      </c>
    </row>
    <row r="209" spans="1:14" x14ac:dyDescent="0.25">
      <c r="A209" s="81" t="s">
        <v>990</v>
      </c>
      <c r="B209" s="82">
        <v>4</v>
      </c>
      <c r="C209" s="83">
        <v>14</v>
      </c>
      <c r="D209" s="88">
        <v>107</v>
      </c>
      <c r="E209" s="83">
        <v>120</v>
      </c>
      <c r="F209" s="88">
        <v>13</v>
      </c>
      <c r="G209" s="88"/>
      <c r="H209" s="88">
        <v>1</v>
      </c>
      <c r="I209" s="88">
        <v>3</v>
      </c>
      <c r="J209" s="88"/>
      <c r="K209" s="88"/>
      <c r="L209" s="88">
        <v>47</v>
      </c>
      <c r="M209" s="88">
        <v>14</v>
      </c>
      <c r="N209" s="86">
        <v>59</v>
      </c>
    </row>
    <row r="210" spans="1:14" x14ac:dyDescent="0.25">
      <c r="A210" s="81" t="s">
        <v>725</v>
      </c>
      <c r="B210" s="82"/>
      <c r="C210" s="83"/>
      <c r="D210" s="88"/>
      <c r="E210" s="83">
        <v>6</v>
      </c>
      <c r="F210" s="88"/>
      <c r="G210" s="88"/>
      <c r="H210" s="88"/>
      <c r="I210" s="88"/>
      <c r="J210" s="88"/>
      <c r="K210" s="88"/>
      <c r="L210" s="88"/>
      <c r="M210" s="88">
        <v>6</v>
      </c>
      <c r="N210" s="86"/>
    </row>
    <row r="211" spans="1:14" x14ac:dyDescent="0.25">
      <c r="A211" s="81" t="s">
        <v>1233</v>
      </c>
      <c r="B211" s="82"/>
      <c r="C211" s="83">
        <v>1</v>
      </c>
      <c r="D211" s="88">
        <v>79</v>
      </c>
      <c r="E211" s="83">
        <v>77</v>
      </c>
      <c r="F211" s="88">
        <v>1</v>
      </c>
      <c r="G211" s="88"/>
      <c r="H211" s="88"/>
      <c r="I211" s="88"/>
      <c r="J211" s="88">
        <v>1</v>
      </c>
      <c r="K211" s="88">
        <v>1</v>
      </c>
      <c r="L211" s="88">
        <v>9</v>
      </c>
      <c r="M211" s="88">
        <v>2</v>
      </c>
      <c r="N211" s="86">
        <v>66</v>
      </c>
    </row>
    <row r="212" spans="1:14" x14ac:dyDescent="0.25">
      <c r="A212" s="81" t="s">
        <v>1574</v>
      </c>
      <c r="B212" s="82">
        <v>16</v>
      </c>
      <c r="C212" s="83">
        <v>18</v>
      </c>
      <c r="D212" s="88">
        <v>2170</v>
      </c>
      <c r="E212" s="83">
        <v>2160</v>
      </c>
      <c r="F212" s="88">
        <v>11</v>
      </c>
      <c r="G212" s="88">
        <v>3</v>
      </c>
      <c r="H212" s="88">
        <v>4</v>
      </c>
      <c r="I212" s="88">
        <v>9</v>
      </c>
      <c r="J212" s="88">
        <v>7</v>
      </c>
      <c r="K212" s="88">
        <v>7</v>
      </c>
      <c r="L212" s="88">
        <v>491</v>
      </c>
      <c r="M212" s="88">
        <v>80</v>
      </c>
      <c r="N212" s="86">
        <v>1589</v>
      </c>
    </row>
    <row r="213" spans="1:14" x14ac:dyDescent="0.25">
      <c r="A213" s="81" t="s">
        <v>992</v>
      </c>
      <c r="B213" s="82"/>
      <c r="C213" s="83"/>
      <c r="D213" s="88">
        <v>19</v>
      </c>
      <c r="E213" s="83">
        <v>19</v>
      </c>
      <c r="F213" s="88"/>
      <c r="G213" s="88"/>
      <c r="H213" s="88"/>
      <c r="I213" s="88"/>
      <c r="J213" s="88">
        <v>1</v>
      </c>
      <c r="K213" s="88"/>
      <c r="L213" s="88">
        <v>16</v>
      </c>
      <c r="M213" s="88"/>
      <c r="N213" s="86">
        <v>3</v>
      </c>
    </row>
    <row r="214" spans="1:14" x14ac:dyDescent="0.25">
      <c r="A214" s="81" t="s">
        <v>1589</v>
      </c>
      <c r="B214" s="82"/>
      <c r="C214" s="83"/>
      <c r="D214" s="88">
        <v>17</v>
      </c>
      <c r="E214" s="83">
        <v>16</v>
      </c>
      <c r="F214" s="88"/>
      <c r="G214" s="88"/>
      <c r="H214" s="88"/>
      <c r="I214" s="88"/>
      <c r="J214" s="88"/>
      <c r="K214" s="88"/>
      <c r="L214" s="88">
        <v>9</v>
      </c>
      <c r="M214" s="88">
        <v>6</v>
      </c>
      <c r="N214" s="86">
        <v>1</v>
      </c>
    </row>
    <row r="215" spans="1:14" x14ac:dyDescent="0.25">
      <c r="A215" s="81" t="s">
        <v>735</v>
      </c>
      <c r="B215" s="82">
        <v>1</v>
      </c>
      <c r="C215" s="83">
        <v>5</v>
      </c>
      <c r="D215" s="88">
        <v>327</v>
      </c>
      <c r="E215" s="83">
        <v>328</v>
      </c>
      <c r="F215" s="88">
        <v>4</v>
      </c>
      <c r="G215" s="88"/>
      <c r="H215" s="88">
        <v>1</v>
      </c>
      <c r="I215" s="88"/>
      <c r="J215" s="88">
        <v>1</v>
      </c>
      <c r="K215" s="88"/>
      <c r="L215" s="88">
        <v>115</v>
      </c>
      <c r="M215" s="88">
        <v>12</v>
      </c>
      <c r="N215" s="86">
        <v>201</v>
      </c>
    </row>
    <row r="216" spans="1:14" x14ac:dyDescent="0.25">
      <c r="A216" s="81" t="s">
        <v>362</v>
      </c>
      <c r="B216" s="82">
        <v>16</v>
      </c>
      <c r="C216" s="83">
        <v>13</v>
      </c>
      <c r="D216" s="88">
        <v>437</v>
      </c>
      <c r="E216" s="83">
        <v>436</v>
      </c>
      <c r="F216" s="88">
        <v>12</v>
      </c>
      <c r="G216" s="88"/>
      <c r="H216" s="88">
        <v>1</v>
      </c>
      <c r="I216" s="88">
        <v>3</v>
      </c>
      <c r="J216" s="88">
        <v>6</v>
      </c>
      <c r="K216" s="88">
        <v>1</v>
      </c>
      <c r="L216" s="88">
        <v>115</v>
      </c>
      <c r="M216" s="88">
        <v>60</v>
      </c>
      <c r="N216" s="86">
        <v>261</v>
      </c>
    </row>
    <row r="217" spans="1:14" x14ac:dyDescent="0.25">
      <c r="A217" s="81" t="s">
        <v>1592</v>
      </c>
      <c r="B217" s="82"/>
      <c r="C217" s="83"/>
      <c r="D217" s="88">
        <v>8</v>
      </c>
      <c r="E217" s="83">
        <v>7</v>
      </c>
      <c r="F217" s="88"/>
      <c r="G217" s="88"/>
      <c r="H217" s="88"/>
      <c r="I217" s="88"/>
      <c r="J217" s="88"/>
      <c r="K217" s="88"/>
      <c r="L217" s="88">
        <v>6</v>
      </c>
      <c r="M217" s="88">
        <v>1</v>
      </c>
      <c r="N217" s="86"/>
    </row>
    <row r="218" spans="1:14" x14ac:dyDescent="0.25">
      <c r="A218" s="81" t="s">
        <v>367</v>
      </c>
      <c r="B218" s="82">
        <v>2</v>
      </c>
      <c r="C218" s="83">
        <v>1</v>
      </c>
      <c r="D218" s="88">
        <v>34</v>
      </c>
      <c r="E218" s="83">
        <v>33</v>
      </c>
      <c r="F218" s="88">
        <v>1</v>
      </c>
      <c r="G218" s="88"/>
      <c r="H218" s="88"/>
      <c r="I218" s="88"/>
      <c r="J218" s="88"/>
      <c r="K218" s="88"/>
      <c r="L218" s="88">
        <v>23</v>
      </c>
      <c r="M218" s="88"/>
      <c r="N218" s="86">
        <v>10</v>
      </c>
    </row>
    <row r="219" spans="1:14" x14ac:dyDescent="0.25">
      <c r="A219" s="81" t="s">
        <v>738</v>
      </c>
      <c r="B219" s="82">
        <v>2</v>
      </c>
      <c r="C219" s="83">
        <v>3</v>
      </c>
      <c r="D219" s="88">
        <v>328</v>
      </c>
      <c r="E219" s="83">
        <v>328</v>
      </c>
      <c r="F219" s="88">
        <v>2</v>
      </c>
      <c r="G219" s="88">
        <v>1</v>
      </c>
      <c r="H219" s="88"/>
      <c r="I219" s="88">
        <v>1</v>
      </c>
      <c r="J219" s="88"/>
      <c r="K219" s="88"/>
      <c r="L219" s="88">
        <v>62</v>
      </c>
      <c r="M219" s="88">
        <v>32</v>
      </c>
      <c r="N219" s="86">
        <v>234</v>
      </c>
    </row>
    <row r="220" spans="1:14" x14ac:dyDescent="0.25">
      <c r="A220" s="81" t="s">
        <v>1588</v>
      </c>
      <c r="B220" s="82">
        <v>10</v>
      </c>
      <c r="C220" s="83">
        <v>7</v>
      </c>
      <c r="D220" s="88">
        <v>1143</v>
      </c>
      <c r="E220" s="83">
        <v>1143</v>
      </c>
      <c r="F220" s="88">
        <v>7</v>
      </c>
      <c r="G220" s="88"/>
      <c r="H220" s="88"/>
      <c r="I220" s="88">
        <v>1</v>
      </c>
      <c r="J220" s="88">
        <v>12</v>
      </c>
      <c r="K220" s="88">
        <v>4</v>
      </c>
      <c r="L220" s="88">
        <v>257</v>
      </c>
      <c r="M220" s="88">
        <v>2</v>
      </c>
      <c r="N220" s="86">
        <v>884</v>
      </c>
    </row>
    <row r="221" spans="1:14" x14ac:dyDescent="0.25">
      <c r="A221" s="81" t="s">
        <v>1236</v>
      </c>
      <c r="B221" s="82"/>
      <c r="C221" s="83"/>
      <c r="D221" s="88">
        <v>48</v>
      </c>
      <c r="E221" s="83">
        <v>57</v>
      </c>
      <c r="F221" s="88"/>
      <c r="G221" s="88"/>
      <c r="H221" s="88"/>
      <c r="I221" s="88">
        <v>6</v>
      </c>
      <c r="J221" s="88"/>
      <c r="K221" s="88"/>
      <c r="L221" s="88">
        <v>30</v>
      </c>
      <c r="M221" s="88">
        <v>2</v>
      </c>
      <c r="N221" s="86">
        <v>25</v>
      </c>
    </row>
    <row r="222" spans="1:14" x14ac:dyDescent="0.25">
      <c r="A222" s="81" t="s">
        <v>1550</v>
      </c>
      <c r="B222" s="82"/>
      <c r="C222" s="83">
        <v>2</v>
      </c>
      <c r="D222" s="88">
        <v>20</v>
      </c>
      <c r="E222" s="83">
        <v>22</v>
      </c>
      <c r="F222" s="88">
        <v>2</v>
      </c>
      <c r="G222" s="88"/>
      <c r="H222" s="88"/>
      <c r="I222" s="88"/>
      <c r="J222" s="88"/>
      <c r="K222" s="88"/>
      <c r="L222" s="88">
        <v>17</v>
      </c>
      <c r="M222" s="88">
        <v>5</v>
      </c>
      <c r="N222" s="86"/>
    </row>
    <row r="223" spans="1:14" x14ac:dyDescent="0.25">
      <c r="A223" s="81" t="s">
        <v>1618</v>
      </c>
      <c r="B223" s="82"/>
      <c r="C223" s="83"/>
      <c r="D223" s="88">
        <v>24</v>
      </c>
      <c r="E223" s="83">
        <v>24</v>
      </c>
      <c r="F223" s="88"/>
      <c r="G223" s="88"/>
      <c r="H223" s="88"/>
      <c r="I223" s="88"/>
      <c r="J223" s="88"/>
      <c r="K223" s="88"/>
      <c r="L223" s="88">
        <v>12</v>
      </c>
      <c r="M223" s="88"/>
      <c r="N223" s="86">
        <v>12</v>
      </c>
    </row>
    <row r="224" spans="1:14" x14ac:dyDescent="0.25">
      <c r="A224" s="81" t="s">
        <v>995</v>
      </c>
      <c r="B224" s="82">
        <v>4</v>
      </c>
      <c r="C224" s="83">
        <v>8</v>
      </c>
      <c r="D224" s="88">
        <v>352</v>
      </c>
      <c r="E224" s="83">
        <v>362</v>
      </c>
      <c r="F224" s="88">
        <v>6</v>
      </c>
      <c r="G224" s="88"/>
      <c r="H224" s="88">
        <v>1</v>
      </c>
      <c r="I224" s="88">
        <v>7</v>
      </c>
      <c r="J224" s="88">
        <v>1</v>
      </c>
      <c r="K224" s="88">
        <v>1</v>
      </c>
      <c r="L224" s="88">
        <v>99</v>
      </c>
      <c r="M224" s="88">
        <v>20</v>
      </c>
      <c r="N224" s="86">
        <v>243</v>
      </c>
    </row>
    <row r="225" spans="1:14" x14ac:dyDescent="0.25">
      <c r="A225" s="81" t="s">
        <v>998</v>
      </c>
      <c r="B225" s="82">
        <v>7</v>
      </c>
      <c r="C225" s="83">
        <v>6</v>
      </c>
      <c r="D225" s="88">
        <v>433</v>
      </c>
      <c r="E225" s="83">
        <v>441</v>
      </c>
      <c r="F225" s="88">
        <v>6</v>
      </c>
      <c r="G225" s="88"/>
      <c r="H225" s="88"/>
      <c r="I225" s="88">
        <v>1</v>
      </c>
      <c r="J225" s="88">
        <v>2</v>
      </c>
      <c r="K225" s="88">
        <v>2</v>
      </c>
      <c r="L225" s="88">
        <v>99</v>
      </c>
      <c r="M225" s="88">
        <v>33</v>
      </c>
      <c r="N225" s="86">
        <v>309</v>
      </c>
    </row>
    <row r="226" spans="1:14" x14ac:dyDescent="0.25">
      <c r="A226" s="81" t="s">
        <v>1238</v>
      </c>
      <c r="B226" s="82">
        <v>1</v>
      </c>
      <c r="C226" s="83">
        <v>2</v>
      </c>
      <c r="D226" s="88">
        <v>202</v>
      </c>
      <c r="E226" s="83">
        <v>237</v>
      </c>
      <c r="F226" s="88">
        <v>2</v>
      </c>
      <c r="G226" s="88"/>
      <c r="H226" s="88"/>
      <c r="I226" s="88"/>
      <c r="J226" s="88">
        <v>4</v>
      </c>
      <c r="K226" s="88">
        <v>1</v>
      </c>
      <c r="L226" s="88">
        <v>145</v>
      </c>
      <c r="M226" s="88">
        <v>8</v>
      </c>
      <c r="N226" s="86">
        <v>84</v>
      </c>
    </row>
    <row r="227" spans="1:14" x14ac:dyDescent="0.25">
      <c r="A227" s="81" t="s">
        <v>1001</v>
      </c>
      <c r="B227" s="82">
        <v>1</v>
      </c>
      <c r="C227" s="83">
        <v>4</v>
      </c>
      <c r="D227" s="88">
        <v>63</v>
      </c>
      <c r="E227" s="83">
        <v>66</v>
      </c>
      <c r="F227" s="88">
        <v>4</v>
      </c>
      <c r="G227" s="88"/>
      <c r="H227" s="88"/>
      <c r="I227" s="88">
        <v>1</v>
      </c>
      <c r="J227" s="88"/>
      <c r="K227" s="88"/>
      <c r="L227" s="88">
        <v>21</v>
      </c>
      <c r="M227" s="88">
        <v>4</v>
      </c>
      <c r="N227" s="86">
        <v>41</v>
      </c>
    </row>
    <row r="228" spans="1:14" x14ac:dyDescent="0.25">
      <c r="A228" s="81" t="s">
        <v>375</v>
      </c>
      <c r="B228" s="82">
        <v>1</v>
      </c>
      <c r="C228" s="83"/>
      <c r="D228" s="88">
        <v>22</v>
      </c>
      <c r="E228" s="83">
        <v>23</v>
      </c>
      <c r="F228" s="88"/>
      <c r="G228" s="88"/>
      <c r="H228" s="88"/>
      <c r="I228" s="88"/>
      <c r="J228" s="88"/>
      <c r="K228" s="88"/>
      <c r="L228" s="88">
        <v>20</v>
      </c>
      <c r="M228" s="88"/>
      <c r="N228" s="86">
        <v>3</v>
      </c>
    </row>
    <row r="229" spans="1:14" x14ac:dyDescent="0.25">
      <c r="A229" s="81" t="s">
        <v>1240</v>
      </c>
      <c r="B229" s="82"/>
      <c r="C229" s="83"/>
      <c r="D229" s="88">
        <v>8</v>
      </c>
      <c r="E229" s="83">
        <v>10</v>
      </c>
      <c r="F229" s="88"/>
      <c r="G229" s="88"/>
      <c r="H229" s="88"/>
      <c r="I229" s="88"/>
      <c r="J229" s="88"/>
      <c r="K229" s="88"/>
      <c r="L229" s="88">
        <v>9</v>
      </c>
      <c r="M229" s="88">
        <v>1</v>
      </c>
      <c r="N229" s="86"/>
    </row>
    <row r="230" spans="1:14" x14ac:dyDescent="0.25">
      <c r="A230" s="81" t="s">
        <v>1242</v>
      </c>
      <c r="B230" s="82">
        <v>1</v>
      </c>
      <c r="C230" s="83"/>
      <c r="D230" s="88">
        <v>59</v>
      </c>
      <c r="E230" s="83">
        <v>64</v>
      </c>
      <c r="F230" s="88"/>
      <c r="G230" s="88"/>
      <c r="H230" s="88"/>
      <c r="I230" s="88"/>
      <c r="J230" s="88">
        <v>1</v>
      </c>
      <c r="K230" s="88"/>
      <c r="L230" s="88">
        <v>38</v>
      </c>
      <c r="M230" s="88">
        <v>8</v>
      </c>
      <c r="N230" s="86">
        <v>18</v>
      </c>
    </row>
    <row r="231" spans="1:14" x14ac:dyDescent="0.25">
      <c r="A231" s="81" t="s">
        <v>378</v>
      </c>
      <c r="B231" s="82">
        <v>2</v>
      </c>
      <c r="C231" s="83">
        <v>4</v>
      </c>
      <c r="D231" s="88">
        <v>235</v>
      </c>
      <c r="E231" s="83">
        <v>232</v>
      </c>
      <c r="F231" s="88">
        <v>4</v>
      </c>
      <c r="G231" s="88"/>
      <c r="H231" s="88"/>
      <c r="I231" s="88">
        <v>1</v>
      </c>
      <c r="J231" s="88">
        <v>4</v>
      </c>
      <c r="K231" s="88"/>
      <c r="L231" s="88">
        <v>98</v>
      </c>
      <c r="M231" s="88">
        <v>12</v>
      </c>
      <c r="N231" s="86">
        <v>122</v>
      </c>
    </row>
    <row r="232" spans="1:14" x14ac:dyDescent="0.25">
      <c r="A232" s="81" t="s">
        <v>1244</v>
      </c>
      <c r="B232" s="82"/>
      <c r="C232" s="83"/>
      <c r="D232" s="88">
        <v>13</v>
      </c>
      <c r="E232" s="83">
        <v>14</v>
      </c>
      <c r="F232" s="88"/>
      <c r="G232" s="88"/>
      <c r="H232" s="88"/>
      <c r="I232" s="88"/>
      <c r="J232" s="88"/>
      <c r="K232" s="88"/>
      <c r="L232" s="88">
        <v>14</v>
      </c>
      <c r="M232" s="88"/>
      <c r="N232" s="86"/>
    </row>
    <row r="233" spans="1:14" x14ac:dyDescent="0.25">
      <c r="A233" s="81" t="s">
        <v>1247</v>
      </c>
      <c r="B233" s="82">
        <v>5</v>
      </c>
      <c r="C233" s="83"/>
      <c r="D233" s="88">
        <v>88</v>
      </c>
      <c r="E233" s="83">
        <v>87</v>
      </c>
      <c r="F233" s="88"/>
      <c r="G233" s="88"/>
      <c r="H233" s="88"/>
      <c r="I233" s="88"/>
      <c r="J233" s="88"/>
      <c r="K233" s="88"/>
      <c r="L233" s="88">
        <v>77</v>
      </c>
      <c r="M233" s="88">
        <v>2</v>
      </c>
      <c r="N233" s="86">
        <v>8</v>
      </c>
    </row>
    <row r="234" spans="1:14" x14ac:dyDescent="0.25">
      <c r="A234" s="81" t="s">
        <v>1004</v>
      </c>
      <c r="B234" s="82">
        <v>6</v>
      </c>
      <c r="C234" s="83">
        <v>9</v>
      </c>
      <c r="D234" s="88">
        <v>707</v>
      </c>
      <c r="E234" s="83">
        <v>704</v>
      </c>
      <c r="F234" s="88">
        <v>9</v>
      </c>
      <c r="G234" s="88"/>
      <c r="H234" s="88"/>
      <c r="I234" s="88"/>
      <c r="J234" s="88">
        <v>2</v>
      </c>
      <c r="K234" s="88"/>
      <c r="L234" s="88">
        <v>127</v>
      </c>
      <c r="M234" s="88">
        <v>84</v>
      </c>
      <c r="N234" s="86">
        <v>493</v>
      </c>
    </row>
    <row r="235" spans="1:14" x14ac:dyDescent="0.25">
      <c r="A235" s="81" t="s">
        <v>381</v>
      </c>
      <c r="B235" s="82"/>
      <c r="C235" s="83">
        <v>1</v>
      </c>
      <c r="D235" s="88">
        <v>137</v>
      </c>
      <c r="E235" s="83">
        <v>138</v>
      </c>
      <c r="F235" s="88">
        <v>1</v>
      </c>
      <c r="G235" s="88"/>
      <c r="H235" s="88"/>
      <c r="I235" s="88">
        <v>1</v>
      </c>
      <c r="J235" s="88"/>
      <c r="K235" s="88"/>
      <c r="L235" s="88">
        <v>60</v>
      </c>
      <c r="M235" s="88">
        <v>2</v>
      </c>
      <c r="N235" s="86">
        <v>76</v>
      </c>
    </row>
    <row r="236" spans="1:14" x14ac:dyDescent="0.25">
      <c r="A236" s="81" t="s">
        <v>1006</v>
      </c>
      <c r="B236" s="82"/>
      <c r="C236" s="83">
        <v>1</v>
      </c>
      <c r="D236" s="88">
        <v>10</v>
      </c>
      <c r="E236" s="83">
        <v>11</v>
      </c>
      <c r="F236" s="88">
        <v>1</v>
      </c>
      <c r="G236" s="88"/>
      <c r="H236" s="88"/>
      <c r="I236" s="88"/>
      <c r="J236" s="88">
        <v>2</v>
      </c>
      <c r="K236" s="88"/>
      <c r="L236" s="88">
        <v>7</v>
      </c>
      <c r="M236" s="88">
        <v>4</v>
      </c>
      <c r="N236" s="86"/>
    </row>
    <row r="237" spans="1:14" x14ac:dyDescent="0.25">
      <c r="A237" s="81" t="s">
        <v>1250</v>
      </c>
      <c r="B237" s="82">
        <v>2</v>
      </c>
      <c r="C237" s="83">
        <v>4</v>
      </c>
      <c r="D237" s="88">
        <v>73</v>
      </c>
      <c r="E237" s="83">
        <v>76</v>
      </c>
      <c r="F237" s="88">
        <v>4</v>
      </c>
      <c r="G237" s="88"/>
      <c r="H237" s="88"/>
      <c r="I237" s="88">
        <v>1</v>
      </c>
      <c r="J237" s="88">
        <v>1</v>
      </c>
      <c r="K237" s="88"/>
      <c r="L237" s="88">
        <v>61</v>
      </c>
      <c r="M237" s="88">
        <v>3</v>
      </c>
      <c r="N237" s="86">
        <v>12</v>
      </c>
    </row>
    <row r="238" spans="1:14" x14ac:dyDescent="0.25">
      <c r="A238" s="81" t="s">
        <v>1644</v>
      </c>
      <c r="B238" s="82"/>
      <c r="C238" s="83">
        <v>2</v>
      </c>
      <c r="D238" s="88">
        <v>82</v>
      </c>
      <c r="E238" s="83">
        <v>84</v>
      </c>
      <c r="F238" s="88">
        <v>2</v>
      </c>
      <c r="G238" s="88"/>
      <c r="H238" s="88"/>
      <c r="I238" s="88">
        <v>1</v>
      </c>
      <c r="J238" s="88"/>
      <c r="K238" s="88">
        <v>1</v>
      </c>
      <c r="L238" s="88">
        <v>31</v>
      </c>
      <c r="M238" s="88">
        <v>3</v>
      </c>
      <c r="N238" s="86">
        <v>50</v>
      </c>
    </row>
    <row r="239" spans="1:14" x14ac:dyDescent="0.25">
      <c r="A239" s="81" t="s">
        <v>389</v>
      </c>
      <c r="B239" s="82">
        <v>18</v>
      </c>
      <c r="C239" s="83">
        <v>26</v>
      </c>
      <c r="D239" s="88">
        <v>1337</v>
      </c>
      <c r="E239" s="83">
        <v>1351</v>
      </c>
      <c r="F239" s="88">
        <v>26</v>
      </c>
      <c r="G239" s="88"/>
      <c r="H239" s="88"/>
      <c r="I239" s="88">
        <v>3</v>
      </c>
      <c r="J239" s="88">
        <v>5</v>
      </c>
      <c r="K239" s="88"/>
      <c r="L239" s="88">
        <v>469</v>
      </c>
      <c r="M239" s="88">
        <v>65</v>
      </c>
      <c r="N239" s="86">
        <v>817</v>
      </c>
    </row>
    <row r="240" spans="1:14" x14ac:dyDescent="0.25">
      <c r="A240" s="81" t="s">
        <v>1645</v>
      </c>
      <c r="B240" s="82">
        <v>1</v>
      </c>
      <c r="C240" s="83"/>
      <c r="D240" s="88">
        <v>15</v>
      </c>
      <c r="E240" s="83">
        <v>15</v>
      </c>
      <c r="F240" s="88"/>
      <c r="G240" s="88"/>
      <c r="H240" s="88"/>
      <c r="I240" s="88"/>
      <c r="J240" s="88">
        <v>1</v>
      </c>
      <c r="K240" s="88"/>
      <c r="L240" s="88">
        <v>9</v>
      </c>
      <c r="M240" s="88">
        <v>4</v>
      </c>
      <c r="N240" s="86">
        <v>2</v>
      </c>
    </row>
    <row r="241" spans="1:14" x14ac:dyDescent="0.25">
      <c r="A241" s="81" t="s">
        <v>1606</v>
      </c>
      <c r="B241" s="82"/>
      <c r="C241" s="83">
        <v>5</v>
      </c>
      <c r="D241" s="88">
        <v>35</v>
      </c>
      <c r="E241" s="83">
        <v>47</v>
      </c>
      <c r="F241" s="88">
        <v>5</v>
      </c>
      <c r="G241" s="88"/>
      <c r="H241" s="88"/>
      <c r="I241" s="88"/>
      <c r="J241" s="88">
        <v>1</v>
      </c>
      <c r="K241" s="88"/>
      <c r="L241" s="88">
        <v>29</v>
      </c>
      <c r="M241" s="88">
        <v>8</v>
      </c>
      <c r="N241" s="86">
        <v>10</v>
      </c>
    </row>
    <row r="242" spans="1:14" x14ac:dyDescent="0.25">
      <c r="A242" s="81" t="s">
        <v>753</v>
      </c>
      <c r="B242" s="82"/>
      <c r="C242" s="83"/>
      <c r="D242" s="88">
        <v>10</v>
      </c>
      <c r="E242" s="83">
        <v>13</v>
      </c>
      <c r="F242" s="88"/>
      <c r="G242" s="88"/>
      <c r="H242" s="88"/>
      <c r="I242" s="88">
        <v>1</v>
      </c>
      <c r="J242" s="88"/>
      <c r="K242" s="88"/>
      <c r="L242" s="88">
        <v>11</v>
      </c>
      <c r="M242" s="88">
        <v>2</v>
      </c>
      <c r="N242" s="86"/>
    </row>
    <row r="243" spans="1:14" x14ac:dyDescent="0.25">
      <c r="A243" s="81" t="s">
        <v>756</v>
      </c>
      <c r="B243" s="82">
        <v>24</v>
      </c>
      <c r="C243" s="83">
        <v>6</v>
      </c>
      <c r="D243" s="88">
        <v>379</v>
      </c>
      <c r="E243" s="83">
        <v>380</v>
      </c>
      <c r="F243" s="88">
        <v>6</v>
      </c>
      <c r="G243" s="88"/>
      <c r="H243" s="88"/>
      <c r="I243" s="88"/>
      <c r="J243" s="88">
        <v>6</v>
      </c>
      <c r="K243" s="88">
        <v>2</v>
      </c>
      <c r="L243" s="88">
        <v>71</v>
      </c>
      <c r="M243" s="88">
        <v>79</v>
      </c>
      <c r="N243" s="86">
        <v>230</v>
      </c>
    </row>
    <row r="244" spans="1:14" x14ac:dyDescent="0.25">
      <c r="A244" s="81" t="s">
        <v>1627</v>
      </c>
      <c r="B244" s="82">
        <v>5</v>
      </c>
      <c r="C244" s="83">
        <v>10</v>
      </c>
      <c r="D244" s="88">
        <v>175</v>
      </c>
      <c r="E244" s="83">
        <v>187</v>
      </c>
      <c r="F244" s="88">
        <v>10</v>
      </c>
      <c r="G244" s="88"/>
      <c r="H244" s="88"/>
      <c r="I244" s="88">
        <v>2</v>
      </c>
      <c r="J244" s="88">
        <v>5</v>
      </c>
      <c r="K244" s="88"/>
      <c r="L244" s="88">
        <v>73</v>
      </c>
      <c r="M244" s="88">
        <v>25</v>
      </c>
      <c r="N244" s="86">
        <v>89</v>
      </c>
    </row>
    <row r="245" spans="1:14" x14ac:dyDescent="0.25">
      <c r="A245" s="81" t="s">
        <v>1253</v>
      </c>
      <c r="B245" s="82">
        <v>1</v>
      </c>
      <c r="C245" s="83">
        <v>1</v>
      </c>
      <c r="D245" s="88">
        <v>203</v>
      </c>
      <c r="E245" s="83">
        <v>187</v>
      </c>
      <c r="F245" s="88">
        <v>1</v>
      </c>
      <c r="G245" s="88"/>
      <c r="H245" s="88"/>
      <c r="I245" s="88"/>
      <c r="J245" s="88">
        <v>1</v>
      </c>
      <c r="K245" s="88">
        <v>1</v>
      </c>
      <c r="L245" s="88">
        <v>45</v>
      </c>
      <c r="M245" s="88">
        <v>3</v>
      </c>
      <c r="N245" s="86">
        <v>139</v>
      </c>
    </row>
    <row r="246" spans="1:14" x14ac:dyDescent="0.25">
      <c r="A246" s="81" t="s">
        <v>1580</v>
      </c>
      <c r="B246" s="82">
        <v>3</v>
      </c>
      <c r="C246" s="83">
        <v>4</v>
      </c>
      <c r="D246" s="88">
        <v>259</v>
      </c>
      <c r="E246" s="83">
        <v>263</v>
      </c>
      <c r="F246" s="88">
        <v>4</v>
      </c>
      <c r="G246" s="88"/>
      <c r="H246" s="88"/>
      <c r="I246" s="88">
        <v>3</v>
      </c>
      <c r="J246" s="88"/>
      <c r="K246" s="88">
        <v>1</v>
      </c>
      <c r="L246" s="88">
        <v>42</v>
      </c>
      <c r="M246" s="88">
        <v>3</v>
      </c>
      <c r="N246" s="86">
        <v>218</v>
      </c>
    </row>
    <row r="247" spans="1:14" x14ac:dyDescent="0.25">
      <c r="A247" s="81" t="s">
        <v>759</v>
      </c>
      <c r="B247" s="82">
        <v>6</v>
      </c>
      <c r="C247" s="83">
        <v>3</v>
      </c>
      <c r="D247" s="88">
        <v>35</v>
      </c>
      <c r="E247" s="83">
        <v>39</v>
      </c>
      <c r="F247" s="88">
        <v>2</v>
      </c>
      <c r="G247" s="88"/>
      <c r="H247" s="88">
        <v>1</v>
      </c>
      <c r="I247" s="88"/>
      <c r="J247" s="88"/>
      <c r="K247" s="88"/>
      <c r="L247" s="88">
        <v>26</v>
      </c>
      <c r="M247" s="88">
        <v>6</v>
      </c>
      <c r="N247" s="86">
        <v>7</v>
      </c>
    </row>
    <row r="248" spans="1:14" x14ac:dyDescent="0.25">
      <c r="A248" s="81" t="s">
        <v>1015</v>
      </c>
      <c r="B248" s="82">
        <v>2</v>
      </c>
      <c r="C248" s="83">
        <v>3</v>
      </c>
      <c r="D248" s="88">
        <v>134</v>
      </c>
      <c r="E248" s="83">
        <v>138</v>
      </c>
      <c r="F248" s="88">
        <v>3</v>
      </c>
      <c r="G248" s="88"/>
      <c r="H248" s="88"/>
      <c r="I248" s="88">
        <v>1</v>
      </c>
      <c r="J248" s="88"/>
      <c r="K248" s="88"/>
      <c r="L248" s="88">
        <v>60</v>
      </c>
      <c r="M248" s="88">
        <v>7</v>
      </c>
      <c r="N248" s="86">
        <v>71</v>
      </c>
    </row>
    <row r="249" spans="1:14" x14ac:dyDescent="0.25">
      <c r="A249" s="81" t="s">
        <v>761</v>
      </c>
      <c r="B249" s="82">
        <v>1</v>
      </c>
      <c r="C249" s="83">
        <v>3</v>
      </c>
      <c r="D249" s="88">
        <v>14</v>
      </c>
      <c r="E249" s="83">
        <v>16</v>
      </c>
      <c r="F249" s="88">
        <v>3</v>
      </c>
      <c r="G249" s="88"/>
      <c r="H249" s="88"/>
      <c r="I249" s="88"/>
      <c r="J249" s="88"/>
      <c r="K249" s="88"/>
      <c r="L249" s="88">
        <v>16</v>
      </c>
      <c r="M249" s="88"/>
      <c r="N249" s="86"/>
    </row>
    <row r="250" spans="1:14" x14ac:dyDescent="0.25">
      <c r="A250" s="81" t="s">
        <v>1557</v>
      </c>
      <c r="B250" s="82">
        <v>2</v>
      </c>
      <c r="C250" s="83">
        <v>1</v>
      </c>
      <c r="D250" s="88">
        <v>231</v>
      </c>
      <c r="E250" s="83">
        <v>229</v>
      </c>
      <c r="F250" s="88">
        <v>1</v>
      </c>
      <c r="G250" s="88"/>
      <c r="H250" s="88"/>
      <c r="I250" s="88">
        <v>2</v>
      </c>
      <c r="J250" s="88">
        <v>2</v>
      </c>
      <c r="K250" s="88"/>
      <c r="L250" s="88">
        <v>48</v>
      </c>
      <c r="M250" s="88">
        <v>30</v>
      </c>
      <c r="N250" s="86">
        <v>151</v>
      </c>
    </row>
    <row r="251" spans="1:14" x14ac:dyDescent="0.25">
      <c r="A251" s="81" t="s">
        <v>1018</v>
      </c>
      <c r="B251" s="82"/>
      <c r="C251" s="83"/>
      <c r="D251" s="88">
        <v>120</v>
      </c>
      <c r="E251" s="83">
        <v>46</v>
      </c>
      <c r="F251" s="88"/>
      <c r="G251" s="88"/>
      <c r="H251" s="88"/>
      <c r="I251" s="88"/>
      <c r="J251" s="88"/>
      <c r="K251" s="88"/>
      <c r="L251" s="88"/>
      <c r="M251" s="88"/>
      <c r="N251" s="86">
        <v>46</v>
      </c>
    </row>
    <row r="252" spans="1:14" x14ac:dyDescent="0.25">
      <c r="A252" s="81" t="s">
        <v>1256</v>
      </c>
      <c r="B252" s="82">
        <v>1</v>
      </c>
      <c r="C252" s="83">
        <v>1</v>
      </c>
      <c r="D252" s="88">
        <v>111</v>
      </c>
      <c r="E252" s="83">
        <v>110</v>
      </c>
      <c r="F252" s="88">
        <v>1</v>
      </c>
      <c r="G252" s="88"/>
      <c r="H252" s="88"/>
      <c r="I252" s="88">
        <v>1</v>
      </c>
      <c r="J252" s="88">
        <v>4</v>
      </c>
      <c r="K252" s="88"/>
      <c r="L252" s="88">
        <v>40</v>
      </c>
      <c r="M252" s="88">
        <v>11</v>
      </c>
      <c r="N252" s="86">
        <v>59</v>
      </c>
    </row>
    <row r="253" spans="1:14" x14ac:dyDescent="0.25">
      <c r="A253" s="81" t="s">
        <v>1607</v>
      </c>
      <c r="B253" s="82">
        <v>1</v>
      </c>
      <c r="C253" s="83">
        <v>1</v>
      </c>
      <c r="D253" s="88">
        <v>36</v>
      </c>
      <c r="E253" s="83">
        <v>36</v>
      </c>
      <c r="F253" s="88">
        <v>1</v>
      </c>
      <c r="G253" s="88"/>
      <c r="H253" s="88"/>
      <c r="I253" s="88"/>
      <c r="J253" s="88"/>
      <c r="K253" s="88"/>
      <c r="L253" s="88">
        <v>23</v>
      </c>
      <c r="M253" s="88">
        <v>10</v>
      </c>
      <c r="N253" s="86">
        <v>3</v>
      </c>
    </row>
    <row r="254" spans="1:14" x14ac:dyDescent="0.25">
      <c r="A254" s="81" t="s">
        <v>400</v>
      </c>
      <c r="B254" s="82">
        <v>2</v>
      </c>
      <c r="C254" s="83"/>
      <c r="D254" s="88">
        <v>53</v>
      </c>
      <c r="E254" s="83">
        <v>53</v>
      </c>
      <c r="F254" s="88"/>
      <c r="G254" s="88"/>
      <c r="H254" s="88"/>
      <c r="I254" s="88"/>
      <c r="J254" s="88"/>
      <c r="K254" s="88"/>
      <c r="L254" s="88">
        <v>21</v>
      </c>
      <c r="M254" s="88">
        <v>4</v>
      </c>
      <c r="N254" s="86">
        <v>28</v>
      </c>
    </row>
    <row r="255" spans="1:14" x14ac:dyDescent="0.25">
      <c r="A255" s="81" t="s">
        <v>1596</v>
      </c>
      <c r="B255" s="82"/>
      <c r="C255" s="83">
        <v>1</v>
      </c>
      <c r="D255" s="88">
        <v>132</v>
      </c>
      <c r="E255" s="83">
        <v>133</v>
      </c>
      <c r="F255" s="88">
        <v>1</v>
      </c>
      <c r="G255" s="88"/>
      <c r="H255" s="88"/>
      <c r="I255" s="88"/>
      <c r="J255" s="88"/>
      <c r="K255" s="88"/>
      <c r="L255" s="88">
        <v>38</v>
      </c>
      <c r="M255" s="88">
        <v>1</v>
      </c>
      <c r="N255" s="86">
        <v>94</v>
      </c>
    </row>
    <row r="256" spans="1:14" x14ac:dyDescent="0.25">
      <c r="A256" s="81" t="s">
        <v>403</v>
      </c>
      <c r="B256" s="82">
        <v>4</v>
      </c>
      <c r="C256" s="83">
        <v>2</v>
      </c>
      <c r="D256" s="88">
        <v>44</v>
      </c>
      <c r="E256" s="83">
        <v>46</v>
      </c>
      <c r="F256" s="88">
        <v>2</v>
      </c>
      <c r="G256" s="88"/>
      <c r="H256" s="88"/>
      <c r="I256" s="88"/>
      <c r="J256" s="88"/>
      <c r="K256" s="88"/>
      <c r="L256" s="88">
        <v>27</v>
      </c>
      <c r="M256" s="88">
        <v>8</v>
      </c>
      <c r="N256" s="86">
        <v>11</v>
      </c>
    </row>
    <row r="257" spans="1:14" x14ac:dyDescent="0.25">
      <c r="A257" s="81" t="s">
        <v>1593</v>
      </c>
      <c r="B257" s="82">
        <v>6</v>
      </c>
      <c r="C257" s="83">
        <v>12</v>
      </c>
      <c r="D257" s="88">
        <v>394</v>
      </c>
      <c r="E257" s="83">
        <v>426</v>
      </c>
      <c r="F257" s="88">
        <v>10</v>
      </c>
      <c r="G257" s="88">
        <v>2</v>
      </c>
      <c r="H257" s="88"/>
      <c r="I257" s="88"/>
      <c r="J257" s="88">
        <v>2</v>
      </c>
      <c r="K257" s="88">
        <v>1</v>
      </c>
      <c r="L257" s="88">
        <v>173</v>
      </c>
      <c r="M257" s="88">
        <v>7</v>
      </c>
      <c r="N257" s="86">
        <v>246</v>
      </c>
    </row>
    <row r="258" spans="1:14" x14ac:dyDescent="0.25">
      <c r="A258" s="81" t="s">
        <v>1586</v>
      </c>
      <c r="B258" s="82">
        <v>3</v>
      </c>
      <c r="C258" s="83">
        <v>4</v>
      </c>
      <c r="D258" s="88">
        <v>110</v>
      </c>
      <c r="E258" s="83">
        <v>113</v>
      </c>
      <c r="F258" s="88">
        <v>3</v>
      </c>
      <c r="G258" s="88">
        <v>1</v>
      </c>
      <c r="H258" s="88"/>
      <c r="I258" s="88"/>
      <c r="J258" s="88">
        <v>1</v>
      </c>
      <c r="K258" s="88"/>
      <c r="L258" s="88">
        <v>42</v>
      </c>
      <c r="M258" s="88">
        <v>4</v>
      </c>
      <c r="N258" s="86">
        <v>67</v>
      </c>
    </row>
    <row r="259" spans="1:14" x14ac:dyDescent="0.25">
      <c r="A259" s="81" t="s">
        <v>1566</v>
      </c>
      <c r="B259" s="82">
        <v>1</v>
      </c>
      <c r="C259" s="83">
        <v>2</v>
      </c>
      <c r="D259" s="88">
        <v>220</v>
      </c>
      <c r="E259" s="83">
        <v>215</v>
      </c>
      <c r="F259" s="88">
        <v>2</v>
      </c>
      <c r="G259" s="88"/>
      <c r="H259" s="88"/>
      <c r="I259" s="88"/>
      <c r="J259" s="88"/>
      <c r="K259" s="88"/>
      <c r="L259" s="88">
        <v>123</v>
      </c>
      <c r="M259" s="88">
        <v>4</v>
      </c>
      <c r="N259" s="86">
        <v>88</v>
      </c>
    </row>
    <row r="260" spans="1:14" x14ac:dyDescent="0.25">
      <c r="A260" s="81" t="s">
        <v>1626</v>
      </c>
      <c r="B260" s="82"/>
      <c r="C260" s="83">
        <v>1</v>
      </c>
      <c r="D260" s="88">
        <v>14</v>
      </c>
      <c r="E260" s="83">
        <v>16</v>
      </c>
      <c r="F260" s="88">
        <v>1</v>
      </c>
      <c r="G260" s="88"/>
      <c r="H260" s="88"/>
      <c r="I260" s="88">
        <v>1</v>
      </c>
      <c r="J260" s="88"/>
      <c r="K260" s="88"/>
      <c r="L260" s="88">
        <v>10</v>
      </c>
      <c r="M260" s="88"/>
      <c r="N260" s="86">
        <v>6</v>
      </c>
    </row>
    <row r="261" spans="1:14" x14ac:dyDescent="0.25">
      <c r="A261" s="81" t="s">
        <v>1024</v>
      </c>
      <c r="B261" s="82"/>
      <c r="C261" s="83"/>
      <c r="D261" s="88">
        <v>862</v>
      </c>
      <c r="E261" s="83">
        <v>875</v>
      </c>
      <c r="F261" s="88"/>
      <c r="G261" s="88"/>
      <c r="H261" s="88"/>
      <c r="I261" s="88"/>
      <c r="J261" s="88"/>
      <c r="K261" s="88"/>
      <c r="L261" s="88">
        <v>176</v>
      </c>
      <c r="M261" s="88">
        <v>76</v>
      </c>
      <c r="N261" s="86">
        <v>623</v>
      </c>
    </row>
    <row r="262" spans="1:14" x14ac:dyDescent="0.25">
      <c r="A262" s="81" t="s">
        <v>1608</v>
      </c>
      <c r="B262" s="82">
        <v>1</v>
      </c>
      <c r="C262" s="83"/>
      <c r="D262" s="88">
        <v>259</v>
      </c>
      <c r="E262" s="83">
        <v>256</v>
      </c>
      <c r="F262" s="88"/>
      <c r="G262" s="88"/>
      <c r="H262" s="88"/>
      <c r="I262" s="88">
        <v>1</v>
      </c>
      <c r="J262" s="88">
        <v>3</v>
      </c>
      <c r="K262" s="88">
        <v>1</v>
      </c>
      <c r="L262" s="88">
        <v>73</v>
      </c>
      <c r="M262" s="88">
        <v>9</v>
      </c>
      <c r="N262" s="86">
        <v>174</v>
      </c>
    </row>
    <row r="263" spans="1:14" x14ac:dyDescent="0.25">
      <c r="A263" s="81" t="s">
        <v>1027</v>
      </c>
      <c r="B263" s="82"/>
      <c r="C263" s="83">
        <v>9</v>
      </c>
      <c r="D263" s="88">
        <v>17</v>
      </c>
      <c r="E263" s="83">
        <v>27</v>
      </c>
      <c r="F263" s="88">
        <v>9</v>
      </c>
      <c r="G263" s="88"/>
      <c r="H263" s="88"/>
      <c r="I263" s="88">
        <v>1</v>
      </c>
      <c r="J263" s="88"/>
      <c r="K263" s="88"/>
      <c r="L263" s="88">
        <v>20</v>
      </c>
      <c r="M263" s="88">
        <v>5</v>
      </c>
      <c r="N263" s="86">
        <v>2</v>
      </c>
    </row>
    <row r="264" spans="1:14" x14ac:dyDescent="0.25">
      <c r="A264" s="81" t="s">
        <v>1638</v>
      </c>
      <c r="B264" s="82"/>
      <c r="C264" s="83">
        <v>5</v>
      </c>
      <c r="D264" s="88">
        <v>70</v>
      </c>
      <c r="E264" s="83">
        <v>75</v>
      </c>
      <c r="F264" s="88">
        <v>5</v>
      </c>
      <c r="G264" s="88"/>
      <c r="H264" s="88"/>
      <c r="I264" s="88"/>
      <c r="J264" s="88"/>
      <c r="K264" s="88"/>
      <c r="L264" s="88">
        <v>30</v>
      </c>
      <c r="M264" s="88">
        <v>1</v>
      </c>
      <c r="N264" s="86">
        <v>44</v>
      </c>
    </row>
    <row r="265" spans="1:14" x14ac:dyDescent="0.25">
      <c r="A265" s="81" t="s">
        <v>1569</v>
      </c>
      <c r="B265" s="82"/>
      <c r="C265" s="83"/>
      <c r="D265" s="88">
        <v>4</v>
      </c>
      <c r="E265" s="83">
        <v>4</v>
      </c>
      <c r="F265" s="88"/>
      <c r="G265" s="88"/>
      <c r="H265" s="88"/>
      <c r="I265" s="88"/>
      <c r="J265" s="88"/>
      <c r="K265" s="88"/>
      <c r="L265" s="88">
        <v>4</v>
      </c>
      <c r="M265" s="88"/>
      <c r="N265" s="86"/>
    </row>
    <row r="266" spans="1:14" x14ac:dyDescent="0.25">
      <c r="A266" s="81" t="s">
        <v>1030</v>
      </c>
      <c r="B266" s="82"/>
      <c r="C266" s="83">
        <v>2</v>
      </c>
      <c r="D266" s="88">
        <v>18</v>
      </c>
      <c r="E266" s="83">
        <v>22</v>
      </c>
      <c r="F266" s="88">
        <v>2</v>
      </c>
      <c r="G266" s="88"/>
      <c r="H266" s="88"/>
      <c r="I266" s="88"/>
      <c r="J266" s="88"/>
      <c r="K266" s="88"/>
      <c r="L266" s="88">
        <v>3</v>
      </c>
      <c r="M266" s="88">
        <v>2</v>
      </c>
      <c r="N266" s="86">
        <v>17</v>
      </c>
    </row>
    <row r="267" spans="1:14" x14ac:dyDescent="0.25">
      <c r="A267" s="81" t="s">
        <v>789</v>
      </c>
      <c r="B267" s="82">
        <v>10</v>
      </c>
      <c r="C267" s="83">
        <v>6</v>
      </c>
      <c r="D267" s="88">
        <v>372</v>
      </c>
      <c r="E267" s="83">
        <v>381</v>
      </c>
      <c r="F267" s="88">
        <v>6</v>
      </c>
      <c r="G267" s="88"/>
      <c r="H267" s="88"/>
      <c r="I267" s="88">
        <v>3</v>
      </c>
      <c r="J267" s="88">
        <v>1</v>
      </c>
      <c r="K267" s="88"/>
      <c r="L267" s="88">
        <v>112</v>
      </c>
      <c r="M267" s="88">
        <v>31</v>
      </c>
      <c r="N267" s="86">
        <v>238</v>
      </c>
    </row>
    <row r="268" spans="1:14" x14ac:dyDescent="0.25">
      <c r="A268" s="81" t="s">
        <v>1033</v>
      </c>
      <c r="B268" s="82"/>
      <c r="C268" s="83"/>
      <c r="D268" s="88">
        <v>29</v>
      </c>
      <c r="E268" s="83">
        <v>17</v>
      </c>
      <c r="F268" s="88"/>
      <c r="G268" s="88"/>
      <c r="H268" s="88"/>
      <c r="I268" s="88"/>
      <c r="J268" s="88"/>
      <c r="K268" s="88"/>
      <c r="L268" s="88"/>
      <c r="M268" s="88"/>
      <c r="N268" s="86">
        <v>17</v>
      </c>
    </row>
    <row r="269" spans="1:14" x14ac:dyDescent="0.25">
      <c r="A269" s="81" t="s">
        <v>1268</v>
      </c>
      <c r="B269" s="82">
        <v>1</v>
      </c>
      <c r="C269" s="83"/>
      <c r="D269" s="88">
        <v>25</v>
      </c>
      <c r="E269" s="83">
        <v>20</v>
      </c>
      <c r="F269" s="88"/>
      <c r="G269" s="88"/>
      <c r="H269" s="88"/>
      <c r="I269" s="88">
        <v>1</v>
      </c>
      <c r="J269" s="88">
        <v>1</v>
      </c>
      <c r="K269" s="88"/>
      <c r="L269" s="88">
        <v>15</v>
      </c>
      <c r="M269" s="88">
        <v>3</v>
      </c>
      <c r="N269" s="86">
        <v>2</v>
      </c>
    </row>
    <row r="270" spans="1:14" x14ac:dyDescent="0.25">
      <c r="A270" s="81" t="s">
        <v>1270</v>
      </c>
      <c r="B270" s="82"/>
      <c r="C270" s="83">
        <v>1</v>
      </c>
      <c r="D270" s="88">
        <v>6</v>
      </c>
      <c r="E270" s="83">
        <v>8</v>
      </c>
      <c r="F270" s="88">
        <v>1</v>
      </c>
      <c r="G270" s="88"/>
      <c r="H270" s="88"/>
      <c r="I270" s="88"/>
      <c r="J270" s="88"/>
      <c r="K270" s="88"/>
      <c r="L270" s="88">
        <v>4</v>
      </c>
      <c r="M270" s="88">
        <v>3</v>
      </c>
      <c r="N270" s="86">
        <v>1</v>
      </c>
    </row>
    <row r="271" spans="1:14" x14ac:dyDescent="0.25">
      <c r="A271" s="81" t="s">
        <v>794</v>
      </c>
      <c r="B271" s="82"/>
      <c r="C271" s="83">
        <v>1</v>
      </c>
      <c r="D271" s="88">
        <v>10</v>
      </c>
      <c r="E271" s="83">
        <v>12</v>
      </c>
      <c r="F271" s="88">
        <v>1</v>
      </c>
      <c r="G271" s="88"/>
      <c r="H271" s="88"/>
      <c r="I271" s="88">
        <v>2</v>
      </c>
      <c r="J271" s="88"/>
      <c r="K271" s="88">
        <v>1</v>
      </c>
      <c r="L271" s="88">
        <v>3</v>
      </c>
      <c r="M271" s="88">
        <v>6</v>
      </c>
      <c r="N271" s="86">
        <v>3</v>
      </c>
    </row>
    <row r="272" spans="1:14" x14ac:dyDescent="0.25">
      <c r="A272" s="81" t="s">
        <v>412</v>
      </c>
      <c r="B272" s="82"/>
      <c r="C272" s="83"/>
      <c r="D272" s="88">
        <v>74</v>
      </c>
      <c r="E272" s="83">
        <v>74</v>
      </c>
      <c r="F272" s="88"/>
      <c r="G272" s="88"/>
      <c r="H272" s="88"/>
      <c r="I272" s="88">
        <v>1</v>
      </c>
      <c r="J272" s="88"/>
      <c r="K272" s="88"/>
      <c r="L272" s="88">
        <v>19</v>
      </c>
      <c r="M272" s="88">
        <v>8</v>
      </c>
      <c r="N272" s="86">
        <v>47</v>
      </c>
    </row>
    <row r="273" spans="1:14" x14ac:dyDescent="0.25">
      <c r="A273" s="81" t="s">
        <v>1620</v>
      </c>
      <c r="B273" s="82">
        <v>26</v>
      </c>
      <c r="C273" s="83">
        <v>29</v>
      </c>
      <c r="D273" s="88">
        <v>1960</v>
      </c>
      <c r="E273" s="83">
        <v>2043</v>
      </c>
      <c r="F273" s="88">
        <v>29</v>
      </c>
      <c r="G273" s="88"/>
      <c r="H273" s="88"/>
      <c r="I273" s="88">
        <v>1</v>
      </c>
      <c r="J273" s="88">
        <v>2</v>
      </c>
      <c r="K273" s="88">
        <v>4</v>
      </c>
      <c r="L273" s="88">
        <v>406</v>
      </c>
      <c r="M273" s="88">
        <v>164</v>
      </c>
      <c r="N273" s="86">
        <v>1473</v>
      </c>
    </row>
    <row r="274" spans="1:14" x14ac:dyDescent="0.25">
      <c r="A274" s="81" t="s">
        <v>415</v>
      </c>
      <c r="B274" s="82">
        <v>2</v>
      </c>
      <c r="C274" s="83"/>
      <c r="D274" s="88">
        <v>49</v>
      </c>
      <c r="E274" s="83">
        <v>45</v>
      </c>
      <c r="F274" s="88"/>
      <c r="G274" s="88"/>
      <c r="H274" s="88"/>
      <c r="I274" s="88"/>
      <c r="J274" s="88"/>
      <c r="K274" s="88"/>
      <c r="L274" s="88">
        <v>23</v>
      </c>
      <c r="M274" s="88">
        <v>1</v>
      </c>
      <c r="N274" s="86">
        <v>21</v>
      </c>
    </row>
    <row r="275" spans="1:14" x14ac:dyDescent="0.25">
      <c r="A275" s="81" t="s">
        <v>1609</v>
      </c>
      <c r="B275" s="82">
        <v>8</v>
      </c>
      <c r="C275" s="83">
        <v>5</v>
      </c>
      <c r="D275" s="88">
        <v>954</v>
      </c>
      <c r="E275" s="83">
        <v>978</v>
      </c>
      <c r="F275" s="88">
        <v>4</v>
      </c>
      <c r="G275" s="88">
        <v>1</v>
      </c>
      <c r="H275" s="88"/>
      <c r="I275" s="88"/>
      <c r="J275" s="88">
        <v>5</v>
      </c>
      <c r="K275" s="88">
        <v>3</v>
      </c>
      <c r="L275" s="88">
        <v>150</v>
      </c>
      <c r="M275" s="88">
        <v>150</v>
      </c>
      <c r="N275" s="86">
        <v>678</v>
      </c>
    </row>
    <row r="276" spans="1:14" x14ac:dyDescent="0.25">
      <c r="A276" s="81" t="s">
        <v>1044</v>
      </c>
      <c r="B276" s="82"/>
      <c r="C276" s="83"/>
      <c r="D276" s="88">
        <v>111</v>
      </c>
      <c r="E276" s="83">
        <v>111</v>
      </c>
      <c r="F276" s="88"/>
      <c r="G276" s="88"/>
      <c r="H276" s="88"/>
      <c r="I276" s="88"/>
      <c r="J276" s="88"/>
      <c r="K276" s="88"/>
      <c r="L276" s="88">
        <v>57</v>
      </c>
      <c r="M276" s="88">
        <v>11</v>
      </c>
      <c r="N276" s="86">
        <v>43</v>
      </c>
    </row>
    <row r="277" spans="1:14" x14ac:dyDescent="0.25">
      <c r="A277" s="81" t="s">
        <v>1047</v>
      </c>
      <c r="B277" s="82">
        <v>3</v>
      </c>
      <c r="C277" s="83">
        <v>1</v>
      </c>
      <c r="D277" s="88">
        <v>17</v>
      </c>
      <c r="E277" s="83">
        <v>18</v>
      </c>
      <c r="F277" s="88">
        <v>1</v>
      </c>
      <c r="G277" s="88"/>
      <c r="H277" s="88"/>
      <c r="I277" s="88"/>
      <c r="J277" s="88"/>
      <c r="K277" s="88"/>
      <c r="L277" s="88">
        <v>9</v>
      </c>
      <c r="M277" s="88">
        <v>8</v>
      </c>
      <c r="N277" s="86">
        <v>1</v>
      </c>
    </row>
    <row r="278" spans="1:14" x14ac:dyDescent="0.25">
      <c r="A278" s="81" t="s">
        <v>1621</v>
      </c>
      <c r="B278" s="82"/>
      <c r="C278" s="83">
        <v>3</v>
      </c>
      <c r="D278" s="88">
        <v>69</v>
      </c>
      <c r="E278" s="83">
        <v>73</v>
      </c>
      <c r="F278" s="88">
        <v>2</v>
      </c>
      <c r="G278" s="88">
        <v>1</v>
      </c>
      <c r="H278" s="88"/>
      <c r="I278" s="88"/>
      <c r="J278" s="88"/>
      <c r="K278" s="88"/>
      <c r="L278" s="88">
        <v>18</v>
      </c>
      <c r="M278" s="88">
        <v>8</v>
      </c>
      <c r="N278" s="86">
        <v>47</v>
      </c>
    </row>
    <row r="279" spans="1:14" x14ac:dyDescent="0.25">
      <c r="A279" s="81" t="s">
        <v>1052</v>
      </c>
      <c r="B279" s="82"/>
      <c r="C279" s="83">
        <v>3</v>
      </c>
      <c r="D279" s="88">
        <v>69</v>
      </c>
      <c r="E279" s="83">
        <v>73</v>
      </c>
      <c r="F279" s="88">
        <v>2</v>
      </c>
      <c r="G279" s="88">
        <v>1</v>
      </c>
      <c r="H279" s="88"/>
      <c r="I279" s="88"/>
      <c r="J279" s="88"/>
      <c r="K279" s="88"/>
      <c r="L279" s="88">
        <v>18</v>
      </c>
      <c r="M279" s="88">
        <v>8</v>
      </c>
      <c r="N279" s="86">
        <v>47</v>
      </c>
    </row>
    <row r="280" spans="1:14" x14ac:dyDescent="0.25">
      <c r="A280" s="81" t="s">
        <v>1611</v>
      </c>
      <c r="B280" s="82"/>
      <c r="C280" s="83">
        <v>3</v>
      </c>
      <c r="D280" s="88">
        <v>193</v>
      </c>
      <c r="E280" s="83">
        <v>197</v>
      </c>
      <c r="F280" s="88">
        <v>3</v>
      </c>
      <c r="G280" s="88"/>
      <c r="H280" s="88"/>
      <c r="I280" s="88"/>
      <c r="J280" s="88">
        <v>1</v>
      </c>
      <c r="K280" s="88"/>
      <c r="L280" s="88">
        <v>68</v>
      </c>
      <c r="M280" s="88">
        <v>7</v>
      </c>
      <c r="N280" s="86">
        <v>122</v>
      </c>
    </row>
    <row r="281" spans="1:14" x14ac:dyDescent="0.25">
      <c r="A281" s="81" t="s">
        <v>1585</v>
      </c>
      <c r="B281" s="82">
        <v>5</v>
      </c>
      <c r="C281" s="83">
        <v>4</v>
      </c>
      <c r="D281" s="88">
        <v>313</v>
      </c>
      <c r="E281" s="83">
        <v>317</v>
      </c>
      <c r="F281" s="88">
        <v>3</v>
      </c>
      <c r="G281" s="88"/>
      <c r="H281" s="88">
        <v>1</v>
      </c>
      <c r="I281" s="88"/>
      <c r="J281" s="88">
        <v>6</v>
      </c>
      <c r="K281" s="88"/>
      <c r="L281" s="88">
        <v>81</v>
      </c>
      <c r="M281" s="88">
        <v>6</v>
      </c>
      <c r="N281" s="86">
        <v>230</v>
      </c>
    </row>
    <row r="282" spans="1:14" x14ac:dyDescent="0.25">
      <c r="A282" s="81" t="s">
        <v>1610</v>
      </c>
      <c r="B282" s="82">
        <v>6</v>
      </c>
      <c r="C282" s="83">
        <v>3</v>
      </c>
      <c r="D282" s="88">
        <v>220</v>
      </c>
      <c r="E282" s="83">
        <v>222</v>
      </c>
      <c r="F282" s="88">
        <v>2</v>
      </c>
      <c r="G282" s="88"/>
      <c r="H282" s="88"/>
      <c r="I282" s="88"/>
      <c r="J282" s="88"/>
      <c r="K282" s="88">
        <v>1</v>
      </c>
      <c r="L282" s="88">
        <v>20</v>
      </c>
      <c r="M282" s="88">
        <v>18</v>
      </c>
      <c r="N282" s="86">
        <v>184</v>
      </c>
    </row>
    <row r="283" spans="1:14" x14ac:dyDescent="0.25">
      <c r="A283" s="81" t="s">
        <v>1605</v>
      </c>
      <c r="B283" s="82">
        <v>3</v>
      </c>
      <c r="C283" s="83">
        <v>3</v>
      </c>
      <c r="D283" s="88">
        <v>206</v>
      </c>
      <c r="E283" s="83">
        <v>211</v>
      </c>
      <c r="F283" s="88">
        <v>3</v>
      </c>
      <c r="G283" s="88"/>
      <c r="H283" s="88"/>
      <c r="I283" s="88"/>
      <c r="J283" s="88">
        <v>2</v>
      </c>
      <c r="K283" s="88"/>
      <c r="L283" s="88">
        <v>194</v>
      </c>
      <c r="M283" s="88">
        <v>6</v>
      </c>
      <c r="N283" s="86">
        <v>11</v>
      </c>
    </row>
    <row r="284" spans="1:14" x14ac:dyDescent="0.25">
      <c r="A284" s="81" t="s">
        <v>420</v>
      </c>
      <c r="B284" s="82">
        <v>3</v>
      </c>
      <c r="C284" s="83">
        <v>2</v>
      </c>
      <c r="D284" s="88">
        <v>145</v>
      </c>
      <c r="E284" s="83">
        <v>148</v>
      </c>
      <c r="F284" s="88">
        <v>2</v>
      </c>
      <c r="G284" s="88"/>
      <c r="H284" s="88"/>
      <c r="I284" s="88">
        <v>2</v>
      </c>
      <c r="J284" s="88">
        <v>1</v>
      </c>
      <c r="K284" s="88"/>
      <c r="L284" s="88">
        <v>62</v>
      </c>
      <c r="M284" s="88">
        <v>14</v>
      </c>
      <c r="N284" s="86">
        <v>72</v>
      </c>
    </row>
    <row r="285" spans="1:14" x14ac:dyDescent="0.25">
      <c r="A285" s="81" t="s">
        <v>797</v>
      </c>
      <c r="B285" s="82">
        <v>5</v>
      </c>
      <c r="C285" s="83">
        <v>3</v>
      </c>
      <c r="D285" s="88">
        <v>277</v>
      </c>
      <c r="E285" s="83">
        <v>234</v>
      </c>
      <c r="F285" s="88">
        <v>3</v>
      </c>
      <c r="G285" s="88"/>
      <c r="H285" s="88"/>
      <c r="I285" s="88">
        <v>5</v>
      </c>
      <c r="J285" s="88">
        <v>1</v>
      </c>
      <c r="K285" s="88"/>
      <c r="L285" s="88">
        <v>161</v>
      </c>
      <c r="M285" s="88">
        <v>4</v>
      </c>
      <c r="N285" s="86">
        <v>69</v>
      </c>
    </row>
    <row r="286" spans="1:14" x14ac:dyDescent="0.25">
      <c r="A286" s="81" t="s">
        <v>799</v>
      </c>
      <c r="B286" s="82">
        <v>3</v>
      </c>
      <c r="C286" s="83">
        <v>7</v>
      </c>
      <c r="D286" s="88">
        <v>64</v>
      </c>
      <c r="E286" s="83">
        <v>72</v>
      </c>
      <c r="F286" s="88">
        <v>6</v>
      </c>
      <c r="G286" s="88"/>
      <c r="H286" s="88">
        <v>1</v>
      </c>
      <c r="I286" s="88"/>
      <c r="J286" s="88"/>
      <c r="K286" s="88"/>
      <c r="L286" s="88">
        <v>34</v>
      </c>
      <c r="M286" s="88">
        <v>1</v>
      </c>
      <c r="N286" s="86">
        <v>37</v>
      </c>
    </row>
    <row r="287" spans="1:14" x14ac:dyDescent="0.25">
      <c r="A287" s="81" t="s">
        <v>1555</v>
      </c>
      <c r="B287" s="82">
        <v>1</v>
      </c>
      <c r="C287" s="83">
        <v>2</v>
      </c>
      <c r="D287" s="88">
        <v>44</v>
      </c>
      <c r="E287" s="83">
        <v>49</v>
      </c>
      <c r="F287" s="88">
        <v>2</v>
      </c>
      <c r="G287" s="88"/>
      <c r="H287" s="88"/>
      <c r="I287" s="88">
        <v>2</v>
      </c>
      <c r="J287" s="88">
        <v>1</v>
      </c>
      <c r="K287" s="88"/>
      <c r="L287" s="88">
        <v>48</v>
      </c>
      <c r="M287" s="88"/>
      <c r="N287" s="86">
        <v>1</v>
      </c>
    </row>
    <row r="288" spans="1:14" x14ac:dyDescent="0.25">
      <c r="A288" s="81" t="s">
        <v>1276</v>
      </c>
      <c r="B288" s="82"/>
      <c r="C288" s="83"/>
      <c r="D288" s="88">
        <v>11</v>
      </c>
      <c r="E288" s="83">
        <v>11</v>
      </c>
      <c r="F288" s="88"/>
      <c r="G288" s="88"/>
      <c r="H288" s="88"/>
      <c r="I288" s="88"/>
      <c r="J288" s="88"/>
      <c r="K288" s="88"/>
      <c r="L288" s="88">
        <v>7</v>
      </c>
      <c r="M288" s="88">
        <v>3</v>
      </c>
      <c r="N288" s="86">
        <v>1</v>
      </c>
    </row>
    <row r="289" spans="1:14" x14ac:dyDescent="0.25">
      <c r="A289" s="81" t="s">
        <v>1615</v>
      </c>
      <c r="B289" s="82">
        <v>16</v>
      </c>
      <c r="C289" s="83">
        <v>18</v>
      </c>
      <c r="D289" s="88">
        <v>3431</v>
      </c>
      <c r="E289" s="83">
        <v>3454</v>
      </c>
      <c r="F289" s="88">
        <v>18</v>
      </c>
      <c r="G289" s="88"/>
      <c r="H289" s="88"/>
      <c r="I289" s="88">
        <v>2</v>
      </c>
      <c r="J289" s="88">
        <v>21</v>
      </c>
      <c r="K289" s="88">
        <v>8</v>
      </c>
      <c r="L289" s="88">
        <v>588</v>
      </c>
      <c r="M289" s="88">
        <v>250</v>
      </c>
      <c r="N289" s="86">
        <v>2616</v>
      </c>
    </row>
    <row r="290" spans="1:14" x14ac:dyDescent="0.25">
      <c r="A290" s="81" t="s">
        <v>1556</v>
      </c>
      <c r="B290" s="82">
        <v>8</v>
      </c>
      <c r="C290" s="83">
        <v>7</v>
      </c>
      <c r="D290" s="88">
        <v>900</v>
      </c>
      <c r="E290" s="83">
        <v>897</v>
      </c>
      <c r="F290" s="88">
        <v>7</v>
      </c>
      <c r="G290" s="88"/>
      <c r="H290" s="88"/>
      <c r="I290" s="88">
        <v>3</v>
      </c>
      <c r="J290" s="88">
        <v>3</v>
      </c>
      <c r="K290" s="88"/>
      <c r="L290" s="88">
        <v>116</v>
      </c>
      <c r="M290" s="88">
        <v>104</v>
      </c>
      <c r="N290" s="86">
        <v>677</v>
      </c>
    </row>
    <row r="291" spans="1:14" x14ac:dyDescent="0.25">
      <c r="A291" s="81" t="s">
        <v>1602</v>
      </c>
      <c r="B291" s="82">
        <v>19</v>
      </c>
      <c r="C291" s="83">
        <v>13</v>
      </c>
      <c r="D291" s="88">
        <v>579</v>
      </c>
      <c r="E291" s="83">
        <v>589</v>
      </c>
      <c r="F291" s="88">
        <v>13</v>
      </c>
      <c r="G291" s="88"/>
      <c r="H291" s="88"/>
      <c r="I291" s="88"/>
      <c r="J291" s="88">
        <v>2</v>
      </c>
      <c r="K291" s="88">
        <v>1</v>
      </c>
      <c r="L291" s="88">
        <v>145</v>
      </c>
      <c r="M291" s="88">
        <v>30</v>
      </c>
      <c r="N291" s="86">
        <v>414</v>
      </c>
    </row>
    <row r="292" spans="1:14" x14ac:dyDescent="0.25">
      <c r="A292" s="81" t="s">
        <v>426</v>
      </c>
      <c r="B292" s="82">
        <v>1</v>
      </c>
      <c r="C292" s="83">
        <v>1</v>
      </c>
      <c r="D292" s="88">
        <v>34</v>
      </c>
      <c r="E292" s="83">
        <v>37</v>
      </c>
      <c r="F292" s="88">
        <v>1</v>
      </c>
      <c r="G292" s="88"/>
      <c r="H292" s="88"/>
      <c r="I292" s="88"/>
      <c r="J292" s="88">
        <v>1</v>
      </c>
      <c r="K292" s="88"/>
      <c r="L292" s="88">
        <v>13</v>
      </c>
      <c r="M292" s="88">
        <v>5</v>
      </c>
      <c r="N292" s="86">
        <v>19</v>
      </c>
    </row>
    <row r="293" spans="1:14" x14ac:dyDescent="0.25">
      <c r="A293" s="81" t="s">
        <v>1278</v>
      </c>
      <c r="B293" s="82">
        <v>1</v>
      </c>
      <c r="C293" s="83">
        <v>1</v>
      </c>
      <c r="D293" s="88">
        <v>51</v>
      </c>
      <c r="E293" s="83">
        <v>52</v>
      </c>
      <c r="F293" s="88"/>
      <c r="G293" s="88"/>
      <c r="H293" s="88">
        <v>1</v>
      </c>
      <c r="I293" s="88">
        <v>1</v>
      </c>
      <c r="J293" s="88"/>
      <c r="K293" s="88"/>
      <c r="L293" s="88">
        <v>46</v>
      </c>
      <c r="M293" s="88">
        <v>5</v>
      </c>
      <c r="N293" s="86">
        <v>1</v>
      </c>
    </row>
    <row r="294" spans="1:14" x14ac:dyDescent="0.25">
      <c r="A294" s="81" t="s">
        <v>1280</v>
      </c>
      <c r="B294" s="82">
        <v>3</v>
      </c>
      <c r="C294" s="83">
        <v>4</v>
      </c>
      <c r="D294" s="88">
        <v>238</v>
      </c>
      <c r="E294" s="83">
        <v>245</v>
      </c>
      <c r="F294" s="88">
        <v>4</v>
      </c>
      <c r="G294" s="88"/>
      <c r="H294" s="88"/>
      <c r="I294" s="88">
        <v>1</v>
      </c>
      <c r="J294" s="88"/>
      <c r="K294" s="88"/>
      <c r="L294" s="88">
        <v>115</v>
      </c>
      <c r="M294" s="88">
        <v>63</v>
      </c>
      <c r="N294" s="86">
        <v>67</v>
      </c>
    </row>
    <row r="295" spans="1:14" x14ac:dyDescent="0.25">
      <c r="A295" s="81" t="s">
        <v>806</v>
      </c>
      <c r="B295" s="82">
        <v>2</v>
      </c>
      <c r="C295" s="83"/>
      <c r="D295" s="88">
        <v>20</v>
      </c>
      <c r="E295" s="83">
        <v>20</v>
      </c>
      <c r="F295" s="88"/>
      <c r="G295" s="88"/>
      <c r="H295" s="88"/>
      <c r="I295" s="88"/>
      <c r="J295" s="88"/>
      <c r="K295" s="88"/>
      <c r="L295" s="88">
        <v>20</v>
      </c>
      <c r="M295" s="88"/>
      <c r="N295" s="86"/>
    </row>
    <row r="296" spans="1:14" x14ac:dyDescent="0.25">
      <c r="A296" s="81" t="s">
        <v>1064</v>
      </c>
      <c r="B296" s="82">
        <v>11</v>
      </c>
      <c r="C296" s="83">
        <v>12</v>
      </c>
      <c r="D296" s="88">
        <v>477</v>
      </c>
      <c r="E296" s="83">
        <v>492</v>
      </c>
      <c r="F296" s="88">
        <v>12</v>
      </c>
      <c r="G296" s="88"/>
      <c r="H296" s="88"/>
      <c r="I296" s="88">
        <v>1</v>
      </c>
      <c r="J296" s="88">
        <v>3</v>
      </c>
      <c r="K296" s="88">
        <v>1</v>
      </c>
      <c r="L296" s="88">
        <v>174</v>
      </c>
      <c r="M296" s="88">
        <v>9</v>
      </c>
      <c r="N296" s="86">
        <v>309</v>
      </c>
    </row>
    <row r="297" spans="1:14" x14ac:dyDescent="0.25">
      <c r="A297" s="81" t="s">
        <v>1282</v>
      </c>
      <c r="B297" s="82">
        <v>5</v>
      </c>
      <c r="C297" s="83">
        <v>2</v>
      </c>
      <c r="D297" s="88">
        <v>151</v>
      </c>
      <c r="E297" s="83">
        <v>150</v>
      </c>
      <c r="F297" s="88">
        <v>2</v>
      </c>
      <c r="G297" s="88"/>
      <c r="H297" s="88"/>
      <c r="I297" s="88"/>
      <c r="J297" s="88">
        <v>2</v>
      </c>
      <c r="K297" s="88">
        <v>1</v>
      </c>
      <c r="L297" s="88">
        <v>115</v>
      </c>
      <c r="M297" s="88">
        <v>1</v>
      </c>
      <c r="N297" s="86">
        <v>34</v>
      </c>
    </row>
    <row r="298" spans="1:14" x14ac:dyDescent="0.25">
      <c r="A298" s="81" t="s">
        <v>808</v>
      </c>
      <c r="B298" s="82">
        <v>1</v>
      </c>
      <c r="C298" s="83">
        <v>1</v>
      </c>
      <c r="D298" s="88">
        <v>83</v>
      </c>
      <c r="E298" s="83">
        <v>84</v>
      </c>
      <c r="F298" s="88">
        <v>1</v>
      </c>
      <c r="G298" s="88"/>
      <c r="H298" s="88"/>
      <c r="I298" s="88">
        <v>1</v>
      </c>
      <c r="J298" s="88">
        <v>2</v>
      </c>
      <c r="K298" s="88"/>
      <c r="L298" s="88">
        <v>7</v>
      </c>
      <c r="M298" s="88">
        <v>8</v>
      </c>
      <c r="N298" s="86">
        <v>69</v>
      </c>
    </row>
    <row r="299" spans="1:14" x14ac:dyDescent="0.25">
      <c r="A299" s="81" t="s">
        <v>428</v>
      </c>
      <c r="B299" s="82">
        <v>3</v>
      </c>
      <c r="C299" s="83">
        <v>8</v>
      </c>
      <c r="D299" s="88">
        <v>289</v>
      </c>
      <c r="E299" s="83">
        <v>291</v>
      </c>
      <c r="F299" s="88">
        <v>8</v>
      </c>
      <c r="G299" s="88"/>
      <c r="H299" s="88"/>
      <c r="I299" s="88">
        <v>1</v>
      </c>
      <c r="J299" s="88">
        <v>3</v>
      </c>
      <c r="K299" s="88"/>
      <c r="L299" s="88">
        <v>113</v>
      </c>
      <c r="M299" s="88">
        <v>21</v>
      </c>
      <c r="N299" s="86">
        <v>157</v>
      </c>
    </row>
    <row r="300" spans="1:14" x14ac:dyDescent="0.25">
      <c r="A300" s="81" t="s">
        <v>1635</v>
      </c>
      <c r="B300" s="82">
        <v>3</v>
      </c>
      <c r="C300" s="83">
        <v>4</v>
      </c>
      <c r="D300" s="88">
        <v>677</v>
      </c>
      <c r="E300" s="83">
        <v>666</v>
      </c>
      <c r="F300" s="88">
        <v>4</v>
      </c>
      <c r="G300" s="88"/>
      <c r="H300" s="88"/>
      <c r="I300" s="88"/>
      <c r="J300" s="88"/>
      <c r="K300" s="88">
        <v>2</v>
      </c>
      <c r="L300" s="88">
        <v>70</v>
      </c>
      <c r="M300" s="88">
        <v>21</v>
      </c>
      <c r="N300" s="86">
        <v>575</v>
      </c>
    </row>
    <row r="301" spans="1:14" x14ac:dyDescent="0.25">
      <c r="A301" s="81" t="s">
        <v>810</v>
      </c>
      <c r="B301" s="82"/>
      <c r="C301" s="83">
        <v>1</v>
      </c>
      <c r="D301" s="88">
        <v>53</v>
      </c>
      <c r="E301" s="83">
        <v>58</v>
      </c>
      <c r="F301" s="88">
        <v>1</v>
      </c>
      <c r="G301" s="88"/>
      <c r="H301" s="88"/>
      <c r="I301" s="88"/>
      <c r="J301" s="88"/>
      <c r="K301" s="88"/>
      <c r="L301" s="88">
        <v>13</v>
      </c>
      <c r="M301" s="88">
        <v>32</v>
      </c>
      <c r="N301" s="86">
        <v>13</v>
      </c>
    </row>
    <row r="302" spans="1:14" x14ac:dyDescent="0.25">
      <c r="A302" s="81" t="s">
        <v>1284</v>
      </c>
      <c r="B302" s="82">
        <v>10</v>
      </c>
      <c r="C302" s="83">
        <v>12</v>
      </c>
      <c r="D302" s="88">
        <v>606</v>
      </c>
      <c r="E302" s="83">
        <v>621</v>
      </c>
      <c r="F302" s="88">
        <v>10</v>
      </c>
      <c r="G302" s="88">
        <v>2</v>
      </c>
      <c r="H302" s="88"/>
      <c r="I302" s="88">
        <v>1</v>
      </c>
      <c r="J302" s="88">
        <v>12</v>
      </c>
      <c r="K302" s="88">
        <v>3</v>
      </c>
      <c r="L302" s="88">
        <v>121</v>
      </c>
      <c r="M302" s="88">
        <v>100</v>
      </c>
      <c r="N302" s="86">
        <v>400</v>
      </c>
    </row>
    <row r="303" spans="1:14" x14ac:dyDescent="0.25">
      <c r="A303" s="81" t="s">
        <v>1563</v>
      </c>
      <c r="B303" s="82"/>
      <c r="C303" s="83"/>
      <c r="D303" s="88">
        <v>256</v>
      </c>
      <c r="E303" s="83">
        <v>262</v>
      </c>
      <c r="F303" s="88"/>
      <c r="G303" s="88"/>
      <c r="H303" s="88"/>
      <c r="I303" s="88">
        <v>3</v>
      </c>
      <c r="J303" s="88">
        <v>2</v>
      </c>
      <c r="K303" s="88"/>
      <c r="L303" s="88">
        <v>39</v>
      </c>
      <c r="M303" s="88">
        <v>8</v>
      </c>
      <c r="N303" s="86">
        <v>215</v>
      </c>
    </row>
    <row r="304" spans="1:14" x14ac:dyDescent="0.25">
      <c r="A304" s="81" t="s">
        <v>815</v>
      </c>
      <c r="B304" s="82">
        <v>2</v>
      </c>
      <c r="C304" s="83">
        <v>2</v>
      </c>
      <c r="D304" s="88">
        <v>63</v>
      </c>
      <c r="E304" s="83">
        <v>65</v>
      </c>
      <c r="F304" s="88">
        <v>2</v>
      </c>
      <c r="G304" s="88"/>
      <c r="H304" s="88"/>
      <c r="I304" s="88"/>
      <c r="J304" s="88">
        <v>1</v>
      </c>
      <c r="K304" s="88"/>
      <c r="L304" s="88">
        <v>46</v>
      </c>
      <c r="M304" s="88">
        <v>3</v>
      </c>
      <c r="N304" s="86">
        <v>16</v>
      </c>
    </row>
    <row r="305" spans="1:14" x14ac:dyDescent="0.25">
      <c r="A305" s="81" t="s">
        <v>1647</v>
      </c>
      <c r="B305" s="82">
        <v>1</v>
      </c>
      <c r="C305" s="83">
        <v>2</v>
      </c>
      <c r="D305" s="88">
        <v>16</v>
      </c>
      <c r="E305" s="83">
        <v>17</v>
      </c>
      <c r="F305" s="88">
        <v>2</v>
      </c>
      <c r="G305" s="88"/>
      <c r="H305" s="88"/>
      <c r="I305" s="88"/>
      <c r="J305" s="88"/>
      <c r="K305" s="88"/>
      <c r="L305" s="88">
        <v>17</v>
      </c>
      <c r="M305" s="88"/>
      <c r="N305" s="86"/>
    </row>
    <row r="306" spans="1:14" x14ac:dyDescent="0.25">
      <c r="A306" s="81" t="s">
        <v>1070</v>
      </c>
      <c r="B306" s="82">
        <v>2</v>
      </c>
      <c r="C306" s="83">
        <v>4</v>
      </c>
      <c r="D306" s="88">
        <v>363</v>
      </c>
      <c r="E306" s="83">
        <v>368</v>
      </c>
      <c r="F306" s="88">
        <v>4</v>
      </c>
      <c r="G306" s="88"/>
      <c r="H306" s="88"/>
      <c r="I306" s="88"/>
      <c r="J306" s="88">
        <v>1</v>
      </c>
      <c r="K306" s="88"/>
      <c r="L306" s="88">
        <v>99</v>
      </c>
      <c r="M306" s="88">
        <v>43</v>
      </c>
      <c r="N306" s="86">
        <v>226</v>
      </c>
    </row>
    <row r="307" spans="1:14" x14ac:dyDescent="0.25">
      <c r="A307" s="81" t="s">
        <v>1554</v>
      </c>
      <c r="B307" s="82"/>
      <c r="C307" s="83">
        <v>1</v>
      </c>
      <c r="D307" s="88">
        <v>9</v>
      </c>
      <c r="E307" s="83">
        <v>10</v>
      </c>
      <c r="F307" s="88">
        <v>1</v>
      </c>
      <c r="G307" s="88"/>
      <c r="H307" s="88"/>
      <c r="I307" s="88"/>
      <c r="J307" s="88"/>
      <c r="K307" s="88"/>
      <c r="L307" s="88">
        <v>5</v>
      </c>
      <c r="M307" s="88">
        <v>5</v>
      </c>
      <c r="N307" s="86"/>
    </row>
    <row r="308" spans="1:14" x14ac:dyDescent="0.25">
      <c r="A308" s="81" t="s">
        <v>1078</v>
      </c>
      <c r="B308" s="82"/>
      <c r="C308" s="83">
        <v>2</v>
      </c>
      <c r="D308" s="88">
        <v>221</v>
      </c>
      <c r="E308" s="83">
        <v>216</v>
      </c>
      <c r="F308" s="88">
        <v>2</v>
      </c>
      <c r="G308" s="88"/>
      <c r="H308" s="88"/>
      <c r="I308" s="88"/>
      <c r="J308" s="88"/>
      <c r="K308" s="88">
        <v>1</v>
      </c>
      <c r="L308" s="88">
        <v>30</v>
      </c>
      <c r="M308" s="88">
        <v>21</v>
      </c>
      <c r="N308" s="86">
        <v>165</v>
      </c>
    </row>
    <row r="309" spans="1:14" x14ac:dyDescent="0.25">
      <c r="A309" s="81" t="s">
        <v>431</v>
      </c>
      <c r="B309" s="82">
        <v>4</v>
      </c>
      <c r="C309" s="83">
        <v>8</v>
      </c>
      <c r="D309" s="88">
        <v>1575</v>
      </c>
      <c r="E309" s="83">
        <v>1583</v>
      </c>
      <c r="F309" s="88">
        <v>8</v>
      </c>
      <c r="G309" s="88"/>
      <c r="H309" s="88"/>
      <c r="I309" s="88">
        <v>1</v>
      </c>
      <c r="J309" s="88">
        <v>2</v>
      </c>
      <c r="K309" s="88"/>
      <c r="L309" s="88">
        <v>190</v>
      </c>
      <c r="M309" s="88">
        <v>73</v>
      </c>
      <c r="N309" s="86">
        <v>1320</v>
      </c>
    </row>
    <row r="310" spans="1:14" x14ac:dyDescent="0.25">
      <c r="A310" s="81" t="s">
        <v>1573</v>
      </c>
      <c r="B310" s="82">
        <v>4</v>
      </c>
      <c r="C310" s="83">
        <v>7</v>
      </c>
      <c r="D310" s="88">
        <v>427</v>
      </c>
      <c r="E310" s="83">
        <v>424</v>
      </c>
      <c r="F310" s="88">
        <v>7</v>
      </c>
      <c r="G310" s="88"/>
      <c r="H310" s="88"/>
      <c r="I310" s="88">
        <v>2</v>
      </c>
      <c r="J310" s="88">
        <v>2</v>
      </c>
      <c r="K310" s="88"/>
      <c r="L310" s="88">
        <v>124</v>
      </c>
      <c r="M310" s="88">
        <v>59</v>
      </c>
      <c r="N310" s="86">
        <v>241</v>
      </c>
    </row>
    <row r="311" spans="1:14" x14ac:dyDescent="0.25">
      <c r="A311" s="81" t="s">
        <v>1637</v>
      </c>
      <c r="B311" s="82">
        <v>4</v>
      </c>
      <c r="C311" s="83">
        <v>5</v>
      </c>
      <c r="D311" s="88">
        <v>522</v>
      </c>
      <c r="E311" s="83">
        <v>525</v>
      </c>
      <c r="F311" s="88">
        <v>5</v>
      </c>
      <c r="G311" s="88"/>
      <c r="H311" s="88"/>
      <c r="I311" s="88">
        <v>1</v>
      </c>
      <c r="J311" s="88">
        <v>4</v>
      </c>
      <c r="K311" s="88">
        <v>1</v>
      </c>
      <c r="L311" s="88">
        <v>59</v>
      </c>
      <c r="M311" s="88">
        <v>22</v>
      </c>
      <c r="N311" s="86">
        <v>444</v>
      </c>
    </row>
    <row r="312" spans="1:14" x14ac:dyDescent="0.25">
      <c r="A312" s="81" t="s">
        <v>822</v>
      </c>
      <c r="B312" s="82">
        <v>7</v>
      </c>
      <c r="C312" s="83">
        <v>10</v>
      </c>
      <c r="D312" s="88">
        <v>1769</v>
      </c>
      <c r="E312" s="83">
        <v>1795</v>
      </c>
      <c r="F312" s="88">
        <v>9</v>
      </c>
      <c r="G312" s="88"/>
      <c r="H312" s="88">
        <v>1</v>
      </c>
      <c r="I312" s="88">
        <v>5</v>
      </c>
      <c r="J312" s="88">
        <v>11</v>
      </c>
      <c r="K312" s="88">
        <v>2</v>
      </c>
      <c r="L312" s="88">
        <v>220</v>
      </c>
      <c r="M312" s="88">
        <v>94</v>
      </c>
      <c r="N312" s="86">
        <v>1481</v>
      </c>
    </row>
    <row r="313" spans="1:14" x14ac:dyDescent="0.25">
      <c r="A313" s="90" t="s">
        <v>1623</v>
      </c>
      <c r="B313" s="91"/>
      <c r="C313" s="92">
        <v>2</v>
      </c>
      <c r="D313" s="93">
        <v>179</v>
      </c>
      <c r="E313" s="92">
        <v>186</v>
      </c>
      <c r="F313" s="93">
        <v>2</v>
      </c>
      <c r="G313" s="93"/>
      <c r="H313" s="93"/>
      <c r="I313" s="93"/>
      <c r="J313" s="93">
        <v>3</v>
      </c>
      <c r="K313" s="93">
        <v>1</v>
      </c>
      <c r="L313" s="93">
        <v>65</v>
      </c>
      <c r="M313" s="93">
        <v>36</v>
      </c>
      <c r="N313" s="94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75"/>
  <sheetViews>
    <sheetView workbookViewId="0">
      <selection activeCell="B7" sqref="B7"/>
    </sheetView>
  </sheetViews>
  <sheetFormatPr defaultRowHeight="15" x14ac:dyDescent="0.25"/>
  <cols>
    <col min="1" max="1" width="67.140625" bestFit="1" customWidth="1"/>
    <col min="2" max="2" width="15.42578125" customWidth="1"/>
    <col min="3" max="11" width="15.42578125" bestFit="1" customWidth="1"/>
    <col min="12" max="12" width="13.7109375" bestFit="1" customWidth="1"/>
    <col min="13" max="13" width="11.28515625" bestFit="1" customWidth="1"/>
    <col min="14" max="14" width="11.140625" bestFit="1" customWidth="1"/>
  </cols>
  <sheetData>
    <row r="1" spans="1:10" x14ac:dyDescent="0.25">
      <c r="A1" t="s">
        <v>1651</v>
      </c>
      <c r="B1" t="e">
        <f>CUBEMEMBER("pbiazure://api.powerbi.com 6e064a38-7f82-4416-9451-8d82a554b559 Model","[DimDate].[MonthYear].&amp;[Dec-2020]")</f>
        <v>#N/A</v>
      </c>
    </row>
    <row r="3" spans="1:10" x14ac:dyDescent="0.25">
      <c r="B3" t="s">
        <v>1650</v>
      </c>
      <c r="C3" t="s">
        <v>1663</v>
      </c>
    </row>
    <row r="4" spans="1:10" x14ac:dyDescent="0.25">
      <c r="B4" t="e">
        <f>CUBEMEMBER("pbiazure://api.powerbi.com 6e064a38-7f82-4416-9451-8d82a554b559 Model","[Measures].[HVL_ELIG]")</f>
        <v>#N/A</v>
      </c>
      <c r="E4" t="e">
        <f>CUBEMEMBER("pbiazure://api.powerbi.com 6e064a38-7f82-4416-9451-8d82a554b559 Model","[Measures].[HVL_N]")</f>
        <v>#N/A</v>
      </c>
      <c r="H4" t="e">
        <f>CUBEMEMBER("pbiazure://api.powerbi.com 6e064a38-7f82-4416-9451-8d82a554b559 Model","[Measures].[HVL_D]")</f>
        <v>#N/A</v>
      </c>
    </row>
    <row r="5" spans="1:10" x14ac:dyDescent="0.25">
      <c r="A5" t="s">
        <v>1648</v>
      </c>
      <c r="B5" t="e">
        <f>CUBEMEMBER("pbiazure://api.powerbi.com 6e064a38-7f82-4416-9451-8d82a554b559 Model",{"[Measures].[HVL_ELIG]","[Age Group].[AgeGroup_A_P].&amp;[A]"})</f>
        <v>#N/A</v>
      </c>
      <c r="C5" t="e">
        <f>CUBEMEMBER("pbiazure://api.powerbi.com 6e064a38-7f82-4416-9451-8d82a554b559 Model",{"[Measures].[HVL_ELIG]","[Age Group].[AgeGroup_A_P].&amp;[P]"})</f>
        <v>#N/A</v>
      </c>
      <c r="D5" t="e">
        <f>CUBEMEMBER("pbiazure://api.powerbi.com 6e064a38-7f82-4416-9451-8d82a554b559 Model",{"[Measures].[HVL_ELIG]","[Age Group].[AgeGroup_A_P].&amp;"})</f>
        <v>#N/A</v>
      </c>
      <c r="E5" t="e">
        <f>CUBEMEMBER("pbiazure://api.powerbi.com 6e064a38-7f82-4416-9451-8d82a554b559 Model",{"[Measures].[HVL_N]","[Age Group].[AgeGroup_A_P].&amp;[A]"})</f>
        <v>#N/A</v>
      </c>
      <c r="F5" t="e">
        <f>CUBEMEMBER("pbiazure://api.powerbi.com 6e064a38-7f82-4416-9451-8d82a554b559 Model",{"[Measures].[HVL_N]","[Age Group].[AgeGroup_A_P].&amp;[P]"})</f>
        <v>#N/A</v>
      </c>
      <c r="G5" t="e">
        <f>CUBEMEMBER("pbiazure://api.powerbi.com 6e064a38-7f82-4416-9451-8d82a554b559 Model",{"[Measures].[HVL_N]","[Age Group].[AgeGroup_A_P].&amp;"})</f>
        <v>#N/A</v>
      </c>
      <c r="H5" t="e">
        <f>CUBEMEMBER("pbiazure://api.powerbi.com 6e064a38-7f82-4416-9451-8d82a554b559 Model",{"[Measures].[HVL_D]","[Age Group].[AgeGroup_A_P].&amp;[A]"})</f>
        <v>#N/A</v>
      </c>
      <c r="I5" t="e">
        <f>CUBEMEMBER("pbiazure://api.powerbi.com 6e064a38-7f82-4416-9451-8d82a554b559 Model",{"[Measures].[HVL_D]","[Age Group].[AgeGroup_A_P].&amp;[P]"})</f>
        <v>#N/A</v>
      </c>
      <c r="J5" t="e">
        <f>CUBEMEMBER("pbiazure://api.powerbi.com 6e064a38-7f82-4416-9451-8d82a554b559 Model",{"[Measures].[HVL_D]","[Age Group].[AgeGroup_A_P].&amp;"})</f>
        <v>#N/A</v>
      </c>
    </row>
    <row r="6" spans="1:10" x14ac:dyDescent="0.25">
      <c r="A6" t="e">
        <f>CUBEMEMBER("pbiazure://api.powerbi.com 6e064a38-7f82-4416-9451-8d82a554b559 Model","[Facilities].[DATIMName].&amp;")</f>
        <v>#N/A</v>
      </c>
      <c r="B6" t="e">
        <f t="shared" ref="B6:J15" si="0">CUBEVALUE("pbiazure://api.powerbi.com 6e064a38-7f82-4416-9451-8d82a554b559 Model",$B$1,$A6,B$5)</f>
        <v>#N/A</v>
      </c>
      <c r="C6" t="e">
        <f t="shared" si="0"/>
        <v>#N/A</v>
      </c>
      <c r="D6" t="e">
        <f t="shared" si="0"/>
        <v>#N/A</v>
      </c>
      <c r="E6" t="e">
        <f t="shared" si="0"/>
        <v>#N/A</v>
      </c>
      <c r="F6" t="e">
        <f t="shared" si="0"/>
        <v>#N/A</v>
      </c>
      <c r="G6" t="e">
        <f t="shared" si="0"/>
        <v>#N/A</v>
      </c>
      <c r="H6" t="e">
        <f t="shared" si="0"/>
        <v>#N/A</v>
      </c>
      <c r="I6" t="e">
        <f t="shared" si="0"/>
        <v>#N/A</v>
      </c>
      <c r="J6" t="e">
        <f t="shared" si="0"/>
        <v>#N/A</v>
      </c>
    </row>
    <row r="7" spans="1:10" x14ac:dyDescent="0.25">
      <c r="A7" t="e">
        <f>CUBEMEMBER("pbiazure://api.powerbi.com 6e064a38-7f82-4416-9451-8d82a554b559 Model","[Facilities].[DATIMName].&amp;[Africa Amini Momella Health Center]")</f>
        <v>#N/A</v>
      </c>
      <c r="B7" t="e">
        <f t="shared" si="0"/>
        <v>#N/A</v>
      </c>
      <c r="C7" t="e">
        <f t="shared" si="0"/>
        <v>#N/A</v>
      </c>
      <c r="D7" t="e">
        <f t="shared" si="0"/>
        <v>#N/A</v>
      </c>
      <c r="E7" t="e">
        <f t="shared" si="0"/>
        <v>#N/A</v>
      </c>
      <c r="F7" t="e">
        <f t="shared" si="0"/>
        <v>#N/A</v>
      </c>
      <c r="G7" t="e">
        <f t="shared" si="0"/>
        <v>#N/A</v>
      </c>
      <c r="H7" t="e">
        <f t="shared" si="0"/>
        <v>#N/A</v>
      </c>
      <c r="I7" t="e">
        <f t="shared" si="0"/>
        <v>#N/A</v>
      </c>
      <c r="J7" t="e">
        <f t="shared" si="0"/>
        <v>#N/A</v>
      </c>
    </row>
    <row r="8" spans="1:10" x14ac:dyDescent="0.25">
      <c r="A8" t="e">
        <f>CUBEMEMBER("pbiazure://api.powerbi.com 6e064a38-7f82-4416-9451-8d82a554b559 Model","[Facilities].[DATIMName].&amp;[Aga Khan Dispensary]")</f>
        <v>#N/A</v>
      </c>
      <c r="B8" t="e">
        <f t="shared" si="0"/>
        <v>#N/A</v>
      </c>
      <c r="C8" t="e">
        <f t="shared" si="0"/>
        <v>#N/A</v>
      </c>
      <c r="D8" t="e">
        <f t="shared" si="0"/>
        <v>#N/A</v>
      </c>
      <c r="E8" t="e">
        <f t="shared" si="0"/>
        <v>#N/A</v>
      </c>
      <c r="F8" t="e">
        <f t="shared" si="0"/>
        <v>#N/A</v>
      </c>
      <c r="G8" t="e">
        <f t="shared" si="0"/>
        <v>#N/A</v>
      </c>
      <c r="H8" t="e">
        <f t="shared" si="0"/>
        <v>#N/A</v>
      </c>
      <c r="I8" t="e">
        <f t="shared" si="0"/>
        <v>#N/A</v>
      </c>
      <c r="J8" t="e">
        <f t="shared" si="0"/>
        <v>#N/A</v>
      </c>
    </row>
    <row r="9" spans="1:10" x14ac:dyDescent="0.25">
      <c r="A9" t="e">
        <f>CUBEMEMBER("pbiazure://api.powerbi.com 6e064a38-7f82-4416-9451-8d82a554b559 Model","[Facilities].[DATIMName].&amp;[AICC Hospital]")</f>
        <v>#N/A</v>
      </c>
      <c r="B9" t="e">
        <f t="shared" si="0"/>
        <v>#N/A</v>
      </c>
      <c r="C9" t="e">
        <f t="shared" si="0"/>
        <v>#N/A</v>
      </c>
      <c r="D9" t="e">
        <f t="shared" si="0"/>
        <v>#N/A</v>
      </c>
      <c r="E9" t="e">
        <f t="shared" si="0"/>
        <v>#N/A</v>
      </c>
      <c r="F9" t="e">
        <f t="shared" si="0"/>
        <v>#N/A</v>
      </c>
      <c r="G9" t="e">
        <f t="shared" si="0"/>
        <v>#N/A</v>
      </c>
      <c r="H9" t="e">
        <f t="shared" si="0"/>
        <v>#N/A</v>
      </c>
      <c r="I9" t="e">
        <f t="shared" si="0"/>
        <v>#N/A</v>
      </c>
      <c r="J9" t="e">
        <f t="shared" si="0"/>
        <v>#N/A</v>
      </c>
    </row>
    <row r="10" spans="1:10" x14ac:dyDescent="0.25">
      <c r="A10" t="e">
        <f>CUBEMEMBER("pbiazure://api.powerbi.com 6e064a38-7f82-4416-9451-8d82a554b559 Model","[Facilities].[DATIMName].&amp;[Arusha Lutheran Center Hospital - Referral Hospital]")</f>
        <v>#N/A</v>
      </c>
      <c r="B10" t="e">
        <f t="shared" si="0"/>
        <v>#N/A</v>
      </c>
      <c r="C10" t="e">
        <f t="shared" si="0"/>
        <v>#N/A</v>
      </c>
      <c r="D10" t="e">
        <f t="shared" si="0"/>
        <v>#N/A</v>
      </c>
      <c r="E10" t="e">
        <f t="shared" si="0"/>
        <v>#N/A</v>
      </c>
      <c r="F10" t="e">
        <f t="shared" si="0"/>
        <v>#N/A</v>
      </c>
      <c r="G10" t="e">
        <f t="shared" si="0"/>
        <v>#N/A</v>
      </c>
      <c r="H10" t="e">
        <f t="shared" si="0"/>
        <v>#N/A</v>
      </c>
      <c r="I10" t="e">
        <f t="shared" si="0"/>
        <v>#N/A</v>
      </c>
      <c r="J10" t="e">
        <f t="shared" si="0"/>
        <v>#N/A</v>
      </c>
    </row>
    <row r="11" spans="1:10" x14ac:dyDescent="0.25">
      <c r="A11" t="e">
        <f>CUBEMEMBER("pbiazure://api.powerbi.com 6e064a38-7f82-4416-9451-8d82a554b559 Model","[Facilities].[DATIMName].&amp;[Ashe engai RC Health Center]")</f>
        <v>#N/A</v>
      </c>
      <c r="B11" t="e">
        <f t="shared" si="0"/>
        <v>#N/A</v>
      </c>
      <c r="C11" t="e">
        <f t="shared" si="0"/>
        <v>#N/A</v>
      </c>
      <c r="D11" t="e">
        <f t="shared" si="0"/>
        <v>#N/A</v>
      </c>
      <c r="E11" t="e">
        <f t="shared" si="0"/>
        <v>#N/A</v>
      </c>
      <c r="F11" t="e">
        <f t="shared" si="0"/>
        <v>#N/A</v>
      </c>
      <c r="G11" t="e">
        <f t="shared" si="0"/>
        <v>#N/A</v>
      </c>
      <c r="H11" t="e">
        <f t="shared" si="0"/>
        <v>#N/A</v>
      </c>
      <c r="I11" t="e">
        <f t="shared" si="0"/>
        <v>#N/A</v>
      </c>
      <c r="J11" t="e">
        <f t="shared" si="0"/>
        <v>#N/A</v>
      </c>
    </row>
    <row r="12" spans="1:10" x14ac:dyDescent="0.25">
      <c r="A12" t="e">
        <f>CUBEMEMBER("pbiazure://api.powerbi.com 6e064a38-7f82-4416-9451-8d82a554b559 Model","[Facilities].[DATIMName].&amp;[Babati Hospital - District Hospital]")</f>
        <v>#N/A</v>
      </c>
      <c r="B12" t="e">
        <f t="shared" si="0"/>
        <v>#N/A</v>
      </c>
      <c r="C12" t="e">
        <f t="shared" si="0"/>
        <v>#N/A</v>
      </c>
      <c r="D12" t="e">
        <f t="shared" si="0"/>
        <v>#N/A</v>
      </c>
      <c r="E12" t="e">
        <f t="shared" si="0"/>
        <v>#N/A</v>
      </c>
      <c r="F12" t="e">
        <f t="shared" si="0"/>
        <v>#N/A</v>
      </c>
      <c r="G12" t="e">
        <f t="shared" si="0"/>
        <v>#N/A</v>
      </c>
      <c r="H12" t="e">
        <f t="shared" si="0"/>
        <v>#N/A</v>
      </c>
      <c r="I12" t="e">
        <f t="shared" si="0"/>
        <v>#N/A</v>
      </c>
      <c r="J12" t="e">
        <f t="shared" si="0"/>
        <v>#N/A</v>
      </c>
    </row>
    <row r="13" spans="1:10" x14ac:dyDescent="0.25">
      <c r="A13" t="e">
        <f>CUBEMEMBER("pbiazure://api.powerbi.com 6e064a38-7f82-4416-9451-8d82a554b559 Model","[Facilities].[DATIMName].&amp;[Babati Romancatholic Dispensary]")</f>
        <v>#N/A</v>
      </c>
      <c r="B13" t="e">
        <f t="shared" si="0"/>
        <v>#N/A</v>
      </c>
      <c r="C13" t="e">
        <f t="shared" si="0"/>
        <v>#N/A</v>
      </c>
      <c r="D13" t="e">
        <f t="shared" si="0"/>
        <v>#N/A</v>
      </c>
      <c r="E13" t="e">
        <f t="shared" si="0"/>
        <v>#N/A</v>
      </c>
      <c r="F13" t="e">
        <f t="shared" si="0"/>
        <v>#N/A</v>
      </c>
      <c r="G13" t="e">
        <f t="shared" si="0"/>
        <v>#N/A</v>
      </c>
      <c r="H13" t="e">
        <f t="shared" si="0"/>
        <v>#N/A</v>
      </c>
      <c r="I13" t="e">
        <f t="shared" si="0"/>
        <v>#N/A</v>
      </c>
      <c r="J13" t="e">
        <f t="shared" si="0"/>
        <v>#N/A</v>
      </c>
    </row>
    <row r="14" spans="1:10" x14ac:dyDescent="0.25">
      <c r="A14" t="e">
        <f>CUBEMEMBER("pbiazure://api.powerbi.com 6e064a38-7f82-4416-9451-8d82a554b559 Model","[Facilities].[DATIMName].&amp;[Babayu Dispensary]")</f>
        <v>#N/A</v>
      </c>
      <c r="B14" t="e">
        <f t="shared" si="0"/>
        <v>#N/A</v>
      </c>
      <c r="C14" t="e">
        <f t="shared" si="0"/>
        <v>#N/A</v>
      </c>
      <c r="D14" t="e">
        <f t="shared" si="0"/>
        <v>#N/A</v>
      </c>
      <c r="E14" t="e">
        <f t="shared" si="0"/>
        <v>#N/A</v>
      </c>
      <c r="F14" t="e">
        <f t="shared" si="0"/>
        <v>#N/A</v>
      </c>
      <c r="G14" t="e">
        <f t="shared" si="0"/>
        <v>#N/A</v>
      </c>
      <c r="H14" t="e">
        <f t="shared" si="0"/>
        <v>#N/A</v>
      </c>
      <c r="I14" t="e">
        <f t="shared" si="0"/>
        <v>#N/A</v>
      </c>
      <c r="J14" t="e">
        <f t="shared" si="0"/>
        <v>#N/A</v>
      </c>
    </row>
    <row r="15" spans="1:10" x14ac:dyDescent="0.25">
      <c r="A15" t="e">
        <f>CUBEMEMBER("pbiazure://api.powerbi.com 6e064a38-7f82-4416-9451-8d82a554b559 Model","[Facilities].[DATIMName].&amp;[Bahi Health Center]")</f>
        <v>#N/A</v>
      </c>
      <c r="B15" t="e">
        <f t="shared" si="0"/>
        <v>#N/A</v>
      </c>
      <c r="C15" t="e">
        <f t="shared" si="0"/>
        <v>#N/A</v>
      </c>
      <c r="D15" t="e">
        <f t="shared" si="0"/>
        <v>#N/A</v>
      </c>
      <c r="E15" t="e">
        <f t="shared" si="0"/>
        <v>#N/A</v>
      </c>
      <c r="F15" t="e">
        <f t="shared" si="0"/>
        <v>#N/A</v>
      </c>
      <c r="G15" t="e">
        <f t="shared" si="0"/>
        <v>#N/A</v>
      </c>
      <c r="H15" t="e">
        <f t="shared" si="0"/>
        <v>#N/A</v>
      </c>
      <c r="I15" t="e">
        <f t="shared" si="0"/>
        <v>#N/A</v>
      </c>
      <c r="J15" t="e">
        <f t="shared" si="0"/>
        <v>#N/A</v>
      </c>
    </row>
    <row r="16" spans="1:10" x14ac:dyDescent="0.25">
      <c r="A16" t="e">
        <f>CUBEMEMBER("pbiazure://api.powerbi.com 6e064a38-7f82-4416-9451-8d82a554b559 Model","[Facilities].[DATIMName].&amp;[Banyibanyi Dispensary]")</f>
        <v>#N/A</v>
      </c>
      <c r="B16" t="e">
        <f t="shared" ref="B16:J25" si="1">CUBEVALUE("pbiazure://api.powerbi.com 6e064a38-7f82-4416-9451-8d82a554b559 Model",$B$1,$A16,B$5)</f>
        <v>#N/A</v>
      </c>
      <c r="C16" t="e">
        <f t="shared" si="1"/>
        <v>#N/A</v>
      </c>
      <c r="D16" t="e">
        <f t="shared" si="1"/>
        <v>#N/A</v>
      </c>
      <c r="E16" t="e">
        <f t="shared" si="1"/>
        <v>#N/A</v>
      </c>
      <c r="F16" t="e">
        <f t="shared" si="1"/>
        <v>#N/A</v>
      </c>
      <c r="G16" t="e">
        <f t="shared" si="1"/>
        <v>#N/A</v>
      </c>
      <c r="H16" t="e">
        <f t="shared" si="1"/>
        <v>#N/A</v>
      </c>
      <c r="I16" t="e">
        <f t="shared" si="1"/>
        <v>#N/A</v>
      </c>
      <c r="J16" t="e">
        <f t="shared" si="1"/>
        <v>#N/A</v>
      </c>
    </row>
    <row r="17" spans="1:10" x14ac:dyDescent="0.25">
      <c r="A17" t="e">
        <f>CUBEMEMBER("pbiazure://api.powerbi.com 6e064a38-7f82-4416-9451-8d82a554b559 Model","[Facilities].[DATIMName].&amp;[Bashay Dispensary]")</f>
        <v>#N/A</v>
      </c>
      <c r="B17" t="e">
        <f t="shared" si="1"/>
        <v>#N/A</v>
      </c>
      <c r="C17" t="e">
        <f t="shared" si="1"/>
        <v>#N/A</v>
      </c>
      <c r="D17" t="e">
        <f t="shared" si="1"/>
        <v>#N/A</v>
      </c>
      <c r="E17" t="e">
        <f t="shared" si="1"/>
        <v>#N/A</v>
      </c>
      <c r="F17" t="e">
        <f t="shared" si="1"/>
        <v>#N/A</v>
      </c>
      <c r="G17" t="e">
        <f t="shared" si="1"/>
        <v>#N/A</v>
      </c>
      <c r="H17" t="e">
        <f t="shared" si="1"/>
        <v>#N/A</v>
      </c>
      <c r="I17" t="e">
        <f t="shared" si="1"/>
        <v>#N/A</v>
      </c>
      <c r="J17" t="e">
        <f t="shared" si="1"/>
        <v>#N/A</v>
      </c>
    </row>
    <row r="18" spans="1:10" x14ac:dyDescent="0.25">
      <c r="A18" t="e">
        <f>CUBEMEMBER("pbiazure://api.powerbi.com 6e064a38-7f82-4416-9451-8d82a554b559 Model","[Facilities].[DATIMName].&amp;[Bashnet Hospital]")</f>
        <v>#N/A</v>
      </c>
      <c r="B18" t="e">
        <f t="shared" si="1"/>
        <v>#N/A</v>
      </c>
      <c r="C18" t="e">
        <f t="shared" si="1"/>
        <v>#N/A</v>
      </c>
      <c r="D18" t="e">
        <f t="shared" si="1"/>
        <v>#N/A</v>
      </c>
      <c r="E18" t="e">
        <f t="shared" si="1"/>
        <v>#N/A</v>
      </c>
      <c r="F18" t="e">
        <f t="shared" si="1"/>
        <v>#N/A</v>
      </c>
      <c r="G18" t="e">
        <f t="shared" si="1"/>
        <v>#N/A</v>
      </c>
      <c r="H18" t="e">
        <f t="shared" si="1"/>
        <v>#N/A</v>
      </c>
      <c r="I18" t="e">
        <f t="shared" si="1"/>
        <v>#N/A</v>
      </c>
      <c r="J18" t="e">
        <f t="shared" si="1"/>
        <v>#N/A</v>
      </c>
    </row>
    <row r="19" spans="1:10" x14ac:dyDescent="0.25">
      <c r="A19" t="e">
        <f>CUBEMEMBER("pbiazure://api.powerbi.com 6e064a38-7f82-4416-9451-8d82a554b559 Model","[Facilities].[DATIMName].&amp;[Benjamini Mkapa]")</f>
        <v>#N/A</v>
      </c>
      <c r="B19" t="e">
        <f t="shared" si="1"/>
        <v>#N/A</v>
      </c>
      <c r="C19" t="e">
        <f t="shared" si="1"/>
        <v>#N/A</v>
      </c>
      <c r="D19" t="e">
        <f t="shared" si="1"/>
        <v>#N/A</v>
      </c>
      <c r="E19" t="e">
        <f t="shared" si="1"/>
        <v>#N/A</v>
      </c>
      <c r="F19" t="e">
        <f t="shared" si="1"/>
        <v>#N/A</v>
      </c>
      <c r="G19" t="e">
        <f t="shared" si="1"/>
        <v>#N/A</v>
      </c>
      <c r="H19" t="e">
        <f t="shared" si="1"/>
        <v>#N/A</v>
      </c>
      <c r="I19" t="e">
        <f t="shared" si="1"/>
        <v>#N/A</v>
      </c>
      <c r="J19" t="e">
        <f t="shared" si="1"/>
        <v>#N/A</v>
      </c>
    </row>
    <row r="20" spans="1:10" x14ac:dyDescent="0.25">
      <c r="A20" t="e">
        <f>CUBEMEMBER("pbiazure://api.powerbi.com 6e064a38-7f82-4416-9451-8d82a554b559 Model","[Facilities].[DATIMName].&amp;[Bolisa Dispensary]")</f>
        <v>#N/A</v>
      </c>
      <c r="B20" t="e">
        <f t="shared" si="1"/>
        <v>#N/A</v>
      </c>
      <c r="C20" t="e">
        <f t="shared" si="1"/>
        <v>#N/A</v>
      </c>
      <c r="D20" t="e">
        <f t="shared" si="1"/>
        <v>#N/A</v>
      </c>
      <c r="E20" t="e">
        <f t="shared" si="1"/>
        <v>#N/A</v>
      </c>
      <c r="F20" t="e">
        <f t="shared" si="1"/>
        <v>#N/A</v>
      </c>
      <c r="G20" t="e">
        <f t="shared" si="1"/>
        <v>#N/A</v>
      </c>
      <c r="H20" t="e">
        <f t="shared" si="1"/>
        <v>#N/A</v>
      </c>
      <c r="I20" t="e">
        <f t="shared" si="1"/>
        <v>#N/A</v>
      </c>
      <c r="J20" t="e">
        <f t="shared" si="1"/>
        <v>#N/A</v>
      </c>
    </row>
    <row r="21" spans="1:10" x14ac:dyDescent="0.25">
      <c r="A21" t="e">
        <f>CUBEMEMBER("pbiazure://api.powerbi.com 6e064a38-7f82-4416-9451-8d82a554b559 Model","[Facilities].[DATIMName].&amp;[Bomani Dispensary]")</f>
        <v>#N/A</v>
      </c>
      <c r="B21" t="e">
        <f t="shared" si="1"/>
        <v>#N/A</v>
      </c>
      <c r="C21" t="e">
        <f t="shared" si="1"/>
        <v>#N/A</v>
      </c>
      <c r="D21" t="e">
        <f t="shared" si="1"/>
        <v>#N/A</v>
      </c>
      <c r="E21" t="e">
        <f t="shared" si="1"/>
        <v>#N/A</v>
      </c>
      <c r="F21" t="e">
        <f t="shared" si="1"/>
        <v>#N/A</v>
      </c>
      <c r="G21" t="e">
        <f t="shared" si="1"/>
        <v>#N/A</v>
      </c>
      <c r="H21" t="e">
        <f t="shared" si="1"/>
        <v>#N/A</v>
      </c>
      <c r="I21" t="e">
        <f t="shared" si="1"/>
        <v>#N/A</v>
      </c>
      <c r="J21" t="e">
        <f t="shared" si="1"/>
        <v>#N/A</v>
      </c>
    </row>
    <row r="22" spans="1:10" x14ac:dyDescent="0.25">
      <c r="A22" t="e">
        <f>CUBEMEMBER("pbiazure://api.powerbi.com 6e064a38-7f82-4416-9451-8d82a554b559 Model","[Facilities].[DATIMName].&amp;[Bondeni Dispensary]")</f>
        <v>#N/A</v>
      </c>
      <c r="B22" t="e">
        <f t="shared" si="1"/>
        <v>#N/A</v>
      </c>
      <c r="C22" t="e">
        <f t="shared" si="1"/>
        <v>#N/A</v>
      </c>
      <c r="D22" t="e">
        <f t="shared" si="1"/>
        <v>#N/A</v>
      </c>
      <c r="E22" t="e">
        <f t="shared" si="1"/>
        <v>#N/A</v>
      </c>
      <c r="F22" t="e">
        <f t="shared" si="1"/>
        <v>#N/A</v>
      </c>
      <c r="G22" t="e">
        <f t="shared" si="1"/>
        <v>#N/A</v>
      </c>
      <c r="H22" t="e">
        <f t="shared" si="1"/>
        <v>#N/A</v>
      </c>
      <c r="I22" t="e">
        <f t="shared" si="1"/>
        <v>#N/A</v>
      </c>
      <c r="J22" t="e">
        <f t="shared" si="1"/>
        <v>#N/A</v>
      </c>
    </row>
    <row r="23" spans="1:10" x14ac:dyDescent="0.25">
      <c r="A23" t="e">
        <f>CUBEMEMBER("pbiazure://api.powerbi.com 6e064a38-7f82-4416-9451-8d82a554b559 Model","[Facilities].[DATIMName].&amp;[Bonga Health Center]")</f>
        <v>#N/A</v>
      </c>
      <c r="B23" t="e">
        <f t="shared" si="1"/>
        <v>#N/A</v>
      </c>
      <c r="C23" t="e">
        <f t="shared" si="1"/>
        <v>#N/A</v>
      </c>
      <c r="D23" t="e">
        <f t="shared" si="1"/>
        <v>#N/A</v>
      </c>
      <c r="E23" t="e">
        <f t="shared" si="1"/>
        <v>#N/A</v>
      </c>
      <c r="F23" t="e">
        <f t="shared" si="1"/>
        <v>#N/A</v>
      </c>
      <c r="G23" t="e">
        <f t="shared" si="1"/>
        <v>#N/A</v>
      </c>
      <c r="H23" t="e">
        <f t="shared" si="1"/>
        <v>#N/A</v>
      </c>
      <c r="I23" t="e">
        <f t="shared" si="1"/>
        <v>#N/A</v>
      </c>
      <c r="J23" t="e">
        <f t="shared" si="1"/>
        <v>#N/A</v>
      </c>
    </row>
    <row r="24" spans="1:10" x14ac:dyDescent="0.25">
      <c r="A24" t="e">
        <f>CUBEMEMBER("pbiazure://api.powerbi.com 6e064a38-7f82-4416-9451-8d82a554b559 Model","[Facilities].[DATIMName].&amp;[Bumbuta Dispensary]")</f>
        <v>#N/A</v>
      </c>
      <c r="B24" t="e">
        <f t="shared" si="1"/>
        <v>#N/A</v>
      </c>
      <c r="C24" t="e">
        <f t="shared" si="1"/>
        <v>#N/A</v>
      </c>
      <c r="D24" t="e">
        <f t="shared" si="1"/>
        <v>#N/A</v>
      </c>
      <c r="E24" t="e">
        <f t="shared" si="1"/>
        <v>#N/A</v>
      </c>
      <c r="F24" t="e">
        <f t="shared" si="1"/>
        <v>#N/A</v>
      </c>
      <c r="G24" t="e">
        <f t="shared" si="1"/>
        <v>#N/A</v>
      </c>
      <c r="H24" t="e">
        <f t="shared" si="1"/>
        <v>#N/A</v>
      </c>
      <c r="I24" t="e">
        <f t="shared" si="1"/>
        <v>#N/A</v>
      </c>
      <c r="J24" t="e">
        <f t="shared" si="1"/>
        <v>#N/A</v>
      </c>
    </row>
    <row r="25" spans="1:10" x14ac:dyDescent="0.25">
      <c r="A25" t="e">
        <f>CUBEMEMBER("pbiazure://api.powerbi.com 6e064a38-7f82-4416-9451-8d82a554b559 Model","[Facilities].[DATIMName].&amp;[Busi Health Center]")</f>
        <v>#N/A</v>
      </c>
      <c r="B25" t="e">
        <f t="shared" si="1"/>
        <v>#N/A</v>
      </c>
      <c r="C25" t="e">
        <f t="shared" si="1"/>
        <v>#N/A</v>
      </c>
      <c r="D25" t="e">
        <f t="shared" si="1"/>
        <v>#N/A</v>
      </c>
      <c r="E25" t="e">
        <f t="shared" si="1"/>
        <v>#N/A</v>
      </c>
      <c r="F25" t="e">
        <f t="shared" si="1"/>
        <v>#N/A</v>
      </c>
      <c r="G25" t="e">
        <f t="shared" si="1"/>
        <v>#N/A</v>
      </c>
      <c r="H25" t="e">
        <f t="shared" si="1"/>
        <v>#N/A</v>
      </c>
      <c r="I25" t="e">
        <f t="shared" si="1"/>
        <v>#N/A</v>
      </c>
      <c r="J25" t="e">
        <f t="shared" si="1"/>
        <v>#N/A</v>
      </c>
    </row>
    <row r="26" spans="1:10" x14ac:dyDescent="0.25">
      <c r="A26" t="e">
        <f>CUBEMEMBER("pbiazure://api.powerbi.com 6e064a38-7f82-4416-9451-8d82a554b559 Model","[Facilities].[DATIMName].&amp;[Bwambo HC Health Center]")</f>
        <v>#N/A</v>
      </c>
      <c r="B26" t="e">
        <f t="shared" ref="B26:J35" si="2">CUBEVALUE("pbiazure://api.powerbi.com 6e064a38-7f82-4416-9451-8d82a554b559 Model",$B$1,$A26,B$5)</f>
        <v>#N/A</v>
      </c>
      <c r="C26" t="e">
        <f t="shared" si="2"/>
        <v>#N/A</v>
      </c>
      <c r="D26" t="e">
        <f t="shared" si="2"/>
        <v>#N/A</v>
      </c>
      <c r="E26" t="e">
        <f t="shared" si="2"/>
        <v>#N/A</v>
      </c>
      <c r="F26" t="e">
        <f t="shared" si="2"/>
        <v>#N/A</v>
      </c>
      <c r="G26" t="e">
        <f t="shared" si="2"/>
        <v>#N/A</v>
      </c>
      <c r="H26" t="e">
        <f t="shared" si="2"/>
        <v>#N/A</v>
      </c>
      <c r="I26" t="e">
        <f t="shared" si="2"/>
        <v>#N/A</v>
      </c>
      <c r="J26" t="e">
        <f t="shared" si="2"/>
        <v>#N/A</v>
      </c>
    </row>
    <row r="27" spans="1:10" x14ac:dyDescent="0.25">
      <c r="A27" t="e">
        <f>CUBEMEMBER("pbiazure://api.powerbi.com 6e064a38-7f82-4416-9451-8d82a554b559 Model","[Facilities].[DATIMName].&amp;[Chambalo Dispensary]")</f>
        <v>#N/A</v>
      </c>
      <c r="B27" t="e">
        <f t="shared" si="2"/>
        <v>#N/A</v>
      </c>
      <c r="C27" t="e">
        <f t="shared" si="2"/>
        <v>#N/A</v>
      </c>
      <c r="D27" t="e">
        <f t="shared" si="2"/>
        <v>#N/A</v>
      </c>
      <c r="E27" t="e">
        <f t="shared" si="2"/>
        <v>#N/A</v>
      </c>
      <c r="F27" t="e">
        <f t="shared" si="2"/>
        <v>#N/A</v>
      </c>
      <c r="G27" t="e">
        <f t="shared" si="2"/>
        <v>#N/A</v>
      </c>
      <c r="H27" t="e">
        <f t="shared" si="2"/>
        <v>#N/A</v>
      </c>
      <c r="I27" t="e">
        <f t="shared" si="2"/>
        <v>#N/A</v>
      </c>
      <c r="J27" t="e">
        <f t="shared" si="2"/>
        <v>#N/A</v>
      </c>
    </row>
    <row r="28" spans="1:10" x14ac:dyDescent="0.25">
      <c r="A28" t="e">
        <f>CUBEMEMBER("pbiazure://api.powerbi.com 6e064a38-7f82-4416-9451-8d82a554b559 Model","[Facilities].[DATIMName].&amp;[Chamkoroma Dispensary]")</f>
        <v>#N/A</v>
      </c>
      <c r="B28" t="e">
        <f t="shared" si="2"/>
        <v>#N/A</v>
      </c>
      <c r="C28" t="e">
        <f t="shared" si="2"/>
        <v>#N/A</v>
      </c>
      <c r="D28" t="e">
        <f t="shared" si="2"/>
        <v>#N/A</v>
      </c>
      <c r="E28" t="e">
        <f t="shared" si="2"/>
        <v>#N/A</v>
      </c>
      <c r="F28" t="e">
        <f t="shared" si="2"/>
        <v>#N/A</v>
      </c>
      <c r="G28" t="e">
        <f t="shared" si="2"/>
        <v>#N/A</v>
      </c>
      <c r="H28" t="e">
        <f t="shared" si="2"/>
        <v>#N/A</v>
      </c>
      <c r="I28" t="e">
        <f t="shared" si="2"/>
        <v>#N/A</v>
      </c>
      <c r="J28" t="e">
        <f t="shared" si="2"/>
        <v>#N/A</v>
      </c>
    </row>
    <row r="29" spans="1:10" x14ac:dyDescent="0.25">
      <c r="A29" t="e">
        <f>CUBEMEMBER("pbiazure://api.powerbi.com 6e064a38-7f82-4416-9451-8d82a554b559 Model","[Facilities].[DATIMName].&amp;[Chamwino DTC Dispensary]")</f>
        <v>#N/A</v>
      </c>
      <c r="B29" t="e">
        <f t="shared" si="2"/>
        <v>#N/A</v>
      </c>
      <c r="C29" t="e">
        <f t="shared" si="2"/>
        <v>#N/A</v>
      </c>
      <c r="D29" t="e">
        <f t="shared" si="2"/>
        <v>#N/A</v>
      </c>
      <c r="E29" t="e">
        <f t="shared" si="2"/>
        <v>#N/A</v>
      </c>
      <c r="F29" t="e">
        <f t="shared" si="2"/>
        <v>#N/A</v>
      </c>
      <c r="G29" t="e">
        <f t="shared" si="2"/>
        <v>#N/A</v>
      </c>
      <c r="H29" t="e">
        <f t="shared" si="2"/>
        <v>#N/A</v>
      </c>
      <c r="I29" t="e">
        <f t="shared" si="2"/>
        <v>#N/A</v>
      </c>
      <c r="J29" t="e">
        <f t="shared" si="2"/>
        <v>#N/A</v>
      </c>
    </row>
    <row r="30" spans="1:10" x14ac:dyDescent="0.25">
      <c r="A30" t="e">
        <f>CUBEMEMBER("pbiazure://api.powerbi.com 6e064a38-7f82-4416-9451-8d82a554b559 Model","[Facilities].[DATIMName].&amp;[Chamwino RHC Health Center]")</f>
        <v>#N/A</v>
      </c>
      <c r="B30" t="e">
        <f t="shared" si="2"/>
        <v>#N/A</v>
      </c>
      <c r="C30" t="e">
        <f t="shared" si="2"/>
        <v>#N/A</v>
      </c>
      <c r="D30" t="e">
        <f t="shared" si="2"/>
        <v>#N/A</v>
      </c>
      <c r="E30" t="e">
        <f t="shared" si="2"/>
        <v>#N/A</v>
      </c>
      <c r="F30" t="e">
        <f t="shared" si="2"/>
        <v>#N/A</v>
      </c>
      <c r="G30" t="e">
        <f t="shared" si="2"/>
        <v>#N/A</v>
      </c>
      <c r="H30" t="e">
        <f t="shared" si="2"/>
        <v>#N/A</v>
      </c>
      <c r="I30" t="e">
        <f t="shared" si="2"/>
        <v>#N/A</v>
      </c>
      <c r="J30" t="e">
        <f t="shared" si="2"/>
        <v>#N/A</v>
      </c>
    </row>
    <row r="31" spans="1:10" x14ac:dyDescent="0.25">
      <c r="A31" t="e">
        <f>CUBEMEMBER("pbiazure://api.powerbi.com 6e064a38-7f82-4416-9451-8d82a554b559 Model","[Facilities].[DATIMName].&amp;[Chandama Dispensary]")</f>
        <v>#N/A</v>
      </c>
      <c r="B31" t="e">
        <f t="shared" si="2"/>
        <v>#N/A</v>
      </c>
      <c r="C31" t="e">
        <f t="shared" si="2"/>
        <v>#N/A</v>
      </c>
      <c r="D31" t="e">
        <f t="shared" si="2"/>
        <v>#N/A</v>
      </c>
      <c r="E31" t="e">
        <f t="shared" si="2"/>
        <v>#N/A</v>
      </c>
      <c r="F31" t="e">
        <f t="shared" si="2"/>
        <v>#N/A</v>
      </c>
      <c r="G31" t="e">
        <f t="shared" si="2"/>
        <v>#N/A</v>
      </c>
      <c r="H31" t="e">
        <f t="shared" si="2"/>
        <v>#N/A</v>
      </c>
      <c r="I31" t="e">
        <f t="shared" si="2"/>
        <v>#N/A</v>
      </c>
      <c r="J31" t="e">
        <f t="shared" si="2"/>
        <v>#N/A</v>
      </c>
    </row>
    <row r="32" spans="1:10" x14ac:dyDescent="0.25">
      <c r="A32" t="e">
        <f>CUBEMEMBER("pbiazure://api.powerbi.com 6e064a38-7f82-4416-9451-8d82a554b559 Model","[Facilities].[DATIMName].&amp;[Charlotte Health Center]")</f>
        <v>#N/A</v>
      </c>
      <c r="B32" t="e">
        <f t="shared" si="2"/>
        <v>#N/A</v>
      </c>
      <c r="C32" t="e">
        <f t="shared" si="2"/>
        <v>#N/A</v>
      </c>
      <c r="D32" t="e">
        <f t="shared" si="2"/>
        <v>#N/A</v>
      </c>
      <c r="E32" t="e">
        <f t="shared" si="2"/>
        <v>#N/A</v>
      </c>
      <c r="F32" t="e">
        <f t="shared" si="2"/>
        <v>#N/A</v>
      </c>
      <c r="G32" t="e">
        <f t="shared" si="2"/>
        <v>#N/A</v>
      </c>
      <c r="H32" t="e">
        <f t="shared" si="2"/>
        <v>#N/A</v>
      </c>
      <c r="I32" t="e">
        <f t="shared" si="2"/>
        <v>#N/A</v>
      </c>
      <c r="J32" t="e">
        <f t="shared" si="2"/>
        <v>#N/A</v>
      </c>
    </row>
    <row r="33" spans="1:10" x14ac:dyDescent="0.25">
      <c r="A33" t="e">
        <f>CUBEMEMBER("pbiazure://api.powerbi.com 6e064a38-7f82-4416-9451-8d82a554b559 Model","[Facilities].[DATIMName].&amp;[Chekereni Dispensary]")</f>
        <v>#N/A</v>
      </c>
      <c r="B33" t="e">
        <f t="shared" si="2"/>
        <v>#N/A</v>
      </c>
      <c r="C33" t="e">
        <f t="shared" si="2"/>
        <v>#N/A</v>
      </c>
      <c r="D33" t="e">
        <f t="shared" si="2"/>
        <v>#N/A</v>
      </c>
      <c r="E33" t="e">
        <f t="shared" si="2"/>
        <v>#N/A</v>
      </c>
      <c r="F33" t="e">
        <f t="shared" si="2"/>
        <v>#N/A</v>
      </c>
      <c r="G33" t="e">
        <f t="shared" si="2"/>
        <v>#N/A</v>
      </c>
      <c r="H33" t="e">
        <f t="shared" si="2"/>
        <v>#N/A</v>
      </c>
      <c r="I33" t="e">
        <f t="shared" si="2"/>
        <v>#N/A</v>
      </c>
      <c r="J33" t="e">
        <f t="shared" si="2"/>
        <v>#N/A</v>
      </c>
    </row>
    <row r="34" spans="1:10" x14ac:dyDescent="0.25">
      <c r="A34" t="e">
        <f>CUBEMEMBER("pbiazure://api.powerbi.com 6e064a38-7f82-4416-9451-8d82a554b559 Model","[Facilities].[DATIMName].&amp;[Chibelela Dispensary]")</f>
        <v>#N/A</v>
      </c>
      <c r="B34" t="e">
        <f t="shared" si="2"/>
        <v>#N/A</v>
      </c>
      <c r="C34" t="e">
        <f t="shared" si="2"/>
        <v>#N/A</v>
      </c>
      <c r="D34" t="e">
        <f t="shared" si="2"/>
        <v>#N/A</v>
      </c>
      <c r="E34" t="e">
        <f t="shared" si="2"/>
        <v>#N/A</v>
      </c>
      <c r="F34" t="e">
        <f t="shared" si="2"/>
        <v>#N/A</v>
      </c>
      <c r="G34" t="e">
        <f t="shared" si="2"/>
        <v>#N/A</v>
      </c>
      <c r="H34" t="e">
        <f t="shared" si="2"/>
        <v>#N/A</v>
      </c>
      <c r="I34" t="e">
        <f t="shared" si="2"/>
        <v>#N/A</v>
      </c>
      <c r="J34" t="e">
        <f t="shared" si="2"/>
        <v>#N/A</v>
      </c>
    </row>
    <row r="35" spans="1:10" x14ac:dyDescent="0.25">
      <c r="A35" t="e">
        <f>CUBEMEMBER("pbiazure://api.powerbi.com 6e064a38-7f82-4416-9451-8d82a554b559 Model","[Facilities].[DATIMName].&amp;[Chifukuta Dispensary]")</f>
        <v>#N/A</v>
      </c>
      <c r="B35" t="e">
        <f t="shared" si="2"/>
        <v>#N/A</v>
      </c>
      <c r="C35" t="e">
        <f t="shared" si="2"/>
        <v>#N/A</v>
      </c>
      <c r="D35" t="e">
        <f t="shared" si="2"/>
        <v>#N/A</v>
      </c>
      <c r="E35" t="e">
        <f t="shared" si="2"/>
        <v>#N/A</v>
      </c>
      <c r="F35" t="e">
        <f t="shared" si="2"/>
        <v>#N/A</v>
      </c>
      <c r="G35" t="e">
        <f t="shared" si="2"/>
        <v>#N/A</v>
      </c>
      <c r="H35" t="e">
        <f t="shared" si="2"/>
        <v>#N/A</v>
      </c>
      <c r="I35" t="e">
        <f t="shared" si="2"/>
        <v>#N/A</v>
      </c>
      <c r="J35" t="e">
        <f t="shared" si="2"/>
        <v>#N/A</v>
      </c>
    </row>
    <row r="36" spans="1:10" x14ac:dyDescent="0.25">
      <c r="A36" t="e">
        <f>CUBEMEMBER("pbiazure://api.powerbi.com 6e064a38-7f82-4416-9451-8d82a554b559 Model","[Facilities].[DATIMName].&amp;[Chigwingwili Dispensary]")</f>
        <v>#N/A</v>
      </c>
      <c r="B36" t="e">
        <f t="shared" ref="B36:J45" si="3">CUBEVALUE("pbiazure://api.powerbi.com 6e064a38-7f82-4416-9451-8d82a554b559 Model",$B$1,$A36,B$5)</f>
        <v>#N/A</v>
      </c>
      <c r="C36" t="e">
        <f t="shared" si="3"/>
        <v>#N/A</v>
      </c>
      <c r="D36" t="e">
        <f t="shared" si="3"/>
        <v>#N/A</v>
      </c>
      <c r="E36" t="e">
        <f t="shared" si="3"/>
        <v>#N/A</v>
      </c>
      <c r="F36" t="e">
        <f t="shared" si="3"/>
        <v>#N/A</v>
      </c>
      <c r="G36" t="e">
        <f t="shared" si="3"/>
        <v>#N/A</v>
      </c>
      <c r="H36" t="e">
        <f t="shared" si="3"/>
        <v>#N/A</v>
      </c>
      <c r="I36" t="e">
        <f t="shared" si="3"/>
        <v>#N/A</v>
      </c>
      <c r="J36" t="e">
        <f t="shared" si="3"/>
        <v>#N/A</v>
      </c>
    </row>
    <row r="37" spans="1:10" x14ac:dyDescent="0.25">
      <c r="A37" t="e">
        <f>CUBEMEMBER("pbiazure://api.powerbi.com 6e064a38-7f82-4416-9451-8d82a554b559 Model","[Facilities].[DATIMName].&amp;[Chikola Dispensary]")</f>
        <v>#N/A</v>
      </c>
      <c r="B37" t="e">
        <f t="shared" si="3"/>
        <v>#N/A</v>
      </c>
      <c r="C37" t="e">
        <f t="shared" si="3"/>
        <v>#N/A</v>
      </c>
      <c r="D37" t="e">
        <f t="shared" si="3"/>
        <v>#N/A</v>
      </c>
      <c r="E37" t="e">
        <f t="shared" si="3"/>
        <v>#N/A</v>
      </c>
      <c r="F37" t="e">
        <f t="shared" si="3"/>
        <v>#N/A</v>
      </c>
      <c r="G37" t="e">
        <f t="shared" si="3"/>
        <v>#N/A</v>
      </c>
      <c r="H37" t="e">
        <f t="shared" si="3"/>
        <v>#N/A</v>
      </c>
      <c r="I37" t="e">
        <f t="shared" si="3"/>
        <v>#N/A</v>
      </c>
      <c r="J37" t="e">
        <f t="shared" si="3"/>
        <v>#N/A</v>
      </c>
    </row>
    <row r="38" spans="1:10" x14ac:dyDescent="0.25">
      <c r="A38" t="e">
        <f>CUBEMEMBER("pbiazure://api.powerbi.com 6e064a38-7f82-4416-9451-8d82a554b559 Model","[Facilities].[DATIMName].&amp;[Chikuyu Dispensary]")</f>
        <v>#N/A</v>
      </c>
      <c r="B38" t="e">
        <f t="shared" si="3"/>
        <v>#N/A</v>
      </c>
      <c r="C38" t="e">
        <f t="shared" si="3"/>
        <v>#N/A</v>
      </c>
      <c r="D38" t="e">
        <f t="shared" si="3"/>
        <v>#N/A</v>
      </c>
      <c r="E38" t="e">
        <f t="shared" si="3"/>
        <v>#N/A</v>
      </c>
      <c r="F38" t="e">
        <f t="shared" si="3"/>
        <v>#N/A</v>
      </c>
      <c r="G38" t="e">
        <f t="shared" si="3"/>
        <v>#N/A</v>
      </c>
      <c r="H38" t="e">
        <f t="shared" si="3"/>
        <v>#N/A</v>
      </c>
      <c r="I38" t="e">
        <f t="shared" si="3"/>
        <v>#N/A</v>
      </c>
      <c r="J38" t="e">
        <f t="shared" si="3"/>
        <v>#N/A</v>
      </c>
    </row>
    <row r="39" spans="1:10" x14ac:dyDescent="0.25">
      <c r="A39" t="e">
        <f>CUBEMEMBER("pbiazure://api.powerbi.com 6e064a38-7f82-4416-9451-8d82a554b559 Model","[Facilities].[DATIMName].&amp;[Chipanga Health Center]")</f>
        <v>#N/A</v>
      </c>
      <c r="B39" t="e">
        <f t="shared" si="3"/>
        <v>#N/A</v>
      </c>
      <c r="C39" t="e">
        <f t="shared" si="3"/>
        <v>#N/A</v>
      </c>
      <c r="D39" t="e">
        <f t="shared" si="3"/>
        <v>#N/A</v>
      </c>
      <c r="E39" t="e">
        <f t="shared" si="3"/>
        <v>#N/A</v>
      </c>
      <c r="F39" t="e">
        <f t="shared" si="3"/>
        <v>#N/A</v>
      </c>
      <c r="G39" t="e">
        <f t="shared" si="3"/>
        <v>#N/A</v>
      </c>
      <c r="H39" t="e">
        <f t="shared" si="3"/>
        <v>#N/A</v>
      </c>
      <c r="I39" t="e">
        <f t="shared" si="3"/>
        <v>#N/A</v>
      </c>
      <c r="J39" t="e">
        <f t="shared" si="3"/>
        <v>#N/A</v>
      </c>
    </row>
    <row r="40" spans="1:10" x14ac:dyDescent="0.25">
      <c r="A40" t="e">
        <f>CUBEMEMBER("pbiazure://api.powerbi.com 6e064a38-7f82-4416-9451-8d82a554b559 Model","[Facilities].[DATIMName].&amp;[Chipogoro Dispensary]")</f>
        <v>#N/A</v>
      </c>
      <c r="B40" t="e">
        <f t="shared" si="3"/>
        <v>#N/A</v>
      </c>
      <c r="C40" t="e">
        <f t="shared" si="3"/>
        <v>#N/A</v>
      </c>
      <c r="D40" t="e">
        <f t="shared" si="3"/>
        <v>#N/A</v>
      </c>
      <c r="E40" t="e">
        <f t="shared" si="3"/>
        <v>#N/A</v>
      </c>
      <c r="F40" t="e">
        <f t="shared" si="3"/>
        <v>#N/A</v>
      </c>
      <c r="G40" t="e">
        <f t="shared" si="3"/>
        <v>#N/A</v>
      </c>
      <c r="H40" t="e">
        <f t="shared" si="3"/>
        <v>#N/A</v>
      </c>
      <c r="I40" t="e">
        <f t="shared" si="3"/>
        <v>#N/A</v>
      </c>
      <c r="J40" t="e">
        <f t="shared" si="3"/>
        <v>#N/A</v>
      </c>
    </row>
    <row r="41" spans="1:10" x14ac:dyDescent="0.25">
      <c r="A41" t="e">
        <f>CUBEMEMBER("pbiazure://api.powerbi.com 6e064a38-7f82-4416-9451-8d82a554b559 Model","[Facilities].[DATIMName].&amp;[Chiwe Dispensary]")</f>
        <v>#N/A</v>
      </c>
      <c r="B41" t="e">
        <f t="shared" si="3"/>
        <v>#N/A</v>
      </c>
      <c r="C41" t="e">
        <f t="shared" si="3"/>
        <v>#N/A</v>
      </c>
      <c r="D41" t="e">
        <f t="shared" si="3"/>
        <v>#N/A</v>
      </c>
      <c r="E41" t="e">
        <f t="shared" si="3"/>
        <v>#N/A</v>
      </c>
      <c r="F41" t="e">
        <f t="shared" si="3"/>
        <v>#N/A</v>
      </c>
      <c r="G41" t="e">
        <f t="shared" si="3"/>
        <v>#N/A</v>
      </c>
      <c r="H41" t="e">
        <f t="shared" si="3"/>
        <v>#N/A</v>
      </c>
      <c r="I41" t="e">
        <f t="shared" si="3"/>
        <v>#N/A</v>
      </c>
      <c r="J41" t="e">
        <f t="shared" si="3"/>
        <v>#N/A</v>
      </c>
    </row>
    <row r="42" spans="1:10" x14ac:dyDescent="0.25">
      <c r="A42" t="e">
        <f>CUBEMEMBER("pbiazure://api.powerbi.com 6e064a38-7f82-4416-9451-8d82a554b559 Model","[Facilities].[DATIMName].&amp;[Chunyu Dispensary]")</f>
        <v>#N/A</v>
      </c>
      <c r="B42" t="e">
        <f t="shared" si="3"/>
        <v>#N/A</v>
      </c>
      <c r="C42" t="e">
        <f t="shared" si="3"/>
        <v>#N/A</v>
      </c>
      <c r="D42" t="e">
        <f t="shared" si="3"/>
        <v>#N/A</v>
      </c>
      <c r="E42" t="e">
        <f t="shared" si="3"/>
        <v>#N/A</v>
      </c>
      <c r="F42" t="e">
        <f t="shared" si="3"/>
        <v>#N/A</v>
      </c>
      <c r="G42" t="e">
        <f t="shared" si="3"/>
        <v>#N/A</v>
      </c>
      <c r="H42" t="e">
        <f t="shared" si="3"/>
        <v>#N/A</v>
      </c>
      <c r="I42" t="e">
        <f t="shared" si="3"/>
        <v>#N/A</v>
      </c>
      <c r="J42" t="e">
        <f t="shared" si="3"/>
        <v>#N/A</v>
      </c>
    </row>
    <row r="43" spans="1:10" x14ac:dyDescent="0.25">
      <c r="A43" t="e">
        <f>CUBEMEMBER("pbiazure://api.powerbi.com 6e064a38-7f82-4416-9451-8d82a554b559 Model","[Facilities].[DATIMName].&amp;[Daraja II Health Center]")</f>
        <v>#N/A</v>
      </c>
      <c r="B43" t="e">
        <f t="shared" si="3"/>
        <v>#N/A</v>
      </c>
      <c r="C43" t="e">
        <f t="shared" si="3"/>
        <v>#N/A</v>
      </c>
      <c r="D43" t="e">
        <f t="shared" si="3"/>
        <v>#N/A</v>
      </c>
      <c r="E43" t="e">
        <f t="shared" si="3"/>
        <v>#N/A</v>
      </c>
      <c r="F43" t="e">
        <f t="shared" si="3"/>
        <v>#N/A</v>
      </c>
      <c r="G43" t="e">
        <f t="shared" si="3"/>
        <v>#N/A</v>
      </c>
      <c r="H43" t="e">
        <f t="shared" si="3"/>
        <v>#N/A</v>
      </c>
      <c r="I43" t="e">
        <f t="shared" si="3"/>
        <v>#N/A</v>
      </c>
      <c r="J43" t="e">
        <f t="shared" si="3"/>
        <v>#N/A</v>
      </c>
    </row>
    <row r="44" spans="1:10" x14ac:dyDescent="0.25">
      <c r="A44" t="e">
        <f>CUBEMEMBER("pbiazure://api.powerbi.com 6e064a38-7f82-4416-9451-8d82a554b559 Model","[Facilities].[DATIMName].&amp;[Dareda Mission Hospital - Designated District Hospital]")</f>
        <v>#N/A</v>
      </c>
      <c r="B44" t="e">
        <f t="shared" si="3"/>
        <v>#N/A</v>
      </c>
      <c r="C44" t="e">
        <f t="shared" si="3"/>
        <v>#N/A</v>
      </c>
      <c r="D44" t="e">
        <f t="shared" si="3"/>
        <v>#N/A</v>
      </c>
      <c r="E44" t="e">
        <f t="shared" si="3"/>
        <v>#N/A</v>
      </c>
      <c r="F44" t="e">
        <f t="shared" si="3"/>
        <v>#N/A</v>
      </c>
      <c r="G44" t="e">
        <f t="shared" si="3"/>
        <v>#N/A</v>
      </c>
      <c r="H44" t="e">
        <f t="shared" si="3"/>
        <v>#N/A</v>
      </c>
      <c r="I44" t="e">
        <f t="shared" si="3"/>
        <v>#N/A</v>
      </c>
      <c r="J44" t="e">
        <f t="shared" si="3"/>
        <v>#N/A</v>
      </c>
    </row>
    <row r="45" spans="1:10" x14ac:dyDescent="0.25">
      <c r="A45" t="e">
        <f>CUBEMEMBER("pbiazure://api.powerbi.com 6e064a38-7f82-4416-9451-8d82a554b559 Model","[Facilities].[DATIMName].&amp;[Daudi Dispensary]")</f>
        <v>#N/A</v>
      </c>
      <c r="B45" t="e">
        <f t="shared" si="3"/>
        <v>#N/A</v>
      </c>
      <c r="C45" t="e">
        <f t="shared" si="3"/>
        <v>#N/A</v>
      </c>
      <c r="D45" t="e">
        <f t="shared" si="3"/>
        <v>#N/A</v>
      </c>
      <c r="E45" t="e">
        <f t="shared" si="3"/>
        <v>#N/A</v>
      </c>
      <c r="F45" t="e">
        <f t="shared" si="3"/>
        <v>#N/A</v>
      </c>
      <c r="G45" t="e">
        <f t="shared" si="3"/>
        <v>#N/A</v>
      </c>
      <c r="H45" t="e">
        <f t="shared" si="3"/>
        <v>#N/A</v>
      </c>
      <c r="I45" t="e">
        <f t="shared" si="3"/>
        <v>#N/A</v>
      </c>
      <c r="J45" t="e">
        <f t="shared" si="3"/>
        <v>#N/A</v>
      </c>
    </row>
    <row r="46" spans="1:10" x14ac:dyDescent="0.25">
      <c r="A46" t="e">
        <f>CUBEMEMBER("pbiazure://api.powerbi.com 6e064a38-7f82-4416-9451-8d82a554b559 Model","[Facilities].[DATIMName].&amp;[DCMC Health Center]")</f>
        <v>#N/A</v>
      </c>
      <c r="B46" t="e">
        <f t="shared" ref="B46:J55" si="4">CUBEVALUE("pbiazure://api.powerbi.com 6e064a38-7f82-4416-9451-8d82a554b559 Model",$B$1,$A46,B$5)</f>
        <v>#N/A</v>
      </c>
      <c r="C46" t="e">
        <f t="shared" si="4"/>
        <v>#N/A</v>
      </c>
      <c r="D46" t="e">
        <f t="shared" si="4"/>
        <v>#N/A</v>
      </c>
      <c r="E46" t="e">
        <f t="shared" si="4"/>
        <v>#N/A</v>
      </c>
      <c r="F46" t="e">
        <f t="shared" si="4"/>
        <v>#N/A</v>
      </c>
      <c r="G46" t="e">
        <f t="shared" si="4"/>
        <v>#N/A</v>
      </c>
      <c r="H46" t="e">
        <f t="shared" si="4"/>
        <v>#N/A</v>
      </c>
      <c r="I46" t="e">
        <f t="shared" si="4"/>
        <v>#N/A</v>
      </c>
      <c r="J46" t="e">
        <f t="shared" si="4"/>
        <v>#N/A</v>
      </c>
    </row>
    <row r="47" spans="1:10" x14ac:dyDescent="0.25">
      <c r="A47" t="e">
        <f>CUBEMEMBER("pbiazure://api.powerbi.com 6e064a38-7f82-4416-9451-8d82a554b559 Model","[Facilities].[DATIMName].&amp;[Digodigo Dispensary]")</f>
        <v>#N/A</v>
      </c>
      <c r="B47" t="e">
        <f t="shared" si="4"/>
        <v>#N/A</v>
      </c>
      <c r="C47" t="e">
        <f t="shared" si="4"/>
        <v>#N/A</v>
      </c>
      <c r="D47" t="e">
        <f t="shared" si="4"/>
        <v>#N/A</v>
      </c>
      <c r="E47" t="e">
        <f t="shared" si="4"/>
        <v>#N/A</v>
      </c>
      <c r="F47" t="e">
        <f t="shared" si="4"/>
        <v>#N/A</v>
      </c>
      <c r="G47" t="e">
        <f t="shared" si="4"/>
        <v>#N/A</v>
      </c>
      <c r="H47" t="e">
        <f t="shared" si="4"/>
        <v>#N/A</v>
      </c>
      <c r="I47" t="e">
        <f t="shared" si="4"/>
        <v>#N/A</v>
      </c>
      <c r="J47" t="e">
        <f t="shared" si="4"/>
        <v>#N/A</v>
      </c>
    </row>
    <row r="48" spans="1:10" x14ac:dyDescent="0.25">
      <c r="A48" t="e">
        <f>CUBEMEMBER("pbiazure://api.powerbi.com 6e064a38-7f82-4416-9451-8d82a554b559 Model","[Facilities].[DATIMName].&amp;[Dodoma Hospital - Regional Referral Hospital]")</f>
        <v>#N/A</v>
      </c>
      <c r="B48" t="e">
        <f t="shared" si="4"/>
        <v>#N/A</v>
      </c>
      <c r="C48" t="e">
        <f t="shared" si="4"/>
        <v>#N/A</v>
      </c>
      <c r="D48" t="e">
        <f t="shared" si="4"/>
        <v>#N/A</v>
      </c>
      <c r="E48" t="e">
        <f t="shared" si="4"/>
        <v>#N/A</v>
      </c>
      <c r="F48" t="e">
        <f t="shared" si="4"/>
        <v>#N/A</v>
      </c>
      <c r="G48" t="e">
        <f t="shared" si="4"/>
        <v>#N/A</v>
      </c>
      <c r="H48" t="e">
        <f t="shared" si="4"/>
        <v>#N/A</v>
      </c>
      <c r="I48" t="e">
        <f t="shared" si="4"/>
        <v>#N/A</v>
      </c>
      <c r="J48" t="e">
        <f t="shared" si="4"/>
        <v>#N/A</v>
      </c>
    </row>
    <row r="49" spans="1:10" x14ac:dyDescent="0.25">
      <c r="A49" t="e">
        <f>CUBEMEMBER("pbiazure://api.powerbi.com 6e064a38-7f82-4416-9451-8d82a554b559 Model","[Facilities].[DATIMName].&amp;[Dongo Dispensary]")</f>
        <v>#N/A</v>
      </c>
      <c r="B49" t="e">
        <f t="shared" si="4"/>
        <v>#N/A</v>
      </c>
      <c r="C49" t="e">
        <f t="shared" si="4"/>
        <v>#N/A</v>
      </c>
      <c r="D49" t="e">
        <f t="shared" si="4"/>
        <v>#N/A</v>
      </c>
      <c r="E49" t="e">
        <f t="shared" si="4"/>
        <v>#N/A</v>
      </c>
      <c r="F49" t="e">
        <f t="shared" si="4"/>
        <v>#N/A</v>
      </c>
      <c r="G49" t="e">
        <f t="shared" si="4"/>
        <v>#N/A</v>
      </c>
      <c r="H49" t="e">
        <f t="shared" si="4"/>
        <v>#N/A</v>
      </c>
      <c r="I49" t="e">
        <f t="shared" si="4"/>
        <v>#N/A</v>
      </c>
      <c r="J49" t="e">
        <f t="shared" si="4"/>
        <v>#N/A</v>
      </c>
    </row>
    <row r="50" spans="1:10" x14ac:dyDescent="0.25">
      <c r="A50" t="e">
        <f>CUBEMEMBER("pbiazure://api.powerbi.com 6e064a38-7f82-4416-9451-8d82a554b559 Model","[Facilities].[DATIMName].&amp;[Dongobesh Health Center]")</f>
        <v>#N/A</v>
      </c>
      <c r="B50" t="e">
        <f t="shared" si="4"/>
        <v>#N/A</v>
      </c>
      <c r="C50" t="e">
        <f t="shared" si="4"/>
        <v>#N/A</v>
      </c>
      <c r="D50" t="e">
        <f t="shared" si="4"/>
        <v>#N/A</v>
      </c>
      <c r="E50" t="e">
        <f t="shared" si="4"/>
        <v>#N/A</v>
      </c>
      <c r="F50" t="e">
        <f t="shared" si="4"/>
        <v>#N/A</v>
      </c>
      <c r="G50" t="e">
        <f t="shared" si="4"/>
        <v>#N/A</v>
      </c>
      <c r="H50" t="e">
        <f t="shared" si="4"/>
        <v>#N/A</v>
      </c>
      <c r="I50" t="e">
        <f t="shared" si="4"/>
        <v>#N/A</v>
      </c>
      <c r="J50" t="e">
        <f t="shared" si="4"/>
        <v>#N/A</v>
      </c>
    </row>
    <row r="51" spans="1:10" x14ac:dyDescent="0.25">
      <c r="A51" t="e">
        <f>CUBEMEMBER("pbiazure://api.powerbi.com 6e064a38-7f82-4416-9451-8d82a554b559 Model","[Facilities].[DATIMName].&amp;[Doromoni Dispensary]")</f>
        <v>#N/A</v>
      </c>
      <c r="B51" t="e">
        <f t="shared" si="4"/>
        <v>#N/A</v>
      </c>
      <c r="C51" t="e">
        <f t="shared" si="4"/>
        <v>#N/A</v>
      </c>
      <c r="D51" t="e">
        <f t="shared" si="4"/>
        <v>#N/A</v>
      </c>
      <c r="E51" t="e">
        <f t="shared" si="4"/>
        <v>#N/A</v>
      </c>
      <c r="F51" t="e">
        <f t="shared" si="4"/>
        <v>#N/A</v>
      </c>
      <c r="G51" t="e">
        <f t="shared" si="4"/>
        <v>#N/A</v>
      </c>
      <c r="H51" t="e">
        <f t="shared" si="4"/>
        <v>#N/A</v>
      </c>
      <c r="I51" t="e">
        <f t="shared" si="4"/>
        <v>#N/A</v>
      </c>
      <c r="J51" t="e">
        <f t="shared" si="4"/>
        <v>#N/A</v>
      </c>
    </row>
    <row r="52" spans="1:10" x14ac:dyDescent="0.25">
      <c r="A52" t="e">
        <f>CUBEMEMBER("pbiazure://api.powerbi.com 6e064a38-7f82-4416-9451-8d82a554b559 Model","[Facilities].[DATIMName].&amp;[Electra-Bosco Dispensary]")</f>
        <v>#N/A</v>
      </c>
      <c r="B52" t="e">
        <f t="shared" si="4"/>
        <v>#N/A</v>
      </c>
      <c r="C52" t="e">
        <f t="shared" si="4"/>
        <v>#N/A</v>
      </c>
      <c r="D52" t="e">
        <f t="shared" si="4"/>
        <v>#N/A</v>
      </c>
      <c r="E52" t="e">
        <f t="shared" si="4"/>
        <v>#N/A</v>
      </c>
      <c r="F52" t="e">
        <f t="shared" si="4"/>
        <v>#N/A</v>
      </c>
      <c r="G52" t="e">
        <f t="shared" si="4"/>
        <v>#N/A</v>
      </c>
      <c r="H52" t="e">
        <f t="shared" si="4"/>
        <v>#N/A</v>
      </c>
      <c r="I52" t="e">
        <f t="shared" si="4"/>
        <v>#N/A</v>
      </c>
      <c r="J52" t="e">
        <f t="shared" si="4"/>
        <v>#N/A</v>
      </c>
    </row>
    <row r="53" spans="1:10" x14ac:dyDescent="0.25">
      <c r="A53" t="e">
        <f>CUBEMEMBER("pbiazure://api.powerbi.com 6e064a38-7f82-4416-9451-8d82a554b559 Model","[Facilities].[DATIMName].&amp;[ELERAI Dispensary]")</f>
        <v>#N/A</v>
      </c>
      <c r="B53" t="e">
        <f t="shared" si="4"/>
        <v>#N/A</v>
      </c>
      <c r="C53" t="e">
        <f t="shared" si="4"/>
        <v>#N/A</v>
      </c>
      <c r="D53" t="e">
        <f t="shared" si="4"/>
        <v>#N/A</v>
      </c>
      <c r="E53" t="e">
        <f t="shared" si="4"/>
        <v>#N/A</v>
      </c>
      <c r="F53" t="e">
        <f t="shared" si="4"/>
        <v>#N/A</v>
      </c>
      <c r="G53" t="e">
        <f t="shared" si="4"/>
        <v>#N/A</v>
      </c>
      <c r="H53" t="e">
        <f t="shared" si="4"/>
        <v>#N/A</v>
      </c>
      <c r="I53" t="e">
        <f t="shared" si="4"/>
        <v>#N/A</v>
      </c>
      <c r="J53" t="e">
        <f t="shared" si="4"/>
        <v>#N/A</v>
      </c>
    </row>
    <row r="54" spans="1:10" x14ac:dyDescent="0.25">
      <c r="A54" t="e">
        <f>CUBEMEMBER("pbiazure://api.powerbi.com 6e064a38-7f82-4416-9451-8d82a554b559 Model","[Facilities].[DATIMName].&amp;[Emarti Dispensary]")</f>
        <v>#N/A</v>
      </c>
      <c r="B54" t="e">
        <f t="shared" si="4"/>
        <v>#N/A</v>
      </c>
      <c r="C54" t="e">
        <f t="shared" si="4"/>
        <v>#N/A</v>
      </c>
      <c r="D54" t="e">
        <f t="shared" si="4"/>
        <v>#N/A</v>
      </c>
      <c r="E54" t="e">
        <f t="shared" si="4"/>
        <v>#N/A</v>
      </c>
      <c r="F54" t="e">
        <f t="shared" si="4"/>
        <v>#N/A</v>
      </c>
      <c r="G54" t="e">
        <f t="shared" si="4"/>
        <v>#N/A</v>
      </c>
      <c r="H54" t="e">
        <f t="shared" si="4"/>
        <v>#N/A</v>
      </c>
      <c r="I54" t="e">
        <f t="shared" si="4"/>
        <v>#N/A</v>
      </c>
      <c r="J54" t="e">
        <f t="shared" si="4"/>
        <v>#N/A</v>
      </c>
    </row>
    <row r="55" spans="1:10" x14ac:dyDescent="0.25">
      <c r="A55" t="e">
        <f>CUBEMEMBER("pbiazure://api.powerbi.com 6e064a38-7f82-4416-9451-8d82a554b559 Model","[Facilities].[DATIMName].&amp;[Endabash Health Center]")</f>
        <v>#N/A</v>
      </c>
      <c r="B55" t="e">
        <f t="shared" si="4"/>
        <v>#N/A</v>
      </c>
      <c r="C55" t="e">
        <f t="shared" si="4"/>
        <v>#N/A</v>
      </c>
      <c r="D55" t="e">
        <f t="shared" si="4"/>
        <v>#N/A</v>
      </c>
      <c r="E55" t="e">
        <f t="shared" si="4"/>
        <v>#N/A</v>
      </c>
      <c r="F55" t="e">
        <f t="shared" si="4"/>
        <v>#N/A</v>
      </c>
      <c r="G55" t="e">
        <f t="shared" si="4"/>
        <v>#N/A</v>
      </c>
      <c r="H55" t="e">
        <f t="shared" si="4"/>
        <v>#N/A</v>
      </c>
      <c r="I55" t="e">
        <f t="shared" si="4"/>
        <v>#N/A</v>
      </c>
      <c r="J55" t="e">
        <f t="shared" si="4"/>
        <v>#N/A</v>
      </c>
    </row>
    <row r="56" spans="1:10" x14ac:dyDescent="0.25">
      <c r="A56" t="e">
        <f>CUBEMEMBER("pbiazure://api.powerbi.com 6e064a38-7f82-4416-9451-8d82a554b559 Model","[Facilities].[DATIMName].&amp;[Endasak Dispensary]")</f>
        <v>#N/A</v>
      </c>
      <c r="B56" t="e">
        <f t="shared" ref="B56:J65" si="5">CUBEVALUE("pbiazure://api.powerbi.com 6e064a38-7f82-4416-9451-8d82a554b559 Model",$B$1,$A56,B$5)</f>
        <v>#N/A</v>
      </c>
      <c r="C56" t="e">
        <f t="shared" si="5"/>
        <v>#N/A</v>
      </c>
      <c r="D56" t="e">
        <f t="shared" si="5"/>
        <v>#N/A</v>
      </c>
      <c r="E56" t="e">
        <f t="shared" si="5"/>
        <v>#N/A</v>
      </c>
      <c r="F56" t="e">
        <f t="shared" si="5"/>
        <v>#N/A</v>
      </c>
      <c r="G56" t="e">
        <f t="shared" si="5"/>
        <v>#N/A</v>
      </c>
      <c r="H56" t="e">
        <f t="shared" si="5"/>
        <v>#N/A</v>
      </c>
      <c r="I56" t="e">
        <f t="shared" si="5"/>
        <v>#N/A</v>
      </c>
      <c r="J56" t="e">
        <f t="shared" si="5"/>
        <v>#N/A</v>
      </c>
    </row>
    <row r="57" spans="1:10" x14ac:dyDescent="0.25">
      <c r="A57" t="e">
        <f>CUBEMEMBER("pbiazure://api.powerbi.com 6e064a38-7f82-4416-9451-8d82a554b559 Model","[Facilities].[DATIMName].&amp;[Endulen Hospital - Other Hospital]")</f>
        <v>#N/A</v>
      </c>
      <c r="B57" t="e">
        <f t="shared" si="5"/>
        <v>#N/A</v>
      </c>
      <c r="C57" t="e">
        <f t="shared" si="5"/>
        <v>#N/A</v>
      </c>
      <c r="D57" t="e">
        <f t="shared" si="5"/>
        <v>#N/A</v>
      </c>
      <c r="E57" t="e">
        <f t="shared" si="5"/>
        <v>#N/A</v>
      </c>
      <c r="F57" t="e">
        <f t="shared" si="5"/>
        <v>#N/A</v>
      </c>
      <c r="G57" t="e">
        <f t="shared" si="5"/>
        <v>#N/A</v>
      </c>
      <c r="H57" t="e">
        <f t="shared" si="5"/>
        <v>#N/A</v>
      </c>
      <c r="I57" t="e">
        <f t="shared" si="5"/>
        <v>#N/A</v>
      </c>
      <c r="J57" t="e">
        <f t="shared" si="5"/>
        <v>#N/A</v>
      </c>
    </row>
    <row r="58" spans="1:10" x14ac:dyDescent="0.25">
      <c r="A58" t="e">
        <f>CUBEMEMBER("pbiazure://api.powerbi.com 6e064a38-7f82-4416-9451-8d82a554b559 Model","[Facilities].[DATIMName].&amp;[Engarenaibor Hospital]")</f>
        <v>#N/A</v>
      </c>
      <c r="B58" t="e">
        <f t="shared" si="5"/>
        <v>#N/A</v>
      </c>
      <c r="C58" t="e">
        <f t="shared" si="5"/>
        <v>#N/A</v>
      </c>
      <c r="D58" t="e">
        <f t="shared" si="5"/>
        <v>#N/A</v>
      </c>
      <c r="E58" t="e">
        <f t="shared" si="5"/>
        <v>#N/A</v>
      </c>
      <c r="F58" t="e">
        <f t="shared" si="5"/>
        <v>#N/A</v>
      </c>
      <c r="G58" t="e">
        <f t="shared" si="5"/>
        <v>#N/A</v>
      </c>
      <c r="H58" t="e">
        <f t="shared" si="5"/>
        <v>#N/A</v>
      </c>
      <c r="I58" t="e">
        <f t="shared" si="5"/>
        <v>#N/A</v>
      </c>
      <c r="J58" t="e">
        <f t="shared" si="5"/>
        <v>#N/A</v>
      </c>
    </row>
    <row r="59" spans="1:10" x14ac:dyDescent="0.25">
      <c r="A59" t="e">
        <f>CUBEMEMBER("pbiazure://api.powerbi.com 6e064a38-7f82-4416-9451-8d82a554b559 Model","[Facilities].[DATIMName].&amp;[Engusero Health Center]")</f>
        <v>#N/A</v>
      </c>
      <c r="B59" t="e">
        <f t="shared" si="5"/>
        <v>#N/A</v>
      </c>
      <c r="C59" t="e">
        <f t="shared" si="5"/>
        <v>#N/A</v>
      </c>
      <c r="D59" t="e">
        <f t="shared" si="5"/>
        <v>#N/A</v>
      </c>
      <c r="E59" t="e">
        <f t="shared" si="5"/>
        <v>#N/A</v>
      </c>
      <c r="F59" t="e">
        <f t="shared" si="5"/>
        <v>#N/A</v>
      </c>
      <c r="G59" t="e">
        <f t="shared" si="5"/>
        <v>#N/A</v>
      </c>
      <c r="H59" t="e">
        <f t="shared" si="5"/>
        <v>#N/A</v>
      </c>
      <c r="I59" t="e">
        <f t="shared" si="5"/>
        <v>#N/A</v>
      </c>
      <c r="J59" t="e">
        <f t="shared" si="5"/>
        <v>#N/A</v>
      </c>
    </row>
    <row r="60" spans="1:10" x14ac:dyDescent="0.25">
      <c r="A60" t="e">
        <f>CUBEMEMBER("pbiazure://api.powerbi.com 6e064a38-7f82-4416-9451-8d82a554b559 Model","[Facilities].[DATIMName].&amp;[Faraja Health Center]")</f>
        <v>#N/A</v>
      </c>
      <c r="B60" t="e">
        <f t="shared" si="5"/>
        <v>#N/A</v>
      </c>
      <c r="C60" t="e">
        <f t="shared" si="5"/>
        <v>#N/A</v>
      </c>
      <c r="D60" t="e">
        <f t="shared" si="5"/>
        <v>#N/A</v>
      </c>
      <c r="E60" t="e">
        <f t="shared" si="5"/>
        <v>#N/A</v>
      </c>
      <c r="F60" t="e">
        <f t="shared" si="5"/>
        <v>#N/A</v>
      </c>
      <c r="G60" t="e">
        <f t="shared" si="5"/>
        <v>#N/A</v>
      </c>
      <c r="H60" t="e">
        <f t="shared" si="5"/>
        <v>#N/A</v>
      </c>
      <c r="I60" t="e">
        <f t="shared" si="5"/>
        <v>#N/A</v>
      </c>
      <c r="J60" t="e">
        <f t="shared" si="5"/>
        <v>#N/A</v>
      </c>
    </row>
    <row r="61" spans="1:10" x14ac:dyDescent="0.25">
      <c r="A61" t="e">
        <f>CUBEMEMBER("pbiazure://api.powerbi.com 6e064a38-7f82-4416-9451-8d82a554b559 Model","[Facilities].[DATIMName].&amp;[Gallapo Health Center]")</f>
        <v>#N/A</v>
      </c>
      <c r="B61" t="e">
        <f t="shared" si="5"/>
        <v>#N/A</v>
      </c>
      <c r="C61" t="e">
        <f t="shared" si="5"/>
        <v>#N/A</v>
      </c>
      <c r="D61" t="e">
        <f t="shared" si="5"/>
        <v>#N/A</v>
      </c>
      <c r="E61" t="e">
        <f t="shared" si="5"/>
        <v>#N/A</v>
      </c>
      <c r="F61" t="e">
        <f t="shared" si="5"/>
        <v>#N/A</v>
      </c>
      <c r="G61" t="e">
        <f t="shared" si="5"/>
        <v>#N/A</v>
      </c>
      <c r="H61" t="e">
        <f t="shared" si="5"/>
        <v>#N/A</v>
      </c>
      <c r="I61" t="e">
        <f t="shared" si="5"/>
        <v>#N/A</v>
      </c>
      <c r="J61" t="e">
        <f t="shared" si="5"/>
        <v>#N/A</v>
      </c>
    </row>
    <row r="62" spans="1:10" x14ac:dyDescent="0.25">
      <c r="A62" t="e">
        <f>CUBEMEMBER("pbiazure://api.powerbi.com 6e064a38-7f82-4416-9451-8d82a554b559 Model","[Facilities].[DATIMName].&amp;[Gelai Bomba Dispensary]")</f>
        <v>#N/A</v>
      </c>
      <c r="B62" t="e">
        <f t="shared" si="5"/>
        <v>#N/A</v>
      </c>
      <c r="C62" t="e">
        <f t="shared" si="5"/>
        <v>#N/A</v>
      </c>
      <c r="D62" t="e">
        <f t="shared" si="5"/>
        <v>#N/A</v>
      </c>
      <c r="E62" t="e">
        <f t="shared" si="5"/>
        <v>#N/A</v>
      </c>
      <c r="F62" t="e">
        <f t="shared" si="5"/>
        <v>#N/A</v>
      </c>
      <c r="G62" t="e">
        <f t="shared" si="5"/>
        <v>#N/A</v>
      </c>
      <c r="H62" t="e">
        <f t="shared" si="5"/>
        <v>#N/A</v>
      </c>
      <c r="I62" t="e">
        <f t="shared" si="5"/>
        <v>#N/A</v>
      </c>
      <c r="J62" t="e">
        <f t="shared" si="5"/>
        <v>#N/A</v>
      </c>
    </row>
    <row r="63" spans="1:10" x14ac:dyDescent="0.25">
      <c r="A63" t="e">
        <f>CUBEMEMBER("pbiazure://api.powerbi.com 6e064a38-7f82-4416-9451-8d82a554b559 Model","[Facilities].[DATIMName].&amp;[Gelai Lumbwa Dispensary]")</f>
        <v>#N/A</v>
      </c>
      <c r="B63" t="e">
        <f t="shared" si="5"/>
        <v>#N/A</v>
      </c>
      <c r="C63" t="e">
        <f t="shared" si="5"/>
        <v>#N/A</v>
      </c>
      <c r="D63" t="e">
        <f t="shared" si="5"/>
        <v>#N/A</v>
      </c>
      <c r="E63" t="e">
        <f t="shared" si="5"/>
        <v>#N/A</v>
      </c>
      <c r="F63" t="e">
        <f t="shared" si="5"/>
        <v>#N/A</v>
      </c>
      <c r="G63" t="e">
        <f t="shared" si="5"/>
        <v>#N/A</v>
      </c>
      <c r="H63" t="e">
        <f t="shared" si="5"/>
        <v>#N/A</v>
      </c>
      <c r="I63" t="e">
        <f t="shared" si="5"/>
        <v>#N/A</v>
      </c>
      <c r="J63" t="e">
        <f t="shared" si="5"/>
        <v>#N/A</v>
      </c>
    </row>
    <row r="64" spans="1:10" x14ac:dyDescent="0.25">
      <c r="A64" t="e">
        <f>CUBEMEMBER("pbiazure://api.powerbi.com 6e064a38-7f82-4416-9451-8d82a554b559 Model","[Facilities].[DATIMName].&amp;[Gendabi Health Center]")</f>
        <v>#N/A</v>
      </c>
      <c r="B64" t="e">
        <f t="shared" si="5"/>
        <v>#N/A</v>
      </c>
      <c r="C64" t="e">
        <f t="shared" si="5"/>
        <v>#N/A</v>
      </c>
      <c r="D64" t="e">
        <f t="shared" si="5"/>
        <v>#N/A</v>
      </c>
      <c r="E64" t="e">
        <f t="shared" si="5"/>
        <v>#N/A</v>
      </c>
      <c r="F64" t="e">
        <f t="shared" si="5"/>
        <v>#N/A</v>
      </c>
      <c r="G64" t="e">
        <f t="shared" si="5"/>
        <v>#N/A</v>
      </c>
      <c r="H64" t="e">
        <f t="shared" si="5"/>
        <v>#N/A</v>
      </c>
      <c r="I64" t="e">
        <f t="shared" si="5"/>
        <v>#N/A</v>
      </c>
      <c r="J64" t="e">
        <f t="shared" si="5"/>
        <v>#N/A</v>
      </c>
    </row>
    <row r="65" spans="1:10" x14ac:dyDescent="0.25">
      <c r="A65" t="e">
        <f>CUBEMEMBER("pbiazure://api.powerbi.com 6e064a38-7f82-4416-9451-8d82a554b559 Model","[Facilities].[DATIMName].&amp;[Gidas Health Center]")</f>
        <v>#N/A</v>
      </c>
      <c r="B65" t="e">
        <f t="shared" si="5"/>
        <v>#N/A</v>
      </c>
      <c r="C65" t="e">
        <f t="shared" si="5"/>
        <v>#N/A</v>
      </c>
      <c r="D65" t="e">
        <f t="shared" si="5"/>
        <v>#N/A</v>
      </c>
      <c r="E65" t="e">
        <f t="shared" si="5"/>
        <v>#N/A</v>
      </c>
      <c r="F65" t="e">
        <f t="shared" si="5"/>
        <v>#N/A</v>
      </c>
      <c r="G65" t="e">
        <f t="shared" si="5"/>
        <v>#N/A</v>
      </c>
      <c r="H65" t="e">
        <f t="shared" si="5"/>
        <v>#N/A</v>
      </c>
      <c r="I65" t="e">
        <f t="shared" si="5"/>
        <v>#N/A</v>
      </c>
      <c r="J65" t="e">
        <f t="shared" si="5"/>
        <v>#N/A</v>
      </c>
    </row>
    <row r="66" spans="1:10" x14ac:dyDescent="0.25">
      <c r="A66" t="e">
        <f>CUBEMEMBER("pbiazure://api.powerbi.com 6e064a38-7f82-4416-9451-8d82a554b559 Model","[Facilities].[DATIMName].&amp;[Gonja Lutheran Hospital - Other Hospital]")</f>
        <v>#N/A</v>
      </c>
      <c r="B66" t="e">
        <f t="shared" ref="B66:J75" si="6">CUBEVALUE("pbiazure://api.powerbi.com 6e064a38-7f82-4416-9451-8d82a554b559 Model",$B$1,$A66,B$5)</f>
        <v>#N/A</v>
      </c>
      <c r="C66" t="e">
        <f t="shared" si="6"/>
        <v>#N/A</v>
      </c>
      <c r="D66" t="e">
        <f t="shared" si="6"/>
        <v>#N/A</v>
      </c>
      <c r="E66" t="e">
        <f t="shared" si="6"/>
        <v>#N/A</v>
      </c>
      <c r="F66" t="e">
        <f t="shared" si="6"/>
        <v>#N/A</v>
      </c>
      <c r="G66" t="e">
        <f t="shared" si="6"/>
        <v>#N/A</v>
      </c>
      <c r="H66" t="e">
        <f t="shared" si="6"/>
        <v>#N/A</v>
      </c>
      <c r="I66" t="e">
        <f t="shared" si="6"/>
        <v>#N/A</v>
      </c>
      <c r="J66" t="e">
        <f t="shared" si="6"/>
        <v>#N/A</v>
      </c>
    </row>
    <row r="67" spans="1:10" x14ac:dyDescent="0.25">
      <c r="A67" t="e">
        <f>CUBEMEMBER("pbiazure://api.powerbi.com 6e064a38-7f82-4416-9451-8d82a554b559 Model","[Facilities].[DATIMName].&amp;[Gulwe Dispensary]")</f>
        <v>#N/A</v>
      </c>
      <c r="B67" t="e">
        <f t="shared" si="6"/>
        <v>#N/A</v>
      </c>
      <c r="C67" t="e">
        <f t="shared" si="6"/>
        <v>#N/A</v>
      </c>
      <c r="D67" t="e">
        <f t="shared" si="6"/>
        <v>#N/A</v>
      </c>
      <c r="E67" t="e">
        <f t="shared" si="6"/>
        <v>#N/A</v>
      </c>
      <c r="F67" t="e">
        <f t="shared" si="6"/>
        <v>#N/A</v>
      </c>
      <c r="G67" t="e">
        <f t="shared" si="6"/>
        <v>#N/A</v>
      </c>
      <c r="H67" t="e">
        <f t="shared" si="6"/>
        <v>#N/A</v>
      </c>
      <c r="I67" t="e">
        <f t="shared" si="6"/>
        <v>#N/A</v>
      </c>
      <c r="J67" t="e">
        <f t="shared" si="6"/>
        <v>#N/A</v>
      </c>
    </row>
    <row r="68" spans="1:10" x14ac:dyDescent="0.25">
      <c r="A68" t="e">
        <f>CUBEMEMBER("pbiazure://api.powerbi.com 6e064a38-7f82-4416-9451-8d82a554b559 Model","[Facilities].[DATIMName].&amp;[Gumanga Dispensary]")</f>
        <v>#N/A</v>
      </c>
      <c r="B68" t="e">
        <f t="shared" si="6"/>
        <v>#N/A</v>
      </c>
      <c r="C68" t="e">
        <f t="shared" si="6"/>
        <v>#N/A</v>
      </c>
      <c r="D68" t="e">
        <f t="shared" si="6"/>
        <v>#N/A</v>
      </c>
      <c r="E68" t="e">
        <f t="shared" si="6"/>
        <v>#N/A</v>
      </c>
      <c r="F68" t="e">
        <f t="shared" si="6"/>
        <v>#N/A</v>
      </c>
      <c r="G68" t="e">
        <f t="shared" si="6"/>
        <v>#N/A</v>
      </c>
      <c r="H68" t="e">
        <f t="shared" si="6"/>
        <v>#N/A</v>
      </c>
      <c r="I68" t="e">
        <f t="shared" si="6"/>
        <v>#N/A</v>
      </c>
      <c r="J68" t="e">
        <f t="shared" si="6"/>
        <v>#N/A</v>
      </c>
    </row>
    <row r="69" spans="1:10" x14ac:dyDescent="0.25">
      <c r="A69" t="e">
        <f>CUBEMEMBER("pbiazure://api.powerbi.com 6e064a38-7f82-4416-9451-8d82a554b559 Model","[Facilities].[DATIMName].&amp;[Gunge Dispensary]")</f>
        <v>#N/A</v>
      </c>
      <c r="B69" t="e">
        <f t="shared" si="6"/>
        <v>#N/A</v>
      </c>
      <c r="C69" t="e">
        <f t="shared" si="6"/>
        <v>#N/A</v>
      </c>
      <c r="D69" t="e">
        <f t="shared" si="6"/>
        <v>#N/A</v>
      </c>
      <c r="E69" t="e">
        <f t="shared" si="6"/>
        <v>#N/A</v>
      </c>
      <c r="F69" t="e">
        <f t="shared" si="6"/>
        <v>#N/A</v>
      </c>
      <c r="G69" t="e">
        <f t="shared" si="6"/>
        <v>#N/A</v>
      </c>
      <c r="H69" t="e">
        <f t="shared" si="6"/>
        <v>#N/A</v>
      </c>
      <c r="I69" t="e">
        <f t="shared" si="6"/>
        <v>#N/A</v>
      </c>
      <c r="J69" t="e">
        <f t="shared" si="6"/>
        <v>#N/A</v>
      </c>
    </row>
    <row r="70" spans="1:10" x14ac:dyDescent="0.25">
      <c r="A70" t="e">
        <f>CUBEMEMBER("pbiazure://api.powerbi.com 6e064a38-7f82-4416-9451-8d82a554b559 Model","[Facilities].[DATIMName].&amp;[Hai Hospital - District Hospital]")</f>
        <v>#N/A</v>
      </c>
      <c r="B70" t="e">
        <f t="shared" si="6"/>
        <v>#N/A</v>
      </c>
      <c r="C70" t="e">
        <f t="shared" si="6"/>
        <v>#N/A</v>
      </c>
      <c r="D70" t="e">
        <f t="shared" si="6"/>
        <v>#N/A</v>
      </c>
      <c r="E70" t="e">
        <f t="shared" si="6"/>
        <v>#N/A</v>
      </c>
      <c r="F70" t="e">
        <f t="shared" si="6"/>
        <v>#N/A</v>
      </c>
      <c r="G70" t="e">
        <f t="shared" si="6"/>
        <v>#N/A</v>
      </c>
      <c r="H70" t="e">
        <f t="shared" si="6"/>
        <v>#N/A</v>
      </c>
      <c r="I70" t="e">
        <f t="shared" si="6"/>
        <v>#N/A</v>
      </c>
      <c r="J70" t="e">
        <f t="shared" si="6"/>
        <v>#N/A</v>
      </c>
    </row>
    <row r="71" spans="1:10" x14ac:dyDescent="0.25">
      <c r="A71" t="e">
        <f>CUBEMEMBER("pbiazure://api.powerbi.com 6e064a38-7f82-4416-9451-8d82a554b559 Model","[Facilities].[DATIMName].&amp;[Hamai Health Center]")</f>
        <v>#N/A</v>
      </c>
      <c r="B71" t="e">
        <f t="shared" si="6"/>
        <v>#N/A</v>
      </c>
      <c r="C71" t="e">
        <f t="shared" si="6"/>
        <v>#N/A</v>
      </c>
      <c r="D71" t="e">
        <f t="shared" si="6"/>
        <v>#N/A</v>
      </c>
      <c r="E71" t="e">
        <f t="shared" si="6"/>
        <v>#N/A</v>
      </c>
      <c r="F71" t="e">
        <f t="shared" si="6"/>
        <v>#N/A</v>
      </c>
      <c r="G71" t="e">
        <f t="shared" si="6"/>
        <v>#N/A</v>
      </c>
      <c r="H71" t="e">
        <f t="shared" si="6"/>
        <v>#N/A</v>
      </c>
      <c r="I71" t="e">
        <f t="shared" si="6"/>
        <v>#N/A</v>
      </c>
      <c r="J71" t="e">
        <f t="shared" si="6"/>
        <v>#N/A</v>
      </c>
    </row>
    <row r="72" spans="1:10" x14ac:dyDescent="0.25">
      <c r="A72" t="e">
        <f>CUBEMEMBER("pbiazure://api.powerbi.com 6e064a38-7f82-4416-9451-8d82a554b559 Model","[Facilities].[DATIMName].&amp;[Handali Dispensary]")</f>
        <v>#N/A</v>
      </c>
      <c r="B72" t="e">
        <f t="shared" si="6"/>
        <v>#N/A</v>
      </c>
      <c r="C72" t="e">
        <f t="shared" si="6"/>
        <v>#N/A</v>
      </c>
      <c r="D72" t="e">
        <f t="shared" si="6"/>
        <v>#N/A</v>
      </c>
      <c r="E72" t="e">
        <f t="shared" si="6"/>
        <v>#N/A</v>
      </c>
      <c r="F72" t="e">
        <f t="shared" si="6"/>
        <v>#N/A</v>
      </c>
      <c r="G72" t="e">
        <f t="shared" si="6"/>
        <v>#N/A</v>
      </c>
      <c r="H72" t="e">
        <f t="shared" si="6"/>
        <v>#N/A</v>
      </c>
      <c r="I72" t="e">
        <f t="shared" si="6"/>
        <v>#N/A</v>
      </c>
      <c r="J72" t="e">
        <f t="shared" si="6"/>
        <v>#N/A</v>
      </c>
    </row>
    <row r="73" spans="1:10" x14ac:dyDescent="0.25">
      <c r="A73" t="e">
        <f>CUBEMEMBER("pbiazure://api.powerbi.com 6e064a38-7f82-4416-9451-8d82a554b559 Model","[Facilities].[DATIMName].&amp;[Haneti Health Center]")</f>
        <v>#N/A</v>
      </c>
      <c r="B73" t="e">
        <f t="shared" si="6"/>
        <v>#N/A</v>
      </c>
      <c r="C73" t="e">
        <f t="shared" si="6"/>
        <v>#N/A</v>
      </c>
      <c r="D73" t="e">
        <f t="shared" si="6"/>
        <v>#N/A</v>
      </c>
      <c r="E73" t="e">
        <f t="shared" si="6"/>
        <v>#N/A</v>
      </c>
      <c r="F73" t="e">
        <f t="shared" si="6"/>
        <v>#N/A</v>
      </c>
      <c r="G73" t="e">
        <f t="shared" si="6"/>
        <v>#N/A</v>
      </c>
      <c r="H73" t="e">
        <f t="shared" si="6"/>
        <v>#N/A</v>
      </c>
      <c r="I73" t="e">
        <f t="shared" si="6"/>
        <v>#N/A</v>
      </c>
      <c r="J73" t="e">
        <f t="shared" si="6"/>
        <v>#N/A</v>
      </c>
    </row>
    <row r="74" spans="1:10" x14ac:dyDescent="0.25">
      <c r="A74" t="e">
        <f>CUBEMEMBER("pbiazure://api.powerbi.com 6e064a38-7f82-4416-9451-8d82a554b559 Model","[Facilities].[DATIMName].&amp;[Haubi VA Dispensary]")</f>
        <v>#N/A</v>
      </c>
      <c r="B74" t="e">
        <f t="shared" si="6"/>
        <v>#N/A</v>
      </c>
      <c r="C74" t="e">
        <f t="shared" si="6"/>
        <v>#N/A</v>
      </c>
      <c r="D74" t="e">
        <f t="shared" si="6"/>
        <v>#N/A</v>
      </c>
      <c r="E74" t="e">
        <f t="shared" si="6"/>
        <v>#N/A</v>
      </c>
      <c r="F74" t="e">
        <f t="shared" si="6"/>
        <v>#N/A</v>
      </c>
      <c r="G74" t="e">
        <f t="shared" si="6"/>
        <v>#N/A</v>
      </c>
      <c r="H74" t="e">
        <f t="shared" si="6"/>
        <v>#N/A</v>
      </c>
      <c r="I74" t="e">
        <f t="shared" si="6"/>
        <v>#N/A</v>
      </c>
      <c r="J74" t="e">
        <f t="shared" si="6"/>
        <v>#N/A</v>
      </c>
    </row>
    <row r="75" spans="1:10" x14ac:dyDescent="0.25">
      <c r="A75" t="e">
        <f>CUBEMEMBER("pbiazure://api.powerbi.com 6e064a38-7f82-4416-9451-8d82a554b559 Model","[Facilities].[DATIMName].&amp;[Haydarer Dispensary]")</f>
        <v>#N/A</v>
      </c>
      <c r="B75" t="e">
        <f t="shared" si="6"/>
        <v>#N/A</v>
      </c>
      <c r="C75" t="e">
        <f t="shared" si="6"/>
        <v>#N/A</v>
      </c>
      <c r="D75" t="e">
        <f t="shared" si="6"/>
        <v>#N/A</v>
      </c>
      <c r="E75" t="e">
        <f t="shared" si="6"/>
        <v>#N/A</v>
      </c>
      <c r="F75" t="e">
        <f t="shared" si="6"/>
        <v>#N/A</v>
      </c>
      <c r="G75" t="e">
        <f t="shared" si="6"/>
        <v>#N/A</v>
      </c>
      <c r="H75" t="e">
        <f t="shared" si="6"/>
        <v>#N/A</v>
      </c>
      <c r="I75" t="e">
        <f t="shared" si="6"/>
        <v>#N/A</v>
      </c>
      <c r="J75" t="e">
        <f t="shared" si="6"/>
        <v>#N/A</v>
      </c>
    </row>
    <row r="76" spans="1:10" x14ac:dyDescent="0.25">
      <c r="A76" t="e">
        <f>CUBEMEMBER("pbiazure://api.powerbi.com 6e064a38-7f82-4416-9451-8d82a554b559 Model","[Facilities].[DATIMName].&amp;[Hedaru Health Center]")</f>
        <v>#N/A</v>
      </c>
      <c r="B76" t="e">
        <f t="shared" ref="B76:J85" si="7">CUBEVALUE("pbiazure://api.powerbi.com 6e064a38-7f82-4416-9451-8d82a554b559 Model",$B$1,$A76,B$5)</f>
        <v>#N/A</v>
      </c>
      <c r="C76" t="e">
        <f t="shared" si="7"/>
        <v>#N/A</v>
      </c>
      <c r="D76" t="e">
        <f t="shared" si="7"/>
        <v>#N/A</v>
      </c>
      <c r="E76" t="e">
        <f t="shared" si="7"/>
        <v>#N/A</v>
      </c>
      <c r="F76" t="e">
        <f t="shared" si="7"/>
        <v>#N/A</v>
      </c>
      <c r="G76" t="e">
        <f t="shared" si="7"/>
        <v>#N/A</v>
      </c>
      <c r="H76" t="e">
        <f t="shared" si="7"/>
        <v>#N/A</v>
      </c>
      <c r="I76" t="e">
        <f t="shared" si="7"/>
        <v>#N/A</v>
      </c>
      <c r="J76" t="e">
        <f t="shared" si="7"/>
        <v>#N/A</v>
      </c>
    </row>
    <row r="77" spans="1:10" x14ac:dyDescent="0.25">
      <c r="A77" t="e">
        <f>CUBEMEMBER("pbiazure://api.powerbi.com 6e064a38-7f82-4416-9451-8d82a554b559 Model","[Facilities].[DATIMName].&amp;[Himo COG Dispensary]")</f>
        <v>#N/A</v>
      </c>
      <c r="B77" t="e">
        <f t="shared" si="7"/>
        <v>#N/A</v>
      </c>
      <c r="C77" t="e">
        <f t="shared" si="7"/>
        <v>#N/A</v>
      </c>
      <c r="D77" t="e">
        <f t="shared" si="7"/>
        <v>#N/A</v>
      </c>
      <c r="E77" t="e">
        <f t="shared" si="7"/>
        <v>#N/A</v>
      </c>
      <c r="F77" t="e">
        <f t="shared" si="7"/>
        <v>#N/A</v>
      </c>
      <c r="G77" t="e">
        <f t="shared" si="7"/>
        <v>#N/A</v>
      </c>
      <c r="H77" t="e">
        <f t="shared" si="7"/>
        <v>#N/A</v>
      </c>
      <c r="I77" t="e">
        <f t="shared" si="7"/>
        <v>#N/A</v>
      </c>
      <c r="J77" t="e">
        <f t="shared" si="7"/>
        <v>#N/A</v>
      </c>
    </row>
    <row r="78" spans="1:10" x14ac:dyDescent="0.25">
      <c r="A78" t="e">
        <f>CUBEMEMBER("pbiazure://api.powerbi.com 6e064a38-7f82-4416-9451-8d82a554b559 Model","[Facilities].[DATIMName].&amp;[Himo Health Center]")</f>
        <v>#N/A</v>
      </c>
      <c r="B78" t="e">
        <f t="shared" si="7"/>
        <v>#N/A</v>
      </c>
      <c r="C78" t="e">
        <f t="shared" si="7"/>
        <v>#N/A</v>
      </c>
      <c r="D78" t="e">
        <f t="shared" si="7"/>
        <v>#N/A</v>
      </c>
      <c r="E78" t="e">
        <f t="shared" si="7"/>
        <v>#N/A</v>
      </c>
      <c r="F78" t="e">
        <f t="shared" si="7"/>
        <v>#N/A</v>
      </c>
      <c r="G78" t="e">
        <f t="shared" si="7"/>
        <v>#N/A</v>
      </c>
      <c r="H78" t="e">
        <f t="shared" si="7"/>
        <v>#N/A</v>
      </c>
      <c r="I78" t="e">
        <f t="shared" si="7"/>
        <v>#N/A</v>
      </c>
      <c r="J78" t="e">
        <f t="shared" si="7"/>
        <v>#N/A</v>
      </c>
    </row>
    <row r="79" spans="1:10" x14ac:dyDescent="0.25">
      <c r="A79" t="e">
        <f>CUBEMEMBER("pbiazure://api.powerbi.com 6e064a38-7f82-4416-9451-8d82a554b559 Model","[Facilities].[DATIMName].&amp;[Hogoro Dispensary]")</f>
        <v>#N/A</v>
      </c>
      <c r="B79" t="e">
        <f t="shared" si="7"/>
        <v>#N/A</v>
      </c>
      <c r="C79" t="e">
        <f t="shared" si="7"/>
        <v>#N/A</v>
      </c>
      <c r="D79" t="e">
        <f t="shared" si="7"/>
        <v>#N/A</v>
      </c>
      <c r="E79" t="e">
        <f t="shared" si="7"/>
        <v>#N/A</v>
      </c>
      <c r="F79" t="e">
        <f t="shared" si="7"/>
        <v>#N/A</v>
      </c>
      <c r="G79" t="e">
        <f t="shared" si="7"/>
        <v>#N/A</v>
      </c>
      <c r="H79" t="e">
        <f t="shared" si="7"/>
        <v>#N/A</v>
      </c>
      <c r="I79" t="e">
        <f t="shared" si="7"/>
        <v>#N/A</v>
      </c>
      <c r="J79" t="e">
        <f t="shared" si="7"/>
        <v>#N/A</v>
      </c>
    </row>
    <row r="80" spans="1:10" x14ac:dyDescent="0.25">
      <c r="A80" t="e">
        <f>CUBEMEMBER("pbiazure://api.powerbi.com 6e064a38-7f82-4416-9451-8d82a554b559 Model","[Facilities].[DATIMName].&amp;[Holili Health Centre Dispensary]")</f>
        <v>#N/A</v>
      </c>
      <c r="B80" t="e">
        <f t="shared" si="7"/>
        <v>#N/A</v>
      </c>
      <c r="C80" t="e">
        <f t="shared" si="7"/>
        <v>#N/A</v>
      </c>
      <c r="D80" t="e">
        <f t="shared" si="7"/>
        <v>#N/A</v>
      </c>
      <c r="E80" t="e">
        <f t="shared" si="7"/>
        <v>#N/A</v>
      </c>
      <c r="F80" t="e">
        <f t="shared" si="7"/>
        <v>#N/A</v>
      </c>
      <c r="G80" t="e">
        <f t="shared" si="7"/>
        <v>#N/A</v>
      </c>
      <c r="H80" t="e">
        <f t="shared" si="7"/>
        <v>#N/A</v>
      </c>
      <c r="I80" t="e">
        <f t="shared" si="7"/>
        <v>#N/A</v>
      </c>
      <c r="J80" t="e">
        <f t="shared" si="7"/>
        <v>#N/A</v>
      </c>
    </row>
    <row r="81" spans="1:10" x14ac:dyDescent="0.25">
      <c r="A81" t="e">
        <f>CUBEMEMBER("pbiazure://api.powerbi.com 6e064a38-7f82-4416-9451-8d82a554b559 Model","[Facilities].[DATIMName].&amp;[Hombolo Health Center]")</f>
        <v>#N/A</v>
      </c>
      <c r="B81" t="e">
        <f t="shared" si="7"/>
        <v>#N/A</v>
      </c>
      <c r="C81" t="e">
        <f t="shared" si="7"/>
        <v>#N/A</v>
      </c>
      <c r="D81" t="e">
        <f t="shared" si="7"/>
        <v>#N/A</v>
      </c>
      <c r="E81" t="e">
        <f t="shared" si="7"/>
        <v>#N/A</v>
      </c>
      <c r="F81" t="e">
        <f t="shared" si="7"/>
        <v>#N/A</v>
      </c>
      <c r="G81" t="e">
        <f t="shared" si="7"/>
        <v>#N/A</v>
      </c>
      <c r="H81" t="e">
        <f t="shared" si="7"/>
        <v>#N/A</v>
      </c>
      <c r="I81" t="e">
        <f t="shared" si="7"/>
        <v>#N/A</v>
      </c>
      <c r="J81" t="e">
        <f t="shared" si="7"/>
        <v>#N/A</v>
      </c>
    </row>
    <row r="82" spans="1:10" x14ac:dyDescent="0.25">
      <c r="A82" t="e">
        <f>CUBEMEMBER("pbiazure://api.powerbi.com 6e064a38-7f82-4416-9451-8d82a554b559 Model","[Facilities].[DATIMName].&amp;[Hombolo Makulu Dispensary]")</f>
        <v>#N/A</v>
      </c>
      <c r="B82" t="e">
        <f t="shared" si="7"/>
        <v>#N/A</v>
      </c>
      <c r="C82" t="e">
        <f t="shared" si="7"/>
        <v>#N/A</v>
      </c>
      <c r="D82" t="e">
        <f t="shared" si="7"/>
        <v>#N/A</v>
      </c>
      <c r="E82" t="e">
        <f t="shared" si="7"/>
        <v>#N/A</v>
      </c>
      <c r="F82" t="e">
        <f t="shared" si="7"/>
        <v>#N/A</v>
      </c>
      <c r="G82" t="e">
        <f t="shared" si="7"/>
        <v>#N/A</v>
      </c>
      <c r="H82" t="e">
        <f t="shared" si="7"/>
        <v>#N/A</v>
      </c>
      <c r="I82" t="e">
        <f t="shared" si="7"/>
        <v>#N/A</v>
      </c>
      <c r="J82" t="e">
        <f t="shared" si="7"/>
        <v>#N/A</v>
      </c>
    </row>
    <row r="83" spans="1:10" x14ac:dyDescent="0.25">
      <c r="A83" t="e">
        <f>CUBEMEMBER("pbiazure://api.powerbi.com 6e064a38-7f82-4416-9451-8d82a554b559 Model","[Facilities].[DATIMName].&amp;[Huruma Hospital - Designated District Hospital]")</f>
        <v>#N/A</v>
      </c>
      <c r="B83" t="e">
        <f t="shared" si="7"/>
        <v>#N/A</v>
      </c>
      <c r="C83" t="e">
        <f t="shared" si="7"/>
        <v>#N/A</v>
      </c>
      <c r="D83" t="e">
        <f t="shared" si="7"/>
        <v>#N/A</v>
      </c>
      <c r="E83" t="e">
        <f t="shared" si="7"/>
        <v>#N/A</v>
      </c>
      <c r="F83" t="e">
        <f t="shared" si="7"/>
        <v>#N/A</v>
      </c>
      <c r="G83" t="e">
        <f t="shared" si="7"/>
        <v>#N/A</v>
      </c>
      <c r="H83" t="e">
        <f t="shared" si="7"/>
        <v>#N/A</v>
      </c>
      <c r="I83" t="e">
        <f t="shared" si="7"/>
        <v>#N/A</v>
      </c>
      <c r="J83" t="e">
        <f t="shared" si="7"/>
        <v>#N/A</v>
      </c>
    </row>
    <row r="84" spans="1:10" x14ac:dyDescent="0.25">
      <c r="A84" t="e">
        <f>CUBEMEMBER("pbiazure://api.powerbi.com 6e064a38-7f82-4416-9451-8d82a554b559 Model","[Facilities].[DATIMName].&amp;[Huruma Kimandolu Dispensary]")</f>
        <v>#N/A</v>
      </c>
      <c r="B84" t="e">
        <f t="shared" si="7"/>
        <v>#N/A</v>
      </c>
      <c r="C84" t="e">
        <f t="shared" si="7"/>
        <v>#N/A</v>
      </c>
      <c r="D84" t="e">
        <f t="shared" si="7"/>
        <v>#N/A</v>
      </c>
      <c r="E84" t="e">
        <f t="shared" si="7"/>
        <v>#N/A</v>
      </c>
      <c r="F84" t="e">
        <f t="shared" si="7"/>
        <v>#N/A</v>
      </c>
      <c r="G84" t="e">
        <f t="shared" si="7"/>
        <v>#N/A</v>
      </c>
      <c r="H84" t="e">
        <f t="shared" si="7"/>
        <v>#N/A</v>
      </c>
      <c r="I84" t="e">
        <f t="shared" si="7"/>
        <v>#N/A</v>
      </c>
      <c r="J84" t="e">
        <f t="shared" si="7"/>
        <v>#N/A</v>
      </c>
    </row>
    <row r="85" spans="1:10" x14ac:dyDescent="0.25">
      <c r="A85" t="e">
        <f>CUBEMEMBER("pbiazure://api.powerbi.com 6e064a38-7f82-4416-9451-8d82a554b559 Model","[Facilities].[DATIMName].&amp;[Hydom Hospital - Referral Hospital]")</f>
        <v>#N/A</v>
      </c>
      <c r="B85" t="e">
        <f t="shared" si="7"/>
        <v>#N/A</v>
      </c>
      <c r="C85" t="e">
        <f t="shared" si="7"/>
        <v>#N/A</v>
      </c>
      <c r="D85" t="e">
        <f t="shared" si="7"/>
        <v>#N/A</v>
      </c>
      <c r="E85" t="e">
        <f t="shared" si="7"/>
        <v>#N/A</v>
      </c>
      <c r="F85" t="e">
        <f t="shared" si="7"/>
        <v>#N/A</v>
      </c>
      <c r="G85" t="e">
        <f t="shared" si="7"/>
        <v>#N/A</v>
      </c>
      <c r="H85" t="e">
        <f t="shared" si="7"/>
        <v>#N/A</v>
      </c>
      <c r="I85" t="e">
        <f t="shared" si="7"/>
        <v>#N/A</v>
      </c>
      <c r="J85" t="e">
        <f t="shared" si="7"/>
        <v>#N/A</v>
      </c>
    </row>
    <row r="86" spans="1:10" x14ac:dyDescent="0.25">
      <c r="A86" t="e">
        <f>CUBEMEMBER("pbiazure://api.powerbi.com 6e064a38-7f82-4416-9451-8d82a554b559 Model","[Facilities].[DATIMName].&amp;[Iambi ELCT Hospital - Other Hospital]")</f>
        <v>#N/A</v>
      </c>
      <c r="B86" t="e">
        <f t="shared" ref="B86:J95" si="8">CUBEVALUE("pbiazure://api.powerbi.com 6e064a38-7f82-4416-9451-8d82a554b559 Model",$B$1,$A86,B$5)</f>
        <v>#N/A</v>
      </c>
      <c r="C86" t="e">
        <f t="shared" si="8"/>
        <v>#N/A</v>
      </c>
      <c r="D86" t="e">
        <f t="shared" si="8"/>
        <v>#N/A</v>
      </c>
      <c r="E86" t="e">
        <f t="shared" si="8"/>
        <v>#N/A</v>
      </c>
      <c r="F86" t="e">
        <f t="shared" si="8"/>
        <v>#N/A</v>
      </c>
      <c r="G86" t="e">
        <f t="shared" si="8"/>
        <v>#N/A</v>
      </c>
      <c r="H86" t="e">
        <f t="shared" si="8"/>
        <v>#N/A</v>
      </c>
      <c r="I86" t="e">
        <f t="shared" si="8"/>
        <v>#N/A</v>
      </c>
      <c r="J86" t="e">
        <f t="shared" si="8"/>
        <v>#N/A</v>
      </c>
    </row>
    <row r="87" spans="1:10" x14ac:dyDescent="0.25">
      <c r="A87" t="e">
        <f>CUBEMEMBER("pbiazure://api.powerbi.com 6e064a38-7f82-4416-9451-8d82a554b559 Model","[Facilities].[DATIMName].&amp;[Ibihwa Dispensary]")</f>
        <v>#N/A</v>
      </c>
      <c r="B87" t="e">
        <f t="shared" si="8"/>
        <v>#N/A</v>
      </c>
      <c r="C87" t="e">
        <f t="shared" si="8"/>
        <v>#N/A</v>
      </c>
      <c r="D87" t="e">
        <f t="shared" si="8"/>
        <v>#N/A</v>
      </c>
      <c r="E87" t="e">
        <f t="shared" si="8"/>
        <v>#N/A</v>
      </c>
      <c r="F87" t="e">
        <f t="shared" si="8"/>
        <v>#N/A</v>
      </c>
      <c r="G87" t="e">
        <f t="shared" si="8"/>
        <v>#N/A</v>
      </c>
      <c r="H87" t="e">
        <f t="shared" si="8"/>
        <v>#N/A</v>
      </c>
      <c r="I87" t="e">
        <f t="shared" si="8"/>
        <v>#N/A</v>
      </c>
      <c r="J87" t="e">
        <f t="shared" si="8"/>
        <v>#N/A</v>
      </c>
    </row>
    <row r="88" spans="1:10" x14ac:dyDescent="0.25">
      <c r="A88" t="e">
        <f>CUBEMEMBER("pbiazure://api.powerbi.com 6e064a38-7f82-4416-9451-8d82a554b559 Model","[Facilities].[DATIMName].&amp;[Ibugule Dispensary]")</f>
        <v>#N/A</v>
      </c>
      <c r="B88" t="e">
        <f t="shared" si="8"/>
        <v>#N/A</v>
      </c>
      <c r="C88" t="e">
        <f t="shared" si="8"/>
        <v>#N/A</v>
      </c>
      <c r="D88" t="e">
        <f t="shared" si="8"/>
        <v>#N/A</v>
      </c>
      <c r="E88" t="e">
        <f t="shared" si="8"/>
        <v>#N/A</v>
      </c>
      <c r="F88" t="e">
        <f t="shared" si="8"/>
        <v>#N/A</v>
      </c>
      <c r="G88" t="e">
        <f t="shared" si="8"/>
        <v>#N/A</v>
      </c>
      <c r="H88" t="e">
        <f t="shared" si="8"/>
        <v>#N/A</v>
      </c>
      <c r="I88" t="e">
        <f t="shared" si="8"/>
        <v>#N/A</v>
      </c>
      <c r="J88" t="e">
        <f t="shared" si="8"/>
        <v>#N/A</v>
      </c>
    </row>
    <row r="89" spans="1:10" x14ac:dyDescent="0.25">
      <c r="A89" t="e">
        <f>CUBEMEMBER("pbiazure://api.powerbi.com 6e064a38-7f82-4416-9451-8d82a554b559 Model","[Facilities].[DATIMName].&amp;[Ibwaga Dispensary]")</f>
        <v>#N/A</v>
      </c>
      <c r="B89" t="e">
        <f t="shared" si="8"/>
        <v>#N/A</v>
      </c>
      <c r="C89" t="e">
        <f t="shared" si="8"/>
        <v>#N/A</v>
      </c>
      <c r="D89" t="e">
        <f t="shared" si="8"/>
        <v>#N/A</v>
      </c>
      <c r="E89" t="e">
        <f t="shared" si="8"/>
        <v>#N/A</v>
      </c>
      <c r="F89" t="e">
        <f t="shared" si="8"/>
        <v>#N/A</v>
      </c>
      <c r="G89" t="e">
        <f t="shared" si="8"/>
        <v>#N/A</v>
      </c>
      <c r="H89" t="e">
        <f t="shared" si="8"/>
        <v>#N/A</v>
      </c>
      <c r="I89" t="e">
        <f t="shared" si="8"/>
        <v>#N/A</v>
      </c>
      <c r="J89" t="e">
        <f t="shared" si="8"/>
        <v>#N/A</v>
      </c>
    </row>
    <row r="90" spans="1:10" x14ac:dyDescent="0.25">
      <c r="A90" t="e">
        <f>CUBEMEMBER("pbiazure://api.powerbi.com 6e064a38-7f82-4416-9451-8d82a554b559 Model","[Facilities].[DATIMName].&amp;[Idodyandole Dispensary]")</f>
        <v>#N/A</v>
      </c>
      <c r="B90" t="e">
        <f t="shared" si="8"/>
        <v>#N/A</v>
      </c>
      <c r="C90" t="e">
        <f t="shared" si="8"/>
        <v>#N/A</v>
      </c>
      <c r="D90" t="e">
        <f t="shared" si="8"/>
        <v>#N/A</v>
      </c>
      <c r="E90" t="e">
        <f t="shared" si="8"/>
        <v>#N/A</v>
      </c>
      <c r="F90" t="e">
        <f t="shared" si="8"/>
        <v>#N/A</v>
      </c>
      <c r="G90" t="e">
        <f t="shared" si="8"/>
        <v>#N/A</v>
      </c>
      <c r="H90" t="e">
        <f t="shared" si="8"/>
        <v>#N/A</v>
      </c>
      <c r="I90" t="e">
        <f t="shared" si="8"/>
        <v>#N/A</v>
      </c>
      <c r="J90" t="e">
        <f t="shared" si="8"/>
        <v>#N/A</v>
      </c>
    </row>
    <row r="91" spans="1:10" x14ac:dyDescent="0.25">
      <c r="A91" t="e">
        <f>CUBEMEMBER("pbiazure://api.powerbi.com 6e064a38-7f82-4416-9451-8d82a554b559 Model","[Facilities].[DATIMName].&amp;[Iduo Dispensary]")</f>
        <v>#N/A</v>
      </c>
      <c r="B91" t="e">
        <f t="shared" si="8"/>
        <v>#N/A</v>
      </c>
      <c r="C91" t="e">
        <f t="shared" si="8"/>
        <v>#N/A</v>
      </c>
      <c r="D91" t="e">
        <f t="shared" si="8"/>
        <v>#N/A</v>
      </c>
      <c r="E91" t="e">
        <f t="shared" si="8"/>
        <v>#N/A</v>
      </c>
      <c r="F91" t="e">
        <f t="shared" si="8"/>
        <v>#N/A</v>
      </c>
      <c r="G91" t="e">
        <f t="shared" si="8"/>
        <v>#N/A</v>
      </c>
      <c r="H91" t="e">
        <f t="shared" si="8"/>
        <v>#N/A</v>
      </c>
      <c r="I91" t="e">
        <f t="shared" si="8"/>
        <v>#N/A</v>
      </c>
      <c r="J91" t="e">
        <f t="shared" si="8"/>
        <v>#N/A</v>
      </c>
    </row>
    <row r="92" spans="1:10" x14ac:dyDescent="0.25">
      <c r="A92" t="e">
        <f>CUBEMEMBER("pbiazure://api.powerbi.com 6e064a38-7f82-4416-9451-8d82a554b559 Model","[Facilities].[DATIMName].&amp;[Iguguno R.C Dispensary]")</f>
        <v>#N/A</v>
      </c>
      <c r="B92" t="e">
        <f t="shared" si="8"/>
        <v>#N/A</v>
      </c>
      <c r="C92" t="e">
        <f t="shared" si="8"/>
        <v>#N/A</v>
      </c>
      <c r="D92" t="e">
        <f t="shared" si="8"/>
        <v>#N/A</v>
      </c>
      <c r="E92" t="e">
        <f t="shared" si="8"/>
        <v>#N/A</v>
      </c>
      <c r="F92" t="e">
        <f t="shared" si="8"/>
        <v>#N/A</v>
      </c>
      <c r="G92" t="e">
        <f t="shared" si="8"/>
        <v>#N/A</v>
      </c>
      <c r="H92" t="e">
        <f t="shared" si="8"/>
        <v>#N/A</v>
      </c>
      <c r="I92" t="e">
        <f t="shared" si="8"/>
        <v>#N/A</v>
      </c>
      <c r="J92" t="e">
        <f t="shared" si="8"/>
        <v>#N/A</v>
      </c>
    </row>
    <row r="93" spans="1:10" x14ac:dyDescent="0.25">
      <c r="A93" t="e">
        <f>CUBEMEMBER("pbiazure://api.powerbi.com 6e064a38-7f82-4416-9451-8d82a554b559 Model","[Facilities].[DATIMName].&amp;[Ihanja Health Center]")</f>
        <v>#N/A</v>
      </c>
      <c r="B93" t="e">
        <f t="shared" si="8"/>
        <v>#N/A</v>
      </c>
      <c r="C93" t="e">
        <f t="shared" si="8"/>
        <v>#N/A</v>
      </c>
      <c r="D93" t="e">
        <f t="shared" si="8"/>
        <v>#N/A</v>
      </c>
      <c r="E93" t="e">
        <f t="shared" si="8"/>
        <v>#N/A</v>
      </c>
      <c r="F93" t="e">
        <f t="shared" si="8"/>
        <v>#N/A</v>
      </c>
      <c r="G93" t="e">
        <f t="shared" si="8"/>
        <v>#N/A</v>
      </c>
      <c r="H93" t="e">
        <f t="shared" si="8"/>
        <v>#N/A</v>
      </c>
      <c r="I93" t="e">
        <f t="shared" si="8"/>
        <v>#N/A</v>
      </c>
      <c r="J93" t="e">
        <f t="shared" si="8"/>
        <v>#N/A</v>
      </c>
    </row>
    <row r="94" spans="1:10" x14ac:dyDescent="0.25">
      <c r="A94" t="e">
        <f>CUBEMEMBER("pbiazure://api.powerbi.com 6e064a38-7f82-4416-9451-8d82a554b559 Model","[Facilities].[DATIMName].&amp;[Ihumwa Dispensary]")</f>
        <v>#N/A</v>
      </c>
      <c r="B94" t="e">
        <f t="shared" si="8"/>
        <v>#N/A</v>
      </c>
      <c r="C94" t="e">
        <f t="shared" si="8"/>
        <v>#N/A</v>
      </c>
      <c r="D94" t="e">
        <f t="shared" si="8"/>
        <v>#N/A</v>
      </c>
      <c r="E94" t="e">
        <f t="shared" si="8"/>
        <v>#N/A</v>
      </c>
      <c r="F94" t="e">
        <f t="shared" si="8"/>
        <v>#N/A</v>
      </c>
      <c r="G94" t="e">
        <f t="shared" si="8"/>
        <v>#N/A</v>
      </c>
      <c r="H94" t="e">
        <f t="shared" si="8"/>
        <v>#N/A</v>
      </c>
      <c r="I94" t="e">
        <f t="shared" si="8"/>
        <v>#N/A</v>
      </c>
      <c r="J94" t="e">
        <f t="shared" si="8"/>
        <v>#N/A</v>
      </c>
    </row>
    <row r="95" spans="1:10" x14ac:dyDescent="0.25">
      <c r="A95" t="e">
        <f>CUBEMEMBER("pbiazure://api.powerbi.com 6e064a38-7f82-4416-9451-8d82a554b559 Model","[Facilities].[DATIMName].&amp;[Ikungi Health Center]")</f>
        <v>#N/A</v>
      </c>
      <c r="B95" t="e">
        <f t="shared" si="8"/>
        <v>#N/A</v>
      </c>
      <c r="C95" t="e">
        <f t="shared" si="8"/>
        <v>#N/A</v>
      </c>
      <c r="D95" t="e">
        <f t="shared" si="8"/>
        <v>#N/A</v>
      </c>
      <c r="E95" t="e">
        <f t="shared" si="8"/>
        <v>#N/A</v>
      </c>
      <c r="F95" t="e">
        <f t="shared" si="8"/>
        <v>#N/A</v>
      </c>
      <c r="G95" t="e">
        <f t="shared" si="8"/>
        <v>#N/A</v>
      </c>
      <c r="H95" t="e">
        <f t="shared" si="8"/>
        <v>#N/A</v>
      </c>
      <c r="I95" t="e">
        <f t="shared" si="8"/>
        <v>#N/A</v>
      </c>
      <c r="J95" t="e">
        <f t="shared" si="8"/>
        <v>#N/A</v>
      </c>
    </row>
    <row r="96" spans="1:10" x14ac:dyDescent="0.25">
      <c r="A96" t="e">
        <f>CUBEMEMBER("pbiazure://api.powerbi.com 6e064a38-7f82-4416-9451-8d82a554b559 Model","[Facilities].[DATIMName].&amp;[Ilongero Health Center]")</f>
        <v>#N/A</v>
      </c>
      <c r="B96" t="e">
        <f t="shared" ref="B96:J105" si="9">CUBEVALUE("pbiazure://api.powerbi.com 6e064a38-7f82-4416-9451-8d82a554b559 Model",$B$1,$A96,B$5)</f>
        <v>#N/A</v>
      </c>
      <c r="C96" t="e">
        <f t="shared" si="9"/>
        <v>#N/A</v>
      </c>
      <c r="D96" t="e">
        <f t="shared" si="9"/>
        <v>#N/A</v>
      </c>
      <c r="E96" t="e">
        <f t="shared" si="9"/>
        <v>#N/A</v>
      </c>
      <c r="F96" t="e">
        <f t="shared" si="9"/>
        <v>#N/A</v>
      </c>
      <c r="G96" t="e">
        <f t="shared" si="9"/>
        <v>#N/A</v>
      </c>
      <c r="H96" t="e">
        <f t="shared" si="9"/>
        <v>#N/A</v>
      </c>
      <c r="I96" t="e">
        <f t="shared" si="9"/>
        <v>#N/A</v>
      </c>
      <c r="J96" t="e">
        <f t="shared" si="9"/>
        <v>#N/A</v>
      </c>
    </row>
    <row r="97" spans="1:10" x14ac:dyDescent="0.25">
      <c r="A97" t="e">
        <f>CUBEMEMBER("pbiazure://api.powerbi.com 6e064a38-7f82-4416-9451-8d82a554b559 Model","[Facilities].[DATIMName].&amp;[Inzomvu Dispensary]")</f>
        <v>#N/A</v>
      </c>
      <c r="B97" t="e">
        <f t="shared" si="9"/>
        <v>#N/A</v>
      </c>
      <c r="C97" t="e">
        <f t="shared" si="9"/>
        <v>#N/A</v>
      </c>
      <c r="D97" t="e">
        <f t="shared" si="9"/>
        <v>#N/A</v>
      </c>
      <c r="E97" t="e">
        <f t="shared" si="9"/>
        <v>#N/A</v>
      </c>
      <c r="F97" t="e">
        <f t="shared" si="9"/>
        <v>#N/A</v>
      </c>
      <c r="G97" t="e">
        <f t="shared" si="9"/>
        <v>#N/A</v>
      </c>
      <c r="H97" t="e">
        <f t="shared" si="9"/>
        <v>#N/A</v>
      </c>
      <c r="I97" t="e">
        <f t="shared" si="9"/>
        <v>#N/A</v>
      </c>
      <c r="J97" t="e">
        <f t="shared" si="9"/>
        <v>#N/A</v>
      </c>
    </row>
    <row r="98" spans="1:10" x14ac:dyDescent="0.25">
      <c r="A98" t="e">
        <f>CUBEMEMBER("pbiazure://api.powerbi.com 6e064a38-7f82-4416-9451-8d82a554b559 Model","[Facilities].[DATIMName].&amp;[Ipala Dispensary]")</f>
        <v>#N/A</v>
      </c>
      <c r="B98" t="e">
        <f t="shared" si="9"/>
        <v>#N/A</v>
      </c>
      <c r="C98" t="e">
        <f t="shared" si="9"/>
        <v>#N/A</v>
      </c>
      <c r="D98" t="e">
        <f t="shared" si="9"/>
        <v>#N/A</v>
      </c>
      <c r="E98" t="e">
        <f t="shared" si="9"/>
        <v>#N/A</v>
      </c>
      <c r="F98" t="e">
        <f t="shared" si="9"/>
        <v>#N/A</v>
      </c>
      <c r="G98" t="e">
        <f t="shared" si="9"/>
        <v>#N/A</v>
      </c>
      <c r="H98" t="e">
        <f t="shared" si="9"/>
        <v>#N/A</v>
      </c>
      <c r="I98" t="e">
        <f t="shared" si="9"/>
        <v>#N/A</v>
      </c>
      <c r="J98" t="e">
        <f t="shared" si="9"/>
        <v>#N/A</v>
      </c>
    </row>
    <row r="99" spans="1:10" x14ac:dyDescent="0.25">
      <c r="A99" t="e">
        <f>CUBEMEMBER("pbiazure://api.powerbi.com 6e064a38-7f82-4416-9451-8d82a554b559 Model","[Facilities].[DATIMName].&amp;[Itagata Dispensary]")</f>
        <v>#N/A</v>
      </c>
      <c r="B99" t="e">
        <f t="shared" si="9"/>
        <v>#N/A</v>
      </c>
      <c r="C99" t="e">
        <f t="shared" si="9"/>
        <v>#N/A</v>
      </c>
      <c r="D99" t="e">
        <f t="shared" si="9"/>
        <v>#N/A</v>
      </c>
      <c r="E99" t="e">
        <f t="shared" si="9"/>
        <v>#N/A</v>
      </c>
      <c r="F99" t="e">
        <f t="shared" si="9"/>
        <v>#N/A</v>
      </c>
      <c r="G99" t="e">
        <f t="shared" si="9"/>
        <v>#N/A</v>
      </c>
      <c r="H99" t="e">
        <f t="shared" si="9"/>
        <v>#N/A</v>
      </c>
      <c r="I99" t="e">
        <f t="shared" si="9"/>
        <v>#N/A</v>
      </c>
      <c r="J99" t="e">
        <f t="shared" si="9"/>
        <v>#N/A</v>
      </c>
    </row>
    <row r="100" spans="1:10" x14ac:dyDescent="0.25">
      <c r="A100" t="e">
        <f>CUBEMEMBER("pbiazure://api.powerbi.com 6e064a38-7f82-4416-9451-8d82a554b559 Model","[Facilities].[DATIMName].&amp;[Itaja Dispensary]")</f>
        <v>#N/A</v>
      </c>
      <c r="B100" t="e">
        <f t="shared" si="9"/>
        <v>#N/A</v>
      </c>
      <c r="C100" t="e">
        <f t="shared" si="9"/>
        <v>#N/A</v>
      </c>
      <c r="D100" t="e">
        <f t="shared" si="9"/>
        <v>#N/A</v>
      </c>
      <c r="E100" t="e">
        <f t="shared" si="9"/>
        <v>#N/A</v>
      </c>
      <c r="F100" t="e">
        <f t="shared" si="9"/>
        <v>#N/A</v>
      </c>
      <c r="G100" t="e">
        <f t="shared" si="9"/>
        <v>#N/A</v>
      </c>
      <c r="H100" t="e">
        <f t="shared" si="9"/>
        <v>#N/A</v>
      </c>
      <c r="I100" t="e">
        <f t="shared" si="9"/>
        <v>#N/A</v>
      </c>
      <c r="J100" t="e">
        <f t="shared" si="9"/>
        <v>#N/A</v>
      </c>
    </row>
    <row r="101" spans="1:10" x14ac:dyDescent="0.25">
      <c r="A101" t="e">
        <f>CUBEMEMBER("pbiazure://api.powerbi.com 6e064a38-7f82-4416-9451-8d82a554b559 Model","[Facilities].[DATIMName].&amp;[Ithnaasheri charitable Dispensary]")</f>
        <v>#N/A</v>
      </c>
      <c r="B101" t="e">
        <f t="shared" si="9"/>
        <v>#N/A</v>
      </c>
      <c r="C101" t="e">
        <f t="shared" si="9"/>
        <v>#N/A</v>
      </c>
      <c r="D101" t="e">
        <f t="shared" si="9"/>
        <v>#N/A</v>
      </c>
      <c r="E101" t="e">
        <f t="shared" si="9"/>
        <v>#N/A</v>
      </c>
      <c r="F101" t="e">
        <f t="shared" si="9"/>
        <v>#N/A</v>
      </c>
      <c r="G101" t="e">
        <f t="shared" si="9"/>
        <v>#N/A</v>
      </c>
      <c r="H101" t="e">
        <f t="shared" si="9"/>
        <v>#N/A</v>
      </c>
      <c r="I101" t="e">
        <f t="shared" si="9"/>
        <v>#N/A</v>
      </c>
      <c r="J101" t="e">
        <f t="shared" si="9"/>
        <v>#N/A</v>
      </c>
    </row>
    <row r="102" spans="1:10" x14ac:dyDescent="0.25">
      <c r="A102" t="e">
        <f>CUBEMEMBER("pbiazure://api.powerbi.com 6e064a38-7f82-4416-9451-8d82a554b559 Model","[Facilities].[DATIMName].&amp;[Itigi Health Center]")</f>
        <v>#N/A</v>
      </c>
      <c r="B102" t="e">
        <f t="shared" si="9"/>
        <v>#N/A</v>
      </c>
      <c r="C102" t="e">
        <f t="shared" si="9"/>
        <v>#N/A</v>
      </c>
      <c r="D102" t="e">
        <f t="shared" si="9"/>
        <v>#N/A</v>
      </c>
      <c r="E102" t="e">
        <f t="shared" si="9"/>
        <v>#N/A</v>
      </c>
      <c r="F102" t="e">
        <f t="shared" si="9"/>
        <v>#N/A</v>
      </c>
      <c r="G102" t="e">
        <f t="shared" si="9"/>
        <v>#N/A</v>
      </c>
      <c r="H102" t="e">
        <f t="shared" si="9"/>
        <v>#N/A</v>
      </c>
      <c r="I102" t="e">
        <f t="shared" si="9"/>
        <v>#N/A</v>
      </c>
      <c r="J102" t="e">
        <f t="shared" si="9"/>
        <v>#N/A</v>
      </c>
    </row>
    <row r="103" spans="1:10" x14ac:dyDescent="0.25">
      <c r="A103" t="e">
        <f>CUBEMEMBER("pbiazure://api.powerbi.com 6e064a38-7f82-4416-9451-8d82a554b559 Model","[Facilities].[DATIMName].&amp;[Itolwa Dispensary]")</f>
        <v>#N/A</v>
      </c>
      <c r="B103" t="e">
        <f t="shared" si="9"/>
        <v>#N/A</v>
      </c>
      <c r="C103" t="e">
        <f t="shared" si="9"/>
        <v>#N/A</v>
      </c>
      <c r="D103" t="e">
        <f t="shared" si="9"/>
        <v>#N/A</v>
      </c>
      <c r="E103" t="e">
        <f t="shared" si="9"/>
        <v>#N/A</v>
      </c>
      <c r="F103" t="e">
        <f t="shared" si="9"/>
        <v>#N/A</v>
      </c>
      <c r="G103" t="e">
        <f t="shared" si="9"/>
        <v>#N/A</v>
      </c>
      <c r="H103" t="e">
        <f t="shared" si="9"/>
        <v>#N/A</v>
      </c>
      <c r="I103" t="e">
        <f t="shared" si="9"/>
        <v>#N/A</v>
      </c>
      <c r="J103" t="e">
        <f t="shared" si="9"/>
        <v>#N/A</v>
      </c>
    </row>
    <row r="104" spans="1:10" x14ac:dyDescent="0.25">
      <c r="A104" t="e">
        <f>CUBEMEMBER("pbiazure://api.powerbi.com 6e064a38-7f82-4416-9451-8d82a554b559 Model","[Facilities].[DATIMName].&amp;[Kagongo Health Center]")</f>
        <v>#N/A</v>
      </c>
      <c r="B104" t="e">
        <f t="shared" si="9"/>
        <v>#N/A</v>
      </c>
      <c r="C104" t="e">
        <f t="shared" si="9"/>
        <v>#N/A</v>
      </c>
      <c r="D104" t="e">
        <f t="shared" si="9"/>
        <v>#N/A</v>
      </c>
      <c r="E104" t="e">
        <f t="shared" si="9"/>
        <v>#N/A</v>
      </c>
      <c r="F104" t="e">
        <f t="shared" si="9"/>
        <v>#N/A</v>
      </c>
      <c r="G104" t="e">
        <f t="shared" si="9"/>
        <v>#N/A</v>
      </c>
      <c r="H104" t="e">
        <f t="shared" si="9"/>
        <v>#N/A</v>
      </c>
      <c r="I104" t="e">
        <f t="shared" si="9"/>
        <v>#N/A</v>
      </c>
      <c r="J104" t="e">
        <f t="shared" si="9"/>
        <v>#N/A</v>
      </c>
    </row>
    <row r="105" spans="1:10" x14ac:dyDescent="0.25">
      <c r="A105" t="e">
        <f>CUBEMEMBER("pbiazure://api.powerbi.com 6e064a38-7f82-4416-9451-8d82a554b559 Model","[Facilities].[DATIMName].&amp;[Kahe Dispensary]")</f>
        <v>#N/A</v>
      </c>
      <c r="B105" t="e">
        <f t="shared" si="9"/>
        <v>#N/A</v>
      </c>
      <c r="C105" t="e">
        <f t="shared" si="9"/>
        <v>#N/A</v>
      </c>
      <c r="D105" t="e">
        <f t="shared" si="9"/>
        <v>#N/A</v>
      </c>
      <c r="E105" t="e">
        <f t="shared" si="9"/>
        <v>#N/A</v>
      </c>
      <c r="F105" t="e">
        <f t="shared" si="9"/>
        <v>#N/A</v>
      </c>
      <c r="G105" t="e">
        <f t="shared" si="9"/>
        <v>#N/A</v>
      </c>
      <c r="H105" t="e">
        <f t="shared" si="9"/>
        <v>#N/A</v>
      </c>
      <c r="I105" t="e">
        <f t="shared" si="9"/>
        <v>#N/A</v>
      </c>
      <c r="J105" t="e">
        <f t="shared" si="9"/>
        <v>#N/A</v>
      </c>
    </row>
    <row r="106" spans="1:10" x14ac:dyDescent="0.25">
      <c r="A106" t="e">
        <f>CUBEMEMBER("pbiazure://api.powerbi.com 6e064a38-7f82-4416-9451-8d82a554b559 Model","[Facilities].[DATIMName].&amp;[Kainam Dispensary]")</f>
        <v>#N/A</v>
      </c>
      <c r="B106" t="e">
        <f t="shared" ref="B106:J115" si="10">CUBEVALUE("pbiazure://api.powerbi.com 6e064a38-7f82-4416-9451-8d82a554b559 Model",$B$1,$A106,B$5)</f>
        <v>#N/A</v>
      </c>
      <c r="C106" t="e">
        <f t="shared" si="10"/>
        <v>#N/A</v>
      </c>
      <c r="D106" t="e">
        <f t="shared" si="10"/>
        <v>#N/A</v>
      </c>
      <c r="E106" t="e">
        <f t="shared" si="10"/>
        <v>#N/A</v>
      </c>
      <c r="F106" t="e">
        <f t="shared" si="10"/>
        <v>#N/A</v>
      </c>
      <c r="G106" t="e">
        <f t="shared" si="10"/>
        <v>#N/A</v>
      </c>
      <c r="H106" t="e">
        <f t="shared" si="10"/>
        <v>#N/A</v>
      </c>
      <c r="I106" t="e">
        <f t="shared" si="10"/>
        <v>#N/A</v>
      </c>
      <c r="J106" t="e">
        <f t="shared" si="10"/>
        <v>#N/A</v>
      </c>
    </row>
    <row r="107" spans="1:10" x14ac:dyDescent="0.25">
      <c r="A107" t="e">
        <f>CUBEMEMBER("pbiazure://api.powerbi.com 6e064a38-7f82-4416-9451-8d82a554b559 Model","[Facilities].[DATIMName].&amp;[Kaloleni Health Center]")</f>
        <v>#N/A</v>
      </c>
      <c r="B107" t="e">
        <f t="shared" si="10"/>
        <v>#N/A</v>
      </c>
      <c r="C107" t="e">
        <f t="shared" si="10"/>
        <v>#N/A</v>
      </c>
      <c r="D107" t="e">
        <f t="shared" si="10"/>
        <v>#N/A</v>
      </c>
      <c r="E107" t="e">
        <f t="shared" si="10"/>
        <v>#N/A</v>
      </c>
      <c r="F107" t="e">
        <f t="shared" si="10"/>
        <v>#N/A</v>
      </c>
      <c r="G107" t="e">
        <f t="shared" si="10"/>
        <v>#N/A</v>
      </c>
      <c r="H107" t="e">
        <f t="shared" si="10"/>
        <v>#N/A</v>
      </c>
      <c r="I107" t="e">
        <f t="shared" si="10"/>
        <v>#N/A</v>
      </c>
      <c r="J107" t="e">
        <f t="shared" si="10"/>
        <v>#N/A</v>
      </c>
    </row>
    <row r="108" spans="1:10" x14ac:dyDescent="0.25">
      <c r="A108" t="e">
        <f>CUBEMEMBER("pbiazure://api.powerbi.com 6e064a38-7f82-4416-9451-8d82a554b559 Model","[Facilities].[DATIMName].&amp;[KAM Med Health Centre Health Center]")</f>
        <v>#N/A</v>
      </c>
      <c r="B108" t="e">
        <f t="shared" si="10"/>
        <v>#N/A</v>
      </c>
      <c r="C108" t="e">
        <f t="shared" si="10"/>
        <v>#N/A</v>
      </c>
      <c r="D108" t="e">
        <f t="shared" si="10"/>
        <v>#N/A</v>
      </c>
      <c r="E108" t="e">
        <f t="shared" si="10"/>
        <v>#N/A</v>
      </c>
      <c r="F108" t="e">
        <f t="shared" si="10"/>
        <v>#N/A</v>
      </c>
      <c r="G108" t="e">
        <f t="shared" si="10"/>
        <v>#N/A</v>
      </c>
      <c r="H108" t="e">
        <f t="shared" si="10"/>
        <v>#N/A</v>
      </c>
      <c r="I108" t="e">
        <f t="shared" si="10"/>
        <v>#N/A</v>
      </c>
      <c r="J108" t="e">
        <f t="shared" si="10"/>
        <v>#N/A</v>
      </c>
    </row>
    <row r="109" spans="1:10" x14ac:dyDescent="0.25">
      <c r="A109" t="e">
        <f>CUBEMEMBER("pbiazure://api.powerbi.com 6e064a38-7f82-4416-9451-8d82a554b559 Model","[Facilities].[DATIMName].&amp;[Kamwanga Dispensary]")</f>
        <v>#N/A</v>
      </c>
      <c r="B109" t="e">
        <f t="shared" si="10"/>
        <v>#N/A</v>
      </c>
      <c r="C109" t="e">
        <f t="shared" si="10"/>
        <v>#N/A</v>
      </c>
      <c r="D109" t="e">
        <f t="shared" si="10"/>
        <v>#N/A</v>
      </c>
      <c r="E109" t="e">
        <f t="shared" si="10"/>
        <v>#N/A</v>
      </c>
      <c r="F109" t="e">
        <f t="shared" si="10"/>
        <v>#N/A</v>
      </c>
      <c r="G109" t="e">
        <f t="shared" si="10"/>
        <v>#N/A</v>
      </c>
      <c r="H109" t="e">
        <f t="shared" si="10"/>
        <v>#N/A</v>
      </c>
      <c r="I109" t="e">
        <f t="shared" si="10"/>
        <v>#N/A</v>
      </c>
      <c r="J109" t="e">
        <f t="shared" si="10"/>
        <v>#N/A</v>
      </c>
    </row>
    <row r="110" spans="1:10" x14ac:dyDescent="0.25">
      <c r="A110" t="e">
        <f>CUBEMEMBER("pbiazure://api.powerbi.com 6e064a38-7f82-4416-9451-8d82a554b559 Model","[Facilities].[DATIMName].&amp;[Karatu Health Center]")</f>
        <v>#N/A</v>
      </c>
      <c r="B110" t="e">
        <f t="shared" si="10"/>
        <v>#N/A</v>
      </c>
      <c r="C110" t="e">
        <f t="shared" si="10"/>
        <v>#N/A</v>
      </c>
      <c r="D110" t="e">
        <f t="shared" si="10"/>
        <v>#N/A</v>
      </c>
      <c r="E110" t="e">
        <f t="shared" si="10"/>
        <v>#N/A</v>
      </c>
      <c r="F110" t="e">
        <f t="shared" si="10"/>
        <v>#N/A</v>
      </c>
      <c r="G110" t="e">
        <f t="shared" si="10"/>
        <v>#N/A</v>
      </c>
      <c r="H110" t="e">
        <f t="shared" si="10"/>
        <v>#N/A</v>
      </c>
      <c r="I110" t="e">
        <f t="shared" si="10"/>
        <v>#N/A</v>
      </c>
      <c r="J110" t="e">
        <f t="shared" si="10"/>
        <v>#N/A</v>
      </c>
    </row>
    <row r="111" spans="1:10" x14ac:dyDescent="0.25">
      <c r="A111" t="e">
        <f>CUBEMEMBER("pbiazure://api.powerbi.com 6e064a38-7f82-4416-9451-8d82a554b559 Model","[Facilities].[DATIMName].&amp;[Karatu Lutheran Hospital - Designated District Hospital]")</f>
        <v>#N/A</v>
      </c>
      <c r="B111" t="e">
        <f t="shared" si="10"/>
        <v>#N/A</v>
      </c>
      <c r="C111" t="e">
        <f t="shared" si="10"/>
        <v>#N/A</v>
      </c>
      <c r="D111" t="e">
        <f t="shared" si="10"/>
        <v>#N/A</v>
      </c>
      <c r="E111" t="e">
        <f t="shared" si="10"/>
        <v>#N/A</v>
      </c>
      <c r="F111" t="e">
        <f t="shared" si="10"/>
        <v>#N/A</v>
      </c>
      <c r="G111" t="e">
        <f t="shared" si="10"/>
        <v>#N/A</v>
      </c>
      <c r="H111" t="e">
        <f t="shared" si="10"/>
        <v>#N/A</v>
      </c>
      <c r="I111" t="e">
        <f t="shared" si="10"/>
        <v>#N/A</v>
      </c>
      <c r="J111" t="e">
        <f t="shared" si="10"/>
        <v>#N/A</v>
      </c>
    </row>
    <row r="112" spans="1:10" x14ac:dyDescent="0.25">
      <c r="A112" t="e">
        <f>CUBEMEMBER("pbiazure://api.powerbi.com 6e064a38-7f82-4416-9451-8d82a554b559 Model","[Facilities].[DATIMName].&amp;[Karume Health Center]")</f>
        <v>#N/A</v>
      </c>
      <c r="B112" t="e">
        <f t="shared" si="10"/>
        <v>#N/A</v>
      </c>
      <c r="C112" t="e">
        <f t="shared" si="10"/>
        <v>#N/A</v>
      </c>
      <c r="D112" t="e">
        <f t="shared" si="10"/>
        <v>#N/A</v>
      </c>
      <c r="E112" t="e">
        <f t="shared" si="10"/>
        <v>#N/A</v>
      </c>
      <c r="F112" t="e">
        <f t="shared" si="10"/>
        <v>#N/A</v>
      </c>
      <c r="G112" t="e">
        <f t="shared" si="10"/>
        <v>#N/A</v>
      </c>
      <c r="H112" t="e">
        <f t="shared" si="10"/>
        <v>#N/A</v>
      </c>
      <c r="I112" t="e">
        <f t="shared" si="10"/>
        <v>#N/A</v>
      </c>
      <c r="J112" t="e">
        <f t="shared" si="10"/>
        <v>#N/A</v>
      </c>
    </row>
    <row r="113" spans="1:10" x14ac:dyDescent="0.25">
      <c r="A113" t="e">
        <f>CUBEMEMBER("pbiazure://api.powerbi.com 6e064a38-7f82-4416-9451-8d82a554b559 Model","[Facilities].[DATIMName].&amp;[Katesh Health Center]")</f>
        <v>#N/A</v>
      </c>
      <c r="B113" t="e">
        <f t="shared" si="10"/>
        <v>#N/A</v>
      </c>
      <c r="C113" t="e">
        <f t="shared" si="10"/>
        <v>#N/A</v>
      </c>
      <c r="D113" t="e">
        <f t="shared" si="10"/>
        <v>#N/A</v>
      </c>
      <c r="E113" t="e">
        <f t="shared" si="10"/>
        <v>#N/A</v>
      </c>
      <c r="F113" t="e">
        <f t="shared" si="10"/>
        <v>#N/A</v>
      </c>
      <c r="G113" t="e">
        <f t="shared" si="10"/>
        <v>#N/A</v>
      </c>
      <c r="H113" t="e">
        <f t="shared" si="10"/>
        <v>#N/A</v>
      </c>
      <c r="I113" t="e">
        <f t="shared" si="10"/>
        <v>#N/A</v>
      </c>
      <c r="J113" t="e">
        <f t="shared" si="10"/>
        <v>#N/A</v>
      </c>
    </row>
    <row r="114" spans="1:10" x14ac:dyDescent="0.25">
      <c r="A114" t="e">
        <f>CUBEMEMBER("pbiazure://api.powerbi.com 6e064a38-7f82-4416-9451-8d82a554b559 Model","[Facilities].[DATIMName].&amp;[KCMC Hospital - Zonal Super Specialist Hospital]")</f>
        <v>#N/A</v>
      </c>
      <c r="B114" t="e">
        <f t="shared" si="10"/>
        <v>#N/A</v>
      </c>
      <c r="C114" t="e">
        <f t="shared" si="10"/>
        <v>#N/A</v>
      </c>
      <c r="D114" t="e">
        <f t="shared" si="10"/>
        <v>#N/A</v>
      </c>
      <c r="E114" t="e">
        <f t="shared" si="10"/>
        <v>#N/A</v>
      </c>
      <c r="F114" t="e">
        <f t="shared" si="10"/>
        <v>#N/A</v>
      </c>
      <c r="G114" t="e">
        <f t="shared" si="10"/>
        <v>#N/A</v>
      </c>
      <c r="H114" t="e">
        <f t="shared" si="10"/>
        <v>#N/A</v>
      </c>
      <c r="I114" t="e">
        <f t="shared" si="10"/>
        <v>#N/A</v>
      </c>
      <c r="J114" t="e">
        <f t="shared" si="10"/>
        <v>#N/A</v>
      </c>
    </row>
    <row r="115" spans="1:10" x14ac:dyDescent="0.25">
      <c r="A115" t="e">
        <f>CUBEMEMBER("pbiazure://api.powerbi.com 6e064a38-7f82-4416-9451-8d82a554b559 Model","[Facilities].[DATIMName].&amp;[Kelema Dispensary]")</f>
        <v>#N/A</v>
      </c>
      <c r="B115" t="e">
        <f t="shared" si="10"/>
        <v>#N/A</v>
      </c>
      <c r="C115" t="e">
        <f t="shared" si="10"/>
        <v>#N/A</v>
      </c>
      <c r="D115" t="e">
        <f t="shared" si="10"/>
        <v>#N/A</v>
      </c>
      <c r="E115" t="e">
        <f t="shared" si="10"/>
        <v>#N/A</v>
      </c>
      <c r="F115" t="e">
        <f t="shared" si="10"/>
        <v>#N/A</v>
      </c>
      <c r="G115" t="e">
        <f t="shared" si="10"/>
        <v>#N/A</v>
      </c>
      <c r="H115" t="e">
        <f t="shared" si="10"/>
        <v>#N/A</v>
      </c>
      <c r="I115" t="e">
        <f t="shared" si="10"/>
        <v>#N/A</v>
      </c>
      <c r="J115" t="e">
        <f t="shared" si="10"/>
        <v>#N/A</v>
      </c>
    </row>
    <row r="116" spans="1:10" x14ac:dyDescent="0.25">
      <c r="A116" t="e">
        <f>CUBEMEMBER("pbiazure://api.powerbi.com 6e064a38-7f82-4416-9451-8d82a554b559 Model","[Facilities].[DATIMName].&amp;[Keni Health Center]")</f>
        <v>#N/A</v>
      </c>
      <c r="B116" t="e">
        <f t="shared" ref="B116:J125" si="11">CUBEVALUE("pbiazure://api.powerbi.com 6e064a38-7f82-4416-9451-8d82a554b559 Model",$B$1,$A116,B$5)</f>
        <v>#N/A</v>
      </c>
      <c r="C116" t="e">
        <f t="shared" si="11"/>
        <v>#N/A</v>
      </c>
      <c r="D116" t="e">
        <f t="shared" si="11"/>
        <v>#N/A</v>
      </c>
      <c r="E116" t="e">
        <f t="shared" si="11"/>
        <v>#N/A</v>
      </c>
      <c r="F116" t="e">
        <f t="shared" si="11"/>
        <v>#N/A</v>
      </c>
      <c r="G116" t="e">
        <f t="shared" si="11"/>
        <v>#N/A</v>
      </c>
      <c r="H116" t="e">
        <f t="shared" si="11"/>
        <v>#N/A</v>
      </c>
      <c r="I116" t="e">
        <f t="shared" si="11"/>
        <v>#N/A</v>
      </c>
      <c r="J116" t="e">
        <f t="shared" si="11"/>
        <v>#N/A</v>
      </c>
    </row>
    <row r="117" spans="1:10" x14ac:dyDescent="0.25">
      <c r="A117" t="e">
        <f>CUBEMEMBER("pbiazure://api.powerbi.com 6e064a38-7f82-4416-9451-8d82a554b559 Model","[Facilities].[DATIMName].&amp;[Ketumbeine Dispensary]")</f>
        <v>#N/A</v>
      </c>
      <c r="B117" t="e">
        <f t="shared" si="11"/>
        <v>#N/A</v>
      </c>
      <c r="C117" t="e">
        <f t="shared" si="11"/>
        <v>#N/A</v>
      </c>
      <c r="D117" t="e">
        <f t="shared" si="11"/>
        <v>#N/A</v>
      </c>
      <c r="E117" t="e">
        <f t="shared" si="11"/>
        <v>#N/A</v>
      </c>
      <c r="F117" t="e">
        <f t="shared" si="11"/>
        <v>#N/A</v>
      </c>
      <c r="G117" t="e">
        <f t="shared" si="11"/>
        <v>#N/A</v>
      </c>
      <c r="H117" t="e">
        <f t="shared" si="11"/>
        <v>#N/A</v>
      </c>
      <c r="I117" t="e">
        <f t="shared" si="11"/>
        <v>#N/A</v>
      </c>
      <c r="J117" t="e">
        <f t="shared" si="11"/>
        <v>#N/A</v>
      </c>
    </row>
    <row r="118" spans="1:10" x14ac:dyDescent="0.25">
      <c r="A118" t="e">
        <f>CUBEMEMBER("pbiazure://api.powerbi.com 6e064a38-7f82-4416-9451-8d82a554b559 Model","[Facilities].[DATIMName].&amp;[KIA Dispensary]")</f>
        <v>#N/A</v>
      </c>
      <c r="B118" t="e">
        <f t="shared" si="11"/>
        <v>#N/A</v>
      </c>
      <c r="C118" t="e">
        <f t="shared" si="11"/>
        <v>#N/A</v>
      </c>
      <c r="D118" t="e">
        <f t="shared" si="11"/>
        <v>#N/A</v>
      </c>
      <c r="E118" t="e">
        <f t="shared" si="11"/>
        <v>#N/A</v>
      </c>
      <c r="F118" t="e">
        <f t="shared" si="11"/>
        <v>#N/A</v>
      </c>
      <c r="G118" t="e">
        <f t="shared" si="11"/>
        <v>#N/A</v>
      </c>
      <c r="H118" t="e">
        <f t="shared" si="11"/>
        <v>#N/A</v>
      </c>
      <c r="I118" t="e">
        <f t="shared" si="11"/>
        <v>#N/A</v>
      </c>
      <c r="J118" t="e">
        <f t="shared" si="11"/>
        <v>#N/A</v>
      </c>
    </row>
    <row r="119" spans="1:10" x14ac:dyDescent="0.25">
      <c r="A119" t="e">
        <f>CUBEMEMBER("pbiazure://api.powerbi.com 6e064a38-7f82-4416-9451-8d82a554b559 Model","[Facilities].[DATIMName].&amp;[Kibakwe Health Center]")</f>
        <v>#N/A</v>
      </c>
      <c r="B119" t="e">
        <f t="shared" si="11"/>
        <v>#N/A</v>
      </c>
      <c r="C119" t="e">
        <f t="shared" si="11"/>
        <v>#N/A</v>
      </c>
      <c r="D119" t="e">
        <f t="shared" si="11"/>
        <v>#N/A</v>
      </c>
      <c r="E119" t="e">
        <f t="shared" si="11"/>
        <v>#N/A</v>
      </c>
      <c r="F119" t="e">
        <f t="shared" si="11"/>
        <v>#N/A</v>
      </c>
      <c r="G119" t="e">
        <f t="shared" si="11"/>
        <v>#N/A</v>
      </c>
      <c r="H119" t="e">
        <f t="shared" si="11"/>
        <v>#N/A</v>
      </c>
      <c r="I119" t="e">
        <f t="shared" si="11"/>
        <v>#N/A</v>
      </c>
      <c r="J119" t="e">
        <f t="shared" si="11"/>
        <v>#N/A</v>
      </c>
    </row>
    <row r="120" spans="1:10" x14ac:dyDescent="0.25">
      <c r="A120" t="e">
        <f>CUBEMEMBER("pbiazure://api.powerbi.com 6e064a38-7f82-4416-9451-8d82a554b559 Model","[Facilities].[DATIMName].&amp;[Kibaya Hospital - District Hospital]")</f>
        <v>#N/A</v>
      </c>
      <c r="B120" t="e">
        <f t="shared" si="11"/>
        <v>#N/A</v>
      </c>
      <c r="C120" t="e">
        <f t="shared" si="11"/>
        <v>#N/A</v>
      </c>
      <c r="D120" t="e">
        <f t="shared" si="11"/>
        <v>#N/A</v>
      </c>
      <c r="E120" t="e">
        <f t="shared" si="11"/>
        <v>#N/A</v>
      </c>
      <c r="F120" t="e">
        <f t="shared" si="11"/>
        <v>#N/A</v>
      </c>
      <c r="G120" t="e">
        <f t="shared" si="11"/>
        <v>#N/A</v>
      </c>
      <c r="H120" t="e">
        <f t="shared" si="11"/>
        <v>#N/A</v>
      </c>
      <c r="I120" t="e">
        <f t="shared" si="11"/>
        <v>#N/A</v>
      </c>
      <c r="J120" t="e">
        <f t="shared" si="11"/>
        <v>#N/A</v>
      </c>
    </row>
    <row r="121" spans="1:10" x14ac:dyDescent="0.25">
      <c r="A121" t="e">
        <f>CUBEMEMBER("pbiazure://api.powerbi.com 6e064a38-7f82-4416-9451-8d82a554b559 Model","[Facilities].[DATIMName].&amp;[Kibong'oto Infection Disease (KIDH) Hospital - National Super Specialist Hospital]")</f>
        <v>#N/A</v>
      </c>
      <c r="B121" t="e">
        <f t="shared" si="11"/>
        <v>#N/A</v>
      </c>
      <c r="C121" t="e">
        <f t="shared" si="11"/>
        <v>#N/A</v>
      </c>
      <c r="D121" t="e">
        <f t="shared" si="11"/>
        <v>#N/A</v>
      </c>
      <c r="E121" t="e">
        <f t="shared" si="11"/>
        <v>#N/A</v>
      </c>
      <c r="F121" t="e">
        <f t="shared" si="11"/>
        <v>#N/A</v>
      </c>
      <c r="G121" t="e">
        <f t="shared" si="11"/>
        <v>#N/A</v>
      </c>
      <c r="H121" t="e">
        <f t="shared" si="11"/>
        <v>#N/A</v>
      </c>
      <c r="I121" t="e">
        <f t="shared" si="11"/>
        <v>#N/A</v>
      </c>
      <c r="J121" t="e">
        <f t="shared" si="11"/>
        <v>#N/A</v>
      </c>
    </row>
    <row r="122" spans="1:10" x14ac:dyDescent="0.25">
      <c r="A122" t="e">
        <f>CUBEMEMBER("pbiazure://api.powerbi.com 6e064a38-7f82-4416-9451-8d82a554b559 Model","[Facilities].[DATIMName].&amp;[Kiboriloni Dispensary]")</f>
        <v>#N/A</v>
      </c>
      <c r="B122" t="e">
        <f t="shared" si="11"/>
        <v>#N/A</v>
      </c>
      <c r="C122" t="e">
        <f t="shared" si="11"/>
        <v>#N/A</v>
      </c>
      <c r="D122" t="e">
        <f t="shared" si="11"/>
        <v>#N/A</v>
      </c>
      <c r="E122" t="e">
        <f t="shared" si="11"/>
        <v>#N/A</v>
      </c>
      <c r="F122" t="e">
        <f t="shared" si="11"/>
        <v>#N/A</v>
      </c>
      <c r="G122" t="e">
        <f t="shared" si="11"/>
        <v>#N/A</v>
      </c>
      <c r="H122" t="e">
        <f t="shared" si="11"/>
        <v>#N/A</v>
      </c>
      <c r="I122" t="e">
        <f t="shared" si="11"/>
        <v>#N/A</v>
      </c>
      <c r="J122" t="e">
        <f t="shared" si="11"/>
        <v>#N/A</v>
      </c>
    </row>
    <row r="123" spans="1:10" x14ac:dyDescent="0.25">
      <c r="A123" t="e">
        <f>CUBEMEMBER("pbiazure://api.powerbi.com 6e064a38-7f82-4416-9451-8d82a554b559 Model","[Facilities].[DATIMName].&amp;[Kibosho Hospital - Designated District Hospital]")</f>
        <v>#N/A</v>
      </c>
      <c r="B123" t="e">
        <f t="shared" si="11"/>
        <v>#N/A</v>
      </c>
      <c r="C123" t="e">
        <f t="shared" si="11"/>
        <v>#N/A</v>
      </c>
      <c r="D123" t="e">
        <f t="shared" si="11"/>
        <v>#N/A</v>
      </c>
      <c r="E123" t="e">
        <f t="shared" si="11"/>
        <v>#N/A</v>
      </c>
      <c r="F123" t="e">
        <f t="shared" si="11"/>
        <v>#N/A</v>
      </c>
      <c r="G123" t="e">
        <f t="shared" si="11"/>
        <v>#N/A</v>
      </c>
      <c r="H123" t="e">
        <f t="shared" si="11"/>
        <v>#N/A</v>
      </c>
      <c r="I123" t="e">
        <f t="shared" si="11"/>
        <v>#N/A</v>
      </c>
      <c r="J123" t="e">
        <f t="shared" si="11"/>
        <v>#N/A</v>
      </c>
    </row>
    <row r="124" spans="1:10" x14ac:dyDescent="0.25">
      <c r="A124" t="e">
        <f>CUBEMEMBER("pbiazure://api.powerbi.com 6e064a38-7f82-4416-9451-8d82a554b559 Model","[Facilities].[DATIMName].&amp;[Kifaru Dispensary]")</f>
        <v>#N/A</v>
      </c>
      <c r="B124" t="e">
        <f t="shared" si="11"/>
        <v>#N/A</v>
      </c>
      <c r="C124" t="e">
        <f t="shared" si="11"/>
        <v>#N/A</v>
      </c>
      <c r="D124" t="e">
        <f t="shared" si="11"/>
        <v>#N/A</v>
      </c>
      <c r="E124" t="e">
        <f t="shared" si="11"/>
        <v>#N/A</v>
      </c>
      <c r="F124" t="e">
        <f t="shared" si="11"/>
        <v>#N/A</v>
      </c>
      <c r="G124" t="e">
        <f t="shared" si="11"/>
        <v>#N/A</v>
      </c>
      <c r="H124" t="e">
        <f t="shared" si="11"/>
        <v>#N/A</v>
      </c>
      <c r="I124" t="e">
        <f t="shared" si="11"/>
        <v>#N/A</v>
      </c>
      <c r="J124" t="e">
        <f t="shared" si="11"/>
        <v>#N/A</v>
      </c>
    </row>
    <row r="125" spans="1:10" x14ac:dyDescent="0.25">
      <c r="A125" t="e">
        <f>CUBEMEMBER("pbiazure://api.powerbi.com 6e064a38-7f82-4416-9451-8d82a554b559 Model","[Facilities].[DATIMName].&amp;[Kifula Health Center]")</f>
        <v>#N/A</v>
      </c>
      <c r="B125" t="e">
        <f t="shared" si="11"/>
        <v>#N/A</v>
      </c>
      <c r="C125" t="e">
        <f t="shared" si="11"/>
        <v>#N/A</v>
      </c>
      <c r="D125" t="e">
        <f t="shared" si="11"/>
        <v>#N/A</v>
      </c>
      <c r="E125" t="e">
        <f t="shared" si="11"/>
        <v>#N/A</v>
      </c>
      <c r="F125" t="e">
        <f t="shared" si="11"/>
        <v>#N/A</v>
      </c>
      <c r="G125" t="e">
        <f t="shared" si="11"/>
        <v>#N/A</v>
      </c>
      <c r="H125" t="e">
        <f t="shared" si="11"/>
        <v>#N/A</v>
      </c>
      <c r="I125" t="e">
        <f t="shared" si="11"/>
        <v>#N/A</v>
      </c>
      <c r="J125" t="e">
        <f t="shared" si="11"/>
        <v>#N/A</v>
      </c>
    </row>
    <row r="126" spans="1:10" x14ac:dyDescent="0.25">
      <c r="A126" t="e">
        <f>CUBEMEMBER("pbiazure://api.powerbi.com 6e064a38-7f82-4416-9451-8d82a554b559 Model","[Facilities].[DATIMName].&amp;[Kigonigoni Health Center]")</f>
        <v>#N/A</v>
      </c>
      <c r="B126" t="e">
        <f t="shared" ref="B126:J135" si="12">CUBEVALUE("pbiazure://api.powerbi.com 6e064a38-7f82-4416-9451-8d82a554b559 Model",$B$1,$A126,B$5)</f>
        <v>#N/A</v>
      </c>
      <c r="C126" t="e">
        <f t="shared" si="12"/>
        <v>#N/A</v>
      </c>
      <c r="D126" t="e">
        <f t="shared" si="12"/>
        <v>#N/A</v>
      </c>
      <c r="E126" t="e">
        <f t="shared" si="12"/>
        <v>#N/A</v>
      </c>
      <c r="F126" t="e">
        <f t="shared" si="12"/>
        <v>#N/A</v>
      </c>
      <c r="G126" t="e">
        <f t="shared" si="12"/>
        <v>#N/A</v>
      </c>
      <c r="H126" t="e">
        <f t="shared" si="12"/>
        <v>#N/A</v>
      </c>
      <c r="I126" t="e">
        <f t="shared" si="12"/>
        <v>#N/A</v>
      </c>
      <c r="J126" t="e">
        <f t="shared" si="12"/>
        <v>#N/A</v>
      </c>
    </row>
    <row r="127" spans="1:10" x14ac:dyDescent="0.25">
      <c r="A127" t="e">
        <f>CUBEMEMBER("pbiazure://api.powerbi.com 6e064a38-7f82-4416-9451-8d82a554b559 Model","[Facilities].[DATIMName].&amp;[Kigwe Health Center]")</f>
        <v>#N/A</v>
      </c>
      <c r="B127" t="e">
        <f t="shared" si="12"/>
        <v>#N/A</v>
      </c>
      <c r="C127" t="e">
        <f t="shared" si="12"/>
        <v>#N/A</v>
      </c>
      <c r="D127" t="e">
        <f t="shared" si="12"/>
        <v>#N/A</v>
      </c>
      <c r="E127" t="e">
        <f t="shared" si="12"/>
        <v>#N/A</v>
      </c>
      <c r="F127" t="e">
        <f t="shared" si="12"/>
        <v>#N/A</v>
      </c>
      <c r="G127" t="e">
        <f t="shared" si="12"/>
        <v>#N/A</v>
      </c>
      <c r="H127" t="e">
        <f t="shared" si="12"/>
        <v>#N/A</v>
      </c>
      <c r="I127" t="e">
        <f t="shared" si="12"/>
        <v>#N/A</v>
      </c>
      <c r="J127" t="e">
        <f t="shared" si="12"/>
        <v>#N/A</v>
      </c>
    </row>
    <row r="128" spans="1:10" x14ac:dyDescent="0.25">
      <c r="A128" t="e">
        <f>CUBEMEMBER("pbiazure://api.powerbi.com 6e064a38-7f82-4416-9451-8d82a554b559 Model","[Facilities].[DATIMName].&amp;[Kijenge RC Dispensary]")</f>
        <v>#N/A</v>
      </c>
      <c r="B128" t="e">
        <f t="shared" si="12"/>
        <v>#N/A</v>
      </c>
      <c r="C128" t="e">
        <f t="shared" si="12"/>
        <v>#N/A</v>
      </c>
      <c r="D128" t="e">
        <f t="shared" si="12"/>
        <v>#N/A</v>
      </c>
      <c r="E128" t="e">
        <f t="shared" si="12"/>
        <v>#N/A</v>
      </c>
      <c r="F128" t="e">
        <f t="shared" si="12"/>
        <v>#N/A</v>
      </c>
      <c r="G128" t="e">
        <f t="shared" si="12"/>
        <v>#N/A</v>
      </c>
      <c r="H128" t="e">
        <f t="shared" si="12"/>
        <v>#N/A</v>
      </c>
      <c r="I128" t="e">
        <f t="shared" si="12"/>
        <v>#N/A</v>
      </c>
      <c r="J128" t="e">
        <f t="shared" si="12"/>
        <v>#N/A</v>
      </c>
    </row>
    <row r="129" spans="1:10" x14ac:dyDescent="0.25">
      <c r="A129" t="e">
        <f>CUBEMEMBER("pbiazure://api.powerbi.com 6e064a38-7f82-4416-9451-8d82a554b559 Model","[Facilities].[DATIMName].&amp;[Kijungu Dispensary]")</f>
        <v>#N/A</v>
      </c>
      <c r="B129" t="e">
        <f t="shared" si="12"/>
        <v>#N/A</v>
      </c>
      <c r="C129" t="e">
        <f t="shared" si="12"/>
        <v>#N/A</v>
      </c>
      <c r="D129" t="e">
        <f t="shared" si="12"/>
        <v>#N/A</v>
      </c>
      <c r="E129" t="e">
        <f t="shared" si="12"/>
        <v>#N/A</v>
      </c>
      <c r="F129" t="e">
        <f t="shared" si="12"/>
        <v>#N/A</v>
      </c>
      <c r="G129" t="e">
        <f t="shared" si="12"/>
        <v>#N/A</v>
      </c>
      <c r="H129" t="e">
        <f t="shared" si="12"/>
        <v>#N/A</v>
      </c>
      <c r="I129" t="e">
        <f t="shared" si="12"/>
        <v>#N/A</v>
      </c>
      <c r="J129" t="e">
        <f t="shared" si="12"/>
        <v>#N/A</v>
      </c>
    </row>
    <row r="130" spans="1:10" x14ac:dyDescent="0.25">
      <c r="A130" t="e">
        <f>CUBEMEMBER("pbiazure://api.powerbi.com 6e064a38-7f82-4416-9451-8d82a554b559 Model","[Facilities].[DATIMName].&amp;[Kikarara Dispensary]")</f>
        <v>#N/A</v>
      </c>
      <c r="B130" t="e">
        <f t="shared" si="12"/>
        <v>#N/A</v>
      </c>
      <c r="C130" t="e">
        <f t="shared" si="12"/>
        <v>#N/A</v>
      </c>
      <c r="D130" t="e">
        <f t="shared" si="12"/>
        <v>#N/A</v>
      </c>
      <c r="E130" t="e">
        <f t="shared" si="12"/>
        <v>#N/A</v>
      </c>
      <c r="F130" t="e">
        <f t="shared" si="12"/>
        <v>#N/A</v>
      </c>
      <c r="G130" t="e">
        <f t="shared" si="12"/>
        <v>#N/A</v>
      </c>
      <c r="H130" t="e">
        <f t="shared" si="12"/>
        <v>#N/A</v>
      </c>
      <c r="I130" t="e">
        <f t="shared" si="12"/>
        <v>#N/A</v>
      </c>
      <c r="J130" t="e">
        <f t="shared" si="12"/>
        <v>#N/A</v>
      </c>
    </row>
    <row r="131" spans="1:10" x14ac:dyDescent="0.25">
      <c r="A131" t="e">
        <f>CUBEMEMBER("pbiazure://api.powerbi.com 6e064a38-7f82-4416-9451-8d82a554b559 Model","[Facilities].[DATIMName].&amp;[Kikavu Chini Dispensary]")</f>
        <v>#N/A</v>
      </c>
      <c r="B131" t="e">
        <f t="shared" si="12"/>
        <v>#N/A</v>
      </c>
      <c r="C131" t="e">
        <f t="shared" si="12"/>
        <v>#N/A</v>
      </c>
      <c r="D131" t="e">
        <f t="shared" si="12"/>
        <v>#N/A</v>
      </c>
      <c r="E131" t="e">
        <f t="shared" si="12"/>
        <v>#N/A</v>
      </c>
      <c r="F131" t="e">
        <f t="shared" si="12"/>
        <v>#N/A</v>
      </c>
      <c r="G131" t="e">
        <f t="shared" si="12"/>
        <v>#N/A</v>
      </c>
      <c r="H131" t="e">
        <f t="shared" si="12"/>
        <v>#N/A</v>
      </c>
      <c r="I131" t="e">
        <f t="shared" si="12"/>
        <v>#N/A</v>
      </c>
      <c r="J131" t="e">
        <f t="shared" si="12"/>
        <v>#N/A</v>
      </c>
    </row>
    <row r="132" spans="1:10" x14ac:dyDescent="0.25">
      <c r="A132" t="e">
        <f>CUBEMEMBER("pbiazure://api.powerbi.com 6e064a38-7f82-4416-9451-8d82a554b559 Model","[Facilities].[DATIMName].&amp;[Kikombo Health Center]")</f>
        <v>#N/A</v>
      </c>
      <c r="B132" t="e">
        <f t="shared" si="12"/>
        <v>#N/A</v>
      </c>
      <c r="C132" t="e">
        <f t="shared" si="12"/>
        <v>#N/A</v>
      </c>
      <c r="D132" t="e">
        <f t="shared" si="12"/>
        <v>#N/A</v>
      </c>
      <c r="E132" t="e">
        <f t="shared" si="12"/>
        <v>#N/A</v>
      </c>
      <c r="F132" t="e">
        <f t="shared" si="12"/>
        <v>#N/A</v>
      </c>
      <c r="G132" t="e">
        <f t="shared" si="12"/>
        <v>#N/A</v>
      </c>
      <c r="H132" t="e">
        <f t="shared" si="12"/>
        <v>#N/A</v>
      </c>
      <c r="I132" t="e">
        <f t="shared" si="12"/>
        <v>#N/A</v>
      </c>
      <c r="J132" t="e">
        <f t="shared" si="12"/>
        <v>#N/A</v>
      </c>
    </row>
    <row r="133" spans="1:10" x14ac:dyDescent="0.25">
      <c r="A133" t="e">
        <f>CUBEMEMBER("pbiazure://api.powerbi.com 6e064a38-7f82-4416-9451-8d82a554b559 Model","[Facilities].[DATIMName].&amp;[Kikuyu Dispensary]")</f>
        <v>#N/A</v>
      </c>
      <c r="B133" t="e">
        <f t="shared" si="12"/>
        <v>#N/A</v>
      </c>
      <c r="C133" t="e">
        <f t="shared" si="12"/>
        <v>#N/A</v>
      </c>
      <c r="D133" t="e">
        <f t="shared" si="12"/>
        <v>#N/A</v>
      </c>
      <c r="E133" t="e">
        <f t="shared" si="12"/>
        <v>#N/A</v>
      </c>
      <c r="F133" t="e">
        <f t="shared" si="12"/>
        <v>#N/A</v>
      </c>
      <c r="G133" t="e">
        <f t="shared" si="12"/>
        <v>#N/A</v>
      </c>
      <c r="H133" t="e">
        <f t="shared" si="12"/>
        <v>#N/A</v>
      </c>
      <c r="I133" t="e">
        <f t="shared" si="12"/>
        <v>#N/A</v>
      </c>
      <c r="J133" t="e">
        <f t="shared" si="12"/>
        <v>#N/A</v>
      </c>
    </row>
    <row r="134" spans="1:10" x14ac:dyDescent="0.25">
      <c r="A134" t="e">
        <f>CUBEMEMBER("pbiazure://api.powerbi.com 6e064a38-7f82-4416-9451-8d82a554b559 Model","[Facilities].[DATIMName].&amp;[Kilema Hospital - Designated District Hospital]")</f>
        <v>#N/A</v>
      </c>
      <c r="B134" t="e">
        <f t="shared" si="12"/>
        <v>#N/A</v>
      </c>
      <c r="C134" t="e">
        <f t="shared" si="12"/>
        <v>#N/A</v>
      </c>
      <c r="D134" t="e">
        <f t="shared" si="12"/>
        <v>#N/A</v>
      </c>
      <c r="E134" t="e">
        <f t="shared" si="12"/>
        <v>#N/A</v>
      </c>
      <c r="F134" t="e">
        <f t="shared" si="12"/>
        <v>#N/A</v>
      </c>
      <c r="G134" t="e">
        <f t="shared" si="12"/>
        <v>#N/A</v>
      </c>
      <c r="H134" t="e">
        <f t="shared" si="12"/>
        <v>#N/A</v>
      </c>
      <c r="I134" t="e">
        <f t="shared" si="12"/>
        <v>#N/A</v>
      </c>
      <c r="J134" t="e">
        <f t="shared" si="12"/>
        <v>#N/A</v>
      </c>
    </row>
    <row r="135" spans="1:10" x14ac:dyDescent="0.25">
      <c r="A135" t="e">
        <f>CUBEMEMBER("pbiazure://api.powerbi.com 6e064a38-7f82-4416-9451-8d82a554b559 Model","[Facilities].[DATIMName].&amp;[Kilema Pofo Dispensary]")</f>
        <v>#N/A</v>
      </c>
      <c r="B135" t="e">
        <f t="shared" si="12"/>
        <v>#N/A</v>
      </c>
      <c r="C135" t="e">
        <f t="shared" si="12"/>
        <v>#N/A</v>
      </c>
      <c r="D135" t="e">
        <f t="shared" si="12"/>
        <v>#N/A</v>
      </c>
      <c r="E135" t="e">
        <f t="shared" si="12"/>
        <v>#N/A</v>
      </c>
      <c r="F135" t="e">
        <f t="shared" si="12"/>
        <v>#N/A</v>
      </c>
      <c r="G135" t="e">
        <f t="shared" si="12"/>
        <v>#N/A</v>
      </c>
      <c r="H135" t="e">
        <f t="shared" si="12"/>
        <v>#N/A</v>
      </c>
      <c r="I135" t="e">
        <f t="shared" si="12"/>
        <v>#N/A</v>
      </c>
      <c r="J135" t="e">
        <f t="shared" si="12"/>
        <v>#N/A</v>
      </c>
    </row>
    <row r="136" spans="1:10" x14ac:dyDescent="0.25">
      <c r="A136" t="e">
        <f>CUBEMEMBER("pbiazure://api.powerbi.com 6e064a38-7f82-4416-9451-8d82a554b559 Model","[Facilities].[DATIMName].&amp;[Kilimanjaro medical (PAPRI) Dispensary]")</f>
        <v>#N/A</v>
      </c>
      <c r="B136" t="e">
        <f t="shared" ref="B136:J145" si="13">CUBEVALUE("pbiazure://api.powerbi.com 6e064a38-7f82-4416-9451-8d82a554b559 Model",$B$1,$A136,B$5)</f>
        <v>#N/A</v>
      </c>
      <c r="C136" t="e">
        <f t="shared" si="13"/>
        <v>#N/A</v>
      </c>
      <c r="D136" t="e">
        <f t="shared" si="13"/>
        <v>#N/A</v>
      </c>
      <c r="E136" t="e">
        <f t="shared" si="13"/>
        <v>#N/A</v>
      </c>
      <c r="F136" t="e">
        <f t="shared" si="13"/>
        <v>#N/A</v>
      </c>
      <c r="G136" t="e">
        <f t="shared" si="13"/>
        <v>#N/A</v>
      </c>
      <c r="H136" t="e">
        <f t="shared" si="13"/>
        <v>#N/A</v>
      </c>
      <c r="I136" t="e">
        <f t="shared" si="13"/>
        <v>#N/A</v>
      </c>
      <c r="J136" t="e">
        <f t="shared" si="13"/>
        <v>#N/A</v>
      </c>
    </row>
    <row r="137" spans="1:10" x14ac:dyDescent="0.25">
      <c r="A137" t="e">
        <f>CUBEMEMBER("pbiazure://api.powerbi.com 6e064a38-7f82-4416-9451-8d82a554b559 Model","[Facilities].[DATIMName].&amp;[Kilimatinde Hospital]")</f>
        <v>#N/A</v>
      </c>
      <c r="B137" t="e">
        <f t="shared" si="13"/>
        <v>#N/A</v>
      </c>
      <c r="C137" t="e">
        <f t="shared" si="13"/>
        <v>#N/A</v>
      </c>
      <c r="D137" t="e">
        <f t="shared" si="13"/>
        <v>#N/A</v>
      </c>
      <c r="E137" t="e">
        <f t="shared" si="13"/>
        <v>#N/A</v>
      </c>
      <c r="F137" t="e">
        <f t="shared" si="13"/>
        <v>#N/A</v>
      </c>
      <c r="G137" t="e">
        <f t="shared" si="13"/>
        <v>#N/A</v>
      </c>
      <c r="H137" t="e">
        <f t="shared" si="13"/>
        <v>#N/A</v>
      </c>
      <c r="I137" t="e">
        <f t="shared" si="13"/>
        <v>#N/A</v>
      </c>
      <c r="J137" t="e">
        <f t="shared" si="13"/>
        <v>#N/A</v>
      </c>
    </row>
    <row r="138" spans="1:10" x14ac:dyDescent="0.25">
      <c r="A138" t="e">
        <f>CUBEMEMBER("pbiazure://api.powerbi.com 6e064a38-7f82-4416-9451-8d82a554b559 Model","[Facilities].[DATIMName].&amp;[Kilombero Dispensary]")</f>
        <v>#N/A</v>
      </c>
      <c r="B138" t="e">
        <f t="shared" si="13"/>
        <v>#N/A</v>
      </c>
      <c r="C138" t="e">
        <f t="shared" si="13"/>
        <v>#N/A</v>
      </c>
      <c r="D138" t="e">
        <f t="shared" si="13"/>
        <v>#N/A</v>
      </c>
      <c r="E138" t="e">
        <f t="shared" si="13"/>
        <v>#N/A</v>
      </c>
      <c r="F138" t="e">
        <f t="shared" si="13"/>
        <v>#N/A</v>
      </c>
      <c r="G138" t="e">
        <f t="shared" si="13"/>
        <v>#N/A</v>
      </c>
      <c r="H138" t="e">
        <f t="shared" si="13"/>
        <v>#N/A</v>
      </c>
      <c r="I138" t="e">
        <f t="shared" si="13"/>
        <v>#N/A</v>
      </c>
      <c r="J138" t="e">
        <f t="shared" si="13"/>
        <v>#N/A</v>
      </c>
    </row>
    <row r="139" spans="1:10" x14ac:dyDescent="0.25">
      <c r="A139" t="e">
        <f>CUBEMEMBER("pbiazure://api.powerbi.com 6e064a38-7f82-4416-9451-8d82a554b559 Model","[Facilities].[DATIMName].&amp;[Kimotorok Dispensary]")</f>
        <v>#N/A</v>
      </c>
      <c r="B139" t="e">
        <f t="shared" si="13"/>
        <v>#N/A</v>
      </c>
      <c r="C139" t="e">
        <f t="shared" si="13"/>
        <v>#N/A</v>
      </c>
      <c r="D139" t="e">
        <f t="shared" si="13"/>
        <v>#N/A</v>
      </c>
      <c r="E139" t="e">
        <f t="shared" si="13"/>
        <v>#N/A</v>
      </c>
      <c r="F139" t="e">
        <f t="shared" si="13"/>
        <v>#N/A</v>
      </c>
      <c r="G139" t="e">
        <f t="shared" si="13"/>
        <v>#N/A</v>
      </c>
      <c r="H139" t="e">
        <f t="shared" si="13"/>
        <v>#N/A</v>
      </c>
      <c r="I139" t="e">
        <f t="shared" si="13"/>
        <v>#N/A</v>
      </c>
      <c r="J139" t="e">
        <f t="shared" si="13"/>
        <v>#N/A</v>
      </c>
    </row>
    <row r="140" spans="1:10" x14ac:dyDescent="0.25">
      <c r="A140" t="e">
        <f>CUBEMEMBER("pbiazure://api.powerbi.com 6e064a38-7f82-4416-9451-8d82a554b559 Model","[Facilities].[DATIMName].&amp;[Kinangali Dispensary]")</f>
        <v>#N/A</v>
      </c>
      <c r="B140" t="e">
        <f t="shared" si="13"/>
        <v>#N/A</v>
      </c>
      <c r="C140" t="e">
        <f t="shared" si="13"/>
        <v>#N/A</v>
      </c>
      <c r="D140" t="e">
        <f t="shared" si="13"/>
        <v>#N/A</v>
      </c>
      <c r="E140" t="e">
        <f t="shared" si="13"/>
        <v>#N/A</v>
      </c>
      <c r="F140" t="e">
        <f t="shared" si="13"/>
        <v>#N/A</v>
      </c>
      <c r="G140" t="e">
        <f t="shared" si="13"/>
        <v>#N/A</v>
      </c>
      <c r="H140" t="e">
        <f t="shared" si="13"/>
        <v>#N/A</v>
      </c>
      <c r="I140" t="e">
        <f t="shared" si="13"/>
        <v>#N/A</v>
      </c>
      <c r="J140" t="e">
        <f t="shared" si="13"/>
        <v>#N/A</v>
      </c>
    </row>
    <row r="141" spans="1:10" x14ac:dyDescent="0.25">
      <c r="A141" t="e">
        <f>CUBEMEMBER("pbiazure://api.powerbi.com 6e064a38-7f82-4416-9451-8d82a554b559 Model","[Facilities].[DATIMName].&amp;[Kingale Dispensary]")</f>
        <v>#N/A</v>
      </c>
      <c r="B141" t="e">
        <f t="shared" si="13"/>
        <v>#N/A</v>
      </c>
      <c r="C141" t="e">
        <f t="shared" si="13"/>
        <v>#N/A</v>
      </c>
      <c r="D141" t="e">
        <f t="shared" si="13"/>
        <v>#N/A</v>
      </c>
      <c r="E141" t="e">
        <f t="shared" si="13"/>
        <v>#N/A</v>
      </c>
      <c r="F141" t="e">
        <f t="shared" si="13"/>
        <v>#N/A</v>
      </c>
      <c r="G141" t="e">
        <f t="shared" si="13"/>
        <v>#N/A</v>
      </c>
      <c r="H141" t="e">
        <f t="shared" si="13"/>
        <v>#N/A</v>
      </c>
      <c r="I141" t="e">
        <f t="shared" si="13"/>
        <v>#N/A</v>
      </c>
      <c r="J141" t="e">
        <f t="shared" si="13"/>
        <v>#N/A</v>
      </c>
    </row>
    <row r="142" spans="1:10" x14ac:dyDescent="0.25">
      <c r="A142" t="e">
        <f>CUBEMEMBER("pbiazure://api.powerbi.com 6e064a38-7f82-4416-9451-8d82a554b559 Model","[Facilities].[DATIMName].&amp;[Kintanula Dispensary]")</f>
        <v>#N/A</v>
      </c>
      <c r="B142" t="e">
        <f t="shared" si="13"/>
        <v>#N/A</v>
      </c>
      <c r="C142" t="e">
        <f t="shared" si="13"/>
        <v>#N/A</v>
      </c>
      <c r="D142" t="e">
        <f t="shared" si="13"/>
        <v>#N/A</v>
      </c>
      <c r="E142" t="e">
        <f t="shared" si="13"/>
        <v>#N/A</v>
      </c>
      <c r="F142" t="e">
        <f t="shared" si="13"/>
        <v>#N/A</v>
      </c>
      <c r="G142" t="e">
        <f t="shared" si="13"/>
        <v>#N/A</v>
      </c>
      <c r="H142" t="e">
        <f t="shared" si="13"/>
        <v>#N/A</v>
      </c>
      <c r="I142" t="e">
        <f t="shared" si="13"/>
        <v>#N/A</v>
      </c>
      <c r="J142" t="e">
        <f t="shared" si="13"/>
        <v>#N/A</v>
      </c>
    </row>
    <row r="143" spans="1:10" x14ac:dyDescent="0.25">
      <c r="A143" t="e">
        <f>CUBEMEMBER("pbiazure://api.powerbi.com 6e064a38-7f82-4416-9451-8d82a554b559 Model","[Facilities].[DATIMName].&amp;[Kintinku Health Center]")</f>
        <v>#N/A</v>
      </c>
      <c r="B143" t="e">
        <f t="shared" si="13"/>
        <v>#N/A</v>
      </c>
      <c r="C143" t="e">
        <f t="shared" si="13"/>
        <v>#N/A</v>
      </c>
      <c r="D143" t="e">
        <f t="shared" si="13"/>
        <v>#N/A</v>
      </c>
      <c r="E143" t="e">
        <f t="shared" si="13"/>
        <v>#N/A</v>
      </c>
      <c r="F143" t="e">
        <f t="shared" si="13"/>
        <v>#N/A</v>
      </c>
      <c r="G143" t="e">
        <f t="shared" si="13"/>
        <v>#N/A</v>
      </c>
      <c r="H143" t="e">
        <f t="shared" si="13"/>
        <v>#N/A</v>
      </c>
      <c r="I143" t="e">
        <f t="shared" si="13"/>
        <v>#N/A</v>
      </c>
      <c r="J143" t="e">
        <f t="shared" si="13"/>
        <v>#N/A</v>
      </c>
    </row>
    <row r="144" spans="1:10" x14ac:dyDescent="0.25">
      <c r="A144" t="e">
        <f>CUBEMEMBER("pbiazure://api.powerbi.com 6e064a38-7f82-4416-9451-8d82a554b559 Model","[Facilities].[DATIMName].&amp;[Kinyangiri Health Center]")</f>
        <v>#N/A</v>
      </c>
      <c r="B144" t="e">
        <f t="shared" si="13"/>
        <v>#N/A</v>
      </c>
      <c r="C144" t="e">
        <f t="shared" si="13"/>
        <v>#N/A</v>
      </c>
      <c r="D144" t="e">
        <f t="shared" si="13"/>
        <v>#N/A</v>
      </c>
      <c r="E144" t="e">
        <f t="shared" si="13"/>
        <v>#N/A</v>
      </c>
      <c r="F144" t="e">
        <f t="shared" si="13"/>
        <v>#N/A</v>
      </c>
      <c r="G144" t="e">
        <f t="shared" si="13"/>
        <v>#N/A</v>
      </c>
      <c r="H144" t="e">
        <f t="shared" si="13"/>
        <v>#N/A</v>
      </c>
      <c r="I144" t="e">
        <f t="shared" si="13"/>
        <v>#N/A</v>
      </c>
      <c r="J144" t="e">
        <f t="shared" si="13"/>
        <v>#N/A</v>
      </c>
    </row>
    <row r="145" spans="1:10" x14ac:dyDescent="0.25">
      <c r="A145" t="e">
        <f>CUBEMEMBER("pbiazure://api.powerbi.com 6e064a38-7f82-4416-9451-8d82a554b559 Model","[Facilities].[DATIMName].&amp;[Kinyasi Dispensary]")</f>
        <v>#N/A</v>
      </c>
      <c r="B145" t="e">
        <f t="shared" si="13"/>
        <v>#N/A</v>
      </c>
      <c r="C145" t="e">
        <f t="shared" si="13"/>
        <v>#N/A</v>
      </c>
      <c r="D145" t="e">
        <f t="shared" si="13"/>
        <v>#N/A</v>
      </c>
      <c r="E145" t="e">
        <f t="shared" si="13"/>
        <v>#N/A</v>
      </c>
      <c r="F145" t="e">
        <f t="shared" si="13"/>
        <v>#N/A</v>
      </c>
      <c r="G145" t="e">
        <f t="shared" si="13"/>
        <v>#N/A</v>
      </c>
      <c r="H145" t="e">
        <f t="shared" si="13"/>
        <v>#N/A</v>
      </c>
      <c r="I145" t="e">
        <f t="shared" si="13"/>
        <v>#N/A</v>
      </c>
      <c r="J145" t="e">
        <f t="shared" si="13"/>
        <v>#N/A</v>
      </c>
    </row>
    <row r="146" spans="1:10" x14ac:dyDescent="0.25">
      <c r="A146" t="e">
        <f>CUBEMEMBER("pbiazure://api.powerbi.com 6e064a38-7f82-4416-9451-8d82a554b559 Model","[Facilities].[DATIMName].&amp;[Kioga Dispensary]")</f>
        <v>#N/A</v>
      </c>
      <c r="B146" t="e">
        <f t="shared" ref="B146:J155" si="14">CUBEVALUE("pbiazure://api.powerbi.com 6e064a38-7f82-4416-9451-8d82a554b559 Model",$B$1,$A146,B$5)</f>
        <v>#N/A</v>
      </c>
      <c r="C146" t="e">
        <f t="shared" si="14"/>
        <v>#N/A</v>
      </c>
      <c r="D146" t="e">
        <f t="shared" si="14"/>
        <v>#N/A</v>
      </c>
      <c r="E146" t="e">
        <f t="shared" si="14"/>
        <v>#N/A</v>
      </c>
      <c r="F146" t="e">
        <f t="shared" si="14"/>
        <v>#N/A</v>
      </c>
      <c r="G146" t="e">
        <f t="shared" si="14"/>
        <v>#N/A</v>
      </c>
      <c r="H146" t="e">
        <f t="shared" si="14"/>
        <v>#N/A</v>
      </c>
      <c r="I146" t="e">
        <f t="shared" si="14"/>
        <v>#N/A</v>
      </c>
      <c r="J146" t="e">
        <f t="shared" si="14"/>
        <v>#N/A</v>
      </c>
    </row>
    <row r="147" spans="1:10" x14ac:dyDescent="0.25">
      <c r="A147" t="e">
        <f>CUBEMEMBER("pbiazure://api.powerbi.com 6e064a38-7f82-4416-9451-8d82a554b559 Model","[Facilities].[DATIMName].&amp;[Kiomboi Hospital - District Hospital]")</f>
        <v>#N/A</v>
      </c>
      <c r="B147" t="e">
        <f t="shared" si="14"/>
        <v>#N/A</v>
      </c>
      <c r="C147" t="e">
        <f t="shared" si="14"/>
        <v>#N/A</v>
      </c>
      <c r="D147" t="e">
        <f t="shared" si="14"/>
        <v>#N/A</v>
      </c>
      <c r="E147" t="e">
        <f t="shared" si="14"/>
        <v>#N/A</v>
      </c>
      <c r="F147" t="e">
        <f t="shared" si="14"/>
        <v>#N/A</v>
      </c>
      <c r="G147" t="e">
        <f t="shared" si="14"/>
        <v>#N/A</v>
      </c>
      <c r="H147" t="e">
        <f t="shared" si="14"/>
        <v>#N/A</v>
      </c>
      <c r="I147" t="e">
        <f t="shared" si="14"/>
        <v>#N/A</v>
      </c>
      <c r="J147" t="e">
        <f t="shared" si="14"/>
        <v>#N/A</v>
      </c>
    </row>
    <row r="148" spans="1:10" x14ac:dyDescent="0.25">
      <c r="A148" t="e">
        <f>CUBEMEMBER("pbiazure://api.powerbi.com 6e064a38-7f82-4416-9451-8d82a554b559 Model","[Facilities].[DATIMName].&amp;[Kiongozi Dispensary]")</f>
        <v>#N/A</v>
      </c>
      <c r="B148" t="e">
        <f t="shared" si="14"/>
        <v>#N/A</v>
      </c>
      <c r="C148" t="e">
        <f t="shared" si="14"/>
        <v>#N/A</v>
      </c>
      <c r="D148" t="e">
        <f t="shared" si="14"/>
        <v>#N/A</v>
      </c>
      <c r="E148" t="e">
        <f t="shared" si="14"/>
        <v>#N/A</v>
      </c>
      <c r="F148" t="e">
        <f t="shared" si="14"/>
        <v>#N/A</v>
      </c>
      <c r="G148" t="e">
        <f t="shared" si="14"/>
        <v>#N/A</v>
      </c>
      <c r="H148" t="e">
        <f t="shared" si="14"/>
        <v>#N/A</v>
      </c>
      <c r="I148" t="e">
        <f t="shared" si="14"/>
        <v>#N/A</v>
      </c>
      <c r="J148" t="e">
        <f t="shared" si="14"/>
        <v>#N/A</v>
      </c>
    </row>
    <row r="149" spans="1:10" x14ac:dyDescent="0.25">
      <c r="A149" t="e">
        <f>CUBEMEMBER("pbiazure://api.powerbi.com 6e064a38-7f82-4416-9451-8d82a554b559 Model","[Facilities].[DATIMName].&amp;[Kiperesa Dispensary]")</f>
        <v>#N/A</v>
      </c>
      <c r="B149" t="e">
        <f t="shared" si="14"/>
        <v>#N/A</v>
      </c>
      <c r="C149" t="e">
        <f t="shared" si="14"/>
        <v>#N/A</v>
      </c>
      <c r="D149" t="e">
        <f t="shared" si="14"/>
        <v>#N/A</v>
      </c>
      <c r="E149" t="e">
        <f t="shared" si="14"/>
        <v>#N/A</v>
      </c>
      <c r="F149" t="e">
        <f t="shared" si="14"/>
        <v>#N/A</v>
      </c>
      <c r="G149" t="e">
        <f t="shared" si="14"/>
        <v>#N/A</v>
      </c>
      <c r="H149" t="e">
        <f t="shared" si="14"/>
        <v>#N/A</v>
      </c>
      <c r="I149" t="e">
        <f t="shared" si="14"/>
        <v>#N/A</v>
      </c>
      <c r="J149" t="e">
        <f t="shared" si="14"/>
        <v>#N/A</v>
      </c>
    </row>
    <row r="150" spans="1:10" x14ac:dyDescent="0.25">
      <c r="A150" t="e">
        <f>CUBEMEMBER("pbiazure://api.powerbi.com 6e064a38-7f82-4416-9451-8d82a554b559 Model","[Facilities].[DATIMName].&amp;[Kiranyi Dispensary]")</f>
        <v>#N/A</v>
      </c>
      <c r="B150" t="e">
        <f t="shared" si="14"/>
        <v>#N/A</v>
      </c>
      <c r="C150" t="e">
        <f t="shared" si="14"/>
        <v>#N/A</v>
      </c>
      <c r="D150" t="e">
        <f t="shared" si="14"/>
        <v>#N/A</v>
      </c>
      <c r="E150" t="e">
        <f t="shared" si="14"/>
        <v>#N/A</v>
      </c>
      <c r="F150" t="e">
        <f t="shared" si="14"/>
        <v>#N/A</v>
      </c>
      <c r="G150" t="e">
        <f t="shared" si="14"/>
        <v>#N/A</v>
      </c>
      <c r="H150" t="e">
        <f t="shared" si="14"/>
        <v>#N/A</v>
      </c>
      <c r="I150" t="e">
        <f t="shared" si="14"/>
        <v>#N/A</v>
      </c>
      <c r="J150" t="e">
        <f t="shared" si="14"/>
        <v>#N/A</v>
      </c>
    </row>
    <row r="151" spans="1:10" x14ac:dyDescent="0.25">
      <c r="A151" t="e">
        <f>CUBEMEMBER("pbiazure://api.powerbi.com 6e064a38-7f82-4416-9451-8d82a554b559 Model","[Facilities].[DATIMName].&amp;[Kiru Dispensary]")</f>
        <v>#N/A</v>
      </c>
      <c r="B151" t="e">
        <f t="shared" si="14"/>
        <v>#N/A</v>
      </c>
      <c r="C151" t="e">
        <f t="shared" si="14"/>
        <v>#N/A</v>
      </c>
      <c r="D151" t="e">
        <f t="shared" si="14"/>
        <v>#N/A</v>
      </c>
      <c r="E151" t="e">
        <f t="shared" si="14"/>
        <v>#N/A</v>
      </c>
      <c r="F151" t="e">
        <f t="shared" si="14"/>
        <v>#N/A</v>
      </c>
      <c r="G151" t="e">
        <f t="shared" si="14"/>
        <v>#N/A</v>
      </c>
      <c r="H151" t="e">
        <f t="shared" si="14"/>
        <v>#N/A</v>
      </c>
      <c r="I151" t="e">
        <f t="shared" si="14"/>
        <v>#N/A</v>
      </c>
      <c r="J151" t="e">
        <f t="shared" si="14"/>
        <v>#N/A</v>
      </c>
    </row>
    <row r="152" spans="1:10" x14ac:dyDescent="0.25">
      <c r="A152" t="e">
        <f>CUBEMEMBER("pbiazure://api.powerbi.com 6e064a38-7f82-4416-9451-8d82a554b559 Model","[Facilities].[DATIMName].&amp;[Kirua Vunjo Health Center]")</f>
        <v>#N/A</v>
      </c>
      <c r="B152" t="e">
        <f t="shared" si="14"/>
        <v>#N/A</v>
      </c>
      <c r="C152" t="e">
        <f t="shared" si="14"/>
        <v>#N/A</v>
      </c>
      <c r="D152" t="e">
        <f t="shared" si="14"/>
        <v>#N/A</v>
      </c>
      <c r="E152" t="e">
        <f t="shared" si="14"/>
        <v>#N/A</v>
      </c>
      <c r="F152" t="e">
        <f t="shared" si="14"/>
        <v>#N/A</v>
      </c>
      <c r="G152" t="e">
        <f t="shared" si="14"/>
        <v>#N/A</v>
      </c>
      <c r="H152" t="e">
        <f t="shared" si="14"/>
        <v>#N/A</v>
      </c>
      <c r="I152" t="e">
        <f t="shared" si="14"/>
        <v>#N/A</v>
      </c>
      <c r="J152" t="e">
        <f t="shared" si="14"/>
        <v>#N/A</v>
      </c>
    </row>
    <row r="153" spans="1:10" x14ac:dyDescent="0.25">
      <c r="A153" t="e">
        <f>CUBEMEMBER("pbiazure://api.powerbi.com 6e064a38-7f82-4416-9451-8d82a554b559 Model","[Facilities].[DATIMName].&amp;[Kirurumo Health Center]")</f>
        <v>#N/A</v>
      </c>
      <c r="B153" t="e">
        <f t="shared" si="14"/>
        <v>#N/A</v>
      </c>
      <c r="C153" t="e">
        <f t="shared" si="14"/>
        <v>#N/A</v>
      </c>
      <c r="D153" t="e">
        <f t="shared" si="14"/>
        <v>#N/A</v>
      </c>
      <c r="E153" t="e">
        <f t="shared" si="14"/>
        <v>#N/A</v>
      </c>
      <c r="F153" t="e">
        <f t="shared" si="14"/>
        <v>#N/A</v>
      </c>
      <c r="G153" t="e">
        <f t="shared" si="14"/>
        <v>#N/A</v>
      </c>
      <c r="H153" t="e">
        <f t="shared" si="14"/>
        <v>#N/A</v>
      </c>
      <c r="I153" t="e">
        <f t="shared" si="14"/>
        <v>#N/A</v>
      </c>
      <c r="J153" t="e">
        <f t="shared" si="14"/>
        <v>#N/A</v>
      </c>
    </row>
    <row r="154" spans="1:10" x14ac:dyDescent="0.25">
      <c r="A154" t="e">
        <f>CUBEMEMBER("pbiazure://api.powerbi.com 6e064a38-7f82-4416-9451-8d82a554b559 Model","[Facilities].[DATIMName].&amp;[Kirwa Mashati Health Center]")</f>
        <v>#N/A</v>
      </c>
      <c r="B154" t="e">
        <f t="shared" si="14"/>
        <v>#N/A</v>
      </c>
      <c r="C154" t="e">
        <f t="shared" si="14"/>
        <v>#N/A</v>
      </c>
      <c r="D154" t="e">
        <f t="shared" si="14"/>
        <v>#N/A</v>
      </c>
      <c r="E154" t="e">
        <f t="shared" si="14"/>
        <v>#N/A</v>
      </c>
      <c r="F154" t="e">
        <f t="shared" si="14"/>
        <v>#N/A</v>
      </c>
      <c r="G154" t="e">
        <f t="shared" si="14"/>
        <v>#N/A</v>
      </c>
      <c r="H154" t="e">
        <f t="shared" si="14"/>
        <v>#N/A</v>
      </c>
      <c r="I154" t="e">
        <f t="shared" si="14"/>
        <v>#N/A</v>
      </c>
      <c r="J154" t="e">
        <f t="shared" si="14"/>
        <v>#N/A</v>
      </c>
    </row>
    <row r="155" spans="1:10" x14ac:dyDescent="0.25">
      <c r="A155" t="e">
        <f>CUBEMEMBER("pbiazure://api.powerbi.com 6e064a38-7f82-4416-9451-8d82a554b559 Model","[Facilities].[DATIMName].&amp;[Kisangara Health Center]")</f>
        <v>#N/A</v>
      </c>
      <c r="B155" t="e">
        <f t="shared" si="14"/>
        <v>#N/A</v>
      </c>
      <c r="C155" t="e">
        <f t="shared" si="14"/>
        <v>#N/A</v>
      </c>
      <c r="D155" t="e">
        <f t="shared" si="14"/>
        <v>#N/A</v>
      </c>
      <c r="E155" t="e">
        <f t="shared" si="14"/>
        <v>#N/A</v>
      </c>
      <c r="F155" t="e">
        <f t="shared" si="14"/>
        <v>#N/A</v>
      </c>
      <c r="G155" t="e">
        <f t="shared" si="14"/>
        <v>#N/A</v>
      </c>
      <c r="H155" t="e">
        <f t="shared" si="14"/>
        <v>#N/A</v>
      </c>
      <c r="I155" t="e">
        <f t="shared" si="14"/>
        <v>#N/A</v>
      </c>
      <c r="J155" t="e">
        <f t="shared" si="14"/>
        <v>#N/A</v>
      </c>
    </row>
    <row r="156" spans="1:10" x14ac:dyDescent="0.25">
      <c r="A156" t="e">
        <f>CUBEMEMBER("pbiazure://api.powerbi.com 6e064a38-7f82-4416-9451-8d82a554b559 Model","[Facilities].[DATIMName].&amp;[Kisese RHC Health Center]")</f>
        <v>#N/A</v>
      </c>
      <c r="B156" t="e">
        <f t="shared" ref="B156:J165" si="15">CUBEVALUE("pbiazure://api.powerbi.com 6e064a38-7f82-4416-9451-8d82a554b559 Model",$B$1,$A156,B$5)</f>
        <v>#N/A</v>
      </c>
      <c r="C156" t="e">
        <f t="shared" si="15"/>
        <v>#N/A</v>
      </c>
      <c r="D156" t="e">
        <f t="shared" si="15"/>
        <v>#N/A</v>
      </c>
      <c r="E156" t="e">
        <f t="shared" si="15"/>
        <v>#N/A</v>
      </c>
      <c r="F156" t="e">
        <f t="shared" si="15"/>
        <v>#N/A</v>
      </c>
      <c r="G156" t="e">
        <f t="shared" si="15"/>
        <v>#N/A</v>
      </c>
      <c r="H156" t="e">
        <f t="shared" si="15"/>
        <v>#N/A</v>
      </c>
      <c r="I156" t="e">
        <f t="shared" si="15"/>
        <v>#N/A</v>
      </c>
      <c r="J156" t="e">
        <f t="shared" si="15"/>
        <v>#N/A</v>
      </c>
    </row>
    <row r="157" spans="1:10" x14ac:dyDescent="0.25">
      <c r="A157" t="e">
        <f>CUBEMEMBER("pbiazure://api.powerbi.com 6e064a38-7f82-4416-9451-8d82a554b559 Model","[Facilities].[DATIMName].&amp;[Kisiki Health Center]")</f>
        <v>#N/A</v>
      </c>
      <c r="B157" t="e">
        <f t="shared" si="15"/>
        <v>#N/A</v>
      </c>
      <c r="C157" t="e">
        <f t="shared" si="15"/>
        <v>#N/A</v>
      </c>
      <c r="D157" t="e">
        <f t="shared" si="15"/>
        <v>#N/A</v>
      </c>
      <c r="E157" t="e">
        <f t="shared" si="15"/>
        <v>#N/A</v>
      </c>
      <c r="F157" t="e">
        <f t="shared" si="15"/>
        <v>#N/A</v>
      </c>
      <c r="G157" t="e">
        <f t="shared" si="15"/>
        <v>#N/A</v>
      </c>
      <c r="H157" t="e">
        <f t="shared" si="15"/>
        <v>#N/A</v>
      </c>
      <c r="I157" t="e">
        <f t="shared" si="15"/>
        <v>#N/A</v>
      </c>
      <c r="J157" t="e">
        <f t="shared" si="15"/>
        <v>#N/A</v>
      </c>
    </row>
    <row r="158" spans="1:10" x14ac:dyDescent="0.25">
      <c r="A158" t="e">
        <f>CUBEMEMBER("pbiazure://api.powerbi.com 6e064a38-7f82-4416-9451-8d82a554b559 Model","[Facilities].[DATIMName].&amp;[Kisiwani Health Center]")</f>
        <v>#N/A</v>
      </c>
      <c r="B158" t="e">
        <f t="shared" si="15"/>
        <v>#N/A</v>
      </c>
      <c r="C158" t="e">
        <f t="shared" si="15"/>
        <v>#N/A</v>
      </c>
      <c r="D158" t="e">
        <f t="shared" si="15"/>
        <v>#N/A</v>
      </c>
      <c r="E158" t="e">
        <f t="shared" si="15"/>
        <v>#N/A</v>
      </c>
      <c r="F158" t="e">
        <f t="shared" si="15"/>
        <v>#N/A</v>
      </c>
      <c r="G158" t="e">
        <f t="shared" si="15"/>
        <v>#N/A</v>
      </c>
      <c r="H158" t="e">
        <f t="shared" si="15"/>
        <v>#N/A</v>
      </c>
      <c r="I158" t="e">
        <f t="shared" si="15"/>
        <v>#N/A</v>
      </c>
      <c r="J158" t="e">
        <f t="shared" si="15"/>
        <v>#N/A</v>
      </c>
    </row>
    <row r="159" spans="1:10" x14ac:dyDescent="0.25">
      <c r="A159" t="e">
        <f>CUBEMEMBER("pbiazure://api.powerbi.com 6e064a38-7f82-4416-9451-8d82a554b559 Model","[Facilities].[DATIMName].&amp;[Kitwai A Dispensary]")</f>
        <v>#N/A</v>
      </c>
      <c r="B159" t="e">
        <f t="shared" si="15"/>
        <v>#N/A</v>
      </c>
      <c r="C159" t="e">
        <f t="shared" si="15"/>
        <v>#N/A</v>
      </c>
      <c r="D159" t="e">
        <f t="shared" si="15"/>
        <v>#N/A</v>
      </c>
      <c r="E159" t="e">
        <f t="shared" si="15"/>
        <v>#N/A</v>
      </c>
      <c r="F159" t="e">
        <f t="shared" si="15"/>
        <v>#N/A</v>
      </c>
      <c r="G159" t="e">
        <f t="shared" si="15"/>
        <v>#N/A</v>
      </c>
      <c r="H159" t="e">
        <f t="shared" si="15"/>
        <v>#N/A</v>
      </c>
      <c r="I159" t="e">
        <f t="shared" si="15"/>
        <v>#N/A</v>
      </c>
      <c r="J159" t="e">
        <f t="shared" si="15"/>
        <v>#N/A</v>
      </c>
    </row>
    <row r="160" spans="1:10" x14ac:dyDescent="0.25">
      <c r="A160" t="e">
        <f>CUBEMEMBER("pbiazure://api.powerbi.com 6e064a38-7f82-4416-9451-8d82a554b559 Model","[Facilities].[DATIMName].&amp;[Kondoa Hospital - District Hospital]")</f>
        <v>#N/A</v>
      </c>
      <c r="B160" t="e">
        <f t="shared" si="15"/>
        <v>#N/A</v>
      </c>
      <c r="C160" t="e">
        <f t="shared" si="15"/>
        <v>#N/A</v>
      </c>
      <c r="D160" t="e">
        <f t="shared" si="15"/>
        <v>#N/A</v>
      </c>
      <c r="E160" t="e">
        <f t="shared" si="15"/>
        <v>#N/A</v>
      </c>
      <c r="F160" t="e">
        <f t="shared" si="15"/>
        <v>#N/A</v>
      </c>
      <c r="G160" t="e">
        <f t="shared" si="15"/>
        <v>#N/A</v>
      </c>
      <c r="H160" t="e">
        <f t="shared" si="15"/>
        <v>#N/A</v>
      </c>
      <c r="I160" t="e">
        <f t="shared" si="15"/>
        <v>#N/A</v>
      </c>
      <c r="J160" t="e">
        <f t="shared" si="15"/>
        <v>#N/A</v>
      </c>
    </row>
    <row r="161" spans="1:10" x14ac:dyDescent="0.25">
      <c r="A161" t="e">
        <f>CUBEMEMBER("pbiazure://api.powerbi.com 6e064a38-7f82-4416-9451-8d82a554b559 Model","[Facilities].[DATIMName].&amp;[Kongwa Hospital]")</f>
        <v>#N/A</v>
      </c>
      <c r="B161" t="e">
        <f t="shared" si="15"/>
        <v>#N/A</v>
      </c>
      <c r="C161" t="e">
        <f t="shared" si="15"/>
        <v>#N/A</v>
      </c>
      <c r="D161" t="e">
        <f t="shared" si="15"/>
        <v>#N/A</v>
      </c>
      <c r="E161" t="e">
        <f t="shared" si="15"/>
        <v>#N/A</v>
      </c>
      <c r="F161" t="e">
        <f t="shared" si="15"/>
        <v>#N/A</v>
      </c>
      <c r="G161" t="e">
        <f t="shared" si="15"/>
        <v>#N/A</v>
      </c>
      <c r="H161" t="e">
        <f t="shared" si="15"/>
        <v>#N/A</v>
      </c>
      <c r="I161" t="e">
        <f t="shared" si="15"/>
        <v>#N/A</v>
      </c>
      <c r="J161" t="e">
        <f t="shared" si="15"/>
        <v>#N/A</v>
      </c>
    </row>
    <row r="162" spans="1:10" x14ac:dyDescent="0.25">
      <c r="A162" t="e">
        <f>CUBEMEMBER("pbiazure://api.powerbi.com 6e064a38-7f82-4416-9451-8d82a554b559 Model","[Facilities].[DATIMName].&amp;[Korongoni Dispensary]")</f>
        <v>#N/A</v>
      </c>
      <c r="B162" t="e">
        <f t="shared" si="15"/>
        <v>#N/A</v>
      </c>
      <c r="C162" t="e">
        <f t="shared" si="15"/>
        <v>#N/A</v>
      </c>
      <c r="D162" t="e">
        <f t="shared" si="15"/>
        <v>#N/A</v>
      </c>
      <c r="E162" t="e">
        <f t="shared" si="15"/>
        <v>#N/A</v>
      </c>
      <c r="F162" t="e">
        <f t="shared" si="15"/>
        <v>#N/A</v>
      </c>
      <c r="G162" t="e">
        <f t="shared" si="15"/>
        <v>#N/A</v>
      </c>
      <c r="H162" t="e">
        <f t="shared" si="15"/>
        <v>#N/A</v>
      </c>
      <c r="I162" t="e">
        <f t="shared" si="15"/>
        <v>#N/A</v>
      </c>
      <c r="J162" t="e">
        <f t="shared" si="15"/>
        <v>#N/A</v>
      </c>
    </row>
    <row r="163" spans="1:10" x14ac:dyDescent="0.25">
      <c r="A163" t="e">
        <f>CUBEMEMBER("pbiazure://api.powerbi.com 6e064a38-7f82-4416-9451-8d82a554b559 Model","[Facilities].[DATIMName].&amp;[Kwadelo Dispensary]")</f>
        <v>#N/A</v>
      </c>
      <c r="B163" t="e">
        <f t="shared" si="15"/>
        <v>#N/A</v>
      </c>
      <c r="C163" t="e">
        <f t="shared" si="15"/>
        <v>#N/A</v>
      </c>
      <c r="D163" t="e">
        <f t="shared" si="15"/>
        <v>#N/A</v>
      </c>
      <c r="E163" t="e">
        <f t="shared" si="15"/>
        <v>#N/A</v>
      </c>
      <c r="F163" t="e">
        <f t="shared" si="15"/>
        <v>#N/A</v>
      </c>
      <c r="G163" t="e">
        <f t="shared" si="15"/>
        <v>#N/A</v>
      </c>
      <c r="H163" t="e">
        <f t="shared" si="15"/>
        <v>#N/A</v>
      </c>
      <c r="I163" t="e">
        <f t="shared" si="15"/>
        <v>#N/A</v>
      </c>
      <c r="J163" t="e">
        <f t="shared" si="15"/>
        <v>#N/A</v>
      </c>
    </row>
    <row r="164" spans="1:10" x14ac:dyDescent="0.25">
      <c r="A164" t="e">
        <f>CUBEMEMBER("pbiazure://api.powerbi.com 6e064a38-7f82-4416-9451-8d82a554b559 Model","[Facilities].[DATIMName].&amp;[Kwamtoro Health Centre]")</f>
        <v>#N/A</v>
      </c>
      <c r="B164" t="e">
        <f t="shared" si="15"/>
        <v>#N/A</v>
      </c>
      <c r="C164" t="e">
        <f t="shared" si="15"/>
        <v>#N/A</v>
      </c>
      <c r="D164" t="e">
        <f t="shared" si="15"/>
        <v>#N/A</v>
      </c>
      <c r="E164" t="e">
        <f t="shared" si="15"/>
        <v>#N/A</v>
      </c>
      <c r="F164" t="e">
        <f t="shared" si="15"/>
        <v>#N/A</v>
      </c>
      <c r="G164" t="e">
        <f t="shared" si="15"/>
        <v>#N/A</v>
      </c>
      <c r="H164" t="e">
        <f t="shared" si="15"/>
        <v>#N/A</v>
      </c>
      <c r="I164" t="e">
        <f t="shared" si="15"/>
        <v>#N/A</v>
      </c>
      <c r="J164" t="e">
        <f t="shared" si="15"/>
        <v>#N/A</v>
      </c>
    </row>
    <row r="165" spans="1:10" x14ac:dyDescent="0.25">
      <c r="A165" t="e">
        <f>CUBEMEMBER("pbiazure://api.powerbi.com 6e064a38-7f82-4416-9451-8d82a554b559 Model","[Facilities].[DATIMName].&amp;[Kyomu Dispensary]")</f>
        <v>#N/A</v>
      </c>
      <c r="B165" t="e">
        <f t="shared" si="15"/>
        <v>#N/A</v>
      </c>
      <c r="C165" t="e">
        <f t="shared" si="15"/>
        <v>#N/A</v>
      </c>
      <c r="D165" t="e">
        <f t="shared" si="15"/>
        <v>#N/A</v>
      </c>
      <c r="E165" t="e">
        <f t="shared" si="15"/>
        <v>#N/A</v>
      </c>
      <c r="F165" t="e">
        <f t="shared" si="15"/>
        <v>#N/A</v>
      </c>
      <c r="G165" t="e">
        <f t="shared" si="15"/>
        <v>#N/A</v>
      </c>
      <c r="H165" t="e">
        <f t="shared" si="15"/>
        <v>#N/A</v>
      </c>
      <c r="I165" t="e">
        <f t="shared" si="15"/>
        <v>#N/A</v>
      </c>
      <c r="J165" t="e">
        <f t="shared" si="15"/>
        <v>#N/A</v>
      </c>
    </row>
    <row r="166" spans="1:10" x14ac:dyDescent="0.25">
      <c r="A166" t="e">
        <f>CUBEMEMBER("pbiazure://api.powerbi.com 6e064a38-7f82-4416-9451-8d82a554b559 Model","[Facilities].[DATIMName].&amp;[Labay Pentecoste Dispensary]")</f>
        <v>#N/A</v>
      </c>
      <c r="B166" t="e">
        <f t="shared" ref="B166:J175" si="16">CUBEVALUE("pbiazure://api.powerbi.com 6e064a38-7f82-4416-9451-8d82a554b559 Model",$B$1,$A166,B$5)</f>
        <v>#N/A</v>
      </c>
      <c r="C166" t="e">
        <f t="shared" si="16"/>
        <v>#N/A</v>
      </c>
      <c r="D166" t="e">
        <f t="shared" si="16"/>
        <v>#N/A</v>
      </c>
      <c r="E166" t="e">
        <f t="shared" si="16"/>
        <v>#N/A</v>
      </c>
      <c r="F166" t="e">
        <f t="shared" si="16"/>
        <v>#N/A</v>
      </c>
      <c r="G166" t="e">
        <f t="shared" si="16"/>
        <v>#N/A</v>
      </c>
      <c r="H166" t="e">
        <f t="shared" si="16"/>
        <v>#N/A</v>
      </c>
      <c r="I166" t="e">
        <f t="shared" si="16"/>
        <v>#N/A</v>
      </c>
      <c r="J166" t="e">
        <f t="shared" si="16"/>
        <v>#N/A</v>
      </c>
    </row>
    <row r="167" spans="1:10" x14ac:dyDescent="0.25">
      <c r="A167" t="e">
        <f>CUBEMEMBER("pbiazure://api.powerbi.com 6e064a38-7f82-4416-9451-8d82a554b559 Model","[Facilities].[DATIMName].&amp;[Laikala Dispensary]")</f>
        <v>#N/A</v>
      </c>
      <c r="B167" t="e">
        <f t="shared" si="16"/>
        <v>#N/A</v>
      </c>
      <c r="C167" t="e">
        <f t="shared" si="16"/>
        <v>#N/A</v>
      </c>
      <c r="D167" t="e">
        <f t="shared" si="16"/>
        <v>#N/A</v>
      </c>
      <c r="E167" t="e">
        <f t="shared" si="16"/>
        <v>#N/A</v>
      </c>
      <c r="F167" t="e">
        <f t="shared" si="16"/>
        <v>#N/A</v>
      </c>
      <c r="G167" t="e">
        <f t="shared" si="16"/>
        <v>#N/A</v>
      </c>
      <c r="H167" t="e">
        <f t="shared" si="16"/>
        <v>#N/A</v>
      </c>
      <c r="I167" t="e">
        <f t="shared" si="16"/>
        <v>#N/A</v>
      </c>
      <c r="J167" t="e">
        <f t="shared" si="16"/>
        <v>#N/A</v>
      </c>
    </row>
    <row r="168" spans="1:10" x14ac:dyDescent="0.25">
      <c r="A168" t="e">
        <f>CUBEMEMBER("pbiazure://api.powerbi.com 6e064a38-7f82-4416-9451-8d82a554b559 Model","[Facilities].[DATIMName].&amp;[Lamaiti Dispensary]")</f>
        <v>#N/A</v>
      </c>
      <c r="B168" t="e">
        <f t="shared" si="16"/>
        <v>#N/A</v>
      </c>
      <c r="C168" t="e">
        <f t="shared" si="16"/>
        <v>#N/A</v>
      </c>
      <c r="D168" t="e">
        <f t="shared" si="16"/>
        <v>#N/A</v>
      </c>
      <c r="E168" t="e">
        <f t="shared" si="16"/>
        <v>#N/A</v>
      </c>
      <c r="F168" t="e">
        <f t="shared" si="16"/>
        <v>#N/A</v>
      </c>
      <c r="G168" t="e">
        <f t="shared" si="16"/>
        <v>#N/A</v>
      </c>
      <c r="H168" t="e">
        <f t="shared" si="16"/>
        <v>#N/A</v>
      </c>
      <c r="I168" t="e">
        <f t="shared" si="16"/>
        <v>#N/A</v>
      </c>
      <c r="J168" t="e">
        <f t="shared" si="16"/>
        <v>#N/A</v>
      </c>
    </row>
    <row r="169" spans="1:10" x14ac:dyDescent="0.25">
      <c r="A169" t="e">
        <f>CUBEMEMBER("pbiazure://api.powerbi.com 6e064a38-7f82-4416-9451-8d82a554b559 Model","[Facilities].[DATIMName].&amp;[Lengasiti Dispensary]")</f>
        <v>#N/A</v>
      </c>
      <c r="B169" t="e">
        <f t="shared" si="16"/>
        <v>#N/A</v>
      </c>
      <c r="C169" t="e">
        <f t="shared" si="16"/>
        <v>#N/A</v>
      </c>
      <c r="D169" t="e">
        <f t="shared" si="16"/>
        <v>#N/A</v>
      </c>
      <c r="E169" t="e">
        <f t="shared" si="16"/>
        <v>#N/A</v>
      </c>
      <c r="F169" t="e">
        <f t="shared" si="16"/>
        <v>#N/A</v>
      </c>
      <c r="G169" t="e">
        <f t="shared" si="16"/>
        <v>#N/A</v>
      </c>
      <c r="H169" t="e">
        <f t="shared" si="16"/>
        <v>#N/A</v>
      </c>
      <c r="I169" t="e">
        <f t="shared" si="16"/>
        <v>#N/A</v>
      </c>
      <c r="J169" t="e">
        <f t="shared" si="16"/>
        <v>#N/A</v>
      </c>
    </row>
    <row r="170" spans="1:10" x14ac:dyDescent="0.25">
      <c r="A170" t="e">
        <f>CUBEMEMBER("pbiazure://api.powerbi.com 6e064a38-7f82-4416-9451-8d82a554b559 Model","[Facilities].[DATIMName].&amp;[Lerang'wa Dispensary]")</f>
        <v>#N/A</v>
      </c>
      <c r="B170" t="e">
        <f t="shared" si="16"/>
        <v>#N/A</v>
      </c>
      <c r="C170" t="e">
        <f t="shared" si="16"/>
        <v>#N/A</v>
      </c>
      <c r="D170" t="e">
        <f t="shared" si="16"/>
        <v>#N/A</v>
      </c>
      <c r="E170" t="e">
        <f t="shared" si="16"/>
        <v>#N/A</v>
      </c>
      <c r="F170" t="e">
        <f t="shared" si="16"/>
        <v>#N/A</v>
      </c>
      <c r="G170" t="e">
        <f t="shared" si="16"/>
        <v>#N/A</v>
      </c>
      <c r="H170" t="e">
        <f t="shared" si="16"/>
        <v>#N/A</v>
      </c>
      <c r="I170" t="e">
        <f t="shared" si="16"/>
        <v>#N/A</v>
      </c>
      <c r="J170" t="e">
        <f t="shared" si="16"/>
        <v>#N/A</v>
      </c>
    </row>
    <row r="171" spans="1:10" x14ac:dyDescent="0.25">
      <c r="A171" t="e">
        <f>CUBEMEMBER("pbiazure://api.powerbi.com 6e064a38-7f82-4416-9451-8d82a554b559 Model","[Facilities].[DATIMName].&amp;[Levishi Dispensary]")</f>
        <v>#N/A</v>
      </c>
      <c r="B171" t="e">
        <f t="shared" si="16"/>
        <v>#N/A</v>
      </c>
      <c r="C171" t="e">
        <f t="shared" si="16"/>
        <v>#N/A</v>
      </c>
      <c r="D171" t="e">
        <f t="shared" si="16"/>
        <v>#N/A</v>
      </c>
      <c r="E171" t="e">
        <f t="shared" si="16"/>
        <v>#N/A</v>
      </c>
      <c r="F171" t="e">
        <f t="shared" si="16"/>
        <v>#N/A</v>
      </c>
      <c r="G171" t="e">
        <f t="shared" si="16"/>
        <v>#N/A</v>
      </c>
      <c r="H171" t="e">
        <f t="shared" si="16"/>
        <v>#N/A</v>
      </c>
      <c r="I171" t="e">
        <f t="shared" si="16"/>
        <v>#N/A</v>
      </c>
      <c r="J171" t="e">
        <f t="shared" si="16"/>
        <v>#N/A</v>
      </c>
    </row>
    <row r="172" spans="1:10" x14ac:dyDescent="0.25">
      <c r="A172" t="e">
        <f>CUBEMEMBER("pbiazure://api.powerbi.com 6e064a38-7f82-4416-9451-8d82a554b559 Model","[Facilities].[DATIMName].&amp;[Levolosi Health Center]")</f>
        <v>#N/A</v>
      </c>
      <c r="B172" t="e">
        <f t="shared" si="16"/>
        <v>#N/A</v>
      </c>
      <c r="C172" t="e">
        <f t="shared" si="16"/>
        <v>#N/A</v>
      </c>
      <c r="D172" t="e">
        <f t="shared" si="16"/>
        <v>#N/A</v>
      </c>
      <c r="E172" t="e">
        <f t="shared" si="16"/>
        <v>#N/A</v>
      </c>
      <c r="F172" t="e">
        <f t="shared" si="16"/>
        <v>#N/A</v>
      </c>
      <c r="G172" t="e">
        <f t="shared" si="16"/>
        <v>#N/A</v>
      </c>
      <c r="H172" t="e">
        <f t="shared" si="16"/>
        <v>#N/A</v>
      </c>
      <c r="I172" t="e">
        <f t="shared" si="16"/>
        <v>#N/A</v>
      </c>
      <c r="J172" t="e">
        <f t="shared" si="16"/>
        <v>#N/A</v>
      </c>
    </row>
    <row r="173" spans="1:10" x14ac:dyDescent="0.25">
      <c r="A173" t="e">
        <f>CUBEMEMBER("pbiazure://api.powerbi.com 6e064a38-7f82-4416-9451-8d82a554b559 Model","[Facilities].[DATIMName].&amp;[Loiborsiret Dispensary]")</f>
        <v>#N/A</v>
      </c>
      <c r="B173" t="e">
        <f t="shared" si="16"/>
        <v>#N/A</v>
      </c>
      <c r="C173" t="e">
        <f t="shared" si="16"/>
        <v>#N/A</v>
      </c>
      <c r="D173" t="e">
        <f t="shared" si="16"/>
        <v>#N/A</v>
      </c>
      <c r="E173" t="e">
        <f t="shared" si="16"/>
        <v>#N/A</v>
      </c>
      <c r="F173" t="e">
        <f t="shared" si="16"/>
        <v>#N/A</v>
      </c>
      <c r="G173" t="e">
        <f t="shared" si="16"/>
        <v>#N/A</v>
      </c>
      <c r="H173" t="e">
        <f t="shared" si="16"/>
        <v>#N/A</v>
      </c>
      <c r="I173" t="e">
        <f t="shared" si="16"/>
        <v>#N/A</v>
      </c>
      <c r="J173" t="e">
        <f t="shared" si="16"/>
        <v>#N/A</v>
      </c>
    </row>
    <row r="174" spans="1:10" x14ac:dyDescent="0.25">
      <c r="A174" t="e">
        <f>CUBEMEMBER("pbiazure://api.powerbi.com 6e064a38-7f82-4416-9451-8d82a554b559 Model","[Facilities].[DATIMName].&amp;[Loliondo Health Center]")</f>
        <v>#N/A</v>
      </c>
      <c r="B174" t="e">
        <f t="shared" si="16"/>
        <v>#N/A</v>
      </c>
      <c r="C174" t="e">
        <f t="shared" si="16"/>
        <v>#N/A</v>
      </c>
      <c r="D174" t="e">
        <f t="shared" si="16"/>
        <v>#N/A</v>
      </c>
      <c r="E174" t="e">
        <f t="shared" si="16"/>
        <v>#N/A</v>
      </c>
      <c r="F174" t="e">
        <f t="shared" si="16"/>
        <v>#N/A</v>
      </c>
      <c r="G174" t="e">
        <f t="shared" si="16"/>
        <v>#N/A</v>
      </c>
      <c r="H174" t="e">
        <f t="shared" si="16"/>
        <v>#N/A</v>
      </c>
      <c r="I174" t="e">
        <f t="shared" si="16"/>
        <v>#N/A</v>
      </c>
      <c r="J174" t="e">
        <f t="shared" si="16"/>
        <v>#N/A</v>
      </c>
    </row>
    <row r="175" spans="1:10" x14ac:dyDescent="0.25">
      <c r="A175" t="e">
        <f>CUBEMEMBER("pbiazure://api.powerbi.com 6e064a38-7f82-4416-9451-8d82a554b559 Model","[Facilities].[DATIMName].&amp;[Lolkisale Dispensary]")</f>
        <v>#N/A</v>
      </c>
      <c r="B175" t="e">
        <f t="shared" si="16"/>
        <v>#N/A</v>
      </c>
      <c r="C175" t="e">
        <f t="shared" si="16"/>
        <v>#N/A</v>
      </c>
      <c r="D175" t="e">
        <f t="shared" si="16"/>
        <v>#N/A</v>
      </c>
      <c r="E175" t="e">
        <f t="shared" si="16"/>
        <v>#N/A</v>
      </c>
      <c r="F175" t="e">
        <f t="shared" si="16"/>
        <v>#N/A</v>
      </c>
      <c r="G175" t="e">
        <f t="shared" si="16"/>
        <v>#N/A</v>
      </c>
      <c r="H175" t="e">
        <f t="shared" si="16"/>
        <v>#N/A</v>
      </c>
      <c r="I175" t="e">
        <f t="shared" si="16"/>
        <v>#N/A</v>
      </c>
      <c r="J175" t="e">
        <f t="shared" si="16"/>
        <v>#N/A</v>
      </c>
    </row>
    <row r="176" spans="1:10" x14ac:dyDescent="0.25">
      <c r="A176" t="e">
        <f>CUBEMEMBER("pbiazure://api.powerbi.com 6e064a38-7f82-4416-9451-8d82a554b559 Model","[Facilities].[DATIMName].&amp;[Longido Health Center]")</f>
        <v>#N/A</v>
      </c>
      <c r="B176" t="e">
        <f t="shared" ref="B176:J185" si="17">CUBEVALUE("pbiazure://api.powerbi.com 6e064a38-7f82-4416-9451-8d82a554b559 Model",$B$1,$A176,B$5)</f>
        <v>#N/A</v>
      </c>
      <c r="C176" t="e">
        <f t="shared" si="17"/>
        <v>#N/A</v>
      </c>
      <c r="D176" t="e">
        <f t="shared" si="17"/>
        <v>#N/A</v>
      </c>
      <c r="E176" t="e">
        <f t="shared" si="17"/>
        <v>#N/A</v>
      </c>
      <c r="F176" t="e">
        <f t="shared" si="17"/>
        <v>#N/A</v>
      </c>
      <c r="G176" t="e">
        <f t="shared" si="17"/>
        <v>#N/A</v>
      </c>
      <c r="H176" t="e">
        <f t="shared" si="17"/>
        <v>#N/A</v>
      </c>
      <c r="I176" t="e">
        <f t="shared" si="17"/>
        <v>#N/A</v>
      </c>
      <c r="J176" t="e">
        <f t="shared" si="17"/>
        <v>#N/A</v>
      </c>
    </row>
    <row r="177" spans="1:10" x14ac:dyDescent="0.25">
      <c r="A177" t="e">
        <f>CUBEMEMBER("pbiazure://api.powerbi.com 6e064a38-7f82-4416-9451-8d82a554b559 Model","[Facilities].[DATIMName].&amp;[Lumuma RC Health Center]")</f>
        <v>#N/A</v>
      </c>
      <c r="B177" t="e">
        <f t="shared" si="17"/>
        <v>#N/A</v>
      </c>
      <c r="C177" t="e">
        <f t="shared" si="17"/>
        <v>#N/A</v>
      </c>
      <c r="D177" t="e">
        <f t="shared" si="17"/>
        <v>#N/A</v>
      </c>
      <c r="E177" t="e">
        <f t="shared" si="17"/>
        <v>#N/A</v>
      </c>
      <c r="F177" t="e">
        <f t="shared" si="17"/>
        <v>#N/A</v>
      </c>
      <c r="G177" t="e">
        <f t="shared" si="17"/>
        <v>#N/A</v>
      </c>
      <c r="H177" t="e">
        <f t="shared" si="17"/>
        <v>#N/A</v>
      </c>
      <c r="I177" t="e">
        <f t="shared" si="17"/>
        <v>#N/A</v>
      </c>
      <c r="J177" t="e">
        <f t="shared" si="17"/>
        <v>#N/A</v>
      </c>
    </row>
    <row r="178" spans="1:10" x14ac:dyDescent="0.25">
      <c r="A178" t="e">
        <f>CUBEMEMBER("pbiazure://api.powerbi.com 6e064a38-7f82-4416-9451-8d82a554b559 Model","[Facilities].[DATIMName].&amp;[Lyamungo RHC Health Center]")</f>
        <v>#N/A</v>
      </c>
      <c r="B178" t="e">
        <f t="shared" si="17"/>
        <v>#N/A</v>
      </c>
      <c r="C178" t="e">
        <f t="shared" si="17"/>
        <v>#N/A</v>
      </c>
      <c r="D178" t="e">
        <f t="shared" si="17"/>
        <v>#N/A</v>
      </c>
      <c r="E178" t="e">
        <f t="shared" si="17"/>
        <v>#N/A</v>
      </c>
      <c r="F178" t="e">
        <f t="shared" si="17"/>
        <v>#N/A</v>
      </c>
      <c r="G178" t="e">
        <f t="shared" si="17"/>
        <v>#N/A</v>
      </c>
      <c r="H178" t="e">
        <f t="shared" si="17"/>
        <v>#N/A</v>
      </c>
      <c r="I178" t="e">
        <f t="shared" si="17"/>
        <v>#N/A</v>
      </c>
      <c r="J178" t="e">
        <f t="shared" si="17"/>
        <v>#N/A</v>
      </c>
    </row>
    <row r="179" spans="1:10" x14ac:dyDescent="0.25">
      <c r="A179" t="e">
        <f>CUBEMEMBER("pbiazure://api.powerbi.com 6e064a38-7f82-4416-9451-8d82a554b559 Model","[Facilities].[DATIMName].&amp;[M&amp;M Kiwera Dispensary]")</f>
        <v>#N/A</v>
      </c>
      <c r="B179" t="e">
        <f t="shared" si="17"/>
        <v>#N/A</v>
      </c>
      <c r="C179" t="e">
        <f t="shared" si="17"/>
        <v>#N/A</v>
      </c>
      <c r="D179" t="e">
        <f t="shared" si="17"/>
        <v>#N/A</v>
      </c>
      <c r="E179" t="e">
        <f t="shared" si="17"/>
        <v>#N/A</v>
      </c>
      <c r="F179" t="e">
        <f t="shared" si="17"/>
        <v>#N/A</v>
      </c>
      <c r="G179" t="e">
        <f t="shared" si="17"/>
        <v>#N/A</v>
      </c>
      <c r="H179" t="e">
        <f t="shared" si="17"/>
        <v>#N/A</v>
      </c>
      <c r="I179" t="e">
        <f t="shared" si="17"/>
        <v>#N/A</v>
      </c>
      <c r="J179" t="e">
        <f t="shared" si="17"/>
        <v>#N/A</v>
      </c>
    </row>
    <row r="180" spans="1:10" x14ac:dyDescent="0.25">
      <c r="A180" t="e">
        <f>CUBEMEMBER("pbiazure://api.powerbi.com 6e064a38-7f82-4416-9451-8d82a554b559 Model","[Facilities].[DATIMName].&amp;[Mabogini Dispensary]")</f>
        <v>#N/A</v>
      </c>
      <c r="B180" t="e">
        <f t="shared" si="17"/>
        <v>#N/A</v>
      </c>
      <c r="C180" t="e">
        <f t="shared" si="17"/>
        <v>#N/A</v>
      </c>
      <c r="D180" t="e">
        <f t="shared" si="17"/>
        <v>#N/A</v>
      </c>
      <c r="E180" t="e">
        <f t="shared" si="17"/>
        <v>#N/A</v>
      </c>
      <c r="F180" t="e">
        <f t="shared" si="17"/>
        <v>#N/A</v>
      </c>
      <c r="G180" t="e">
        <f t="shared" si="17"/>
        <v>#N/A</v>
      </c>
      <c r="H180" t="e">
        <f t="shared" si="17"/>
        <v>#N/A</v>
      </c>
      <c r="I180" t="e">
        <f t="shared" si="17"/>
        <v>#N/A</v>
      </c>
      <c r="J180" t="e">
        <f t="shared" si="17"/>
        <v>#N/A</v>
      </c>
    </row>
    <row r="181" spans="1:10" x14ac:dyDescent="0.25">
      <c r="A181" t="e">
        <f>CUBEMEMBER("pbiazure://api.powerbi.com 6e064a38-7f82-4416-9451-8d82a554b559 Model","[Facilities].[DATIMName].&amp;[Machame Hospital - Designated District Hospital]")</f>
        <v>#N/A</v>
      </c>
      <c r="B181" t="e">
        <f t="shared" si="17"/>
        <v>#N/A</v>
      </c>
      <c r="C181" t="e">
        <f t="shared" si="17"/>
        <v>#N/A</v>
      </c>
      <c r="D181" t="e">
        <f t="shared" si="17"/>
        <v>#N/A</v>
      </c>
      <c r="E181" t="e">
        <f t="shared" si="17"/>
        <v>#N/A</v>
      </c>
      <c r="F181" t="e">
        <f t="shared" si="17"/>
        <v>#N/A</v>
      </c>
      <c r="G181" t="e">
        <f t="shared" si="17"/>
        <v>#N/A</v>
      </c>
      <c r="H181" t="e">
        <f t="shared" si="17"/>
        <v>#N/A</v>
      </c>
      <c r="I181" t="e">
        <f t="shared" si="17"/>
        <v>#N/A</v>
      </c>
      <c r="J181" t="e">
        <f t="shared" si="17"/>
        <v>#N/A</v>
      </c>
    </row>
    <row r="182" spans="1:10" x14ac:dyDescent="0.25">
      <c r="A182" t="e">
        <f>CUBEMEMBER("pbiazure://api.powerbi.com 6e064a38-7f82-4416-9451-8d82a554b559 Model","[Facilities].[DATIMName].&amp;[Magara Health Center]")</f>
        <v>#N/A</v>
      </c>
      <c r="B182" t="e">
        <f t="shared" si="17"/>
        <v>#N/A</v>
      </c>
      <c r="C182" t="e">
        <f t="shared" si="17"/>
        <v>#N/A</v>
      </c>
      <c r="D182" t="e">
        <f t="shared" si="17"/>
        <v>#N/A</v>
      </c>
      <c r="E182" t="e">
        <f t="shared" si="17"/>
        <v>#N/A</v>
      </c>
      <c r="F182" t="e">
        <f t="shared" si="17"/>
        <v>#N/A</v>
      </c>
      <c r="G182" t="e">
        <f t="shared" si="17"/>
        <v>#N/A</v>
      </c>
      <c r="H182" t="e">
        <f t="shared" si="17"/>
        <v>#N/A</v>
      </c>
      <c r="I182" t="e">
        <f t="shared" si="17"/>
        <v>#N/A</v>
      </c>
      <c r="J182" t="e">
        <f t="shared" si="17"/>
        <v>#N/A</v>
      </c>
    </row>
    <row r="183" spans="1:10" x14ac:dyDescent="0.25">
      <c r="A183" t="e">
        <f>CUBEMEMBER("pbiazure://api.powerbi.com 6e064a38-7f82-4416-9451-8d82a554b559 Model","[Facilities].[DATIMName].&amp;[Magugu Health Center]")</f>
        <v>#N/A</v>
      </c>
      <c r="B183" t="e">
        <f t="shared" si="17"/>
        <v>#N/A</v>
      </c>
      <c r="C183" t="e">
        <f t="shared" si="17"/>
        <v>#N/A</v>
      </c>
      <c r="D183" t="e">
        <f t="shared" si="17"/>
        <v>#N/A</v>
      </c>
      <c r="E183" t="e">
        <f t="shared" si="17"/>
        <v>#N/A</v>
      </c>
      <c r="F183" t="e">
        <f t="shared" si="17"/>
        <v>#N/A</v>
      </c>
      <c r="G183" t="e">
        <f t="shared" si="17"/>
        <v>#N/A</v>
      </c>
      <c r="H183" t="e">
        <f t="shared" si="17"/>
        <v>#N/A</v>
      </c>
      <c r="I183" t="e">
        <f t="shared" si="17"/>
        <v>#N/A</v>
      </c>
      <c r="J183" t="e">
        <f t="shared" si="17"/>
        <v>#N/A</v>
      </c>
    </row>
    <row r="184" spans="1:10" x14ac:dyDescent="0.25">
      <c r="A184" t="e">
        <f>CUBEMEMBER("pbiazure://api.powerbi.com 6e064a38-7f82-4416-9451-8d82a554b559 Model","[Facilities].[DATIMName].&amp;[Mahomanyika Dispensary]")</f>
        <v>#N/A</v>
      </c>
      <c r="B184" t="e">
        <f t="shared" si="17"/>
        <v>#N/A</v>
      </c>
      <c r="C184" t="e">
        <f t="shared" si="17"/>
        <v>#N/A</v>
      </c>
      <c r="D184" t="e">
        <f t="shared" si="17"/>
        <v>#N/A</v>
      </c>
      <c r="E184" t="e">
        <f t="shared" si="17"/>
        <v>#N/A</v>
      </c>
      <c r="F184" t="e">
        <f t="shared" si="17"/>
        <v>#N/A</v>
      </c>
      <c r="G184" t="e">
        <f t="shared" si="17"/>
        <v>#N/A</v>
      </c>
      <c r="H184" t="e">
        <f t="shared" si="17"/>
        <v>#N/A</v>
      </c>
      <c r="I184" t="e">
        <f t="shared" si="17"/>
        <v>#N/A</v>
      </c>
      <c r="J184" t="e">
        <f t="shared" si="17"/>
        <v>#N/A</v>
      </c>
    </row>
    <row r="185" spans="1:10" x14ac:dyDescent="0.25">
      <c r="A185" t="e">
        <f>CUBEMEMBER("pbiazure://api.powerbi.com 6e064a38-7f82-4416-9451-8d82a554b559 Model","[Facilities].[DATIMName].&amp;[Maili Sita RC Dispensary]")</f>
        <v>#N/A</v>
      </c>
      <c r="B185" t="e">
        <f t="shared" si="17"/>
        <v>#N/A</v>
      </c>
      <c r="C185" t="e">
        <f t="shared" si="17"/>
        <v>#N/A</v>
      </c>
      <c r="D185" t="e">
        <f t="shared" si="17"/>
        <v>#N/A</v>
      </c>
      <c r="E185" t="e">
        <f t="shared" si="17"/>
        <v>#N/A</v>
      </c>
      <c r="F185" t="e">
        <f t="shared" si="17"/>
        <v>#N/A</v>
      </c>
      <c r="G185" t="e">
        <f t="shared" si="17"/>
        <v>#N/A</v>
      </c>
      <c r="H185" t="e">
        <f t="shared" si="17"/>
        <v>#N/A</v>
      </c>
      <c r="I185" t="e">
        <f t="shared" si="17"/>
        <v>#N/A</v>
      </c>
      <c r="J185" t="e">
        <f t="shared" si="17"/>
        <v>#N/A</v>
      </c>
    </row>
    <row r="186" spans="1:10" x14ac:dyDescent="0.25">
      <c r="A186" t="e">
        <f>CUBEMEMBER("pbiazure://api.powerbi.com 6e064a38-7f82-4416-9451-8d82a554b559 Model","[Facilities].[DATIMName].&amp;[Majengo Health Center]")</f>
        <v>#N/A</v>
      </c>
      <c r="B186" t="e">
        <f t="shared" ref="B186:J195" si="18">CUBEVALUE("pbiazure://api.powerbi.com 6e064a38-7f82-4416-9451-8d82a554b559 Model",$B$1,$A186,B$5)</f>
        <v>#N/A</v>
      </c>
      <c r="C186" t="e">
        <f t="shared" si="18"/>
        <v>#N/A</v>
      </c>
      <c r="D186" t="e">
        <f t="shared" si="18"/>
        <v>#N/A</v>
      </c>
      <c r="E186" t="e">
        <f t="shared" si="18"/>
        <v>#N/A</v>
      </c>
      <c r="F186" t="e">
        <f t="shared" si="18"/>
        <v>#N/A</v>
      </c>
      <c r="G186" t="e">
        <f t="shared" si="18"/>
        <v>#N/A</v>
      </c>
      <c r="H186" t="e">
        <f t="shared" si="18"/>
        <v>#N/A</v>
      </c>
      <c r="I186" t="e">
        <f t="shared" si="18"/>
        <v>#N/A</v>
      </c>
      <c r="J186" t="e">
        <f t="shared" si="18"/>
        <v>#N/A</v>
      </c>
    </row>
    <row r="187" spans="1:10" x14ac:dyDescent="0.25">
      <c r="A187" t="e">
        <f>CUBEMEMBER("pbiazure://api.powerbi.com 6e064a38-7f82-4416-9451-8d82a554b559 Model","[Facilities].[DATIMName].&amp;[Makaa Pumwani Dispensary]")</f>
        <v>#N/A</v>
      </c>
      <c r="B187" t="e">
        <f t="shared" si="18"/>
        <v>#N/A</v>
      </c>
      <c r="C187" t="e">
        <f t="shared" si="18"/>
        <v>#N/A</v>
      </c>
      <c r="D187" t="e">
        <f t="shared" si="18"/>
        <v>#N/A</v>
      </c>
      <c r="E187" t="e">
        <f t="shared" si="18"/>
        <v>#N/A</v>
      </c>
      <c r="F187" t="e">
        <f t="shared" si="18"/>
        <v>#N/A</v>
      </c>
      <c r="G187" t="e">
        <f t="shared" si="18"/>
        <v>#N/A</v>
      </c>
      <c r="H187" t="e">
        <f t="shared" si="18"/>
        <v>#N/A</v>
      </c>
      <c r="I187" t="e">
        <f t="shared" si="18"/>
        <v>#N/A</v>
      </c>
      <c r="J187" t="e">
        <f t="shared" si="18"/>
        <v>#N/A</v>
      </c>
    </row>
    <row r="188" spans="1:10" x14ac:dyDescent="0.25">
      <c r="A188" t="e">
        <f>CUBEMEMBER("pbiazure://api.powerbi.com 6e064a38-7f82-4416-9451-8d82a554b559 Model","[Facilities].[DATIMName].&amp;[Makanya Health Center]")</f>
        <v>#N/A</v>
      </c>
      <c r="B188" t="e">
        <f t="shared" si="18"/>
        <v>#N/A</v>
      </c>
      <c r="C188" t="e">
        <f t="shared" si="18"/>
        <v>#N/A</v>
      </c>
      <c r="D188" t="e">
        <f t="shared" si="18"/>
        <v>#N/A</v>
      </c>
      <c r="E188" t="e">
        <f t="shared" si="18"/>
        <v>#N/A</v>
      </c>
      <c r="F188" t="e">
        <f t="shared" si="18"/>
        <v>#N/A</v>
      </c>
      <c r="G188" t="e">
        <f t="shared" si="18"/>
        <v>#N/A</v>
      </c>
      <c r="H188" t="e">
        <f t="shared" si="18"/>
        <v>#N/A</v>
      </c>
      <c r="I188" t="e">
        <f t="shared" si="18"/>
        <v>#N/A</v>
      </c>
      <c r="J188" t="e">
        <f t="shared" si="18"/>
        <v>#N/A</v>
      </c>
    </row>
    <row r="189" spans="1:10" x14ac:dyDescent="0.25">
      <c r="A189" t="e">
        <f>CUBEMEMBER("pbiazure://api.powerbi.com 6e064a38-7f82-4416-9451-8d82a554b559 Model","[Facilities].[DATIMName].&amp;[Makanya Kitivo Dispensary]")</f>
        <v>#N/A</v>
      </c>
      <c r="B189" t="e">
        <f t="shared" si="18"/>
        <v>#N/A</v>
      </c>
      <c r="C189" t="e">
        <f t="shared" si="18"/>
        <v>#N/A</v>
      </c>
      <c r="D189" t="e">
        <f t="shared" si="18"/>
        <v>#N/A</v>
      </c>
      <c r="E189" t="e">
        <f t="shared" si="18"/>
        <v>#N/A</v>
      </c>
      <c r="F189" t="e">
        <f t="shared" si="18"/>
        <v>#N/A</v>
      </c>
      <c r="G189" t="e">
        <f t="shared" si="18"/>
        <v>#N/A</v>
      </c>
      <c r="H189" t="e">
        <f t="shared" si="18"/>
        <v>#N/A</v>
      </c>
      <c r="I189" t="e">
        <f t="shared" si="18"/>
        <v>#N/A</v>
      </c>
      <c r="J189" t="e">
        <f t="shared" si="18"/>
        <v>#N/A</v>
      </c>
    </row>
    <row r="190" spans="1:10" x14ac:dyDescent="0.25">
      <c r="A190" t="e">
        <f>CUBEMEMBER("pbiazure://api.powerbi.com 6e064a38-7f82-4416-9451-8d82a554b559 Model","[Facilities].[DATIMName].&amp;[Makawa Dispensary]")</f>
        <v>#N/A</v>
      </c>
      <c r="B190" t="e">
        <f t="shared" si="18"/>
        <v>#N/A</v>
      </c>
      <c r="C190" t="e">
        <f t="shared" si="18"/>
        <v>#N/A</v>
      </c>
      <c r="D190" t="e">
        <f t="shared" si="18"/>
        <v>#N/A</v>
      </c>
      <c r="E190" t="e">
        <f t="shared" si="18"/>
        <v>#N/A</v>
      </c>
      <c r="F190" t="e">
        <f t="shared" si="18"/>
        <v>#N/A</v>
      </c>
      <c r="G190" t="e">
        <f t="shared" si="18"/>
        <v>#N/A</v>
      </c>
      <c r="H190" t="e">
        <f t="shared" si="18"/>
        <v>#N/A</v>
      </c>
      <c r="I190" t="e">
        <f t="shared" si="18"/>
        <v>#N/A</v>
      </c>
      <c r="J190" t="e">
        <f t="shared" si="18"/>
        <v>#N/A</v>
      </c>
    </row>
    <row r="191" spans="1:10" x14ac:dyDescent="0.25">
      <c r="A191" t="e">
        <f>CUBEMEMBER("pbiazure://api.powerbi.com 6e064a38-7f82-4416-9451-8d82a554b559 Model","[Facilities].[DATIMName].&amp;[Makiba Health Center]")</f>
        <v>#N/A</v>
      </c>
      <c r="B191" t="e">
        <f t="shared" si="18"/>
        <v>#N/A</v>
      </c>
      <c r="C191" t="e">
        <f t="shared" si="18"/>
        <v>#N/A</v>
      </c>
      <c r="D191" t="e">
        <f t="shared" si="18"/>
        <v>#N/A</v>
      </c>
      <c r="E191" t="e">
        <f t="shared" si="18"/>
        <v>#N/A</v>
      </c>
      <c r="F191" t="e">
        <f t="shared" si="18"/>
        <v>#N/A</v>
      </c>
      <c r="G191" t="e">
        <f t="shared" si="18"/>
        <v>#N/A</v>
      </c>
      <c r="H191" t="e">
        <f t="shared" si="18"/>
        <v>#N/A</v>
      </c>
      <c r="I191" t="e">
        <f t="shared" si="18"/>
        <v>#N/A</v>
      </c>
      <c r="J191" t="e">
        <f t="shared" si="18"/>
        <v>#N/A</v>
      </c>
    </row>
    <row r="192" spans="1:10" x14ac:dyDescent="0.25">
      <c r="A192" t="e">
        <f>CUBEMEMBER("pbiazure://api.powerbi.com 6e064a38-7f82-4416-9451-8d82a554b559 Model","[Facilities].[DATIMName].&amp;[Makiungu Hospital - Designated District Hospital]")</f>
        <v>#N/A</v>
      </c>
      <c r="B192" t="e">
        <f t="shared" si="18"/>
        <v>#N/A</v>
      </c>
      <c r="C192" t="e">
        <f t="shared" si="18"/>
        <v>#N/A</v>
      </c>
      <c r="D192" t="e">
        <f t="shared" si="18"/>
        <v>#N/A</v>
      </c>
      <c r="E192" t="e">
        <f t="shared" si="18"/>
        <v>#N/A</v>
      </c>
      <c r="F192" t="e">
        <f t="shared" si="18"/>
        <v>#N/A</v>
      </c>
      <c r="G192" t="e">
        <f t="shared" si="18"/>
        <v>#N/A</v>
      </c>
      <c r="H192" t="e">
        <f t="shared" si="18"/>
        <v>#N/A</v>
      </c>
      <c r="I192" t="e">
        <f t="shared" si="18"/>
        <v>#N/A</v>
      </c>
      <c r="J192" t="e">
        <f t="shared" si="18"/>
        <v>#N/A</v>
      </c>
    </row>
    <row r="193" spans="1:10" x14ac:dyDescent="0.25">
      <c r="A193" t="e">
        <f>CUBEMEMBER("pbiazure://api.powerbi.com 6e064a38-7f82-4416-9451-8d82a554b559 Model","[Facilities].[DATIMName].&amp;[Makole Dispensary]")</f>
        <v>#N/A</v>
      </c>
      <c r="B193" t="e">
        <f t="shared" si="18"/>
        <v>#N/A</v>
      </c>
      <c r="C193" t="e">
        <f t="shared" si="18"/>
        <v>#N/A</v>
      </c>
      <c r="D193" t="e">
        <f t="shared" si="18"/>
        <v>#N/A</v>
      </c>
      <c r="E193" t="e">
        <f t="shared" si="18"/>
        <v>#N/A</v>
      </c>
      <c r="F193" t="e">
        <f t="shared" si="18"/>
        <v>#N/A</v>
      </c>
      <c r="G193" t="e">
        <f t="shared" si="18"/>
        <v>#N/A</v>
      </c>
      <c r="H193" t="e">
        <f t="shared" si="18"/>
        <v>#N/A</v>
      </c>
      <c r="I193" t="e">
        <f t="shared" si="18"/>
        <v>#N/A</v>
      </c>
      <c r="J193" t="e">
        <f t="shared" si="18"/>
        <v>#N/A</v>
      </c>
    </row>
    <row r="194" spans="1:10" x14ac:dyDescent="0.25">
      <c r="A194" t="e">
        <f>CUBEMEMBER("pbiazure://api.powerbi.com 6e064a38-7f82-4416-9451-8d82a554b559 Model","[Facilities].[DATIMName].&amp;[Makole HC Health Center]")</f>
        <v>#N/A</v>
      </c>
      <c r="B194" t="e">
        <f t="shared" si="18"/>
        <v>#N/A</v>
      </c>
      <c r="C194" t="e">
        <f t="shared" si="18"/>
        <v>#N/A</v>
      </c>
      <c r="D194" t="e">
        <f t="shared" si="18"/>
        <v>#N/A</v>
      </c>
      <c r="E194" t="e">
        <f t="shared" si="18"/>
        <v>#N/A</v>
      </c>
      <c r="F194" t="e">
        <f t="shared" si="18"/>
        <v>#N/A</v>
      </c>
      <c r="G194" t="e">
        <f t="shared" si="18"/>
        <v>#N/A</v>
      </c>
      <c r="H194" t="e">
        <f t="shared" si="18"/>
        <v>#N/A</v>
      </c>
      <c r="I194" t="e">
        <f t="shared" si="18"/>
        <v>#N/A</v>
      </c>
      <c r="J194" t="e">
        <f t="shared" si="18"/>
        <v>#N/A</v>
      </c>
    </row>
    <row r="195" spans="1:10" x14ac:dyDescent="0.25">
      <c r="A195" t="e">
        <f>CUBEMEMBER("pbiazure://api.powerbi.com 6e064a38-7f82-4416-9451-8d82a554b559 Model","[Facilities].[DATIMName].&amp;[Makuyuni Dispensary]")</f>
        <v>#N/A</v>
      </c>
      <c r="B195" t="e">
        <f t="shared" si="18"/>
        <v>#N/A</v>
      </c>
      <c r="C195" t="e">
        <f t="shared" si="18"/>
        <v>#N/A</v>
      </c>
      <c r="D195" t="e">
        <f t="shared" si="18"/>
        <v>#N/A</v>
      </c>
      <c r="E195" t="e">
        <f t="shared" si="18"/>
        <v>#N/A</v>
      </c>
      <c r="F195" t="e">
        <f t="shared" si="18"/>
        <v>#N/A</v>
      </c>
      <c r="G195" t="e">
        <f t="shared" si="18"/>
        <v>#N/A</v>
      </c>
      <c r="H195" t="e">
        <f t="shared" si="18"/>
        <v>#N/A</v>
      </c>
      <c r="I195" t="e">
        <f t="shared" si="18"/>
        <v>#N/A</v>
      </c>
      <c r="J195" t="e">
        <f t="shared" si="18"/>
        <v>#N/A</v>
      </c>
    </row>
    <row r="196" spans="1:10" x14ac:dyDescent="0.25">
      <c r="A196" t="e">
        <f>CUBEMEMBER("pbiazure://api.powerbi.com 6e064a38-7f82-4416-9451-8d82a554b559 Model","[Facilities].[DATIMName].&amp;[Malambo Health Center]")</f>
        <v>#N/A</v>
      </c>
      <c r="B196" t="e">
        <f t="shared" ref="B196:J205" si="19">CUBEVALUE("pbiazure://api.powerbi.com 6e064a38-7f82-4416-9451-8d82a554b559 Model",$B$1,$A196,B$5)</f>
        <v>#N/A</v>
      </c>
      <c r="C196" t="e">
        <f t="shared" si="19"/>
        <v>#N/A</v>
      </c>
      <c r="D196" t="e">
        <f t="shared" si="19"/>
        <v>#N/A</v>
      </c>
      <c r="E196" t="e">
        <f t="shared" si="19"/>
        <v>#N/A</v>
      </c>
      <c r="F196" t="e">
        <f t="shared" si="19"/>
        <v>#N/A</v>
      </c>
      <c r="G196" t="e">
        <f t="shared" si="19"/>
        <v>#N/A</v>
      </c>
      <c r="H196" t="e">
        <f t="shared" si="19"/>
        <v>#N/A</v>
      </c>
      <c r="I196" t="e">
        <f t="shared" si="19"/>
        <v>#N/A</v>
      </c>
      <c r="J196" t="e">
        <f t="shared" si="19"/>
        <v>#N/A</v>
      </c>
    </row>
    <row r="197" spans="1:10" x14ac:dyDescent="0.25">
      <c r="A197" t="e">
        <f>CUBEMEMBER("pbiazure://api.powerbi.com 6e064a38-7f82-4416-9451-8d82a554b559 Model","[Facilities].[DATIMName].&amp;[Malangi Dispensary]")</f>
        <v>#N/A</v>
      </c>
      <c r="B197" t="e">
        <f t="shared" si="19"/>
        <v>#N/A</v>
      </c>
      <c r="C197" t="e">
        <f t="shared" si="19"/>
        <v>#N/A</v>
      </c>
      <c r="D197" t="e">
        <f t="shared" si="19"/>
        <v>#N/A</v>
      </c>
      <c r="E197" t="e">
        <f t="shared" si="19"/>
        <v>#N/A</v>
      </c>
      <c r="F197" t="e">
        <f t="shared" si="19"/>
        <v>#N/A</v>
      </c>
      <c r="G197" t="e">
        <f t="shared" si="19"/>
        <v>#N/A</v>
      </c>
      <c r="H197" t="e">
        <f t="shared" si="19"/>
        <v>#N/A</v>
      </c>
      <c r="I197" t="e">
        <f t="shared" si="19"/>
        <v>#N/A</v>
      </c>
      <c r="J197" t="e">
        <f t="shared" si="19"/>
        <v>#N/A</v>
      </c>
    </row>
    <row r="198" spans="1:10" x14ac:dyDescent="0.25">
      <c r="A198" t="e">
        <f>CUBEMEMBER("pbiazure://api.powerbi.com 6e064a38-7f82-4416-9451-8d82a554b559 Model","[Facilities].[DATIMName].&amp;[Mamire Health Center]")</f>
        <v>#N/A</v>
      </c>
      <c r="B198" t="e">
        <f t="shared" si="19"/>
        <v>#N/A</v>
      </c>
      <c r="C198" t="e">
        <f t="shared" si="19"/>
        <v>#N/A</v>
      </c>
      <c r="D198" t="e">
        <f t="shared" si="19"/>
        <v>#N/A</v>
      </c>
      <c r="E198" t="e">
        <f t="shared" si="19"/>
        <v>#N/A</v>
      </c>
      <c r="F198" t="e">
        <f t="shared" si="19"/>
        <v>#N/A</v>
      </c>
      <c r="G198" t="e">
        <f t="shared" si="19"/>
        <v>#N/A</v>
      </c>
      <c r="H198" t="e">
        <f t="shared" si="19"/>
        <v>#N/A</v>
      </c>
      <c r="I198" t="e">
        <f t="shared" si="19"/>
        <v>#N/A</v>
      </c>
      <c r="J198" t="e">
        <f t="shared" si="19"/>
        <v>#N/A</v>
      </c>
    </row>
    <row r="199" spans="1:10" x14ac:dyDescent="0.25">
      <c r="A199" t="e">
        <f>CUBEMEMBER("pbiazure://api.powerbi.com 6e064a38-7f82-4416-9451-8d82a554b559 Model","[Facilities].[DATIMName].&amp;[Manchali Dispensary]")</f>
        <v>#N/A</v>
      </c>
      <c r="B199" t="e">
        <f t="shared" si="19"/>
        <v>#N/A</v>
      </c>
      <c r="C199" t="e">
        <f t="shared" si="19"/>
        <v>#N/A</v>
      </c>
      <c r="D199" t="e">
        <f t="shared" si="19"/>
        <v>#N/A</v>
      </c>
      <c r="E199" t="e">
        <f t="shared" si="19"/>
        <v>#N/A</v>
      </c>
      <c r="F199" t="e">
        <f t="shared" si="19"/>
        <v>#N/A</v>
      </c>
      <c r="G199" t="e">
        <f t="shared" si="19"/>
        <v>#N/A</v>
      </c>
      <c r="H199" t="e">
        <f t="shared" si="19"/>
        <v>#N/A</v>
      </c>
      <c r="I199" t="e">
        <f t="shared" si="19"/>
        <v>#N/A</v>
      </c>
      <c r="J199" t="e">
        <f t="shared" si="19"/>
        <v>#N/A</v>
      </c>
    </row>
    <row r="200" spans="1:10" x14ac:dyDescent="0.25">
      <c r="A200" t="e">
        <f>CUBEMEMBER("pbiazure://api.powerbi.com 6e064a38-7f82-4416-9451-8d82a554b559 Model","[Facilities].[DATIMName].&amp;[Mang'ola Chini Health Center]")</f>
        <v>#N/A</v>
      </c>
      <c r="B200" t="e">
        <f t="shared" si="19"/>
        <v>#N/A</v>
      </c>
      <c r="C200" t="e">
        <f t="shared" si="19"/>
        <v>#N/A</v>
      </c>
      <c r="D200" t="e">
        <f t="shared" si="19"/>
        <v>#N/A</v>
      </c>
      <c r="E200" t="e">
        <f t="shared" si="19"/>
        <v>#N/A</v>
      </c>
      <c r="F200" t="e">
        <f t="shared" si="19"/>
        <v>#N/A</v>
      </c>
      <c r="G200" t="e">
        <f t="shared" si="19"/>
        <v>#N/A</v>
      </c>
      <c r="H200" t="e">
        <f t="shared" si="19"/>
        <v>#N/A</v>
      </c>
      <c r="I200" t="e">
        <f t="shared" si="19"/>
        <v>#N/A</v>
      </c>
      <c r="J200" t="e">
        <f t="shared" si="19"/>
        <v>#N/A</v>
      </c>
    </row>
    <row r="201" spans="1:10" x14ac:dyDescent="0.25">
      <c r="A201" t="e">
        <f>CUBEMEMBER("pbiazure://api.powerbi.com 6e064a38-7f82-4416-9451-8d82a554b559 Model","[Facilities].[DATIMName].&amp;[Manyara Hospital - Regional Referral Hospital]")</f>
        <v>#N/A</v>
      </c>
      <c r="B201" t="e">
        <f t="shared" si="19"/>
        <v>#N/A</v>
      </c>
      <c r="C201" t="e">
        <f t="shared" si="19"/>
        <v>#N/A</v>
      </c>
      <c r="D201" t="e">
        <f t="shared" si="19"/>
        <v>#N/A</v>
      </c>
      <c r="E201" t="e">
        <f t="shared" si="19"/>
        <v>#N/A</v>
      </c>
      <c r="F201" t="e">
        <f t="shared" si="19"/>
        <v>#N/A</v>
      </c>
      <c r="G201" t="e">
        <f t="shared" si="19"/>
        <v>#N/A</v>
      </c>
      <c r="H201" t="e">
        <f t="shared" si="19"/>
        <v>#N/A</v>
      </c>
      <c r="I201" t="e">
        <f t="shared" si="19"/>
        <v>#N/A</v>
      </c>
      <c r="J201" t="e">
        <f t="shared" si="19"/>
        <v>#N/A</v>
      </c>
    </row>
    <row r="202" spans="1:10" x14ac:dyDescent="0.25">
      <c r="A202" t="e">
        <f>CUBEMEMBER("pbiazure://api.powerbi.com 6e064a38-7f82-4416-9451-8d82a554b559 Model","[Facilities].[DATIMName].&amp;[Manyoni Hospital - District Hospital]")</f>
        <v>#N/A</v>
      </c>
      <c r="B202" t="e">
        <f t="shared" si="19"/>
        <v>#N/A</v>
      </c>
      <c r="C202" t="e">
        <f t="shared" si="19"/>
        <v>#N/A</v>
      </c>
      <c r="D202" t="e">
        <f t="shared" si="19"/>
        <v>#N/A</v>
      </c>
      <c r="E202" t="e">
        <f t="shared" si="19"/>
        <v>#N/A</v>
      </c>
      <c r="F202" t="e">
        <f t="shared" si="19"/>
        <v>#N/A</v>
      </c>
      <c r="G202" t="e">
        <f t="shared" si="19"/>
        <v>#N/A</v>
      </c>
      <c r="H202" t="e">
        <f t="shared" si="19"/>
        <v>#N/A</v>
      </c>
      <c r="I202" t="e">
        <f t="shared" si="19"/>
        <v>#N/A</v>
      </c>
      <c r="J202" t="e">
        <f t="shared" si="19"/>
        <v>#N/A</v>
      </c>
    </row>
    <row r="203" spans="1:10" x14ac:dyDescent="0.25">
      <c r="A203" t="e">
        <f>CUBEMEMBER("pbiazure://api.powerbi.com 6e064a38-7f82-4416-9451-8d82a554b559 Model","[Facilities].[DATIMName].&amp;[Maore Dispensary]")</f>
        <v>#N/A</v>
      </c>
      <c r="B203" t="e">
        <f t="shared" si="19"/>
        <v>#N/A</v>
      </c>
      <c r="C203" t="e">
        <f t="shared" si="19"/>
        <v>#N/A</v>
      </c>
      <c r="D203" t="e">
        <f t="shared" si="19"/>
        <v>#N/A</v>
      </c>
      <c r="E203" t="e">
        <f t="shared" si="19"/>
        <v>#N/A</v>
      </c>
      <c r="F203" t="e">
        <f t="shared" si="19"/>
        <v>#N/A</v>
      </c>
      <c r="G203" t="e">
        <f t="shared" si="19"/>
        <v>#N/A</v>
      </c>
      <c r="H203" t="e">
        <f t="shared" si="19"/>
        <v>#N/A</v>
      </c>
      <c r="I203" t="e">
        <f t="shared" si="19"/>
        <v>#N/A</v>
      </c>
      <c r="J203" t="e">
        <f t="shared" si="19"/>
        <v>#N/A</v>
      </c>
    </row>
    <row r="204" spans="1:10" x14ac:dyDescent="0.25">
      <c r="A204" t="e">
        <f>CUBEMEMBER("pbiazure://api.powerbi.com 6e064a38-7f82-4416-9451-8d82a554b559 Model","[Facilities].[DATIMName].&amp;[Marangu Lutheran Hospital]")</f>
        <v>#N/A</v>
      </c>
      <c r="B204" t="e">
        <f t="shared" si="19"/>
        <v>#N/A</v>
      </c>
      <c r="C204" t="e">
        <f t="shared" si="19"/>
        <v>#N/A</v>
      </c>
      <c r="D204" t="e">
        <f t="shared" si="19"/>
        <v>#N/A</v>
      </c>
      <c r="E204" t="e">
        <f t="shared" si="19"/>
        <v>#N/A</v>
      </c>
      <c r="F204" t="e">
        <f t="shared" si="19"/>
        <v>#N/A</v>
      </c>
      <c r="G204" t="e">
        <f t="shared" si="19"/>
        <v>#N/A</v>
      </c>
      <c r="H204" t="e">
        <f t="shared" si="19"/>
        <v>#N/A</v>
      </c>
      <c r="I204" t="e">
        <f t="shared" si="19"/>
        <v>#N/A</v>
      </c>
      <c r="J204" t="e">
        <f t="shared" si="19"/>
        <v>#N/A</v>
      </c>
    </row>
    <row r="205" spans="1:10" x14ac:dyDescent="0.25">
      <c r="A205" t="e">
        <f>CUBEMEMBER("pbiazure://api.powerbi.com 6e064a38-7f82-4416-9451-8d82a554b559 Model","[Facilities].[DATIMName].&amp;[Maretadu Dispensary]")</f>
        <v>#N/A</v>
      </c>
      <c r="B205" t="e">
        <f t="shared" si="19"/>
        <v>#N/A</v>
      </c>
      <c r="C205" t="e">
        <f t="shared" si="19"/>
        <v>#N/A</v>
      </c>
      <c r="D205" t="e">
        <f t="shared" si="19"/>
        <v>#N/A</v>
      </c>
      <c r="E205" t="e">
        <f t="shared" si="19"/>
        <v>#N/A</v>
      </c>
      <c r="F205" t="e">
        <f t="shared" si="19"/>
        <v>#N/A</v>
      </c>
      <c r="G205" t="e">
        <f t="shared" si="19"/>
        <v>#N/A</v>
      </c>
      <c r="H205" t="e">
        <f t="shared" si="19"/>
        <v>#N/A</v>
      </c>
      <c r="I205" t="e">
        <f t="shared" si="19"/>
        <v>#N/A</v>
      </c>
      <c r="J205" t="e">
        <f t="shared" si="19"/>
        <v>#N/A</v>
      </c>
    </row>
    <row r="206" spans="1:10" x14ac:dyDescent="0.25">
      <c r="A206" t="e">
        <f>CUBEMEMBER("pbiazure://api.powerbi.com 6e064a38-7f82-4416-9451-8d82a554b559 Model","[Facilities].[DATIMName].&amp;[Mareu Health Center]")</f>
        <v>#N/A</v>
      </c>
      <c r="B206" t="e">
        <f t="shared" ref="B206:J215" si="20">CUBEVALUE("pbiazure://api.powerbi.com 6e064a38-7f82-4416-9451-8d82a554b559 Model",$B$1,$A206,B$5)</f>
        <v>#N/A</v>
      </c>
      <c r="C206" t="e">
        <f t="shared" si="20"/>
        <v>#N/A</v>
      </c>
      <c r="D206" t="e">
        <f t="shared" si="20"/>
        <v>#N/A</v>
      </c>
      <c r="E206" t="e">
        <f t="shared" si="20"/>
        <v>#N/A</v>
      </c>
      <c r="F206" t="e">
        <f t="shared" si="20"/>
        <v>#N/A</v>
      </c>
      <c r="G206" t="e">
        <f t="shared" si="20"/>
        <v>#N/A</v>
      </c>
      <c r="H206" t="e">
        <f t="shared" si="20"/>
        <v>#N/A</v>
      </c>
      <c r="I206" t="e">
        <f t="shared" si="20"/>
        <v>#N/A</v>
      </c>
      <c r="J206" t="e">
        <f t="shared" si="20"/>
        <v>#N/A</v>
      </c>
    </row>
    <row r="207" spans="1:10" x14ac:dyDescent="0.25">
      <c r="A207" t="e">
        <f>CUBEMEMBER("pbiazure://api.powerbi.com 6e064a38-7f82-4416-9451-8d82a554b559 Model","[Facilities].[DATIMName].&amp;[Masama Health Center]")</f>
        <v>#N/A</v>
      </c>
      <c r="B207" t="e">
        <f t="shared" si="20"/>
        <v>#N/A</v>
      </c>
      <c r="C207" t="e">
        <f t="shared" si="20"/>
        <v>#N/A</v>
      </c>
      <c r="D207" t="e">
        <f t="shared" si="20"/>
        <v>#N/A</v>
      </c>
      <c r="E207" t="e">
        <f t="shared" si="20"/>
        <v>#N/A</v>
      </c>
      <c r="F207" t="e">
        <f t="shared" si="20"/>
        <v>#N/A</v>
      </c>
      <c r="G207" t="e">
        <f t="shared" si="20"/>
        <v>#N/A</v>
      </c>
      <c r="H207" t="e">
        <f t="shared" si="20"/>
        <v>#N/A</v>
      </c>
      <c r="I207" t="e">
        <f t="shared" si="20"/>
        <v>#N/A</v>
      </c>
      <c r="J207" t="e">
        <f t="shared" si="20"/>
        <v>#N/A</v>
      </c>
    </row>
    <row r="208" spans="1:10" x14ac:dyDescent="0.25">
      <c r="A208" t="e">
        <f>CUBEMEMBER("pbiazure://api.powerbi.com 6e064a38-7f82-4416-9451-8d82a554b559 Model","[Facilities].[DATIMName].&amp;[Matovolwa Health Center]")</f>
        <v>#N/A</v>
      </c>
      <c r="B208" t="e">
        <f t="shared" si="20"/>
        <v>#N/A</v>
      </c>
      <c r="C208" t="e">
        <f t="shared" si="20"/>
        <v>#N/A</v>
      </c>
      <c r="D208" t="e">
        <f t="shared" si="20"/>
        <v>#N/A</v>
      </c>
      <c r="E208" t="e">
        <f t="shared" si="20"/>
        <v>#N/A</v>
      </c>
      <c r="F208" t="e">
        <f t="shared" si="20"/>
        <v>#N/A</v>
      </c>
      <c r="G208" t="e">
        <f t="shared" si="20"/>
        <v>#N/A</v>
      </c>
      <c r="H208" t="e">
        <f t="shared" si="20"/>
        <v>#N/A</v>
      </c>
      <c r="I208" t="e">
        <f t="shared" si="20"/>
        <v>#N/A</v>
      </c>
      <c r="J208" t="e">
        <f t="shared" si="20"/>
        <v>#N/A</v>
      </c>
    </row>
    <row r="209" spans="1:10" x14ac:dyDescent="0.25">
      <c r="A209" t="e">
        <f>CUBEMEMBER("pbiazure://api.powerbi.com 6e064a38-7f82-4416-9451-8d82a554b559 Model","[Facilities].[DATIMName].&amp;[Matui Azimio Dispensary]")</f>
        <v>#N/A</v>
      </c>
      <c r="B209" t="e">
        <f t="shared" si="20"/>
        <v>#N/A</v>
      </c>
      <c r="C209" t="e">
        <f t="shared" si="20"/>
        <v>#N/A</v>
      </c>
      <c r="D209" t="e">
        <f t="shared" si="20"/>
        <v>#N/A</v>
      </c>
      <c r="E209" t="e">
        <f t="shared" si="20"/>
        <v>#N/A</v>
      </c>
      <c r="F209" t="e">
        <f t="shared" si="20"/>
        <v>#N/A</v>
      </c>
      <c r="G209" t="e">
        <f t="shared" si="20"/>
        <v>#N/A</v>
      </c>
      <c r="H209" t="e">
        <f t="shared" si="20"/>
        <v>#N/A</v>
      </c>
      <c r="I209" t="e">
        <f t="shared" si="20"/>
        <v>#N/A</v>
      </c>
      <c r="J209" t="e">
        <f t="shared" si="20"/>
        <v>#N/A</v>
      </c>
    </row>
    <row r="210" spans="1:10" x14ac:dyDescent="0.25">
      <c r="A210" t="e">
        <f>CUBEMEMBER("pbiazure://api.powerbi.com 6e064a38-7f82-4416-9451-8d82a554b559 Model","[Facilities].[DATIMName].&amp;[Matumbulu Dispensary]")</f>
        <v>#N/A</v>
      </c>
      <c r="B210" t="e">
        <f t="shared" si="20"/>
        <v>#N/A</v>
      </c>
      <c r="C210" t="e">
        <f t="shared" si="20"/>
        <v>#N/A</v>
      </c>
      <c r="D210" t="e">
        <f t="shared" si="20"/>
        <v>#N/A</v>
      </c>
      <c r="E210" t="e">
        <f t="shared" si="20"/>
        <v>#N/A</v>
      </c>
      <c r="F210" t="e">
        <f t="shared" si="20"/>
        <v>#N/A</v>
      </c>
      <c r="G210" t="e">
        <f t="shared" si="20"/>
        <v>#N/A</v>
      </c>
      <c r="H210" t="e">
        <f t="shared" si="20"/>
        <v>#N/A</v>
      </c>
      <c r="I210" t="e">
        <f t="shared" si="20"/>
        <v>#N/A</v>
      </c>
      <c r="J210" t="e">
        <f t="shared" si="20"/>
        <v>#N/A</v>
      </c>
    </row>
    <row r="211" spans="1:10" x14ac:dyDescent="0.25">
      <c r="A211" t="e">
        <f>CUBEMEMBER("pbiazure://api.powerbi.com 6e064a38-7f82-4416-9451-8d82a554b559 Model","[Facilities].[DATIMName].&amp;[Mawenzi Hospital - Regional Referral Hospital]")</f>
        <v>#N/A</v>
      </c>
      <c r="B211" t="e">
        <f t="shared" si="20"/>
        <v>#N/A</v>
      </c>
      <c r="C211" t="e">
        <f t="shared" si="20"/>
        <v>#N/A</v>
      </c>
      <c r="D211" t="e">
        <f t="shared" si="20"/>
        <v>#N/A</v>
      </c>
      <c r="E211" t="e">
        <f t="shared" si="20"/>
        <v>#N/A</v>
      </c>
      <c r="F211" t="e">
        <f t="shared" si="20"/>
        <v>#N/A</v>
      </c>
      <c r="G211" t="e">
        <f t="shared" si="20"/>
        <v>#N/A</v>
      </c>
      <c r="H211" t="e">
        <f t="shared" si="20"/>
        <v>#N/A</v>
      </c>
      <c r="I211" t="e">
        <f t="shared" si="20"/>
        <v>#N/A</v>
      </c>
      <c r="J211" t="e">
        <f t="shared" si="20"/>
        <v>#N/A</v>
      </c>
    </row>
    <row r="212" spans="1:10" x14ac:dyDescent="0.25">
      <c r="A212" t="e">
        <f>CUBEMEMBER("pbiazure://api.powerbi.com 6e064a38-7f82-4416-9451-8d82a554b559 Model","[Facilities].[DATIMName].&amp;[Mbande Dispensary]")</f>
        <v>#N/A</v>
      </c>
      <c r="B212" t="e">
        <f t="shared" si="20"/>
        <v>#N/A</v>
      </c>
      <c r="C212" t="e">
        <f t="shared" si="20"/>
        <v>#N/A</v>
      </c>
      <c r="D212" t="e">
        <f t="shared" si="20"/>
        <v>#N/A</v>
      </c>
      <c r="E212" t="e">
        <f t="shared" si="20"/>
        <v>#N/A</v>
      </c>
      <c r="F212" t="e">
        <f t="shared" si="20"/>
        <v>#N/A</v>
      </c>
      <c r="G212" t="e">
        <f t="shared" si="20"/>
        <v>#N/A</v>
      </c>
      <c r="H212" t="e">
        <f t="shared" si="20"/>
        <v>#N/A</v>
      </c>
      <c r="I212" t="e">
        <f t="shared" si="20"/>
        <v>#N/A</v>
      </c>
      <c r="J212" t="e">
        <f t="shared" si="20"/>
        <v>#N/A</v>
      </c>
    </row>
    <row r="213" spans="1:10" x14ac:dyDescent="0.25">
      <c r="A213" t="e">
        <f>CUBEMEMBER("pbiazure://api.powerbi.com 6e064a38-7f82-4416-9451-8d82a554b559 Model","[Facilities].[DATIMName].&amp;[Mbori Dispensary]")</f>
        <v>#N/A</v>
      </c>
      <c r="B213" t="e">
        <f t="shared" si="20"/>
        <v>#N/A</v>
      </c>
      <c r="C213" t="e">
        <f t="shared" si="20"/>
        <v>#N/A</v>
      </c>
      <c r="D213" t="e">
        <f t="shared" si="20"/>
        <v>#N/A</v>
      </c>
      <c r="E213" t="e">
        <f t="shared" si="20"/>
        <v>#N/A</v>
      </c>
      <c r="F213" t="e">
        <f t="shared" si="20"/>
        <v>#N/A</v>
      </c>
      <c r="G213" t="e">
        <f t="shared" si="20"/>
        <v>#N/A</v>
      </c>
      <c r="H213" t="e">
        <f t="shared" si="20"/>
        <v>#N/A</v>
      </c>
      <c r="I213" t="e">
        <f t="shared" si="20"/>
        <v>#N/A</v>
      </c>
      <c r="J213" t="e">
        <f t="shared" si="20"/>
        <v>#N/A</v>
      </c>
    </row>
    <row r="214" spans="1:10" x14ac:dyDescent="0.25">
      <c r="A214" t="e">
        <f>CUBEMEMBER("pbiazure://api.powerbi.com 6e064a38-7f82-4416-9451-8d82a554b559 Model","[Facilities].[DATIMName].&amp;[Mbuguni Health Center]")</f>
        <v>#N/A</v>
      </c>
      <c r="B214" t="e">
        <f t="shared" si="20"/>
        <v>#N/A</v>
      </c>
      <c r="C214" t="e">
        <f t="shared" si="20"/>
        <v>#N/A</v>
      </c>
      <c r="D214" t="e">
        <f t="shared" si="20"/>
        <v>#N/A</v>
      </c>
      <c r="E214" t="e">
        <f t="shared" si="20"/>
        <v>#N/A</v>
      </c>
      <c r="F214" t="e">
        <f t="shared" si="20"/>
        <v>#N/A</v>
      </c>
      <c r="G214" t="e">
        <f t="shared" si="20"/>
        <v>#N/A</v>
      </c>
      <c r="H214" t="e">
        <f t="shared" si="20"/>
        <v>#N/A</v>
      </c>
      <c r="I214" t="e">
        <f t="shared" si="20"/>
        <v>#N/A</v>
      </c>
      <c r="J214" t="e">
        <f t="shared" si="20"/>
        <v>#N/A</v>
      </c>
    </row>
    <row r="215" spans="1:10" x14ac:dyDescent="0.25">
      <c r="A215" t="e">
        <f>CUBEMEMBER("pbiazure://api.powerbi.com 6e064a38-7f82-4416-9451-8d82a554b559 Model","[Facilities].[DATIMName].&amp;[Mbulu Hospital - District Hospital]")</f>
        <v>#N/A</v>
      </c>
      <c r="B215" t="e">
        <f t="shared" si="20"/>
        <v>#N/A</v>
      </c>
      <c r="C215" t="e">
        <f t="shared" si="20"/>
        <v>#N/A</v>
      </c>
      <c r="D215" t="e">
        <f t="shared" si="20"/>
        <v>#N/A</v>
      </c>
      <c r="E215" t="e">
        <f t="shared" si="20"/>
        <v>#N/A</v>
      </c>
      <c r="F215" t="e">
        <f t="shared" si="20"/>
        <v>#N/A</v>
      </c>
      <c r="G215" t="e">
        <f t="shared" si="20"/>
        <v>#N/A</v>
      </c>
      <c r="H215" t="e">
        <f t="shared" si="20"/>
        <v>#N/A</v>
      </c>
      <c r="I215" t="e">
        <f t="shared" si="20"/>
        <v>#N/A</v>
      </c>
      <c r="J215" t="e">
        <f t="shared" si="20"/>
        <v>#N/A</v>
      </c>
    </row>
    <row r="216" spans="1:10" x14ac:dyDescent="0.25">
      <c r="A216" t="e">
        <f>CUBEMEMBER("pbiazure://api.powerbi.com 6e064a38-7f82-4416-9451-8d82a554b559 Model","[Facilities].[DATIMName].&amp;[Mbuyuni Health Center]")</f>
        <v>#N/A</v>
      </c>
      <c r="B216" t="e">
        <f t="shared" ref="B216:J225" si="21">CUBEVALUE("pbiazure://api.powerbi.com 6e064a38-7f82-4416-9451-8d82a554b559 Model",$B$1,$A216,B$5)</f>
        <v>#N/A</v>
      </c>
      <c r="C216" t="e">
        <f t="shared" si="21"/>
        <v>#N/A</v>
      </c>
      <c r="D216" t="e">
        <f t="shared" si="21"/>
        <v>#N/A</v>
      </c>
      <c r="E216" t="e">
        <f t="shared" si="21"/>
        <v>#N/A</v>
      </c>
      <c r="F216" t="e">
        <f t="shared" si="21"/>
        <v>#N/A</v>
      </c>
      <c r="G216" t="e">
        <f t="shared" si="21"/>
        <v>#N/A</v>
      </c>
      <c r="H216" t="e">
        <f t="shared" si="21"/>
        <v>#N/A</v>
      </c>
      <c r="I216" t="e">
        <f t="shared" si="21"/>
        <v>#N/A</v>
      </c>
      <c r="J216" t="e">
        <f t="shared" si="21"/>
        <v>#N/A</v>
      </c>
    </row>
    <row r="217" spans="1:10" x14ac:dyDescent="0.25">
      <c r="A217" t="e">
        <f>CUBEMEMBER("pbiazure://api.powerbi.com 6e064a38-7f82-4416-9451-8d82a554b559 Model","[Facilities].[DATIMName].&amp;[Mererani RC Dispensary]")</f>
        <v>#N/A</v>
      </c>
      <c r="B217" t="e">
        <f t="shared" si="21"/>
        <v>#N/A</v>
      </c>
      <c r="C217" t="e">
        <f t="shared" si="21"/>
        <v>#N/A</v>
      </c>
      <c r="D217" t="e">
        <f t="shared" si="21"/>
        <v>#N/A</v>
      </c>
      <c r="E217" t="e">
        <f t="shared" si="21"/>
        <v>#N/A</v>
      </c>
      <c r="F217" t="e">
        <f t="shared" si="21"/>
        <v>#N/A</v>
      </c>
      <c r="G217" t="e">
        <f t="shared" si="21"/>
        <v>#N/A</v>
      </c>
      <c r="H217" t="e">
        <f t="shared" si="21"/>
        <v>#N/A</v>
      </c>
      <c r="I217" t="e">
        <f t="shared" si="21"/>
        <v>#N/A</v>
      </c>
      <c r="J217" t="e">
        <f t="shared" si="21"/>
        <v>#N/A</v>
      </c>
    </row>
    <row r="218" spans="1:10" x14ac:dyDescent="0.25">
      <c r="A218" t="e">
        <f>CUBEMEMBER("pbiazure://api.powerbi.com 6e064a38-7f82-4416-9451-8d82a554b559 Model","[Facilities].[DATIMName].&amp;[Meru Hospital - District Hospital]")</f>
        <v>#N/A</v>
      </c>
      <c r="B218" t="e">
        <f t="shared" si="21"/>
        <v>#N/A</v>
      </c>
      <c r="C218" t="e">
        <f t="shared" si="21"/>
        <v>#N/A</v>
      </c>
      <c r="D218" t="e">
        <f t="shared" si="21"/>
        <v>#N/A</v>
      </c>
      <c r="E218" t="e">
        <f t="shared" si="21"/>
        <v>#N/A</v>
      </c>
      <c r="F218" t="e">
        <f t="shared" si="21"/>
        <v>#N/A</v>
      </c>
      <c r="G218" t="e">
        <f t="shared" si="21"/>
        <v>#N/A</v>
      </c>
      <c r="H218" t="e">
        <f t="shared" si="21"/>
        <v>#N/A</v>
      </c>
      <c r="I218" t="e">
        <f t="shared" si="21"/>
        <v>#N/A</v>
      </c>
      <c r="J218" t="e">
        <f t="shared" si="21"/>
        <v>#N/A</v>
      </c>
    </row>
    <row r="219" spans="1:10" x14ac:dyDescent="0.25">
      <c r="A219" t="e">
        <f>CUBEMEMBER("pbiazure://api.powerbi.com 6e064a38-7f82-4416-9451-8d82a554b559 Model","[Facilities].[DATIMName].&amp;[Mgandu Dispensary]")</f>
        <v>#N/A</v>
      </c>
      <c r="B219" t="e">
        <f t="shared" si="21"/>
        <v>#N/A</v>
      </c>
      <c r="C219" t="e">
        <f t="shared" si="21"/>
        <v>#N/A</v>
      </c>
      <c r="D219" t="e">
        <f t="shared" si="21"/>
        <v>#N/A</v>
      </c>
      <c r="E219" t="e">
        <f t="shared" si="21"/>
        <v>#N/A</v>
      </c>
      <c r="F219" t="e">
        <f t="shared" si="21"/>
        <v>#N/A</v>
      </c>
      <c r="G219" t="e">
        <f t="shared" si="21"/>
        <v>#N/A</v>
      </c>
      <c r="H219" t="e">
        <f t="shared" si="21"/>
        <v>#N/A</v>
      </c>
      <c r="I219" t="e">
        <f t="shared" si="21"/>
        <v>#N/A</v>
      </c>
      <c r="J219" t="e">
        <f t="shared" si="21"/>
        <v>#N/A</v>
      </c>
    </row>
    <row r="220" spans="1:10" x14ac:dyDescent="0.25">
      <c r="A220" t="e">
        <f>CUBEMEMBER("pbiazure://api.powerbi.com 6e064a38-7f82-4416-9451-8d82a554b559 Model","[Facilities].[DATIMName].&amp;[Mgongo Health Center]")</f>
        <v>#N/A</v>
      </c>
      <c r="B220" t="e">
        <f t="shared" si="21"/>
        <v>#N/A</v>
      </c>
      <c r="C220" t="e">
        <f t="shared" si="21"/>
        <v>#N/A</v>
      </c>
      <c r="D220" t="e">
        <f t="shared" si="21"/>
        <v>#N/A</v>
      </c>
      <c r="E220" t="e">
        <f t="shared" si="21"/>
        <v>#N/A</v>
      </c>
      <c r="F220" t="e">
        <f t="shared" si="21"/>
        <v>#N/A</v>
      </c>
      <c r="G220" t="e">
        <f t="shared" si="21"/>
        <v>#N/A</v>
      </c>
      <c r="H220" t="e">
        <f t="shared" si="21"/>
        <v>#N/A</v>
      </c>
      <c r="I220" t="e">
        <f t="shared" si="21"/>
        <v>#N/A</v>
      </c>
      <c r="J220" t="e">
        <f t="shared" si="21"/>
        <v>#N/A</v>
      </c>
    </row>
    <row r="221" spans="1:10" x14ac:dyDescent="0.25">
      <c r="A221" t="e">
        <f>CUBEMEMBER("pbiazure://api.powerbi.com 6e064a38-7f82-4416-9451-8d82a554b559 Model","[Facilities].[DATIMName].&amp;[Mgori Health Center]")</f>
        <v>#N/A</v>
      </c>
      <c r="B221" t="e">
        <f t="shared" si="21"/>
        <v>#N/A</v>
      </c>
      <c r="C221" t="e">
        <f t="shared" si="21"/>
        <v>#N/A</v>
      </c>
      <c r="D221" t="e">
        <f t="shared" si="21"/>
        <v>#N/A</v>
      </c>
      <c r="E221" t="e">
        <f t="shared" si="21"/>
        <v>#N/A</v>
      </c>
      <c r="F221" t="e">
        <f t="shared" si="21"/>
        <v>#N/A</v>
      </c>
      <c r="G221" t="e">
        <f t="shared" si="21"/>
        <v>#N/A</v>
      </c>
      <c r="H221" t="e">
        <f t="shared" si="21"/>
        <v>#N/A</v>
      </c>
      <c r="I221" t="e">
        <f t="shared" si="21"/>
        <v>#N/A</v>
      </c>
      <c r="J221" t="e">
        <f t="shared" si="21"/>
        <v>#N/A</v>
      </c>
    </row>
    <row r="222" spans="1:10" x14ac:dyDescent="0.25">
      <c r="A222" t="e">
        <f>CUBEMEMBER("pbiazure://api.powerbi.com 6e064a38-7f82-4416-9451-8d82a554b559 Model","[Facilities].[DATIMName].&amp;[Mgungira Dispensary]")</f>
        <v>#N/A</v>
      </c>
      <c r="B222" t="e">
        <f t="shared" si="21"/>
        <v>#N/A</v>
      </c>
      <c r="C222" t="e">
        <f t="shared" si="21"/>
        <v>#N/A</v>
      </c>
      <c r="D222" t="e">
        <f t="shared" si="21"/>
        <v>#N/A</v>
      </c>
      <c r="E222" t="e">
        <f t="shared" si="21"/>
        <v>#N/A</v>
      </c>
      <c r="F222" t="e">
        <f t="shared" si="21"/>
        <v>#N/A</v>
      </c>
      <c r="G222" t="e">
        <f t="shared" si="21"/>
        <v>#N/A</v>
      </c>
      <c r="H222" t="e">
        <f t="shared" si="21"/>
        <v>#N/A</v>
      </c>
      <c r="I222" t="e">
        <f t="shared" si="21"/>
        <v>#N/A</v>
      </c>
      <c r="J222" t="e">
        <f t="shared" si="21"/>
        <v>#N/A</v>
      </c>
    </row>
    <row r="223" spans="1:10" x14ac:dyDescent="0.25">
      <c r="A223" t="e">
        <f>CUBEMEMBER("pbiazure://api.powerbi.com 6e064a38-7f82-4416-9451-8d82a554b559 Model","[Facilities].[DATIMName].&amp;[Mhintiri Dispensary]")</f>
        <v>#N/A</v>
      </c>
      <c r="B223" t="e">
        <f t="shared" si="21"/>
        <v>#N/A</v>
      </c>
      <c r="C223" t="e">
        <f t="shared" si="21"/>
        <v>#N/A</v>
      </c>
      <c r="D223" t="e">
        <f t="shared" si="21"/>
        <v>#N/A</v>
      </c>
      <c r="E223" t="e">
        <f t="shared" si="21"/>
        <v>#N/A</v>
      </c>
      <c r="F223" t="e">
        <f t="shared" si="21"/>
        <v>#N/A</v>
      </c>
      <c r="G223" t="e">
        <f t="shared" si="21"/>
        <v>#N/A</v>
      </c>
      <c r="H223" t="e">
        <f t="shared" si="21"/>
        <v>#N/A</v>
      </c>
      <c r="I223" t="e">
        <f t="shared" si="21"/>
        <v>#N/A</v>
      </c>
      <c r="J223" t="e">
        <f t="shared" si="21"/>
        <v>#N/A</v>
      </c>
    </row>
    <row r="224" spans="1:10" x14ac:dyDescent="0.25">
      <c r="A224" t="e">
        <f>CUBEMEMBER("pbiazure://api.powerbi.com 6e064a38-7f82-4416-9451-8d82a554b559 Model","[Facilities].[DATIMName].&amp;[Mima Dispensary]")</f>
        <v>#N/A</v>
      </c>
      <c r="B224" t="e">
        <f t="shared" si="21"/>
        <v>#N/A</v>
      </c>
      <c r="C224" t="e">
        <f t="shared" si="21"/>
        <v>#N/A</v>
      </c>
      <c r="D224" t="e">
        <f t="shared" si="21"/>
        <v>#N/A</v>
      </c>
      <c r="E224" t="e">
        <f t="shared" si="21"/>
        <v>#N/A</v>
      </c>
      <c r="F224" t="e">
        <f t="shared" si="21"/>
        <v>#N/A</v>
      </c>
      <c r="G224" t="e">
        <f t="shared" si="21"/>
        <v>#N/A</v>
      </c>
      <c r="H224" t="e">
        <f t="shared" si="21"/>
        <v>#N/A</v>
      </c>
      <c r="I224" t="e">
        <f t="shared" si="21"/>
        <v>#N/A</v>
      </c>
      <c r="J224" t="e">
        <f t="shared" si="21"/>
        <v>#N/A</v>
      </c>
    </row>
    <row r="225" spans="1:10" x14ac:dyDescent="0.25">
      <c r="A225" t="e">
        <f>CUBEMEMBER("pbiazure://api.powerbi.com 6e064a38-7f82-4416-9451-8d82a554b559 Model","[Facilities].[DATIMName].&amp;[Mirembe Mental Health (MMHH) Hospital - National Super Specialist Hospital]")</f>
        <v>#N/A</v>
      </c>
      <c r="B225" t="e">
        <f t="shared" si="21"/>
        <v>#N/A</v>
      </c>
      <c r="C225" t="e">
        <f t="shared" si="21"/>
        <v>#N/A</v>
      </c>
      <c r="D225" t="e">
        <f t="shared" si="21"/>
        <v>#N/A</v>
      </c>
      <c r="E225" t="e">
        <f t="shared" si="21"/>
        <v>#N/A</v>
      </c>
      <c r="F225" t="e">
        <f t="shared" si="21"/>
        <v>#N/A</v>
      </c>
      <c r="G225" t="e">
        <f t="shared" si="21"/>
        <v>#N/A</v>
      </c>
      <c r="H225" t="e">
        <f t="shared" si="21"/>
        <v>#N/A</v>
      </c>
      <c r="I225" t="e">
        <f t="shared" si="21"/>
        <v>#N/A</v>
      </c>
      <c r="J225" t="e">
        <f t="shared" si="21"/>
        <v>#N/A</v>
      </c>
    </row>
    <row r="226" spans="1:10" x14ac:dyDescent="0.25">
      <c r="A226" t="e">
        <f>CUBEMEMBER("pbiazure://api.powerbi.com 6e064a38-7f82-4416-9451-8d82a554b559 Model","[Facilities].[DATIMName].&amp;[Mirerani UHC Health Center]")</f>
        <v>#N/A</v>
      </c>
      <c r="B226" t="e">
        <f t="shared" ref="B226:J235" si="22">CUBEVALUE("pbiazure://api.powerbi.com 6e064a38-7f82-4416-9451-8d82a554b559 Model",$B$1,$A226,B$5)</f>
        <v>#N/A</v>
      </c>
      <c r="C226" t="e">
        <f t="shared" si="22"/>
        <v>#N/A</v>
      </c>
      <c r="D226" t="e">
        <f t="shared" si="22"/>
        <v>#N/A</v>
      </c>
      <c r="E226" t="e">
        <f t="shared" si="22"/>
        <v>#N/A</v>
      </c>
      <c r="F226" t="e">
        <f t="shared" si="22"/>
        <v>#N/A</v>
      </c>
      <c r="G226" t="e">
        <f t="shared" si="22"/>
        <v>#N/A</v>
      </c>
      <c r="H226" t="e">
        <f t="shared" si="22"/>
        <v>#N/A</v>
      </c>
      <c r="I226" t="e">
        <f t="shared" si="22"/>
        <v>#N/A</v>
      </c>
      <c r="J226" t="e">
        <f t="shared" si="22"/>
        <v>#N/A</v>
      </c>
    </row>
    <row r="227" spans="1:10" x14ac:dyDescent="0.25">
      <c r="A227" t="e">
        <f>CUBEMEMBER("pbiazure://api.powerbi.com 6e064a38-7f82-4416-9451-8d82a554b559 Model","[Facilities].[DATIMName].&amp;[Misigiri Dispensary]")</f>
        <v>#N/A</v>
      </c>
      <c r="B227" t="e">
        <f t="shared" si="22"/>
        <v>#N/A</v>
      </c>
      <c r="C227" t="e">
        <f t="shared" si="22"/>
        <v>#N/A</v>
      </c>
      <c r="D227" t="e">
        <f t="shared" si="22"/>
        <v>#N/A</v>
      </c>
      <c r="E227" t="e">
        <f t="shared" si="22"/>
        <v>#N/A</v>
      </c>
      <c r="F227" t="e">
        <f t="shared" si="22"/>
        <v>#N/A</v>
      </c>
      <c r="G227" t="e">
        <f t="shared" si="22"/>
        <v>#N/A</v>
      </c>
      <c r="H227" t="e">
        <f t="shared" si="22"/>
        <v>#N/A</v>
      </c>
      <c r="I227" t="e">
        <f t="shared" si="22"/>
        <v>#N/A</v>
      </c>
      <c r="J227" t="e">
        <f t="shared" si="22"/>
        <v>#N/A</v>
      </c>
    </row>
    <row r="228" spans="1:10" x14ac:dyDescent="0.25">
      <c r="A228" t="e">
        <f>CUBEMEMBER("pbiazure://api.powerbi.com 6e064a38-7f82-4416-9451-8d82a554b559 Model","[Facilities].[DATIMName].&amp;[Mitundu Health Center]")</f>
        <v>#N/A</v>
      </c>
      <c r="B228" t="e">
        <f t="shared" si="22"/>
        <v>#N/A</v>
      </c>
      <c r="C228" t="e">
        <f t="shared" si="22"/>
        <v>#N/A</v>
      </c>
      <c r="D228" t="e">
        <f t="shared" si="22"/>
        <v>#N/A</v>
      </c>
      <c r="E228" t="e">
        <f t="shared" si="22"/>
        <v>#N/A</v>
      </c>
      <c r="F228" t="e">
        <f t="shared" si="22"/>
        <v>#N/A</v>
      </c>
      <c r="G228" t="e">
        <f t="shared" si="22"/>
        <v>#N/A</v>
      </c>
      <c r="H228" t="e">
        <f t="shared" si="22"/>
        <v>#N/A</v>
      </c>
      <c r="I228" t="e">
        <f t="shared" si="22"/>
        <v>#N/A</v>
      </c>
      <c r="J228" t="e">
        <f t="shared" si="22"/>
        <v>#N/A</v>
      </c>
    </row>
    <row r="229" spans="1:10" x14ac:dyDescent="0.25">
      <c r="A229" t="e">
        <f>CUBEMEMBER("pbiazure://api.powerbi.com 6e064a38-7f82-4416-9451-8d82a554b559 Model","[Facilities].[DATIMName].&amp;[Mitundu RC Mision Dispensary]")</f>
        <v>#N/A</v>
      </c>
      <c r="B229" t="e">
        <f t="shared" si="22"/>
        <v>#N/A</v>
      </c>
      <c r="C229" t="e">
        <f t="shared" si="22"/>
        <v>#N/A</v>
      </c>
      <c r="D229" t="e">
        <f t="shared" si="22"/>
        <v>#N/A</v>
      </c>
      <c r="E229" t="e">
        <f t="shared" si="22"/>
        <v>#N/A</v>
      </c>
      <c r="F229" t="e">
        <f t="shared" si="22"/>
        <v>#N/A</v>
      </c>
      <c r="G229" t="e">
        <f t="shared" si="22"/>
        <v>#N/A</v>
      </c>
      <c r="H229" t="e">
        <f t="shared" si="22"/>
        <v>#N/A</v>
      </c>
      <c r="I229" t="e">
        <f t="shared" si="22"/>
        <v>#N/A</v>
      </c>
      <c r="J229" t="e">
        <f t="shared" si="22"/>
        <v>#N/A</v>
      </c>
    </row>
    <row r="230" spans="1:10" x14ac:dyDescent="0.25">
      <c r="A230" t="e">
        <f>CUBEMEMBER("pbiazure://api.powerbi.com 6e064a38-7f82-4416-9451-8d82a554b559 Model","[Facilities].[DATIMName].&amp;[Mkalama Health Center]")</f>
        <v>#N/A</v>
      </c>
      <c r="B230" t="e">
        <f t="shared" si="22"/>
        <v>#N/A</v>
      </c>
      <c r="C230" t="e">
        <f t="shared" si="22"/>
        <v>#N/A</v>
      </c>
      <c r="D230" t="e">
        <f t="shared" si="22"/>
        <v>#N/A</v>
      </c>
      <c r="E230" t="e">
        <f t="shared" si="22"/>
        <v>#N/A</v>
      </c>
      <c r="F230" t="e">
        <f t="shared" si="22"/>
        <v>#N/A</v>
      </c>
      <c r="G230" t="e">
        <f t="shared" si="22"/>
        <v>#N/A</v>
      </c>
      <c r="H230" t="e">
        <f t="shared" si="22"/>
        <v>#N/A</v>
      </c>
      <c r="I230" t="e">
        <f t="shared" si="22"/>
        <v>#N/A</v>
      </c>
      <c r="J230" t="e">
        <f t="shared" si="22"/>
        <v>#N/A</v>
      </c>
    </row>
    <row r="231" spans="1:10" x14ac:dyDescent="0.25">
      <c r="A231" t="e">
        <f>CUBEMEMBER("pbiazure://api.powerbi.com 6e064a38-7f82-4416-9451-8d82a554b559 Model","[Facilities].[DATIMName].&amp;[Mkoka Health Centre]")</f>
        <v>#N/A</v>
      </c>
      <c r="B231" t="e">
        <f t="shared" si="22"/>
        <v>#N/A</v>
      </c>
      <c r="C231" t="e">
        <f t="shared" si="22"/>
        <v>#N/A</v>
      </c>
      <c r="D231" t="e">
        <f t="shared" si="22"/>
        <v>#N/A</v>
      </c>
      <c r="E231" t="e">
        <f t="shared" si="22"/>
        <v>#N/A</v>
      </c>
      <c r="F231" t="e">
        <f t="shared" si="22"/>
        <v>#N/A</v>
      </c>
      <c r="G231" t="e">
        <f t="shared" si="22"/>
        <v>#N/A</v>
      </c>
      <c r="H231" t="e">
        <f t="shared" si="22"/>
        <v>#N/A</v>
      </c>
      <c r="I231" t="e">
        <f t="shared" si="22"/>
        <v>#N/A</v>
      </c>
      <c r="J231" t="e">
        <f t="shared" si="22"/>
        <v>#N/A</v>
      </c>
    </row>
    <row r="232" spans="1:10" x14ac:dyDescent="0.25">
      <c r="A232" t="e">
        <f>CUBEMEMBER("pbiazure://api.powerbi.com 6e064a38-7f82-4416-9451-8d82a554b559 Model","[Facilities].[DATIMName].&amp;[Mkonoo Health Center]")</f>
        <v>#N/A</v>
      </c>
      <c r="B232" t="e">
        <f t="shared" si="22"/>
        <v>#N/A</v>
      </c>
      <c r="C232" t="e">
        <f t="shared" si="22"/>
        <v>#N/A</v>
      </c>
      <c r="D232" t="e">
        <f t="shared" si="22"/>
        <v>#N/A</v>
      </c>
      <c r="E232" t="e">
        <f t="shared" si="22"/>
        <v>#N/A</v>
      </c>
      <c r="F232" t="e">
        <f t="shared" si="22"/>
        <v>#N/A</v>
      </c>
      <c r="G232" t="e">
        <f t="shared" si="22"/>
        <v>#N/A</v>
      </c>
      <c r="H232" t="e">
        <f t="shared" si="22"/>
        <v>#N/A</v>
      </c>
      <c r="I232" t="e">
        <f t="shared" si="22"/>
        <v>#N/A</v>
      </c>
      <c r="J232" t="e">
        <f t="shared" si="22"/>
        <v>#N/A</v>
      </c>
    </row>
    <row r="233" spans="1:10" x14ac:dyDescent="0.25">
      <c r="A233" t="e">
        <f>CUBEMEMBER("pbiazure://api.powerbi.com 6e064a38-7f82-4416-9451-8d82a554b559 Model","[Facilities].[DATIMName].&amp;[Mkonze Health Center]")</f>
        <v>#N/A</v>
      </c>
      <c r="B233" t="e">
        <f t="shared" si="22"/>
        <v>#N/A</v>
      </c>
      <c r="C233" t="e">
        <f t="shared" si="22"/>
        <v>#N/A</v>
      </c>
      <c r="D233" t="e">
        <f t="shared" si="22"/>
        <v>#N/A</v>
      </c>
      <c r="E233" t="e">
        <f t="shared" si="22"/>
        <v>#N/A</v>
      </c>
      <c r="F233" t="e">
        <f t="shared" si="22"/>
        <v>#N/A</v>
      </c>
      <c r="G233" t="e">
        <f t="shared" si="22"/>
        <v>#N/A</v>
      </c>
      <c r="H233" t="e">
        <f t="shared" si="22"/>
        <v>#N/A</v>
      </c>
      <c r="I233" t="e">
        <f t="shared" si="22"/>
        <v>#N/A</v>
      </c>
      <c r="J233" t="e">
        <f t="shared" si="22"/>
        <v>#N/A</v>
      </c>
    </row>
    <row r="234" spans="1:10" x14ac:dyDescent="0.25">
      <c r="A234" t="e">
        <f>CUBEMEMBER("pbiazure://api.powerbi.com 6e064a38-7f82-4416-9451-8d82a554b559 Model","[Facilities].[DATIMName].&amp;[Mlali Health Center]")</f>
        <v>#N/A</v>
      </c>
      <c r="B234" t="e">
        <f t="shared" si="22"/>
        <v>#N/A</v>
      </c>
      <c r="C234" t="e">
        <f t="shared" si="22"/>
        <v>#N/A</v>
      </c>
      <c r="D234" t="e">
        <f t="shared" si="22"/>
        <v>#N/A</v>
      </c>
      <c r="E234" t="e">
        <f t="shared" si="22"/>
        <v>#N/A</v>
      </c>
      <c r="F234" t="e">
        <f t="shared" si="22"/>
        <v>#N/A</v>
      </c>
      <c r="G234" t="e">
        <f t="shared" si="22"/>
        <v>#N/A</v>
      </c>
      <c r="H234" t="e">
        <f t="shared" si="22"/>
        <v>#N/A</v>
      </c>
      <c r="I234" t="e">
        <f t="shared" si="22"/>
        <v>#N/A</v>
      </c>
      <c r="J234" t="e">
        <f t="shared" si="22"/>
        <v>#N/A</v>
      </c>
    </row>
    <row r="235" spans="1:10" x14ac:dyDescent="0.25">
      <c r="A235" t="e">
        <f>CUBEMEMBER("pbiazure://api.powerbi.com 6e064a38-7f82-4416-9451-8d82a554b559 Model","[Facilities].[DATIMName].&amp;[Mlowa Barabarani Health Center]")</f>
        <v>#N/A</v>
      </c>
      <c r="B235" t="e">
        <f t="shared" si="22"/>
        <v>#N/A</v>
      </c>
      <c r="C235" t="e">
        <f t="shared" si="22"/>
        <v>#N/A</v>
      </c>
      <c r="D235" t="e">
        <f t="shared" si="22"/>
        <v>#N/A</v>
      </c>
      <c r="E235" t="e">
        <f t="shared" si="22"/>
        <v>#N/A</v>
      </c>
      <c r="F235" t="e">
        <f t="shared" si="22"/>
        <v>#N/A</v>
      </c>
      <c r="G235" t="e">
        <f t="shared" si="22"/>
        <v>#N/A</v>
      </c>
      <c r="H235" t="e">
        <f t="shared" si="22"/>
        <v>#N/A</v>
      </c>
      <c r="I235" t="e">
        <f t="shared" si="22"/>
        <v>#N/A</v>
      </c>
      <c r="J235" t="e">
        <f t="shared" si="22"/>
        <v>#N/A</v>
      </c>
    </row>
    <row r="236" spans="1:10" x14ac:dyDescent="0.25">
      <c r="A236" t="e">
        <f>CUBEMEMBER("pbiazure://api.powerbi.com 6e064a38-7f82-4416-9451-8d82a554b559 Model","[Facilities].[DATIMName].&amp;[Mnenia Health Center]")</f>
        <v>#N/A</v>
      </c>
      <c r="B236" t="e">
        <f t="shared" ref="B236:J245" si="23">CUBEVALUE("pbiazure://api.powerbi.com 6e064a38-7f82-4416-9451-8d82a554b559 Model",$B$1,$A236,B$5)</f>
        <v>#N/A</v>
      </c>
      <c r="C236" t="e">
        <f t="shared" si="23"/>
        <v>#N/A</v>
      </c>
      <c r="D236" t="e">
        <f t="shared" si="23"/>
        <v>#N/A</v>
      </c>
      <c r="E236" t="e">
        <f t="shared" si="23"/>
        <v>#N/A</v>
      </c>
      <c r="F236" t="e">
        <f t="shared" si="23"/>
        <v>#N/A</v>
      </c>
      <c r="G236" t="e">
        <f t="shared" si="23"/>
        <v>#N/A</v>
      </c>
      <c r="H236" t="e">
        <f t="shared" si="23"/>
        <v>#N/A</v>
      </c>
      <c r="I236" t="e">
        <f t="shared" si="23"/>
        <v>#N/A</v>
      </c>
      <c r="J236" t="e">
        <f t="shared" si="23"/>
        <v>#N/A</v>
      </c>
    </row>
    <row r="237" spans="1:10" x14ac:dyDescent="0.25">
      <c r="A237" t="e">
        <f>CUBEMEMBER("pbiazure://api.powerbi.com 6e064a38-7f82-4416-9451-8d82a554b559 Model","[Facilities].[DATIMName].&amp;[Moivo Dispensary]")</f>
        <v>#N/A</v>
      </c>
      <c r="B237" t="e">
        <f t="shared" si="23"/>
        <v>#N/A</v>
      </c>
      <c r="C237" t="e">
        <f t="shared" si="23"/>
        <v>#N/A</v>
      </c>
      <c r="D237" t="e">
        <f t="shared" si="23"/>
        <v>#N/A</v>
      </c>
      <c r="E237" t="e">
        <f t="shared" si="23"/>
        <v>#N/A</v>
      </c>
      <c r="F237" t="e">
        <f t="shared" si="23"/>
        <v>#N/A</v>
      </c>
      <c r="G237" t="e">
        <f t="shared" si="23"/>
        <v>#N/A</v>
      </c>
      <c r="H237" t="e">
        <f t="shared" si="23"/>
        <v>#N/A</v>
      </c>
      <c r="I237" t="e">
        <f t="shared" si="23"/>
        <v>#N/A</v>
      </c>
      <c r="J237" t="e">
        <f t="shared" si="23"/>
        <v>#N/A</v>
      </c>
    </row>
    <row r="238" spans="1:10" x14ac:dyDescent="0.25">
      <c r="A238" t="e">
        <f>CUBEMEMBER("pbiazure://api.powerbi.com 6e064a38-7f82-4416-9451-8d82a554b559 Model","[Facilities].[DATIMName].&amp;[Mondo Dispensary]")</f>
        <v>#N/A</v>
      </c>
      <c r="B238" t="e">
        <f t="shared" si="23"/>
        <v>#N/A</v>
      </c>
      <c r="C238" t="e">
        <f t="shared" si="23"/>
        <v>#N/A</v>
      </c>
      <c r="D238" t="e">
        <f t="shared" si="23"/>
        <v>#N/A</v>
      </c>
      <c r="E238" t="e">
        <f t="shared" si="23"/>
        <v>#N/A</v>
      </c>
      <c r="F238" t="e">
        <f t="shared" si="23"/>
        <v>#N/A</v>
      </c>
      <c r="G238" t="e">
        <f t="shared" si="23"/>
        <v>#N/A</v>
      </c>
      <c r="H238" t="e">
        <f t="shared" si="23"/>
        <v>#N/A</v>
      </c>
      <c r="I238" t="e">
        <f t="shared" si="23"/>
        <v>#N/A</v>
      </c>
      <c r="J238" t="e">
        <f t="shared" si="23"/>
        <v>#N/A</v>
      </c>
    </row>
    <row r="239" spans="1:10" x14ac:dyDescent="0.25">
      <c r="A239" t="e">
        <f>CUBEMEMBER("pbiazure://api.powerbi.com 6e064a38-7f82-4416-9451-8d82a554b559 Model","[Facilities].[DATIMName].&amp;[Monduli Hospital - District Hospital]")</f>
        <v>#N/A</v>
      </c>
      <c r="B239" t="e">
        <f t="shared" si="23"/>
        <v>#N/A</v>
      </c>
      <c r="C239" t="e">
        <f t="shared" si="23"/>
        <v>#N/A</v>
      </c>
      <c r="D239" t="e">
        <f t="shared" si="23"/>
        <v>#N/A</v>
      </c>
      <c r="E239" t="e">
        <f t="shared" si="23"/>
        <v>#N/A</v>
      </c>
      <c r="F239" t="e">
        <f t="shared" si="23"/>
        <v>#N/A</v>
      </c>
      <c r="G239" t="e">
        <f t="shared" si="23"/>
        <v>#N/A</v>
      </c>
      <c r="H239" t="e">
        <f t="shared" si="23"/>
        <v>#N/A</v>
      </c>
      <c r="I239" t="e">
        <f t="shared" si="23"/>
        <v>#N/A</v>
      </c>
      <c r="J239" t="e">
        <f t="shared" si="23"/>
        <v>#N/A</v>
      </c>
    </row>
    <row r="240" spans="1:10" x14ac:dyDescent="0.25">
      <c r="A240" t="e">
        <f>CUBEMEMBER("pbiazure://api.powerbi.com 6e064a38-7f82-4416-9451-8d82a554b559 Model","[Facilities].[DATIMName].&amp;[Moshes Health Center]")</f>
        <v>#N/A</v>
      </c>
      <c r="B240" t="e">
        <f t="shared" si="23"/>
        <v>#N/A</v>
      </c>
      <c r="C240" t="e">
        <f t="shared" si="23"/>
        <v>#N/A</v>
      </c>
      <c r="D240" t="e">
        <f t="shared" si="23"/>
        <v>#N/A</v>
      </c>
      <c r="E240" t="e">
        <f t="shared" si="23"/>
        <v>#N/A</v>
      </c>
      <c r="F240" t="e">
        <f t="shared" si="23"/>
        <v>#N/A</v>
      </c>
      <c r="G240" t="e">
        <f t="shared" si="23"/>
        <v>#N/A</v>
      </c>
      <c r="H240" t="e">
        <f t="shared" si="23"/>
        <v>#N/A</v>
      </c>
      <c r="I240" t="e">
        <f t="shared" si="23"/>
        <v>#N/A</v>
      </c>
      <c r="J240" t="e">
        <f t="shared" si="23"/>
        <v>#N/A</v>
      </c>
    </row>
    <row r="241" spans="1:10" x14ac:dyDescent="0.25">
      <c r="A241" t="e">
        <f>CUBEMEMBER("pbiazure://api.powerbi.com 6e064a38-7f82-4416-9451-8d82a554b559 Model","[Facilities].[DATIMName].&amp;[Moyo wa Yesu na Maria Dispensary]")</f>
        <v>#N/A</v>
      </c>
      <c r="B241" t="e">
        <f t="shared" si="23"/>
        <v>#N/A</v>
      </c>
      <c r="C241" t="e">
        <f t="shared" si="23"/>
        <v>#N/A</v>
      </c>
      <c r="D241" t="e">
        <f t="shared" si="23"/>
        <v>#N/A</v>
      </c>
      <c r="E241" t="e">
        <f t="shared" si="23"/>
        <v>#N/A</v>
      </c>
      <c r="F241" t="e">
        <f t="shared" si="23"/>
        <v>#N/A</v>
      </c>
      <c r="G241" t="e">
        <f t="shared" si="23"/>
        <v>#N/A</v>
      </c>
      <c r="H241" t="e">
        <f t="shared" si="23"/>
        <v>#N/A</v>
      </c>
      <c r="I241" t="e">
        <f t="shared" si="23"/>
        <v>#N/A</v>
      </c>
      <c r="J241" t="e">
        <f t="shared" si="23"/>
        <v>#N/A</v>
      </c>
    </row>
    <row r="242" spans="1:10" x14ac:dyDescent="0.25">
      <c r="A242" t="e">
        <f>CUBEMEMBER("pbiazure://api.powerbi.com 6e064a38-7f82-4416-9451-8d82a554b559 Model","[Facilities].[DATIMName].&amp;[Mpalanga Dispensary]")</f>
        <v>#N/A</v>
      </c>
      <c r="B242" t="e">
        <f t="shared" si="23"/>
        <v>#N/A</v>
      </c>
      <c r="C242" t="e">
        <f t="shared" si="23"/>
        <v>#N/A</v>
      </c>
      <c r="D242" t="e">
        <f t="shared" si="23"/>
        <v>#N/A</v>
      </c>
      <c r="E242" t="e">
        <f t="shared" si="23"/>
        <v>#N/A</v>
      </c>
      <c r="F242" t="e">
        <f t="shared" si="23"/>
        <v>#N/A</v>
      </c>
      <c r="G242" t="e">
        <f t="shared" si="23"/>
        <v>#N/A</v>
      </c>
      <c r="H242" t="e">
        <f t="shared" si="23"/>
        <v>#N/A</v>
      </c>
      <c r="I242" t="e">
        <f t="shared" si="23"/>
        <v>#N/A</v>
      </c>
      <c r="J242" t="e">
        <f t="shared" si="23"/>
        <v>#N/A</v>
      </c>
    </row>
    <row r="243" spans="1:10" x14ac:dyDescent="0.25">
      <c r="A243" t="e">
        <f>CUBEMEMBER("pbiazure://api.powerbi.com 6e064a38-7f82-4416-9451-8d82a554b559 Model","[Facilities].[DATIMName].&amp;[Mpamatwa Dispensary]")</f>
        <v>#N/A</v>
      </c>
      <c r="B243" t="e">
        <f t="shared" si="23"/>
        <v>#N/A</v>
      </c>
      <c r="C243" t="e">
        <f t="shared" si="23"/>
        <v>#N/A</v>
      </c>
      <c r="D243" t="e">
        <f t="shared" si="23"/>
        <v>#N/A</v>
      </c>
      <c r="E243" t="e">
        <f t="shared" si="23"/>
        <v>#N/A</v>
      </c>
      <c r="F243" t="e">
        <f t="shared" si="23"/>
        <v>#N/A</v>
      </c>
      <c r="G243" t="e">
        <f t="shared" si="23"/>
        <v>#N/A</v>
      </c>
      <c r="H243" t="e">
        <f t="shared" si="23"/>
        <v>#N/A</v>
      </c>
      <c r="I243" t="e">
        <f t="shared" si="23"/>
        <v>#N/A</v>
      </c>
      <c r="J243" t="e">
        <f t="shared" si="23"/>
        <v>#N/A</v>
      </c>
    </row>
    <row r="244" spans="1:10" x14ac:dyDescent="0.25">
      <c r="A244" t="e">
        <f>CUBEMEMBER("pbiazure://api.powerbi.com 6e064a38-7f82-4416-9451-8d82a554b559 Model","[Facilities].[DATIMName].&amp;[Mpunguzi Dispensary]")</f>
        <v>#N/A</v>
      </c>
      <c r="B244" t="e">
        <f t="shared" si="23"/>
        <v>#N/A</v>
      </c>
      <c r="C244" t="e">
        <f t="shared" si="23"/>
        <v>#N/A</v>
      </c>
      <c r="D244" t="e">
        <f t="shared" si="23"/>
        <v>#N/A</v>
      </c>
      <c r="E244" t="e">
        <f t="shared" si="23"/>
        <v>#N/A</v>
      </c>
      <c r="F244" t="e">
        <f t="shared" si="23"/>
        <v>#N/A</v>
      </c>
      <c r="G244" t="e">
        <f t="shared" si="23"/>
        <v>#N/A</v>
      </c>
      <c r="H244" t="e">
        <f t="shared" si="23"/>
        <v>#N/A</v>
      </c>
      <c r="I244" t="e">
        <f t="shared" si="23"/>
        <v>#N/A</v>
      </c>
      <c r="J244" t="e">
        <f t="shared" si="23"/>
        <v>#N/A</v>
      </c>
    </row>
    <row r="245" spans="1:10" x14ac:dyDescent="0.25">
      <c r="A245" t="e">
        <f>CUBEMEMBER("pbiazure://api.powerbi.com 6e064a38-7f82-4416-9451-8d82a554b559 Model","[Facilities].[DATIMName].&amp;[Mpwapwa Hospital - District Hospital]")</f>
        <v>#N/A</v>
      </c>
      <c r="B245" t="e">
        <f t="shared" si="23"/>
        <v>#N/A</v>
      </c>
      <c r="C245" t="e">
        <f t="shared" si="23"/>
        <v>#N/A</v>
      </c>
      <c r="D245" t="e">
        <f t="shared" si="23"/>
        <v>#N/A</v>
      </c>
      <c r="E245" t="e">
        <f t="shared" si="23"/>
        <v>#N/A</v>
      </c>
      <c r="F245" t="e">
        <f t="shared" si="23"/>
        <v>#N/A</v>
      </c>
      <c r="G245" t="e">
        <f t="shared" si="23"/>
        <v>#N/A</v>
      </c>
      <c r="H245" t="e">
        <f t="shared" si="23"/>
        <v>#N/A</v>
      </c>
      <c r="I245" t="e">
        <f t="shared" si="23"/>
        <v>#N/A</v>
      </c>
      <c r="J245" t="e">
        <f t="shared" si="23"/>
        <v>#N/A</v>
      </c>
    </row>
    <row r="246" spans="1:10" x14ac:dyDescent="0.25">
      <c r="A246" t="e">
        <f>CUBEMEMBER("pbiazure://api.powerbi.com 6e064a38-7f82-4416-9451-8d82a554b559 Model","[Facilities].[DATIMName].&amp;[Mpwayungu Health Center]")</f>
        <v>#N/A</v>
      </c>
      <c r="B246" t="e">
        <f t="shared" ref="B246:J255" si="24">CUBEVALUE("pbiazure://api.powerbi.com 6e064a38-7f82-4416-9451-8d82a554b559 Model",$B$1,$A246,B$5)</f>
        <v>#N/A</v>
      </c>
      <c r="C246" t="e">
        <f t="shared" si="24"/>
        <v>#N/A</v>
      </c>
      <c r="D246" t="e">
        <f t="shared" si="24"/>
        <v>#N/A</v>
      </c>
      <c r="E246" t="e">
        <f t="shared" si="24"/>
        <v>#N/A</v>
      </c>
      <c r="F246" t="e">
        <f t="shared" si="24"/>
        <v>#N/A</v>
      </c>
      <c r="G246" t="e">
        <f t="shared" si="24"/>
        <v>#N/A</v>
      </c>
      <c r="H246" t="e">
        <f t="shared" si="24"/>
        <v>#N/A</v>
      </c>
      <c r="I246" t="e">
        <f t="shared" si="24"/>
        <v>#N/A</v>
      </c>
      <c r="J246" t="e">
        <f t="shared" si="24"/>
        <v>#N/A</v>
      </c>
    </row>
    <row r="247" spans="1:10" x14ac:dyDescent="0.25">
      <c r="A247" t="e">
        <f>CUBEMEMBER("pbiazure://api.powerbi.com 6e064a38-7f82-4416-9451-8d82a554b559 Model","[Facilities].[DATIMName].&amp;[Mrijo Health Center]")</f>
        <v>#N/A</v>
      </c>
      <c r="B247" t="e">
        <f t="shared" si="24"/>
        <v>#N/A</v>
      </c>
      <c r="C247" t="e">
        <f t="shared" si="24"/>
        <v>#N/A</v>
      </c>
      <c r="D247" t="e">
        <f t="shared" si="24"/>
        <v>#N/A</v>
      </c>
      <c r="E247" t="e">
        <f t="shared" si="24"/>
        <v>#N/A</v>
      </c>
      <c r="F247" t="e">
        <f t="shared" si="24"/>
        <v>#N/A</v>
      </c>
      <c r="G247" t="e">
        <f t="shared" si="24"/>
        <v>#N/A</v>
      </c>
      <c r="H247" t="e">
        <f t="shared" si="24"/>
        <v>#N/A</v>
      </c>
      <c r="I247" t="e">
        <f t="shared" si="24"/>
        <v>#N/A</v>
      </c>
      <c r="J247" t="e">
        <f t="shared" si="24"/>
        <v>#N/A</v>
      </c>
    </row>
    <row r="248" spans="1:10" x14ac:dyDescent="0.25">
      <c r="A248" t="e">
        <f>CUBEMEMBER("pbiazure://api.powerbi.com 6e064a38-7f82-4416-9451-8d82a554b559 Model","[Facilities].[DATIMName].&amp;[Msaranga Dispensary]")</f>
        <v>#N/A</v>
      </c>
      <c r="B248" t="e">
        <f t="shared" si="24"/>
        <v>#N/A</v>
      </c>
      <c r="C248" t="e">
        <f t="shared" si="24"/>
        <v>#N/A</v>
      </c>
      <c r="D248" t="e">
        <f t="shared" si="24"/>
        <v>#N/A</v>
      </c>
      <c r="E248" t="e">
        <f t="shared" si="24"/>
        <v>#N/A</v>
      </c>
      <c r="F248" t="e">
        <f t="shared" si="24"/>
        <v>#N/A</v>
      </c>
      <c r="G248" t="e">
        <f t="shared" si="24"/>
        <v>#N/A</v>
      </c>
      <c r="H248" t="e">
        <f t="shared" si="24"/>
        <v>#N/A</v>
      </c>
      <c r="I248" t="e">
        <f t="shared" si="24"/>
        <v>#N/A</v>
      </c>
      <c r="J248" t="e">
        <f t="shared" si="24"/>
        <v>#N/A</v>
      </c>
    </row>
    <row r="249" spans="1:10" x14ac:dyDescent="0.25">
      <c r="A249" t="e">
        <f>CUBEMEMBER("pbiazure://api.powerbi.com 6e064a38-7f82-4416-9451-8d82a554b559 Model","[Facilities].[DATIMName].&amp;[Msitu wa Tembo Dispensary]")</f>
        <v>#N/A</v>
      </c>
      <c r="B249" t="e">
        <f t="shared" si="24"/>
        <v>#N/A</v>
      </c>
      <c r="C249" t="e">
        <f t="shared" si="24"/>
        <v>#N/A</v>
      </c>
      <c r="D249" t="e">
        <f t="shared" si="24"/>
        <v>#N/A</v>
      </c>
      <c r="E249" t="e">
        <f t="shared" si="24"/>
        <v>#N/A</v>
      </c>
      <c r="F249" t="e">
        <f t="shared" si="24"/>
        <v>#N/A</v>
      </c>
      <c r="G249" t="e">
        <f t="shared" si="24"/>
        <v>#N/A</v>
      </c>
      <c r="H249" t="e">
        <f t="shared" si="24"/>
        <v>#N/A</v>
      </c>
      <c r="I249" t="e">
        <f t="shared" si="24"/>
        <v>#N/A</v>
      </c>
      <c r="J249" t="e">
        <f t="shared" si="24"/>
        <v>#N/A</v>
      </c>
    </row>
    <row r="250" spans="1:10" x14ac:dyDescent="0.25">
      <c r="A250" t="e">
        <f>CUBEMEMBER("pbiazure://api.powerbi.com 6e064a38-7f82-4416-9451-8d82a554b559 Model","[Facilities].[DATIMName].&amp;[Msosa Dispensary]")</f>
        <v>#N/A</v>
      </c>
      <c r="B250" t="e">
        <f t="shared" si="24"/>
        <v>#N/A</v>
      </c>
      <c r="C250" t="e">
        <f t="shared" si="24"/>
        <v>#N/A</v>
      </c>
      <c r="D250" t="e">
        <f t="shared" si="24"/>
        <v>#N/A</v>
      </c>
      <c r="E250" t="e">
        <f t="shared" si="24"/>
        <v>#N/A</v>
      </c>
      <c r="F250" t="e">
        <f t="shared" si="24"/>
        <v>#N/A</v>
      </c>
      <c r="G250" t="e">
        <f t="shared" si="24"/>
        <v>#N/A</v>
      </c>
      <c r="H250" t="e">
        <f t="shared" si="24"/>
        <v>#N/A</v>
      </c>
      <c r="I250" t="e">
        <f t="shared" si="24"/>
        <v>#N/A</v>
      </c>
      <c r="J250" t="e">
        <f t="shared" si="24"/>
        <v>#N/A</v>
      </c>
    </row>
    <row r="251" spans="1:10" x14ac:dyDescent="0.25">
      <c r="A251" t="e">
        <f>CUBEMEMBER("pbiazure://api.powerbi.com 6e064a38-7f82-4416-9451-8d82a554b559 Model","[Facilities].[DATIMName].&amp;[Mt. Meru Hospital - Regional Referral Hospital]")</f>
        <v>#N/A</v>
      </c>
      <c r="B251" t="e">
        <f t="shared" si="24"/>
        <v>#N/A</v>
      </c>
      <c r="C251" t="e">
        <f t="shared" si="24"/>
        <v>#N/A</v>
      </c>
      <c r="D251" t="e">
        <f t="shared" si="24"/>
        <v>#N/A</v>
      </c>
      <c r="E251" t="e">
        <f t="shared" si="24"/>
        <v>#N/A</v>
      </c>
      <c r="F251" t="e">
        <f t="shared" si="24"/>
        <v>#N/A</v>
      </c>
      <c r="G251" t="e">
        <f t="shared" si="24"/>
        <v>#N/A</v>
      </c>
      <c r="H251" t="e">
        <f t="shared" si="24"/>
        <v>#N/A</v>
      </c>
      <c r="I251" t="e">
        <f t="shared" si="24"/>
        <v>#N/A</v>
      </c>
      <c r="J251" t="e">
        <f t="shared" si="24"/>
        <v>#N/A</v>
      </c>
    </row>
    <row r="252" spans="1:10" x14ac:dyDescent="0.25">
      <c r="A252" t="e">
        <f>CUBEMEMBER("pbiazure://api.powerbi.com 6e064a38-7f82-4416-9451-8d82a554b559 Model","[Facilities].[DATIMName].&amp;[Mtakuja Dispensary]")</f>
        <v>#N/A</v>
      </c>
      <c r="B252" t="e">
        <f t="shared" si="24"/>
        <v>#N/A</v>
      </c>
      <c r="C252" t="e">
        <f t="shared" si="24"/>
        <v>#N/A</v>
      </c>
      <c r="D252" t="e">
        <f t="shared" si="24"/>
        <v>#N/A</v>
      </c>
      <c r="E252" t="e">
        <f t="shared" si="24"/>
        <v>#N/A</v>
      </c>
      <c r="F252" t="e">
        <f t="shared" si="24"/>
        <v>#N/A</v>
      </c>
      <c r="G252" t="e">
        <f t="shared" si="24"/>
        <v>#N/A</v>
      </c>
      <c r="H252" t="e">
        <f t="shared" si="24"/>
        <v>#N/A</v>
      </c>
      <c r="I252" t="e">
        <f t="shared" si="24"/>
        <v>#N/A</v>
      </c>
      <c r="J252" t="e">
        <f t="shared" si="24"/>
        <v>#N/A</v>
      </c>
    </row>
    <row r="253" spans="1:10" x14ac:dyDescent="0.25">
      <c r="A253" t="e">
        <f>CUBEMEMBER("pbiazure://api.powerbi.com 6e064a38-7f82-4416-9451-8d82a554b559 Model","[Facilities].[DATIMName].&amp;[Mtanana A Dispensary]")</f>
        <v>#N/A</v>
      </c>
      <c r="B253" t="e">
        <f t="shared" si="24"/>
        <v>#N/A</v>
      </c>
      <c r="C253" t="e">
        <f t="shared" si="24"/>
        <v>#N/A</v>
      </c>
      <c r="D253" t="e">
        <f t="shared" si="24"/>
        <v>#N/A</v>
      </c>
      <c r="E253" t="e">
        <f t="shared" si="24"/>
        <v>#N/A</v>
      </c>
      <c r="F253" t="e">
        <f t="shared" si="24"/>
        <v>#N/A</v>
      </c>
      <c r="G253" t="e">
        <f t="shared" si="24"/>
        <v>#N/A</v>
      </c>
      <c r="H253" t="e">
        <f t="shared" si="24"/>
        <v>#N/A</v>
      </c>
      <c r="I253" t="e">
        <f t="shared" si="24"/>
        <v>#N/A</v>
      </c>
      <c r="J253" t="e">
        <f t="shared" si="24"/>
        <v>#N/A</v>
      </c>
    </row>
    <row r="254" spans="1:10" x14ac:dyDescent="0.25">
      <c r="A254" t="e">
        <f>CUBEMEMBER("pbiazure://api.powerbi.com 6e064a38-7f82-4416-9451-8d82a554b559 Model","[Facilities].[DATIMName].&amp;[Mtitaa Health Center]")</f>
        <v>#N/A</v>
      </c>
      <c r="B254" t="e">
        <f t="shared" si="24"/>
        <v>#N/A</v>
      </c>
      <c r="C254" t="e">
        <f t="shared" si="24"/>
        <v>#N/A</v>
      </c>
      <c r="D254" t="e">
        <f t="shared" si="24"/>
        <v>#N/A</v>
      </c>
      <c r="E254" t="e">
        <f t="shared" si="24"/>
        <v>#N/A</v>
      </c>
      <c r="F254" t="e">
        <f t="shared" si="24"/>
        <v>#N/A</v>
      </c>
      <c r="G254" t="e">
        <f t="shared" si="24"/>
        <v>#N/A</v>
      </c>
      <c r="H254" t="e">
        <f t="shared" si="24"/>
        <v>#N/A</v>
      </c>
      <c r="I254" t="e">
        <f t="shared" si="24"/>
        <v>#N/A</v>
      </c>
      <c r="J254" t="e">
        <f t="shared" si="24"/>
        <v>#N/A</v>
      </c>
    </row>
    <row r="255" spans="1:10" x14ac:dyDescent="0.25">
      <c r="A255" t="e">
        <f>CUBEMEMBER("pbiazure://api.powerbi.com 6e064a38-7f82-4416-9451-8d82a554b559 Model","[Facilities].[DATIMName].&amp;[Mto wa Mbu Health Center]")</f>
        <v>#N/A</v>
      </c>
      <c r="B255" t="e">
        <f t="shared" si="24"/>
        <v>#N/A</v>
      </c>
      <c r="C255" t="e">
        <f t="shared" si="24"/>
        <v>#N/A</v>
      </c>
      <c r="D255" t="e">
        <f t="shared" si="24"/>
        <v>#N/A</v>
      </c>
      <c r="E255" t="e">
        <f t="shared" si="24"/>
        <v>#N/A</v>
      </c>
      <c r="F255" t="e">
        <f t="shared" si="24"/>
        <v>#N/A</v>
      </c>
      <c r="G255" t="e">
        <f t="shared" si="24"/>
        <v>#N/A</v>
      </c>
      <c r="H255" t="e">
        <f t="shared" si="24"/>
        <v>#N/A</v>
      </c>
      <c r="I255" t="e">
        <f t="shared" si="24"/>
        <v>#N/A</v>
      </c>
      <c r="J255" t="e">
        <f t="shared" si="24"/>
        <v>#N/A</v>
      </c>
    </row>
    <row r="256" spans="1:10" x14ac:dyDescent="0.25">
      <c r="A256" t="e">
        <f>CUBEMEMBER("pbiazure://api.powerbi.com 6e064a38-7f82-4416-9451-8d82a554b559 Model","[Facilities].[DATIMName].&amp;[Mto wa Mbu RC Dispensary]")</f>
        <v>#N/A</v>
      </c>
      <c r="B256" t="e">
        <f t="shared" ref="B256:J265" si="25">CUBEVALUE("pbiazure://api.powerbi.com 6e064a38-7f82-4416-9451-8d82a554b559 Model",$B$1,$A256,B$5)</f>
        <v>#N/A</v>
      </c>
      <c r="C256" t="e">
        <f t="shared" si="25"/>
        <v>#N/A</v>
      </c>
      <c r="D256" t="e">
        <f t="shared" si="25"/>
        <v>#N/A</v>
      </c>
      <c r="E256" t="e">
        <f t="shared" si="25"/>
        <v>#N/A</v>
      </c>
      <c r="F256" t="e">
        <f t="shared" si="25"/>
        <v>#N/A</v>
      </c>
      <c r="G256" t="e">
        <f t="shared" si="25"/>
        <v>#N/A</v>
      </c>
      <c r="H256" t="e">
        <f t="shared" si="25"/>
        <v>#N/A</v>
      </c>
      <c r="I256" t="e">
        <f t="shared" si="25"/>
        <v>#N/A</v>
      </c>
      <c r="J256" t="e">
        <f t="shared" si="25"/>
        <v>#N/A</v>
      </c>
    </row>
    <row r="257" spans="1:10" x14ac:dyDescent="0.25">
      <c r="A257" t="e">
        <f>CUBEMEMBER("pbiazure://api.powerbi.com 6e064a38-7f82-4416-9451-8d82a554b559 Model","[Facilities].[DATIMName].&amp;[Mtoa Dispensary]")</f>
        <v>#N/A</v>
      </c>
      <c r="B257" t="e">
        <f t="shared" si="25"/>
        <v>#N/A</v>
      </c>
      <c r="C257" t="e">
        <f t="shared" si="25"/>
        <v>#N/A</v>
      </c>
      <c r="D257" t="e">
        <f t="shared" si="25"/>
        <v>#N/A</v>
      </c>
      <c r="E257" t="e">
        <f t="shared" si="25"/>
        <v>#N/A</v>
      </c>
      <c r="F257" t="e">
        <f t="shared" si="25"/>
        <v>#N/A</v>
      </c>
      <c r="G257" t="e">
        <f t="shared" si="25"/>
        <v>#N/A</v>
      </c>
      <c r="H257" t="e">
        <f t="shared" si="25"/>
        <v>#N/A</v>
      </c>
      <c r="I257" t="e">
        <f t="shared" si="25"/>
        <v>#N/A</v>
      </c>
      <c r="J257" t="e">
        <f t="shared" si="25"/>
        <v>#N/A</v>
      </c>
    </row>
    <row r="258" spans="1:10" x14ac:dyDescent="0.25">
      <c r="A258" t="e">
        <f>CUBEMEMBER("pbiazure://api.powerbi.com 6e064a38-7f82-4416-9451-8d82a554b559 Model","[Facilities].[DATIMName].&amp;[Mundarara Dispensary]")</f>
        <v>#N/A</v>
      </c>
      <c r="B258" t="e">
        <f t="shared" si="25"/>
        <v>#N/A</v>
      </c>
      <c r="C258" t="e">
        <f t="shared" si="25"/>
        <v>#N/A</v>
      </c>
      <c r="D258" t="e">
        <f t="shared" si="25"/>
        <v>#N/A</v>
      </c>
      <c r="E258" t="e">
        <f t="shared" si="25"/>
        <v>#N/A</v>
      </c>
      <c r="F258" t="e">
        <f t="shared" si="25"/>
        <v>#N/A</v>
      </c>
      <c r="G258" t="e">
        <f t="shared" si="25"/>
        <v>#N/A</v>
      </c>
      <c r="H258" t="e">
        <f t="shared" si="25"/>
        <v>#N/A</v>
      </c>
      <c r="I258" t="e">
        <f t="shared" si="25"/>
        <v>#N/A</v>
      </c>
      <c r="J258" t="e">
        <f t="shared" si="25"/>
        <v>#N/A</v>
      </c>
    </row>
    <row r="259" spans="1:10" x14ac:dyDescent="0.25">
      <c r="A259" t="e">
        <f>CUBEMEMBER("pbiazure://api.powerbi.com 6e064a38-7f82-4416-9451-8d82a554b559 Model","[Facilities].[DATIMName].&amp;[Mundemu Health Center]")</f>
        <v>#N/A</v>
      </c>
      <c r="B259" t="e">
        <f t="shared" si="25"/>
        <v>#N/A</v>
      </c>
      <c r="C259" t="e">
        <f t="shared" si="25"/>
        <v>#N/A</v>
      </c>
      <c r="D259" t="e">
        <f t="shared" si="25"/>
        <v>#N/A</v>
      </c>
      <c r="E259" t="e">
        <f t="shared" si="25"/>
        <v>#N/A</v>
      </c>
      <c r="F259" t="e">
        <f t="shared" si="25"/>
        <v>#N/A</v>
      </c>
      <c r="G259" t="e">
        <f t="shared" si="25"/>
        <v>#N/A</v>
      </c>
      <c r="H259" t="e">
        <f t="shared" si="25"/>
        <v>#N/A</v>
      </c>
      <c r="I259" t="e">
        <f t="shared" si="25"/>
        <v>#N/A</v>
      </c>
      <c r="J259" t="e">
        <f t="shared" si="25"/>
        <v>#N/A</v>
      </c>
    </row>
    <row r="260" spans="1:10" x14ac:dyDescent="0.25">
      <c r="A260" t="e">
        <f>CUBEMEMBER("pbiazure://api.powerbi.com 6e064a38-7f82-4416-9451-8d82a554b559 Model","[Facilities].[DATIMName].&amp;[Mvumi Mission Hospital - Designated District Hospital]")</f>
        <v>#N/A</v>
      </c>
      <c r="B260" t="e">
        <f t="shared" si="25"/>
        <v>#N/A</v>
      </c>
      <c r="C260" t="e">
        <f t="shared" si="25"/>
        <v>#N/A</v>
      </c>
      <c r="D260" t="e">
        <f t="shared" si="25"/>
        <v>#N/A</v>
      </c>
      <c r="E260" t="e">
        <f t="shared" si="25"/>
        <v>#N/A</v>
      </c>
      <c r="F260" t="e">
        <f t="shared" si="25"/>
        <v>#N/A</v>
      </c>
      <c r="G260" t="e">
        <f t="shared" si="25"/>
        <v>#N/A</v>
      </c>
      <c r="H260" t="e">
        <f t="shared" si="25"/>
        <v>#N/A</v>
      </c>
      <c r="I260" t="e">
        <f t="shared" si="25"/>
        <v>#N/A</v>
      </c>
      <c r="J260" t="e">
        <f t="shared" si="25"/>
        <v>#N/A</v>
      </c>
    </row>
    <row r="261" spans="1:10" x14ac:dyDescent="0.25">
      <c r="A261" t="e">
        <f>CUBEMEMBER("pbiazure://api.powerbi.com 6e064a38-7f82-4416-9451-8d82a554b559 Model","[Facilities].[DATIMName].&amp;[Mwamagembe Dispensary]")</f>
        <v>#N/A</v>
      </c>
      <c r="B261" t="e">
        <f t="shared" si="25"/>
        <v>#N/A</v>
      </c>
      <c r="C261" t="e">
        <f t="shared" si="25"/>
        <v>#N/A</v>
      </c>
      <c r="D261" t="e">
        <f t="shared" si="25"/>
        <v>#N/A</v>
      </c>
      <c r="E261" t="e">
        <f t="shared" si="25"/>
        <v>#N/A</v>
      </c>
      <c r="F261" t="e">
        <f t="shared" si="25"/>
        <v>#N/A</v>
      </c>
      <c r="G261" t="e">
        <f t="shared" si="25"/>
        <v>#N/A</v>
      </c>
      <c r="H261" t="e">
        <f t="shared" si="25"/>
        <v>#N/A</v>
      </c>
      <c r="I261" t="e">
        <f t="shared" si="25"/>
        <v>#N/A</v>
      </c>
      <c r="J261" t="e">
        <f t="shared" si="25"/>
        <v>#N/A</v>
      </c>
    </row>
    <row r="262" spans="1:10" x14ac:dyDescent="0.25">
      <c r="A262" t="e">
        <f>CUBEMEMBER("pbiazure://api.powerbi.com 6e064a38-7f82-4416-9451-8d82a554b559 Model","[Facilities].[DATIMName].&amp;[Mwana Kianga Dispensary]")</f>
        <v>#N/A</v>
      </c>
      <c r="B262" t="e">
        <f t="shared" si="25"/>
        <v>#N/A</v>
      </c>
      <c r="C262" t="e">
        <f t="shared" si="25"/>
        <v>#N/A</v>
      </c>
      <c r="D262" t="e">
        <f t="shared" si="25"/>
        <v>#N/A</v>
      </c>
      <c r="E262" t="e">
        <f t="shared" si="25"/>
        <v>#N/A</v>
      </c>
      <c r="F262" t="e">
        <f t="shared" si="25"/>
        <v>#N/A</v>
      </c>
      <c r="G262" t="e">
        <f t="shared" si="25"/>
        <v>#N/A</v>
      </c>
      <c r="H262" t="e">
        <f t="shared" si="25"/>
        <v>#N/A</v>
      </c>
      <c r="I262" t="e">
        <f t="shared" si="25"/>
        <v>#N/A</v>
      </c>
      <c r="J262" t="e">
        <f t="shared" si="25"/>
        <v>#N/A</v>
      </c>
    </row>
    <row r="263" spans="1:10" x14ac:dyDescent="0.25">
      <c r="A263" t="e">
        <f>CUBEMEMBER("pbiazure://api.powerbi.com 6e064a38-7f82-4416-9451-8d82a554b559 Model","[Facilities].[DATIMName].&amp;[Mwandet Dispensary]")</f>
        <v>#N/A</v>
      </c>
      <c r="B263" t="e">
        <f t="shared" si="25"/>
        <v>#N/A</v>
      </c>
      <c r="C263" t="e">
        <f t="shared" si="25"/>
        <v>#N/A</v>
      </c>
      <c r="D263" t="e">
        <f t="shared" si="25"/>
        <v>#N/A</v>
      </c>
      <c r="E263" t="e">
        <f t="shared" si="25"/>
        <v>#N/A</v>
      </c>
      <c r="F263" t="e">
        <f t="shared" si="25"/>
        <v>#N/A</v>
      </c>
      <c r="G263" t="e">
        <f t="shared" si="25"/>
        <v>#N/A</v>
      </c>
      <c r="H263" t="e">
        <f t="shared" si="25"/>
        <v>#N/A</v>
      </c>
      <c r="I263" t="e">
        <f t="shared" si="25"/>
        <v>#N/A</v>
      </c>
      <c r="J263" t="e">
        <f t="shared" si="25"/>
        <v>#N/A</v>
      </c>
    </row>
    <row r="264" spans="1:10" x14ac:dyDescent="0.25">
      <c r="A264" t="e">
        <f>CUBEMEMBER("pbiazure://api.powerbi.com 6e064a38-7f82-4416-9451-8d82a554b559 Model","[Facilities].[DATIMName].&amp;[Mwanga Health Center]")</f>
        <v>#N/A</v>
      </c>
      <c r="B264" t="e">
        <f t="shared" si="25"/>
        <v>#N/A</v>
      </c>
      <c r="C264" t="e">
        <f t="shared" si="25"/>
        <v>#N/A</v>
      </c>
      <c r="D264" t="e">
        <f t="shared" si="25"/>
        <v>#N/A</v>
      </c>
      <c r="E264" t="e">
        <f t="shared" si="25"/>
        <v>#N/A</v>
      </c>
      <c r="F264" t="e">
        <f t="shared" si="25"/>
        <v>#N/A</v>
      </c>
      <c r="G264" t="e">
        <f t="shared" si="25"/>
        <v>#N/A</v>
      </c>
      <c r="H264" t="e">
        <f t="shared" si="25"/>
        <v>#N/A</v>
      </c>
      <c r="I264" t="e">
        <f t="shared" si="25"/>
        <v>#N/A</v>
      </c>
      <c r="J264" t="e">
        <f t="shared" si="25"/>
        <v>#N/A</v>
      </c>
    </row>
    <row r="265" spans="1:10" x14ac:dyDescent="0.25">
      <c r="A265" t="e">
        <f>CUBEMEMBER("pbiazure://api.powerbi.com 6e064a38-7f82-4416-9451-8d82a554b559 Model","[Facilities].[DATIMName].&amp;[Mwika Health Center]")</f>
        <v>#N/A</v>
      </c>
      <c r="B265" t="e">
        <f t="shared" si="25"/>
        <v>#N/A</v>
      </c>
      <c r="C265" t="e">
        <f t="shared" si="25"/>
        <v>#N/A</v>
      </c>
      <c r="D265" t="e">
        <f t="shared" si="25"/>
        <v>#N/A</v>
      </c>
      <c r="E265" t="e">
        <f t="shared" si="25"/>
        <v>#N/A</v>
      </c>
      <c r="F265" t="e">
        <f t="shared" si="25"/>
        <v>#N/A</v>
      </c>
      <c r="G265" t="e">
        <f t="shared" si="25"/>
        <v>#N/A</v>
      </c>
      <c r="H265" t="e">
        <f t="shared" si="25"/>
        <v>#N/A</v>
      </c>
      <c r="I265" t="e">
        <f t="shared" si="25"/>
        <v>#N/A</v>
      </c>
      <c r="J265" t="e">
        <f t="shared" si="25"/>
        <v>#N/A</v>
      </c>
    </row>
    <row r="266" spans="1:10" x14ac:dyDescent="0.25">
      <c r="A266" t="e">
        <f>CUBEMEMBER("pbiazure://api.powerbi.com 6e064a38-7f82-4416-9451-8d82a554b559 Model","[Facilities].[DATIMName].&amp;[Naberera Health Center]")</f>
        <v>#N/A</v>
      </c>
      <c r="B266" t="e">
        <f t="shared" ref="B266:J275" si="26">CUBEVALUE("pbiazure://api.powerbi.com 6e064a38-7f82-4416-9451-8d82a554b559 Model",$B$1,$A266,B$5)</f>
        <v>#N/A</v>
      </c>
      <c r="C266" t="e">
        <f t="shared" si="26"/>
        <v>#N/A</v>
      </c>
      <c r="D266" t="e">
        <f t="shared" si="26"/>
        <v>#N/A</v>
      </c>
      <c r="E266" t="e">
        <f t="shared" si="26"/>
        <v>#N/A</v>
      </c>
      <c r="F266" t="e">
        <f t="shared" si="26"/>
        <v>#N/A</v>
      </c>
      <c r="G266" t="e">
        <f t="shared" si="26"/>
        <v>#N/A</v>
      </c>
      <c r="H266" t="e">
        <f t="shared" si="26"/>
        <v>#N/A</v>
      </c>
      <c r="I266" t="e">
        <f t="shared" si="26"/>
        <v>#N/A</v>
      </c>
      <c r="J266" t="e">
        <f t="shared" si="26"/>
        <v>#N/A</v>
      </c>
    </row>
    <row r="267" spans="1:10" x14ac:dyDescent="0.25">
      <c r="A267" t="e">
        <f>CUBEMEMBER("pbiazure://api.powerbi.com 6e064a38-7f82-4416-9451-8d82a554b559 Model","[Facilities].[DATIMName].&amp;[Naibili Dispensary]")</f>
        <v>#N/A</v>
      </c>
      <c r="B267" t="e">
        <f t="shared" si="26"/>
        <v>#N/A</v>
      </c>
      <c r="C267" t="e">
        <f t="shared" si="26"/>
        <v>#N/A</v>
      </c>
      <c r="D267" t="e">
        <f t="shared" si="26"/>
        <v>#N/A</v>
      </c>
      <c r="E267" t="e">
        <f t="shared" si="26"/>
        <v>#N/A</v>
      </c>
      <c r="F267" t="e">
        <f t="shared" si="26"/>
        <v>#N/A</v>
      </c>
      <c r="G267" t="e">
        <f t="shared" si="26"/>
        <v>#N/A</v>
      </c>
      <c r="H267" t="e">
        <f t="shared" si="26"/>
        <v>#N/A</v>
      </c>
      <c r="I267" t="e">
        <f t="shared" si="26"/>
        <v>#N/A</v>
      </c>
      <c r="J267" t="e">
        <f t="shared" si="26"/>
        <v>#N/A</v>
      </c>
    </row>
    <row r="268" spans="1:10" x14ac:dyDescent="0.25">
      <c r="A268" t="e">
        <f>CUBEMEMBER("pbiazure://api.powerbi.com 6e064a38-7f82-4416-9451-8d82a554b559 Model","[Facilities].[DATIMName].&amp;[Nainokanoka Health Center]")</f>
        <v>#N/A</v>
      </c>
      <c r="B268" t="e">
        <f t="shared" si="26"/>
        <v>#N/A</v>
      </c>
      <c r="C268" t="e">
        <f t="shared" si="26"/>
        <v>#N/A</v>
      </c>
      <c r="D268" t="e">
        <f t="shared" si="26"/>
        <v>#N/A</v>
      </c>
      <c r="E268" t="e">
        <f t="shared" si="26"/>
        <v>#N/A</v>
      </c>
      <c r="F268" t="e">
        <f t="shared" si="26"/>
        <v>#N/A</v>
      </c>
      <c r="G268" t="e">
        <f t="shared" si="26"/>
        <v>#N/A</v>
      </c>
      <c r="H268" t="e">
        <f t="shared" si="26"/>
        <v>#N/A</v>
      </c>
      <c r="I268" t="e">
        <f t="shared" si="26"/>
        <v>#N/A</v>
      </c>
      <c r="J268" t="e">
        <f t="shared" si="26"/>
        <v>#N/A</v>
      </c>
    </row>
    <row r="269" spans="1:10" x14ac:dyDescent="0.25">
      <c r="A269" t="e">
        <f>CUBEMEMBER("pbiazure://api.powerbi.com 6e064a38-7f82-4416-9451-8d82a554b559 Model","[Facilities].[DATIMName].&amp;[Naisinyai Dispensary]")</f>
        <v>#N/A</v>
      </c>
      <c r="B269" t="e">
        <f t="shared" si="26"/>
        <v>#N/A</v>
      </c>
      <c r="C269" t="e">
        <f t="shared" si="26"/>
        <v>#N/A</v>
      </c>
      <c r="D269" t="e">
        <f t="shared" si="26"/>
        <v>#N/A</v>
      </c>
      <c r="E269" t="e">
        <f t="shared" si="26"/>
        <v>#N/A</v>
      </c>
      <c r="F269" t="e">
        <f t="shared" si="26"/>
        <v>#N/A</v>
      </c>
      <c r="G269" t="e">
        <f t="shared" si="26"/>
        <v>#N/A</v>
      </c>
      <c r="H269" t="e">
        <f t="shared" si="26"/>
        <v>#N/A</v>
      </c>
      <c r="I269" t="e">
        <f t="shared" si="26"/>
        <v>#N/A</v>
      </c>
      <c r="J269" t="e">
        <f t="shared" si="26"/>
        <v>#N/A</v>
      </c>
    </row>
    <row r="270" spans="1:10" x14ac:dyDescent="0.25">
      <c r="A270" t="e">
        <f>CUBEMEMBER("pbiazure://api.powerbi.com 6e064a38-7f82-4416-9451-8d82a554b559 Model","[Facilities].[DATIMName].&amp;[Namalulu Dispensary]")</f>
        <v>#N/A</v>
      </c>
      <c r="B270" t="e">
        <f t="shared" si="26"/>
        <v>#N/A</v>
      </c>
      <c r="C270" t="e">
        <f t="shared" si="26"/>
        <v>#N/A</v>
      </c>
      <c r="D270" t="e">
        <f t="shared" si="26"/>
        <v>#N/A</v>
      </c>
      <c r="E270" t="e">
        <f t="shared" si="26"/>
        <v>#N/A</v>
      </c>
      <c r="F270" t="e">
        <f t="shared" si="26"/>
        <v>#N/A</v>
      </c>
      <c r="G270" t="e">
        <f t="shared" si="26"/>
        <v>#N/A</v>
      </c>
      <c r="H270" t="e">
        <f t="shared" si="26"/>
        <v>#N/A</v>
      </c>
      <c r="I270" t="e">
        <f t="shared" si="26"/>
        <v>#N/A</v>
      </c>
      <c r="J270" t="e">
        <f t="shared" si="26"/>
        <v>#N/A</v>
      </c>
    </row>
    <row r="271" spans="1:10" x14ac:dyDescent="0.25">
      <c r="A271" t="e">
        <f>CUBEMEMBER("pbiazure://api.powerbi.com 6e064a38-7f82-4416-9451-8d82a554b559 Model","[Facilities].[DATIMName].&amp;[Namanga Dispensary]")</f>
        <v>#N/A</v>
      </c>
      <c r="B271" t="e">
        <f t="shared" si="26"/>
        <v>#N/A</v>
      </c>
      <c r="C271" t="e">
        <f t="shared" si="26"/>
        <v>#N/A</v>
      </c>
      <c r="D271" t="e">
        <f t="shared" si="26"/>
        <v>#N/A</v>
      </c>
      <c r="E271" t="e">
        <f t="shared" si="26"/>
        <v>#N/A</v>
      </c>
      <c r="F271" t="e">
        <f t="shared" si="26"/>
        <v>#N/A</v>
      </c>
      <c r="G271" t="e">
        <f t="shared" si="26"/>
        <v>#N/A</v>
      </c>
      <c r="H271" t="e">
        <f t="shared" si="26"/>
        <v>#N/A</v>
      </c>
      <c r="I271" t="e">
        <f t="shared" si="26"/>
        <v>#N/A</v>
      </c>
      <c r="J271" t="e">
        <f t="shared" si="26"/>
        <v>#N/A</v>
      </c>
    </row>
    <row r="272" spans="1:10" x14ac:dyDescent="0.25">
      <c r="A272" t="e">
        <f>CUBEMEMBER("pbiazure://api.powerbi.com 6e064a38-7f82-4416-9451-8d82a554b559 Model","[Facilities].[DATIMName].&amp;[Ndago Health Center]")</f>
        <v>#N/A</v>
      </c>
      <c r="B272" t="e">
        <f t="shared" si="26"/>
        <v>#N/A</v>
      </c>
      <c r="C272" t="e">
        <f t="shared" si="26"/>
        <v>#N/A</v>
      </c>
      <c r="D272" t="e">
        <f t="shared" si="26"/>
        <v>#N/A</v>
      </c>
      <c r="E272" t="e">
        <f t="shared" si="26"/>
        <v>#N/A</v>
      </c>
      <c r="F272" t="e">
        <f t="shared" si="26"/>
        <v>#N/A</v>
      </c>
      <c r="G272" t="e">
        <f t="shared" si="26"/>
        <v>#N/A</v>
      </c>
      <c r="H272" t="e">
        <f t="shared" si="26"/>
        <v>#N/A</v>
      </c>
      <c r="I272" t="e">
        <f t="shared" si="26"/>
        <v>#N/A</v>
      </c>
      <c r="J272" t="e">
        <f t="shared" si="26"/>
        <v>#N/A</v>
      </c>
    </row>
    <row r="273" spans="1:10" x14ac:dyDescent="0.25">
      <c r="A273" t="e">
        <f>CUBEMEMBER("pbiazure://api.powerbi.com 6e064a38-7f82-4416-9451-8d82a554b559 Model","[Facilities].[DATIMName].&amp;[Ndedo Dispensary]")</f>
        <v>#N/A</v>
      </c>
      <c r="B273" t="e">
        <f t="shared" si="26"/>
        <v>#N/A</v>
      </c>
      <c r="C273" t="e">
        <f t="shared" si="26"/>
        <v>#N/A</v>
      </c>
      <c r="D273" t="e">
        <f t="shared" si="26"/>
        <v>#N/A</v>
      </c>
      <c r="E273" t="e">
        <f t="shared" si="26"/>
        <v>#N/A</v>
      </c>
      <c r="F273" t="e">
        <f t="shared" si="26"/>
        <v>#N/A</v>
      </c>
      <c r="G273" t="e">
        <f t="shared" si="26"/>
        <v>#N/A</v>
      </c>
      <c r="H273" t="e">
        <f t="shared" si="26"/>
        <v>#N/A</v>
      </c>
      <c r="I273" t="e">
        <f t="shared" si="26"/>
        <v>#N/A</v>
      </c>
      <c r="J273" t="e">
        <f t="shared" si="26"/>
        <v>#N/A</v>
      </c>
    </row>
    <row r="274" spans="1:10" x14ac:dyDescent="0.25">
      <c r="A274" t="e">
        <f>CUBEMEMBER("pbiazure://api.powerbi.com 6e064a38-7f82-4416-9451-8d82a554b559 Model","[Facilities].[DATIMName].&amp;[Ndungu Health Center]")</f>
        <v>#N/A</v>
      </c>
      <c r="B274" t="e">
        <f t="shared" si="26"/>
        <v>#N/A</v>
      </c>
      <c r="C274" t="e">
        <f t="shared" si="26"/>
        <v>#N/A</v>
      </c>
      <c r="D274" t="e">
        <f t="shared" si="26"/>
        <v>#N/A</v>
      </c>
      <c r="E274" t="e">
        <f t="shared" si="26"/>
        <v>#N/A</v>
      </c>
      <c r="F274" t="e">
        <f t="shared" si="26"/>
        <v>#N/A</v>
      </c>
      <c r="G274" t="e">
        <f t="shared" si="26"/>
        <v>#N/A</v>
      </c>
      <c r="H274" t="e">
        <f t="shared" si="26"/>
        <v>#N/A</v>
      </c>
      <c r="I274" t="e">
        <f t="shared" si="26"/>
        <v>#N/A</v>
      </c>
      <c r="J274" t="e">
        <f t="shared" si="26"/>
        <v>#N/A</v>
      </c>
    </row>
    <row r="275" spans="1:10" x14ac:dyDescent="0.25">
      <c r="A275" t="e">
        <f>CUBEMEMBER("pbiazure://api.powerbi.com 6e064a38-7f82-4416-9451-8d82a554b559 Model","[Facilities].[DATIMName].&amp;[Nduruma Health Center]")</f>
        <v>#N/A</v>
      </c>
      <c r="B275" t="e">
        <f t="shared" si="26"/>
        <v>#N/A</v>
      </c>
      <c r="C275" t="e">
        <f t="shared" si="26"/>
        <v>#N/A</v>
      </c>
      <c r="D275" t="e">
        <f t="shared" si="26"/>
        <v>#N/A</v>
      </c>
      <c r="E275" t="e">
        <f t="shared" si="26"/>
        <v>#N/A</v>
      </c>
      <c r="F275" t="e">
        <f t="shared" si="26"/>
        <v>#N/A</v>
      </c>
      <c r="G275" t="e">
        <f t="shared" si="26"/>
        <v>#N/A</v>
      </c>
      <c r="H275" t="e">
        <f t="shared" si="26"/>
        <v>#N/A</v>
      </c>
      <c r="I275" t="e">
        <f t="shared" si="26"/>
        <v>#N/A</v>
      </c>
      <c r="J275" t="e">
        <f t="shared" si="26"/>
        <v>#N/A</v>
      </c>
    </row>
    <row r="276" spans="1:10" x14ac:dyDescent="0.25">
      <c r="A276" t="e">
        <f>CUBEMEMBER("pbiazure://api.powerbi.com 6e064a38-7f82-4416-9451-8d82a554b559 Model","[Facilities].[DATIMName].&amp;[Ngage Dispensary]")</f>
        <v>#N/A</v>
      </c>
      <c r="B276" t="e">
        <f t="shared" ref="B276:J285" si="27">CUBEVALUE("pbiazure://api.powerbi.com 6e064a38-7f82-4416-9451-8d82a554b559 Model",$B$1,$A276,B$5)</f>
        <v>#N/A</v>
      </c>
      <c r="C276" t="e">
        <f t="shared" si="27"/>
        <v>#N/A</v>
      </c>
      <c r="D276" t="e">
        <f t="shared" si="27"/>
        <v>#N/A</v>
      </c>
      <c r="E276" t="e">
        <f t="shared" si="27"/>
        <v>#N/A</v>
      </c>
      <c r="F276" t="e">
        <f t="shared" si="27"/>
        <v>#N/A</v>
      </c>
      <c r="G276" t="e">
        <f t="shared" si="27"/>
        <v>#N/A</v>
      </c>
      <c r="H276" t="e">
        <f t="shared" si="27"/>
        <v>#N/A</v>
      </c>
      <c r="I276" t="e">
        <f t="shared" si="27"/>
        <v>#N/A</v>
      </c>
      <c r="J276" t="e">
        <f t="shared" si="27"/>
        <v>#N/A</v>
      </c>
    </row>
    <row r="277" spans="1:10" x14ac:dyDescent="0.25">
      <c r="A277" t="e">
        <f>CUBEMEMBER("pbiazure://api.powerbi.com 6e064a38-7f82-4416-9451-8d82a554b559 Model","[Facilities].[DATIMName].&amp;[Ngaramtoni Dispensary]")</f>
        <v>#N/A</v>
      </c>
      <c r="B277" t="e">
        <f t="shared" si="27"/>
        <v>#N/A</v>
      </c>
      <c r="C277" t="e">
        <f t="shared" si="27"/>
        <v>#N/A</v>
      </c>
      <c r="D277" t="e">
        <f t="shared" si="27"/>
        <v>#N/A</v>
      </c>
      <c r="E277" t="e">
        <f t="shared" si="27"/>
        <v>#N/A</v>
      </c>
      <c r="F277" t="e">
        <f t="shared" si="27"/>
        <v>#N/A</v>
      </c>
      <c r="G277" t="e">
        <f t="shared" si="27"/>
        <v>#N/A</v>
      </c>
      <c r="H277" t="e">
        <f t="shared" si="27"/>
        <v>#N/A</v>
      </c>
      <c r="I277" t="e">
        <f t="shared" si="27"/>
        <v>#N/A</v>
      </c>
      <c r="J277" t="e">
        <f t="shared" si="27"/>
        <v>#N/A</v>
      </c>
    </row>
    <row r="278" spans="1:10" x14ac:dyDescent="0.25">
      <c r="A278" t="e">
        <f>CUBEMEMBER("pbiazure://api.powerbi.com 6e064a38-7f82-4416-9451-8d82a554b559 Model","[Facilities].[DATIMName].&amp;[Ngarenairobi Dispensary]")</f>
        <v>#N/A</v>
      </c>
      <c r="B278" t="e">
        <f t="shared" si="27"/>
        <v>#N/A</v>
      </c>
      <c r="C278" t="e">
        <f t="shared" si="27"/>
        <v>#N/A</v>
      </c>
      <c r="D278" t="e">
        <f t="shared" si="27"/>
        <v>#N/A</v>
      </c>
      <c r="E278" t="e">
        <f t="shared" si="27"/>
        <v>#N/A</v>
      </c>
      <c r="F278" t="e">
        <f t="shared" si="27"/>
        <v>#N/A</v>
      </c>
      <c r="G278" t="e">
        <f t="shared" si="27"/>
        <v>#N/A</v>
      </c>
      <c r="H278" t="e">
        <f t="shared" si="27"/>
        <v>#N/A</v>
      </c>
      <c r="I278" t="e">
        <f t="shared" si="27"/>
        <v>#N/A</v>
      </c>
      <c r="J278" t="e">
        <f t="shared" si="27"/>
        <v>#N/A</v>
      </c>
    </row>
    <row r="279" spans="1:10" x14ac:dyDescent="0.25">
      <c r="A279" t="e">
        <f>CUBEMEMBER("pbiazure://api.powerbi.com 6e064a38-7f82-4416-9451-8d82a554b559 Model","[Facilities].[DATIMName].&amp;[Ngarenanyuki Health Center]")</f>
        <v>#N/A</v>
      </c>
      <c r="B279" t="e">
        <f t="shared" si="27"/>
        <v>#N/A</v>
      </c>
      <c r="C279" t="e">
        <f t="shared" si="27"/>
        <v>#N/A</v>
      </c>
      <c r="D279" t="e">
        <f t="shared" si="27"/>
        <v>#N/A</v>
      </c>
      <c r="E279" t="e">
        <f t="shared" si="27"/>
        <v>#N/A</v>
      </c>
      <c r="F279" t="e">
        <f t="shared" si="27"/>
        <v>#N/A</v>
      </c>
      <c r="G279" t="e">
        <f t="shared" si="27"/>
        <v>#N/A</v>
      </c>
      <c r="H279" t="e">
        <f t="shared" si="27"/>
        <v>#N/A</v>
      </c>
      <c r="I279" t="e">
        <f t="shared" si="27"/>
        <v>#N/A</v>
      </c>
      <c r="J279" t="e">
        <f t="shared" si="27"/>
        <v>#N/A</v>
      </c>
    </row>
    <row r="280" spans="1:10" x14ac:dyDescent="0.25">
      <c r="A280" t="e">
        <f>CUBEMEMBER("pbiazure://api.powerbi.com 6e064a38-7f82-4416-9451-8d82a554b559 Model","[Facilities].[DATIMName].&amp;[Ngarenaro Health Center]")</f>
        <v>#N/A</v>
      </c>
      <c r="B280" t="e">
        <f t="shared" si="27"/>
        <v>#N/A</v>
      </c>
      <c r="C280" t="e">
        <f t="shared" si="27"/>
        <v>#N/A</v>
      </c>
      <c r="D280" t="e">
        <f t="shared" si="27"/>
        <v>#N/A</v>
      </c>
      <c r="E280" t="e">
        <f t="shared" si="27"/>
        <v>#N/A</v>
      </c>
      <c r="F280" t="e">
        <f t="shared" si="27"/>
        <v>#N/A</v>
      </c>
      <c r="G280" t="e">
        <f t="shared" si="27"/>
        <v>#N/A</v>
      </c>
      <c r="H280" t="e">
        <f t="shared" si="27"/>
        <v>#N/A</v>
      </c>
      <c r="I280" t="e">
        <f t="shared" si="27"/>
        <v>#N/A</v>
      </c>
      <c r="J280" t="e">
        <f t="shared" si="27"/>
        <v>#N/A</v>
      </c>
    </row>
    <row r="281" spans="1:10" x14ac:dyDescent="0.25">
      <c r="A281" t="e">
        <f>CUBEMEMBER("pbiazure://api.powerbi.com 6e064a38-7f82-4416-9451-8d82a554b559 Model","[Facilities].[DATIMName].&amp;[Ngaresero Dispensary]")</f>
        <v>#N/A</v>
      </c>
      <c r="B281" t="e">
        <f t="shared" si="27"/>
        <v>#N/A</v>
      </c>
      <c r="C281" t="e">
        <f t="shared" si="27"/>
        <v>#N/A</v>
      </c>
      <c r="D281" t="e">
        <f t="shared" si="27"/>
        <v>#N/A</v>
      </c>
      <c r="E281" t="e">
        <f t="shared" si="27"/>
        <v>#N/A</v>
      </c>
      <c r="F281" t="e">
        <f t="shared" si="27"/>
        <v>#N/A</v>
      </c>
      <c r="G281" t="e">
        <f t="shared" si="27"/>
        <v>#N/A</v>
      </c>
      <c r="H281" t="e">
        <f t="shared" si="27"/>
        <v>#N/A</v>
      </c>
      <c r="I281" t="e">
        <f t="shared" si="27"/>
        <v>#N/A</v>
      </c>
      <c r="J281" t="e">
        <f t="shared" si="27"/>
        <v>#N/A</v>
      </c>
    </row>
    <row r="282" spans="1:10" x14ac:dyDescent="0.25">
      <c r="A282" t="e">
        <f>CUBEMEMBER("pbiazure://api.powerbi.com 6e064a38-7f82-4416-9451-8d82a554b559 Model","[Facilities].[DATIMName].&amp;[Nghonghonha Dispensary]")</f>
        <v>#N/A</v>
      </c>
      <c r="B282" t="e">
        <f t="shared" si="27"/>
        <v>#N/A</v>
      </c>
      <c r="C282" t="e">
        <f t="shared" si="27"/>
        <v>#N/A</v>
      </c>
      <c r="D282" t="e">
        <f t="shared" si="27"/>
        <v>#N/A</v>
      </c>
      <c r="E282" t="e">
        <f t="shared" si="27"/>
        <v>#N/A</v>
      </c>
      <c r="F282" t="e">
        <f t="shared" si="27"/>
        <v>#N/A</v>
      </c>
      <c r="G282" t="e">
        <f t="shared" si="27"/>
        <v>#N/A</v>
      </c>
      <c r="H282" t="e">
        <f t="shared" si="27"/>
        <v>#N/A</v>
      </c>
      <c r="I282" t="e">
        <f t="shared" si="27"/>
        <v>#N/A</v>
      </c>
      <c r="J282" t="e">
        <f t="shared" si="27"/>
        <v>#N/A</v>
      </c>
    </row>
    <row r="283" spans="1:10" x14ac:dyDescent="0.25">
      <c r="A283" t="e">
        <f>CUBEMEMBER("pbiazure://api.powerbi.com 6e064a38-7f82-4416-9451-8d82a554b559 Model","[Facilities].[DATIMName].&amp;[Ngomai Dispensary]")</f>
        <v>#N/A</v>
      </c>
      <c r="B283" t="e">
        <f t="shared" si="27"/>
        <v>#N/A</v>
      </c>
      <c r="C283" t="e">
        <f t="shared" si="27"/>
        <v>#N/A</v>
      </c>
      <c r="D283" t="e">
        <f t="shared" si="27"/>
        <v>#N/A</v>
      </c>
      <c r="E283" t="e">
        <f t="shared" si="27"/>
        <v>#N/A</v>
      </c>
      <c r="F283" t="e">
        <f t="shared" si="27"/>
        <v>#N/A</v>
      </c>
      <c r="G283" t="e">
        <f t="shared" si="27"/>
        <v>#N/A</v>
      </c>
      <c r="H283" t="e">
        <f t="shared" si="27"/>
        <v>#N/A</v>
      </c>
      <c r="I283" t="e">
        <f t="shared" si="27"/>
        <v>#N/A</v>
      </c>
      <c r="J283" t="e">
        <f t="shared" si="27"/>
        <v>#N/A</v>
      </c>
    </row>
    <row r="284" spans="1:10" x14ac:dyDescent="0.25">
      <c r="A284" t="e">
        <f>CUBEMEMBER("pbiazure://api.powerbi.com 6e064a38-7f82-4416-9451-8d82a554b559 Model","[Facilities].[DATIMName].&amp;[Ngorbobo Dispensary]")</f>
        <v>#N/A</v>
      </c>
      <c r="B284" t="e">
        <f t="shared" si="27"/>
        <v>#N/A</v>
      </c>
      <c r="C284" t="e">
        <f t="shared" si="27"/>
        <v>#N/A</v>
      </c>
      <c r="D284" t="e">
        <f t="shared" si="27"/>
        <v>#N/A</v>
      </c>
      <c r="E284" t="e">
        <f t="shared" si="27"/>
        <v>#N/A</v>
      </c>
      <c r="F284" t="e">
        <f t="shared" si="27"/>
        <v>#N/A</v>
      </c>
      <c r="G284" t="e">
        <f t="shared" si="27"/>
        <v>#N/A</v>
      </c>
      <c r="H284" t="e">
        <f t="shared" si="27"/>
        <v>#N/A</v>
      </c>
      <c r="I284" t="e">
        <f t="shared" si="27"/>
        <v>#N/A</v>
      </c>
      <c r="J284" t="e">
        <f t="shared" si="27"/>
        <v>#N/A</v>
      </c>
    </row>
    <row r="285" spans="1:10" x14ac:dyDescent="0.25">
      <c r="A285" t="e">
        <f>CUBEMEMBER("pbiazure://api.powerbi.com 6e064a38-7f82-4416-9451-8d82a554b559 Model","[Facilities].[DATIMName].&amp;[Ngorika Dispensary]")</f>
        <v>#N/A</v>
      </c>
      <c r="B285" t="e">
        <f t="shared" si="27"/>
        <v>#N/A</v>
      </c>
      <c r="C285" t="e">
        <f t="shared" si="27"/>
        <v>#N/A</v>
      </c>
      <c r="D285" t="e">
        <f t="shared" si="27"/>
        <v>#N/A</v>
      </c>
      <c r="E285" t="e">
        <f t="shared" si="27"/>
        <v>#N/A</v>
      </c>
      <c r="F285" t="e">
        <f t="shared" si="27"/>
        <v>#N/A</v>
      </c>
      <c r="G285" t="e">
        <f t="shared" si="27"/>
        <v>#N/A</v>
      </c>
      <c r="H285" t="e">
        <f t="shared" si="27"/>
        <v>#N/A</v>
      </c>
      <c r="I285" t="e">
        <f t="shared" si="27"/>
        <v>#N/A</v>
      </c>
      <c r="J285" t="e">
        <f t="shared" si="27"/>
        <v>#N/A</v>
      </c>
    </row>
    <row r="286" spans="1:10" x14ac:dyDescent="0.25">
      <c r="A286" t="e">
        <f>CUBEMEMBER("pbiazure://api.powerbi.com 6e064a38-7f82-4416-9451-8d82a554b559 Model","[Facilities].[DATIMName].&amp;[Ngoyoni Hospital Hospital - Other Hospital]")</f>
        <v>#N/A</v>
      </c>
      <c r="B286" t="e">
        <f t="shared" ref="B286:J295" si="28">CUBEVALUE("pbiazure://api.powerbi.com 6e064a38-7f82-4416-9451-8d82a554b559 Model",$B$1,$A286,B$5)</f>
        <v>#N/A</v>
      </c>
      <c r="C286" t="e">
        <f t="shared" si="28"/>
        <v>#N/A</v>
      </c>
      <c r="D286" t="e">
        <f t="shared" si="28"/>
        <v>#N/A</v>
      </c>
      <c r="E286" t="e">
        <f t="shared" si="28"/>
        <v>#N/A</v>
      </c>
      <c r="F286" t="e">
        <f t="shared" si="28"/>
        <v>#N/A</v>
      </c>
      <c r="G286" t="e">
        <f t="shared" si="28"/>
        <v>#N/A</v>
      </c>
      <c r="H286" t="e">
        <f t="shared" si="28"/>
        <v>#N/A</v>
      </c>
      <c r="I286" t="e">
        <f t="shared" si="28"/>
        <v>#N/A</v>
      </c>
      <c r="J286" t="e">
        <f t="shared" si="28"/>
        <v>#N/A</v>
      </c>
    </row>
    <row r="287" spans="1:10" x14ac:dyDescent="0.25">
      <c r="A287" t="e">
        <f>CUBEMEMBER("pbiazure://api.powerbi.com 6e064a38-7f82-4416-9451-8d82a554b559 Model","[Facilities].[DATIMName].&amp;[Njoge Dispensary]")</f>
        <v>#N/A</v>
      </c>
      <c r="B287" t="e">
        <f t="shared" si="28"/>
        <v>#N/A</v>
      </c>
      <c r="C287" t="e">
        <f t="shared" si="28"/>
        <v>#N/A</v>
      </c>
      <c r="D287" t="e">
        <f t="shared" si="28"/>
        <v>#N/A</v>
      </c>
      <c r="E287" t="e">
        <f t="shared" si="28"/>
        <v>#N/A</v>
      </c>
      <c r="F287" t="e">
        <f t="shared" si="28"/>
        <v>#N/A</v>
      </c>
      <c r="G287" t="e">
        <f t="shared" si="28"/>
        <v>#N/A</v>
      </c>
      <c r="H287" t="e">
        <f t="shared" si="28"/>
        <v>#N/A</v>
      </c>
      <c r="I287" t="e">
        <f t="shared" si="28"/>
        <v>#N/A</v>
      </c>
      <c r="J287" t="e">
        <f t="shared" si="28"/>
        <v>#N/A</v>
      </c>
    </row>
    <row r="288" spans="1:10" x14ac:dyDescent="0.25">
      <c r="A288" t="e">
        <f>CUBEMEMBER("pbiazure://api.powerbi.com 6e064a38-7f82-4416-9451-8d82a554b559 Model","[Facilities].[DATIMName].&amp;[Njoro Dispensary]")</f>
        <v>#N/A</v>
      </c>
      <c r="B288" t="e">
        <f t="shared" si="28"/>
        <v>#N/A</v>
      </c>
      <c r="C288" t="e">
        <f t="shared" si="28"/>
        <v>#N/A</v>
      </c>
      <c r="D288" t="e">
        <f t="shared" si="28"/>
        <v>#N/A</v>
      </c>
      <c r="E288" t="e">
        <f t="shared" si="28"/>
        <v>#N/A</v>
      </c>
      <c r="F288" t="e">
        <f t="shared" si="28"/>
        <v>#N/A</v>
      </c>
      <c r="G288" t="e">
        <f t="shared" si="28"/>
        <v>#N/A</v>
      </c>
      <c r="H288" t="e">
        <f t="shared" si="28"/>
        <v>#N/A</v>
      </c>
      <c r="I288" t="e">
        <f t="shared" si="28"/>
        <v>#N/A</v>
      </c>
      <c r="J288" t="e">
        <f t="shared" si="28"/>
        <v>#N/A</v>
      </c>
    </row>
    <row r="289" spans="1:10" x14ac:dyDescent="0.25">
      <c r="A289" t="e">
        <f>CUBEMEMBER("pbiazure://api.powerbi.com 6e064a38-7f82-4416-9451-8d82a554b559 Model","[Facilities].[DATIMName].&amp;[Nkhome Dispensary]")</f>
        <v>#N/A</v>
      </c>
      <c r="B289" t="e">
        <f t="shared" si="28"/>
        <v>#N/A</v>
      </c>
      <c r="C289" t="e">
        <f t="shared" si="28"/>
        <v>#N/A</v>
      </c>
      <c r="D289" t="e">
        <f t="shared" si="28"/>
        <v>#N/A</v>
      </c>
      <c r="E289" t="e">
        <f t="shared" si="28"/>
        <v>#N/A</v>
      </c>
      <c r="F289" t="e">
        <f t="shared" si="28"/>
        <v>#N/A</v>
      </c>
      <c r="G289" t="e">
        <f t="shared" si="28"/>
        <v>#N/A</v>
      </c>
      <c r="H289" t="e">
        <f t="shared" si="28"/>
        <v>#N/A</v>
      </c>
      <c r="I289" t="e">
        <f t="shared" si="28"/>
        <v>#N/A</v>
      </c>
      <c r="J289" t="e">
        <f t="shared" si="28"/>
        <v>#N/A</v>
      </c>
    </row>
    <row r="290" spans="1:10" x14ac:dyDescent="0.25">
      <c r="A290" t="e">
        <f>CUBEMEMBER("pbiazure://api.powerbi.com 6e064a38-7f82-4416-9451-8d82a554b559 Model","[Facilities].[DATIMName].&amp;[Nkoaranga Hospital - Other Hospital]")</f>
        <v>#N/A</v>
      </c>
      <c r="B290" t="e">
        <f t="shared" si="28"/>
        <v>#N/A</v>
      </c>
      <c r="C290" t="e">
        <f t="shared" si="28"/>
        <v>#N/A</v>
      </c>
      <c r="D290" t="e">
        <f t="shared" si="28"/>
        <v>#N/A</v>
      </c>
      <c r="E290" t="e">
        <f t="shared" si="28"/>
        <v>#N/A</v>
      </c>
      <c r="F290" t="e">
        <f t="shared" si="28"/>
        <v>#N/A</v>
      </c>
      <c r="G290" t="e">
        <f t="shared" si="28"/>
        <v>#N/A</v>
      </c>
      <c r="H290" t="e">
        <f t="shared" si="28"/>
        <v>#N/A</v>
      </c>
      <c r="I290" t="e">
        <f t="shared" si="28"/>
        <v>#N/A</v>
      </c>
      <c r="J290" t="e">
        <f t="shared" si="28"/>
        <v>#N/A</v>
      </c>
    </row>
    <row r="291" spans="1:10" x14ac:dyDescent="0.25">
      <c r="A291" t="e">
        <f>CUBEMEMBER("pbiazure://api.powerbi.com 6e064a38-7f82-4416-9451-8d82a554b559 Model","[Facilities].[DATIMName].&amp;[Nkonko Health Center]")</f>
        <v>#N/A</v>
      </c>
      <c r="B291" t="e">
        <f t="shared" si="28"/>
        <v>#N/A</v>
      </c>
      <c r="C291" t="e">
        <f t="shared" si="28"/>
        <v>#N/A</v>
      </c>
      <c r="D291" t="e">
        <f t="shared" si="28"/>
        <v>#N/A</v>
      </c>
      <c r="E291" t="e">
        <f t="shared" si="28"/>
        <v>#N/A</v>
      </c>
      <c r="F291" t="e">
        <f t="shared" si="28"/>
        <v>#N/A</v>
      </c>
      <c r="G291" t="e">
        <f t="shared" si="28"/>
        <v>#N/A</v>
      </c>
      <c r="H291" t="e">
        <f t="shared" si="28"/>
        <v>#N/A</v>
      </c>
      <c r="I291" t="e">
        <f t="shared" si="28"/>
        <v>#N/A</v>
      </c>
      <c r="J291" t="e">
        <f t="shared" si="28"/>
        <v>#N/A</v>
      </c>
    </row>
    <row r="292" spans="1:10" x14ac:dyDescent="0.25">
      <c r="A292" t="e">
        <f>CUBEMEMBER("pbiazure://api.powerbi.com 6e064a38-7f82-4416-9451-8d82a554b559 Model","[Facilities].[DATIMName].&amp;[Nkwae Dispensary]")</f>
        <v>#N/A</v>
      </c>
      <c r="B292" t="e">
        <f t="shared" si="28"/>
        <v>#N/A</v>
      </c>
      <c r="C292" t="e">
        <f t="shared" si="28"/>
        <v>#N/A</v>
      </c>
      <c r="D292" t="e">
        <f t="shared" si="28"/>
        <v>#N/A</v>
      </c>
      <c r="E292" t="e">
        <f t="shared" si="28"/>
        <v>#N/A</v>
      </c>
      <c r="F292" t="e">
        <f t="shared" si="28"/>
        <v>#N/A</v>
      </c>
      <c r="G292" t="e">
        <f t="shared" si="28"/>
        <v>#N/A</v>
      </c>
      <c r="H292" t="e">
        <f t="shared" si="28"/>
        <v>#N/A</v>
      </c>
      <c r="I292" t="e">
        <f t="shared" si="28"/>
        <v>#N/A</v>
      </c>
      <c r="J292" t="e">
        <f t="shared" si="28"/>
        <v>#N/A</v>
      </c>
    </row>
    <row r="293" spans="1:10" x14ac:dyDescent="0.25">
      <c r="A293" t="e">
        <f>CUBEMEMBER("pbiazure://api.powerbi.com 6e064a38-7f82-4416-9451-8d82a554b559 Model","[Facilities].[DATIMName].&amp;[Nkwansira Health Center]")</f>
        <v>#N/A</v>
      </c>
      <c r="B293" t="e">
        <f t="shared" si="28"/>
        <v>#N/A</v>
      </c>
      <c r="C293" t="e">
        <f t="shared" si="28"/>
        <v>#N/A</v>
      </c>
      <c r="D293" t="e">
        <f t="shared" si="28"/>
        <v>#N/A</v>
      </c>
      <c r="E293" t="e">
        <f t="shared" si="28"/>
        <v>#N/A</v>
      </c>
      <c r="F293" t="e">
        <f t="shared" si="28"/>
        <v>#N/A</v>
      </c>
      <c r="G293" t="e">
        <f t="shared" si="28"/>
        <v>#N/A</v>
      </c>
      <c r="H293" t="e">
        <f t="shared" si="28"/>
        <v>#N/A</v>
      </c>
      <c r="I293" t="e">
        <f t="shared" si="28"/>
        <v>#N/A</v>
      </c>
      <c r="J293" t="e">
        <f t="shared" si="28"/>
        <v>#N/A</v>
      </c>
    </row>
    <row r="294" spans="1:10" x14ac:dyDescent="0.25">
      <c r="A294" t="e">
        <f>CUBEMEMBER("pbiazure://api.powerbi.com 6e064a38-7f82-4416-9451-8d82a554b559 Model","[Facilities].[DATIMName].&amp;[Ntwike Dispensary]")</f>
        <v>#N/A</v>
      </c>
      <c r="B294" t="e">
        <f t="shared" si="28"/>
        <v>#N/A</v>
      </c>
      <c r="C294" t="e">
        <f t="shared" si="28"/>
        <v>#N/A</v>
      </c>
      <c r="D294" t="e">
        <f t="shared" si="28"/>
        <v>#N/A</v>
      </c>
      <c r="E294" t="e">
        <f t="shared" si="28"/>
        <v>#N/A</v>
      </c>
      <c r="F294" t="e">
        <f t="shared" si="28"/>
        <v>#N/A</v>
      </c>
      <c r="G294" t="e">
        <f t="shared" si="28"/>
        <v>#N/A</v>
      </c>
      <c r="H294" t="e">
        <f t="shared" si="28"/>
        <v>#N/A</v>
      </c>
      <c r="I294" t="e">
        <f t="shared" si="28"/>
        <v>#N/A</v>
      </c>
      <c r="J294" t="e">
        <f t="shared" si="28"/>
        <v>#N/A</v>
      </c>
    </row>
    <row r="295" spans="1:10" x14ac:dyDescent="0.25">
      <c r="A295" t="e">
        <f>CUBEMEMBER("pbiazure://api.powerbi.com 6e064a38-7f82-4416-9451-8d82a554b559 Model","[Facilities].[DATIMName].&amp;[Nyumba ya Mungu Dispensary]")</f>
        <v>#N/A</v>
      </c>
      <c r="B295" t="e">
        <f t="shared" si="28"/>
        <v>#N/A</v>
      </c>
      <c r="C295" t="e">
        <f t="shared" si="28"/>
        <v>#N/A</v>
      </c>
      <c r="D295" t="e">
        <f t="shared" si="28"/>
        <v>#N/A</v>
      </c>
      <c r="E295" t="e">
        <f t="shared" si="28"/>
        <v>#N/A</v>
      </c>
      <c r="F295" t="e">
        <f t="shared" si="28"/>
        <v>#N/A</v>
      </c>
      <c r="G295" t="e">
        <f t="shared" si="28"/>
        <v>#N/A</v>
      </c>
      <c r="H295" t="e">
        <f t="shared" si="28"/>
        <v>#N/A</v>
      </c>
      <c r="I295" t="e">
        <f t="shared" si="28"/>
        <v>#N/A</v>
      </c>
      <c r="J295" t="e">
        <f t="shared" si="28"/>
        <v>#N/A</v>
      </c>
    </row>
    <row r="296" spans="1:10" x14ac:dyDescent="0.25">
      <c r="A296" t="e">
        <f>CUBEMEMBER("pbiazure://api.powerbi.com 6e064a38-7f82-4416-9451-8d82a554b559 Model","[Facilities].[DATIMName].&amp;[Nzungoni Dispensary]")</f>
        <v>#N/A</v>
      </c>
      <c r="B296" t="e">
        <f t="shared" ref="B296:J305" si="29">CUBEVALUE("pbiazure://api.powerbi.com 6e064a38-7f82-4416-9451-8d82a554b559 Model",$B$1,$A296,B$5)</f>
        <v>#N/A</v>
      </c>
      <c r="C296" t="e">
        <f t="shared" si="29"/>
        <v>#N/A</v>
      </c>
      <c r="D296" t="e">
        <f t="shared" si="29"/>
        <v>#N/A</v>
      </c>
      <c r="E296" t="e">
        <f t="shared" si="29"/>
        <v>#N/A</v>
      </c>
      <c r="F296" t="e">
        <f t="shared" si="29"/>
        <v>#N/A</v>
      </c>
      <c r="G296" t="e">
        <f t="shared" si="29"/>
        <v>#N/A</v>
      </c>
      <c r="H296" t="e">
        <f t="shared" si="29"/>
        <v>#N/A</v>
      </c>
      <c r="I296" t="e">
        <f t="shared" si="29"/>
        <v>#N/A</v>
      </c>
      <c r="J296" t="e">
        <f t="shared" si="29"/>
        <v>#N/A</v>
      </c>
    </row>
    <row r="297" spans="1:10" x14ac:dyDescent="0.25">
      <c r="A297" t="e">
        <f>CUBEMEMBER("pbiazure://api.powerbi.com 6e064a38-7f82-4416-9451-8d82a554b559 Model","[Facilities].[DATIMName].&amp;[Oldeani Health Center]")</f>
        <v>#N/A</v>
      </c>
      <c r="B297" t="e">
        <f t="shared" si="29"/>
        <v>#N/A</v>
      </c>
      <c r="C297" t="e">
        <f t="shared" si="29"/>
        <v>#N/A</v>
      </c>
      <c r="D297" t="e">
        <f t="shared" si="29"/>
        <v>#N/A</v>
      </c>
      <c r="E297" t="e">
        <f t="shared" si="29"/>
        <v>#N/A</v>
      </c>
      <c r="F297" t="e">
        <f t="shared" si="29"/>
        <v>#N/A</v>
      </c>
      <c r="G297" t="e">
        <f t="shared" si="29"/>
        <v>#N/A</v>
      </c>
      <c r="H297" t="e">
        <f t="shared" si="29"/>
        <v>#N/A</v>
      </c>
      <c r="I297" t="e">
        <f t="shared" si="29"/>
        <v>#N/A</v>
      </c>
      <c r="J297" t="e">
        <f t="shared" si="29"/>
        <v>#N/A</v>
      </c>
    </row>
    <row r="298" spans="1:10" x14ac:dyDescent="0.25">
      <c r="A298" t="e">
        <f>CUBEMEMBER("pbiazure://api.powerbi.com 6e064a38-7f82-4416-9451-8d82a554b559 Model","[Facilities].[DATIMName].&amp;[Oldonyo Sambu Health Center]")</f>
        <v>#N/A</v>
      </c>
      <c r="B298" t="e">
        <f t="shared" si="29"/>
        <v>#N/A</v>
      </c>
      <c r="C298" t="e">
        <f t="shared" si="29"/>
        <v>#N/A</v>
      </c>
      <c r="D298" t="e">
        <f t="shared" si="29"/>
        <v>#N/A</v>
      </c>
      <c r="E298" t="e">
        <f t="shared" si="29"/>
        <v>#N/A</v>
      </c>
      <c r="F298" t="e">
        <f t="shared" si="29"/>
        <v>#N/A</v>
      </c>
      <c r="G298" t="e">
        <f t="shared" si="29"/>
        <v>#N/A</v>
      </c>
      <c r="H298" t="e">
        <f t="shared" si="29"/>
        <v>#N/A</v>
      </c>
      <c r="I298" t="e">
        <f t="shared" si="29"/>
        <v>#N/A</v>
      </c>
      <c r="J298" t="e">
        <f t="shared" si="29"/>
        <v>#N/A</v>
      </c>
    </row>
    <row r="299" spans="1:10" x14ac:dyDescent="0.25">
      <c r="A299" t="e">
        <f>CUBEMEMBER("pbiazure://api.powerbi.com 6e064a38-7f82-4416-9451-8d82a554b559 Model","[Facilities].[DATIMName].&amp;[Olkokola RC Dispensary]")</f>
        <v>#N/A</v>
      </c>
      <c r="B299" t="e">
        <f t="shared" si="29"/>
        <v>#N/A</v>
      </c>
      <c r="C299" t="e">
        <f t="shared" si="29"/>
        <v>#N/A</v>
      </c>
      <c r="D299" t="e">
        <f t="shared" si="29"/>
        <v>#N/A</v>
      </c>
      <c r="E299" t="e">
        <f t="shared" si="29"/>
        <v>#N/A</v>
      </c>
      <c r="F299" t="e">
        <f t="shared" si="29"/>
        <v>#N/A</v>
      </c>
      <c r="G299" t="e">
        <f t="shared" si="29"/>
        <v>#N/A</v>
      </c>
      <c r="H299" t="e">
        <f t="shared" si="29"/>
        <v>#N/A</v>
      </c>
      <c r="I299" t="e">
        <f t="shared" si="29"/>
        <v>#N/A</v>
      </c>
      <c r="J299" t="e">
        <f t="shared" si="29"/>
        <v>#N/A</v>
      </c>
    </row>
    <row r="300" spans="1:10" x14ac:dyDescent="0.25">
      <c r="A300" t="e">
        <f>CUBEMEMBER("pbiazure://api.powerbi.com 6e064a38-7f82-4416-9451-8d82a554b559 Model","[Facilities].[DATIMName].&amp;[Oltrument Hospital - District Hospital]")</f>
        <v>#N/A</v>
      </c>
      <c r="B300" t="e">
        <f t="shared" si="29"/>
        <v>#N/A</v>
      </c>
      <c r="C300" t="e">
        <f t="shared" si="29"/>
        <v>#N/A</v>
      </c>
      <c r="D300" t="e">
        <f t="shared" si="29"/>
        <v>#N/A</v>
      </c>
      <c r="E300" t="e">
        <f t="shared" si="29"/>
        <v>#N/A</v>
      </c>
      <c r="F300" t="e">
        <f t="shared" si="29"/>
        <v>#N/A</v>
      </c>
      <c r="G300" t="e">
        <f t="shared" si="29"/>
        <v>#N/A</v>
      </c>
      <c r="H300" t="e">
        <f t="shared" si="29"/>
        <v>#N/A</v>
      </c>
      <c r="I300" t="e">
        <f t="shared" si="29"/>
        <v>#N/A</v>
      </c>
      <c r="J300" t="e">
        <f t="shared" si="29"/>
        <v>#N/A</v>
      </c>
    </row>
    <row r="301" spans="1:10" x14ac:dyDescent="0.25">
      <c r="A301" t="e">
        <f>CUBEMEMBER("pbiazure://api.powerbi.com 6e064a38-7f82-4416-9451-8d82a554b559 Model","[Facilities].[DATIMName].&amp;[Orkesumet KKKT Hospital]")</f>
        <v>#N/A</v>
      </c>
      <c r="B301" t="e">
        <f t="shared" si="29"/>
        <v>#N/A</v>
      </c>
      <c r="C301" t="e">
        <f t="shared" si="29"/>
        <v>#N/A</v>
      </c>
      <c r="D301" t="e">
        <f t="shared" si="29"/>
        <v>#N/A</v>
      </c>
      <c r="E301" t="e">
        <f t="shared" si="29"/>
        <v>#N/A</v>
      </c>
      <c r="F301" t="e">
        <f t="shared" si="29"/>
        <v>#N/A</v>
      </c>
      <c r="G301" t="e">
        <f t="shared" si="29"/>
        <v>#N/A</v>
      </c>
      <c r="H301" t="e">
        <f t="shared" si="29"/>
        <v>#N/A</v>
      </c>
      <c r="I301" t="e">
        <f t="shared" si="29"/>
        <v>#N/A</v>
      </c>
      <c r="J301" t="e">
        <f t="shared" si="29"/>
        <v>#N/A</v>
      </c>
    </row>
    <row r="302" spans="1:10" x14ac:dyDescent="0.25">
      <c r="A302" t="e">
        <f>CUBEMEMBER("pbiazure://api.powerbi.com 6e064a38-7f82-4416-9451-8d82a554b559 Model","[Facilities].[DATIMName].&amp;[Orkesumet UHC Health Center]")</f>
        <v>#N/A</v>
      </c>
      <c r="B302" t="e">
        <f t="shared" si="29"/>
        <v>#N/A</v>
      </c>
      <c r="C302" t="e">
        <f t="shared" si="29"/>
        <v>#N/A</v>
      </c>
      <c r="D302" t="e">
        <f t="shared" si="29"/>
        <v>#N/A</v>
      </c>
      <c r="E302" t="e">
        <f t="shared" si="29"/>
        <v>#N/A</v>
      </c>
      <c r="F302" t="e">
        <f t="shared" si="29"/>
        <v>#N/A</v>
      </c>
      <c r="G302" t="e">
        <f t="shared" si="29"/>
        <v>#N/A</v>
      </c>
      <c r="H302" t="e">
        <f t="shared" si="29"/>
        <v>#N/A</v>
      </c>
      <c r="I302" t="e">
        <f t="shared" si="29"/>
        <v>#N/A</v>
      </c>
      <c r="J302" t="e">
        <f t="shared" si="29"/>
        <v>#N/A</v>
      </c>
    </row>
    <row r="303" spans="1:10" x14ac:dyDescent="0.25">
      <c r="A303" t="e">
        <f>CUBEMEMBER("pbiazure://api.powerbi.com 6e064a38-7f82-4416-9451-8d82a554b559 Model","[Facilities].[DATIMName].&amp;[Pahi Dispensary]")</f>
        <v>#N/A</v>
      </c>
      <c r="B303" t="e">
        <f t="shared" si="29"/>
        <v>#N/A</v>
      </c>
      <c r="C303" t="e">
        <f t="shared" si="29"/>
        <v>#N/A</v>
      </c>
      <c r="D303" t="e">
        <f t="shared" si="29"/>
        <v>#N/A</v>
      </c>
      <c r="E303" t="e">
        <f t="shared" si="29"/>
        <v>#N/A</v>
      </c>
      <c r="F303" t="e">
        <f t="shared" si="29"/>
        <v>#N/A</v>
      </c>
      <c r="G303" t="e">
        <f t="shared" si="29"/>
        <v>#N/A</v>
      </c>
      <c r="H303" t="e">
        <f t="shared" si="29"/>
        <v>#N/A</v>
      </c>
      <c r="I303" t="e">
        <f t="shared" si="29"/>
        <v>#N/A</v>
      </c>
      <c r="J303" t="e">
        <f t="shared" si="29"/>
        <v>#N/A</v>
      </c>
    </row>
    <row r="304" spans="1:10" x14ac:dyDescent="0.25">
      <c r="A304" t="e">
        <f>CUBEMEMBER("pbiazure://api.powerbi.com 6e064a38-7f82-4416-9451-8d82a554b559 Model","[Facilities].[DATIMName].&amp;[Pandambili Dispensary]")</f>
        <v>#N/A</v>
      </c>
      <c r="B304" t="e">
        <f t="shared" si="29"/>
        <v>#N/A</v>
      </c>
      <c r="C304" t="e">
        <f t="shared" si="29"/>
        <v>#N/A</v>
      </c>
      <c r="D304" t="e">
        <f t="shared" si="29"/>
        <v>#N/A</v>
      </c>
      <c r="E304" t="e">
        <f t="shared" si="29"/>
        <v>#N/A</v>
      </c>
      <c r="F304" t="e">
        <f t="shared" si="29"/>
        <v>#N/A</v>
      </c>
      <c r="G304" t="e">
        <f t="shared" si="29"/>
        <v>#N/A</v>
      </c>
      <c r="H304" t="e">
        <f t="shared" si="29"/>
        <v>#N/A</v>
      </c>
      <c r="I304" t="e">
        <f t="shared" si="29"/>
        <v>#N/A</v>
      </c>
      <c r="J304" t="e">
        <f t="shared" si="29"/>
        <v>#N/A</v>
      </c>
    </row>
    <row r="305" spans="1:10" x14ac:dyDescent="0.25">
      <c r="A305" t="e">
        <f>CUBEMEMBER("pbiazure://api.powerbi.com 6e064a38-7f82-4416-9451-8d82a554b559 Model","[Facilities].[DATIMName].&amp;[Pasua Health Center]")</f>
        <v>#N/A</v>
      </c>
      <c r="B305" t="e">
        <f t="shared" si="29"/>
        <v>#N/A</v>
      </c>
      <c r="C305" t="e">
        <f t="shared" si="29"/>
        <v>#N/A</v>
      </c>
      <c r="D305" t="e">
        <f t="shared" si="29"/>
        <v>#N/A</v>
      </c>
      <c r="E305" t="e">
        <f t="shared" si="29"/>
        <v>#N/A</v>
      </c>
      <c r="F305" t="e">
        <f t="shared" si="29"/>
        <v>#N/A</v>
      </c>
      <c r="G305" t="e">
        <f t="shared" si="29"/>
        <v>#N/A</v>
      </c>
      <c r="H305" t="e">
        <f t="shared" si="29"/>
        <v>#N/A</v>
      </c>
      <c r="I305" t="e">
        <f t="shared" si="29"/>
        <v>#N/A</v>
      </c>
      <c r="J305" t="e">
        <f t="shared" si="29"/>
        <v>#N/A</v>
      </c>
    </row>
    <row r="306" spans="1:10" x14ac:dyDescent="0.25">
      <c r="A306" t="e">
        <f>CUBEMEMBER("pbiazure://api.powerbi.com 6e064a38-7f82-4416-9451-8d82a554b559 Model","[Facilities].[DATIMName].&amp;[Puma Dispensary]")</f>
        <v>#N/A</v>
      </c>
      <c r="B306" t="e">
        <f t="shared" ref="B306:J315" si="30">CUBEVALUE("pbiazure://api.powerbi.com 6e064a38-7f82-4416-9451-8d82a554b559 Model",$B$1,$A306,B$5)</f>
        <v>#N/A</v>
      </c>
      <c r="C306" t="e">
        <f t="shared" si="30"/>
        <v>#N/A</v>
      </c>
      <c r="D306" t="e">
        <f t="shared" si="30"/>
        <v>#N/A</v>
      </c>
      <c r="E306" t="e">
        <f t="shared" si="30"/>
        <v>#N/A</v>
      </c>
      <c r="F306" t="e">
        <f t="shared" si="30"/>
        <v>#N/A</v>
      </c>
      <c r="G306" t="e">
        <f t="shared" si="30"/>
        <v>#N/A</v>
      </c>
      <c r="H306" t="e">
        <f t="shared" si="30"/>
        <v>#N/A</v>
      </c>
      <c r="I306" t="e">
        <f t="shared" si="30"/>
        <v>#N/A</v>
      </c>
      <c r="J306" t="e">
        <f t="shared" si="30"/>
        <v>#N/A</v>
      </c>
    </row>
    <row r="307" spans="1:10" x14ac:dyDescent="0.25">
      <c r="A307" t="e">
        <f>CUBEMEMBER("pbiazure://api.powerbi.com 6e064a38-7f82-4416-9451-8d82a554b559 Model","[Facilities].[DATIMName].&amp;[Pwaga Dispensary]")</f>
        <v>#N/A</v>
      </c>
      <c r="B307" t="e">
        <f t="shared" si="30"/>
        <v>#N/A</v>
      </c>
      <c r="C307" t="e">
        <f t="shared" si="30"/>
        <v>#N/A</v>
      </c>
      <c r="D307" t="e">
        <f t="shared" si="30"/>
        <v>#N/A</v>
      </c>
      <c r="E307" t="e">
        <f t="shared" si="30"/>
        <v>#N/A</v>
      </c>
      <c r="F307" t="e">
        <f t="shared" si="30"/>
        <v>#N/A</v>
      </c>
      <c r="G307" t="e">
        <f t="shared" si="30"/>
        <v>#N/A</v>
      </c>
      <c r="H307" t="e">
        <f t="shared" si="30"/>
        <v>#N/A</v>
      </c>
      <c r="I307" t="e">
        <f t="shared" si="30"/>
        <v>#N/A</v>
      </c>
      <c r="J307" t="e">
        <f t="shared" si="30"/>
        <v>#N/A</v>
      </c>
    </row>
    <row r="308" spans="1:10" x14ac:dyDescent="0.25">
      <c r="A308" t="e">
        <f>CUBEMEMBER("pbiazure://api.powerbi.com 6e064a38-7f82-4416-9451-8d82a554b559 Model","[Facilities].[DATIMName].&amp;[Queen of Universal Hospital]")</f>
        <v>#N/A</v>
      </c>
      <c r="B308" t="e">
        <f t="shared" si="30"/>
        <v>#N/A</v>
      </c>
      <c r="C308" t="e">
        <f t="shared" si="30"/>
        <v>#N/A</v>
      </c>
      <c r="D308" t="e">
        <f t="shared" si="30"/>
        <v>#N/A</v>
      </c>
      <c r="E308" t="e">
        <f t="shared" si="30"/>
        <v>#N/A</v>
      </c>
      <c r="F308" t="e">
        <f t="shared" si="30"/>
        <v>#N/A</v>
      </c>
      <c r="G308" t="e">
        <f t="shared" si="30"/>
        <v>#N/A</v>
      </c>
      <c r="H308" t="e">
        <f t="shared" si="30"/>
        <v>#N/A</v>
      </c>
      <c r="I308" t="e">
        <f t="shared" si="30"/>
        <v>#N/A</v>
      </c>
      <c r="J308" t="e">
        <f t="shared" si="30"/>
        <v>#N/A</v>
      </c>
    </row>
    <row r="309" spans="1:10" x14ac:dyDescent="0.25">
      <c r="A309" t="e">
        <f>CUBEMEMBER("pbiazure://api.powerbi.com 6e064a38-7f82-4416-9451-8d82a554b559 Model","[Facilities].[DATIMName].&amp;[Railway Dispensary]")</f>
        <v>#N/A</v>
      </c>
      <c r="B309" t="e">
        <f t="shared" si="30"/>
        <v>#N/A</v>
      </c>
      <c r="C309" t="e">
        <f t="shared" si="30"/>
        <v>#N/A</v>
      </c>
      <c r="D309" t="e">
        <f t="shared" si="30"/>
        <v>#N/A</v>
      </c>
      <c r="E309" t="e">
        <f t="shared" si="30"/>
        <v>#N/A</v>
      </c>
      <c r="F309" t="e">
        <f t="shared" si="30"/>
        <v>#N/A</v>
      </c>
      <c r="G309" t="e">
        <f t="shared" si="30"/>
        <v>#N/A</v>
      </c>
      <c r="H309" t="e">
        <f t="shared" si="30"/>
        <v>#N/A</v>
      </c>
      <c r="I309" t="e">
        <f t="shared" si="30"/>
        <v>#N/A</v>
      </c>
      <c r="J309" t="e">
        <f t="shared" si="30"/>
        <v>#N/A</v>
      </c>
    </row>
    <row r="310" spans="1:10" x14ac:dyDescent="0.25">
      <c r="A310" t="e">
        <f>CUBEMEMBER("pbiazure://api.powerbi.com 6e064a38-7f82-4416-9451-8d82a554b559 Model","[Facilities].[DATIMName].&amp;[Rau Dispensary]")</f>
        <v>#N/A</v>
      </c>
      <c r="B310" t="e">
        <f t="shared" si="30"/>
        <v>#N/A</v>
      </c>
      <c r="C310" t="e">
        <f t="shared" si="30"/>
        <v>#N/A</v>
      </c>
      <c r="D310" t="e">
        <f t="shared" si="30"/>
        <v>#N/A</v>
      </c>
      <c r="E310" t="e">
        <f t="shared" si="30"/>
        <v>#N/A</v>
      </c>
      <c r="F310" t="e">
        <f t="shared" si="30"/>
        <v>#N/A</v>
      </c>
      <c r="G310" t="e">
        <f t="shared" si="30"/>
        <v>#N/A</v>
      </c>
      <c r="H310" t="e">
        <f t="shared" si="30"/>
        <v>#N/A</v>
      </c>
      <c r="I310" t="e">
        <f t="shared" si="30"/>
        <v>#N/A</v>
      </c>
      <c r="J310" t="e">
        <f t="shared" si="30"/>
        <v>#N/A</v>
      </c>
    </row>
    <row r="311" spans="1:10" x14ac:dyDescent="0.25">
      <c r="A311" t="e">
        <f>CUBEMEMBER("pbiazure://api.powerbi.com 6e064a38-7f82-4416-9451-8d82a554b559 Model","[Facilities].[DATIMName].&amp;[Rhotia RC Health Center]")</f>
        <v>#N/A</v>
      </c>
      <c r="B311" t="e">
        <f t="shared" si="30"/>
        <v>#N/A</v>
      </c>
      <c r="C311" t="e">
        <f t="shared" si="30"/>
        <v>#N/A</v>
      </c>
      <c r="D311" t="e">
        <f t="shared" si="30"/>
        <v>#N/A</v>
      </c>
      <c r="E311" t="e">
        <f t="shared" si="30"/>
        <v>#N/A</v>
      </c>
      <c r="F311" t="e">
        <f t="shared" si="30"/>
        <v>#N/A</v>
      </c>
      <c r="G311" t="e">
        <f t="shared" si="30"/>
        <v>#N/A</v>
      </c>
      <c r="H311" t="e">
        <f t="shared" si="30"/>
        <v>#N/A</v>
      </c>
      <c r="I311" t="e">
        <f t="shared" si="30"/>
        <v>#N/A</v>
      </c>
      <c r="J311" t="e">
        <f t="shared" si="30"/>
        <v>#N/A</v>
      </c>
    </row>
    <row r="312" spans="1:10" x14ac:dyDescent="0.25">
      <c r="A312" t="e">
        <f>CUBEMEMBER("pbiazure://api.powerbi.com 6e064a38-7f82-4416-9451-8d82a554b559 Model","[Facilities].[DATIMName].&amp;[Riroda Dispensary]")</f>
        <v>#N/A</v>
      </c>
      <c r="B312" t="e">
        <f t="shared" si="30"/>
        <v>#N/A</v>
      </c>
      <c r="C312" t="e">
        <f t="shared" si="30"/>
        <v>#N/A</v>
      </c>
      <c r="D312" t="e">
        <f t="shared" si="30"/>
        <v>#N/A</v>
      </c>
      <c r="E312" t="e">
        <f t="shared" si="30"/>
        <v>#N/A</v>
      </c>
      <c r="F312" t="e">
        <f t="shared" si="30"/>
        <v>#N/A</v>
      </c>
      <c r="G312" t="e">
        <f t="shared" si="30"/>
        <v>#N/A</v>
      </c>
      <c r="H312" t="e">
        <f t="shared" si="30"/>
        <v>#N/A</v>
      </c>
      <c r="I312" t="e">
        <f t="shared" si="30"/>
        <v>#N/A</v>
      </c>
      <c r="J312" t="e">
        <f t="shared" si="30"/>
        <v>#N/A</v>
      </c>
    </row>
    <row r="313" spans="1:10" x14ac:dyDescent="0.25">
      <c r="A313" t="e">
        <f>CUBEMEMBER("pbiazure://api.powerbi.com 6e064a38-7f82-4416-9451-8d82a554b559 Model","[Facilities].[DATIMName].&amp;[Riroda public Dispensary]")</f>
        <v>#N/A</v>
      </c>
      <c r="B313" t="e">
        <f t="shared" si="30"/>
        <v>#N/A</v>
      </c>
      <c r="C313" t="e">
        <f t="shared" si="30"/>
        <v>#N/A</v>
      </c>
      <c r="D313" t="e">
        <f t="shared" si="30"/>
        <v>#N/A</v>
      </c>
      <c r="E313" t="e">
        <f t="shared" si="30"/>
        <v>#N/A</v>
      </c>
      <c r="F313" t="e">
        <f t="shared" si="30"/>
        <v>#N/A</v>
      </c>
      <c r="G313" t="e">
        <f t="shared" si="30"/>
        <v>#N/A</v>
      </c>
      <c r="H313" t="e">
        <f t="shared" si="30"/>
        <v>#N/A</v>
      </c>
      <c r="I313" t="e">
        <f t="shared" si="30"/>
        <v>#N/A</v>
      </c>
      <c r="J313" t="e">
        <f t="shared" si="30"/>
        <v>#N/A</v>
      </c>
    </row>
    <row r="314" spans="1:10" x14ac:dyDescent="0.25">
      <c r="A314" t="e">
        <f>CUBEMEMBER("pbiazure://api.powerbi.com 6e064a38-7f82-4416-9451-8d82a554b559 Model","[Facilities].[DATIMName].&amp;[Rongai Dispensary]")</f>
        <v>#N/A</v>
      </c>
      <c r="B314" t="e">
        <f t="shared" si="30"/>
        <v>#N/A</v>
      </c>
      <c r="C314" t="e">
        <f t="shared" si="30"/>
        <v>#N/A</v>
      </c>
      <c r="D314" t="e">
        <f t="shared" si="30"/>
        <v>#N/A</v>
      </c>
      <c r="E314" t="e">
        <f t="shared" si="30"/>
        <v>#N/A</v>
      </c>
      <c r="F314" t="e">
        <f t="shared" si="30"/>
        <v>#N/A</v>
      </c>
      <c r="G314" t="e">
        <f t="shared" si="30"/>
        <v>#N/A</v>
      </c>
      <c r="H314" t="e">
        <f t="shared" si="30"/>
        <v>#N/A</v>
      </c>
      <c r="I314" t="e">
        <f t="shared" si="30"/>
        <v>#N/A</v>
      </c>
      <c r="J314" t="e">
        <f t="shared" si="30"/>
        <v>#N/A</v>
      </c>
    </row>
    <row r="315" spans="1:10" x14ac:dyDescent="0.25">
      <c r="A315" t="e">
        <f>CUBEMEMBER("pbiazure://api.powerbi.com 6e064a38-7f82-4416-9451-8d82a554b559 Model","[Facilities].[DATIMName].&amp;[Rudi Health Center]")</f>
        <v>#N/A</v>
      </c>
      <c r="B315" t="e">
        <f t="shared" si="30"/>
        <v>#N/A</v>
      </c>
      <c r="C315" t="e">
        <f t="shared" si="30"/>
        <v>#N/A</v>
      </c>
      <c r="D315" t="e">
        <f t="shared" si="30"/>
        <v>#N/A</v>
      </c>
      <c r="E315" t="e">
        <f t="shared" si="30"/>
        <v>#N/A</v>
      </c>
      <c r="F315" t="e">
        <f t="shared" si="30"/>
        <v>#N/A</v>
      </c>
      <c r="G315" t="e">
        <f t="shared" si="30"/>
        <v>#N/A</v>
      </c>
      <c r="H315" t="e">
        <f t="shared" si="30"/>
        <v>#N/A</v>
      </c>
      <c r="I315" t="e">
        <f t="shared" si="30"/>
        <v>#N/A</v>
      </c>
      <c r="J315" t="e">
        <f t="shared" si="30"/>
        <v>#N/A</v>
      </c>
    </row>
    <row r="316" spans="1:10" x14ac:dyDescent="0.25">
      <c r="A316" t="e">
        <f>CUBEMEMBER("pbiazure://api.powerbi.com 6e064a38-7f82-4416-9451-8d82a554b559 Model","[Facilities].[DATIMName].&amp;[Rundugai Dispensary]")</f>
        <v>#N/A</v>
      </c>
      <c r="B316" t="e">
        <f t="shared" ref="B316:J325" si="31">CUBEVALUE("pbiazure://api.powerbi.com 6e064a38-7f82-4416-9451-8d82a554b559 Model",$B$1,$A316,B$5)</f>
        <v>#N/A</v>
      </c>
      <c r="C316" t="e">
        <f t="shared" si="31"/>
        <v>#N/A</v>
      </c>
      <c r="D316" t="e">
        <f t="shared" si="31"/>
        <v>#N/A</v>
      </c>
      <c r="E316" t="e">
        <f t="shared" si="31"/>
        <v>#N/A</v>
      </c>
      <c r="F316" t="e">
        <f t="shared" si="31"/>
        <v>#N/A</v>
      </c>
      <c r="G316" t="e">
        <f t="shared" si="31"/>
        <v>#N/A</v>
      </c>
      <c r="H316" t="e">
        <f t="shared" si="31"/>
        <v>#N/A</v>
      </c>
      <c r="I316" t="e">
        <f t="shared" si="31"/>
        <v>#N/A</v>
      </c>
      <c r="J316" t="e">
        <f t="shared" si="31"/>
        <v>#N/A</v>
      </c>
    </row>
    <row r="317" spans="1:10" x14ac:dyDescent="0.25">
      <c r="A317" t="e">
        <f>CUBEMEMBER("pbiazure://api.powerbi.com 6e064a38-7f82-4416-9451-8d82a554b559 Model","[Facilities].[DATIMName].&amp;[Rungwa Dispensary]")</f>
        <v>#N/A</v>
      </c>
      <c r="B317" t="e">
        <f t="shared" si="31"/>
        <v>#N/A</v>
      </c>
      <c r="C317" t="e">
        <f t="shared" si="31"/>
        <v>#N/A</v>
      </c>
      <c r="D317" t="e">
        <f t="shared" si="31"/>
        <v>#N/A</v>
      </c>
      <c r="E317" t="e">
        <f t="shared" si="31"/>
        <v>#N/A</v>
      </c>
      <c r="F317" t="e">
        <f t="shared" si="31"/>
        <v>#N/A</v>
      </c>
      <c r="G317" t="e">
        <f t="shared" si="31"/>
        <v>#N/A</v>
      </c>
      <c r="H317" t="e">
        <f t="shared" si="31"/>
        <v>#N/A</v>
      </c>
      <c r="I317" t="e">
        <f t="shared" si="31"/>
        <v>#N/A</v>
      </c>
      <c r="J317" t="e">
        <f t="shared" si="31"/>
        <v>#N/A</v>
      </c>
    </row>
    <row r="318" spans="1:10" x14ac:dyDescent="0.25">
      <c r="A318" t="e">
        <f>CUBEMEMBER("pbiazure://api.powerbi.com 6e064a38-7f82-4416-9451-8d82a554b559 Model","[Facilities].[DATIMName].&amp;[Sabilo Dispensary]")</f>
        <v>#N/A</v>
      </c>
      <c r="B318" t="e">
        <f t="shared" si="31"/>
        <v>#N/A</v>
      </c>
      <c r="C318" t="e">
        <f t="shared" si="31"/>
        <v>#N/A</v>
      </c>
      <c r="D318" t="e">
        <f t="shared" si="31"/>
        <v>#N/A</v>
      </c>
      <c r="E318" t="e">
        <f t="shared" si="31"/>
        <v>#N/A</v>
      </c>
      <c r="F318" t="e">
        <f t="shared" si="31"/>
        <v>#N/A</v>
      </c>
      <c r="G318" t="e">
        <f t="shared" si="31"/>
        <v>#N/A</v>
      </c>
      <c r="H318" t="e">
        <f t="shared" si="31"/>
        <v>#N/A</v>
      </c>
      <c r="I318" t="e">
        <f t="shared" si="31"/>
        <v>#N/A</v>
      </c>
      <c r="J318" t="e">
        <f t="shared" si="31"/>
        <v>#N/A</v>
      </c>
    </row>
    <row r="319" spans="1:10" x14ac:dyDescent="0.25">
      <c r="A319" t="e">
        <f>CUBEMEMBER("pbiazure://api.powerbi.com 6e064a38-7f82-4416-9451-8d82a554b559 Model","[Facilities].[DATIMName].&amp;[Sagara Dispensary]")</f>
        <v>#N/A</v>
      </c>
      <c r="B319" t="e">
        <f t="shared" si="31"/>
        <v>#N/A</v>
      </c>
      <c r="C319" t="e">
        <f t="shared" si="31"/>
        <v>#N/A</v>
      </c>
      <c r="D319" t="e">
        <f t="shared" si="31"/>
        <v>#N/A</v>
      </c>
      <c r="E319" t="e">
        <f t="shared" si="31"/>
        <v>#N/A</v>
      </c>
      <c r="F319" t="e">
        <f t="shared" si="31"/>
        <v>#N/A</v>
      </c>
      <c r="G319" t="e">
        <f t="shared" si="31"/>
        <v>#N/A</v>
      </c>
      <c r="H319" t="e">
        <f t="shared" si="31"/>
        <v>#N/A</v>
      </c>
      <c r="I319" t="e">
        <f t="shared" si="31"/>
        <v>#N/A</v>
      </c>
      <c r="J319" t="e">
        <f t="shared" si="31"/>
        <v>#N/A</v>
      </c>
    </row>
    <row r="320" spans="1:10" x14ac:dyDescent="0.25">
      <c r="A320" t="e">
        <f>CUBEMEMBER("pbiazure://api.powerbi.com 6e064a38-7f82-4416-9451-8d82a554b559 Model","[Facilities].[DATIMName].&amp;[Sambasha Dispensary]")</f>
        <v>#N/A</v>
      </c>
      <c r="B320" t="e">
        <f t="shared" si="31"/>
        <v>#N/A</v>
      </c>
      <c r="C320" t="e">
        <f t="shared" si="31"/>
        <v>#N/A</v>
      </c>
      <c r="D320" t="e">
        <f t="shared" si="31"/>
        <v>#N/A</v>
      </c>
      <c r="E320" t="e">
        <f t="shared" si="31"/>
        <v>#N/A</v>
      </c>
      <c r="F320" t="e">
        <f t="shared" si="31"/>
        <v>#N/A</v>
      </c>
      <c r="G320" t="e">
        <f t="shared" si="31"/>
        <v>#N/A</v>
      </c>
      <c r="H320" t="e">
        <f t="shared" si="31"/>
        <v>#N/A</v>
      </c>
      <c r="I320" t="e">
        <f t="shared" si="31"/>
        <v>#N/A</v>
      </c>
      <c r="J320" t="e">
        <f t="shared" si="31"/>
        <v>#N/A</v>
      </c>
    </row>
    <row r="321" spans="1:10" x14ac:dyDescent="0.25">
      <c r="A321" t="e">
        <f>CUBEMEMBER("pbiazure://api.powerbi.com 6e064a38-7f82-4416-9451-8d82a554b559 Model","[Facilities].[DATIMName].&amp;[Same Hospital - District Hospital]")</f>
        <v>#N/A</v>
      </c>
      <c r="B321" t="e">
        <f t="shared" si="31"/>
        <v>#N/A</v>
      </c>
      <c r="C321" t="e">
        <f t="shared" si="31"/>
        <v>#N/A</v>
      </c>
      <c r="D321" t="e">
        <f t="shared" si="31"/>
        <v>#N/A</v>
      </c>
      <c r="E321" t="e">
        <f t="shared" si="31"/>
        <v>#N/A</v>
      </c>
      <c r="F321" t="e">
        <f t="shared" si="31"/>
        <v>#N/A</v>
      </c>
      <c r="G321" t="e">
        <f t="shared" si="31"/>
        <v>#N/A</v>
      </c>
      <c r="H321" t="e">
        <f t="shared" si="31"/>
        <v>#N/A</v>
      </c>
      <c r="I321" t="e">
        <f t="shared" si="31"/>
        <v>#N/A</v>
      </c>
      <c r="J321" t="e">
        <f t="shared" si="31"/>
        <v>#N/A</v>
      </c>
    </row>
    <row r="322" spans="1:10" x14ac:dyDescent="0.25">
      <c r="A322" t="e">
        <f>CUBEMEMBER("pbiazure://api.powerbi.com 6e064a38-7f82-4416-9451-8d82a554b559 Model","[Facilities].[DATIMName].&amp;[Sanya juu Dispensary]")</f>
        <v>#N/A</v>
      </c>
      <c r="B322" t="e">
        <f t="shared" si="31"/>
        <v>#N/A</v>
      </c>
      <c r="C322" t="e">
        <f t="shared" si="31"/>
        <v>#N/A</v>
      </c>
      <c r="D322" t="e">
        <f t="shared" si="31"/>
        <v>#N/A</v>
      </c>
      <c r="E322" t="e">
        <f t="shared" si="31"/>
        <v>#N/A</v>
      </c>
      <c r="F322" t="e">
        <f t="shared" si="31"/>
        <v>#N/A</v>
      </c>
      <c r="G322" t="e">
        <f t="shared" si="31"/>
        <v>#N/A</v>
      </c>
      <c r="H322" t="e">
        <f t="shared" si="31"/>
        <v>#N/A</v>
      </c>
      <c r="I322" t="e">
        <f t="shared" si="31"/>
        <v>#N/A</v>
      </c>
      <c r="J322" t="e">
        <f t="shared" si="31"/>
        <v>#N/A</v>
      </c>
    </row>
    <row r="323" spans="1:10" x14ac:dyDescent="0.25">
      <c r="A323" t="e">
        <f>CUBEMEMBER("pbiazure://api.powerbi.com 6e064a38-7f82-4416-9451-8d82a554b559 Model","[Facilities].[DATIMName].&amp;[Sanya Lutheran Health Center]")</f>
        <v>#N/A</v>
      </c>
      <c r="B323" t="e">
        <f t="shared" si="31"/>
        <v>#N/A</v>
      </c>
      <c r="C323" t="e">
        <f t="shared" si="31"/>
        <v>#N/A</v>
      </c>
      <c r="D323" t="e">
        <f t="shared" si="31"/>
        <v>#N/A</v>
      </c>
      <c r="E323" t="e">
        <f t="shared" si="31"/>
        <v>#N/A</v>
      </c>
      <c r="F323" t="e">
        <f t="shared" si="31"/>
        <v>#N/A</v>
      </c>
      <c r="G323" t="e">
        <f t="shared" si="31"/>
        <v>#N/A</v>
      </c>
      <c r="H323" t="e">
        <f t="shared" si="31"/>
        <v>#N/A</v>
      </c>
      <c r="I323" t="e">
        <f t="shared" si="31"/>
        <v>#N/A</v>
      </c>
      <c r="J323" t="e">
        <f t="shared" si="31"/>
        <v>#N/A</v>
      </c>
    </row>
    <row r="324" spans="1:10" x14ac:dyDescent="0.25">
      <c r="A324" t="e">
        <f>CUBEMEMBER("pbiazure://api.powerbi.com 6e064a38-7f82-4416-9451-8d82a554b559 Model","[Facilities].[DATIMName].&amp;[Sanza Dispensary]")</f>
        <v>#N/A</v>
      </c>
      <c r="B324" t="e">
        <f t="shared" si="31"/>
        <v>#N/A</v>
      </c>
      <c r="C324" t="e">
        <f t="shared" si="31"/>
        <v>#N/A</v>
      </c>
      <c r="D324" t="e">
        <f t="shared" si="31"/>
        <v>#N/A</v>
      </c>
      <c r="E324" t="e">
        <f t="shared" si="31"/>
        <v>#N/A</v>
      </c>
      <c r="F324" t="e">
        <f t="shared" si="31"/>
        <v>#N/A</v>
      </c>
      <c r="G324" t="e">
        <f t="shared" si="31"/>
        <v>#N/A</v>
      </c>
      <c r="H324" t="e">
        <f t="shared" si="31"/>
        <v>#N/A</v>
      </c>
      <c r="I324" t="e">
        <f t="shared" si="31"/>
        <v>#N/A</v>
      </c>
      <c r="J324" t="e">
        <f t="shared" si="31"/>
        <v>#N/A</v>
      </c>
    </row>
    <row r="325" spans="1:10" x14ac:dyDescent="0.25">
      <c r="A325" t="e">
        <f>CUBEMEMBER("pbiazure://api.powerbi.com 6e064a38-7f82-4416-9451-8d82a554b559 Model","[Facilities].[DATIMName].&amp;[Sasilo Dispensary]")</f>
        <v>#N/A</v>
      </c>
      <c r="B325" t="e">
        <f t="shared" si="31"/>
        <v>#N/A</v>
      </c>
      <c r="C325" t="e">
        <f t="shared" si="31"/>
        <v>#N/A</v>
      </c>
      <c r="D325" t="e">
        <f t="shared" si="31"/>
        <v>#N/A</v>
      </c>
      <c r="E325" t="e">
        <f t="shared" si="31"/>
        <v>#N/A</v>
      </c>
      <c r="F325" t="e">
        <f t="shared" si="31"/>
        <v>#N/A</v>
      </c>
      <c r="G325" t="e">
        <f t="shared" si="31"/>
        <v>#N/A</v>
      </c>
      <c r="H325" t="e">
        <f t="shared" si="31"/>
        <v>#N/A</v>
      </c>
      <c r="I325" t="e">
        <f t="shared" si="31"/>
        <v>#N/A</v>
      </c>
      <c r="J325" t="e">
        <f t="shared" si="31"/>
        <v>#N/A</v>
      </c>
    </row>
    <row r="326" spans="1:10" x14ac:dyDescent="0.25">
      <c r="A326" t="e">
        <f>CUBEMEMBER("pbiazure://api.powerbi.com 6e064a38-7f82-4416-9451-8d82a554b559 Model","[Facilities].[DATIMName].&amp;[Selela Dispensary]")</f>
        <v>#N/A</v>
      </c>
      <c r="B326" t="e">
        <f t="shared" ref="B326:J335" si="32">CUBEVALUE("pbiazure://api.powerbi.com 6e064a38-7f82-4416-9451-8d82a554b559 Model",$B$1,$A326,B$5)</f>
        <v>#N/A</v>
      </c>
      <c r="C326" t="e">
        <f t="shared" si="32"/>
        <v>#N/A</v>
      </c>
      <c r="D326" t="e">
        <f t="shared" si="32"/>
        <v>#N/A</v>
      </c>
      <c r="E326" t="e">
        <f t="shared" si="32"/>
        <v>#N/A</v>
      </c>
      <c r="F326" t="e">
        <f t="shared" si="32"/>
        <v>#N/A</v>
      </c>
      <c r="G326" t="e">
        <f t="shared" si="32"/>
        <v>#N/A</v>
      </c>
      <c r="H326" t="e">
        <f t="shared" si="32"/>
        <v>#N/A</v>
      </c>
      <c r="I326" t="e">
        <f t="shared" si="32"/>
        <v>#N/A</v>
      </c>
      <c r="J326" t="e">
        <f t="shared" si="32"/>
        <v>#N/A</v>
      </c>
    </row>
    <row r="327" spans="1:10" x14ac:dyDescent="0.25">
      <c r="A327" t="e">
        <f>CUBEMEMBER("pbiazure://api.powerbi.com 6e064a38-7f82-4416-9451-8d82a554b559 Model","[Facilities].[DATIMName].&amp;[Selian Hospital - Designated District Hospital]")</f>
        <v>#N/A</v>
      </c>
      <c r="B327" t="e">
        <f t="shared" si="32"/>
        <v>#N/A</v>
      </c>
      <c r="C327" t="e">
        <f t="shared" si="32"/>
        <v>#N/A</v>
      </c>
      <c r="D327" t="e">
        <f t="shared" si="32"/>
        <v>#N/A</v>
      </c>
      <c r="E327" t="e">
        <f t="shared" si="32"/>
        <v>#N/A</v>
      </c>
      <c r="F327" t="e">
        <f t="shared" si="32"/>
        <v>#N/A</v>
      </c>
      <c r="G327" t="e">
        <f t="shared" si="32"/>
        <v>#N/A</v>
      </c>
      <c r="H327" t="e">
        <f t="shared" si="32"/>
        <v>#N/A</v>
      </c>
      <c r="I327" t="e">
        <f t="shared" si="32"/>
        <v>#N/A</v>
      </c>
      <c r="J327" t="e">
        <f t="shared" si="32"/>
        <v>#N/A</v>
      </c>
    </row>
    <row r="328" spans="1:10" x14ac:dyDescent="0.25">
      <c r="A328" t="e">
        <f>CUBEMEMBER("pbiazure://api.powerbi.com 6e064a38-7f82-4416-9451-8d82a554b559 Model","[Facilities].[DATIMName].&amp;[Sepuka Health Center]")</f>
        <v>#N/A</v>
      </c>
      <c r="B328" t="e">
        <f t="shared" si="32"/>
        <v>#N/A</v>
      </c>
      <c r="C328" t="e">
        <f t="shared" si="32"/>
        <v>#N/A</v>
      </c>
      <c r="D328" t="e">
        <f t="shared" si="32"/>
        <v>#N/A</v>
      </c>
      <c r="E328" t="e">
        <f t="shared" si="32"/>
        <v>#N/A</v>
      </c>
      <c r="F328" t="e">
        <f t="shared" si="32"/>
        <v>#N/A</v>
      </c>
      <c r="G328" t="e">
        <f t="shared" si="32"/>
        <v>#N/A</v>
      </c>
      <c r="H328" t="e">
        <f t="shared" si="32"/>
        <v>#N/A</v>
      </c>
      <c r="I328" t="e">
        <f t="shared" si="32"/>
        <v>#N/A</v>
      </c>
      <c r="J328" t="e">
        <f t="shared" si="32"/>
        <v>#N/A</v>
      </c>
    </row>
    <row r="329" spans="1:10" x14ac:dyDescent="0.25">
      <c r="A329" t="e">
        <f>CUBEMEMBER("pbiazure://api.powerbi.com 6e064a38-7f82-4416-9451-8d82a554b559 Model","[Facilities].[DATIMName].&amp;[Shelui Dispensary]")</f>
        <v>#N/A</v>
      </c>
      <c r="B329" t="e">
        <f t="shared" si="32"/>
        <v>#N/A</v>
      </c>
      <c r="C329" t="e">
        <f t="shared" si="32"/>
        <v>#N/A</v>
      </c>
      <c r="D329" t="e">
        <f t="shared" si="32"/>
        <v>#N/A</v>
      </c>
      <c r="E329" t="e">
        <f t="shared" si="32"/>
        <v>#N/A</v>
      </c>
      <c r="F329" t="e">
        <f t="shared" si="32"/>
        <v>#N/A</v>
      </c>
      <c r="G329" t="e">
        <f t="shared" si="32"/>
        <v>#N/A</v>
      </c>
      <c r="H329" t="e">
        <f t="shared" si="32"/>
        <v>#N/A</v>
      </c>
      <c r="I329" t="e">
        <f t="shared" si="32"/>
        <v>#N/A</v>
      </c>
      <c r="J329" t="e">
        <f t="shared" si="32"/>
        <v>#N/A</v>
      </c>
    </row>
    <row r="330" spans="1:10" x14ac:dyDescent="0.25">
      <c r="A330" t="e">
        <f>CUBEMEMBER("pbiazure://api.powerbi.com 6e064a38-7f82-4416-9451-8d82a554b559 Model","[Facilities].[DATIMName].&amp;[Shengena Health Center]")</f>
        <v>#N/A</v>
      </c>
      <c r="B330" t="e">
        <f t="shared" si="32"/>
        <v>#N/A</v>
      </c>
      <c r="C330" t="e">
        <f t="shared" si="32"/>
        <v>#N/A</v>
      </c>
      <c r="D330" t="e">
        <f t="shared" si="32"/>
        <v>#N/A</v>
      </c>
      <c r="E330" t="e">
        <f t="shared" si="32"/>
        <v>#N/A</v>
      </c>
      <c r="F330" t="e">
        <f t="shared" si="32"/>
        <v>#N/A</v>
      </c>
      <c r="G330" t="e">
        <f t="shared" si="32"/>
        <v>#N/A</v>
      </c>
      <c r="H330" t="e">
        <f t="shared" si="32"/>
        <v>#N/A</v>
      </c>
      <c r="I330" t="e">
        <f t="shared" si="32"/>
        <v>#N/A</v>
      </c>
      <c r="J330" t="e">
        <f t="shared" si="32"/>
        <v>#N/A</v>
      </c>
    </row>
    <row r="331" spans="1:10" x14ac:dyDescent="0.25">
      <c r="A331" t="e">
        <f>CUBEMEMBER("pbiazure://api.powerbi.com 6e064a38-7f82-4416-9451-8d82a554b559 Model","[Facilities].[DATIMName].&amp;[Shimbwe Health Center]")</f>
        <v>#N/A</v>
      </c>
      <c r="B331" t="e">
        <f t="shared" si="32"/>
        <v>#N/A</v>
      </c>
      <c r="C331" t="e">
        <f t="shared" si="32"/>
        <v>#N/A</v>
      </c>
      <c r="D331" t="e">
        <f t="shared" si="32"/>
        <v>#N/A</v>
      </c>
      <c r="E331" t="e">
        <f t="shared" si="32"/>
        <v>#N/A</v>
      </c>
      <c r="F331" t="e">
        <f t="shared" si="32"/>
        <v>#N/A</v>
      </c>
      <c r="G331" t="e">
        <f t="shared" si="32"/>
        <v>#N/A</v>
      </c>
      <c r="H331" t="e">
        <f t="shared" si="32"/>
        <v>#N/A</v>
      </c>
      <c r="I331" t="e">
        <f t="shared" si="32"/>
        <v>#N/A</v>
      </c>
      <c r="J331" t="e">
        <f t="shared" si="32"/>
        <v>#N/A</v>
      </c>
    </row>
    <row r="332" spans="1:10" x14ac:dyDescent="0.25">
      <c r="A332" t="e">
        <f>CUBEMEMBER("pbiazure://api.powerbi.com 6e064a38-7f82-4416-9451-8d82a554b559 Model","[Facilities].[DATIMName].&amp;[Shiri Matunda Dispensary]")</f>
        <v>#N/A</v>
      </c>
      <c r="B332" t="e">
        <f t="shared" si="32"/>
        <v>#N/A</v>
      </c>
      <c r="C332" t="e">
        <f t="shared" si="32"/>
        <v>#N/A</v>
      </c>
      <c r="D332" t="e">
        <f t="shared" si="32"/>
        <v>#N/A</v>
      </c>
      <c r="E332" t="e">
        <f t="shared" si="32"/>
        <v>#N/A</v>
      </c>
      <c r="F332" t="e">
        <f t="shared" si="32"/>
        <v>#N/A</v>
      </c>
      <c r="G332" t="e">
        <f t="shared" si="32"/>
        <v>#N/A</v>
      </c>
      <c r="H332" t="e">
        <f t="shared" si="32"/>
        <v>#N/A</v>
      </c>
      <c r="I332" t="e">
        <f t="shared" si="32"/>
        <v>#N/A</v>
      </c>
      <c r="J332" t="e">
        <f t="shared" si="32"/>
        <v>#N/A</v>
      </c>
    </row>
    <row r="333" spans="1:10" x14ac:dyDescent="0.25">
      <c r="A333" t="e">
        <f>CUBEMEMBER("pbiazure://api.powerbi.com 6e064a38-7f82-4416-9451-8d82a554b559 Model","[Facilities].[DATIMName].&amp;[Siha Health Center]")</f>
        <v>#N/A</v>
      </c>
      <c r="B333" t="e">
        <f t="shared" si="32"/>
        <v>#N/A</v>
      </c>
      <c r="C333" t="e">
        <f t="shared" si="32"/>
        <v>#N/A</v>
      </c>
      <c r="D333" t="e">
        <f t="shared" si="32"/>
        <v>#N/A</v>
      </c>
      <c r="E333" t="e">
        <f t="shared" si="32"/>
        <v>#N/A</v>
      </c>
      <c r="F333" t="e">
        <f t="shared" si="32"/>
        <v>#N/A</v>
      </c>
      <c r="G333" t="e">
        <f t="shared" si="32"/>
        <v>#N/A</v>
      </c>
      <c r="H333" t="e">
        <f t="shared" si="32"/>
        <v>#N/A</v>
      </c>
      <c r="I333" t="e">
        <f t="shared" si="32"/>
        <v>#N/A</v>
      </c>
      <c r="J333" t="e">
        <f t="shared" si="32"/>
        <v>#N/A</v>
      </c>
    </row>
    <row r="334" spans="1:10" x14ac:dyDescent="0.25">
      <c r="A334" t="e">
        <f>CUBEMEMBER("pbiazure://api.powerbi.com 6e064a38-7f82-4416-9451-8d82a554b559 Model","[Facilities].[DATIMName].&amp;[Siha Hospital - District Hospital]")</f>
        <v>#N/A</v>
      </c>
      <c r="B334" t="e">
        <f t="shared" si="32"/>
        <v>#N/A</v>
      </c>
      <c r="C334" t="e">
        <f t="shared" si="32"/>
        <v>#N/A</v>
      </c>
      <c r="D334" t="e">
        <f t="shared" si="32"/>
        <v>#N/A</v>
      </c>
      <c r="E334" t="e">
        <f t="shared" si="32"/>
        <v>#N/A</v>
      </c>
      <c r="F334" t="e">
        <f t="shared" si="32"/>
        <v>#N/A</v>
      </c>
      <c r="G334" t="e">
        <f t="shared" si="32"/>
        <v>#N/A</v>
      </c>
      <c r="H334" t="e">
        <f t="shared" si="32"/>
        <v>#N/A</v>
      </c>
      <c r="I334" t="e">
        <f t="shared" si="32"/>
        <v>#N/A</v>
      </c>
      <c r="J334" t="e">
        <f t="shared" si="32"/>
        <v>#N/A</v>
      </c>
    </row>
    <row r="335" spans="1:10" x14ac:dyDescent="0.25">
      <c r="A335" t="e">
        <f>CUBEMEMBER("pbiazure://api.powerbi.com 6e064a38-7f82-4416-9451-8d82a554b559 Model","[Facilities].[DATIMName].&amp;[Siima Health Center]")</f>
        <v>#N/A</v>
      </c>
      <c r="B335" t="e">
        <f t="shared" si="32"/>
        <v>#N/A</v>
      </c>
      <c r="C335" t="e">
        <f t="shared" si="32"/>
        <v>#N/A</v>
      </c>
      <c r="D335" t="e">
        <f t="shared" si="32"/>
        <v>#N/A</v>
      </c>
      <c r="E335" t="e">
        <f t="shared" si="32"/>
        <v>#N/A</v>
      </c>
      <c r="F335" t="e">
        <f t="shared" si="32"/>
        <v>#N/A</v>
      </c>
      <c r="G335" t="e">
        <f t="shared" si="32"/>
        <v>#N/A</v>
      </c>
      <c r="H335" t="e">
        <f t="shared" si="32"/>
        <v>#N/A</v>
      </c>
      <c r="I335" t="e">
        <f t="shared" si="32"/>
        <v>#N/A</v>
      </c>
      <c r="J335" t="e">
        <f t="shared" si="32"/>
        <v>#N/A</v>
      </c>
    </row>
    <row r="336" spans="1:10" x14ac:dyDescent="0.25">
      <c r="A336" t="e">
        <f>CUBEMEMBER("pbiazure://api.powerbi.com 6e064a38-7f82-4416-9451-8d82a554b559 Model","[Facilities].[DATIMName].&amp;[Simanjiro HC Health Center]")</f>
        <v>#N/A</v>
      </c>
      <c r="B336" t="e">
        <f t="shared" ref="B336:J345" si="33">CUBEVALUE("pbiazure://api.powerbi.com 6e064a38-7f82-4416-9451-8d82a554b559 Model",$B$1,$A336,B$5)</f>
        <v>#N/A</v>
      </c>
      <c r="C336" t="e">
        <f t="shared" si="33"/>
        <v>#N/A</v>
      </c>
      <c r="D336" t="e">
        <f t="shared" si="33"/>
        <v>#N/A</v>
      </c>
      <c r="E336" t="e">
        <f t="shared" si="33"/>
        <v>#N/A</v>
      </c>
      <c r="F336" t="e">
        <f t="shared" si="33"/>
        <v>#N/A</v>
      </c>
      <c r="G336" t="e">
        <f t="shared" si="33"/>
        <v>#N/A</v>
      </c>
      <c r="H336" t="e">
        <f t="shared" si="33"/>
        <v>#N/A</v>
      </c>
      <c r="I336" t="e">
        <f t="shared" si="33"/>
        <v>#N/A</v>
      </c>
      <c r="J336" t="e">
        <f t="shared" si="33"/>
        <v>#N/A</v>
      </c>
    </row>
    <row r="337" spans="1:10" x14ac:dyDescent="0.25">
      <c r="A337" t="e">
        <f>CUBEMEMBER("pbiazure://api.powerbi.com 6e064a38-7f82-4416-9451-8d82a554b559 Model","[Facilities].[DATIMName].&amp;[Singida Hospital - Regional Referral Hospital]")</f>
        <v>#N/A</v>
      </c>
      <c r="B337" t="e">
        <f t="shared" si="33"/>
        <v>#N/A</v>
      </c>
      <c r="C337" t="e">
        <f t="shared" si="33"/>
        <v>#N/A</v>
      </c>
      <c r="D337" t="e">
        <f t="shared" si="33"/>
        <v>#N/A</v>
      </c>
      <c r="E337" t="e">
        <f t="shared" si="33"/>
        <v>#N/A</v>
      </c>
      <c r="F337" t="e">
        <f t="shared" si="33"/>
        <v>#N/A</v>
      </c>
      <c r="G337" t="e">
        <f t="shared" si="33"/>
        <v>#N/A</v>
      </c>
      <c r="H337" t="e">
        <f t="shared" si="33"/>
        <v>#N/A</v>
      </c>
      <c r="I337" t="e">
        <f t="shared" si="33"/>
        <v>#N/A</v>
      </c>
      <c r="J337" t="e">
        <f t="shared" si="33"/>
        <v>#N/A</v>
      </c>
    </row>
    <row r="338" spans="1:10" x14ac:dyDescent="0.25">
      <c r="A338" t="e">
        <f>CUBEMEMBER("pbiazure://api.powerbi.com 6e064a38-7f82-4416-9451-8d82a554b559 Model","[Facilities].[DATIMName].&amp;[Sokoine Health Center]")</f>
        <v>#N/A</v>
      </c>
      <c r="B338" t="e">
        <f t="shared" si="33"/>
        <v>#N/A</v>
      </c>
      <c r="C338" t="e">
        <f t="shared" si="33"/>
        <v>#N/A</v>
      </c>
      <c r="D338" t="e">
        <f t="shared" si="33"/>
        <v>#N/A</v>
      </c>
      <c r="E338" t="e">
        <f t="shared" si="33"/>
        <v>#N/A</v>
      </c>
      <c r="F338" t="e">
        <f t="shared" si="33"/>
        <v>#N/A</v>
      </c>
      <c r="G338" t="e">
        <f t="shared" si="33"/>
        <v>#N/A</v>
      </c>
      <c r="H338" t="e">
        <f t="shared" si="33"/>
        <v>#N/A</v>
      </c>
      <c r="I338" t="e">
        <f t="shared" si="33"/>
        <v>#N/A</v>
      </c>
      <c r="J338" t="e">
        <f t="shared" si="33"/>
        <v>#N/A</v>
      </c>
    </row>
    <row r="339" spans="1:10" x14ac:dyDescent="0.25">
      <c r="A339" t="e">
        <f>CUBEMEMBER("pbiazure://api.powerbi.com 6e064a38-7f82-4416-9451-8d82a554b559 Model","[Facilities].[DATIMName].&amp;[Sombetini Dispensary]")</f>
        <v>#N/A</v>
      </c>
      <c r="B339" t="e">
        <f t="shared" si="33"/>
        <v>#N/A</v>
      </c>
      <c r="C339" t="e">
        <f t="shared" si="33"/>
        <v>#N/A</v>
      </c>
      <c r="D339" t="e">
        <f t="shared" si="33"/>
        <v>#N/A</v>
      </c>
      <c r="E339" t="e">
        <f t="shared" si="33"/>
        <v>#N/A</v>
      </c>
      <c r="F339" t="e">
        <f t="shared" si="33"/>
        <v>#N/A</v>
      </c>
      <c r="G339" t="e">
        <f t="shared" si="33"/>
        <v>#N/A</v>
      </c>
      <c r="H339" t="e">
        <f t="shared" si="33"/>
        <v>#N/A</v>
      </c>
      <c r="I339" t="e">
        <f t="shared" si="33"/>
        <v>#N/A</v>
      </c>
      <c r="J339" t="e">
        <f t="shared" si="33"/>
        <v>#N/A</v>
      </c>
    </row>
    <row r="340" spans="1:10" x14ac:dyDescent="0.25">
      <c r="A340" t="e">
        <f>CUBEMEMBER("pbiazure://api.powerbi.com 6e064a38-7f82-4416-9451-8d82a554b559 Model","[Facilities].[DATIMName].&amp;[Songambele Dispensary]")</f>
        <v>#N/A</v>
      </c>
      <c r="B340" t="e">
        <f t="shared" si="33"/>
        <v>#N/A</v>
      </c>
      <c r="C340" t="e">
        <f t="shared" si="33"/>
        <v>#N/A</v>
      </c>
      <c r="D340" t="e">
        <f t="shared" si="33"/>
        <v>#N/A</v>
      </c>
      <c r="E340" t="e">
        <f t="shared" si="33"/>
        <v>#N/A</v>
      </c>
      <c r="F340" t="e">
        <f t="shared" si="33"/>
        <v>#N/A</v>
      </c>
      <c r="G340" t="e">
        <f t="shared" si="33"/>
        <v>#N/A</v>
      </c>
      <c r="H340" t="e">
        <f t="shared" si="33"/>
        <v>#N/A</v>
      </c>
      <c r="I340" t="e">
        <f t="shared" si="33"/>
        <v>#N/A</v>
      </c>
      <c r="J340" t="e">
        <f t="shared" si="33"/>
        <v>#N/A</v>
      </c>
    </row>
    <row r="341" spans="1:10" x14ac:dyDescent="0.25">
      <c r="A341" t="e">
        <f>CUBEMEMBER("pbiazure://api.powerbi.com 6e064a38-7f82-4416-9451-8d82a554b559 Model","[Facilities].[DATIMName].&amp;[Soya Dispensary]")</f>
        <v>#N/A</v>
      </c>
      <c r="B341" t="e">
        <f t="shared" si="33"/>
        <v>#N/A</v>
      </c>
      <c r="C341" t="e">
        <f t="shared" si="33"/>
        <v>#N/A</v>
      </c>
      <c r="D341" t="e">
        <f t="shared" si="33"/>
        <v>#N/A</v>
      </c>
      <c r="E341" t="e">
        <f t="shared" si="33"/>
        <v>#N/A</v>
      </c>
      <c r="F341" t="e">
        <f t="shared" si="33"/>
        <v>#N/A</v>
      </c>
      <c r="G341" t="e">
        <f t="shared" si="33"/>
        <v>#N/A</v>
      </c>
      <c r="H341" t="e">
        <f t="shared" si="33"/>
        <v>#N/A</v>
      </c>
      <c r="I341" t="e">
        <f t="shared" si="33"/>
        <v>#N/A</v>
      </c>
      <c r="J341" t="e">
        <f t="shared" si="33"/>
        <v>#N/A</v>
      </c>
    </row>
    <row r="342" spans="1:10" x14ac:dyDescent="0.25">
      <c r="A342" t="e">
        <f>CUBEMEMBER("pbiazure://api.powerbi.com 6e064a38-7f82-4416-9451-8d82a554b559 Model","[Facilities].[DATIMName].&amp;[St Carolus Hospital - Designated District Hospital]")</f>
        <v>#N/A</v>
      </c>
      <c r="B342" t="e">
        <f t="shared" si="33"/>
        <v>#N/A</v>
      </c>
      <c r="C342" t="e">
        <f t="shared" si="33"/>
        <v>#N/A</v>
      </c>
      <c r="D342" t="e">
        <f t="shared" si="33"/>
        <v>#N/A</v>
      </c>
      <c r="E342" t="e">
        <f t="shared" si="33"/>
        <v>#N/A</v>
      </c>
      <c r="F342" t="e">
        <f t="shared" si="33"/>
        <v>#N/A</v>
      </c>
      <c r="G342" t="e">
        <f t="shared" si="33"/>
        <v>#N/A</v>
      </c>
      <c r="H342" t="e">
        <f t="shared" si="33"/>
        <v>#N/A</v>
      </c>
      <c r="I342" t="e">
        <f t="shared" si="33"/>
        <v>#N/A</v>
      </c>
      <c r="J342" t="e">
        <f t="shared" si="33"/>
        <v>#N/A</v>
      </c>
    </row>
    <row r="343" spans="1:10" x14ac:dyDescent="0.25">
      <c r="A343" t="e">
        <f>CUBEMEMBER("pbiazure://api.powerbi.com 6e064a38-7f82-4416-9451-8d82a554b559 Model","[Facilities].[DATIMName].&amp;[St Lukes Health Center]")</f>
        <v>#N/A</v>
      </c>
      <c r="B343" t="e">
        <f t="shared" si="33"/>
        <v>#N/A</v>
      </c>
      <c r="C343" t="e">
        <f t="shared" si="33"/>
        <v>#N/A</v>
      </c>
      <c r="D343" t="e">
        <f t="shared" si="33"/>
        <v>#N/A</v>
      </c>
      <c r="E343" t="e">
        <f t="shared" si="33"/>
        <v>#N/A</v>
      </c>
      <c r="F343" t="e">
        <f t="shared" si="33"/>
        <v>#N/A</v>
      </c>
      <c r="G343" t="e">
        <f t="shared" si="33"/>
        <v>#N/A</v>
      </c>
      <c r="H343" t="e">
        <f t="shared" si="33"/>
        <v>#N/A</v>
      </c>
      <c r="I343" t="e">
        <f t="shared" si="33"/>
        <v>#N/A</v>
      </c>
      <c r="J343" t="e">
        <f t="shared" si="33"/>
        <v>#N/A</v>
      </c>
    </row>
    <row r="344" spans="1:10" x14ac:dyDescent="0.25">
      <c r="A344" t="e">
        <f>CUBEMEMBER("pbiazure://api.powerbi.com 6e064a38-7f82-4416-9451-8d82a554b559 Model","[Facilities].[DATIMName].&amp;[St. Alois Health Center]")</f>
        <v>#N/A</v>
      </c>
      <c r="B344" t="e">
        <f t="shared" si="33"/>
        <v>#N/A</v>
      </c>
      <c r="C344" t="e">
        <f t="shared" si="33"/>
        <v>#N/A</v>
      </c>
      <c r="D344" t="e">
        <f t="shared" si="33"/>
        <v>#N/A</v>
      </c>
      <c r="E344" t="e">
        <f t="shared" si="33"/>
        <v>#N/A</v>
      </c>
      <c r="F344" t="e">
        <f t="shared" si="33"/>
        <v>#N/A</v>
      </c>
      <c r="G344" t="e">
        <f t="shared" si="33"/>
        <v>#N/A</v>
      </c>
      <c r="H344" t="e">
        <f t="shared" si="33"/>
        <v>#N/A</v>
      </c>
      <c r="I344" t="e">
        <f t="shared" si="33"/>
        <v>#N/A</v>
      </c>
      <c r="J344" t="e">
        <f t="shared" si="33"/>
        <v>#N/A</v>
      </c>
    </row>
    <row r="345" spans="1:10" x14ac:dyDescent="0.25">
      <c r="A345" t="e">
        <f>CUBEMEMBER("pbiazure://api.powerbi.com 6e064a38-7f82-4416-9451-8d82a554b559 Model","[Facilities].[DATIMName].&amp;[St. Elizabeth Hospital - Designated District Hospital]")</f>
        <v>#N/A</v>
      </c>
      <c r="B345" t="e">
        <f t="shared" si="33"/>
        <v>#N/A</v>
      </c>
      <c r="C345" t="e">
        <f t="shared" si="33"/>
        <v>#N/A</v>
      </c>
      <c r="D345" t="e">
        <f t="shared" si="33"/>
        <v>#N/A</v>
      </c>
      <c r="E345" t="e">
        <f t="shared" si="33"/>
        <v>#N/A</v>
      </c>
      <c r="F345" t="e">
        <f t="shared" si="33"/>
        <v>#N/A</v>
      </c>
      <c r="G345" t="e">
        <f t="shared" si="33"/>
        <v>#N/A</v>
      </c>
      <c r="H345" t="e">
        <f t="shared" si="33"/>
        <v>#N/A</v>
      </c>
      <c r="I345" t="e">
        <f t="shared" si="33"/>
        <v>#N/A</v>
      </c>
      <c r="J345" t="e">
        <f t="shared" si="33"/>
        <v>#N/A</v>
      </c>
    </row>
    <row r="346" spans="1:10" x14ac:dyDescent="0.25">
      <c r="A346" t="e">
        <f>CUBEMEMBER("pbiazure://api.powerbi.com 6e064a38-7f82-4416-9451-8d82a554b559 Model","[Facilities].[DATIMName].&amp;[St. Gasper Hospital - Referral Hospital]")</f>
        <v>#N/A</v>
      </c>
      <c r="B346" t="e">
        <f t="shared" ref="B346:J355" si="34">CUBEVALUE("pbiazure://api.powerbi.com 6e064a38-7f82-4416-9451-8d82a554b559 Model",$B$1,$A346,B$5)</f>
        <v>#N/A</v>
      </c>
      <c r="C346" t="e">
        <f t="shared" si="34"/>
        <v>#N/A</v>
      </c>
      <c r="D346" t="e">
        <f t="shared" si="34"/>
        <v>#N/A</v>
      </c>
      <c r="E346" t="e">
        <f t="shared" si="34"/>
        <v>#N/A</v>
      </c>
      <c r="F346" t="e">
        <f t="shared" si="34"/>
        <v>#N/A</v>
      </c>
      <c r="G346" t="e">
        <f t="shared" si="34"/>
        <v>#N/A</v>
      </c>
      <c r="H346" t="e">
        <f t="shared" si="34"/>
        <v>#N/A</v>
      </c>
      <c r="I346" t="e">
        <f t="shared" si="34"/>
        <v>#N/A</v>
      </c>
      <c r="J346" t="e">
        <f t="shared" si="34"/>
        <v>#N/A</v>
      </c>
    </row>
    <row r="347" spans="1:10" x14ac:dyDescent="0.25">
      <c r="A347" t="e">
        <f>CUBEMEMBER("pbiazure://api.powerbi.com 6e064a38-7f82-4416-9451-8d82a554b559 Model","[Facilities].[DATIMName].&amp;[St. Gemma Hospital - Designated District Hospital]")</f>
        <v>#N/A</v>
      </c>
      <c r="B347" t="e">
        <f t="shared" si="34"/>
        <v>#N/A</v>
      </c>
      <c r="C347" t="e">
        <f t="shared" si="34"/>
        <v>#N/A</v>
      </c>
      <c r="D347" t="e">
        <f t="shared" si="34"/>
        <v>#N/A</v>
      </c>
      <c r="E347" t="e">
        <f t="shared" si="34"/>
        <v>#N/A</v>
      </c>
      <c r="F347" t="e">
        <f t="shared" si="34"/>
        <v>#N/A</v>
      </c>
      <c r="G347" t="e">
        <f t="shared" si="34"/>
        <v>#N/A</v>
      </c>
      <c r="H347" t="e">
        <f t="shared" si="34"/>
        <v>#N/A</v>
      </c>
      <c r="I347" t="e">
        <f t="shared" si="34"/>
        <v>#N/A</v>
      </c>
      <c r="J347" t="e">
        <f t="shared" si="34"/>
        <v>#N/A</v>
      </c>
    </row>
    <row r="348" spans="1:10" x14ac:dyDescent="0.25">
      <c r="A348" t="e">
        <f>CUBEMEMBER("pbiazure://api.powerbi.com 6e064a38-7f82-4416-9451-8d82a554b559 Model","[Facilities].[DATIMName].&amp;[St. Joseph Hospital - Designated District Hospital]")</f>
        <v>#N/A</v>
      </c>
      <c r="B348" t="e">
        <f t="shared" si="34"/>
        <v>#N/A</v>
      </c>
      <c r="C348" t="e">
        <f t="shared" si="34"/>
        <v>#N/A</v>
      </c>
      <c r="D348" t="e">
        <f t="shared" si="34"/>
        <v>#N/A</v>
      </c>
      <c r="E348" t="e">
        <f t="shared" si="34"/>
        <v>#N/A</v>
      </c>
      <c r="F348" t="e">
        <f t="shared" si="34"/>
        <v>#N/A</v>
      </c>
      <c r="G348" t="e">
        <f t="shared" si="34"/>
        <v>#N/A</v>
      </c>
      <c r="H348" t="e">
        <f t="shared" si="34"/>
        <v>#N/A</v>
      </c>
      <c r="I348" t="e">
        <f t="shared" si="34"/>
        <v>#N/A</v>
      </c>
      <c r="J348" t="e">
        <f t="shared" si="34"/>
        <v>#N/A</v>
      </c>
    </row>
    <row r="349" spans="1:10" x14ac:dyDescent="0.25">
      <c r="A349" t="e">
        <f>CUBEMEMBER("pbiazure://api.powerbi.com 6e064a38-7f82-4416-9451-8d82a554b559 Model","[Facilities].[DATIMName].&amp;[St. Thomas Health Center]")</f>
        <v>#N/A</v>
      </c>
      <c r="B349" t="e">
        <f t="shared" si="34"/>
        <v>#N/A</v>
      </c>
      <c r="C349" t="e">
        <f t="shared" si="34"/>
        <v>#N/A</v>
      </c>
      <c r="D349" t="e">
        <f t="shared" si="34"/>
        <v>#N/A</v>
      </c>
      <c r="E349" t="e">
        <f t="shared" si="34"/>
        <v>#N/A</v>
      </c>
      <c r="F349" t="e">
        <f t="shared" si="34"/>
        <v>#N/A</v>
      </c>
      <c r="G349" t="e">
        <f t="shared" si="34"/>
        <v>#N/A</v>
      </c>
      <c r="H349" t="e">
        <f t="shared" si="34"/>
        <v>#N/A</v>
      </c>
      <c r="I349" t="e">
        <f t="shared" si="34"/>
        <v>#N/A</v>
      </c>
      <c r="J349" t="e">
        <f t="shared" si="34"/>
        <v>#N/A</v>
      </c>
    </row>
    <row r="350" spans="1:10" x14ac:dyDescent="0.25">
      <c r="A350" t="e">
        <f>CUBEMEMBER("pbiazure://api.powerbi.com 6e064a38-7f82-4416-9451-8d82a554b559 Model","[Facilities].[DATIMName].&amp;[Sukuro Dispensary]")</f>
        <v>#N/A</v>
      </c>
      <c r="B350" t="e">
        <f t="shared" si="34"/>
        <v>#N/A</v>
      </c>
      <c r="C350" t="e">
        <f t="shared" si="34"/>
        <v>#N/A</v>
      </c>
      <c r="D350" t="e">
        <f t="shared" si="34"/>
        <v>#N/A</v>
      </c>
      <c r="E350" t="e">
        <f t="shared" si="34"/>
        <v>#N/A</v>
      </c>
      <c r="F350" t="e">
        <f t="shared" si="34"/>
        <v>#N/A</v>
      </c>
      <c r="G350" t="e">
        <f t="shared" si="34"/>
        <v>#N/A</v>
      </c>
      <c r="H350" t="e">
        <f t="shared" si="34"/>
        <v>#N/A</v>
      </c>
      <c r="I350" t="e">
        <f t="shared" si="34"/>
        <v>#N/A</v>
      </c>
      <c r="J350" t="e">
        <f t="shared" si="34"/>
        <v>#N/A</v>
      </c>
    </row>
    <row r="351" spans="1:10" x14ac:dyDescent="0.25">
      <c r="A351" t="e">
        <f>CUBEMEMBER("pbiazure://api.powerbi.com 6e064a38-7f82-4416-9451-8d82a554b559 Model","[Facilities].[DATIMName].&amp;[Sunya Health Center]")</f>
        <v>#N/A</v>
      </c>
      <c r="B351" t="e">
        <f t="shared" si="34"/>
        <v>#N/A</v>
      </c>
      <c r="C351" t="e">
        <f t="shared" si="34"/>
        <v>#N/A</v>
      </c>
      <c r="D351" t="e">
        <f t="shared" si="34"/>
        <v>#N/A</v>
      </c>
      <c r="E351" t="e">
        <f t="shared" si="34"/>
        <v>#N/A</v>
      </c>
      <c r="F351" t="e">
        <f t="shared" si="34"/>
        <v>#N/A</v>
      </c>
      <c r="G351" t="e">
        <f t="shared" si="34"/>
        <v>#N/A</v>
      </c>
      <c r="H351" t="e">
        <f t="shared" si="34"/>
        <v>#N/A</v>
      </c>
      <c r="I351" t="e">
        <f t="shared" si="34"/>
        <v>#N/A</v>
      </c>
      <c r="J351" t="e">
        <f t="shared" si="34"/>
        <v>#N/A</v>
      </c>
    </row>
    <row r="352" spans="1:10" x14ac:dyDescent="0.25">
      <c r="A352" t="e">
        <f>CUBEMEMBER("pbiazure://api.powerbi.com 6e064a38-7f82-4416-9451-8d82a554b559 Model","[Facilities].[DATIMName].&amp;[Tambi Dispensary]")</f>
        <v>#N/A</v>
      </c>
      <c r="B352" t="e">
        <f t="shared" si="34"/>
        <v>#N/A</v>
      </c>
      <c r="C352" t="e">
        <f t="shared" si="34"/>
        <v>#N/A</v>
      </c>
      <c r="D352" t="e">
        <f t="shared" si="34"/>
        <v>#N/A</v>
      </c>
      <c r="E352" t="e">
        <f t="shared" si="34"/>
        <v>#N/A</v>
      </c>
      <c r="F352" t="e">
        <f t="shared" si="34"/>
        <v>#N/A</v>
      </c>
      <c r="G352" t="e">
        <f t="shared" si="34"/>
        <v>#N/A</v>
      </c>
      <c r="H352" t="e">
        <f t="shared" si="34"/>
        <v>#N/A</v>
      </c>
      <c r="I352" t="e">
        <f t="shared" si="34"/>
        <v>#N/A</v>
      </c>
      <c r="J352" t="e">
        <f t="shared" si="34"/>
        <v>#N/A</v>
      </c>
    </row>
    <row r="353" spans="1:10" x14ac:dyDescent="0.25">
      <c r="A353" t="e">
        <f>CUBEMEMBER("pbiazure://api.powerbi.com 6e064a38-7f82-4416-9451-8d82a554b559 Model","[Facilities].[DATIMName].&amp;[Tarakea Health Center]")</f>
        <v>#N/A</v>
      </c>
      <c r="B353" t="e">
        <f t="shared" si="34"/>
        <v>#N/A</v>
      </c>
      <c r="C353" t="e">
        <f t="shared" si="34"/>
        <v>#N/A</v>
      </c>
      <c r="D353" t="e">
        <f t="shared" si="34"/>
        <v>#N/A</v>
      </c>
      <c r="E353" t="e">
        <f t="shared" si="34"/>
        <v>#N/A</v>
      </c>
      <c r="F353" t="e">
        <f t="shared" si="34"/>
        <v>#N/A</v>
      </c>
      <c r="G353" t="e">
        <f t="shared" si="34"/>
        <v>#N/A</v>
      </c>
      <c r="H353" t="e">
        <f t="shared" si="34"/>
        <v>#N/A</v>
      </c>
      <c r="I353" t="e">
        <f t="shared" si="34"/>
        <v>#N/A</v>
      </c>
      <c r="J353" t="e">
        <f t="shared" si="34"/>
        <v>#N/A</v>
      </c>
    </row>
    <row r="354" spans="1:10" x14ac:dyDescent="0.25">
      <c r="A354" t="e">
        <f>CUBEMEMBER("pbiazure://api.powerbi.com 6e064a38-7f82-4416-9451-8d82a554b559 Model","[Facilities].[DATIMName].&amp;[Terrat Dispensary]")</f>
        <v>#N/A</v>
      </c>
      <c r="B354" t="e">
        <f t="shared" si="34"/>
        <v>#N/A</v>
      </c>
      <c r="C354" t="e">
        <f t="shared" si="34"/>
        <v>#N/A</v>
      </c>
      <c r="D354" t="e">
        <f t="shared" si="34"/>
        <v>#N/A</v>
      </c>
      <c r="E354" t="e">
        <f t="shared" si="34"/>
        <v>#N/A</v>
      </c>
      <c r="F354" t="e">
        <f t="shared" si="34"/>
        <v>#N/A</v>
      </c>
      <c r="G354" t="e">
        <f t="shared" si="34"/>
        <v>#N/A</v>
      </c>
      <c r="H354" t="e">
        <f t="shared" si="34"/>
        <v>#N/A</v>
      </c>
      <c r="I354" t="e">
        <f t="shared" si="34"/>
        <v>#N/A</v>
      </c>
      <c r="J354" t="e">
        <f t="shared" si="34"/>
        <v>#N/A</v>
      </c>
    </row>
    <row r="355" spans="1:10" x14ac:dyDescent="0.25">
      <c r="A355" t="e">
        <f>CUBEMEMBER("pbiazure://api.powerbi.com 6e064a38-7f82-4416-9451-8d82a554b559 Model","[Facilities].[DATIMName].&amp;[Thawi Dispensary]")</f>
        <v>#N/A</v>
      </c>
      <c r="B355" t="e">
        <f t="shared" si="34"/>
        <v>#N/A</v>
      </c>
      <c r="C355" t="e">
        <f t="shared" si="34"/>
        <v>#N/A</v>
      </c>
      <c r="D355" t="e">
        <f t="shared" si="34"/>
        <v>#N/A</v>
      </c>
      <c r="E355" t="e">
        <f t="shared" si="34"/>
        <v>#N/A</v>
      </c>
      <c r="F355" t="e">
        <f t="shared" si="34"/>
        <v>#N/A</v>
      </c>
      <c r="G355" t="e">
        <f t="shared" si="34"/>
        <v>#N/A</v>
      </c>
      <c r="H355" t="e">
        <f t="shared" si="34"/>
        <v>#N/A</v>
      </c>
      <c r="I355" t="e">
        <f t="shared" si="34"/>
        <v>#N/A</v>
      </c>
      <c r="J355" t="e">
        <f t="shared" si="34"/>
        <v>#N/A</v>
      </c>
    </row>
    <row r="356" spans="1:10" x14ac:dyDescent="0.25">
      <c r="A356" t="e">
        <f>CUBEMEMBER("pbiazure://api.powerbi.com 6e064a38-7f82-4416-9451-8d82a554b559 Model","[Facilities].[DATIMName].&amp;[Themi Health Center]")</f>
        <v>#N/A</v>
      </c>
      <c r="B356" t="e">
        <f t="shared" ref="B356:J365" si="35">CUBEVALUE("pbiazure://api.powerbi.com 6e064a38-7f82-4416-9451-8d82a554b559 Model",$B$1,$A356,B$5)</f>
        <v>#N/A</v>
      </c>
      <c r="C356" t="e">
        <f t="shared" si="35"/>
        <v>#N/A</v>
      </c>
      <c r="D356" t="e">
        <f t="shared" si="35"/>
        <v>#N/A</v>
      </c>
      <c r="E356" t="e">
        <f t="shared" si="35"/>
        <v>#N/A</v>
      </c>
      <c r="F356" t="e">
        <f t="shared" si="35"/>
        <v>#N/A</v>
      </c>
      <c r="G356" t="e">
        <f t="shared" si="35"/>
        <v>#N/A</v>
      </c>
      <c r="H356" t="e">
        <f t="shared" si="35"/>
        <v>#N/A</v>
      </c>
      <c r="I356" t="e">
        <f t="shared" si="35"/>
        <v>#N/A</v>
      </c>
      <c r="J356" t="e">
        <f t="shared" si="35"/>
        <v>#N/A</v>
      </c>
    </row>
    <row r="357" spans="1:10" x14ac:dyDescent="0.25">
      <c r="A357" t="e">
        <f>CUBEMEMBER("pbiazure://api.powerbi.com 6e064a38-7f82-4416-9451-8d82a554b559 Model","[Facilities].[DATIMName].&amp;[TPC Hospital - Other Hospital]")</f>
        <v>#N/A</v>
      </c>
      <c r="B357" t="e">
        <f t="shared" si="35"/>
        <v>#N/A</v>
      </c>
      <c r="C357" t="e">
        <f t="shared" si="35"/>
        <v>#N/A</v>
      </c>
      <c r="D357" t="e">
        <f t="shared" si="35"/>
        <v>#N/A</v>
      </c>
      <c r="E357" t="e">
        <f t="shared" si="35"/>
        <v>#N/A</v>
      </c>
      <c r="F357" t="e">
        <f t="shared" si="35"/>
        <v>#N/A</v>
      </c>
      <c r="G357" t="e">
        <f t="shared" si="35"/>
        <v>#N/A</v>
      </c>
      <c r="H357" t="e">
        <f t="shared" si="35"/>
        <v>#N/A</v>
      </c>
      <c r="I357" t="e">
        <f t="shared" si="35"/>
        <v>#N/A</v>
      </c>
      <c r="J357" t="e">
        <f t="shared" si="35"/>
        <v>#N/A</v>
      </c>
    </row>
    <row r="358" spans="1:10" x14ac:dyDescent="0.25">
      <c r="A358" t="e">
        <f>CUBEMEMBER("pbiazure://api.powerbi.com 6e064a38-7f82-4416-9451-8d82a554b559 Model","[Facilities].[DATIMName].&amp;[Tubugwe Dispensary]")</f>
        <v>#N/A</v>
      </c>
      <c r="B358" t="e">
        <f t="shared" si="35"/>
        <v>#N/A</v>
      </c>
      <c r="C358" t="e">
        <f t="shared" si="35"/>
        <v>#N/A</v>
      </c>
      <c r="D358" t="e">
        <f t="shared" si="35"/>
        <v>#N/A</v>
      </c>
      <c r="E358" t="e">
        <f t="shared" si="35"/>
        <v>#N/A</v>
      </c>
      <c r="F358" t="e">
        <f t="shared" si="35"/>
        <v>#N/A</v>
      </c>
      <c r="G358" t="e">
        <f t="shared" si="35"/>
        <v>#N/A</v>
      </c>
      <c r="H358" t="e">
        <f t="shared" si="35"/>
        <v>#N/A</v>
      </c>
      <c r="I358" t="e">
        <f t="shared" si="35"/>
        <v>#N/A</v>
      </c>
      <c r="J358" t="e">
        <f t="shared" si="35"/>
        <v>#N/A</v>
      </c>
    </row>
    <row r="359" spans="1:10" x14ac:dyDescent="0.25">
      <c r="A359" t="e">
        <f>CUBEMEMBER("pbiazure://api.powerbi.com 6e064a38-7f82-4416-9451-8d82a554b559 Model","[Facilities].[DATIMName].&amp;[Tumaini Hospital]")</f>
        <v>#N/A</v>
      </c>
      <c r="B359" t="e">
        <f t="shared" si="35"/>
        <v>#N/A</v>
      </c>
      <c r="C359" t="e">
        <f t="shared" si="35"/>
        <v>#N/A</v>
      </c>
      <c r="D359" t="e">
        <f t="shared" si="35"/>
        <v>#N/A</v>
      </c>
      <c r="E359" t="e">
        <f t="shared" si="35"/>
        <v>#N/A</v>
      </c>
      <c r="F359" t="e">
        <f t="shared" si="35"/>
        <v>#N/A</v>
      </c>
      <c r="G359" t="e">
        <f t="shared" si="35"/>
        <v>#N/A</v>
      </c>
      <c r="H359" t="e">
        <f t="shared" si="35"/>
        <v>#N/A</v>
      </c>
      <c r="I359" t="e">
        <f t="shared" si="35"/>
        <v>#N/A</v>
      </c>
      <c r="J359" t="e">
        <f t="shared" si="35"/>
        <v>#N/A</v>
      </c>
    </row>
    <row r="360" spans="1:10" x14ac:dyDescent="0.25">
      <c r="A360" t="e">
        <f>CUBEMEMBER("pbiazure://api.powerbi.com 6e064a38-7f82-4416-9451-8d82a554b559 Model","[Facilities].[DATIMName].&amp;[UDOM Health Center]")</f>
        <v>#N/A</v>
      </c>
      <c r="B360" t="e">
        <f t="shared" si="35"/>
        <v>#N/A</v>
      </c>
      <c r="C360" t="e">
        <f t="shared" si="35"/>
        <v>#N/A</v>
      </c>
      <c r="D360" t="e">
        <f t="shared" si="35"/>
        <v>#N/A</v>
      </c>
      <c r="E360" t="e">
        <f t="shared" si="35"/>
        <v>#N/A</v>
      </c>
      <c r="F360" t="e">
        <f t="shared" si="35"/>
        <v>#N/A</v>
      </c>
      <c r="G360" t="e">
        <f t="shared" si="35"/>
        <v>#N/A</v>
      </c>
      <c r="H360" t="e">
        <f t="shared" si="35"/>
        <v>#N/A</v>
      </c>
      <c r="I360" t="e">
        <f t="shared" si="35"/>
        <v>#N/A</v>
      </c>
      <c r="J360" t="e">
        <f t="shared" si="35"/>
        <v>#N/A</v>
      </c>
    </row>
    <row r="361" spans="1:10" x14ac:dyDescent="0.25">
      <c r="A361" t="e">
        <f>CUBEMEMBER("pbiazure://api.powerbi.com 6e064a38-7f82-4416-9451-8d82a554b559 Model","[Facilities].[DATIMName].&amp;[Ugogoni Health Center]")</f>
        <v>#N/A</v>
      </c>
      <c r="B361" t="e">
        <f t="shared" si="35"/>
        <v>#N/A</v>
      </c>
      <c r="C361" t="e">
        <f t="shared" si="35"/>
        <v>#N/A</v>
      </c>
      <c r="D361" t="e">
        <f t="shared" si="35"/>
        <v>#N/A</v>
      </c>
      <c r="E361" t="e">
        <f t="shared" si="35"/>
        <v>#N/A</v>
      </c>
      <c r="F361" t="e">
        <f t="shared" si="35"/>
        <v>#N/A</v>
      </c>
      <c r="G361" t="e">
        <f t="shared" si="35"/>
        <v>#N/A</v>
      </c>
      <c r="H361" t="e">
        <f t="shared" si="35"/>
        <v>#N/A</v>
      </c>
      <c r="I361" t="e">
        <f t="shared" si="35"/>
        <v>#N/A</v>
      </c>
      <c r="J361" t="e">
        <f t="shared" si="35"/>
        <v>#N/A</v>
      </c>
    </row>
    <row r="362" spans="1:10" x14ac:dyDescent="0.25">
      <c r="A362" t="e">
        <f>CUBEMEMBER("pbiazure://api.powerbi.com 6e064a38-7f82-4416-9451-8d82a554b559 Model","[Facilities].[DATIMName].&amp;[Uhasibu Dispensary]")</f>
        <v>#N/A</v>
      </c>
      <c r="B362" t="e">
        <f t="shared" si="35"/>
        <v>#N/A</v>
      </c>
      <c r="C362" t="e">
        <f t="shared" si="35"/>
        <v>#N/A</v>
      </c>
      <c r="D362" t="e">
        <f t="shared" si="35"/>
        <v>#N/A</v>
      </c>
      <c r="E362" t="e">
        <f t="shared" si="35"/>
        <v>#N/A</v>
      </c>
      <c r="F362" t="e">
        <f t="shared" si="35"/>
        <v>#N/A</v>
      </c>
      <c r="G362" t="e">
        <f t="shared" si="35"/>
        <v>#N/A</v>
      </c>
      <c r="H362" t="e">
        <f t="shared" si="35"/>
        <v>#N/A</v>
      </c>
      <c r="I362" t="e">
        <f t="shared" si="35"/>
        <v>#N/A</v>
      </c>
      <c r="J362" t="e">
        <f t="shared" si="35"/>
        <v>#N/A</v>
      </c>
    </row>
    <row r="363" spans="1:10" x14ac:dyDescent="0.25">
      <c r="A363" t="e">
        <f>CUBEMEMBER("pbiazure://api.powerbi.com 6e064a38-7f82-4416-9451-8d82a554b559 Model","[Facilities].[DATIMName].&amp;[Ulemo Dispensary]")</f>
        <v>#N/A</v>
      </c>
      <c r="B363" t="e">
        <f t="shared" si="35"/>
        <v>#N/A</v>
      </c>
      <c r="C363" t="e">
        <f t="shared" si="35"/>
        <v>#N/A</v>
      </c>
      <c r="D363" t="e">
        <f t="shared" si="35"/>
        <v>#N/A</v>
      </c>
      <c r="E363" t="e">
        <f t="shared" si="35"/>
        <v>#N/A</v>
      </c>
      <c r="F363" t="e">
        <f t="shared" si="35"/>
        <v>#N/A</v>
      </c>
      <c r="G363" t="e">
        <f t="shared" si="35"/>
        <v>#N/A</v>
      </c>
      <c r="H363" t="e">
        <f t="shared" si="35"/>
        <v>#N/A</v>
      </c>
      <c r="I363" t="e">
        <f t="shared" si="35"/>
        <v>#N/A</v>
      </c>
      <c r="J363" t="e">
        <f t="shared" si="35"/>
        <v>#N/A</v>
      </c>
    </row>
    <row r="364" spans="1:10" x14ac:dyDescent="0.25">
      <c r="A364" t="e">
        <f>CUBEMEMBER("pbiazure://api.powerbi.com 6e064a38-7f82-4416-9451-8d82a554b559 Model","[Facilities].[DATIMName].&amp;[UMATI Clinic]")</f>
        <v>#N/A</v>
      </c>
      <c r="B364" t="e">
        <f t="shared" si="35"/>
        <v>#N/A</v>
      </c>
      <c r="C364" t="e">
        <f t="shared" si="35"/>
        <v>#N/A</v>
      </c>
      <c r="D364" t="e">
        <f t="shared" si="35"/>
        <v>#N/A</v>
      </c>
      <c r="E364" t="e">
        <f t="shared" si="35"/>
        <v>#N/A</v>
      </c>
      <c r="F364" t="e">
        <f t="shared" si="35"/>
        <v>#N/A</v>
      </c>
      <c r="G364" t="e">
        <f t="shared" si="35"/>
        <v>#N/A</v>
      </c>
      <c r="H364" t="e">
        <f t="shared" si="35"/>
        <v>#N/A</v>
      </c>
      <c r="I364" t="e">
        <f t="shared" si="35"/>
        <v>#N/A</v>
      </c>
      <c r="J364" t="e">
        <f t="shared" si="35"/>
        <v>#N/A</v>
      </c>
    </row>
    <row r="365" spans="1:10" x14ac:dyDescent="0.25">
      <c r="A365" t="e">
        <f>CUBEMEMBER("pbiazure://api.powerbi.com 6e064a38-7f82-4416-9451-8d82a554b559 Model","[Facilities].[DATIMName].&amp;[Umbwe Health Center]")</f>
        <v>#N/A</v>
      </c>
      <c r="B365" t="e">
        <f t="shared" si="35"/>
        <v>#N/A</v>
      </c>
      <c r="C365" t="e">
        <f t="shared" si="35"/>
        <v>#N/A</v>
      </c>
      <c r="D365" t="e">
        <f t="shared" si="35"/>
        <v>#N/A</v>
      </c>
      <c r="E365" t="e">
        <f t="shared" si="35"/>
        <v>#N/A</v>
      </c>
      <c r="F365" t="e">
        <f t="shared" si="35"/>
        <v>#N/A</v>
      </c>
      <c r="G365" t="e">
        <f t="shared" si="35"/>
        <v>#N/A</v>
      </c>
      <c r="H365" t="e">
        <f t="shared" si="35"/>
        <v>#N/A</v>
      </c>
      <c r="I365" t="e">
        <f t="shared" si="35"/>
        <v>#N/A</v>
      </c>
      <c r="J365" t="e">
        <f t="shared" si="35"/>
        <v>#N/A</v>
      </c>
    </row>
    <row r="366" spans="1:10" x14ac:dyDescent="0.25">
      <c r="A366" t="e">
        <f>CUBEMEMBER("pbiazure://api.powerbi.com 6e064a38-7f82-4416-9451-8d82a554b559 Model","[Facilities].[DATIMName].&amp;[Upendo Dispensary]")</f>
        <v>#N/A</v>
      </c>
      <c r="B366" t="e">
        <f t="shared" ref="B366:J375" si="36">CUBEVALUE("pbiazure://api.powerbi.com 6e064a38-7f82-4416-9451-8d82a554b559 Model",$B$1,$A366,B$5)</f>
        <v>#N/A</v>
      </c>
      <c r="C366" t="e">
        <f t="shared" si="36"/>
        <v>#N/A</v>
      </c>
      <c r="D366" t="e">
        <f t="shared" si="36"/>
        <v>#N/A</v>
      </c>
      <c r="E366" t="e">
        <f t="shared" si="36"/>
        <v>#N/A</v>
      </c>
      <c r="F366" t="e">
        <f t="shared" si="36"/>
        <v>#N/A</v>
      </c>
      <c r="G366" t="e">
        <f t="shared" si="36"/>
        <v>#N/A</v>
      </c>
      <c r="H366" t="e">
        <f t="shared" si="36"/>
        <v>#N/A</v>
      </c>
      <c r="I366" t="e">
        <f t="shared" si="36"/>
        <v>#N/A</v>
      </c>
      <c r="J366" t="e">
        <f t="shared" si="36"/>
        <v>#N/A</v>
      </c>
    </row>
    <row r="367" spans="1:10" x14ac:dyDescent="0.25">
      <c r="A367" t="e">
        <f>CUBEMEMBER("pbiazure://api.powerbi.com 6e064a38-7f82-4416-9451-8d82a554b559 Model","[Facilities].[DATIMName].&amp;[Uru kaskazini Dispensary]")</f>
        <v>#N/A</v>
      </c>
      <c r="B367" t="e">
        <f t="shared" si="36"/>
        <v>#N/A</v>
      </c>
      <c r="C367" t="e">
        <f t="shared" si="36"/>
        <v>#N/A</v>
      </c>
      <c r="D367" t="e">
        <f t="shared" si="36"/>
        <v>#N/A</v>
      </c>
      <c r="E367" t="e">
        <f t="shared" si="36"/>
        <v>#N/A</v>
      </c>
      <c r="F367" t="e">
        <f t="shared" si="36"/>
        <v>#N/A</v>
      </c>
      <c r="G367" t="e">
        <f t="shared" si="36"/>
        <v>#N/A</v>
      </c>
      <c r="H367" t="e">
        <f t="shared" si="36"/>
        <v>#N/A</v>
      </c>
      <c r="I367" t="e">
        <f t="shared" si="36"/>
        <v>#N/A</v>
      </c>
      <c r="J367" t="e">
        <f t="shared" si="36"/>
        <v>#N/A</v>
      </c>
    </row>
    <row r="368" spans="1:10" x14ac:dyDescent="0.25">
      <c r="A368" t="e">
        <f>CUBEMEMBER("pbiazure://api.powerbi.com 6e064a38-7f82-4416-9451-8d82a554b559 Model","[Facilities].[DATIMName].&amp;[Uru Kyaseni Health Center]")</f>
        <v>#N/A</v>
      </c>
      <c r="B368" t="e">
        <f t="shared" si="36"/>
        <v>#N/A</v>
      </c>
      <c r="C368" t="e">
        <f t="shared" si="36"/>
        <v>#N/A</v>
      </c>
      <c r="D368" t="e">
        <f t="shared" si="36"/>
        <v>#N/A</v>
      </c>
      <c r="E368" t="e">
        <f t="shared" si="36"/>
        <v>#N/A</v>
      </c>
      <c r="F368" t="e">
        <f t="shared" si="36"/>
        <v>#N/A</v>
      </c>
      <c r="G368" t="e">
        <f t="shared" si="36"/>
        <v>#N/A</v>
      </c>
      <c r="H368" t="e">
        <f t="shared" si="36"/>
        <v>#N/A</v>
      </c>
      <c r="I368" t="e">
        <f t="shared" si="36"/>
        <v>#N/A</v>
      </c>
      <c r="J368" t="e">
        <f t="shared" si="36"/>
        <v>#N/A</v>
      </c>
    </row>
    <row r="369" spans="1:10" x14ac:dyDescent="0.25">
      <c r="A369" t="e">
        <f>CUBEMEMBER("pbiazure://api.powerbi.com 6e064a38-7f82-4416-9451-8d82a554b559 Model","[Facilities].[DATIMName].&amp;[Urughu Dispensary]")</f>
        <v>#N/A</v>
      </c>
      <c r="B369" t="e">
        <f t="shared" si="36"/>
        <v>#N/A</v>
      </c>
      <c r="C369" t="e">
        <f t="shared" si="36"/>
        <v>#N/A</v>
      </c>
      <c r="D369" t="e">
        <f t="shared" si="36"/>
        <v>#N/A</v>
      </c>
      <c r="E369" t="e">
        <f t="shared" si="36"/>
        <v>#N/A</v>
      </c>
      <c r="F369" t="e">
        <f t="shared" si="36"/>
        <v>#N/A</v>
      </c>
      <c r="G369" t="e">
        <f t="shared" si="36"/>
        <v>#N/A</v>
      </c>
      <c r="H369" t="e">
        <f t="shared" si="36"/>
        <v>#N/A</v>
      </c>
      <c r="I369" t="e">
        <f t="shared" si="36"/>
        <v>#N/A</v>
      </c>
      <c r="J369" t="e">
        <f t="shared" si="36"/>
        <v>#N/A</v>
      </c>
    </row>
    <row r="370" spans="1:10" x14ac:dyDescent="0.25">
      <c r="A370" t="e">
        <f>CUBEMEMBER("pbiazure://api.powerbi.com 6e064a38-7f82-4416-9451-8d82a554b559 Model","[Facilities].[DATIMName].&amp;[Usa RC Health Center]")</f>
        <v>#N/A</v>
      </c>
      <c r="B370" t="e">
        <f t="shared" si="36"/>
        <v>#N/A</v>
      </c>
      <c r="C370" t="e">
        <f t="shared" si="36"/>
        <v>#N/A</v>
      </c>
      <c r="D370" t="e">
        <f t="shared" si="36"/>
        <v>#N/A</v>
      </c>
      <c r="E370" t="e">
        <f t="shared" si="36"/>
        <v>#N/A</v>
      </c>
      <c r="F370" t="e">
        <f t="shared" si="36"/>
        <v>#N/A</v>
      </c>
      <c r="G370" t="e">
        <f t="shared" si="36"/>
        <v>#N/A</v>
      </c>
      <c r="H370" t="e">
        <f t="shared" si="36"/>
        <v>#N/A</v>
      </c>
      <c r="I370" t="e">
        <f t="shared" si="36"/>
        <v>#N/A</v>
      </c>
      <c r="J370" t="e">
        <f t="shared" si="36"/>
        <v>#N/A</v>
      </c>
    </row>
    <row r="371" spans="1:10" x14ac:dyDescent="0.25">
      <c r="A371" t="e">
        <f>CUBEMEMBER("pbiazure://api.powerbi.com 6e064a38-7f82-4416-9451-8d82a554b559 Model","[Facilities].[DATIMName].&amp;[USA River Health Center]")</f>
        <v>#N/A</v>
      </c>
      <c r="B371" t="e">
        <f t="shared" si="36"/>
        <v>#N/A</v>
      </c>
      <c r="C371" t="e">
        <f t="shared" si="36"/>
        <v>#N/A</v>
      </c>
      <c r="D371" t="e">
        <f t="shared" si="36"/>
        <v>#N/A</v>
      </c>
      <c r="E371" t="e">
        <f t="shared" si="36"/>
        <v>#N/A</v>
      </c>
      <c r="F371" t="e">
        <f t="shared" si="36"/>
        <v>#N/A</v>
      </c>
      <c r="G371" t="e">
        <f t="shared" si="36"/>
        <v>#N/A</v>
      </c>
      <c r="H371" t="e">
        <f t="shared" si="36"/>
        <v>#N/A</v>
      </c>
      <c r="I371" t="e">
        <f t="shared" si="36"/>
        <v>#N/A</v>
      </c>
      <c r="J371" t="e">
        <f t="shared" si="36"/>
        <v>#N/A</v>
      </c>
    </row>
    <row r="372" spans="1:10" x14ac:dyDescent="0.25">
      <c r="A372" t="e">
        <f>CUBEMEMBER("pbiazure://api.powerbi.com 6e064a38-7f82-4416-9451-8d82a554b559 Model","[Facilities].[DATIMName].&amp;[Usangi Hospital - District Hospital]")</f>
        <v>#N/A</v>
      </c>
      <c r="B372" t="e">
        <f t="shared" si="36"/>
        <v>#N/A</v>
      </c>
      <c r="C372" t="e">
        <f t="shared" si="36"/>
        <v>#N/A</v>
      </c>
      <c r="D372" t="e">
        <f t="shared" si="36"/>
        <v>#N/A</v>
      </c>
      <c r="E372" t="e">
        <f t="shared" si="36"/>
        <v>#N/A</v>
      </c>
      <c r="F372" t="e">
        <f t="shared" si="36"/>
        <v>#N/A</v>
      </c>
      <c r="G372" t="e">
        <f t="shared" si="36"/>
        <v>#N/A</v>
      </c>
      <c r="H372" t="e">
        <f t="shared" si="36"/>
        <v>#N/A</v>
      </c>
      <c r="I372" t="e">
        <f t="shared" si="36"/>
        <v>#N/A</v>
      </c>
      <c r="J372" t="e">
        <f t="shared" si="36"/>
        <v>#N/A</v>
      </c>
    </row>
    <row r="373" spans="1:10" x14ac:dyDescent="0.25">
      <c r="A373" t="e">
        <f>CUBEMEMBER("pbiazure://api.powerbi.com 6e064a38-7f82-4416-9451-8d82a554b559 Model","[Facilities].[DATIMName].&amp;[Village of Hope Health Center]")</f>
        <v>#N/A</v>
      </c>
      <c r="B373" t="e">
        <f t="shared" si="36"/>
        <v>#N/A</v>
      </c>
      <c r="C373" t="e">
        <f t="shared" si="36"/>
        <v>#N/A</v>
      </c>
      <c r="D373" t="e">
        <f t="shared" si="36"/>
        <v>#N/A</v>
      </c>
      <c r="E373" t="e">
        <f t="shared" si="36"/>
        <v>#N/A</v>
      </c>
      <c r="F373" t="e">
        <f t="shared" si="36"/>
        <v>#N/A</v>
      </c>
      <c r="G373" t="e">
        <f t="shared" si="36"/>
        <v>#N/A</v>
      </c>
      <c r="H373" t="e">
        <f t="shared" si="36"/>
        <v>#N/A</v>
      </c>
      <c r="I373" t="e">
        <f t="shared" si="36"/>
        <v>#N/A</v>
      </c>
      <c r="J373" t="e">
        <f t="shared" si="36"/>
        <v>#N/A</v>
      </c>
    </row>
    <row r="374" spans="1:10" x14ac:dyDescent="0.25">
      <c r="A374" t="e">
        <f>CUBEMEMBER("pbiazure://api.powerbi.com 6e064a38-7f82-4416-9451-8d82a554b559 Model","[Facilities].[DATIMName].&amp;[Wasso Hospital - Designated District Hospital]")</f>
        <v>#N/A</v>
      </c>
      <c r="B374" t="e">
        <f t="shared" si="36"/>
        <v>#N/A</v>
      </c>
      <c r="C374" t="e">
        <f t="shared" si="36"/>
        <v>#N/A</v>
      </c>
      <c r="D374" t="e">
        <f t="shared" si="36"/>
        <v>#N/A</v>
      </c>
      <c r="E374" t="e">
        <f t="shared" si="36"/>
        <v>#N/A</v>
      </c>
      <c r="F374" t="e">
        <f t="shared" si="36"/>
        <v>#N/A</v>
      </c>
      <c r="G374" t="e">
        <f t="shared" si="36"/>
        <v>#N/A</v>
      </c>
      <c r="H374" t="e">
        <f t="shared" si="36"/>
        <v>#N/A</v>
      </c>
      <c r="I374" t="e">
        <f t="shared" si="36"/>
        <v>#N/A</v>
      </c>
      <c r="J374" t="e">
        <f t="shared" si="36"/>
        <v>#N/A</v>
      </c>
    </row>
    <row r="375" spans="1:10" x14ac:dyDescent="0.25">
      <c r="A375" t="e">
        <f>CUBEMEMBER("pbiazure://api.powerbi.com 6e064a38-7f82-4416-9451-8d82a554b559 Model","[Facilities].[DATIMName].&amp;[Zuzu Dispensary]")</f>
        <v>#N/A</v>
      </c>
      <c r="B375" t="e">
        <f t="shared" si="36"/>
        <v>#N/A</v>
      </c>
      <c r="C375" t="e">
        <f t="shared" si="36"/>
        <v>#N/A</v>
      </c>
      <c r="D375" t="e">
        <f t="shared" si="36"/>
        <v>#N/A</v>
      </c>
      <c r="E375" t="e">
        <f t="shared" si="36"/>
        <v>#N/A</v>
      </c>
      <c r="F375" t="e">
        <f t="shared" si="36"/>
        <v>#N/A</v>
      </c>
      <c r="G375" t="e">
        <f t="shared" si="36"/>
        <v>#N/A</v>
      </c>
      <c r="H375" t="e">
        <f t="shared" si="36"/>
        <v>#N/A</v>
      </c>
      <c r="I375" t="e">
        <f t="shared" si="36"/>
        <v>#N/A</v>
      </c>
      <c r="J375" t="e">
        <f t="shared" si="36"/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12"/>
  <sheetViews>
    <sheetView workbookViewId="0">
      <selection activeCell="I4" sqref="I4"/>
    </sheetView>
  </sheetViews>
  <sheetFormatPr defaultRowHeight="15" x14ac:dyDescent="0.25"/>
  <cols>
    <col min="1" max="1" width="73.5703125" bestFit="1" customWidth="1"/>
    <col min="2" max="10" width="16.7109375" bestFit="1" customWidth="1"/>
    <col min="11" max="11" width="15.42578125" bestFit="1" customWidth="1"/>
    <col min="12" max="12" width="13.7109375" bestFit="1" customWidth="1"/>
    <col min="13" max="13" width="11.28515625" bestFit="1" customWidth="1"/>
    <col min="14" max="14" width="11.140625" bestFit="1" customWidth="1"/>
  </cols>
  <sheetData>
    <row r="1" spans="1:9" x14ac:dyDescent="0.25">
      <c r="A1" s="84" t="s">
        <v>1651</v>
      </c>
      <c r="B1" s="76" t="s" vm="3">
        <v>1652</v>
      </c>
    </row>
    <row r="3" spans="1:9" x14ac:dyDescent="0.25">
      <c r="A3" s="1"/>
      <c r="B3" s="75" t="s">
        <v>1650</v>
      </c>
      <c r="C3" s="89" t="s">
        <v>1663</v>
      </c>
      <c r="D3" s="2"/>
      <c r="E3" s="2"/>
      <c r="F3" s="2"/>
      <c r="G3" s="2"/>
      <c r="H3" s="2"/>
      <c r="I3" s="3"/>
    </row>
    <row r="4" spans="1:9" x14ac:dyDescent="0.25">
      <c r="A4" s="4"/>
      <c r="B4" s="1" t="s">
        <v>1660</v>
      </c>
      <c r="C4" s="2"/>
      <c r="D4" s="1" t="s">
        <v>1661</v>
      </c>
      <c r="E4" s="2"/>
      <c r="F4" s="2"/>
      <c r="G4" s="1" t="s">
        <v>1662</v>
      </c>
      <c r="H4" s="2"/>
      <c r="I4" s="3"/>
    </row>
    <row r="5" spans="1:9" x14ac:dyDescent="0.25">
      <c r="A5" s="75" t="s">
        <v>1648</v>
      </c>
      <c r="B5" s="1" t="s">
        <v>1664</v>
      </c>
      <c r="C5" s="77" t="s">
        <v>1665</v>
      </c>
      <c r="D5" s="1" t="s">
        <v>1664</v>
      </c>
      <c r="E5" s="77" t="s">
        <v>1665</v>
      </c>
      <c r="F5" s="77"/>
      <c r="G5" s="1" t="s">
        <v>1664</v>
      </c>
      <c r="H5" s="77" t="s">
        <v>1665</v>
      </c>
      <c r="I5" s="78"/>
    </row>
    <row r="6" spans="1:9" x14ac:dyDescent="0.25">
      <c r="A6" s="1"/>
      <c r="B6" s="79"/>
      <c r="C6" s="87"/>
      <c r="D6" s="79"/>
      <c r="E6" s="87"/>
      <c r="F6" s="87">
        <v>1</v>
      </c>
      <c r="G6" s="79"/>
      <c r="H6" s="87"/>
      <c r="I6" s="85">
        <v>1</v>
      </c>
    </row>
    <row r="7" spans="1:9" x14ac:dyDescent="0.25">
      <c r="A7" s="81" t="s">
        <v>237</v>
      </c>
      <c r="B7" s="82">
        <v>53</v>
      </c>
      <c r="C7" s="88">
        <v>5</v>
      </c>
      <c r="D7" s="82">
        <v>43</v>
      </c>
      <c r="E7" s="88">
        <v>5</v>
      </c>
      <c r="F7" s="88"/>
      <c r="G7" s="82">
        <v>50</v>
      </c>
      <c r="H7" s="88">
        <v>5</v>
      </c>
      <c r="I7" s="86"/>
    </row>
    <row r="8" spans="1:9" x14ac:dyDescent="0.25">
      <c r="A8" s="81" t="s">
        <v>1583</v>
      </c>
      <c r="B8" s="82">
        <v>42</v>
      </c>
      <c r="C8" s="88"/>
      <c r="D8" s="82">
        <v>28</v>
      </c>
      <c r="E8" s="88"/>
      <c r="F8" s="88"/>
      <c r="G8" s="82">
        <v>32</v>
      </c>
      <c r="H8" s="88"/>
      <c r="I8" s="86"/>
    </row>
    <row r="9" spans="1:9" x14ac:dyDescent="0.25">
      <c r="A9" s="81" t="s">
        <v>241</v>
      </c>
      <c r="B9" s="82">
        <v>451</v>
      </c>
      <c r="C9" s="88">
        <v>17</v>
      </c>
      <c r="D9" s="82">
        <v>281</v>
      </c>
      <c r="E9" s="88">
        <v>11</v>
      </c>
      <c r="F9" s="88"/>
      <c r="G9" s="82">
        <v>298</v>
      </c>
      <c r="H9" s="88">
        <v>15</v>
      </c>
      <c r="I9" s="86"/>
    </row>
    <row r="10" spans="1:9" x14ac:dyDescent="0.25">
      <c r="A10" s="81" t="s">
        <v>1564</v>
      </c>
      <c r="B10" s="82">
        <v>2038</v>
      </c>
      <c r="C10" s="88">
        <v>79</v>
      </c>
      <c r="D10" s="82">
        <v>1636</v>
      </c>
      <c r="E10" s="88">
        <v>68</v>
      </c>
      <c r="F10" s="88"/>
      <c r="G10" s="82">
        <v>1699</v>
      </c>
      <c r="H10" s="88">
        <v>74</v>
      </c>
      <c r="I10" s="86"/>
    </row>
    <row r="11" spans="1:9" x14ac:dyDescent="0.25">
      <c r="A11" s="81" t="s">
        <v>1642</v>
      </c>
      <c r="B11" s="82">
        <v>44</v>
      </c>
      <c r="C11" s="88">
        <v>9</v>
      </c>
      <c r="D11" s="82">
        <v>33</v>
      </c>
      <c r="E11" s="88">
        <v>3</v>
      </c>
      <c r="F11" s="88"/>
      <c r="G11" s="82">
        <v>37</v>
      </c>
      <c r="H11" s="88">
        <v>7</v>
      </c>
      <c r="I11" s="86"/>
    </row>
    <row r="12" spans="1:9" x14ac:dyDescent="0.25">
      <c r="A12" s="81" t="s">
        <v>1640</v>
      </c>
      <c r="B12" s="82">
        <v>1270</v>
      </c>
      <c r="C12" s="88">
        <v>74</v>
      </c>
      <c r="D12" s="82">
        <v>811</v>
      </c>
      <c r="E12" s="88">
        <v>45</v>
      </c>
      <c r="F12" s="88"/>
      <c r="G12" s="82">
        <v>891</v>
      </c>
      <c r="H12" s="88">
        <v>54</v>
      </c>
      <c r="I12" s="86"/>
    </row>
    <row r="13" spans="1:9" x14ac:dyDescent="0.25">
      <c r="A13" s="81" t="s">
        <v>1600</v>
      </c>
      <c r="B13" s="82">
        <v>71</v>
      </c>
      <c r="C13" s="88"/>
      <c r="D13" s="82">
        <v>34</v>
      </c>
      <c r="E13" s="88"/>
      <c r="F13" s="88"/>
      <c r="G13" s="82">
        <v>40</v>
      </c>
      <c r="H13" s="88"/>
      <c r="I13" s="86"/>
    </row>
    <row r="14" spans="1:9" x14ac:dyDescent="0.25">
      <c r="A14" s="81" t="s">
        <v>446</v>
      </c>
      <c r="B14" s="82">
        <v>44</v>
      </c>
      <c r="C14" s="88">
        <v>7</v>
      </c>
      <c r="D14" s="82">
        <v>27</v>
      </c>
      <c r="E14" s="88">
        <v>4</v>
      </c>
      <c r="F14" s="88"/>
      <c r="G14" s="82">
        <v>31</v>
      </c>
      <c r="H14" s="88">
        <v>6</v>
      </c>
      <c r="I14" s="86"/>
    </row>
    <row r="15" spans="1:9" x14ac:dyDescent="0.25">
      <c r="A15" s="81" t="s">
        <v>449</v>
      </c>
      <c r="B15" s="82">
        <v>399</v>
      </c>
      <c r="C15" s="88">
        <v>25</v>
      </c>
      <c r="D15" s="82">
        <v>314</v>
      </c>
      <c r="E15" s="88">
        <v>22</v>
      </c>
      <c r="F15" s="88"/>
      <c r="G15" s="82">
        <v>359</v>
      </c>
      <c r="H15" s="88">
        <v>32</v>
      </c>
      <c r="I15" s="86"/>
    </row>
    <row r="16" spans="1:9" x14ac:dyDescent="0.25">
      <c r="A16" s="81" t="s">
        <v>1097</v>
      </c>
      <c r="B16" s="82">
        <v>31</v>
      </c>
      <c r="C16" s="88">
        <v>1</v>
      </c>
      <c r="D16" s="82">
        <v>19</v>
      </c>
      <c r="E16" s="88"/>
      <c r="F16" s="88"/>
      <c r="G16" s="82">
        <v>22</v>
      </c>
      <c r="H16" s="88"/>
      <c r="I16" s="86"/>
    </row>
    <row r="17" spans="1:9" x14ac:dyDescent="0.25">
      <c r="A17" s="81" t="s">
        <v>1101</v>
      </c>
      <c r="B17" s="82">
        <v>108</v>
      </c>
      <c r="C17" s="88">
        <v>8</v>
      </c>
      <c r="D17" s="82">
        <v>27</v>
      </c>
      <c r="E17" s="88">
        <v>1</v>
      </c>
      <c r="F17" s="88"/>
      <c r="G17" s="82">
        <v>29</v>
      </c>
      <c r="H17" s="88">
        <v>1</v>
      </c>
      <c r="I17" s="86"/>
    </row>
    <row r="18" spans="1:9" x14ac:dyDescent="0.25">
      <c r="A18" s="81" t="s">
        <v>1667</v>
      </c>
      <c r="B18" s="82">
        <v>111</v>
      </c>
      <c r="C18" s="88">
        <v>6</v>
      </c>
      <c r="D18" s="82">
        <v>50</v>
      </c>
      <c r="E18" s="88"/>
      <c r="F18" s="88"/>
      <c r="G18" s="82">
        <v>55</v>
      </c>
      <c r="H18" s="88">
        <v>2</v>
      </c>
      <c r="I18" s="86"/>
    </row>
    <row r="19" spans="1:9" x14ac:dyDescent="0.25">
      <c r="A19" s="81" t="s">
        <v>1625</v>
      </c>
      <c r="B19" s="82">
        <v>34</v>
      </c>
      <c r="C19" s="88"/>
      <c r="D19" s="82">
        <v>1</v>
      </c>
      <c r="E19" s="88"/>
      <c r="F19" s="88"/>
      <c r="G19" s="82">
        <v>2</v>
      </c>
      <c r="H19" s="88"/>
      <c r="I19" s="86"/>
    </row>
    <row r="20" spans="1:9" x14ac:dyDescent="0.25">
      <c r="A20" s="81" t="s">
        <v>463</v>
      </c>
      <c r="B20" s="82">
        <v>114</v>
      </c>
      <c r="C20" s="88">
        <v>6</v>
      </c>
      <c r="D20" s="82">
        <v>86</v>
      </c>
      <c r="E20" s="88">
        <v>3</v>
      </c>
      <c r="F20" s="88"/>
      <c r="G20" s="82">
        <v>94</v>
      </c>
      <c r="H20" s="88">
        <v>5</v>
      </c>
      <c r="I20" s="86"/>
    </row>
    <row r="21" spans="1:9" x14ac:dyDescent="0.25">
      <c r="A21" s="81" t="s">
        <v>467</v>
      </c>
      <c r="B21" s="82">
        <v>5</v>
      </c>
      <c r="C21" s="88"/>
      <c r="D21" s="82">
        <v>2</v>
      </c>
      <c r="E21" s="88"/>
      <c r="F21" s="88"/>
      <c r="G21" s="82">
        <v>2</v>
      </c>
      <c r="H21" s="88"/>
      <c r="I21" s="86"/>
    </row>
    <row r="22" spans="1:9" x14ac:dyDescent="0.25">
      <c r="A22" s="81" t="s">
        <v>838</v>
      </c>
      <c r="B22" s="82">
        <v>340</v>
      </c>
      <c r="C22" s="88">
        <v>6</v>
      </c>
      <c r="D22" s="82">
        <v>271</v>
      </c>
      <c r="E22" s="88">
        <v>6</v>
      </c>
      <c r="F22" s="88"/>
      <c r="G22" s="82">
        <v>282</v>
      </c>
      <c r="H22" s="88">
        <v>6</v>
      </c>
      <c r="I22" s="86"/>
    </row>
    <row r="23" spans="1:9" x14ac:dyDescent="0.25">
      <c r="A23" s="81" t="s">
        <v>1108</v>
      </c>
      <c r="B23" s="82">
        <v>146</v>
      </c>
      <c r="C23" s="88">
        <v>9</v>
      </c>
      <c r="D23" s="82">
        <v>67</v>
      </c>
      <c r="E23" s="88">
        <v>2</v>
      </c>
      <c r="F23" s="88"/>
      <c r="G23" s="82">
        <v>70</v>
      </c>
      <c r="H23" s="88">
        <v>4</v>
      </c>
      <c r="I23" s="86"/>
    </row>
    <row r="24" spans="1:9" x14ac:dyDescent="0.25">
      <c r="A24" s="81" t="s">
        <v>1581</v>
      </c>
      <c r="B24" s="82">
        <v>160</v>
      </c>
      <c r="C24" s="88">
        <v>15</v>
      </c>
      <c r="D24" s="82">
        <v>66</v>
      </c>
      <c r="E24" s="88">
        <v>6</v>
      </c>
      <c r="F24" s="88"/>
      <c r="G24" s="82">
        <v>79</v>
      </c>
      <c r="H24" s="88">
        <v>7</v>
      </c>
      <c r="I24" s="86"/>
    </row>
    <row r="25" spans="1:9" x14ac:dyDescent="0.25">
      <c r="A25" s="81" t="s">
        <v>1111</v>
      </c>
      <c r="B25" s="82">
        <v>12</v>
      </c>
      <c r="C25" s="88"/>
      <c r="D25" s="82">
        <v>4</v>
      </c>
      <c r="E25" s="88"/>
      <c r="F25" s="88"/>
      <c r="G25" s="82">
        <v>4</v>
      </c>
      <c r="H25" s="88"/>
      <c r="I25" s="86"/>
    </row>
    <row r="26" spans="1:9" x14ac:dyDescent="0.25">
      <c r="A26" s="81" t="s">
        <v>1594</v>
      </c>
      <c r="B26" s="82">
        <v>129</v>
      </c>
      <c r="C26" s="88">
        <v>9</v>
      </c>
      <c r="D26" s="82">
        <v>117</v>
      </c>
      <c r="E26" s="88">
        <v>8</v>
      </c>
      <c r="F26" s="88"/>
      <c r="G26" s="82">
        <v>136</v>
      </c>
      <c r="H26" s="88">
        <v>16</v>
      </c>
      <c r="I26" s="86"/>
    </row>
    <row r="27" spans="1:9" x14ac:dyDescent="0.25">
      <c r="A27" s="81" t="s">
        <v>476</v>
      </c>
      <c r="B27" s="82">
        <v>12</v>
      </c>
      <c r="C27" s="88"/>
      <c r="D27" s="82"/>
      <c r="E27" s="88"/>
      <c r="F27" s="88"/>
      <c r="G27" s="82"/>
      <c r="H27" s="88"/>
      <c r="I27" s="86"/>
    </row>
    <row r="28" spans="1:9" x14ac:dyDescent="0.25">
      <c r="A28" s="81" t="s">
        <v>480</v>
      </c>
      <c r="B28" s="82">
        <v>3</v>
      </c>
      <c r="C28" s="88"/>
      <c r="D28" s="82"/>
      <c r="E28" s="88"/>
      <c r="F28" s="88"/>
      <c r="G28" s="82"/>
      <c r="H28" s="88"/>
      <c r="I28" s="86"/>
    </row>
    <row r="29" spans="1:9" x14ac:dyDescent="0.25">
      <c r="A29" s="81" t="s">
        <v>483</v>
      </c>
      <c r="B29" s="82">
        <v>8</v>
      </c>
      <c r="C29" s="88"/>
      <c r="D29" s="82"/>
      <c r="E29" s="88"/>
      <c r="F29" s="88"/>
      <c r="G29" s="82"/>
      <c r="H29" s="88"/>
      <c r="I29" s="86"/>
    </row>
    <row r="30" spans="1:9" x14ac:dyDescent="0.25">
      <c r="A30" s="81" t="s">
        <v>1560</v>
      </c>
      <c r="B30" s="82">
        <v>791</v>
      </c>
      <c r="C30" s="88">
        <v>40</v>
      </c>
      <c r="D30" s="82">
        <v>692</v>
      </c>
      <c r="E30" s="88">
        <v>33</v>
      </c>
      <c r="F30" s="88"/>
      <c r="G30" s="82">
        <v>738</v>
      </c>
      <c r="H30" s="88">
        <v>41</v>
      </c>
      <c r="I30" s="86"/>
    </row>
    <row r="31" spans="1:9" x14ac:dyDescent="0.25">
      <c r="A31" s="81" t="s">
        <v>1549</v>
      </c>
      <c r="B31" s="82">
        <v>111</v>
      </c>
      <c r="C31" s="88">
        <v>5</v>
      </c>
      <c r="D31" s="82">
        <v>73</v>
      </c>
      <c r="E31" s="88">
        <v>3</v>
      </c>
      <c r="F31" s="88"/>
      <c r="G31" s="82">
        <v>78</v>
      </c>
      <c r="H31" s="88">
        <v>4</v>
      </c>
      <c r="I31" s="86"/>
    </row>
    <row r="32" spans="1:9" x14ac:dyDescent="0.25">
      <c r="A32" s="81" t="s">
        <v>1591</v>
      </c>
      <c r="B32" s="82">
        <v>48</v>
      </c>
      <c r="C32" s="88"/>
      <c r="D32" s="82">
        <v>24</v>
      </c>
      <c r="E32" s="88"/>
      <c r="F32" s="88"/>
      <c r="G32" s="82">
        <v>27</v>
      </c>
      <c r="H32" s="88"/>
      <c r="I32" s="86"/>
    </row>
    <row r="33" spans="1:9" x14ac:dyDescent="0.25">
      <c r="A33" s="81" t="s">
        <v>496</v>
      </c>
      <c r="B33" s="82">
        <v>4</v>
      </c>
      <c r="C33" s="88"/>
      <c r="D33" s="82">
        <v>11</v>
      </c>
      <c r="E33" s="88"/>
      <c r="F33" s="88"/>
      <c r="G33" s="82">
        <v>16</v>
      </c>
      <c r="H33" s="88"/>
      <c r="I33" s="86"/>
    </row>
    <row r="34" spans="1:9" x14ac:dyDescent="0.25">
      <c r="A34" s="81" t="s">
        <v>499</v>
      </c>
      <c r="B34" s="82">
        <v>36</v>
      </c>
      <c r="C34" s="88">
        <v>3</v>
      </c>
      <c r="D34" s="82">
        <v>30</v>
      </c>
      <c r="E34" s="88">
        <v>2</v>
      </c>
      <c r="F34" s="88"/>
      <c r="G34" s="82">
        <v>30</v>
      </c>
      <c r="H34" s="88">
        <v>4</v>
      </c>
      <c r="I34" s="86"/>
    </row>
    <row r="35" spans="1:9" x14ac:dyDescent="0.25">
      <c r="A35" s="81" t="s">
        <v>505</v>
      </c>
      <c r="B35" s="82">
        <v>28</v>
      </c>
      <c r="C35" s="88"/>
      <c r="D35" s="82"/>
      <c r="E35" s="88"/>
      <c r="F35" s="88"/>
      <c r="G35" s="82"/>
      <c r="H35" s="88"/>
      <c r="I35" s="86"/>
    </row>
    <row r="36" spans="1:9" x14ac:dyDescent="0.25">
      <c r="A36" s="81" t="s">
        <v>511</v>
      </c>
      <c r="B36" s="82">
        <v>423</v>
      </c>
      <c r="C36" s="88">
        <v>28</v>
      </c>
      <c r="D36" s="82">
        <v>247</v>
      </c>
      <c r="E36" s="88">
        <v>12</v>
      </c>
      <c r="F36" s="88"/>
      <c r="G36" s="82">
        <v>274</v>
      </c>
      <c r="H36" s="88">
        <v>18</v>
      </c>
      <c r="I36" s="86"/>
    </row>
    <row r="37" spans="1:9" x14ac:dyDescent="0.25">
      <c r="A37" s="81" t="s">
        <v>515</v>
      </c>
      <c r="B37" s="82">
        <v>698</v>
      </c>
      <c r="C37" s="88">
        <v>24</v>
      </c>
      <c r="D37" s="82">
        <v>642</v>
      </c>
      <c r="E37" s="88">
        <v>23</v>
      </c>
      <c r="F37" s="88"/>
      <c r="G37" s="82">
        <v>650</v>
      </c>
      <c r="H37" s="88">
        <v>26</v>
      </c>
      <c r="I37" s="86"/>
    </row>
    <row r="38" spans="1:9" x14ac:dyDescent="0.25">
      <c r="A38" s="81" t="s">
        <v>518</v>
      </c>
      <c r="B38" s="82">
        <v>54</v>
      </c>
      <c r="C38" s="88">
        <v>2</v>
      </c>
      <c r="D38" s="82">
        <v>48</v>
      </c>
      <c r="E38" s="88">
        <v>2</v>
      </c>
      <c r="F38" s="88"/>
      <c r="G38" s="82">
        <v>53</v>
      </c>
      <c r="H38" s="88">
        <v>2</v>
      </c>
      <c r="I38" s="86"/>
    </row>
    <row r="39" spans="1:9" x14ac:dyDescent="0.25">
      <c r="A39" s="81" t="s">
        <v>521</v>
      </c>
      <c r="B39" s="82">
        <v>29</v>
      </c>
      <c r="C39" s="88">
        <v>1</v>
      </c>
      <c r="D39" s="82">
        <v>21</v>
      </c>
      <c r="E39" s="88">
        <v>2</v>
      </c>
      <c r="F39" s="88"/>
      <c r="G39" s="82">
        <v>22</v>
      </c>
      <c r="H39" s="88">
        <v>2</v>
      </c>
      <c r="I39" s="86"/>
    </row>
    <row r="40" spans="1:9" x14ac:dyDescent="0.25">
      <c r="A40" s="81" t="s">
        <v>247</v>
      </c>
      <c r="B40" s="82">
        <v>399</v>
      </c>
      <c r="C40" s="88">
        <v>14</v>
      </c>
      <c r="D40" s="82">
        <v>344</v>
      </c>
      <c r="E40" s="88">
        <v>13</v>
      </c>
      <c r="F40" s="88"/>
      <c r="G40" s="82">
        <v>362</v>
      </c>
      <c r="H40" s="88">
        <v>17</v>
      </c>
      <c r="I40" s="86"/>
    </row>
    <row r="41" spans="1:9" x14ac:dyDescent="0.25">
      <c r="A41" s="81" t="s">
        <v>1561</v>
      </c>
      <c r="B41" s="82">
        <v>624</v>
      </c>
      <c r="C41" s="88">
        <v>40</v>
      </c>
      <c r="D41" s="82">
        <v>532</v>
      </c>
      <c r="E41" s="88">
        <v>33</v>
      </c>
      <c r="F41" s="88"/>
      <c r="G41" s="82">
        <v>550</v>
      </c>
      <c r="H41" s="88">
        <v>38</v>
      </c>
      <c r="I41" s="86"/>
    </row>
    <row r="42" spans="1:9" x14ac:dyDescent="0.25">
      <c r="A42" s="81" t="s">
        <v>1121</v>
      </c>
      <c r="B42" s="82">
        <v>58</v>
      </c>
      <c r="C42" s="88"/>
      <c r="D42" s="82">
        <v>44</v>
      </c>
      <c r="E42" s="88"/>
      <c r="F42" s="88"/>
      <c r="G42" s="82">
        <v>47</v>
      </c>
      <c r="H42" s="88"/>
      <c r="I42" s="86"/>
    </row>
    <row r="43" spans="1:9" x14ac:dyDescent="0.25">
      <c r="A43" s="81" t="s">
        <v>1646</v>
      </c>
      <c r="B43" s="82">
        <v>233</v>
      </c>
      <c r="C43" s="88">
        <v>1</v>
      </c>
      <c r="D43" s="82">
        <v>20</v>
      </c>
      <c r="E43" s="88"/>
      <c r="F43" s="88"/>
      <c r="G43" s="82">
        <v>23</v>
      </c>
      <c r="H43" s="88">
        <v>1</v>
      </c>
      <c r="I43" s="86"/>
    </row>
    <row r="44" spans="1:9" x14ac:dyDescent="0.25">
      <c r="A44" s="81" t="s">
        <v>1622</v>
      </c>
      <c r="B44" s="82">
        <v>47</v>
      </c>
      <c r="C44" s="88">
        <v>5</v>
      </c>
      <c r="D44" s="82">
        <v>33</v>
      </c>
      <c r="E44" s="88">
        <v>4</v>
      </c>
      <c r="F44" s="88"/>
      <c r="G44" s="82">
        <v>36</v>
      </c>
      <c r="H44" s="88">
        <v>4</v>
      </c>
      <c r="I44" s="86"/>
    </row>
    <row r="45" spans="1:9" x14ac:dyDescent="0.25">
      <c r="A45" s="81" t="s">
        <v>1575</v>
      </c>
      <c r="B45" s="82">
        <v>3297</v>
      </c>
      <c r="C45" s="88">
        <v>143</v>
      </c>
      <c r="D45" s="82">
        <v>2986</v>
      </c>
      <c r="E45" s="88">
        <v>124</v>
      </c>
      <c r="F45" s="88"/>
      <c r="G45" s="82">
        <v>3096</v>
      </c>
      <c r="H45" s="88">
        <v>140</v>
      </c>
      <c r="I45" s="86"/>
    </row>
    <row r="46" spans="1:9" x14ac:dyDescent="0.25">
      <c r="A46" s="81" t="s">
        <v>1124</v>
      </c>
      <c r="B46" s="82">
        <v>169</v>
      </c>
      <c r="C46" s="88">
        <v>7</v>
      </c>
      <c r="D46" s="82">
        <v>81</v>
      </c>
      <c r="E46" s="88">
        <v>3</v>
      </c>
      <c r="F46" s="88"/>
      <c r="G46" s="82">
        <v>84</v>
      </c>
      <c r="H46" s="88">
        <v>4</v>
      </c>
      <c r="I46" s="86"/>
    </row>
    <row r="47" spans="1:9" x14ac:dyDescent="0.25">
      <c r="A47" s="81" t="s">
        <v>1127</v>
      </c>
      <c r="B47" s="82">
        <v>117</v>
      </c>
      <c r="C47" s="88">
        <v>2</v>
      </c>
      <c r="D47" s="82">
        <v>50</v>
      </c>
      <c r="E47" s="88">
        <v>2</v>
      </c>
      <c r="F47" s="88"/>
      <c r="G47" s="82">
        <v>63</v>
      </c>
      <c r="H47" s="88">
        <v>3</v>
      </c>
      <c r="I47" s="86"/>
    </row>
    <row r="48" spans="1:9" x14ac:dyDescent="0.25">
      <c r="A48" s="81" t="s">
        <v>1587</v>
      </c>
      <c r="B48" s="82">
        <v>35</v>
      </c>
      <c r="C48" s="88">
        <v>1</v>
      </c>
      <c r="D48" s="82">
        <v>20</v>
      </c>
      <c r="E48" s="88"/>
      <c r="F48" s="88"/>
      <c r="G48" s="82">
        <v>20</v>
      </c>
      <c r="H48" s="88"/>
      <c r="I48" s="86"/>
    </row>
    <row r="49" spans="1:9" x14ac:dyDescent="0.25">
      <c r="A49" s="81" t="s">
        <v>1129</v>
      </c>
      <c r="B49" s="82">
        <v>7</v>
      </c>
      <c r="C49" s="88"/>
      <c r="D49" s="82">
        <v>8</v>
      </c>
      <c r="E49" s="88"/>
      <c r="F49" s="88"/>
      <c r="G49" s="82">
        <v>9</v>
      </c>
      <c r="H49" s="88"/>
      <c r="I49" s="86"/>
    </row>
    <row r="50" spans="1:9" x14ac:dyDescent="0.25">
      <c r="A50" s="81" t="s">
        <v>258</v>
      </c>
      <c r="B50" s="82">
        <v>105</v>
      </c>
      <c r="C50" s="88">
        <v>4</v>
      </c>
      <c r="D50" s="82">
        <v>67</v>
      </c>
      <c r="E50" s="88">
        <v>3</v>
      </c>
      <c r="F50" s="88"/>
      <c r="G50" s="82">
        <v>71</v>
      </c>
      <c r="H50" s="88">
        <v>3</v>
      </c>
      <c r="I50" s="86"/>
    </row>
    <row r="51" spans="1:9" x14ac:dyDescent="0.25">
      <c r="A51" s="81" t="s">
        <v>1135</v>
      </c>
      <c r="B51" s="82">
        <v>140</v>
      </c>
      <c r="C51" s="88">
        <v>12</v>
      </c>
      <c r="D51" s="82">
        <v>91</v>
      </c>
      <c r="E51" s="88">
        <v>9</v>
      </c>
      <c r="F51" s="88"/>
      <c r="G51" s="82">
        <v>100</v>
      </c>
      <c r="H51" s="88">
        <v>12</v>
      </c>
      <c r="I51" s="86"/>
    </row>
    <row r="52" spans="1:9" x14ac:dyDescent="0.25">
      <c r="A52" s="81" t="s">
        <v>1562</v>
      </c>
      <c r="B52" s="82">
        <v>138</v>
      </c>
      <c r="C52" s="88">
        <v>7</v>
      </c>
      <c r="D52" s="82">
        <v>62</v>
      </c>
      <c r="E52" s="88">
        <v>4</v>
      </c>
      <c r="F52" s="88"/>
      <c r="G52" s="82">
        <v>100</v>
      </c>
      <c r="H52" s="88">
        <v>7</v>
      </c>
      <c r="I52" s="86"/>
    </row>
    <row r="53" spans="1:9" x14ac:dyDescent="0.25">
      <c r="A53" s="81" t="s">
        <v>1630</v>
      </c>
      <c r="B53" s="82">
        <v>43</v>
      </c>
      <c r="C53" s="88">
        <v>3</v>
      </c>
      <c r="D53" s="82">
        <v>19</v>
      </c>
      <c r="E53" s="88">
        <v>2</v>
      </c>
      <c r="F53" s="88"/>
      <c r="G53" s="82">
        <v>25</v>
      </c>
      <c r="H53" s="88">
        <v>2</v>
      </c>
      <c r="I53" s="86"/>
    </row>
    <row r="54" spans="1:9" x14ac:dyDescent="0.25">
      <c r="A54" s="81" t="s">
        <v>1140</v>
      </c>
      <c r="B54" s="82">
        <v>312</v>
      </c>
      <c r="C54" s="88">
        <v>14</v>
      </c>
      <c r="D54" s="82">
        <v>184</v>
      </c>
      <c r="E54" s="88">
        <v>11</v>
      </c>
      <c r="F54" s="88"/>
      <c r="G54" s="82">
        <v>189</v>
      </c>
      <c r="H54" s="88">
        <v>15</v>
      </c>
      <c r="I54" s="86"/>
    </row>
    <row r="55" spans="1:9" x14ac:dyDescent="0.25">
      <c r="A55" s="81" t="s">
        <v>268</v>
      </c>
      <c r="B55" s="82"/>
      <c r="C55" s="88"/>
      <c r="D55" s="82">
        <v>2</v>
      </c>
      <c r="E55" s="88"/>
      <c r="F55" s="88"/>
      <c r="G55" s="82">
        <v>3</v>
      </c>
      <c r="H55" s="88"/>
      <c r="I55" s="86"/>
    </row>
    <row r="56" spans="1:9" x14ac:dyDescent="0.25">
      <c r="A56" s="81" t="s">
        <v>851</v>
      </c>
      <c r="B56" s="82">
        <v>119</v>
      </c>
      <c r="C56" s="88"/>
      <c r="D56" s="82">
        <v>60</v>
      </c>
      <c r="E56" s="88"/>
      <c r="F56" s="88"/>
      <c r="G56" s="82">
        <v>63</v>
      </c>
      <c r="H56" s="88"/>
      <c r="I56" s="86"/>
    </row>
    <row r="57" spans="1:9" x14ac:dyDescent="0.25">
      <c r="A57" s="81" t="s">
        <v>1143</v>
      </c>
      <c r="B57" s="82">
        <v>305</v>
      </c>
      <c r="C57" s="88">
        <v>22</v>
      </c>
      <c r="D57" s="82">
        <v>179</v>
      </c>
      <c r="E57" s="88">
        <v>6</v>
      </c>
      <c r="F57" s="88"/>
      <c r="G57" s="82">
        <v>183</v>
      </c>
      <c r="H57" s="88">
        <v>9</v>
      </c>
      <c r="I57" s="86"/>
    </row>
    <row r="58" spans="1:9" x14ac:dyDescent="0.25">
      <c r="A58" s="81" t="s">
        <v>1633</v>
      </c>
      <c r="B58" s="82"/>
      <c r="C58" s="88"/>
      <c r="D58" s="82">
        <v>5</v>
      </c>
      <c r="E58" s="88">
        <v>2</v>
      </c>
      <c r="F58" s="88"/>
      <c r="G58" s="82">
        <v>8</v>
      </c>
      <c r="H58" s="88">
        <v>3</v>
      </c>
      <c r="I58" s="86"/>
    </row>
    <row r="59" spans="1:9" x14ac:dyDescent="0.25">
      <c r="A59" s="81" t="s">
        <v>1146</v>
      </c>
      <c r="B59" s="82">
        <v>10</v>
      </c>
      <c r="C59" s="88"/>
      <c r="D59" s="82"/>
      <c r="E59" s="88"/>
      <c r="F59" s="88"/>
      <c r="G59" s="82"/>
      <c r="H59" s="88"/>
      <c r="I59" s="86"/>
    </row>
    <row r="60" spans="1:9" x14ac:dyDescent="0.25">
      <c r="A60" s="81" t="s">
        <v>1149</v>
      </c>
      <c r="B60" s="82">
        <v>38</v>
      </c>
      <c r="C60" s="88">
        <v>3</v>
      </c>
      <c r="D60" s="82">
        <v>12</v>
      </c>
      <c r="E60" s="88">
        <v>1</v>
      </c>
      <c r="F60" s="88"/>
      <c r="G60" s="82">
        <v>12</v>
      </c>
      <c r="H60" s="88">
        <v>1</v>
      </c>
      <c r="I60" s="86"/>
    </row>
    <row r="61" spans="1:9" x14ac:dyDescent="0.25">
      <c r="A61" s="81" t="s">
        <v>1628</v>
      </c>
      <c r="B61" s="82">
        <v>221</v>
      </c>
      <c r="C61" s="88">
        <v>15</v>
      </c>
      <c r="D61" s="82">
        <v>200</v>
      </c>
      <c r="E61" s="88">
        <v>11</v>
      </c>
      <c r="F61" s="88"/>
      <c r="G61" s="82">
        <v>214</v>
      </c>
      <c r="H61" s="88">
        <v>17</v>
      </c>
      <c r="I61" s="86"/>
    </row>
    <row r="62" spans="1:9" x14ac:dyDescent="0.25">
      <c r="A62" s="81" t="s">
        <v>1152</v>
      </c>
      <c r="B62" s="82">
        <v>16</v>
      </c>
      <c r="C62" s="88">
        <v>4</v>
      </c>
      <c r="D62" s="82">
        <v>4</v>
      </c>
      <c r="E62" s="88"/>
      <c r="F62" s="88"/>
      <c r="G62" s="82">
        <v>5</v>
      </c>
      <c r="H62" s="88"/>
      <c r="I62" s="86"/>
    </row>
    <row r="63" spans="1:9" x14ac:dyDescent="0.25">
      <c r="A63" s="81" t="s">
        <v>1579</v>
      </c>
      <c r="B63" s="82">
        <v>1314</v>
      </c>
      <c r="C63" s="88">
        <v>66</v>
      </c>
      <c r="D63" s="82">
        <v>1290</v>
      </c>
      <c r="E63" s="88">
        <v>66</v>
      </c>
      <c r="F63" s="88"/>
      <c r="G63" s="82">
        <v>1326</v>
      </c>
      <c r="H63" s="88">
        <v>71</v>
      </c>
      <c r="I63" s="86"/>
    </row>
    <row r="64" spans="1:9" x14ac:dyDescent="0.25">
      <c r="A64" s="81" t="s">
        <v>532</v>
      </c>
      <c r="B64" s="82">
        <v>168</v>
      </c>
      <c r="C64" s="88">
        <v>21</v>
      </c>
      <c r="D64" s="82">
        <v>119</v>
      </c>
      <c r="E64" s="88">
        <v>12</v>
      </c>
      <c r="F64" s="88"/>
      <c r="G64" s="82">
        <v>128</v>
      </c>
      <c r="H64" s="88">
        <v>16</v>
      </c>
      <c r="I64" s="86"/>
    </row>
    <row r="65" spans="1:9" x14ac:dyDescent="0.25">
      <c r="A65" s="81" t="s">
        <v>538</v>
      </c>
      <c r="B65" s="82">
        <v>206</v>
      </c>
      <c r="C65" s="88">
        <v>15</v>
      </c>
      <c r="D65" s="82">
        <v>175</v>
      </c>
      <c r="E65" s="88">
        <v>11</v>
      </c>
      <c r="F65" s="88"/>
      <c r="G65" s="82">
        <v>198</v>
      </c>
      <c r="H65" s="88">
        <v>14</v>
      </c>
      <c r="I65" s="86"/>
    </row>
    <row r="66" spans="1:9" x14ac:dyDescent="0.25">
      <c r="A66" s="81" t="s">
        <v>541</v>
      </c>
      <c r="B66" s="82">
        <v>61</v>
      </c>
      <c r="C66" s="88">
        <v>3</v>
      </c>
      <c r="D66" s="82">
        <v>41</v>
      </c>
      <c r="E66" s="88">
        <v>3</v>
      </c>
      <c r="F66" s="88"/>
      <c r="G66" s="82">
        <v>42</v>
      </c>
      <c r="H66" s="88">
        <v>4</v>
      </c>
      <c r="I66" s="86"/>
    </row>
    <row r="67" spans="1:9" x14ac:dyDescent="0.25">
      <c r="A67" s="81" t="s">
        <v>1155</v>
      </c>
      <c r="B67" s="82">
        <v>8</v>
      </c>
      <c r="C67" s="88"/>
      <c r="D67" s="82"/>
      <c r="E67" s="88"/>
      <c r="F67" s="88"/>
      <c r="G67" s="82"/>
      <c r="H67" s="88"/>
      <c r="I67" s="86"/>
    </row>
    <row r="68" spans="1:9" x14ac:dyDescent="0.25">
      <c r="A68" s="81" t="s">
        <v>861</v>
      </c>
      <c r="B68" s="82">
        <v>382</v>
      </c>
      <c r="C68" s="88">
        <v>24</v>
      </c>
      <c r="D68" s="82">
        <v>332</v>
      </c>
      <c r="E68" s="88">
        <v>20</v>
      </c>
      <c r="F68" s="88"/>
      <c r="G68" s="82">
        <v>354</v>
      </c>
      <c r="H68" s="88">
        <v>21</v>
      </c>
      <c r="I68" s="86"/>
    </row>
    <row r="69" spans="1:9" x14ac:dyDescent="0.25">
      <c r="A69" s="81" t="s">
        <v>1636</v>
      </c>
      <c r="B69" s="82">
        <v>7</v>
      </c>
      <c r="C69" s="88"/>
      <c r="D69" s="82">
        <v>8</v>
      </c>
      <c r="E69" s="88"/>
      <c r="F69" s="88"/>
      <c r="G69" s="82">
        <v>8</v>
      </c>
      <c r="H69" s="88"/>
      <c r="I69" s="86"/>
    </row>
    <row r="70" spans="1:9" x14ac:dyDescent="0.25">
      <c r="A70" s="81" t="s">
        <v>1571</v>
      </c>
      <c r="B70" s="82">
        <v>623</v>
      </c>
      <c r="C70" s="88">
        <v>25</v>
      </c>
      <c r="D70" s="82">
        <v>554</v>
      </c>
      <c r="E70" s="88">
        <v>23</v>
      </c>
      <c r="F70" s="88"/>
      <c r="G70" s="82">
        <v>578</v>
      </c>
      <c r="H70" s="88">
        <v>25</v>
      </c>
      <c r="I70" s="86"/>
    </row>
    <row r="71" spans="1:9" x14ac:dyDescent="0.25">
      <c r="A71" s="81" t="s">
        <v>543</v>
      </c>
      <c r="B71" s="82">
        <v>283</v>
      </c>
      <c r="C71" s="88">
        <v>17</v>
      </c>
      <c r="D71" s="82">
        <v>238</v>
      </c>
      <c r="E71" s="88">
        <v>10</v>
      </c>
      <c r="F71" s="88"/>
      <c r="G71" s="82">
        <v>258</v>
      </c>
      <c r="H71" s="88">
        <v>15</v>
      </c>
      <c r="I71" s="86"/>
    </row>
    <row r="72" spans="1:9" x14ac:dyDescent="0.25">
      <c r="A72" s="81" t="s">
        <v>1612</v>
      </c>
      <c r="B72" s="82">
        <v>1</v>
      </c>
      <c r="C72" s="88"/>
      <c r="D72" s="82">
        <v>6</v>
      </c>
      <c r="E72" s="88">
        <v>1</v>
      </c>
      <c r="F72" s="88"/>
      <c r="G72" s="82">
        <v>6</v>
      </c>
      <c r="H72" s="88">
        <v>1</v>
      </c>
      <c r="I72" s="86"/>
    </row>
    <row r="73" spans="1:9" x14ac:dyDescent="0.25">
      <c r="A73" s="81" t="s">
        <v>548</v>
      </c>
      <c r="B73" s="82">
        <v>3</v>
      </c>
      <c r="C73" s="88"/>
      <c r="D73" s="82"/>
      <c r="E73" s="88"/>
      <c r="F73" s="88"/>
      <c r="G73" s="82"/>
      <c r="H73" s="88"/>
      <c r="I73" s="86"/>
    </row>
    <row r="74" spans="1:9" x14ac:dyDescent="0.25">
      <c r="A74" s="81" t="s">
        <v>1590</v>
      </c>
      <c r="B74" s="82">
        <v>924</v>
      </c>
      <c r="C74" s="88">
        <v>49</v>
      </c>
      <c r="D74" s="82">
        <v>946</v>
      </c>
      <c r="E74" s="88">
        <v>51</v>
      </c>
      <c r="F74" s="88"/>
      <c r="G74" s="82">
        <v>967</v>
      </c>
      <c r="H74" s="88">
        <v>53</v>
      </c>
      <c r="I74" s="86"/>
    </row>
    <row r="75" spans="1:9" x14ac:dyDescent="0.25">
      <c r="A75" s="81" t="s">
        <v>1601</v>
      </c>
      <c r="B75" s="82">
        <v>886</v>
      </c>
      <c r="C75" s="88">
        <v>44</v>
      </c>
      <c r="D75" s="82">
        <v>621</v>
      </c>
      <c r="E75" s="88">
        <v>28</v>
      </c>
      <c r="F75" s="88"/>
      <c r="G75" s="82">
        <v>676</v>
      </c>
      <c r="H75" s="88">
        <v>36</v>
      </c>
      <c r="I75" s="86"/>
    </row>
    <row r="76" spans="1:9" x14ac:dyDescent="0.25">
      <c r="A76" s="81" t="s">
        <v>551</v>
      </c>
      <c r="B76" s="82">
        <v>52</v>
      </c>
      <c r="C76" s="88"/>
      <c r="D76" s="82">
        <v>10</v>
      </c>
      <c r="E76" s="88">
        <v>1</v>
      </c>
      <c r="F76" s="88"/>
      <c r="G76" s="82">
        <v>12</v>
      </c>
      <c r="H76" s="88">
        <v>1</v>
      </c>
      <c r="I76" s="86"/>
    </row>
    <row r="77" spans="1:9" x14ac:dyDescent="0.25">
      <c r="A77" s="81" t="s">
        <v>554</v>
      </c>
      <c r="B77" s="82">
        <v>6</v>
      </c>
      <c r="C77" s="88"/>
      <c r="D77" s="82"/>
      <c r="E77" s="88"/>
      <c r="F77" s="88"/>
      <c r="G77" s="82"/>
      <c r="H77" s="88"/>
      <c r="I77" s="86"/>
    </row>
    <row r="78" spans="1:9" x14ac:dyDescent="0.25">
      <c r="A78" s="81" t="s">
        <v>557</v>
      </c>
      <c r="B78" s="82">
        <v>10</v>
      </c>
      <c r="C78" s="88"/>
      <c r="D78" s="82">
        <v>2</v>
      </c>
      <c r="E78" s="88"/>
      <c r="F78" s="88"/>
      <c r="G78" s="82">
        <v>2</v>
      </c>
      <c r="H78" s="88"/>
      <c r="I78" s="86"/>
    </row>
    <row r="79" spans="1:9" x14ac:dyDescent="0.25">
      <c r="A79" s="81" t="s">
        <v>560</v>
      </c>
      <c r="B79" s="82">
        <v>5</v>
      </c>
      <c r="C79" s="88"/>
      <c r="D79" s="82"/>
      <c r="E79" s="88"/>
      <c r="F79" s="88"/>
      <c r="G79" s="82"/>
      <c r="H79" s="88"/>
      <c r="I79" s="86"/>
    </row>
    <row r="80" spans="1:9" x14ac:dyDescent="0.25">
      <c r="A80" s="81" t="s">
        <v>1553</v>
      </c>
      <c r="B80" s="82">
        <v>6</v>
      </c>
      <c r="C80" s="88"/>
      <c r="D80" s="82">
        <v>1</v>
      </c>
      <c r="E80" s="88"/>
      <c r="F80" s="88"/>
      <c r="G80" s="82">
        <v>1</v>
      </c>
      <c r="H80" s="88"/>
      <c r="I80" s="86"/>
    </row>
    <row r="81" spans="1:9" x14ac:dyDescent="0.25">
      <c r="A81" s="81" t="s">
        <v>569</v>
      </c>
      <c r="B81" s="82">
        <v>15</v>
      </c>
      <c r="C81" s="88"/>
      <c r="D81" s="82"/>
      <c r="E81" s="88"/>
      <c r="F81" s="88"/>
      <c r="G81" s="82"/>
      <c r="H81" s="88"/>
      <c r="I81" s="86"/>
    </row>
    <row r="82" spans="1:9" x14ac:dyDescent="0.25">
      <c r="A82" s="81" t="s">
        <v>1577</v>
      </c>
      <c r="B82" s="82">
        <v>2</v>
      </c>
      <c r="C82" s="88"/>
      <c r="D82" s="82">
        <v>2</v>
      </c>
      <c r="E82" s="88"/>
      <c r="F82" s="88"/>
      <c r="G82" s="82">
        <v>2</v>
      </c>
      <c r="H82" s="88"/>
      <c r="I82" s="86"/>
    </row>
    <row r="83" spans="1:9" x14ac:dyDescent="0.25">
      <c r="A83" s="81" t="s">
        <v>1570</v>
      </c>
      <c r="B83" s="82">
        <v>555</v>
      </c>
      <c r="C83" s="88">
        <v>19</v>
      </c>
      <c r="D83" s="82">
        <v>498</v>
      </c>
      <c r="E83" s="88">
        <v>19</v>
      </c>
      <c r="F83" s="88"/>
      <c r="G83" s="82">
        <v>513</v>
      </c>
      <c r="H83" s="88">
        <v>20</v>
      </c>
      <c r="I83" s="86"/>
    </row>
    <row r="84" spans="1:9" x14ac:dyDescent="0.25">
      <c r="A84" s="81" t="s">
        <v>578</v>
      </c>
      <c r="B84" s="82">
        <v>30</v>
      </c>
      <c r="C84" s="88"/>
      <c r="D84" s="82">
        <v>12</v>
      </c>
      <c r="E84" s="88"/>
      <c r="F84" s="88"/>
      <c r="G84" s="82">
        <v>12</v>
      </c>
      <c r="H84" s="88"/>
      <c r="I84" s="86"/>
    </row>
    <row r="85" spans="1:9" x14ac:dyDescent="0.25">
      <c r="A85" s="81" t="s">
        <v>878</v>
      </c>
      <c r="B85" s="82">
        <v>153</v>
      </c>
      <c r="C85" s="88">
        <v>11</v>
      </c>
      <c r="D85" s="82">
        <v>121</v>
      </c>
      <c r="E85" s="88">
        <v>11</v>
      </c>
      <c r="F85" s="88"/>
      <c r="G85" s="82">
        <v>131</v>
      </c>
      <c r="H85" s="88">
        <v>12</v>
      </c>
      <c r="I85" s="86"/>
    </row>
    <row r="86" spans="1:9" x14ac:dyDescent="0.25">
      <c r="A86" s="81" t="s">
        <v>1162</v>
      </c>
      <c r="B86" s="82">
        <v>10</v>
      </c>
      <c r="C86" s="88">
        <v>3</v>
      </c>
      <c r="D86" s="82"/>
      <c r="E86" s="88"/>
      <c r="F86" s="88"/>
      <c r="G86" s="82"/>
      <c r="H86" s="88"/>
      <c r="I86" s="86"/>
    </row>
    <row r="87" spans="1:9" x14ac:dyDescent="0.25">
      <c r="A87" s="81" t="s">
        <v>279</v>
      </c>
      <c r="B87" s="82">
        <v>1366</v>
      </c>
      <c r="C87" s="88">
        <v>55</v>
      </c>
      <c r="D87" s="82">
        <v>926</v>
      </c>
      <c r="E87" s="88">
        <v>43</v>
      </c>
      <c r="F87" s="88"/>
      <c r="G87" s="82">
        <v>946</v>
      </c>
      <c r="H87" s="88">
        <v>44</v>
      </c>
      <c r="I87" s="86"/>
    </row>
    <row r="88" spans="1:9" x14ac:dyDescent="0.25">
      <c r="A88" s="81" t="s">
        <v>1558</v>
      </c>
      <c r="B88" s="82">
        <v>25</v>
      </c>
      <c r="C88" s="88"/>
      <c r="D88" s="82">
        <v>12</v>
      </c>
      <c r="E88" s="88"/>
      <c r="F88" s="88"/>
      <c r="G88" s="82">
        <v>12</v>
      </c>
      <c r="H88" s="88"/>
      <c r="I88" s="86"/>
    </row>
    <row r="89" spans="1:9" x14ac:dyDescent="0.25">
      <c r="A89" s="81" t="s">
        <v>285</v>
      </c>
      <c r="B89" s="82">
        <v>56</v>
      </c>
      <c r="C89" s="88">
        <v>5</v>
      </c>
      <c r="D89" s="82">
        <v>42</v>
      </c>
      <c r="E89" s="88">
        <v>5</v>
      </c>
      <c r="F89" s="88"/>
      <c r="G89" s="82">
        <v>45</v>
      </c>
      <c r="H89" s="88">
        <v>5</v>
      </c>
      <c r="I89" s="86"/>
    </row>
    <row r="90" spans="1:9" x14ac:dyDescent="0.25">
      <c r="A90" s="81" t="s">
        <v>288</v>
      </c>
      <c r="B90" s="82">
        <v>652</v>
      </c>
      <c r="C90" s="88">
        <v>35</v>
      </c>
      <c r="D90" s="82">
        <v>573</v>
      </c>
      <c r="E90" s="88">
        <v>30</v>
      </c>
      <c r="F90" s="88"/>
      <c r="G90" s="82">
        <v>600</v>
      </c>
      <c r="H90" s="88">
        <v>35</v>
      </c>
      <c r="I90" s="86"/>
    </row>
    <row r="91" spans="1:9" x14ac:dyDescent="0.25">
      <c r="A91" s="81" t="s">
        <v>1599</v>
      </c>
      <c r="B91" s="82">
        <v>304</v>
      </c>
      <c r="C91" s="88">
        <v>14</v>
      </c>
      <c r="D91" s="82">
        <v>266</v>
      </c>
      <c r="E91" s="88">
        <v>13</v>
      </c>
      <c r="F91" s="88"/>
      <c r="G91" s="82">
        <v>277</v>
      </c>
      <c r="H91" s="88">
        <v>15</v>
      </c>
      <c r="I91" s="86"/>
    </row>
    <row r="92" spans="1:9" x14ac:dyDescent="0.25">
      <c r="A92" s="81" t="s">
        <v>886</v>
      </c>
      <c r="B92" s="82">
        <v>485</v>
      </c>
      <c r="C92" s="88">
        <v>32</v>
      </c>
      <c r="D92" s="82">
        <v>461</v>
      </c>
      <c r="E92" s="88">
        <v>29</v>
      </c>
      <c r="F92" s="88"/>
      <c r="G92" s="82">
        <v>474</v>
      </c>
      <c r="H92" s="88">
        <v>32</v>
      </c>
      <c r="I92" s="86"/>
    </row>
    <row r="93" spans="1:9" x14ac:dyDescent="0.25">
      <c r="A93" s="81" t="s">
        <v>1165</v>
      </c>
      <c r="B93" s="82">
        <v>91</v>
      </c>
      <c r="C93" s="88"/>
      <c r="D93" s="82">
        <v>36</v>
      </c>
      <c r="E93" s="88"/>
      <c r="F93" s="88"/>
      <c r="G93" s="82">
        <v>44</v>
      </c>
      <c r="H93" s="88"/>
      <c r="I93" s="86"/>
    </row>
    <row r="94" spans="1:9" x14ac:dyDescent="0.25">
      <c r="A94" s="81" t="s">
        <v>1595</v>
      </c>
      <c r="B94" s="82">
        <v>2440</v>
      </c>
      <c r="C94" s="88">
        <v>175</v>
      </c>
      <c r="D94" s="82">
        <v>2291</v>
      </c>
      <c r="E94" s="88">
        <v>167</v>
      </c>
      <c r="F94" s="88"/>
      <c r="G94" s="82">
        <v>2357</v>
      </c>
      <c r="H94" s="88">
        <v>181</v>
      </c>
      <c r="I94" s="86"/>
    </row>
    <row r="95" spans="1:9" x14ac:dyDescent="0.25">
      <c r="A95" s="81" t="s">
        <v>581</v>
      </c>
      <c r="B95" s="82">
        <v>16</v>
      </c>
      <c r="C95" s="88">
        <v>1</v>
      </c>
      <c r="D95" s="82">
        <v>28</v>
      </c>
      <c r="E95" s="88">
        <v>2</v>
      </c>
      <c r="F95" s="88"/>
      <c r="G95" s="82">
        <v>28</v>
      </c>
      <c r="H95" s="88">
        <v>2</v>
      </c>
      <c r="I95" s="86"/>
    </row>
    <row r="96" spans="1:9" x14ac:dyDescent="0.25">
      <c r="A96" s="81" t="s">
        <v>892</v>
      </c>
      <c r="B96" s="82">
        <v>450</v>
      </c>
      <c r="C96" s="88">
        <v>22</v>
      </c>
      <c r="D96" s="82">
        <v>424</v>
      </c>
      <c r="E96" s="88">
        <v>24</v>
      </c>
      <c r="F96" s="88"/>
      <c r="G96" s="82">
        <v>435</v>
      </c>
      <c r="H96" s="88">
        <v>26</v>
      </c>
      <c r="I96" s="86"/>
    </row>
    <row r="97" spans="1:9" x14ac:dyDescent="0.25">
      <c r="A97" s="81" t="s">
        <v>294</v>
      </c>
      <c r="B97" s="82">
        <v>62</v>
      </c>
      <c r="C97" s="88">
        <v>4</v>
      </c>
      <c r="D97" s="82">
        <v>29</v>
      </c>
      <c r="E97" s="88">
        <v>2</v>
      </c>
      <c r="F97" s="88"/>
      <c r="G97" s="82">
        <v>46</v>
      </c>
      <c r="H97" s="88">
        <v>5</v>
      </c>
      <c r="I97" s="86"/>
    </row>
    <row r="98" spans="1:9" x14ac:dyDescent="0.25">
      <c r="A98" s="81" t="s">
        <v>1576</v>
      </c>
      <c r="B98" s="82">
        <v>16</v>
      </c>
      <c r="C98" s="88"/>
      <c r="D98" s="82">
        <v>26</v>
      </c>
      <c r="E98" s="88">
        <v>1</v>
      </c>
      <c r="F98" s="88"/>
      <c r="G98" s="82">
        <v>29</v>
      </c>
      <c r="H98" s="88">
        <v>1</v>
      </c>
      <c r="I98" s="86"/>
    </row>
    <row r="99" spans="1:9" x14ac:dyDescent="0.25">
      <c r="A99" s="81" t="s">
        <v>586</v>
      </c>
      <c r="B99" s="82">
        <v>355</v>
      </c>
      <c r="C99" s="88">
        <v>16</v>
      </c>
      <c r="D99" s="82">
        <v>247</v>
      </c>
      <c r="E99" s="88">
        <v>11</v>
      </c>
      <c r="F99" s="88"/>
      <c r="G99" s="82">
        <v>266</v>
      </c>
      <c r="H99" s="88">
        <v>14</v>
      </c>
      <c r="I99" s="86"/>
    </row>
    <row r="100" spans="1:9" x14ac:dyDescent="0.25">
      <c r="A100" s="81" t="s">
        <v>589</v>
      </c>
      <c r="B100" s="82">
        <v>332</v>
      </c>
      <c r="C100" s="88">
        <v>24</v>
      </c>
      <c r="D100" s="82">
        <v>245</v>
      </c>
      <c r="E100" s="88">
        <v>11</v>
      </c>
      <c r="F100" s="88"/>
      <c r="G100" s="82">
        <v>256</v>
      </c>
      <c r="H100" s="88">
        <v>12</v>
      </c>
      <c r="I100" s="86"/>
    </row>
    <row r="101" spans="1:9" x14ac:dyDescent="0.25">
      <c r="A101" s="81" t="s">
        <v>1624</v>
      </c>
      <c r="B101" s="82">
        <v>1078</v>
      </c>
      <c r="C101" s="88">
        <v>65</v>
      </c>
      <c r="D101" s="82">
        <v>713</v>
      </c>
      <c r="E101" s="88">
        <v>40</v>
      </c>
      <c r="F101" s="88"/>
      <c r="G101" s="82">
        <v>765</v>
      </c>
      <c r="H101" s="88">
        <v>46</v>
      </c>
      <c r="I101" s="86"/>
    </row>
    <row r="102" spans="1:9" x14ac:dyDescent="0.25">
      <c r="A102" s="81" t="s">
        <v>1578</v>
      </c>
      <c r="B102" s="82">
        <v>805</v>
      </c>
      <c r="C102" s="88">
        <v>16</v>
      </c>
      <c r="D102" s="82">
        <v>742</v>
      </c>
      <c r="E102" s="88">
        <v>16</v>
      </c>
      <c r="F102" s="88"/>
      <c r="G102" s="82">
        <v>762</v>
      </c>
      <c r="H102" s="88">
        <v>16</v>
      </c>
      <c r="I102" s="86"/>
    </row>
    <row r="103" spans="1:9" x14ac:dyDescent="0.25">
      <c r="A103" s="81" t="s">
        <v>1567</v>
      </c>
      <c r="B103" s="82">
        <v>333</v>
      </c>
      <c r="C103" s="88">
        <v>18</v>
      </c>
      <c r="D103" s="82">
        <v>305</v>
      </c>
      <c r="E103" s="88">
        <v>16</v>
      </c>
      <c r="F103" s="88"/>
      <c r="G103" s="82">
        <v>314</v>
      </c>
      <c r="H103" s="88">
        <v>18</v>
      </c>
      <c r="I103" s="86"/>
    </row>
    <row r="104" spans="1:9" x14ac:dyDescent="0.25">
      <c r="A104" s="81" t="s">
        <v>1552</v>
      </c>
      <c r="B104" s="82">
        <v>759</v>
      </c>
      <c r="C104" s="88">
        <v>43</v>
      </c>
      <c r="D104" s="82">
        <v>731</v>
      </c>
      <c r="E104" s="88">
        <v>39</v>
      </c>
      <c r="F104" s="88"/>
      <c r="G104" s="82">
        <v>757</v>
      </c>
      <c r="H104" s="88">
        <v>41</v>
      </c>
      <c r="I104" s="86"/>
    </row>
    <row r="105" spans="1:9" x14ac:dyDescent="0.25">
      <c r="A105" s="81" t="s">
        <v>591</v>
      </c>
      <c r="B105" s="82">
        <v>3</v>
      </c>
      <c r="C105" s="88"/>
      <c r="D105" s="82"/>
      <c r="E105" s="88"/>
      <c r="F105" s="88"/>
      <c r="G105" s="82"/>
      <c r="H105" s="88"/>
      <c r="I105" s="86"/>
    </row>
    <row r="106" spans="1:9" x14ac:dyDescent="0.25">
      <c r="A106" s="81" t="s">
        <v>907</v>
      </c>
      <c r="B106" s="82">
        <v>14</v>
      </c>
      <c r="C106" s="88"/>
      <c r="D106" s="82">
        <v>11</v>
      </c>
      <c r="E106" s="88"/>
      <c r="F106" s="88"/>
      <c r="G106" s="82">
        <v>12</v>
      </c>
      <c r="H106" s="88"/>
      <c r="I106" s="86"/>
    </row>
    <row r="107" spans="1:9" x14ac:dyDescent="0.25">
      <c r="A107" s="81" t="s">
        <v>910</v>
      </c>
      <c r="B107" s="82">
        <v>218</v>
      </c>
      <c r="C107" s="88">
        <v>9</v>
      </c>
      <c r="D107" s="82">
        <v>182</v>
      </c>
      <c r="E107" s="88">
        <v>5</v>
      </c>
      <c r="F107" s="88"/>
      <c r="G107" s="82">
        <v>203</v>
      </c>
      <c r="H107" s="88">
        <v>8</v>
      </c>
      <c r="I107" s="86"/>
    </row>
    <row r="108" spans="1:9" x14ac:dyDescent="0.25">
      <c r="A108" s="81" t="s">
        <v>913</v>
      </c>
      <c r="B108" s="82">
        <v>76</v>
      </c>
      <c r="C108" s="88">
        <v>5</v>
      </c>
      <c r="D108" s="82">
        <v>58</v>
      </c>
      <c r="E108" s="88">
        <v>4</v>
      </c>
      <c r="F108" s="88"/>
      <c r="G108" s="82">
        <v>64</v>
      </c>
      <c r="H108" s="88">
        <v>6</v>
      </c>
      <c r="I108" s="86"/>
    </row>
    <row r="109" spans="1:9" x14ac:dyDescent="0.25">
      <c r="A109" s="81" t="s">
        <v>297</v>
      </c>
      <c r="B109" s="82">
        <v>163</v>
      </c>
      <c r="C109" s="88">
        <v>3</v>
      </c>
      <c r="D109" s="82">
        <v>42</v>
      </c>
      <c r="E109" s="88"/>
      <c r="F109" s="88"/>
      <c r="G109" s="82">
        <v>45</v>
      </c>
      <c r="H109" s="88">
        <v>2</v>
      </c>
      <c r="I109" s="86"/>
    </row>
    <row r="110" spans="1:9" x14ac:dyDescent="0.25">
      <c r="A110" s="81" t="s">
        <v>1171</v>
      </c>
      <c r="B110" s="82">
        <v>175</v>
      </c>
      <c r="C110" s="88">
        <v>9</v>
      </c>
      <c r="D110" s="82">
        <v>52</v>
      </c>
      <c r="E110" s="88">
        <v>2</v>
      </c>
      <c r="F110" s="88"/>
      <c r="G110" s="82">
        <v>57</v>
      </c>
      <c r="H110" s="88">
        <v>2</v>
      </c>
      <c r="I110" s="86"/>
    </row>
    <row r="111" spans="1:9" x14ac:dyDescent="0.25">
      <c r="A111" s="81" t="s">
        <v>916</v>
      </c>
      <c r="B111" s="82">
        <v>9</v>
      </c>
      <c r="C111" s="88"/>
      <c r="D111" s="82"/>
      <c r="E111" s="88"/>
      <c r="F111" s="88"/>
      <c r="G111" s="82"/>
      <c r="H111" s="88"/>
      <c r="I111" s="86"/>
    </row>
    <row r="112" spans="1:9" x14ac:dyDescent="0.25">
      <c r="A112" s="81" t="s">
        <v>919</v>
      </c>
      <c r="B112" s="82">
        <v>76</v>
      </c>
      <c r="C112" s="88">
        <v>4</v>
      </c>
      <c r="D112" s="82">
        <v>60</v>
      </c>
      <c r="E112" s="88">
        <v>2</v>
      </c>
      <c r="F112" s="88"/>
      <c r="G112" s="82">
        <v>62</v>
      </c>
      <c r="H112" s="88">
        <v>3</v>
      </c>
      <c r="I112" s="86"/>
    </row>
    <row r="113" spans="1:9" x14ac:dyDescent="0.25">
      <c r="A113" s="81" t="s">
        <v>597</v>
      </c>
      <c r="B113" s="82">
        <v>143</v>
      </c>
      <c r="C113" s="88">
        <v>3</v>
      </c>
      <c r="D113" s="82">
        <v>46</v>
      </c>
      <c r="E113" s="88"/>
      <c r="F113" s="88"/>
      <c r="G113" s="82">
        <v>55</v>
      </c>
      <c r="H113" s="88"/>
      <c r="I113" s="86"/>
    </row>
    <row r="114" spans="1:9" x14ac:dyDescent="0.25">
      <c r="A114" s="81" t="s">
        <v>603</v>
      </c>
      <c r="B114" s="82">
        <v>124</v>
      </c>
      <c r="C114" s="88">
        <v>2</v>
      </c>
      <c r="D114" s="82"/>
      <c r="E114" s="88"/>
      <c r="F114" s="88"/>
      <c r="G114" s="82"/>
      <c r="H114" s="88"/>
      <c r="I114" s="86"/>
    </row>
    <row r="115" spans="1:9" x14ac:dyDescent="0.25">
      <c r="A115" s="81" t="s">
        <v>1582</v>
      </c>
      <c r="B115" s="82">
        <v>798</v>
      </c>
      <c r="C115" s="88">
        <v>46</v>
      </c>
      <c r="D115" s="82">
        <v>710</v>
      </c>
      <c r="E115" s="88">
        <v>33</v>
      </c>
      <c r="F115" s="88"/>
      <c r="G115" s="82">
        <v>749</v>
      </c>
      <c r="H115" s="88">
        <v>39</v>
      </c>
      <c r="I115" s="86"/>
    </row>
    <row r="116" spans="1:9" x14ac:dyDescent="0.25">
      <c r="A116" s="81" t="s">
        <v>928</v>
      </c>
      <c r="B116" s="82">
        <v>10</v>
      </c>
      <c r="C116" s="88"/>
      <c r="D116" s="82"/>
      <c r="E116" s="88"/>
      <c r="F116" s="88"/>
      <c r="G116" s="82"/>
      <c r="H116" s="88"/>
      <c r="I116" s="86"/>
    </row>
    <row r="117" spans="1:9" x14ac:dyDescent="0.25">
      <c r="A117" s="81" t="s">
        <v>1572</v>
      </c>
      <c r="B117" s="82">
        <v>164</v>
      </c>
      <c r="C117" s="88"/>
      <c r="D117" s="82">
        <v>47</v>
      </c>
      <c r="E117" s="88"/>
      <c r="F117" s="88"/>
      <c r="G117" s="82">
        <v>50</v>
      </c>
      <c r="H117" s="88"/>
      <c r="I117" s="86"/>
    </row>
    <row r="118" spans="1:9" x14ac:dyDescent="0.25">
      <c r="A118" s="81" t="s">
        <v>1174</v>
      </c>
      <c r="B118" s="82">
        <v>7</v>
      </c>
      <c r="C118" s="88"/>
      <c r="D118" s="82"/>
      <c r="E118" s="88"/>
      <c r="F118" s="88"/>
      <c r="G118" s="82"/>
      <c r="H118" s="88"/>
      <c r="I118" s="86"/>
    </row>
    <row r="119" spans="1:9" x14ac:dyDescent="0.25">
      <c r="A119" s="81" t="s">
        <v>1177</v>
      </c>
      <c r="B119" s="82">
        <v>5</v>
      </c>
      <c r="C119" s="88"/>
      <c r="D119" s="82"/>
      <c r="E119" s="88"/>
      <c r="F119" s="88"/>
      <c r="G119" s="82"/>
      <c r="H119" s="88"/>
      <c r="I119" s="86"/>
    </row>
    <row r="120" spans="1:9" x14ac:dyDescent="0.25">
      <c r="A120" s="81" t="s">
        <v>606</v>
      </c>
      <c r="B120" s="82">
        <v>5</v>
      </c>
      <c r="C120" s="88">
        <v>2</v>
      </c>
      <c r="D120" s="82">
        <v>11</v>
      </c>
      <c r="E120" s="88">
        <v>5</v>
      </c>
      <c r="F120" s="88"/>
      <c r="G120" s="82">
        <v>11</v>
      </c>
      <c r="H120" s="88">
        <v>5</v>
      </c>
      <c r="I120" s="86"/>
    </row>
    <row r="121" spans="1:9" x14ac:dyDescent="0.25">
      <c r="A121" s="81" t="s">
        <v>609</v>
      </c>
      <c r="B121" s="82">
        <v>12</v>
      </c>
      <c r="C121" s="88"/>
      <c r="D121" s="82">
        <v>5</v>
      </c>
      <c r="E121" s="88"/>
      <c r="F121" s="88"/>
      <c r="G121" s="82">
        <v>6</v>
      </c>
      <c r="H121" s="88"/>
      <c r="I121" s="86"/>
    </row>
    <row r="122" spans="1:9" x14ac:dyDescent="0.25">
      <c r="A122" s="81" t="s">
        <v>300</v>
      </c>
      <c r="B122" s="82">
        <v>4</v>
      </c>
      <c r="C122" s="88"/>
      <c r="D122" s="82"/>
      <c r="E122" s="88"/>
      <c r="F122" s="88"/>
      <c r="G122" s="82"/>
      <c r="H122" s="88"/>
      <c r="I122" s="86"/>
    </row>
    <row r="123" spans="1:9" x14ac:dyDescent="0.25">
      <c r="A123" s="81" t="s">
        <v>1180</v>
      </c>
      <c r="B123" s="82">
        <v>27</v>
      </c>
      <c r="C123" s="88">
        <v>1</v>
      </c>
      <c r="D123" s="82">
        <v>1</v>
      </c>
      <c r="E123" s="88"/>
      <c r="F123" s="88"/>
      <c r="G123" s="82">
        <v>1</v>
      </c>
      <c r="H123" s="88"/>
      <c r="I123" s="86"/>
    </row>
    <row r="124" spans="1:9" x14ac:dyDescent="0.25">
      <c r="A124" s="81" t="s">
        <v>1183</v>
      </c>
      <c r="B124" s="82">
        <v>108</v>
      </c>
      <c r="C124" s="88">
        <v>8</v>
      </c>
      <c r="D124" s="82">
        <v>66</v>
      </c>
      <c r="E124" s="88">
        <v>6</v>
      </c>
      <c r="F124" s="88"/>
      <c r="G124" s="82">
        <v>67</v>
      </c>
      <c r="H124" s="88">
        <v>7</v>
      </c>
      <c r="I124" s="86"/>
    </row>
    <row r="125" spans="1:9" x14ac:dyDescent="0.25">
      <c r="A125" s="81" t="s">
        <v>1668</v>
      </c>
      <c r="B125" s="82">
        <v>6</v>
      </c>
      <c r="C125" s="88"/>
      <c r="D125" s="82"/>
      <c r="E125" s="88"/>
      <c r="F125" s="88"/>
      <c r="G125" s="82"/>
      <c r="H125" s="88"/>
      <c r="I125" s="86"/>
    </row>
    <row r="126" spans="1:9" x14ac:dyDescent="0.25">
      <c r="A126" s="81" t="s">
        <v>303</v>
      </c>
      <c r="B126" s="82">
        <v>54</v>
      </c>
      <c r="C126" s="88">
        <v>1</v>
      </c>
      <c r="D126" s="82">
        <v>33</v>
      </c>
      <c r="E126" s="88">
        <v>1</v>
      </c>
      <c r="F126" s="88"/>
      <c r="G126" s="82">
        <v>38</v>
      </c>
      <c r="H126" s="88">
        <v>1</v>
      </c>
      <c r="I126" s="86"/>
    </row>
    <row r="127" spans="1:9" x14ac:dyDescent="0.25">
      <c r="A127" s="81" t="s">
        <v>1188</v>
      </c>
      <c r="B127" s="82">
        <v>26</v>
      </c>
      <c r="C127" s="88"/>
      <c r="D127" s="82"/>
      <c r="E127" s="88"/>
      <c r="F127" s="88"/>
      <c r="G127" s="82"/>
      <c r="H127" s="88"/>
      <c r="I127" s="86"/>
    </row>
    <row r="128" spans="1:9" x14ac:dyDescent="0.25">
      <c r="A128" s="81" t="s">
        <v>1604</v>
      </c>
      <c r="B128" s="82">
        <v>152</v>
      </c>
      <c r="C128" s="88">
        <v>10</v>
      </c>
      <c r="D128" s="82">
        <v>134</v>
      </c>
      <c r="E128" s="88">
        <v>9</v>
      </c>
      <c r="F128" s="88"/>
      <c r="G128" s="82">
        <v>141</v>
      </c>
      <c r="H128" s="88">
        <v>9</v>
      </c>
      <c r="I128" s="86"/>
    </row>
    <row r="129" spans="1:9" x14ac:dyDescent="0.25">
      <c r="A129" s="81" t="s">
        <v>307</v>
      </c>
      <c r="B129" s="82">
        <v>472</v>
      </c>
      <c r="C129" s="88">
        <v>20</v>
      </c>
      <c r="D129" s="82">
        <v>412</v>
      </c>
      <c r="E129" s="88">
        <v>18</v>
      </c>
      <c r="F129" s="88"/>
      <c r="G129" s="82">
        <v>446</v>
      </c>
      <c r="H129" s="88">
        <v>21</v>
      </c>
      <c r="I129" s="86"/>
    </row>
    <row r="130" spans="1:9" x14ac:dyDescent="0.25">
      <c r="A130" s="81" t="s">
        <v>934</v>
      </c>
      <c r="B130" s="82">
        <v>346</v>
      </c>
      <c r="C130" s="88">
        <v>31</v>
      </c>
      <c r="D130" s="82">
        <v>317</v>
      </c>
      <c r="E130" s="88">
        <v>31</v>
      </c>
      <c r="F130" s="88"/>
      <c r="G130" s="82">
        <v>329</v>
      </c>
      <c r="H130" s="88">
        <v>32</v>
      </c>
      <c r="I130" s="86"/>
    </row>
    <row r="131" spans="1:9" x14ac:dyDescent="0.25">
      <c r="A131" s="81" t="s">
        <v>937</v>
      </c>
      <c r="B131" s="82">
        <v>495</v>
      </c>
      <c r="C131" s="88">
        <v>35</v>
      </c>
      <c r="D131" s="82">
        <v>480</v>
      </c>
      <c r="E131" s="88">
        <v>33</v>
      </c>
      <c r="F131" s="88"/>
      <c r="G131" s="82">
        <v>499</v>
      </c>
      <c r="H131" s="88">
        <v>37</v>
      </c>
      <c r="I131" s="86"/>
    </row>
    <row r="132" spans="1:9" x14ac:dyDescent="0.25">
      <c r="A132" s="81" t="s">
        <v>1565</v>
      </c>
      <c r="B132" s="82">
        <v>161</v>
      </c>
      <c r="C132" s="88">
        <v>13</v>
      </c>
      <c r="D132" s="82">
        <v>120</v>
      </c>
      <c r="E132" s="88">
        <v>12</v>
      </c>
      <c r="F132" s="88"/>
      <c r="G132" s="82">
        <v>133</v>
      </c>
      <c r="H132" s="88">
        <v>15</v>
      </c>
      <c r="I132" s="86"/>
    </row>
    <row r="133" spans="1:9" x14ac:dyDescent="0.25">
      <c r="A133" s="81" t="s">
        <v>940</v>
      </c>
      <c r="B133" s="82">
        <v>190</v>
      </c>
      <c r="C133" s="88">
        <v>15</v>
      </c>
      <c r="D133" s="82">
        <v>160</v>
      </c>
      <c r="E133" s="88">
        <v>11</v>
      </c>
      <c r="F133" s="88"/>
      <c r="G133" s="82">
        <v>167</v>
      </c>
      <c r="H133" s="88">
        <v>16</v>
      </c>
      <c r="I133" s="86"/>
    </row>
    <row r="134" spans="1:9" x14ac:dyDescent="0.25">
      <c r="A134" s="81" t="s">
        <v>943</v>
      </c>
      <c r="B134" s="82">
        <v>177</v>
      </c>
      <c r="C134" s="88">
        <v>7</v>
      </c>
      <c r="D134" s="82">
        <v>50</v>
      </c>
      <c r="E134" s="88">
        <v>1</v>
      </c>
      <c r="F134" s="88"/>
      <c r="G134" s="82">
        <v>61</v>
      </c>
      <c r="H134" s="88">
        <v>2</v>
      </c>
      <c r="I134" s="86"/>
    </row>
    <row r="135" spans="1:9" x14ac:dyDescent="0.25">
      <c r="A135" s="81" t="s">
        <v>1191</v>
      </c>
      <c r="B135" s="82">
        <v>4</v>
      </c>
      <c r="C135" s="88"/>
      <c r="D135" s="82"/>
      <c r="E135" s="88"/>
      <c r="F135" s="88"/>
      <c r="G135" s="82"/>
      <c r="H135" s="88"/>
      <c r="I135" s="86"/>
    </row>
    <row r="136" spans="1:9" x14ac:dyDescent="0.25">
      <c r="A136" s="81" t="s">
        <v>1639</v>
      </c>
      <c r="B136" s="82">
        <v>1269</v>
      </c>
      <c r="C136" s="88">
        <v>85</v>
      </c>
      <c r="D136" s="82">
        <v>1223</v>
      </c>
      <c r="E136" s="88">
        <v>87</v>
      </c>
      <c r="F136" s="88"/>
      <c r="G136" s="82">
        <v>1250</v>
      </c>
      <c r="H136" s="88">
        <v>94</v>
      </c>
      <c r="I136" s="86"/>
    </row>
    <row r="137" spans="1:9" x14ac:dyDescent="0.25">
      <c r="A137" s="81" t="s">
        <v>617</v>
      </c>
      <c r="B137" s="82">
        <v>8</v>
      </c>
      <c r="C137" s="88"/>
      <c r="D137" s="82"/>
      <c r="E137" s="88"/>
      <c r="F137" s="88"/>
      <c r="G137" s="82"/>
      <c r="H137" s="88"/>
      <c r="I137" s="86"/>
    </row>
    <row r="138" spans="1:9" x14ac:dyDescent="0.25">
      <c r="A138" s="81" t="s">
        <v>1619</v>
      </c>
      <c r="B138" s="82">
        <v>893</v>
      </c>
      <c r="C138" s="88">
        <v>60</v>
      </c>
      <c r="D138" s="82">
        <v>734</v>
      </c>
      <c r="E138" s="88">
        <v>46</v>
      </c>
      <c r="F138" s="88"/>
      <c r="G138" s="82">
        <v>760</v>
      </c>
      <c r="H138" s="88">
        <v>53</v>
      </c>
      <c r="I138" s="86"/>
    </row>
    <row r="139" spans="1:9" x14ac:dyDescent="0.25">
      <c r="A139" s="81" t="s">
        <v>946</v>
      </c>
      <c r="B139" s="82">
        <v>12</v>
      </c>
      <c r="C139" s="88"/>
      <c r="D139" s="82">
        <v>6</v>
      </c>
      <c r="E139" s="88"/>
      <c r="F139" s="88"/>
      <c r="G139" s="82">
        <v>7</v>
      </c>
      <c r="H139" s="88"/>
      <c r="I139" s="86"/>
    </row>
    <row r="140" spans="1:9" x14ac:dyDescent="0.25">
      <c r="A140" s="81" t="s">
        <v>1568</v>
      </c>
      <c r="B140" s="82">
        <v>152</v>
      </c>
      <c r="C140" s="88">
        <v>20</v>
      </c>
      <c r="D140" s="82">
        <v>133</v>
      </c>
      <c r="E140" s="88">
        <v>12</v>
      </c>
      <c r="F140" s="88"/>
      <c r="G140" s="82">
        <v>142</v>
      </c>
      <c r="H140" s="88">
        <v>14</v>
      </c>
      <c r="I140" s="86"/>
    </row>
    <row r="141" spans="1:9" x14ac:dyDescent="0.25">
      <c r="A141" s="81" t="s">
        <v>949</v>
      </c>
      <c r="B141" s="82">
        <v>18</v>
      </c>
      <c r="C141" s="88"/>
      <c r="D141" s="82">
        <v>2</v>
      </c>
      <c r="E141" s="88"/>
      <c r="F141" s="88"/>
      <c r="G141" s="82">
        <v>2</v>
      </c>
      <c r="H141" s="88"/>
      <c r="I141" s="86"/>
    </row>
    <row r="142" spans="1:9" x14ac:dyDescent="0.25">
      <c r="A142" s="81" t="s">
        <v>1197</v>
      </c>
      <c r="B142" s="82">
        <v>9</v>
      </c>
      <c r="C142" s="88">
        <v>1</v>
      </c>
      <c r="D142" s="82"/>
      <c r="E142" s="88"/>
      <c r="F142" s="88"/>
      <c r="G142" s="82"/>
      <c r="H142" s="88"/>
      <c r="I142" s="86"/>
    </row>
    <row r="143" spans="1:9" x14ac:dyDescent="0.25">
      <c r="A143" s="81" t="s">
        <v>629</v>
      </c>
      <c r="B143" s="82">
        <v>27</v>
      </c>
      <c r="C143" s="88"/>
      <c r="D143" s="82">
        <v>20</v>
      </c>
      <c r="E143" s="88"/>
      <c r="F143" s="88"/>
      <c r="G143" s="82">
        <v>22</v>
      </c>
      <c r="H143" s="88"/>
      <c r="I143" s="86"/>
    </row>
    <row r="144" spans="1:9" x14ac:dyDescent="0.25">
      <c r="A144" s="81" t="s">
        <v>632</v>
      </c>
      <c r="B144" s="82">
        <v>21</v>
      </c>
      <c r="C144" s="88"/>
      <c r="D144" s="82">
        <v>6</v>
      </c>
      <c r="E144" s="88"/>
      <c r="F144" s="88"/>
      <c r="G144" s="82">
        <v>7</v>
      </c>
      <c r="H144" s="88"/>
      <c r="I144" s="86"/>
    </row>
    <row r="145" spans="1:9" x14ac:dyDescent="0.25">
      <c r="A145" s="81" t="s">
        <v>1203</v>
      </c>
      <c r="B145" s="82">
        <v>8</v>
      </c>
      <c r="C145" s="88"/>
      <c r="D145" s="82"/>
      <c r="E145" s="88"/>
      <c r="F145" s="88"/>
      <c r="G145" s="82"/>
      <c r="H145" s="88"/>
      <c r="I145" s="86"/>
    </row>
    <row r="146" spans="1:9" x14ac:dyDescent="0.25">
      <c r="A146" s="81" t="s">
        <v>310</v>
      </c>
      <c r="B146" s="82">
        <v>43</v>
      </c>
      <c r="C146" s="88">
        <v>3</v>
      </c>
      <c r="D146" s="82">
        <v>21</v>
      </c>
      <c r="E146" s="88"/>
      <c r="F146" s="88"/>
      <c r="G146" s="82">
        <v>29</v>
      </c>
      <c r="H146" s="88">
        <v>2</v>
      </c>
      <c r="I146" s="86"/>
    </row>
    <row r="147" spans="1:9" x14ac:dyDescent="0.25">
      <c r="A147" s="81" t="s">
        <v>952</v>
      </c>
      <c r="B147" s="82">
        <v>48</v>
      </c>
      <c r="C147" s="88">
        <v>5</v>
      </c>
      <c r="D147" s="82">
        <v>33</v>
      </c>
      <c r="E147" s="88">
        <v>2</v>
      </c>
      <c r="F147" s="88"/>
      <c r="G147" s="82">
        <v>35</v>
      </c>
      <c r="H147" s="88">
        <v>2</v>
      </c>
      <c r="I147" s="86"/>
    </row>
    <row r="148" spans="1:9" x14ac:dyDescent="0.25">
      <c r="A148" s="81" t="s">
        <v>312</v>
      </c>
      <c r="B148" s="82">
        <v>1666</v>
      </c>
      <c r="C148" s="88">
        <v>54</v>
      </c>
      <c r="D148" s="82">
        <v>1450</v>
      </c>
      <c r="E148" s="88">
        <v>53</v>
      </c>
      <c r="F148" s="88"/>
      <c r="G148" s="82">
        <v>1501</v>
      </c>
      <c r="H148" s="88">
        <v>59</v>
      </c>
      <c r="I148" s="86"/>
    </row>
    <row r="149" spans="1:9" x14ac:dyDescent="0.25">
      <c r="A149" s="81" t="s">
        <v>1597</v>
      </c>
      <c r="B149" s="82">
        <v>36</v>
      </c>
      <c r="C149" s="88">
        <v>1</v>
      </c>
      <c r="D149" s="82"/>
      <c r="E149" s="88"/>
      <c r="F149" s="88"/>
      <c r="G149" s="82"/>
      <c r="H149" s="88"/>
      <c r="I149" s="86"/>
    </row>
    <row r="150" spans="1:9" x14ac:dyDescent="0.25">
      <c r="A150" s="81" t="s">
        <v>315</v>
      </c>
      <c r="B150" s="82">
        <v>50</v>
      </c>
      <c r="C150" s="88">
        <v>2</v>
      </c>
      <c r="D150" s="82">
        <v>43</v>
      </c>
      <c r="E150" s="88">
        <v>1</v>
      </c>
      <c r="F150" s="88"/>
      <c r="G150" s="82">
        <v>46</v>
      </c>
      <c r="H150" s="88">
        <v>2</v>
      </c>
      <c r="I150" s="86"/>
    </row>
    <row r="151" spans="1:9" x14ac:dyDescent="0.25">
      <c r="A151" s="81" t="s">
        <v>318</v>
      </c>
      <c r="B151" s="82">
        <v>70</v>
      </c>
      <c r="C151" s="88">
        <v>10</v>
      </c>
      <c r="D151" s="82">
        <v>57</v>
      </c>
      <c r="E151" s="88">
        <v>4</v>
      </c>
      <c r="F151" s="88"/>
      <c r="G151" s="82">
        <v>66</v>
      </c>
      <c r="H151" s="88">
        <v>7</v>
      </c>
      <c r="I151" s="86"/>
    </row>
    <row r="152" spans="1:9" x14ac:dyDescent="0.25">
      <c r="A152" s="81" t="s">
        <v>321</v>
      </c>
      <c r="B152" s="82">
        <v>239</v>
      </c>
      <c r="C152" s="88">
        <v>28</v>
      </c>
      <c r="D152" s="82">
        <v>180</v>
      </c>
      <c r="E152" s="88">
        <v>20</v>
      </c>
      <c r="F152" s="88"/>
      <c r="G152" s="82">
        <v>216</v>
      </c>
      <c r="H152" s="88">
        <v>27</v>
      </c>
      <c r="I152" s="86"/>
    </row>
    <row r="153" spans="1:9" x14ac:dyDescent="0.25">
      <c r="A153" s="81" t="s">
        <v>641</v>
      </c>
      <c r="B153" s="82">
        <v>241</v>
      </c>
      <c r="C153" s="88">
        <v>16</v>
      </c>
      <c r="D153" s="82">
        <v>140</v>
      </c>
      <c r="E153" s="88">
        <v>6</v>
      </c>
      <c r="F153" s="88"/>
      <c r="G153" s="82">
        <v>145</v>
      </c>
      <c r="H153" s="88">
        <v>8</v>
      </c>
      <c r="I153" s="86"/>
    </row>
    <row r="154" spans="1:9" x14ac:dyDescent="0.25">
      <c r="A154" s="81" t="s">
        <v>1634</v>
      </c>
      <c r="B154" s="82">
        <v>7</v>
      </c>
      <c r="C154" s="88"/>
      <c r="D154" s="82"/>
      <c r="E154" s="88"/>
      <c r="F154" s="88"/>
      <c r="G154" s="82"/>
      <c r="H154" s="88"/>
      <c r="I154" s="86"/>
    </row>
    <row r="155" spans="1:9" x14ac:dyDescent="0.25">
      <c r="A155" s="81" t="s">
        <v>957</v>
      </c>
      <c r="B155" s="82">
        <v>15</v>
      </c>
      <c r="C155" s="88"/>
      <c r="D155" s="82">
        <v>8</v>
      </c>
      <c r="E155" s="88"/>
      <c r="F155" s="88"/>
      <c r="G155" s="82">
        <v>8</v>
      </c>
      <c r="H155" s="88"/>
      <c r="I155" s="86"/>
    </row>
    <row r="156" spans="1:9" x14ac:dyDescent="0.25">
      <c r="A156" s="81" t="s">
        <v>1631</v>
      </c>
      <c r="B156" s="82">
        <v>677</v>
      </c>
      <c r="C156" s="88">
        <v>27</v>
      </c>
      <c r="D156" s="82">
        <v>650</v>
      </c>
      <c r="E156" s="88">
        <v>24</v>
      </c>
      <c r="F156" s="88"/>
      <c r="G156" s="82">
        <v>665</v>
      </c>
      <c r="H156" s="88">
        <v>26</v>
      </c>
      <c r="I156" s="86"/>
    </row>
    <row r="157" spans="1:9" x14ac:dyDescent="0.25">
      <c r="A157" s="81" t="s">
        <v>1208</v>
      </c>
      <c r="B157" s="82">
        <v>85</v>
      </c>
      <c r="C157" s="88">
        <v>11</v>
      </c>
      <c r="D157" s="82">
        <v>30</v>
      </c>
      <c r="E157" s="88">
        <v>4</v>
      </c>
      <c r="F157" s="88"/>
      <c r="G157" s="82">
        <v>31</v>
      </c>
      <c r="H157" s="88">
        <v>4</v>
      </c>
      <c r="I157" s="86"/>
    </row>
    <row r="158" spans="1:9" x14ac:dyDescent="0.25">
      <c r="A158" s="81" t="s">
        <v>1211</v>
      </c>
      <c r="B158" s="82">
        <v>609</v>
      </c>
      <c r="C158" s="88">
        <v>35</v>
      </c>
      <c r="D158" s="82">
        <v>412</v>
      </c>
      <c r="E158" s="88">
        <v>23</v>
      </c>
      <c r="F158" s="88"/>
      <c r="G158" s="82">
        <v>421</v>
      </c>
      <c r="H158" s="88">
        <v>28</v>
      </c>
      <c r="I158" s="86"/>
    </row>
    <row r="159" spans="1:9" x14ac:dyDescent="0.25">
      <c r="A159" s="81" t="s">
        <v>1641</v>
      </c>
      <c r="B159" s="82">
        <v>4</v>
      </c>
      <c r="C159" s="88"/>
      <c r="D159" s="82"/>
      <c r="E159" s="88"/>
      <c r="F159" s="88"/>
      <c r="G159" s="82"/>
      <c r="H159" s="88"/>
      <c r="I159" s="86"/>
    </row>
    <row r="160" spans="1:9" x14ac:dyDescent="0.25">
      <c r="A160" s="81" t="s">
        <v>962</v>
      </c>
      <c r="B160" s="82"/>
      <c r="C160" s="88"/>
      <c r="D160" s="82">
        <v>13</v>
      </c>
      <c r="E160" s="88"/>
      <c r="F160" s="88"/>
      <c r="G160" s="82">
        <v>13</v>
      </c>
      <c r="H160" s="88"/>
      <c r="I160" s="86"/>
    </row>
    <row r="161" spans="1:9" x14ac:dyDescent="0.25">
      <c r="A161" s="81" t="s">
        <v>964</v>
      </c>
      <c r="B161" s="82">
        <v>1139</v>
      </c>
      <c r="C161" s="88">
        <v>39</v>
      </c>
      <c r="D161" s="82">
        <v>1077</v>
      </c>
      <c r="E161" s="88">
        <v>29</v>
      </c>
      <c r="F161" s="88"/>
      <c r="G161" s="82">
        <v>1091</v>
      </c>
      <c r="H161" s="88">
        <v>35</v>
      </c>
      <c r="I161" s="86"/>
    </row>
    <row r="162" spans="1:9" x14ac:dyDescent="0.25">
      <c r="A162" s="81" t="s">
        <v>967</v>
      </c>
      <c r="B162" s="82">
        <v>8</v>
      </c>
      <c r="C162" s="88"/>
      <c r="D162" s="82"/>
      <c r="E162" s="88"/>
      <c r="F162" s="88"/>
      <c r="G162" s="82"/>
      <c r="H162" s="88"/>
      <c r="I162" s="86"/>
    </row>
    <row r="163" spans="1:9" x14ac:dyDescent="0.25">
      <c r="A163" s="81" t="s">
        <v>970</v>
      </c>
      <c r="B163" s="82">
        <v>17</v>
      </c>
      <c r="C163" s="88"/>
      <c r="D163" s="82">
        <v>6</v>
      </c>
      <c r="E163" s="88"/>
      <c r="F163" s="88"/>
      <c r="G163" s="82">
        <v>10</v>
      </c>
      <c r="H163" s="88"/>
      <c r="I163" s="86"/>
    </row>
    <row r="164" spans="1:9" x14ac:dyDescent="0.25">
      <c r="A164" s="81" t="s">
        <v>972</v>
      </c>
      <c r="B164" s="82">
        <v>105</v>
      </c>
      <c r="C164" s="88">
        <v>13</v>
      </c>
      <c r="D164" s="82">
        <v>41</v>
      </c>
      <c r="E164" s="88">
        <v>7</v>
      </c>
      <c r="F164" s="88"/>
      <c r="G164" s="82">
        <v>42</v>
      </c>
      <c r="H164" s="88">
        <v>7</v>
      </c>
      <c r="I164" s="86"/>
    </row>
    <row r="165" spans="1:9" x14ac:dyDescent="0.25">
      <c r="A165" s="81" t="s">
        <v>327</v>
      </c>
      <c r="B165" s="82">
        <v>38</v>
      </c>
      <c r="C165" s="88">
        <v>3</v>
      </c>
      <c r="D165" s="82">
        <v>9</v>
      </c>
      <c r="E165" s="88">
        <v>2</v>
      </c>
      <c r="F165" s="88"/>
      <c r="G165" s="82">
        <v>13</v>
      </c>
      <c r="H165" s="88">
        <v>2</v>
      </c>
      <c r="I165" s="86"/>
    </row>
    <row r="166" spans="1:9" x14ac:dyDescent="0.25">
      <c r="A166" s="81" t="s">
        <v>1632</v>
      </c>
      <c r="B166" s="82">
        <v>3180</v>
      </c>
      <c r="C166" s="88">
        <v>135</v>
      </c>
      <c r="D166" s="82">
        <v>2988</v>
      </c>
      <c r="E166" s="88">
        <v>132</v>
      </c>
      <c r="F166" s="88"/>
      <c r="G166" s="82">
        <v>3084</v>
      </c>
      <c r="H166" s="88">
        <v>139</v>
      </c>
      <c r="I166" s="86"/>
    </row>
    <row r="167" spans="1:9" x14ac:dyDescent="0.25">
      <c r="A167" s="81" t="s">
        <v>330</v>
      </c>
      <c r="B167" s="82">
        <v>115</v>
      </c>
      <c r="C167" s="88">
        <v>5</v>
      </c>
      <c r="D167" s="82"/>
      <c r="E167" s="88"/>
      <c r="F167" s="88"/>
      <c r="G167" s="82"/>
      <c r="H167" s="88"/>
      <c r="I167" s="86"/>
    </row>
    <row r="168" spans="1:9" x14ac:dyDescent="0.25">
      <c r="A168" s="81" t="s">
        <v>333</v>
      </c>
      <c r="B168" s="82">
        <v>37</v>
      </c>
      <c r="C168" s="88">
        <v>6</v>
      </c>
      <c r="D168" s="82">
        <v>13</v>
      </c>
      <c r="E168" s="88">
        <v>1</v>
      </c>
      <c r="F168" s="88"/>
      <c r="G168" s="82">
        <v>21</v>
      </c>
      <c r="H168" s="88">
        <v>2</v>
      </c>
      <c r="I168" s="86"/>
    </row>
    <row r="169" spans="1:9" x14ac:dyDescent="0.25">
      <c r="A169" s="81" t="s">
        <v>1213</v>
      </c>
      <c r="B169" s="82">
        <v>4</v>
      </c>
      <c r="C169" s="88"/>
      <c r="D169" s="82">
        <v>1</v>
      </c>
      <c r="E169" s="88"/>
      <c r="F169" s="88"/>
      <c r="G169" s="82">
        <v>1</v>
      </c>
      <c r="H169" s="88"/>
      <c r="I169" s="86"/>
    </row>
    <row r="170" spans="1:9" x14ac:dyDescent="0.25">
      <c r="A170" s="81" t="s">
        <v>1216</v>
      </c>
      <c r="B170" s="82">
        <v>71</v>
      </c>
      <c r="C170" s="88">
        <v>7</v>
      </c>
      <c r="D170" s="82">
        <v>23</v>
      </c>
      <c r="E170" s="88">
        <v>4</v>
      </c>
      <c r="F170" s="88"/>
      <c r="G170" s="82">
        <v>27</v>
      </c>
      <c r="H170" s="88">
        <v>6</v>
      </c>
      <c r="I170" s="86"/>
    </row>
    <row r="171" spans="1:9" x14ac:dyDescent="0.25">
      <c r="A171" s="81" t="s">
        <v>656</v>
      </c>
      <c r="B171" s="82">
        <v>38</v>
      </c>
      <c r="C171" s="88">
        <v>4</v>
      </c>
      <c r="D171" s="82">
        <v>19</v>
      </c>
      <c r="E171" s="88">
        <v>4</v>
      </c>
      <c r="F171" s="88"/>
      <c r="G171" s="82">
        <v>20</v>
      </c>
      <c r="H171" s="88">
        <v>4</v>
      </c>
      <c r="I171" s="86"/>
    </row>
    <row r="172" spans="1:9" x14ac:dyDescent="0.25">
      <c r="A172" s="81" t="s">
        <v>1617</v>
      </c>
      <c r="B172" s="82">
        <v>199</v>
      </c>
      <c r="C172" s="88">
        <v>9</v>
      </c>
      <c r="D172" s="82">
        <v>174</v>
      </c>
      <c r="E172" s="88">
        <v>8</v>
      </c>
      <c r="F172" s="88"/>
      <c r="G172" s="82">
        <v>182</v>
      </c>
      <c r="H172" s="88">
        <v>9</v>
      </c>
      <c r="I172" s="86"/>
    </row>
    <row r="173" spans="1:9" x14ac:dyDescent="0.25">
      <c r="A173" s="81" t="s">
        <v>976</v>
      </c>
      <c r="B173" s="82">
        <v>7</v>
      </c>
      <c r="C173" s="88"/>
      <c r="D173" s="82"/>
      <c r="E173" s="88"/>
      <c r="F173" s="88"/>
      <c r="G173" s="82"/>
      <c r="H173" s="88"/>
      <c r="I173" s="86"/>
    </row>
    <row r="174" spans="1:9" x14ac:dyDescent="0.25">
      <c r="A174" s="81" t="s">
        <v>1551</v>
      </c>
      <c r="B174" s="82">
        <v>894</v>
      </c>
      <c r="C174" s="88">
        <v>43</v>
      </c>
      <c r="D174" s="82">
        <v>764</v>
      </c>
      <c r="E174" s="88">
        <v>33</v>
      </c>
      <c r="F174" s="88"/>
      <c r="G174" s="82">
        <v>782</v>
      </c>
      <c r="H174" s="88">
        <v>34</v>
      </c>
      <c r="I174" s="86"/>
    </row>
    <row r="175" spans="1:9" x14ac:dyDescent="0.25">
      <c r="A175" s="81" t="s">
        <v>1221</v>
      </c>
      <c r="B175" s="82">
        <v>22</v>
      </c>
      <c r="C175" s="88">
        <v>1</v>
      </c>
      <c r="D175" s="82"/>
      <c r="E175" s="88"/>
      <c r="F175" s="88"/>
      <c r="G175" s="82"/>
      <c r="H175" s="88"/>
      <c r="I175" s="86"/>
    </row>
    <row r="176" spans="1:9" x14ac:dyDescent="0.25">
      <c r="A176" s="81" t="s">
        <v>339</v>
      </c>
      <c r="B176" s="82">
        <v>51</v>
      </c>
      <c r="C176" s="88">
        <v>1</v>
      </c>
      <c r="D176" s="82">
        <v>27</v>
      </c>
      <c r="E176" s="88">
        <v>1</v>
      </c>
      <c r="F176" s="88"/>
      <c r="G176" s="82">
        <v>30</v>
      </c>
      <c r="H176" s="88">
        <v>2</v>
      </c>
      <c r="I176" s="86"/>
    </row>
    <row r="177" spans="1:9" x14ac:dyDescent="0.25">
      <c r="A177" s="81" t="s">
        <v>982</v>
      </c>
      <c r="B177" s="82">
        <v>203</v>
      </c>
      <c r="C177" s="88">
        <v>17</v>
      </c>
      <c r="D177" s="82">
        <v>198</v>
      </c>
      <c r="E177" s="88">
        <v>15</v>
      </c>
      <c r="F177" s="88"/>
      <c r="G177" s="82">
        <v>215</v>
      </c>
      <c r="H177" s="88">
        <v>18</v>
      </c>
      <c r="I177" s="86"/>
    </row>
    <row r="178" spans="1:9" x14ac:dyDescent="0.25">
      <c r="A178" s="81" t="s">
        <v>1224</v>
      </c>
      <c r="B178" s="82">
        <v>268</v>
      </c>
      <c r="C178" s="88">
        <v>20</v>
      </c>
      <c r="D178" s="82">
        <v>191</v>
      </c>
      <c r="E178" s="88">
        <v>17</v>
      </c>
      <c r="F178" s="88"/>
      <c r="G178" s="82">
        <v>206</v>
      </c>
      <c r="H178" s="88">
        <v>21</v>
      </c>
      <c r="I178" s="86"/>
    </row>
    <row r="179" spans="1:9" x14ac:dyDescent="0.25">
      <c r="A179" s="81" t="s">
        <v>665</v>
      </c>
      <c r="B179" s="82">
        <v>342</v>
      </c>
      <c r="C179" s="88">
        <v>33</v>
      </c>
      <c r="D179" s="82">
        <v>215</v>
      </c>
      <c r="E179" s="88">
        <v>17</v>
      </c>
      <c r="F179" s="88"/>
      <c r="G179" s="82">
        <v>236</v>
      </c>
      <c r="H179" s="88">
        <v>26</v>
      </c>
      <c r="I179" s="86"/>
    </row>
    <row r="180" spans="1:9" x14ac:dyDescent="0.25">
      <c r="A180" s="81" t="s">
        <v>1598</v>
      </c>
      <c r="B180" s="82">
        <v>3348</v>
      </c>
      <c r="C180" s="88">
        <v>114</v>
      </c>
      <c r="D180" s="82">
        <v>3183</v>
      </c>
      <c r="E180" s="88">
        <v>114</v>
      </c>
      <c r="F180" s="88"/>
      <c r="G180" s="82">
        <v>3293</v>
      </c>
      <c r="H180" s="88">
        <v>120</v>
      </c>
      <c r="I180" s="86"/>
    </row>
    <row r="181" spans="1:9" x14ac:dyDescent="0.25">
      <c r="A181" s="81" t="s">
        <v>671</v>
      </c>
      <c r="B181" s="82">
        <v>16</v>
      </c>
      <c r="C181" s="88"/>
      <c r="D181" s="82">
        <v>5</v>
      </c>
      <c r="E181" s="88"/>
      <c r="F181" s="88"/>
      <c r="G181" s="82">
        <v>5</v>
      </c>
      <c r="H181" s="88"/>
      <c r="I181" s="86"/>
    </row>
    <row r="182" spans="1:9" x14ac:dyDescent="0.25">
      <c r="A182" s="81" t="s">
        <v>674</v>
      </c>
      <c r="B182" s="82">
        <v>102</v>
      </c>
      <c r="C182" s="88">
        <v>7</v>
      </c>
      <c r="D182" s="82">
        <v>64</v>
      </c>
      <c r="E182" s="88">
        <v>6</v>
      </c>
      <c r="F182" s="88"/>
      <c r="G182" s="82">
        <v>67</v>
      </c>
      <c r="H182" s="88">
        <v>8</v>
      </c>
      <c r="I182" s="86"/>
    </row>
    <row r="183" spans="1:9" x14ac:dyDescent="0.25">
      <c r="A183" s="81" t="s">
        <v>342</v>
      </c>
      <c r="B183" s="82">
        <v>180</v>
      </c>
      <c r="C183" s="88">
        <v>12</v>
      </c>
      <c r="D183" s="82">
        <v>136</v>
      </c>
      <c r="E183" s="88">
        <v>9</v>
      </c>
      <c r="F183" s="88"/>
      <c r="G183" s="82">
        <v>143</v>
      </c>
      <c r="H183" s="88">
        <v>11</v>
      </c>
      <c r="I183" s="86"/>
    </row>
    <row r="184" spans="1:9" x14ac:dyDescent="0.25">
      <c r="A184" s="81" t="s">
        <v>1603</v>
      </c>
      <c r="B184" s="82">
        <v>341</v>
      </c>
      <c r="C184" s="88">
        <v>24</v>
      </c>
      <c r="D184" s="82">
        <v>219</v>
      </c>
      <c r="E184" s="88">
        <v>17</v>
      </c>
      <c r="F184" s="88"/>
      <c r="G184" s="82">
        <v>243</v>
      </c>
      <c r="H184" s="88">
        <v>20</v>
      </c>
      <c r="I184" s="86"/>
    </row>
    <row r="185" spans="1:9" x14ac:dyDescent="0.25">
      <c r="A185" s="81" t="s">
        <v>345</v>
      </c>
      <c r="B185" s="82">
        <v>129</v>
      </c>
      <c r="C185" s="88">
        <v>11</v>
      </c>
      <c r="D185" s="82">
        <v>52</v>
      </c>
      <c r="E185" s="88">
        <v>4</v>
      </c>
      <c r="F185" s="88"/>
      <c r="G185" s="82">
        <v>59</v>
      </c>
      <c r="H185" s="88">
        <v>4</v>
      </c>
      <c r="I185" s="86"/>
    </row>
    <row r="186" spans="1:9" x14ac:dyDescent="0.25">
      <c r="A186" s="81" t="s">
        <v>1613</v>
      </c>
      <c r="B186" s="82">
        <v>61</v>
      </c>
      <c r="C186" s="88"/>
      <c r="D186" s="82">
        <v>26</v>
      </c>
      <c r="E186" s="88"/>
      <c r="F186" s="88"/>
      <c r="G186" s="82">
        <v>31</v>
      </c>
      <c r="H186" s="88"/>
      <c r="I186" s="86"/>
    </row>
    <row r="187" spans="1:9" x14ac:dyDescent="0.25">
      <c r="A187" s="81" t="s">
        <v>1614</v>
      </c>
      <c r="B187" s="82">
        <v>1393</v>
      </c>
      <c r="C187" s="88">
        <v>52</v>
      </c>
      <c r="D187" s="82">
        <v>1213</v>
      </c>
      <c r="E187" s="88">
        <v>45</v>
      </c>
      <c r="F187" s="88"/>
      <c r="G187" s="82">
        <v>1245</v>
      </c>
      <c r="H187" s="88">
        <v>50</v>
      </c>
      <c r="I187" s="86"/>
    </row>
    <row r="188" spans="1:9" x14ac:dyDescent="0.25">
      <c r="A188" s="81" t="s">
        <v>677</v>
      </c>
      <c r="B188" s="82">
        <v>15</v>
      </c>
      <c r="C188" s="88">
        <v>1</v>
      </c>
      <c r="D188" s="82">
        <v>6</v>
      </c>
      <c r="E188" s="88"/>
      <c r="F188" s="88"/>
      <c r="G188" s="82">
        <v>6</v>
      </c>
      <c r="H188" s="88"/>
      <c r="I188" s="86"/>
    </row>
    <row r="189" spans="1:9" x14ac:dyDescent="0.25">
      <c r="A189" s="81" t="s">
        <v>680</v>
      </c>
      <c r="B189" s="82">
        <v>49</v>
      </c>
      <c r="C189" s="88">
        <v>6</v>
      </c>
      <c r="D189" s="82">
        <v>33</v>
      </c>
      <c r="E189" s="88">
        <v>2</v>
      </c>
      <c r="F189" s="88"/>
      <c r="G189" s="82">
        <v>39</v>
      </c>
      <c r="H189" s="88">
        <v>3</v>
      </c>
      <c r="I189" s="86"/>
    </row>
    <row r="190" spans="1:9" x14ac:dyDescent="0.25">
      <c r="A190" s="81" t="s">
        <v>1584</v>
      </c>
      <c r="B190" s="82">
        <v>1286</v>
      </c>
      <c r="C190" s="88">
        <v>26</v>
      </c>
      <c r="D190" s="82">
        <v>1145</v>
      </c>
      <c r="E190" s="88">
        <v>26</v>
      </c>
      <c r="F190" s="88"/>
      <c r="G190" s="82">
        <v>1176</v>
      </c>
      <c r="H190" s="88">
        <v>26</v>
      </c>
      <c r="I190" s="86"/>
    </row>
    <row r="191" spans="1:9" x14ac:dyDescent="0.25">
      <c r="A191" s="81" t="s">
        <v>1643</v>
      </c>
      <c r="B191" s="82">
        <v>732</v>
      </c>
      <c r="C191" s="88">
        <v>45</v>
      </c>
      <c r="D191" s="82">
        <v>537</v>
      </c>
      <c r="E191" s="88">
        <v>25</v>
      </c>
      <c r="F191" s="88"/>
      <c r="G191" s="82">
        <v>555</v>
      </c>
      <c r="H191" s="88">
        <v>30</v>
      </c>
      <c r="I191" s="86"/>
    </row>
    <row r="192" spans="1:9" x14ac:dyDescent="0.25">
      <c r="A192" s="81" t="s">
        <v>1559</v>
      </c>
      <c r="B192" s="82">
        <v>492</v>
      </c>
      <c r="C192" s="88">
        <v>28</v>
      </c>
      <c r="D192" s="82">
        <v>393</v>
      </c>
      <c r="E192" s="88">
        <v>22</v>
      </c>
      <c r="F192" s="88"/>
      <c r="G192" s="82">
        <v>414</v>
      </c>
      <c r="H192" s="88">
        <v>25</v>
      </c>
      <c r="I192" s="86"/>
    </row>
    <row r="193" spans="1:9" x14ac:dyDescent="0.25">
      <c r="A193" s="81" t="s">
        <v>689</v>
      </c>
      <c r="B193" s="82">
        <v>6</v>
      </c>
      <c r="C193" s="88"/>
      <c r="D193" s="82"/>
      <c r="E193" s="88"/>
      <c r="F193" s="88"/>
      <c r="G193" s="82"/>
      <c r="H193" s="88"/>
      <c r="I193" s="86"/>
    </row>
    <row r="194" spans="1:9" x14ac:dyDescent="0.25">
      <c r="A194" s="81" t="s">
        <v>351</v>
      </c>
      <c r="B194" s="82">
        <v>10</v>
      </c>
      <c r="C194" s="88"/>
      <c r="D194" s="82"/>
      <c r="E194" s="88"/>
      <c r="F194" s="88"/>
      <c r="G194" s="82"/>
      <c r="H194" s="88"/>
      <c r="I194" s="86"/>
    </row>
    <row r="195" spans="1:9" x14ac:dyDescent="0.25">
      <c r="A195" s="81" t="s">
        <v>691</v>
      </c>
      <c r="B195" s="82">
        <v>19</v>
      </c>
      <c r="C195" s="88"/>
      <c r="D195" s="82">
        <v>2</v>
      </c>
      <c r="E195" s="88"/>
      <c r="F195" s="88"/>
      <c r="G195" s="82">
        <v>2</v>
      </c>
      <c r="H195" s="88"/>
      <c r="I195" s="86"/>
    </row>
    <row r="196" spans="1:9" x14ac:dyDescent="0.25">
      <c r="A196" s="81" t="s">
        <v>694</v>
      </c>
      <c r="B196" s="82">
        <v>532</v>
      </c>
      <c r="C196" s="88">
        <v>42</v>
      </c>
      <c r="D196" s="82">
        <v>483</v>
      </c>
      <c r="E196" s="88">
        <v>30</v>
      </c>
      <c r="F196" s="88"/>
      <c r="G196" s="82">
        <v>504</v>
      </c>
      <c r="H196" s="88">
        <v>35</v>
      </c>
      <c r="I196" s="86"/>
    </row>
    <row r="197" spans="1:9" x14ac:dyDescent="0.25">
      <c r="A197" s="81" t="s">
        <v>697</v>
      </c>
      <c r="B197" s="82">
        <v>524</v>
      </c>
      <c r="C197" s="88">
        <v>42</v>
      </c>
      <c r="D197" s="82">
        <v>466</v>
      </c>
      <c r="E197" s="88">
        <v>32</v>
      </c>
      <c r="F197" s="88"/>
      <c r="G197" s="82">
        <v>493</v>
      </c>
      <c r="H197" s="88">
        <v>40</v>
      </c>
      <c r="I197" s="86"/>
    </row>
    <row r="198" spans="1:9" x14ac:dyDescent="0.25">
      <c r="A198" s="81" t="s">
        <v>700</v>
      </c>
      <c r="B198" s="82">
        <v>215</v>
      </c>
      <c r="C198" s="88">
        <v>22</v>
      </c>
      <c r="D198" s="82">
        <v>143</v>
      </c>
      <c r="E198" s="88">
        <v>11</v>
      </c>
      <c r="F198" s="88"/>
      <c r="G198" s="82">
        <v>152</v>
      </c>
      <c r="H198" s="88">
        <v>16</v>
      </c>
      <c r="I198" s="86"/>
    </row>
    <row r="199" spans="1:9" x14ac:dyDescent="0.25">
      <c r="A199" s="81" t="s">
        <v>354</v>
      </c>
      <c r="B199" s="82">
        <v>132</v>
      </c>
      <c r="C199" s="88">
        <v>3</v>
      </c>
      <c r="D199" s="82">
        <v>69</v>
      </c>
      <c r="E199" s="88">
        <v>2</v>
      </c>
      <c r="F199" s="88"/>
      <c r="G199" s="82">
        <v>73</v>
      </c>
      <c r="H199" s="88">
        <v>3</v>
      </c>
      <c r="I199" s="86"/>
    </row>
    <row r="200" spans="1:9" x14ac:dyDescent="0.25">
      <c r="A200" s="81" t="s">
        <v>703</v>
      </c>
      <c r="B200" s="82">
        <v>8</v>
      </c>
      <c r="C200" s="88"/>
      <c r="D200" s="82">
        <v>4</v>
      </c>
      <c r="E200" s="88"/>
      <c r="F200" s="88"/>
      <c r="G200" s="82">
        <v>6</v>
      </c>
      <c r="H200" s="88"/>
      <c r="I200" s="86"/>
    </row>
    <row r="201" spans="1:9" x14ac:dyDescent="0.25">
      <c r="A201" s="81" t="s">
        <v>1629</v>
      </c>
      <c r="B201" s="82">
        <v>257</v>
      </c>
      <c r="C201" s="88">
        <v>11</v>
      </c>
      <c r="D201" s="82">
        <v>247</v>
      </c>
      <c r="E201" s="88">
        <v>10</v>
      </c>
      <c r="F201" s="88"/>
      <c r="G201" s="82">
        <v>257</v>
      </c>
      <c r="H201" s="88">
        <v>11</v>
      </c>
      <c r="I201" s="86"/>
    </row>
    <row r="202" spans="1:9" x14ac:dyDescent="0.25">
      <c r="A202" s="81" t="s">
        <v>987</v>
      </c>
      <c r="B202" s="82">
        <v>1</v>
      </c>
      <c r="C202" s="88"/>
      <c r="D202" s="82">
        <v>12</v>
      </c>
      <c r="E202" s="88"/>
      <c r="F202" s="88"/>
      <c r="G202" s="82">
        <v>12</v>
      </c>
      <c r="H202" s="88"/>
      <c r="I202" s="86"/>
    </row>
    <row r="203" spans="1:9" x14ac:dyDescent="0.25">
      <c r="A203" s="81" t="s">
        <v>706</v>
      </c>
      <c r="B203" s="82">
        <v>6</v>
      </c>
      <c r="C203" s="88"/>
      <c r="D203" s="82"/>
      <c r="E203" s="88"/>
      <c r="F203" s="88"/>
      <c r="G203" s="82"/>
      <c r="H203" s="88"/>
      <c r="I203" s="86"/>
    </row>
    <row r="204" spans="1:9" x14ac:dyDescent="0.25">
      <c r="A204" s="81" t="s">
        <v>708</v>
      </c>
      <c r="B204" s="82">
        <v>24</v>
      </c>
      <c r="C204" s="88"/>
      <c r="D204" s="82">
        <v>4</v>
      </c>
      <c r="E204" s="88"/>
      <c r="F204" s="88"/>
      <c r="G204" s="82">
        <v>6</v>
      </c>
      <c r="H204" s="88"/>
      <c r="I204" s="86"/>
    </row>
    <row r="205" spans="1:9" x14ac:dyDescent="0.25">
      <c r="A205" s="81" t="s">
        <v>710</v>
      </c>
      <c r="B205" s="82">
        <v>16</v>
      </c>
      <c r="C205" s="88"/>
      <c r="D205" s="82">
        <v>15</v>
      </c>
      <c r="E205" s="88"/>
      <c r="F205" s="88"/>
      <c r="G205" s="82">
        <v>15</v>
      </c>
      <c r="H205" s="88"/>
      <c r="I205" s="86"/>
    </row>
    <row r="206" spans="1:9" x14ac:dyDescent="0.25">
      <c r="A206" s="81" t="s">
        <v>1616</v>
      </c>
      <c r="B206" s="82">
        <v>1351</v>
      </c>
      <c r="C206" s="88">
        <v>64</v>
      </c>
      <c r="D206" s="82">
        <v>1216</v>
      </c>
      <c r="E206" s="88">
        <v>60</v>
      </c>
      <c r="F206" s="88"/>
      <c r="G206" s="82">
        <v>1248</v>
      </c>
      <c r="H206" s="88">
        <v>63</v>
      </c>
      <c r="I206" s="86"/>
    </row>
    <row r="207" spans="1:9" x14ac:dyDescent="0.25">
      <c r="A207" s="81" t="s">
        <v>716</v>
      </c>
      <c r="B207" s="82">
        <v>501</v>
      </c>
      <c r="C207" s="88">
        <v>38</v>
      </c>
      <c r="D207" s="82">
        <v>367</v>
      </c>
      <c r="E207" s="88">
        <v>21</v>
      </c>
      <c r="F207" s="88"/>
      <c r="G207" s="82">
        <v>432</v>
      </c>
      <c r="H207" s="88">
        <v>31</v>
      </c>
      <c r="I207" s="86"/>
    </row>
    <row r="208" spans="1:9" x14ac:dyDescent="0.25">
      <c r="A208" s="81" t="s">
        <v>719</v>
      </c>
      <c r="B208" s="82">
        <v>144</v>
      </c>
      <c r="C208" s="88">
        <v>6</v>
      </c>
      <c r="D208" s="82">
        <v>107</v>
      </c>
      <c r="E208" s="88">
        <v>7</v>
      </c>
      <c r="F208" s="88"/>
      <c r="G208" s="82">
        <v>117</v>
      </c>
      <c r="H208" s="88">
        <v>7</v>
      </c>
      <c r="I208" s="86"/>
    </row>
    <row r="209" spans="1:9" x14ac:dyDescent="0.25">
      <c r="A209" s="81" t="s">
        <v>990</v>
      </c>
      <c r="B209" s="82">
        <v>81</v>
      </c>
      <c r="C209" s="88">
        <v>2</v>
      </c>
      <c r="D209" s="82">
        <v>41</v>
      </c>
      <c r="E209" s="88">
        <v>2</v>
      </c>
      <c r="F209" s="88"/>
      <c r="G209" s="82">
        <v>42</v>
      </c>
      <c r="H209" s="88">
        <v>2</v>
      </c>
      <c r="I209" s="86"/>
    </row>
    <row r="210" spans="1:9" x14ac:dyDescent="0.25">
      <c r="A210" s="81" t="s">
        <v>725</v>
      </c>
      <c r="B210" s="82">
        <v>6</v>
      </c>
      <c r="C210" s="88"/>
      <c r="D210" s="82"/>
      <c r="E210" s="88"/>
      <c r="F210" s="88"/>
      <c r="G210" s="82"/>
      <c r="H210" s="88"/>
      <c r="I210" s="86"/>
    </row>
    <row r="211" spans="1:9" x14ac:dyDescent="0.25">
      <c r="A211" s="81" t="s">
        <v>1233</v>
      </c>
      <c r="B211" s="82">
        <v>64</v>
      </c>
      <c r="C211" s="88">
        <v>2</v>
      </c>
      <c r="D211" s="82">
        <v>21</v>
      </c>
      <c r="E211" s="88"/>
      <c r="F211" s="88"/>
      <c r="G211" s="82">
        <v>27</v>
      </c>
      <c r="H211" s="88">
        <v>2</v>
      </c>
      <c r="I211" s="86"/>
    </row>
    <row r="212" spans="1:9" x14ac:dyDescent="0.25">
      <c r="A212" s="81" t="s">
        <v>1574</v>
      </c>
      <c r="B212" s="82">
        <v>1925</v>
      </c>
      <c r="C212" s="88">
        <v>85</v>
      </c>
      <c r="D212" s="82">
        <v>1545</v>
      </c>
      <c r="E212" s="88">
        <v>81</v>
      </c>
      <c r="F212" s="88"/>
      <c r="G212" s="82">
        <v>1593</v>
      </c>
      <c r="H212" s="88">
        <v>90</v>
      </c>
      <c r="I212" s="86"/>
    </row>
    <row r="213" spans="1:9" x14ac:dyDescent="0.25">
      <c r="A213" s="81" t="s">
        <v>992</v>
      </c>
      <c r="B213" s="82">
        <v>17</v>
      </c>
      <c r="C213" s="88"/>
      <c r="D213" s="82"/>
      <c r="E213" s="88"/>
      <c r="F213" s="88"/>
      <c r="G213" s="82"/>
      <c r="H213" s="88"/>
      <c r="I213" s="86"/>
    </row>
    <row r="214" spans="1:9" x14ac:dyDescent="0.25">
      <c r="A214" s="81" t="s">
        <v>1589</v>
      </c>
      <c r="B214" s="82">
        <v>11</v>
      </c>
      <c r="C214" s="88"/>
      <c r="D214" s="82"/>
      <c r="E214" s="88"/>
      <c r="F214" s="88"/>
      <c r="G214" s="82"/>
      <c r="H214" s="88"/>
      <c r="I214" s="86"/>
    </row>
    <row r="215" spans="1:9" x14ac:dyDescent="0.25">
      <c r="A215" s="81" t="s">
        <v>735</v>
      </c>
      <c r="B215" s="82">
        <v>284</v>
      </c>
      <c r="C215" s="88">
        <v>27</v>
      </c>
      <c r="D215" s="82">
        <v>272</v>
      </c>
      <c r="E215" s="88">
        <v>21</v>
      </c>
      <c r="F215" s="88"/>
      <c r="G215" s="82">
        <v>290</v>
      </c>
      <c r="H215" s="88">
        <v>28</v>
      </c>
      <c r="I215" s="86"/>
    </row>
    <row r="216" spans="1:9" x14ac:dyDescent="0.25">
      <c r="A216" s="81" t="s">
        <v>362</v>
      </c>
      <c r="B216" s="82">
        <v>323</v>
      </c>
      <c r="C216" s="88">
        <v>13</v>
      </c>
      <c r="D216" s="82">
        <v>169</v>
      </c>
      <c r="E216" s="88">
        <v>5</v>
      </c>
      <c r="F216" s="88"/>
      <c r="G216" s="82">
        <v>187</v>
      </c>
      <c r="H216" s="88">
        <v>8</v>
      </c>
      <c r="I216" s="86"/>
    </row>
    <row r="217" spans="1:9" x14ac:dyDescent="0.25">
      <c r="A217" s="81" t="s">
        <v>1592</v>
      </c>
      <c r="B217" s="82">
        <v>4</v>
      </c>
      <c r="C217" s="88"/>
      <c r="D217" s="82">
        <v>3</v>
      </c>
      <c r="E217" s="88"/>
      <c r="F217" s="88"/>
      <c r="G217" s="82">
        <v>3</v>
      </c>
      <c r="H217" s="88"/>
      <c r="I217" s="86"/>
    </row>
    <row r="218" spans="1:9" x14ac:dyDescent="0.25">
      <c r="A218" s="81" t="s">
        <v>367</v>
      </c>
      <c r="B218" s="82">
        <v>7</v>
      </c>
      <c r="C218" s="88"/>
      <c r="D218" s="82">
        <v>8</v>
      </c>
      <c r="E218" s="88"/>
      <c r="F218" s="88"/>
      <c r="G218" s="82">
        <v>12</v>
      </c>
      <c r="H218" s="88"/>
      <c r="I218" s="86"/>
    </row>
    <row r="219" spans="1:9" x14ac:dyDescent="0.25">
      <c r="A219" s="81" t="s">
        <v>738</v>
      </c>
      <c r="B219" s="82">
        <v>275</v>
      </c>
      <c r="C219" s="88">
        <v>24</v>
      </c>
      <c r="D219" s="82">
        <v>222</v>
      </c>
      <c r="E219" s="88">
        <v>22</v>
      </c>
      <c r="F219" s="88"/>
      <c r="G219" s="82">
        <v>255</v>
      </c>
      <c r="H219" s="88">
        <v>26</v>
      </c>
      <c r="I219" s="86"/>
    </row>
    <row r="220" spans="1:9" x14ac:dyDescent="0.25">
      <c r="A220" s="81" t="s">
        <v>1588</v>
      </c>
      <c r="B220" s="82">
        <v>984</v>
      </c>
      <c r="C220" s="88">
        <v>58</v>
      </c>
      <c r="D220" s="82">
        <v>888</v>
      </c>
      <c r="E220" s="88">
        <v>47</v>
      </c>
      <c r="F220" s="88"/>
      <c r="G220" s="82">
        <v>916</v>
      </c>
      <c r="H220" s="88">
        <v>54</v>
      </c>
      <c r="I220" s="86"/>
    </row>
    <row r="221" spans="1:9" x14ac:dyDescent="0.25">
      <c r="A221" s="81" t="s">
        <v>1236</v>
      </c>
      <c r="B221" s="82">
        <v>3</v>
      </c>
      <c r="C221" s="88"/>
      <c r="D221" s="82"/>
      <c r="E221" s="88"/>
      <c r="F221" s="88"/>
      <c r="G221" s="82"/>
      <c r="H221" s="88"/>
      <c r="I221" s="86"/>
    </row>
    <row r="222" spans="1:9" x14ac:dyDescent="0.25">
      <c r="A222" s="81" t="s">
        <v>1550</v>
      </c>
      <c r="B222" s="82">
        <v>20</v>
      </c>
      <c r="C222" s="88"/>
      <c r="D222" s="82">
        <v>11</v>
      </c>
      <c r="E222" s="88"/>
      <c r="F222" s="88"/>
      <c r="G222" s="82">
        <v>11</v>
      </c>
      <c r="H222" s="88"/>
      <c r="I222" s="86"/>
    </row>
    <row r="223" spans="1:9" x14ac:dyDescent="0.25">
      <c r="A223" s="81" t="s">
        <v>1618</v>
      </c>
      <c r="B223" s="82">
        <v>22</v>
      </c>
      <c r="C223" s="88">
        <v>1</v>
      </c>
      <c r="D223" s="82">
        <v>11</v>
      </c>
      <c r="E223" s="88">
        <v>1</v>
      </c>
      <c r="F223" s="88"/>
      <c r="G223" s="82">
        <v>16</v>
      </c>
      <c r="H223" s="88">
        <v>2</v>
      </c>
      <c r="I223" s="86"/>
    </row>
    <row r="224" spans="1:9" x14ac:dyDescent="0.25">
      <c r="A224" s="81" t="s">
        <v>995</v>
      </c>
      <c r="B224" s="82">
        <v>286</v>
      </c>
      <c r="C224" s="88">
        <v>16</v>
      </c>
      <c r="D224" s="82">
        <v>280</v>
      </c>
      <c r="E224" s="88">
        <v>12</v>
      </c>
      <c r="F224" s="88"/>
      <c r="G224" s="82">
        <v>294</v>
      </c>
      <c r="H224" s="88">
        <v>16</v>
      </c>
      <c r="I224" s="86"/>
    </row>
    <row r="225" spans="1:9" x14ac:dyDescent="0.25">
      <c r="A225" s="81" t="s">
        <v>998</v>
      </c>
      <c r="B225" s="82">
        <v>345</v>
      </c>
      <c r="C225" s="88">
        <v>27</v>
      </c>
      <c r="D225" s="82">
        <v>302</v>
      </c>
      <c r="E225" s="88">
        <v>22</v>
      </c>
      <c r="F225" s="88"/>
      <c r="G225" s="82">
        <v>317</v>
      </c>
      <c r="H225" s="88">
        <v>26</v>
      </c>
      <c r="I225" s="86"/>
    </row>
    <row r="226" spans="1:9" x14ac:dyDescent="0.25">
      <c r="A226" s="81" t="s">
        <v>1238</v>
      </c>
      <c r="B226" s="82">
        <v>201</v>
      </c>
      <c r="C226" s="88">
        <v>18</v>
      </c>
      <c r="D226" s="82">
        <v>102</v>
      </c>
      <c r="E226" s="88">
        <v>4</v>
      </c>
      <c r="F226" s="88"/>
      <c r="G226" s="82">
        <v>118</v>
      </c>
      <c r="H226" s="88">
        <v>8</v>
      </c>
      <c r="I226" s="86"/>
    </row>
    <row r="227" spans="1:9" x14ac:dyDescent="0.25">
      <c r="A227" s="81" t="s">
        <v>1001</v>
      </c>
      <c r="B227" s="82">
        <v>51</v>
      </c>
      <c r="C227" s="88">
        <v>6</v>
      </c>
      <c r="D227" s="82">
        <v>35</v>
      </c>
      <c r="E227" s="88">
        <v>2</v>
      </c>
      <c r="F227" s="88"/>
      <c r="G227" s="82">
        <v>42</v>
      </c>
      <c r="H227" s="88">
        <v>4</v>
      </c>
      <c r="I227" s="86"/>
    </row>
    <row r="228" spans="1:9" x14ac:dyDescent="0.25">
      <c r="A228" s="81" t="s">
        <v>375</v>
      </c>
      <c r="B228" s="82">
        <v>11</v>
      </c>
      <c r="C228" s="88"/>
      <c r="D228" s="82">
        <v>3</v>
      </c>
      <c r="E228" s="88"/>
      <c r="F228" s="88"/>
      <c r="G228" s="82">
        <v>4</v>
      </c>
      <c r="H228" s="88"/>
      <c r="I228" s="86"/>
    </row>
    <row r="229" spans="1:9" x14ac:dyDescent="0.25">
      <c r="A229" s="81" t="s">
        <v>1240</v>
      </c>
      <c r="B229" s="82">
        <v>10</v>
      </c>
      <c r="C229" s="88"/>
      <c r="D229" s="82"/>
      <c r="E229" s="88"/>
      <c r="F229" s="88"/>
      <c r="G229" s="82"/>
      <c r="H229" s="88"/>
      <c r="I229" s="86"/>
    </row>
    <row r="230" spans="1:9" x14ac:dyDescent="0.25">
      <c r="A230" s="81" t="s">
        <v>1242</v>
      </c>
      <c r="B230" s="82">
        <v>23</v>
      </c>
      <c r="C230" s="88">
        <v>2</v>
      </c>
      <c r="D230" s="82">
        <v>7</v>
      </c>
      <c r="E230" s="88"/>
      <c r="F230" s="88"/>
      <c r="G230" s="82">
        <v>8</v>
      </c>
      <c r="H230" s="88"/>
      <c r="I230" s="86"/>
    </row>
    <row r="231" spans="1:9" x14ac:dyDescent="0.25">
      <c r="A231" s="81" t="s">
        <v>378</v>
      </c>
      <c r="B231" s="82">
        <v>189</v>
      </c>
      <c r="C231" s="88">
        <v>11</v>
      </c>
      <c r="D231" s="82">
        <v>153</v>
      </c>
      <c r="E231" s="88">
        <v>9</v>
      </c>
      <c r="F231" s="88"/>
      <c r="G231" s="82">
        <v>171</v>
      </c>
      <c r="H231" s="88">
        <v>12</v>
      </c>
      <c r="I231" s="86"/>
    </row>
    <row r="232" spans="1:9" x14ac:dyDescent="0.25">
      <c r="A232" s="81" t="s">
        <v>1244</v>
      </c>
      <c r="B232" s="82">
        <v>12</v>
      </c>
      <c r="C232" s="88"/>
      <c r="D232" s="82"/>
      <c r="E232" s="88"/>
      <c r="F232" s="88"/>
      <c r="G232" s="82"/>
      <c r="H232" s="88"/>
      <c r="I232" s="86"/>
    </row>
    <row r="233" spans="1:9" x14ac:dyDescent="0.25">
      <c r="A233" s="81" t="s">
        <v>1247</v>
      </c>
      <c r="B233" s="82">
        <v>70</v>
      </c>
      <c r="C233" s="88">
        <v>5</v>
      </c>
      <c r="D233" s="82">
        <v>7</v>
      </c>
      <c r="E233" s="88"/>
      <c r="F233" s="88"/>
      <c r="G233" s="82">
        <v>12</v>
      </c>
      <c r="H233" s="88"/>
      <c r="I233" s="86"/>
    </row>
    <row r="234" spans="1:9" x14ac:dyDescent="0.25">
      <c r="A234" s="81" t="s">
        <v>1004</v>
      </c>
      <c r="B234" s="82">
        <v>625</v>
      </c>
      <c r="C234" s="88">
        <v>27</v>
      </c>
      <c r="D234" s="82">
        <v>520</v>
      </c>
      <c r="E234" s="88">
        <v>23</v>
      </c>
      <c r="F234" s="88"/>
      <c r="G234" s="82">
        <v>549</v>
      </c>
      <c r="H234" s="88">
        <v>28</v>
      </c>
      <c r="I234" s="86"/>
    </row>
    <row r="235" spans="1:9" x14ac:dyDescent="0.25">
      <c r="A235" s="81" t="s">
        <v>381</v>
      </c>
      <c r="B235" s="82">
        <v>112</v>
      </c>
      <c r="C235" s="88">
        <v>6</v>
      </c>
      <c r="D235" s="82">
        <v>61</v>
      </c>
      <c r="E235" s="88">
        <v>4</v>
      </c>
      <c r="F235" s="88"/>
      <c r="G235" s="82">
        <v>72</v>
      </c>
      <c r="H235" s="88">
        <v>5</v>
      </c>
      <c r="I235" s="86"/>
    </row>
    <row r="236" spans="1:9" x14ac:dyDescent="0.25">
      <c r="A236" s="81" t="s">
        <v>1006</v>
      </c>
      <c r="B236" s="82">
        <v>8</v>
      </c>
      <c r="C236" s="88"/>
      <c r="D236" s="82"/>
      <c r="E236" s="88"/>
      <c r="F236" s="88"/>
      <c r="G236" s="82"/>
      <c r="H236" s="88"/>
      <c r="I236" s="86"/>
    </row>
    <row r="237" spans="1:9" x14ac:dyDescent="0.25">
      <c r="A237" s="81" t="s">
        <v>1250</v>
      </c>
      <c r="B237" s="82">
        <v>2</v>
      </c>
      <c r="C237" s="88"/>
      <c r="D237" s="82">
        <v>1</v>
      </c>
      <c r="E237" s="88"/>
      <c r="F237" s="88"/>
      <c r="G237" s="82">
        <v>1</v>
      </c>
      <c r="H237" s="88"/>
      <c r="I237" s="86"/>
    </row>
    <row r="238" spans="1:9" x14ac:dyDescent="0.25">
      <c r="A238" s="81" t="s">
        <v>1644</v>
      </c>
      <c r="B238" s="82">
        <v>62</v>
      </c>
      <c r="C238" s="88">
        <v>3</v>
      </c>
      <c r="D238" s="82">
        <v>40</v>
      </c>
      <c r="E238" s="88">
        <v>2</v>
      </c>
      <c r="F238" s="88"/>
      <c r="G238" s="82">
        <v>48</v>
      </c>
      <c r="H238" s="88">
        <v>2</v>
      </c>
      <c r="I238" s="86"/>
    </row>
    <row r="239" spans="1:9" x14ac:dyDescent="0.25">
      <c r="A239" s="81" t="s">
        <v>389</v>
      </c>
      <c r="B239" s="82">
        <v>1146</v>
      </c>
      <c r="C239" s="88">
        <v>55</v>
      </c>
      <c r="D239" s="82">
        <v>1010</v>
      </c>
      <c r="E239" s="88">
        <v>46</v>
      </c>
      <c r="F239" s="88"/>
      <c r="G239" s="82">
        <v>1077</v>
      </c>
      <c r="H239" s="88">
        <v>58</v>
      </c>
      <c r="I239" s="86"/>
    </row>
    <row r="240" spans="1:9" x14ac:dyDescent="0.25">
      <c r="A240" s="81" t="s">
        <v>1645</v>
      </c>
      <c r="B240" s="82">
        <v>10</v>
      </c>
      <c r="C240" s="88">
        <v>2</v>
      </c>
      <c r="D240" s="82">
        <v>2</v>
      </c>
      <c r="E240" s="88"/>
      <c r="F240" s="88"/>
      <c r="G240" s="82">
        <v>2</v>
      </c>
      <c r="H240" s="88"/>
      <c r="I240" s="86"/>
    </row>
    <row r="241" spans="1:9" x14ac:dyDescent="0.25">
      <c r="A241" s="81" t="s">
        <v>1606</v>
      </c>
      <c r="B241" s="82">
        <v>36</v>
      </c>
      <c r="C241" s="88">
        <v>2</v>
      </c>
      <c r="D241" s="82">
        <v>12</v>
      </c>
      <c r="E241" s="88"/>
      <c r="F241" s="88"/>
      <c r="G241" s="82">
        <v>12</v>
      </c>
      <c r="H241" s="88"/>
      <c r="I241" s="86"/>
    </row>
    <row r="242" spans="1:9" x14ac:dyDescent="0.25">
      <c r="A242" s="81" t="s">
        <v>753</v>
      </c>
      <c r="B242" s="82">
        <v>11</v>
      </c>
      <c r="C242" s="88"/>
      <c r="D242" s="82"/>
      <c r="E242" s="88"/>
      <c r="F242" s="88"/>
      <c r="G242" s="82"/>
      <c r="H242" s="88"/>
      <c r="I242" s="86"/>
    </row>
    <row r="243" spans="1:9" x14ac:dyDescent="0.25">
      <c r="A243" s="81" t="s">
        <v>756</v>
      </c>
      <c r="B243" s="82">
        <v>289</v>
      </c>
      <c r="C243" s="88">
        <v>10</v>
      </c>
      <c r="D243" s="82">
        <v>250</v>
      </c>
      <c r="E243" s="88">
        <v>7</v>
      </c>
      <c r="F243" s="88"/>
      <c r="G243" s="82">
        <v>257</v>
      </c>
      <c r="H243" s="88">
        <v>10</v>
      </c>
      <c r="I243" s="86"/>
    </row>
    <row r="244" spans="1:9" x14ac:dyDescent="0.25">
      <c r="A244" s="81" t="s">
        <v>1627</v>
      </c>
      <c r="B244" s="82">
        <v>133</v>
      </c>
      <c r="C244" s="88">
        <v>4</v>
      </c>
      <c r="D244" s="82">
        <v>99</v>
      </c>
      <c r="E244" s="88">
        <v>4</v>
      </c>
      <c r="F244" s="88"/>
      <c r="G244" s="82">
        <v>102</v>
      </c>
      <c r="H244" s="88">
        <v>4</v>
      </c>
      <c r="I244" s="86"/>
    </row>
    <row r="245" spans="1:9" x14ac:dyDescent="0.25">
      <c r="A245" s="81" t="s">
        <v>1253</v>
      </c>
      <c r="B245" s="82">
        <v>159</v>
      </c>
      <c r="C245" s="88">
        <v>5</v>
      </c>
      <c r="D245" s="82">
        <v>41</v>
      </c>
      <c r="E245" s="88"/>
      <c r="F245" s="88"/>
      <c r="G245" s="82">
        <v>46</v>
      </c>
      <c r="H245" s="88">
        <v>1</v>
      </c>
      <c r="I245" s="86"/>
    </row>
    <row r="246" spans="1:9" x14ac:dyDescent="0.25">
      <c r="A246" s="81" t="s">
        <v>1580</v>
      </c>
      <c r="B246" s="82">
        <v>227</v>
      </c>
      <c r="C246" s="88">
        <v>10</v>
      </c>
      <c r="D246" s="82">
        <v>180</v>
      </c>
      <c r="E246" s="88">
        <v>7</v>
      </c>
      <c r="F246" s="88"/>
      <c r="G246" s="82">
        <v>198</v>
      </c>
      <c r="H246" s="88">
        <v>10</v>
      </c>
      <c r="I246" s="86"/>
    </row>
    <row r="247" spans="1:9" x14ac:dyDescent="0.25">
      <c r="A247" s="81" t="s">
        <v>759</v>
      </c>
      <c r="B247" s="82">
        <v>18</v>
      </c>
      <c r="C247" s="88">
        <v>2</v>
      </c>
      <c r="D247" s="82">
        <v>4</v>
      </c>
      <c r="E247" s="88"/>
      <c r="F247" s="88"/>
      <c r="G247" s="82">
        <v>4</v>
      </c>
      <c r="H247" s="88"/>
      <c r="I247" s="86"/>
    </row>
    <row r="248" spans="1:9" x14ac:dyDescent="0.25">
      <c r="A248" s="81" t="s">
        <v>1015</v>
      </c>
      <c r="B248" s="82">
        <v>108</v>
      </c>
      <c r="C248" s="88">
        <v>10</v>
      </c>
      <c r="D248" s="82"/>
      <c r="E248" s="88"/>
      <c r="F248" s="88"/>
      <c r="G248" s="82"/>
      <c r="H248" s="88"/>
      <c r="I248" s="86"/>
    </row>
    <row r="249" spans="1:9" x14ac:dyDescent="0.25">
      <c r="A249" s="81" t="s">
        <v>761</v>
      </c>
      <c r="B249" s="82">
        <v>1</v>
      </c>
      <c r="C249" s="88"/>
      <c r="D249" s="82">
        <v>1</v>
      </c>
      <c r="E249" s="88"/>
      <c r="F249" s="88"/>
      <c r="G249" s="82">
        <v>3</v>
      </c>
      <c r="H249" s="88"/>
      <c r="I249" s="86"/>
    </row>
    <row r="250" spans="1:9" x14ac:dyDescent="0.25">
      <c r="A250" s="81" t="s">
        <v>1557</v>
      </c>
      <c r="B250" s="82">
        <v>204</v>
      </c>
      <c r="C250" s="88">
        <v>9</v>
      </c>
      <c r="D250" s="82">
        <v>185</v>
      </c>
      <c r="E250" s="88">
        <v>10</v>
      </c>
      <c r="F250" s="88"/>
      <c r="G250" s="82">
        <v>187</v>
      </c>
      <c r="H250" s="88">
        <v>12</v>
      </c>
      <c r="I250" s="86"/>
    </row>
    <row r="251" spans="1:9" x14ac:dyDescent="0.25">
      <c r="A251" s="81" t="s">
        <v>1018</v>
      </c>
      <c r="B251" s="82">
        <v>41</v>
      </c>
      <c r="C251" s="88">
        <v>2</v>
      </c>
      <c r="D251" s="82">
        <v>68</v>
      </c>
      <c r="E251" s="88">
        <v>6</v>
      </c>
      <c r="F251" s="88"/>
      <c r="G251" s="82">
        <v>73</v>
      </c>
      <c r="H251" s="88">
        <v>7</v>
      </c>
      <c r="I251" s="86"/>
    </row>
    <row r="252" spans="1:9" x14ac:dyDescent="0.25">
      <c r="A252" s="81" t="s">
        <v>1256</v>
      </c>
      <c r="B252" s="82">
        <v>92</v>
      </c>
      <c r="C252" s="88">
        <v>7</v>
      </c>
      <c r="D252" s="82">
        <v>85</v>
      </c>
      <c r="E252" s="88">
        <v>4</v>
      </c>
      <c r="F252" s="88"/>
      <c r="G252" s="82">
        <v>95</v>
      </c>
      <c r="H252" s="88">
        <v>6</v>
      </c>
      <c r="I252" s="86"/>
    </row>
    <row r="253" spans="1:9" x14ac:dyDescent="0.25">
      <c r="A253" s="81" t="s">
        <v>1607</v>
      </c>
      <c r="B253" s="82">
        <v>31</v>
      </c>
      <c r="C253" s="88"/>
      <c r="D253" s="82">
        <v>7</v>
      </c>
      <c r="E253" s="88"/>
      <c r="F253" s="88"/>
      <c r="G253" s="82">
        <v>7</v>
      </c>
      <c r="H253" s="88"/>
      <c r="I253" s="86"/>
    </row>
    <row r="254" spans="1:9" x14ac:dyDescent="0.25">
      <c r="A254" s="81" t="s">
        <v>400</v>
      </c>
      <c r="B254" s="82">
        <v>41</v>
      </c>
      <c r="C254" s="88">
        <v>3</v>
      </c>
      <c r="D254" s="82">
        <v>30</v>
      </c>
      <c r="E254" s="88">
        <v>1</v>
      </c>
      <c r="F254" s="88"/>
      <c r="G254" s="82">
        <v>33</v>
      </c>
      <c r="H254" s="88">
        <v>2</v>
      </c>
      <c r="I254" s="86"/>
    </row>
    <row r="255" spans="1:9" x14ac:dyDescent="0.25">
      <c r="A255" s="81" t="s">
        <v>1596</v>
      </c>
      <c r="B255" s="82">
        <v>108</v>
      </c>
      <c r="C255" s="88">
        <v>11</v>
      </c>
      <c r="D255" s="82">
        <v>83</v>
      </c>
      <c r="E255" s="88">
        <v>8</v>
      </c>
      <c r="F255" s="88"/>
      <c r="G255" s="82">
        <v>85</v>
      </c>
      <c r="H255" s="88">
        <v>9</v>
      </c>
      <c r="I255" s="86"/>
    </row>
    <row r="256" spans="1:9" x14ac:dyDescent="0.25">
      <c r="A256" s="81" t="s">
        <v>403</v>
      </c>
      <c r="B256" s="82">
        <v>18</v>
      </c>
      <c r="C256" s="88"/>
      <c r="D256" s="82">
        <v>11</v>
      </c>
      <c r="E256" s="88"/>
      <c r="F256" s="88"/>
      <c r="G256" s="82">
        <v>15</v>
      </c>
      <c r="H256" s="88"/>
      <c r="I256" s="86"/>
    </row>
    <row r="257" spans="1:9" x14ac:dyDescent="0.25">
      <c r="A257" s="81" t="s">
        <v>1593</v>
      </c>
      <c r="B257" s="82">
        <v>343</v>
      </c>
      <c r="C257" s="88">
        <v>25</v>
      </c>
      <c r="D257" s="82">
        <v>304</v>
      </c>
      <c r="E257" s="88">
        <v>19</v>
      </c>
      <c r="F257" s="88"/>
      <c r="G257" s="82">
        <v>315</v>
      </c>
      <c r="H257" s="88">
        <v>24</v>
      </c>
      <c r="I257" s="86"/>
    </row>
    <row r="258" spans="1:9" x14ac:dyDescent="0.25">
      <c r="A258" s="81" t="s">
        <v>1586</v>
      </c>
      <c r="B258" s="82">
        <v>84</v>
      </c>
      <c r="C258" s="88">
        <v>6</v>
      </c>
      <c r="D258" s="82">
        <v>65</v>
      </c>
      <c r="E258" s="88">
        <v>4</v>
      </c>
      <c r="F258" s="88"/>
      <c r="G258" s="82">
        <v>70</v>
      </c>
      <c r="H258" s="88">
        <v>5</v>
      </c>
      <c r="I258" s="86"/>
    </row>
    <row r="259" spans="1:9" x14ac:dyDescent="0.25">
      <c r="A259" s="81" t="s">
        <v>1566</v>
      </c>
      <c r="B259" s="82">
        <v>159</v>
      </c>
      <c r="C259" s="88">
        <v>12</v>
      </c>
      <c r="D259" s="82">
        <v>95</v>
      </c>
      <c r="E259" s="88">
        <v>6</v>
      </c>
      <c r="F259" s="88"/>
      <c r="G259" s="82">
        <v>103</v>
      </c>
      <c r="H259" s="88">
        <v>7</v>
      </c>
      <c r="I259" s="86"/>
    </row>
    <row r="260" spans="1:9" x14ac:dyDescent="0.25">
      <c r="A260" s="81" t="s">
        <v>1626</v>
      </c>
      <c r="B260" s="82">
        <v>12</v>
      </c>
      <c r="C260" s="88"/>
      <c r="D260" s="82">
        <v>9</v>
      </c>
      <c r="E260" s="88"/>
      <c r="F260" s="88"/>
      <c r="G260" s="82">
        <v>9</v>
      </c>
      <c r="H260" s="88"/>
      <c r="I260" s="86"/>
    </row>
    <row r="261" spans="1:9" x14ac:dyDescent="0.25">
      <c r="A261" s="81" t="s">
        <v>1608</v>
      </c>
      <c r="B261" s="82">
        <v>202</v>
      </c>
      <c r="C261" s="88">
        <v>12</v>
      </c>
      <c r="D261" s="82">
        <v>175</v>
      </c>
      <c r="E261" s="88">
        <v>10</v>
      </c>
      <c r="F261" s="88"/>
      <c r="G261" s="82">
        <v>182</v>
      </c>
      <c r="H261" s="88">
        <v>10</v>
      </c>
      <c r="I261" s="86"/>
    </row>
    <row r="262" spans="1:9" x14ac:dyDescent="0.25">
      <c r="A262" s="81" t="s">
        <v>1027</v>
      </c>
      <c r="B262" s="82">
        <v>13</v>
      </c>
      <c r="C262" s="88"/>
      <c r="D262" s="82">
        <v>6</v>
      </c>
      <c r="E262" s="88"/>
      <c r="F262" s="88"/>
      <c r="G262" s="82">
        <v>7</v>
      </c>
      <c r="H262" s="88"/>
      <c r="I262" s="86"/>
    </row>
    <row r="263" spans="1:9" x14ac:dyDescent="0.25">
      <c r="A263" s="81" t="s">
        <v>1638</v>
      </c>
      <c r="B263" s="82">
        <v>54</v>
      </c>
      <c r="C263" s="88">
        <v>8</v>
      </c>
      <c r="D263" s="82"/>
      <c r="E263" s="88"/>
      <c r="F263" s="88"/>
      <c r="G263" s="82"/>
      <c r="H263" s="88"/>
      <c r="I263" s="86"/>
    </row>
    <row r="264" spans="1:9" x14ac:dyDescent="0.25">
      <c r="A264" s="81" t="s">
        <v>1569</v>
      </c>
      <c r="B264" s="82">
        <v>4</v>
      </c>
      <c r="C264" s="88"/>
      <c r="D264" s="82"/>
      <c r="E264" s="88"/>
      <c r="F264" s="88"/>
      <c r="G264" s="82"/>
      <c r="H264" s="88"/>
      <c r="I264" s="86"/>
    </row>
    <row r="265" spans="1:9" x14ac:dyDescent="0.25">
      <c r="A265" s="81" t="s">
        <v>1030</v>
      </c>
      <c r="B265" s="82">
        <v>19</v>
      </c>
      <c r="C265" s="88">
        <v>1</v>
      </c>
      <c r="D265" s="82">
        <v>8</v>
      </c>
      <c r="E265" s="88"/>
      <c r="F265" s="88"/>
      <c r="G265" s="82">
        <v>10</v>
      </c>
      <c r="H265" s="88">
        <v>1</v>
      </c>
      <c r="I265" s="86"/>
    </row>
    <row r="266" spans="1:9" x14ac:dyDescent="0.25">
      <c r="A266" s="81" t="s">
        <v>789</v>
      </c>
      <c r="B266" s="82">
        <v>299</v>
      </c>
      <c r="C266" s="88">
        <v>10</v>
      </c>
      <c r="D266" s="82">
        <v>75</v>
      </c>
      <c r="E266" s="88">
        <v>3</v>
      </c>
      <c r="F266" s="88"/>
      <c r="G266" s="82">
        <v>83</v>
      </c>
      <c r="H266" s="88">
        <v>6</v>
      </c>
      <c r="I266" s="86"/>
    </row>
    <row r="267" spans="1:9" x14ac:dyDescent="0.25">
      <c r="A267" s="81" t="s">
        <v>1033</v>
      </c>
      <c r="B267" s="82">
        <v>14</v>
      </c>
      <c r="C267" s="88"/>
      <c r="D267" s="82">
        <v>46</v>
      </c>
      <c r="E267" s="88">
        <v>4</v>
      </c>
      <c r="F267" s="88"/>
      <c r="G267" s="82">
        <v>48</v>
      </c>
      <c r="H267" s="88">
        <v>5</v>
      </c>
      <c r="I267" s="86"/>
    </row>
    <row r="268" spans="1:9" x14ac:dyDescent="0.25">
      <c r="A268" s="81" t="s">
        <v>1270</v>
      </c>
      <c r="B268" s="82">
        <v>7</v>
      </c>
      <c r="C268" s="88"/>
      <c r="D268" s="82"/>
      <c r="E268" s="88"/>
      <c r="F268" s="88"/>
      <c r="G268" s="82"/>
      <c r="H268" s="88"/>
      <c r="I268" s="86"/>
    </row>
    <row r="269" spans="1:9" x14ac:dyDescent="0.25">
      <c r="A269" s="81" t="s">
        <v>794</v>
      </c>
      <c r="B269" s="82">
        <v>1</v>
      </c>
      <c r="C269" s="88"/>
      <c r="D269" s="82">
        <v>1</v>
      </c>
      <c r="E269" s="88"/>
      <c r="F269" s="88"/>
      <c r="G269" s="82">
        <v>1</v>
      </c>
      <c r="H269" s="88"/>
      <c r="I269" s="86"/>
    </row>
    <row r="270" spans="1:9" x14ac:dyDescent="0.25">
      <c r="A270" s="81" t="s">
        <v>412</v>
      </c>
      <c r="B270" s="82">
        <v>63</v>
      </c>
      <c r="C270" s="88">
        <v>1</v>
      </c>
      <c r="D270" s="82">
        <v>55</v>
      </c>
      <c r="E270" s="88">
        <v>1</v>
      </c>
      <c r="F270" s="88"/>
      <c r="G270" s="82">
        <v>56</v>
      </c>
      <c r="H270" s="88">
        <v>1</v>
      </c>
      <c r="I270" s="86"/>
    </row>
    <row r="271" spans="1:9" x14ac:dyDescent="0.25">
      <c r="A271" s="81" t="s">
        <v>1620</v>
      </c>
      <c r="B271" s="82">
        <v>1746</v>
      </c>
      <c r="C271" s="88">
        <v>78</v>
      </c>
      <c r="D271" s="82">
        <v>1230</v>
      </c>
      <c r="E271" s="88">
        <v>47</v>
      </c>
      <c r="F271" s="88"/>
      <c r="G271" s="82">
        <v>1291</v>
      </c>
      <c r="H271" s="88">
        <v>54</v>
      </c>
      <c r="I271" s="86"/>
    </row>
    <row r="272" spans="1:9" x14ac:dyDescent="0.25">
      <c r="A272" s="81" t="s">
        <v>415</v>
      </c>
      <c r="B272" s="82">
        <v>30</v>
      </c>
      <c r="C272" s="88">
        <v>3</v>
      </c>
      <c r="D272" s="82">
        <v>19</v>
      </c>
      <c r="E272" s="88">
        <v>2</v>
      </c>
      <c r="F272" s="88"/>
      <c r="G272" s="82">
        <v>21</v>
      </c>
      <c r="H272" s="88">
        <v>3</v>
      </c>
      <c r="I272" s="86"/>
    </row>
    <row r="273" spans="1:9" x14ac:dyDescent="0.25">
      <c r="A273" s="81" t="s">
        <v>1609</v>
      </c>
      <c r="B273" s="82">
        <v>863</v>
      </c>
      <c r="C273" s="88">
        <v>60</v>
      </c>
      <c r="D273" s="82">
        <v>502</v>
      </c>
      <c r="E273" s="88">
        <v>30</v>
      </c>
      <c r="F273" s="88"/>
      <c r="G273" s="82">
        <v>534</v>
      </c>
      <c r="H273" s="88">
        <v>40</v>
      </c>
      <c r="I273" s="86"/>
    </row>
    <row r="274" spans="1:9" x14ac:dyDescent="0.25">
      <c r="A274" s="81" t="s">
        <v>1044</v>
      </c>
      <c r="B274" s="82">
        <v>101</v>
      </c>
      <c r="C274" s="88">
        <v>3</v>
      </c>
      <c r="D274" s="82">
        <v>41</v>
      </c>
      <c r="E274" s="88">
        <v>2</v>
      </c>
      <c r="F274" s="88"/>
      <c r="G274" s="82">
        <v>43</v>
      </c>
      <c r="H274" s="88">
        <v>2</v>
      </c>
      <c r="I274" s="86"/>
    </row>
    <row r="275" spans="1:9" x14ac:dyDescent="0.25">
      <c r="A275" s="81" t="s">
        <v>1047</v>
      </c>
      <c r="B275" s="82">
        <v>11</v>
      </c>
      <c r="C275" s="88"/>
      <c r="D275" s="82"/>
      <c r="E275" s="88"/>
      <c r="F275" s="88"/>
      <c r="G275" s="82"/>
      <c r="H275" s="88"/>
      <c r="I275" s="86"/>
    </row>
    <row r="276" spans="1:9" x14ac:dyDescent="0.25">
      <c r="A276" s="81" t="s">
        <v>1621</v>
      </c>
      <c r="B276" s="82">
        <v>59</v>
      </c>
      <c r="C276" s="88">
        <v>3</v>
      </c>
      <c r="D276" s="82">
        <v>49</v>
      </c>
      <c r="E276" s="88">
        <v>2</v>
      </c>
      <c r="F276" s="88"/>
      <c r="G276" s="82">
        <v>51</v>
      </c>
      <c r="H276" s="88">
        <v>2</v>
      </c>
      <c r="I276" s="86"/>
    </row>
    <row r="277" spans="1:9" x14ac:dyDescent="0.25">
      <c r="A277" s="81" t="s">
        <v>1052</v>
      </c>
      <c r="B277" s="82">
        <v>59</v>
      </c>
      <c r="C277" s="88">
        <v>3</v>
      </c>
      <c r="D277" s="82">
        <v>49</v>
      </c>
      <c r="E277" s="88">
        <v>2</v>
      </c>
      <c r="F277" s="88"/>
      <c r="G277" s="82">
        <v>51</v>
      </c>
      <c r="H277" s="88">
        <v>2</v>
      </c>
      <c r="I277" s="86"/>
    </row>
    <row r="278" spans="1:9" x14ac:dyDescent="0.25">
      <c r="A278" s="81" t="s">
        <v>1611</v>
      </c>
      <c r="B278" s="82">
        <v>174</v>
      </c>
      <c r="C278" s="88">
        <v>8</v>
      </c>
      <c r="D278" s="82">
        <v>163</v>
      </c>
      <c r="E278" s="88">
        <v>5</v>
      </c>
      <c r="F278" s="88"/>
      <c r="G278" s="82">
        <v>176</v>
      </c>
      <c r="H278" s="88">
        <v>7</v>
      </c>
      <c r="I278" s="86"/>
    </row>
    <row r="279" spans="1:9" x14ac:dyDescent="0.25">
      <c r="A279" s="81" t="s">
        <v>1585</v>
      </c>
      <c r="B279" s="82">
        <v>258</v>
      </c>
      <c r="C279" s="88">
        <v>17</v>
      </c>
      <c r="D279" s="82">
        <v>246</v>
      </c>
      <c r="E279" s="88">
        <v>15</v>
      </c>
      <c r="F279" s="88"/>
      <c r="G279" s="82">
        <v>258</v>
      </c>
      <c r="H279" s="88">
        <v>16</v>
      </c>
      <c r="I279" s="86"/>
    </row>
    <row r="280" spans="1:9" x14ac:dyDescent="0.25">
      <c r="A280" s="81" t="s">
        <v>1610</v>
      </c>
      <c r="B280" s="82">
        <v>181</v>
      </c>
      <c r="C280" s="88"/>
      <c r="D280" s="82">
        <v>69</v>
      </c>
      <c r="E280" s="88"/>
      <c r="F280" s="88"/>
      <c r="G280" s="82">
        <v>72</v>
      </c>
      <c r="H280" s="88"/>
      <c r="I280" s="86"/>
    </row>
    <row r="281" spans="1:9" x14ac:dyDescent="0.25">
      <c r="A281" s="81" t="s">
        <v>1605</v>
      </c>
      <c r="B281" s="82">
        <v>167</v>
      </c>
      <c r="C281" s="88">
        <v>17</v>
      </c>
      <c r="D281" s="82">
        <v>23</v>
      </c>
      <c r="E281" s="88">
        <v>4</v>
      </c>
      <c r="F281" s="88"/>
      <c r="G281" s="82">
        <v>33</v>
      </c>
      <c r="H281" s="88">
        <v>8</v>
      </c>
      <c r="I281" s="86"/>
    </row>
    <row r="282" spans="1:9" x14ac:dyDescent="0.25">
      <c r="A282" s="81" t="s">
        <v>420</v>
      </c>
      <c r="B282" s="82">
        <v>98</v>
      </c>
      <c r="C282" s="88"/>
      <c r="D282" s="82">
        <v>13</v>
      </c>
      <c r="E282" s="88"/>
      <c r="F282" s="88"/>
      <c r="G282" s="82">
        <v>15</v>
      </c>
      <c r="H282" s="88"/>
      <c r="I282" s="86"/>
    </row>
    <row r="283" spans="1:9" x14ac:dyDescent="0.25">
      <c r="A283" s="81" t="s">
        <v>797</v>
      </c>
      <c r="B283" s="82">
        <v>180</v>
      </c>
      <c r="C283" s="88">
        <v>9</v>
      </c>
      <c r="D283" s="82"/>
      <c r="E283" s="88"/>
      <c r="F283" s="88"/>
      <c r="G283" s="82"/>
      <c r="H283" s="88"/>
      <c r="I283" s="86"/>
    </row>
    <row r="284" spans="1:9" x14ac:dyDescent="0.25">
      <c r="A284" s="81" t="s">
        <v>799</v>
      </c>
      <c r="B284" s="82">
        <v>51</v>
      </c>
      <c r="C284" s="88"/>
      <c r="D284" s="82">
        <v>28</v>
      </c>
      <c r="E284" s="88"/>
      <c r="F284" s="88"/>
      <c r="G284" s="82">
        <v>29</v>
      </c>
      <c r="H284" s="88"/>
      <c r="I284" s="86"/>
    </row>
    <row r="285" spans="1:9" x14ac:dyDescent="0.25">
      <c r="A285" s="81" t="s">
        <v>1555</v>
      </c>
      <c r="B285" s="82">
        <v>24</v>
      </c>
      <c r="C285" s="88"/>
      <c r="D285" s="82">
        <v>16</v>
      </c>
      <c r="E285" s="88"/>
      <c r="F285" s="88"/>
      <c r="G285" s="82">
        <v>17</v>
      </c>
      <c r="H285" s="88"/>
      <c r="I285" s="86"/>
    </row>
    <row r="286" spans="1:9" x14ac:dyDescent="0.25">
      <c r="A286" s="81" t="s">
        <v>1276</v>
      </c>
      <c r="B286" s="82">
        <v>8</v>
      </c>
      <c r="C286" s="88">
        <v>1</v>
      </c>
      <c r="D286" s="82"/>
      <c r="E286" s="88"/>
      <c r="F286" s="88"/>
      <c r="G286" s="82"/>
      <c r="H286" s="88"/>
      <c r="I286" s="86"/>
    </row>
    <row r="287" spans="1:9" x14ac:dyDescent="0.25">
      <c r="A287" s="81" t="s">
        <v>1615</v>
      </c>
      <c r="B287" s="82">
        <v>3170</v>
      </c>
      <c r="C287" s="88">
        <v>100</v>
      </c>
      <c r="D287" s="82">
        <v>2479</v>
      </c>
      <c r="E287" s="88">
        <v>94</v>
      </c>
      <c r="F287" s="88"/>
      <c r="G287" s="82">
        <v>2616</v>
      </c>
      <c r="H287" s="88">
        <v>102</v>
      </c>
      <c r="I287" s="86"/>
    </row>
    <row r="288" spans="1:9" x14ac:dyDescent="0.25">
      <c r="A288" s="81" t="s">
        <v>1556</v>
      </c>
      <c r="B288" s="82">
        <v>773</v>
      </c>
      <c r="C288" s="88">
        <v>38</v>
      </c>
      <c r="D288" s="82">
        <v>648</v>
      </c>
      <c r="E288" s="88">
        <v>32</v>
      </c>
      <c r="F288" s="88"/>
      <c r="G288" s="82">
        <v>669</v>
      </c>
      <c r="H288" s="88">
        <v>34</v>
      </c>
      <c r="I288" s="86"/>
    </row>
    <row r="289" spans="1:9" x14ac:dyDescent="0.25">
      <c r="A289" s="81" t="s">
        <v>1602</v>
      </c>
      <c r="B289" s="82">
        <v>482</v>
      </c>
      <c r="C289" s="88">
        <v>16</v>
      </c>
      <c r="D289" s="82">
        <v>395</v>
      </c>
      <c r="E289" s="88">
        <v>9</v>
      </c>
      <c r="F289" s="88"/>
      <c r="G289" s="82">
        <v>404</v>
      </c>
      <c r="H289" s="88">
        <v>11</v>
      </c>
      <c r="I289" s="86"/>
    </row>
    <row r="290" spans="1:9" x14ac:dyDescent="0.25">
      <c r="A290" s="81" t="s">
        <v>426</v>
      </c>
      <c r="B290" s="82">
        <v>31</v>
      </c>
      <c r="C290" s="88"/>
      <c r="D290" s="82">
        <v>17</v>
      </c>
      <c r="E290" s="88"/>
      <c r="F290" s="88"/>
      <c r="G290" s="82">
        <v>18</v>
      </c>
      <c r="H290" s="88"/>
      <c r="I290" s="86"/>
    </row>
    <row r="291" spans="1:9" x14ac:dyDescent="0.25">
      <c r="A291" s="81" t="s">
        <v>1278</v>
      </c>
      <c r="B291" s="82">
        <v>18</v>
      </c>
      <c r="C291" s="88"/>
      <c r="D291" s="82"/>
      <c r="E291" s="88"/>
      <c r="F291" s="88"/>
      <c r="G291" s="82"/>
      <c r="H291" s="88"/>
      <c r="I291" s="86"/>
    </row>
    <row r="292" spans="1:9" x14ac:dyDescent="0.25">
      <c r="A292" s="81" t="s">
        <v>1280</v>
      </c>
      <c r="B292" s="82">
        <v>175</v>
      </c>
      <c r="C292" s="88">
        <v>9</v>
      </c>
      <c r="D292" s="82">
        <v>50</v>
      </c>
      <c r="E292" s="88"/>
      <c r="F292" s="88"/>
      <c r="G292" s="82">
        <v>53</v>
      </c>
      <c r="H292" s="88">
        <v>2</v>
      </c>
      <c r="I292" s="86"/>
    </row>
    <row r="293" spans="1:9" x14ac:dyDescent="0.25">
      <c r="A293" s="81" t="s">
        <v>806</v>
      </c>
      <c r="B293" s="82">
        <v>7</v>
      </c>
      <c r="C293" s="88"/>
      <c r="D293" s="82"/>
      <c r="E293" s="88"/>
      <c r="F293" s="88"/>
      <c r="G293" s="82"/>
      <c r="H293" s="88"/>
      <c r="I293" s="86"/>
    </row>
    <row r="294" spans="1:9" x14ac:dyDescent="0.25">
      <c r="A294" s="81" t="s">
        <v>1064</v>
      </c>
      <c r="B294" s="82">
        <v>410</v>
      </c>
      <c r="C294" s="88">
        <v>16</v>
      </c>
      <c r="D294" s="82">
        <v>367</v>
      </c>
      <c r="E294" s="88">
        <v>16</v>
      </c>
      <c r="F294" s="88"/>
      <c r="G294" s="82">
        <v>388</v>
      </c>
      <c r="H294" s="88">
        <v>18</v>
      </c>
      <c r="I294" s="86"/>
    </row>
    <row r="295" spans="1:9" x14ac:dyDescent="0.25">
      <c r="A295" s="81" t="s">
        <v>1282</v>
      </c>
      <c r="B295" s="82">
        <v>117</v>
      </c>
      <c r="C295" s="88">
        <v>10</v>
      </c>
      <c r="D295" s="82">
        <v>43</v>
      </c>
      <c r="E295" s="88">
        <v>5</v>
      </c>
      <c r="F295" s="88"/>
      <c r="G295" s="82">
        <v>49</v>
      </c>
      <c r="H295" s="88">
        <v>7</v>
      </c>
      <c r="I295" s="86"/>
    </row>
    <row r="296" spans="1:9" x14ac:dyDescent="0.25">
      <c r="A296" s="81" t="s">
        <v>808</v>
      </c>
      <c r="B296" s="82">
        <v>78</v>
      </c>
      <c r="C296" s="88">
        <v>2</v>
      </c>
      <c r="D296" s="82">
        <v>65</v>
      </c>
      <c r="E296" s="88"/>
      <c r="F296" s="88"/>
      <c r="G296" s="82">
        <v>67</v>
      </c>
      <c r="H296" s="88"/>
      <c r="I296" s="86"/>
    </row>
    <row r="297" spans="1:9" x14ac:dyDescent="0.25">
      <c r="A297" s="81" t="s">
        <v>428</v>
      </c>
      <c r="B297" s="82">
        <v>226</v>
      </c>
      <c r="C297" s="88">
        <v>11</v>
      </c>
      <c r="D297" s="82">
        <v>181</v>
      </c>
      <c r="E297" s="88">
        <v>9</v>
      </c>
      <c r="F297" s="88"/>
      <c r="G297" s="82">
        <v>189</v>
      </c>
      <c r="H297" s="88">
        <v>13</v>
      </c>
      <c r="I297" s="86"/>
    </row>
    <row r="298" spans="1:9" x14ac:dyDescent="0.25">
      <c r="A298" s="81" t="s">
        <v>1635</v>
      </c>
      <c r="B298" s="82">
        <v>588</v>
      </c>
      <c r="C298" s="88">
        <v>42</v>
      </c>
      <c r="D298" s="82">
        <v>559</v>
      </c>
      <c r="E298" s="88">
        <v>40</v>
      </c>
      <c r="F298" s="88"/>
      <c r="G298" s="82">
        <v>580</v>
      </c>
      <c r="H298" s="88">
        <v>42</v>
      </c>
      <c r="I298" s="86"/>
    </row>
    <row r="299" spans="1:9" x14ac:dyDescent="0.25">
      <c r="A299" s="81" t="s">
        <v>810</v>
      </c>
      <c r="B299" s="82">
        <v>29</v>
      </c>
      <c r="C299" s="88">
        <v>3</v>
      </c>
      <c r="D299" s="82">
        <v>21</v>
      </c>
      <c r="E299" s="88">
        <v>1</v>
      </c>
      <c r="F299" s="88"/>
      <c r="G299" s="82">
        <v>22</v>
      </c>
      <c r="H299" s="88">
        <v>1</v>
      </c>
      <c r="I299" s="86"/>
    </row>
    <row r="300" spans="1:9" x14ac:dyDescent="0.25">
      <c r="A300" s="81" t="s">
        <v>1284</v>
      </c>
      <c r="B300" s="82">
        <v>526</v>
      </c>
      <c r="C300" s="88">
        <v>41</v>
      </c>
      <c r="D300" s="82">
        <v>414</v>
      </c>
      <c r="E300" s="88">
        <v>36</v>
      </c>
      <c r="F300" s="88"/>
      <c r="G300" s="82">
        <v>442</v>
      </c>
      <c r="H300" s="88">
        <v>40</v>
      </c>
      <c r="I300" s="86"/>
    </row>
    <row r="301" spans="1:9" x14ac:dyDescent="0.25">
      <c r="A301" s="81" t="s">
        <v>1563</v>
      </c>
      <c r="B301" s="82">
        <v>242</v>
      </c>
      <c r="C301" s="88">
        <v>5</v>
      </c>
      <c r="D301" s="82">
        <v>155</v>
      </c>
      <c r="E301" s="88">
        <v>3</v>
      </c>
      <c r="F301" s="88"/>
      <c r="G301" s="82">
        <v>166</v>
      </c>
      <c r="H301" s="88">
        <v>3</v>
      </c>
      <c r="I301" s="86"/>
    </row>
    <row r="302" spans="1:9" x14ac:dyDescent="0.25">
      <c r="A302" s="81" t="s">
        <v>815</v>
      </c>
      <c r="B302" s="82">
        <v>49</v>
      </c>
      <c r="C302" s="88">
        <v>2</v>
      </c>
      <c r="D302" s="82">
        <v>36</v>
      </c>
      <c r="E302" s="88">
        <v>2</v>
      </c>
      <c r="F302" s="88"/>
      <c r="G302" s="82">
        <v>37</v>
      </c>
      <c r="H302" s="88">
        <v>2</v>
      </c>
      <c r="I302" s="86"/>
    </row>
    <row r="303" spans="1:9" x14ac:dyDescent="0.25">
      <c r="A303" s="81" t="s">
        <v>1647</v>
      </c>
      <c r="B303" s="82">
        <v>9</v>
      </c>
      <c r="C303" s="88"/>
      <c r="D303" s="82"/>
      <c r="E303" s="88"/>
      <c r="F303" s="88"/>
      <c r="G303" s="82"/>
      <c r="H303" s="88"/>
      <c r="I303" s="86"/>
    </row>
    <row r="304" spans="1:9" x14ac:dyDescent="0.25">
      <c r="A304" s="81" t="s">
        <v>1070</v>
      </c>
      <c r="B304" s="82">
        <v>305</v>
      </c>
      <c r="C304" s="88">
        <v>22</v>
      </c>
      <c r="D304" s="82">
        <v>169</v>
      </c>
      <c r="E304" s="88">
        <v>15</v>
      </c>
      <c r="F304" s="88"/>
      <c r="G304" s="82">
        <v>183</v>
      </c>
      <c r="H304" s="88">
        <v>16</v>
      </c>
      <c r="I304" s="86"/>
    </row>
    <row r="305" spans="1:9" x14ac:dyDescent="0.25">
      <c r="A305" s="81" t="s">
        <v>1072</v>
      </c>
      <c r="B305" s="82"/>
      <c r="C305" s="88"/>
      <c r="D305" s="82">
        <v>13</v>
      </c>
      <c r="E305" s="88"/>
      <c r="F305" s="88"/>
      <c r="G305" s="82">
        <v>14</v>
      </c>
      <c r="H305" s="88"/>
      <c r="I305" s="86"/>
    </row>
    <row r="306" spans="1:9" x14ac:dyDescent="0.25">
      <c r="A306" s="81" t="s">
        <v>1554</v>
      </c>
      <c r="B306" s="82">
        <v>8</v>
      </c>
      <c r="C306" s="88"/>
      <c r="D306" s="82">
        <v>1</v>
      </c>
      <c r="E306" s="88"/>
      <c r="F306" s="88"/>
      <c r="G306" s="82">
        <v>1</v>
      </c>
      <c r="H306" s="88"/>
      <c r="I306" s="86"/>
    </row>
    <row r="307" spans="1:9" x14ac:dyDescent="0.25">
      <c r="A307" s="81" t="s">
        <v>1078</v>
      </c>
      <c r="B307" s="82">
        <v>193</v>
      </c>
      <c r="C307" s="88">
        <v>9</v>
      </c>
      <c r="D307" s="82">
        <v>145</v>
      </c>
      <c r="E307" s="88">
        <v>6</v>
      </c>
      <c r="F307" s="88"/>
      <c r="G307" s="82">
        <v>151</v>
      </c>
      <c r="H307" s="88">
        <v>8</v>
      </c>
      <c r="I307" s="86"/>
    </row>
    <row r="308" spans="1:9" x14ac:dyDescent="0.25">
      <c r="A308" s="81" t="s">
        <v>431</v>
      </c>
      <c r="B308" s="82">
        <v>1445</v>
      </c>
      <c r="C308" s="88">
        <v>75</v>
      </c>
      <c r="D308" s="82">
        <v>1276</v>
      </c>
      <c r="E308" s="88">
        <v>68</v>
      </c>
      <c r="F308" s="88"/>
      <c r="G308" s="82">
        <v>1326</v>
      </c>
      <c r="H308" s="88">
        <v>72</v>
      </c>
      <c r="I308" s="86"/>
    </row>
    <row r="309" spans="1:9" x14ac:dyDescent="0.25">
      <c r="A309" s="81" t="s">
        <v>1573</v>
      </c>
      <c r="B309" s="82">
        <v>359</v>
      </c>
      <c r="C309" s="88">
        <v>23</v>
      </c>
      <c r="D309" s="82">
        <v>256</v>
      </c>
      <c r="E309" s="88">
        <v>15</v>
      </c>
      <c r="F309" s="88"/>
      <c r="G309" s="82">
        <v>273</v>
      </c>
      <c r="H309" s="88">
        <v>16</v>
      </c>
      <c r="I309" s="86"/>
    </row>
    <row r="310" spans="1:9" x14ac:dyDescent="0.25">
      <c r="A310" s="81" t="s">
        <v>1637</v>
      </c>
      <c r="B310" s="82">
        <v>452</v>
      </c>
      <c r="C310" s="88">
        <v>33</v>
      </c>
      <c r="D310" s="82">
        <v>435</v>
      </c>
      <c r="E310" s="88">
        <v>38</v>
      </c>
      <c r="F310" s="88"/>
      <c r="G310" s="82">
        <v>442</v>
      </c>
      <c r="H310" s="88">
        <v>38</v>
      </c>
      <c r="I310" s="86"/>
    </row>
    <row r="311" spans="1:9" x14ac:dyDescent="0.25">
      <c r="A311" s="81" t="s">
        <v>822</v>
      </c>
      <c r="B311" s="82">
        <v>1561</v>
      </c>
      <c r="C311" s="88">
        <v>126</v>
      </c>
      <c r="D311" s="82">
        <v>1361</v>
      </c>
      <c r="E311" s="88">
        <v>124</v>
      </c>
      <c r="F311" s="88"/>
      <c r="G311" s="82">
        <v>1418</v>
      </c>
      <c r="H311" s="88">
        <v>131</v>
      </c>
      <c r="I311" s="86"/>
    </row>
    <row r="312" spans="1:9" x14ac:dyDescent="0.25">
      <c r="A312" s="90" t="s">
        <v>1623</v>
      </c>
      <c r="B312" s="91">
        <v>146</v>
      </c>
      <c r="C312" s="93">
        <v>9</v>
      </c>
      <c r="D312" s="91">
        <v>72</v>
      </c>
      <c r="E312" s="93">
        <v>5</v>
      </c>
      <c r="F312" s="93"/>
      <c r="G312" s="91">
        <v>83</v>
      </c>
      <c r="H312" s="93">
        <v>9</v>
      </c>
      <c r="I312" s="9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13"/>
  <sheetViews>
    <sheetView workbookViewId="0">
      <selection activeCell="A6" sqref="A6"/>
    </sheetView>
  </sheetViews>
  <sheetFormatPr defaultRowHeight="15" x14ac:dyDescent="0.25"/>
  <cols>
    <col min="1" max="1" width="73.5703125" bestFit="1" customWidth="1"/>
    <col min="2" max="9" width="23.85546875" bestFit="1" customWidth="1"/>
    <col min="10" max="10" width="23" bestFit="1" customWidth="1"/>
  </cols>
  <sheetData>
    <row r="1" spans="1:7" x14ac:dyDescent="0.25">
      <c r="A1" s="74" t="s">
        <v>1651</v>
      </c>
      <c r="B1" t="s" vm="3">
        <v>1652</v>
      </c>
    </row>
    <row r="3" spans="1:7" x14ac:dyDescent="0.25">
      <c r="B3" s="74" t="s">
        <v>1650</v>
      </c>
      <c r="C3" s="74" t="s">
        <v>1663</v>
      </c>
    </row>
    <row r="4" spans="1:7" x14ac:dyDescent="0.25">
      <c r="B4" t="s">
        <v>1654</v>
      </c>
      <c r="D4" t="s">
        <v>24</v>
      </c>
      <c r="F4" t="s">
        <v>159</v>
      </c>
    </row>
    <row r="5" spans="1:7" x14ac:dyDescent="0.25">
      <c r="A5" s="74" t="s">
        <v>1648</v>
      </c>
      <c r="B5" t="s">
        <v>1664</v>
      </c>
      <c r="C5" t="s">
        <v>1665</v>
      </c>
      <c r="D5" t="s">
        <v>1664</v>
      </c>
      <c r="E5" t="s">
        <v>1665</v>
      </c>
      <c r="F5" t="s">
        <v>1664</v>
      </c>
      <c r="G5" t="s">
        <v>1665</v>
      </c>
    </row>
    <row r="6" spans="1:7" x14ac:dyDescent="0.25">
      <c r="A6" t="s">
        <v>237</v>
      </c>
      <c r="B6" s="88">
        <v>61</v>
      </c>
      <c r="C6" s="88">
        <v>10</v>
      </c>
      <c r="D6" s="83">
        <v>6</v>
      </c>
      <c r="E6" s="83"/>
      <c r="F6" s="83">
        <v>66</v>
      </c>
      <c r="G6" s="83">
        <v>10</v>
      </c>
    </row>
    <row r="7" spans="1:7" x14ac:dyDescent="0.25">
      <c r="A7" t="s">
        <v>1583</v>
      </c>
      <c r="B7" s="88">
        <v>57</v>
      </c>
      <c r="C7" s="88"/>
      <c r="D7" s="83">
        <v>1</v>
      </c>
      <c r="E7" s="83"/>
      <c r="F7" s="83">
        <v>55</v>
      </c>
      <c r="G7" s="83"/>
    </row>
    <row r="8" spans="1:7" x14ac:dyDescent="0.25">
      <c r="A8" t="s">
        <v>241</v>
      </c>
      <c r="B8" s="88">
        <v>475</v>
      </c>
      <c r="C8" s="88">
        <v>19</v>
      </c>
      <c r="D8" s="83">
        <v>8</v>
      </c>
      <c r="E8" s="83"/>
      <c r="F8" s="83">
        <v>484</v>
      </c>
      <c r="G8" s="83">
        <v>18</v>
      </c>
    </row>
    <row r="9" spans="1:7" x14ac:dyDescent="0.25">
      <c r="A9" t="s">
        <v>1564</v>
      </c>
      <c r="B9" s="88">
        <v>2163</v>
      </c>
      <c r="C9" s="88">
        <v>81</v>
      </c>
      <c r="D9" s="83">
        <v>13</v>
      </c>
      <c r="E9" s="83">
        <v>1</v>
      </c>
      <c r="F9" s="83">
        <v>2138</v>
      </c>
      <c r="G9" s="83">
        <v>84</v>
      </c>
    </row>
    <row r="10" spans="1:7" x14ac:dyDescent="0.25">
      <c r="A10" t="s">
        <v>1642</v>
      </c>
      <c r="B10" s="88">
        <v>50</v>
      </c>
      <c r="C10" s="88">
        <v>10</v>
      </c>
      <c r="D10" s="83">
        <v>1</v>
      </c>
      <c r="E10" s="83"/>
      <c r="F10" s="83">
        <v>50</v>
      </c>
      <c r="G10" s="83">
        <v>9</v>
      </c>
    </row>
    <row r="11" spans="1:7" x14ac:dyDescent="0.25">
      <c r="A11" t="s">
        <v>1640</v>
      </c>
      <c r="B11" s="88">
        <v>1446</v>
      </c>
      <c r="C11" s="88">
        <v>82</v>
      </c>
      <c r="D11" s="83">
        <v>22</v>
      </c>
      <c r="E11" s="83">
        <v>1</v>
      </c>
      <c r="F11" s="83">
        <v>1479</v>
      </c>
      <c r="G11" s="83">
        <v>82</v>
      </c>
    </row>
    <row r="12" spans="1:7" x14ac:dyDescent="0.25">
      <c r="A12" t="s">
        <v>1600</v>
      </c>
      <c r="B12" s="88">
        <v>89</v>
      </c>
      <c r="C12" s="88"/>
      <c r="D12" s="83"/>
      <c r="E12" s="83"/>
      <c r="F12" s="83">
        <v>88</v>
      </c>
      <c r="G12" s="83"/>
    </row>
    <row r="13" spans="1:7" x14ac:dyDescent="0.25">
      <c r="A13" t="s">
        <v>446</v>
      </c>
      <c r="B13" s="88">
        <v>47</v>
      </c>
      <c r="C13" s="88">
        <v>7</v>
      </c>
      <c r="D13" s="83">
        <v>1</v>
      </c>
      <c r="E13" s="83"/>
      <c r="F13" s="83">
        <v>48</v>
      </c>
      <c r="G13" s="83">
        <v>7</v>
      </c>
    </row>
    <row r="14" spans="1:7" x14ac:dyDescent="0.25">
      <c r="A14" t="s">
        <v>449</v>
      </c>
      <c r="B14" s="88">
        <v>453</v>
      </c>
      <c r="C14" s="88">
        <v>30</v>
      </c>
      <c r="D14" s="83">
        <v>4</v>
      </c>
      <c r="E14" s="83"/>
      <c r="F14" s="83">
        <v>456</v>
      </c>
      <c r="G14" s="83">
        <v>28</v>
      </c>
    </row>
    <row r="15" spans="1:7" x14ac:dyDescent="0.25">
      <c r="A15" t="s">
        <v>452</v>
      </c>
      <c r="B15" s="88">
        <v>8</v>
      </c>
      <c r="C15" s="88"/>
      <c r="D15" s="83">
        <v>1</v>
      </c>
      <c r="E15" s="83"/>
      <c r="F15" s="83">
        <v>9</v>
      </c>
      <c r="G15" s="83"/>
    </row>
    <row r="16" spans="1:7" x14ac:dyDescent="0.25">
      <c r="A16" t="s">
        <v>1097</v>
      </c>
      <c r="B16" s="88">
        <v>33</v>
      </c>
      <c r="C16" s="88">
        <v>1</v>
      </c>
      <c r="D16" s="83"/>
      <c r="E16" s="83"/>
      <c r="F16" s="83">
        <v>33</v>
      </c>
      <c r="G16" s="83">
        <v>1</v>
      </c>
    </row>
    <row r="17" spans="1:7" x14ac:dyDescent="0.25">
      <c r="A17" t="s">
        <v>1101</v>
      </c>
      <c r="B17" s="88">
        <v>119</v>
      </c>
      <c r="C17" s="88">
        <v>8</v>
      </c>
      <c r="D17" s="83">
        <v>3</v>
      </c>
      <c r="E17" s="83">
        <v>1</v>
      </c>
      <c r="F17" s="83">
        <v>125</v>
      </c>
      <c r="G17" s="83">
        <v>9</v>
      </c>
    </row>
    <row r="18" spans="1:7" x14ac:dyDescent="0.25">
      <c r="A18" t="s">
        <v>1667</v>
      </c>
      <c r="B18" s="88">
        <v>125</v>
      </c>
      <c r="C18" s="88">
        <v>7</v>
      </c>
      <c r="D18" s="83">
        <v>3</v>
      </c>
      <c r="E18" s="83"/>
      <c r="F18" s="83">
        <v>128</v>
      </c>
      <c r="G18" s="83">
        <v>7</v>
      </c>
    </row>
    <row r="19" spans="1:7" x14ac:dyDescent="0.25">
      <c r="A19" t="s">
        <v>1625</v>
      </c>
      <c r="B19" s="88">
        <v>51</v>
      </c>
      <c r="C19" s="88"/>
      <c r="D19" s="83">
        <v>2</v>
      </c>
      <c r="E19" s="83"/>
      <c r="F19" s="83">
        <v>55</v>
      </c>
      <c r="G19" s="83"/>
    </row>
    <row r="20" spans="1:7" x14ac:dyDescent="0.25">
      <c r="A20" t="s">
        <v>463</v>
      </c>
      <c r="B20" s="88">
        <v>122</v>
      </c>
      <c r="C20" s="88">
        <v>6</v>
      </c>
      <c r="D20" s="83">
        <v>2</v>
      </c>
      <c r="E20" s="83"/>
      <c r="F20" s="83">
        <v>121</v>
      </c>
      <c r="G20" s="83">
        <v>6</v>
      </c>
    </row>
    <row r="21" spans="1:7" x14ac:dyDescent="0.25">
      <c r="A21" t="s">
        <v>467</v>
      </c>
      <c r="B21" s="88">
        <v>7</v>
      </c>
      <c r="C21" s="88"/>
      <c r="D21" s="83"/>
      <c r="E21" s="83"/>
      <c r="F21" s="83">
        <v>7</v>
      </c>
      <c r="G21" s="83"/>
    </row>
    <row r="22" spans="1:7" x14ac:dyDescent="0.25">
      <c r="A22" t="s">
        <v>838</v>
      </c>
      <c r="B22" s="88">
        <v>391</v>
      </c>
      <c r="C22" s="88">
        <v>8</v>
      </c>
      <c r="D22" s="83">
        <v>13</v>
      </c>
      <c r="E22" s="83"/>
      <c r="F22" s="83">
        <v>415</v>
      </c>
      <c r="G22" s="83">
        <v>7</v>
      </c>
    </row>
    <row r="23" spans="1:7" x14ac:dyDescent="0.25">
      <c r="A23" t="s">
        <v>1108</v>
      </c>
      <c r="B23" s="88">
        <v>170</v>
      </c>
      <c r="C23" s="88">
        <v>10</v>
      </c>
      <c r="D23" s="83">
        <v>9</v>
      </c>
      <c r="E23" s="83"/>
      <c r="F23" s="83">
        <v>179</v>
      </c>
      <c r="G23" s="83">
        <v>10</v>
      </c>
    </row>
    <row r="24" spans="1:7" x14ac:dyDescent="0.25">
      <c r="A24" t="s">
        <v>1581</v>
      </c>
      <c r="B24" s="88">
        <v>172</v>
      </c>
      <c r="C24" s="88">
        <v>15</v>
      </c>
      <c r="D24" s="83"/>
      <c r="E24" s="83">
        <v>1</v>
      </c>
      <c r="F24" s="83">
        <v>174</v>
      </c>
      <c r="G24" s="83">
        <v>16</v>
      </c>
    </row>
    <row r="25" spans="1:7" x14ac:dyDescent="0.25">
      <c r="A25" t="s">
        <v>1111</v>
      </c>
      <c r="B25" s="88">
        <v>16</v>
      </c>
      <c r="C25" s="88"/>
      <c r="D25" s="83"/>
      <c r="E25" s="83"/>
      <c r="F25" s="83">
        <v>18</v>
      </c>
      <c r="G25" s="83"/>
    </row>
    <row r="26" spans="1:7" x14ac:dyDescent="0.25">
      <c r="A26" t="s">
        <v>1594</v>
      </c>
      <c r="B26" s="88">
        <v>202</v>
      </c>
      <c r="C26" s="88">
        <v>16</v>
      </c>
      <c r="D26" s="83"/>
      <c r="E26" s="83"/>
      <c r="F26" s="83">
        <v>146</v>
      </c>
      <c r="G26" s="83">
        <v>9</v>
      </c>
    </row>
    <row r="27" spans="1:7" x14ac:dyDescent="0.25">
      <c r="A27" t="s">
        <v>476</v>
      </c>
      <c r="B27" s="88">
        <v>12</v>
      </c>
      <c r="C27" s="88"/>
      <c r="D27" s="83"/>
      <c r="E27" s="83"/>
      <c r="F27" s="83">
        <v>13</v>
      </c>
      <c r="G27" s="83"/>
    </row>
    <row r="28" spans="1:7" x14ac:dyDescent="0.25">
      <c r="A28" t="s">
        <v>480</v>
      </c>
      <c r="B28" s="88">
        <v>4</v>
      </c>
      <c r="C28" s="88"/>
      <c r="D28" s="83"/>
      <c r="E28" s="83"/>
      <c r="F28" s="83">
        <v>4</v>
      </c>
      <c r="G28" s="83"/>
    </row>
    <row r="29" spans="1:7" x14ac:dyDescent="0.25">
      <c r="A29" t="s">
        <v>483</v>
      </c>
      <c r="B29" s="88">
        <v>14</v>
      </c>
      <c r="C29" s="88"/>
      <c r="D29" s="83">
        <v>1</v>
      </c>
      <c r="E29" s="83"/>
      <c r="F29" s="83">
        <v>15</v>
      </c>
      <c r="G29" s="83"/>
    </row>
    <row r="30" spans="1:7" x14ac:dyDescent="0.25">
      <c r="A30" t="s">
        <v>1560</v>
      </c>
      <c r="B30" s="88">
        <v>939</v>
      </c>
      <c r="C30" s="88">
        <v>49</v>
      </c>
      <c r="D30" s="83">
        <v>22</v>
      </c>
      <c r="E30" s="83"/>
      <c r="F30" s="83">
        <v>954</v>
      </c>
      <c r="G30" s="83">
        <v>47</v>
      </c>
    </row>
    <row r="31" spans="1:7" x14ac:dyDescent="0.25">
      <c r="A31" t="s">
        <v>1549</v>
      </c>
      <c r="B31" s="88">
        <v>132</v>
      </c>
      <c r="C31" s="88">
        <v>9</v>
      </c>
      <c r="D31" s="83">
        <v>8</v>
      </c>
      <c r="E31" s="83">
        <v>1</v>
      </c>
      <c r="F31" s="83">
        <v>139</v>
      </c>
      <c r="G31" s="83">
        <v>10</v>
      </c>
    </row>
    <row r="32" spans="1:7" x14ac:dyDescent="0.25">
      <c r="A32" t="s">
        <v>1591</v>
      </c>
      <c r="B32" s="88">
        <v>95</v>
      </c>
      <c r="C32" s="88"/>
      <c r="D32" s="83">
        <v>6</v>
      </c>
      <c r="E32" s="83"/>
      <c r="F32" s="83">
        <v>99</v>
      </c>
      <c r="G32" s="83"/>
    </row>
    <row r="33" spans="1:7" x14ac:dyDescent="0.25">
      <c r="A33" t="s">
        <v>496</v>
      </c>
      <c r="B33" s="88">
        <v>80</v>
      </c>
      <c r="C33" s="88"/>
      <c r="D33" s="83">
        <v>1</v>
      </c>
      <c r="E33" s="83"/>
      <c r="F33" s="83">
        <v>81</v>
      </c>
      <c r="G33" s="83"/>
    </row>
    <row r="34" spans="1:7" x14ac:dyDescent="0.25">
      <c r="A34" t="s">
        <v>499</v>
      </c>
      <c r="B34" s="88">
        <v>93</v>
      </c>
      <c r="C34" s="88">
        <v>8</v>
      </c>
      <c r="D34" s="83">
        <v>9</v>
      </c>
      <c r="E34" s="83"/>
      <c r="F34" s="83">
        <v>112</v>
      </c>
      <c r="G34" s="83">
        <v>7</v>
      </c>
    </row>
    <row r="35" spans="1:7" x14ac:dyDescent="0.25">
      <c r="A35" t="s">
        <v>505</v>
      </c>
      <c r="B35" s="88">
        <v>28</v>
      </c>
      <c r="C35" s="88"/>
      <c r="D35" s="83"/>
      <c r="E35" s="83"/>
      <c r="F35" s="83">
        <v>31</v>
      </c>
      <c r="G35" s="83"/>
    </row>
    <row r="36" spans="1:7" x14ac:dyDescent="0.25">
      <c r="A36" t="s">
        <v>511</v>
      </c>
      <c r="B36" s="88">
        <v>484</v>
      </c>
      <c r="C36" s="88">
        <v>32</v>
      </c>
      <c r="D36" s="83">
        <v>4</v>
      </c>
      <c r="E36" s="83">
        <v>1</v>
      </c>
      <c r="F36" s="83">
        <v>459</v>
      </c>
      <c r="G36" s="83">
        <v>33</v>
      </c>
    </row>
    <row r="37" spans="1:7" x14ac:dyDescent="0.25">
      <c r="A37" t="s">
        <v>515</v>
      </c>
      <c r="B37" s="88">
        <v>773</v>
      </c>
      <c r="C37" s="88">
        <v>25</v>
      </c>
      <c r="D37" s="83">
        <v>2</v>
      </c>
      <c r="E37" s="83"/>
      <c r="F37" s="83">
        <v>771</v>
      </c>
      <c r="G37" s="83">
        <v>25</v>
      </c>
    </row>
    <row r="38" spans="1:7" x14ac:dyDescent="0.25">
      <c r="A38" t="s">
        <v>518</v>
      </c>
      <c r="B38" s="88">
        <v>69</v>
      </c>
      <c r="C38" s="88">
        <v>3</v>
      </c>
      <c r="D38" s="83">
        <v>2</v>
      </c>
      <c r="E38" s="83"/>
      <c r="F38" s="83">
        <v>64</v>
      </c>
      <c r="G38" s="83">
        <v>3</v>
      </c>
    </row>
    <row r="39" spans="1:7" x14ac:dyDescent="0.25">
      <c r="A39" t="s">
        <v>521</v>
      </c>
      <c r="B39" s="88">
        <v>53</v>
      </c>
      <c r="C39" s="88">
        <v>3</v>
      </c>
      <c r="D39" s="83">
        <v>2</v>
      </c>
      <c r="E39" s="83">
        <v>2</v>
      </c>
      <c r="F39" s="83">
        <v>54</v>
      </c>
      <c r="G39" s="83">
        <v>5</v>
      </c>
    </row>
    <row r="40" spans="1:7" x14ac:dyDescent="0.25">
      <c r="A40" t="s">
        <v>247</v>
      </c>
      <c r="B40" s="88">
        <v>474</v>
      </c>
      <c r="C40" s="88">
        <v>15</v>
      </c>
      <c r="D40" s="83">
        <v>16</v>
      </c>
      <c r="E40" s="83"/>
      <c r="F40" s="83">
        <v>481</v>
      </c>
      <c r="G40" s="83">
        <v>15</v>
      </c>
    </row>
    <row r="41" spans="1:7" x14ac:dyDescent="0.25">
      <c r="A41" t="s">
        <v>1561</v>
      </c>
      <c r="B41" s="88">
        <v>669</v>
      </c>
      <c r="C41" s="88">
        <v>45</v>
      </c>
      <c r="D41" s="83">
        <v>8</v>
      </c>
      <c r="E41" s="83"/>
      <c r="F41" s="83">
        <v>678</v>
      </c>
      <c r="G41" s="83">
        <v>45</v>
      </c>
    </row>
    <row r="42" spans="1:7" x14ac:dyDescent="0.25">
      <c r="A42" t="s">
        <v>1121</v>
      </c>
      <c r="B42" s="88">
        <v>65</v>
      </c>
      <c r="C42" s="88"/>
      <c r="D42" s="83">
        <v>2</v>
      </c>
      <c r="E42" s="83"/>
      <c r="F42" s="83">
        <v>66</v>
      </c>
      <c r="G42" s="83"/>
    </row>
    <row r="43" spans="1:7" x14ac:dyDescent="0.25">
      <c r="A43" t="s">
        <v>1646</v>
      </c>
      <c r="B43" s="88">
        <v>285</v>
      </c>
      <c r="C43" s="88">
        <v>2</v>
      </c>
      <c r="D43" s="83">
        <v>6</v>
      </c>
      <c r="E43" s="83"/>
      <c r="F43" s="83">
        <v>295</v>
      </c>
      <c r="G43" s="83">
        <v>2</v>
      </c>
    </row>
    <row r="44" spans="1:7" x14ac:dyDescent="0.25">
      <c r="A44" t="s">
        <v>1622</v>
      </c>
      <c r="B44" s="88">
        <v>53</v>
      </c>
      <c r="C44" s="88">
        <v>6</v>
      </c>
      <c r="D44" s="83"/>
      <c r="E44" s="83"/>
      <c r="F44" s="83">
        <v>53</v>
      </c>
      <c r="G44" s="83">
        <v>6</v>
      </c>
    </row>
    <row r="45" spans="1:7" x14ac:dyDescent="0.25">
      <c r="A45" t="s">
        <v>1575</v>
      </c>
      <c r="B45" s="88">
        <v>3571</v>
      </c>
      <c r="C45" s="88">
        <v>156</v>
      </c>
      <c r="D45" s="83">
        <v>31</v>
      </c>
      <c r="E45" s="83">
        <v>3</v>
      </c>
      <c r="F45" s="83">
        <v>3595</v>
      </c>
      <c r="G45" s="83">
        <v>158</v>
      </c>
    </row>
    <row r="46" spans="1:7" x14ac:dyDescent="0.25">
      <c r="A46" t="s">
        <v>1124</v>
      </c>
      <c r="B46" s="88">
        <v>217</v>
      </c>
      <c r="C46" s="88">
        <v>7</v>
      </c>
      <c r="D46" s="83">
        <v>1</v>
      </c>
      <c r="E46" s="83"/>
      <c r="F46" s="83">
        <v>219</v>
      </c>
      <c r="G46" s="83">
        <v>7</v>
      </c>
    </row>
    <row r="47" spans="1:7" x14ac:dyDescent="0.25">
      <c r="A47" t="s">
        <v>1127</v>
      </c>
      <c r="B47" s="88">
        <v>136</v>
      </c>
      <c r="C47" s="88">
        <v>2</v>
      </c>
      <c r="D47" s="83">
        <v>3</v>
      </c>
      <c r="E47" s="83"/>
      <c r="F47" s="83">
        <v>136</v>
      </c>
      <c r="G47" s="83">
        <v>2</v>
      </c>
    </row>
    <row r="48" spans="1:7" x14ac:dyDescent="0.25">
      <c r="A48" t="s">
        <v>1587</v>
      </c>
      <c r="B48" s="88">
        <v>49</v>
      </c>
      <c r="C48" s="88">
        <v>1</v>
      </c>
      <c r="D48" s="83">
        <v>1</v>
      </c>
      <c r="E48" s="83"/>
      <c r="F48" s="83">
        <v>53</v>
      </c>
      <c r="G48" s="83">
        <v>1</v>
      </c>
    </row>
    <row r="49" spans="1:7" x14ac:dyDescent="0.25">
      <c r="A49" t="s">
        <v>1129</v>
      </c>
      <c r="B49" s="88">
        <v>72</v>
      </c>
      <c r="C49" s="88">
        <v>3</v>
      </c>
      <c r="D49" s="83">
        <v>4</v>
      </c>
      <c r="E49" s="83"/>
      <c r="F49" s="83">
        <v>77</v>
      </c>
      <c r="G49" s="83">
        <v>3</v>
      </c>
    </row>
    <row r="50" spans="1:7" x14ac:dyDescent="0.25">
      <c r="A50" t="s">
        <v>258</v>
      </c>
      <c r="B50" s="88">
        <v>132</v>
      </c>
      <c r="C50" s="88">
        <v>4</v>
      </c>
      <c r="D50" s="83">
        <v>2</v>
      </c>
      <c r="E50" s="83"/>
      <c r="F50" s="83">
        <v>129</v>
      </c>
      <c r="G50" s="83">
        <v>4</v>
      </c>
    </row>
    <row r="51" spans="1:7" x14ac:dyDescent="0.25">
      <c r="A51" t="s">
        <v>1135</v>
      </c>
      <c r="B51" s="88">
        <v>161</v>
      </c>
      <c r="C51" s="88">
        <v>13</v>
      </c>
      <c r="D51" s="83">
        <v>6</v>
      </c>
      <c r="E51" s="83"/>
      <c r="F51" s="83">
        <v>165</v>
      </c>
      <c r="G51" s="83">
        <v>13</v>
      </c>
    </row>
    <row r="52" spans="1:7" x14ac:dyDescent="0.25">
      <c r="A52" t="s">
        <v>1562</v>
      </c>
      <c r="B52" s="88">
        <v>172</v>
      </c>
      <c r="C52" s="88">
        <v>10</v>
      </c>
      <c r="D52" s="83">
        <v>5</v>
      </c>
      <c r="E52" s="83"/>
      <c r="F52" s="83">
        <v>163</v>
      </c>
      <c r="G52" s="83">
        <v>9</v>
      </c>
    </row>
    <row r="53" spans="1:7" x14ac:dyDescent="0.25">
      <c r="A53" t="s">
        <v>1630</v>
      </c>
      <c r="B53" s="88">
        <v>50</v>
      </c>
      <c r="C53" s="88">
        <v>3</v>
      </c>
      <c r="D53" s="83">
        <v>7</v>
      </c>
      <c r="E53" s="83"/>
      <c r="F53" s="83">
        <v>60</v>
      </c>
      <c r="G53" s="83">
        <v>3</v>
      </c>
    </row>
    <row r="54" spans="1:7" x14ac:dyDescent="0.25">
      <c r="A54" t="s">
        <v>1140</v>
      </c>
      <c r="B54" s="88">
        <v>369</v>
      </c>
      <c r="C54" s="88">
        <v>18</v>
      </c>
      <c r="D54" s="83">
        <v>4</v>
      </c>
      <c r="E54" s="83">
        <v>1</v>
      </c>
      <c r="F54" s="83">
        <v>362</v>
      </c>
      <c r="G54" s="83">
        <v>18</v>
      </c>
    </row>
    <row r="55" spans="1:7" x14ac:dyDescent="0.25">
      <c r="A55" t="s">
        <v>268</v>
      </c>
      <c r="B55" s="88">
        <v>7</v>
      </c>
      <c r="C55" s="88"/>
      <c r="D55" s="83">
        <v>1</v>
      </c>
      <c r="E55" s="83"/>
      <c r="F55" s="83">
        <v>16</v>
      </c>
      <c r="G55" s="83"/>
    </row>
    <row r="56" spans="1:7" x14ac:dyDescent="0.25">
      <c r="A56" t="s">
        <v>851</v>
      </c>
      <c r="B56" s="88">
        <v>226</v>
      </c>
      <c r="C56" s="88"/>
      <c r="D56" s="83">
        <v>17</v>
      </c>
      <c r="E56" s="83"/>
      <c r="F56" s="83">
        <v>235</v>
      </c>
      <c r="G56" s="83"/>
    </row>
    <row r="57" spans="1:7" x14ac:dyDescent="0.25">
      <c r="A57" t="s">
        <v>1143</v>
      </c>
      <c r="B57" s="88">
        <v>329</v>
      </c>
      <c r="C57" s="88">
        <v>22</v>
      </c>
      <c r="D57" s="83">
        <v>4</v>
      </c>
      <c r="E57" s="83">
        <v>1</v>
      </c>
      <c r="F57" s="83">
        <v>334</v>
      </c>
      <c r="G57" s="83">
        <v>24</v>
      </c>
    </row>
    <row r="58" spans="1:7" x14ac:dyDescent="0.25">
      <c r="A58" t="s">
        <v>1633</v>
      </c>
      <c r="B58" s="88">
        <v>25</v>
      </c>
      <c r="C58" s="88">
        <v>2</v>
      </c>
      <c r="D58" s="83"/>
      <c r="E58" s="83"/>
      <c r="F58" s="83">
        <v>30</v>
      </c>
      <c r="G58" s="83">
        <v>3</v>
      </c>
    </row>
    <row r="59" spans="1:7" x14ac:dyDescent="0.25">
      <c r="A59" t="s">
        <v>1146</v>
      </c>
      <c r="B59" s="88">
        <v>11</v>
      </c>
      <c r="C59" s="88"/>
      <c r="D59" s="83">
        <v>1</v>
      </c>
      <c r="E59" s="83"/>
      <c r="F59" s="83">
        <v>13</v>
      </c>
      <c r="G59" s="83"/>
    </row>
    <row r="60" spans="1:7" x14ac:dyDescent="0.25">
      <c r="A60" t="s">
        <v>1149</v>
      </c>
      <c r="B60" s="88">
        <v>46</v>
      </c>
      <c r="C60" s="88">
        <v>3</v>
      </c>
      <c r="D60" s="83"/>
      <c r="E60" s="83"/>
      <c r="F60" s="83">
        <v>42</v>
      </c>
      <c r="G60" s="83">
        <v>3</v>
      </c>
    </row>
    <row r="61" spans="1:7" x14ac:dyDescent="0.25">
      <c r="A61" t="s">
        <v>1628</v>
      </c>
      <c r="B61" s="88">
        <v>239</v>
      </c>
      <c r="C61" s="88">
        <v>17</v>
      </c>
      <c r="D61" s="83"/>
      <c r="E61" s="83"/>
      <c r="F61" s="83">
        <v>237</v>
      </c>
      <c r="G61" s="83">
        <v>15</v>
      </c>
    </row>
    <row r="62" spans="1:7" x14ac:dyDescent="0.25">
      <c r="A62" t="s">
        <v>1152</v>
      </c>
      <c r="B62" s="88">
        <v>22</v>
      </c>
      <c r="C62" s="88">
        <v>2</v>
      </c>
      <c r="D62" s="83">
        <v>1</v>
      </c>
      <c r="E62" s="83"/>
      <c r="F62" s="83">
        <v>25</v>
      </c>
      <c r="G62" s="83">
        <v>5</v>
      </c>
    </row>
    <row r="63" spans="1:7" x14ac:dyDescent="0.25">
      <c r="A63" t="s">
        <v>1579</v>
      </c>
      <c r="B63" s="88">
        <v>1524</v>
      </c>
      <c r="C63" s="88">
        <v>77</v>
      </c>
      <c r="D63" s="83">
        <v>16</v>
      </c>
      <c r="E63" s="83"/>
      <c r="F63" s="83">
        <v>1492</v>
      </c>
      <c r="G63" s="83">
        <v>76</v>
      </c>
    </row>
    <row r="64" spans="1:7" x14ac:dyDescent="0.25">
      <c r="A64" t="s">
        <v>532</v>
      </c>
      <c r="B64" s="88">
        <v>197</v>
      </c>
      <c r="C64" s="88">
        <v>24</v>
      </c>
      <c r="D64" s="83">
        <v>9</v>
      </c>
      <c r="E64" s="83"/>
      <c r="F64" s="83">
        <v>198</v>
      </c>
      <c r="G64" s="83">
        <v>24</v>
      </c>
    </row>
    <row r="65" spans="1:7" x14ac:dyDescent="0.25">
      <c r="A65" t="s">
        <v>538</v>
      </c>
      <c r="B65" s="88">
        <v>263</v>
      </c>
      <c r="C65" s="88">
        <v>16</v>
      </c>
      <c r="D65" s="83">
        <v>17</v>
      </c>
      <c r="E65" s="83"/>
      <c r="F65" s="83">
        <v>278</v>
      </c>
      <c r="G65" s="83">
        <v>16</v>
      </c>
    </row>
    <row r="66" spans="1:7" x14ac:dyDescent="0.25">
      <c r="A66" t="s">
        <v>541</v>
      </c>
      <c r="B66" s="88">
        <v>67</v>
      </c>
      <c r="C66" s="88">
        <v>3</v>
      </c>
      <c r="D66" s="83"/>
      <c r="E66" s="83"/>
      <c r="F66" s="83">
        <v>67</v>
      </c>
      <c r="G66" s="83">
        <v>3</v>
      </c>
    </row>
    <row r="67" spans="1:7" x14ac:dyDescent="0.25">
      <c r="A67" t="s">
        <v>1155</v>
      </c>
      <c r="B67" s="88">
        <v>8</v>
      </c>
      <c r="C67" s="88"/>
      <c r="D67" s="83">
        <v>1</v>
      </c>
      <c r="E67" s="83"/>
      <c r="F67" s="83">
        <v>11</v>
      </c>
      <c r="G67" s="83"/>
    </row>
    <row r="68" spans="1:7" x14ac:dyDescent="0.25">
      <c r="A68" t="s">
        <v>861</v>
      </c>
      <c r="B68" s="88">
        <v>416</v>
      </c>
      <c r="C68" s="88">
        <v>24</v>
      </c>
      <c r="D68" s="83">
        <v>5</v>
      </c>
      <c r="E68" s="83"/>
      <c r="F68" s="83">
        <v>425</v>
      </c>
      <c r="G68" s="83">
        <v>25</v>
      </c>
    </row>
    <row r="69" spans="1:7" x14ac:dyDescent="0.25">
      <c r="A69" t="s">
        <v>1636</v>
      </c>
      <c r="B69" s="88">
        <v>10</v>
      </c>
      <c r="C69" s="88"/>
      <c r="D69" s="83">
        <v>1</v>
      </c>
      <c r="E69" s="83"/>
      <c r="F69" s="83">
        <v>11</v>
      </c>
      <c r="G69" s="83"/>
    </row>
    <row r="70" spans="1:7" x14ac:dyDescent="0.25">
      <c r="A70" t="s">
        <v>1571</v>
      </c>
      <c r="B70" s="88">
        <v>820</v>
      </c>
      <c r="C70" s="88">
        <v>34</v>
      </c>
      <c r="D70" s="83">
        <v>24</v>
      </c>
      <c r="E70" s="83">
        <v>2</v>
      </c>
      <c r="F70" s="83">
        <v>829</v>
      </c>
      <c r="G70" s="83">
        <v>31</v>
      </c>
    </row>
    <row r="71" spans="1:7" x14ac:dyDescent="0.25">
      <c r="A71" t="s">
        <v>543</v>
      </c>
      <c r="B71" s="88">
        <v>303</v>
      </c>
      <c r="C71" s="88">
        <v>20</v>
      </c>
      <c r="D71" s="83">
        <v>7</v>
      </c>
      <c r="E71" s="83">
        <v>1</v>
      </c>
      <c r="F71" s="83">
        <v>315</v>
      </c>
      <c r="G71" s="83">
        <v>21</v>
      </c>
    </row>
    <row r="72" spans="1:7" x14ac:dyDescent="0.25">
      <c r="A72" t="s">
        <v>1612</v>
      </c>
      <c r="B72" s="88">
        <v>19</v>
      </c>
      <c r="C72" s="88">
        <v>3</v>
      </c>
      <c r="D72" s="83">
        <v>3</v>
      </c>
      <c r="E72" s="83"/>
      <c r="F72" s="83">
        <v>23</v>
      </c>
      <c r="G72" s="83">
        <v>3</v>
      </c>
    </row>
    <row r="73" spans="1:7" x14ac:dyDescent="0.25">
      <c r="A73" t="s">
        <v>548</v>
      </c>
      <c r="B73" s="88">
        <v>8</v>
      </c>
      <c r="C73" s="88"/>
      <c r="D73" s="83"/>
      <c r="E73" s="83"/>
      <c r="F73" s="83">
        <v>8</v>
      </c>
      <c r="G73" s="83"/>
    </row>
    <row r="74" spans="1:7" x14ac:dyDescent="0.25">
      <c r="A74" t="s">
        <v>1590</v>
      </c>
      <c r="B74" s="88">
        <v>975</v>
      </c>
      <c r="C74" s="88">
        <v>53</v>
      </c>
      <c r="D74" s="83">
        <v>7</v>
      </c>
      <c r="E74" s="83"/>
      <c r="F74" s="83">
        <v>975</v>
      </c>
      <c r="G74" s="83">
        <v>52</v>
      </c>
    </row>
    <row r="75" spans="1:7" x14ac:dyDescent="0.25">
      <c r="A75" t="s">
        <v>1601</v>
      </c>
      <c r="B75" s="88">
        <v>965</v>
      </c>
      <c r="C75" s="88">
        <v>46</v>
      </c>
      <c r="D75" s="83">
        <v>17</v>
      </c>
      <c r="E75" s="83"/>
      <c r="F75" s="83">
        <v>971</v>
      </c>
      <c r="G75" s="83">
        <v>46</v>
      </c>
    </row>
    <row r="76" spans="1:7" x14ac:dyDescent="0.25">
      <c r="A76" t="s">
        <v>551</v>
      </c>
      <c r="B76" s="88">
        <v>87</v>
      </c>
      <c r="C76" s="88">
        <v>2</v>
      </c>
      <c r="D76" s="83">
        <v>1</v>
      </c>
      <c r="E76" s="83"/>
      <c r="F76" s="83">
        <v>92</v>
      </c>
      <c r="G76" s="83">
        <v>2</v>
      </c>
    </row>
    <row r="77" spans="1:7" x14ac:dyDescent="0.25">
      <c r="A77" t="s">
        <v>554</v>
      </c>
      <c r="B77" s="88">
        <v>8</v>
      </c>
      <c r="C77" s="88"/>
      <c r="D77" s="83">
        <v>1</v>
      </c>
      <c r="E77" s="83"/>
      <c r="F77" s="83">
        <v>9</v>
      </c>
      <c r="G77" s="83"/>
    </row>
    <row r="78" spans="1:7" x14ac:dyDescent="0.25">
      <c r="A78" t="s">
        <v>557</v>
      </c>
      <c r="B78" s="88">
        <v>16</v>
      </c>
      <c r="C78" s="88"/>
      <c r="D78" s="83"/>
      <c r="E78" s="83"/>
      <c r="F78" s="83">
        <v>18</v>
      </c>
      <c r="G78" s="83"/>
    </row>
    <row r="79" spans="1:7" x14ac:dyDescent="0.25">
      <c r="A79" t="s">
        <v>560</v>
      </c>
      <c r="B79" s="88">
        <v>19</v>
      </c>
      <c r="C79" s="88"/>
      <c r="D79" s="83">
        <v>1</v>
      </c>
      <c r="E79" s="83"/>
      <c r="F79" s="83">
        <v>21</v>
      </c>
      <c r="G79" s="83"/>
    </row>
    <row r="80" spans="1:7" x14ac:dyDescent="0.25">
      <c r="A80" t="s">
        <v>1553</v>
      </c>
      <c r="B80" s="88">
        <v>11</v>
      </c>
      <c r="C80" s="88"/>
      <c r="D80" s="83">
        <v>1</v>
      </c>
      <c r="E80" s="83"/>
      <c r="F80" s="83">
        <v>10</v>
      </c>
      <c r="G80" s="83"/>
    </row>
    <row r="81" spans="1:7" x14ac:dyDescent="0.25">
      <c r="A81" t="s">
        <v>569</v>
      </c>
      <c r="B81" s="88">
        <v>40</v>
      </c>
      <c r="C81" s="88">
        <v>2</v>
      </c>
      <c r="D81" s="83">
        <v>1</v>
      </c>
      <c r="E81" s="83"/>
      <c r="F81" s="83">
        <v>41</v>
      </c>
      <c r="G81" s="83">
        <v>2</v>
      </c>
    </row>
    <row r="82" spans="1:7" x14ac:dyDescent="0.25">
      <c r="A82" t="s">
        <v>1577</v>
      </c>
      <c r="B82" s="88">
        <v>5</v>
      </c>
      <c r="C82" s="88"/>
      <c r="D82" s="83"/>
      <c r="E82" s="83"/>
      <c r="F82" s="83">
        <v>5</v>
      </c>
      <c r="G82" s="83"/>
    </row>
    <row r="83" spans="1:7" x14ac:dyDescent="0.25">
      <c r="A83" t="s">
        <v>1570</v>
      </c>
      <c r="B83" s="88">
        <v>579</v>
      </c>
      <c r="C83" s="88">
        <v>20</v>
      </c>
      <c r="D83" s="83">
        <v>2</v>
      </c>
      <c r="E83" s="83"/>
      <c r="F83" s="83">
        <v>581</v>
      </c>
      <c r="G83" s="83">
        <v>19</v>
      </c>
    </row>
    <row r="84" spans="1:7" x14ac:dyDescent="0.25">
      <c r="A84" t="s">
        <v>578</v>
      </c>
      <c r="B84" s="88">
        <v>40</v>
      </c>
      <c r="C84" s="88">
        <v>1</v>
      </c>
      <c r="D84" s="83">
        <v>1</v>
      </c>
      <c r="E84" s="83"/>
      <c r="F84" s="83">
        <v>43</v>
      </c>
      <c r="G84" s="83">
        <v>1</v>
      </c>
    </row>
    <row r="85" spans="1:7" x14ac:dyDescent="0.25">
      <c r="A85" t="s">
        <v>878</v>
      </c>
      <c r="B85" s="88">
        <v>160</v>
      </c>
      <c r="C85" s="88">
        <v>16</v>
      </c>
      <c r="D85" s="83">
        <v>1</v>
      </c>
      <c r="E85" s="83">
        <v>1</v>
      </c>
      <c r="F85" s="83">
        <v>165</v>
      </c>
      <c r="G85" s="83">
        <v>15</v>
      </c>
    </row>
    <row r="86" spans="1:7" x14ac:dyDescent="0.25">
      <c r="A86" t="s">
        <v>1162</v>
      </c>
      <c r="B86" s="88">
        <v>9</v>
      </c>
      <c r="C86" s="88">
        <v>3</v>
      </c>
      <c r="D86" s="83"/>
      <c r="E86" s="83"/>
      <c r="F86" s="83">
        <v>10</v>
      </c>
      <c r="G86" s="83">
        <v>3</v>
      </c>
    </row>
    <row r="87" spans="1:7" x14ac:dyDescent="0.25">
      <c r="A87" t="s">
        <v>279</v>
      </c>
      <c r="B87" s="88">
        <v>1551</v>
      </c>
      <c r="C87" s="88">
        <v>58</v>
      </c>
      <c r="D87" s="83">
        <v>35</v>
      </c>
      <c r="E87" s="83"/>
      <c r="F87" s="83">
        <v>1580</v>
      </c>
      <c r="G87" s="83">
        <v>57</v>
      </c>
    </row>
    <row r="88" spans="1:7" x14ac:dyDescent="0.25">
      <c r="A88" t="s">
        <v>1558</v>
      </c>
      <c r="B88" s="88">
        <v>23</v>
      </c>
      <c r="C88" s="88"/>
      <c r="D88" s="83"/>
      <c r="E88" s="83"/>
      <c r="F88" s="83">
        <v>26</v>
      </c>
      <c r="G88" s="83"/>
    </row>
    <row r="89" spans="1:7" x14ac:dyDescent="0.25">
      <c r="A89" t="s">
        <v>285</v>
      </c>
      <c r="B89" s="88">
        <v>73</v>
      </c>
      <c r="C89" s="88">
        <v>6</v>
      </c>
      <c r="D89" s="83">
        <v>1</v>
      </c>
      <c r="E89" s="83">
        <v>1</v>
      </c>
      <c r="F89" s="83">
        <v>73</v>
      </c>
      <c r="G89" s="83">
        <v>7</v>
      </c>
    </row>
    <row r="90" spans="1:7" x14ac:dyDescent="0.25">
      <c r="A90" t="s">
        <v>288</v>
      </c>
      <c r="B90" s="88">
        <v>775</v>
      </c>
      <c r="C90" s="88">
        <v>38</v>
      </c>
      <c r="D90" s="83">
        <v>7</v>
      </c>
      <c r="E90" s="83">
        <v>1</v>
      </c>
      <c r="F90" s="83">
        <v>780</v>
      </c>
      <c r="G90" s="83">
        <v>38</v>
      </c>
    </row>
    <row r="91" spans="1:7" x14ac:dyDescent="0.25">
      <c r="A91" t="s">
        <v>1599</v>
      </c>
      <c r="B91" s="88">
        <v>343</v>
      </c>
      <c r="C91" s="88">
        <v>15</v>
      </c>
      <c r="D91" s="83">
        <v>6</v>
      </c>
      <c r="E91" s="83"/>
      <c r="F91" s="83">
        <v>343</v>
      </c>
      <c r="G91" s="83">
        <v>14</v>
      </c>
    </row>
    <row r="92" spans="1:7" x14ac:dyDescent="0.25">
      <c r="A92" t="s">
        <v>886</v>
      </c>
      <c r="B92" s="88">
        <v>529</v>
      </c>
      <c r="C92" s="88">
        <v>35</v>
      </c>
      <c r="D92" s="83">
        <v>4</v>
      </c>
      <c r="E92" s="83"/>
      <c r="F92" s="83">
        <v>531</v>
      </c>
      <c r="G92" s="83">
        <v>34</v>
      </c>
    </row>
    <row r="93" spans="1:7" x14ac:dyDescent="0.25">
      <c r="A93" t="s">
        <v>1165</v>
      </c>
      <c r="B93" s="88">
        <v>111</v>
      </c>
      <c r="C93" s="88"/>
      <c r="D93" s="83">
        <v>1</v>
      </c>
      <c r="E93" s="83"/>
      <c r="F93" s="83">
        <v>111</v>
      </c>
      <c r="G93" s="83"/>
    </row>
    <row r="94" spans="1:7" x14ac:dyDescent="0.25">
      <c r="A94" t="s">
        <v>1595</v>
      </c>
      <c r="B94" s="88">
        <v>2505</v>
      </c>
      <c r="C94" s="88">
        <v>182</v>
      </c>
      <c r="D94" s="83">
        <v>7</v>
      </c>
      <c r="E94" s="83"/>
      <c r="F94" s="83">
        <v>2489</v>
      </c>
      <c r="G94" s="83">
        <v>181</v>
      </c>
    </row>
    <row r="95" spans="1:7" x14ac:dyDescent="0.25">
      <c r="A95" t="s">
        <v>581</v>
      </c>
      <c r="B95" s="88">
        <v>45</v>
      </c>
      <c r="C95" s="88">
        <v>4</v>
      </c>
      <c r="D95" s="83">
        <v>5</v>
      </c>
      <c r="E95" s="83">
        <v>1</v>
      </c>
      <c r="F95" s="83">
        <v>49</v>
      </c>
      <c r="G95" s="83">
        <v>5</v>
      </c>
    </row>
    <row r="96" spans="1:7" x14ac:dyDescent="0.25">
      <c r="A96" t="s">
        <v>892</v>
      </c>
      <c r="B96" s="88">
        <v>491</v>
      </c>
      <c r="C96" s="88">
        <v>29</v>
      </c>
      <c r="D96" s="83">
        <v>5</v>
      </c>
      <c r="E96" s="83"/>
      <c r="F96" s="83">
        <v>500</v>
      </c>
      <c r="G96" s="83">
        <v>28</v>
      </c>
    </row>
    <row r="97" spans="1:7" x14ac:dyDescent="0.25">
      <c r="A97" t="s">
        <v>294</v>
      </c>
      <c r="B97" s="88">
        <v>80</v>
      </c>
      <c r="C97" s="88">
        <v>6</v>
      </c>
      <c r="D97" s="83">
        <v>5</v>
      </c>
      <c r="E97" s="83"/>
      <c r="F97" s="83">
        <v>83</v>
      </c>
      <c r="G97" s="83">
        <v>6</v>
      </c>
    </row>
    <row r="98" spans="1:7" x14ac:dyDescent="0.25">
      <c r="A98" t="s">
        <v>1576</v>
      </c>
      <c r="B98" s="88">
        <v>23</v>
      </c>
      <c r="C98" s="88"/>
      <c r="D98" s="83"/>
      <c r="E98" s="83"/>
      <c r="F98" s="83">
        <v>16</v>
      </c>
      <c r="G98" s="83"/>
    </row>
    <row r="99" spans="1:7" x14ac:dyDescent="0.25">
      <c r="A99" t="s">
        <v>586</v>
      </c>
      <c r="B99" s="88">
        <v>477</v>
      </c>
      <c r="C99" s="88">
        <v>23</v>
      </c>
      <c r="D99" s="83">
        <v>12</v>
      </c>
      <c r="E99" s="83"/>
      <c r="F99" s="83">
        <v>498</v>
      </c>
      <c r="G99" s="83">
        <v>23</v>
      </c>
    </row>
    <row r="100" spans="1:7" x14ac:dyDescent="0.25">
      <c r="A100" t="s">
        <v>589</v>
      </c>
      <c r="B100" s="88">
        <v>396</v>
      </c>
      <c r="C100" s="88">
        <v>27</v>
      </c>
      <c r="D100" s="83">
        <v>9</v>
      </c>
      <c r="E100" s="83"/>
      <c r="F100" s="83">
        <v>406</v>
      </c>
      <c r="G100" s="83">
        <v>27</v>
      </c>
    </row>
    <row r="101" spans="1:7" x14ac:dyDescent="0.25">
      <c r="A101" t="s">
        <v>1624</v>
      </c>
      <c r="B101" s="88">
        <v>1189</v>
      </c>
      <c r="C101" s="88">
        <v>71</v>
      </c>
      <c r="D101" s="83">
        <v>20</v>
      </c>
      <c r="E101" s="83"/>
      <c r="F101" s="83">
        <v>1217</v>
      </c>
      <c r="G101" s="83">
        <v>70</v>
      </c>
    </row>
    <row r="102" spans="1:7" x14ac:dyDescent="0.25">
      <c r="A102" t="s">
        <v>1578</v>
      </c>
      <c r="B102" s="88">
        <v>837</v>
      </c>
      <c r="C102" s="88">
        <v>20</v>
      </c>
      <c r="D102" s="83">
        <v>8</v>
      </c>
      <c r="E102" s="83"/>
      <c r="F102" s="83">
        <v>843</v>
      </c>
      <c r="G102" s="83">
        <v>17</v>
      </c>
    </row>
    <row r="103" spans="1:7" x14ac:dyDescent="0.25">
      <c r="A103" t="s">
        <v>1567</v>
      </c>
      <c r="B103" s="88">
        <v>349</v>
      </c>
      <c r="C103" s="88">
        <v>18</v>
      </c>
      <c r="D103" s="83">
        <v>5</v>
      </c>
      <c r="E103" s="83"/>
      <c r="F103" s="83">
        <v>356</v>
      </c>
      <c r="G103" s="83">
        <v>18</v>
      </c>
    </row>
    <row r="104" spans="1:7" x14ac:dyDescent="0.25">
      <c r="A104" t="s">
        <v>1552</v>
      </c>
      <c r="B104" s="88">
        <v>815</v>
      </c>
      <c r="C104" s="88">
        <v>44</v>
      </c>
      <c r="D104" s="83">
        <v>8</v>
      </c>
      <c r="E104" s="83"/>
      <c r="F104" s="83">
        <v>817</v>
      </c>
      <c r="G104" s="83">
        <v>44</v>
      </c>
    </row>
    <row r="105" spans="1:7" x14ac:dyDescent="0.25">
      <c r="A105" t="s">
        <v>591</v>
      </c>
      <c r="B105" s="88">
        <v>4</v>
      </c>
      <c r="C105" s="88"/>
      <c r="D105" s="83"/>
      <c r="E105" s="83"/>
      <c r="F105" s="83">
        <v>4</v>
      </c>
      <c r="G105" s="83"/>
    </row>
    <row r="106" spans="1:7" x14ac:dyDescent="0.25">
      <c r="A106" t="s">
        <v>907</v>
      </c>
      <c r="B106" s="88">
        <v>21</v>
      </c>
      <c r="C106" s="88"/>
      <c r="D106" s="83"/>
      <c r="E106" s="83"/>
      <c r="F106" s="83">
        <v>19</v>
      </c>
      <c r="G106" s="83"/>
    </row>
    <row r="107" spans="1:7" x14ac:dyDescent="0.25">
      <c r="A107" t="s">
        <v>910</v>
      </c>
      <c r="B107" s="88">
        <v>218</v>
      </c>
      <c r="C107" s="88">
        <v>7</v>
      </c>
      <c r="D107" s="83">
        <v>1</v>
      </c>
      <c r="E107" s="83"/>
      <c r="F107" s="83">
        <v>231</v>
      </c>
      <c r="G107" s="83">
        <v>9</v>
      </c>
    </row>
    <row r="108" spans="1:7" x14ac:dyDescent="0.25">
      <c r="A108" t="s">
        <v>913</v>
      </c>
      <c r="B108" s="88">
        <v>81</v>
      </c>
      <c r="C108" s="88">
        <v>8</v>
      </c>
      <c r="D108" s="83">
        <v>1</v>
      </c>
      <c r="E108" s="83"/>
      <c r="F108" s="83">
        <v>80</v>
      </c>
      <c r="G108" s="83">
        <v>7</v>
      </c>
    </row>
    <row r="109" spans="1:7" x14ac:dyDescent="0.25">
      <c r="A109" t="s">
        <v>297</v>
      </c>
      <c r="B109" s="88">
        <v>190</v>
      </c>
      <c r="C109" s="88">
        <v>3</v>
      </c>
      <c r="D109" s="83">
        <v>7</v>
      </c>
      <c r="E109" s="83"/>
      <c r="F109" s="83">
        <v>199</v>
      </c>
      <c r="G109" s="83">
        <v>3</v>
      </c>
    </row>
    <row r="110" spans="1:7" x14ac:dyDescent="0.25">
      <c r="A110" t="s">
        <v>1171</v>
      </c>
      <c r="B110" s="88">
        <v>254</v>
      </c>
      <c r="C110" s="88">
        <v>11</v>
      </c>
      <c r="D110" s="83">
        <v>8</v>
      </c>
      <c r="E110" s="83"/>
      <c r="F110" s="83">
        <v>260</v>
      </c>
      <c r="G110" s="83">
        <v>10</v>
      </c>
    </row>
    <row r="111" spans="1:7" x14ac:dyDescent="0.25">
      <c r="A111" t="s">
        <v>916</v>
      </c>
      <c r="B111" s="88">
        <v>11</v>
      </c>
      <c r="C111" s="88"/>
      <c r="D111" s="83">
        <v>1</v>
      </c>
      <c r="E111" s="83"/>
      <c r="F111" s="83">
        <v>12</v>
      </c>
      <c r="G111" s="83"/>
    </row>
    <row r="112" spans="1:7" x14ac:dyDescent="0.25">
      <c r="A112" t="s">
        <v>919</v>
      </c>
      <c r="B112" s="88">
        <v>84</v>
      </c>
      <c r="C112" s="88">
        <v>7</v>
      </c>
      <c r="D112" s="83">
        <v>1</v>
      </c>
      <c r="E112" s="83"/>
      <c r="F112" s="83">
        <v>86</v>
      </c>
      <c r="G112" s="83">
        <v>7</v>
      </c>
    </row>
    <row r="113" spans="1:7" x14ac:dyDescent="0.25">
      <c r="A113" t="s">
        <v>597</v>
      </c>
      <c r="B113" s="88">
        <v>161</v>
      </c>
      <c r="C113" s="88">
        <v>3</v>
      </c>
      <c r="D113" s="83">
        <v>4</v>
      </c>
      <c r="E113" s="83"/>
      <c r="F113" s="83">
        <v>165</v>
      </c>
      <c r="G113" s="83">
        <v>3</v>
      </c>
    </row>
    <row r="114" spans="1:7" x14ac:dyDescent="0.25">
      <c r="A114" t="s">
        <v>603</v>
      </c>
      <c r="B114" s="88">
        <v>170</v>
      </c>
      <c r="C114" s="88">
        <v>2</v>
      </c>
      <c r="D114" s="83">
        <v>5</v>
      </c>
      <c r="E114" s="83"/>
      <c r="F114" s="83">
        <v>168</v>
      </c>
      <c r="G114" s="83">
        <v>2</v>
      </c>
    </row>
    <row r="115" spans="1:7" x14ac:dyDescent="0.25">
      <c r="A115" t="s">
        <v>1582</v>
      </c>
      <c r="B115" s="88">
        <v>839</v>
      </c>
      <c r="C115" s="88">
        <v>48</v>
      </c>
      <c r="D115" s="83">
        <v>7</v>
      </c>
      <c r="E115" s="83"/>
      <c r="F115" s="83">
        <v>841</v>
      </c>
      <c r="G115" s="83">
        <v>48</v>
      </c>
    </row>
    <row r="116" spans="1:7" x14ac:dyDescent="0.25">
      <c r="A116" t="s">
        <v>928</v>
      </c>
      <c r="B116" s="88">
        <v>11</v>
      </c>
      <c r="C116" s="88"/>
      <c r="D116" s="83"/>
      <c r="E116" s="83"/>
      <c r="F116" s="83">
        <v>11</v>
      </c>
      <c r="G116" s="83"/>
    </row>
    <row r="117" spans="1:7" x14ac:dyDescent="0.25">
      <c r="A117" t="s">
        <v>1572</v>
      </c>
      <c r="B117" s="88">
        <v>193</v>
      </c>
      <c r="C117" s="88"/>
      <c r="D117" s="83">
        <v>4</v>
      </c>
      <c r="E117" s="83"/>
      <c r="F117" s="83">
        <v>190</v>
      </c>
      <c r="G117" s="83"/>
    </row>
    <row r="118" spans="1:7" x14ac:dyDescent="0.25">
      <c r="A118" t="s">
        <v>1174</v>
      </c>
      <c r="B118" s="88">
        <v>7</v>
      </c>
      <c r="C118" s="88"/>
      <c r="D118" s="83"/>
      <c r="E118" s="83"/>
      <c r="F118" s="83">
        <v>8</v>
      </c>
      <c r="G118" s="83"/>
    </row>
    <row r="119" spans="1:7" x14ac:dyDescent="0.25">
      <c r="A119" t="s">
        <v>1177</v>
      </c>
      <c r="B119" s="88">
        <v>14</v>
      </c>
      <c r="C119" s="88">
        <v>3</v>
      </c>
      <c r="D119" s="83"/>
      <c r="E119" s="83"/>
      <c r="F119" s="83">
        <v>14</v>
      </c>
      <c r="G119" s="83">
        <v>3</v>
      </c>
    </row>
    <row r="120" spans="1:7" x14ac:dyDescent="0.25">
      <c r="A120" t="s">
        <v>606</v>
      </c>
      <c r="B120" s="88">
        <v>16</v>
      </c>
      <c r="C120" s="88">
        <v>5</v>
      </c>
      <c r="D120" s="83">
        <v>1</v>
      </c>
      <c r="E120" s="83"/>
      <c r="F120" s="83">
        <v>17</v>
      </c>
      <c r="G120" s="83">
        <v>5</v>
      </c>
    </row>
    <row r="121" spans="1:7" x14ac:dyDescent="0.25">
      <c r="A121" t="s">
        <v>609</v>
      </c>
      <c r="B121" s="88">
        <v>30</v>
      </c>
      <c r="C121" s="88"/>
      <c r="D121" s="83"/>
      <c r="E121" s="83"/>
      <c r="F121" s="83">
        <v>30</v>
      </c>
      <c r="G121" s="83"/>
    </row>
    <row r="122" spans="1:7" x14ac:dyDescent="0.25">
      <c r="A122" t="s">
        <v>300</v>
      </c>
      <c r="B122" s="88">
        <v>14</v>
      </c>
      <c r="C122" s="88"/>
      <c r="D122" s="83">
        <v>4</v>
      </c>
      <c r="E122" s="83"/>
      <c r="F122" s="83">
        <v>16</v>
      </c>
      <c r="G122" s="83"/>
    </row>
    <row r="123" spans="1:7" x14ac:dyDescent="0.25">
      <c r="A123" t="s">
        <v>1180</v>
      </c>
      <c r="B123" s="88">
        <v>43</v>
      </c>
      <c r="C123" s="88"/>
      <c r="D123" s="83"/>
      <c r="E123" s="83"/>
      <c r="F123" s="83">
        <v>47</v>
      </c>
      <c r="G123" s="83">
        <v>1</v>
      </c>
    </row>
    <row r="124" spans="1:7" x14ac:dyDescent="0.25">
      <c r="A124" t="s">
        <v>1183</v>
      </c>
      <c r="B124" s="88">
        <v>114</v>
      </c>
      <c r="C124" s="88">
        <v>8</v>
      </c>
      <c r="D124" s="83">
        <v>1</v>
      </c>
      <c r="E124" s="83"/>
      <c r="F124" s="83">
        <v>116</v>
      </c>
      <c r="G124" s="83">
        <v>8</v>
      </c>
    </row>
    <row r="125" spans="1:7" x14ac:dyDescent="0.25">
      <c r="A125" t="s">
        <v>1668</v>
      </c>
      <c r="B125" s="88">
        <v>8</v>
      </c>
      <c r="C125" s="88"/>
      <c r="D125" s="83">
        <v>1</v>
      </c>
      <c r="E125" s="83"/>
      <c r="F125" s="83">
        <v>9</v>
      </c>
      <c r="G125" s="83"/>
    </row>
    <row r="126" spans="1:7" x14ac:dyDescent="0.25">
      <c r="A126" t="s">
        <v>303</v>
      </c>
      <c r="B126" s="88">
        <v>56</v>
      </c>
      <c r="C126" s="88">
        <v>1</v>
      </c>
      <c r="D126" s="83"/>
      <c r="E126" s="83"/>
      <c r="F126" s="83">
        <v>56</v>
      </c>
      <c r="G126" s="83">
        <v>1</v>
      </c>
    </row>
    <row r="127" spans="1:7" x14ac:dyDescent="0.25">
      <c r="A127" t="s">
        <v>1188</v>
      </c>
      <c r="B127" s="88">
        <v>27</v>
      </c>
      <c r="C127" s="88"/>
      <c r="D127" s="83"/>
      <c r="E127" s="83"/>
      <c r="F127" s="83">
        <v>31</v>
      </c>
      <c r="G127" s="83">
        <v>1</v>
      </c>
    </row>
    <row r="128" spans="1:7" x14ac:dyDescent="0.25">
      <c r="A128" t="s">
        <v>1604</v>
      </c>
      <c r="B128" s="88">
        <v>166</v>
      </c>
      <c r="C128" s="88">
        <v>11</v>
      </c>
      <c r="D128" s="83">
        <v>1</v>
      </c>
      <c r="E128" s="83"/>
      <c r="F128" s="83">
        <v>166</v>
      </c>
      <c r="G128" s="83">
        <v>10</v>
      </c>
    </row>
    <row r="129" spans="1:7" x14ac:dyDescent="0.25">
      <c r="A129" t="s">
        <v>307</v>
      </c>
      <c r="B129" s="88">
        <v>551</v>
      </c>
      <c r="C129" s="88">
        <v>20</v>
      </c>
      <c r="D129" s="83">
        <v>4</v>
      </c>
      <c r="E129" s="83"/>
      <c r="F129" s="83">
        <v>538</v>
      </c>
      <c r="G129" s="83">
        <v>20</v>
      </c>
    </row>
    <row r="130" spans="1:7" x14ac:dyDescent="0.25">
      <c r="A130" t="s">
        <v>934</v>
      </c>
      <c r="B130" s="88">
        <v>370</v>
      </c>
      <c r="C130" s="88">
        <v>33</v>
      </c>
      <c r="D130" s="83">
        <v>2</v>
      </c>
      <c r="E130" s="83"/>
      <c r="F130" s="83">
        <v>370</v>
      </c>
      <c r="G130" s="83">
        <v>33</v>
      </c>
    </row>
    <row r="131" spans="1:7" x14ac:dyDescent="0.25">
      <c r="A131" t="s">
        <v>937</v>
      </c>
      <c r="B131" s="88">
        <v>558</v>
      </c>
      <c r="C131" s="88">
        <v>38</v>
      </c>
      <c r="D131" s="83">
        <v>5</v>
      </c>
      <c r="E131" s="83"/>
      <c r="F131" s="83">
        <v>560</v>
      </c>
      <c r="G131" s="83">
        <v>37</v>
      </c>
    </row>
    <row r="132" spans="1:7" x14ac:dyDescent="0.25">
      <c r="A132" t="s">
        <v>1565</v>
      </c>
      <c r="B132" s="88">
        <v>181</v>
      </c>
      <c r="C132" s="88">
        <v>14</v>
      </c>
      <c r="D132" s="83">
        <v>1</v>
      </c>
      <c r="E132" s="83"/>
      <c r="F132" s="83">
        <v>176</v>
      </c>
      <c r="G132" s="83">
        <v>13</v>
      </c>
    </row>
    <row r="133" spans="1:7" x14ac:dyDescent="0.25">
      <c r="A133" t="s">
        <v>940</v>
      </c>
      <c r="B133" s="88">
        <v>205</v>
      </c>
      <c r="C133" s="88">
        <v>16</v>
      </c>
      <c r="D133" s="83">
        <v>1</v>
      </c>
      <c r="E133" s="83"/>
      <c r="F133" s="83">
        <v>206</v>
      </c>
      <c r="G133" s="83">
        <v>16</v>
      </c>
    </row>
    <row r="134" spans="1:7" x14ac:dyDescent="0.25">
      <c r="A134" t="s">
        <v>943</v>
      </c>
      <c r="B134" s="88">
        <v>182</v>
      </c>
      <c r="C134" s="88">
        <v>7</v>
      </c>
      <c r="D134" s="83"/>
      <c r="E134" s="83"/>
      <c r="F134" s="83">
        <v>182</v>
      </c>
      <c r="G134" s="83">
        <v>7</v>
      </c>
    </row>
    <row r="135" spans="1:7" x14ac:dyDescent="0.25">
      <c r="A135" t="s">
        <v>1191</v>
      </c>
      <c r="B135" s="88">
        <v>22</v>
      </c>
      <c r="C135" s="88"/>
      <c r="D135" s="83"/>
      <c r="E135" s="83"/>
      <c r="F135" s="83">
        <v>22</v>
      </c>
      <c r="G135" s="83"/>
    </row>
    <row r="136" spans="1:7" x14ac:dyDescent="0.25">
      <c r="A136" t="s">
        <v>1639</v>
      </c>
      <c r="B136" s="88">
        <v>1404</v>
      </c>
      <c r="C136" s="88">
        <v>97</v>
      </c>
      <c r="D136" s="83">
        <v>17</v>
      </c>
      <c r="E136" s="83"/>
      <c r="F136" s="83">
        <v>1408</v>
      </c>
      <c r="G136" s="83">
        <v>94</v>
      </c>
    </row>
    <row r="137" spans="1:7" x14ac:dyDescent="0.25">
      <c r="A137" t="s">
        <v>617</v>
      </c>
      <c r="B137" s="88">
        <v>8</v>
      </c>
      <c r="C137" s="88"/>
      <c r="D137" s="83"/>
      <c r="E137" s="83"/>
      <c r="F137" s="83">
        <v>9</v>
      </c>
      <c r="G137" s="83"/>
    </row>
    <row r="138" spans="1:7" x14ac:dyDescent="0.25">
      <c r="A138" t="s">
        <v>1619</v>
      </c>
      <c r="B138" s="88">
        <v>955</v>
      </c>
      <c r="C138" s="88">
        <v>62</v>
      </c>
      <c r="D138" s="83">
        <v>12</v>
      </c>
      <c r="E138" s="83">
        <v>1</v>
      </c>
      <c r="F138" s="83">
        <v>990</v>
      </c>
      <c r="G138" s="83">
        <v>63</v>
      </c>
    </row>
    <row r="139" spans="1:7" x14ac:dyDescent="0.25">
      <c r="A139" t="s">
        <v>946</v>
      </c>
      <c r="B139" s="88">
        <v>70</v>
      </c>
      <c r="C139" s="88"/>
      <c r="D139" s="83">
        <v>29</v>
      </c>
      <c r="E139" s="83"/>
      <c r="F139" s="83">
        <v>98</v>
      </c>
      <c r="G139" s="83"/>
    </row>
    <row r="140" spans="1:7" x14ac:dyDescent="0.25">
      <c r="A140" t="s">
        <v>1568</v>
      </c>
      <c r="B140" s="88">
        <v>167</v>
      </c>
      <c r="C140" s="88">
        <v>21</v>
      </c>
      <c r="D140" s="83">
        <v>5</v>
      </c>
      <c r="E140" s="83"/>
      <c r="F140" s="83">
        <v>168</v>
      </c>
      <c r="G140" s="83">
        <v>21</v>
      </c>
    </row>
    <row r="141" spans="1:7" x14ac:dyDescent="0.25">
      <c r="A141" t="s">
        <v>949</v>
      </c>
      <c r="B141" s="88">
        <v>26</v>
      </c>
      <c r="C141" s="88"/>
      <c r="D141" s="83"/>
      <c r="E141" s="83"/>
      <c r="F141" s="83">
        <v>26</v>
      </c>
      <c r="G141" s="83"/>
    </row>
    <row r="142" spans="1:7" x14ac:dyDescent="0.25">
      <c r="A142" t="s">
        <v>1197</v>
      </c>
      <c r="B142" s="88">
        <v>13</v>
      </c>
      <c r="C142" s="88">
        <v>2</v>
      </c>
      <c r="D142" s="83">
        <v>1</v>
      </c>
      <c r="E142" s="83"/>
      <c r="F142" s="83">
        <v>14</v>
      </c>
      <c r="G142" s="83">
        <v>2</v>
      </c>
    </row>
    <row r="143" spans="1:7" x14ac:dyDescent="0.25">
      <c r="A143" t="s">
        <v>629</v>
      </c>
      <c r="B143" s="88">
        <v>52</v>
      </c>
      <c r="C143" s="88">
        <v>3</v>
      </c>
      <c r="D143" s="83">
        <v>4</v>
      </c>
      <c r="E143" s="83">
        <v>1</v>
      </c>
      <c r="F143" s="83">
        <v>57</v>
      </c>
      <c r="G143" s="83">
        <v>4</v>
      </c>
    </row>
    <row r="144" spans="1:7" x14ac:dyDescent="0.25">
      <c r="A144" t="s">
        <v>632</v>
      </c>
      <c r="B144" s="88">
        <v>40</v>
      </c>
      <c r="C144" s="88">
        <v>1</v>
      </c>
      <c r="D144" s="83"/>
      <c r="E144" s="83"/>
      <c r="F144" s="83">
        <v>38</v>
      </c>
      <c r="G144" s="83">
        <v>1</v>
      </c>
    </row>
    <row r="145" spans="1:7" x14ac:dyDescent="0.25">
      <c r="A145" t="s">
        <v>1203</v>
      </c>
      <c r="B145" s="88">
        <v>6</v>
      </c>
      <c r="C145" s="88"/>
      <c r="D145" s="83"/>
      <c r="E145" s="83"/>
      <c r="F145" s="83">
        <v>9</v>
      </c>
      <c r="G145" s="83"/>
    </row>
    <row r="146" spans="1:7" x14ac:dyDescent="0.25">
      <c r="A146" t="s">
        <v>310</v>
      </c>
      <c r="B146" s="88">
        <v>44</v>
      </c>
      <c r="C146" s="88">
        <v>2</v>
      </c>
      <c r="D146" s="83"/>
      <c r="E146" s="83"/>
      <c r="F146" s="83">
        <v>46</v>
      </c>
      <c r="G146" s="83">
        <v>3</v>
      </c>
    </row>
    <row r="147" spans="1:7" x14ac:dyDescent="0.25">
      <c r="A147" t="s">
        <v>952</v>
      </c>
      <c r="B147" s="88">
        <v>58</v>
      </c>
      <c r="C147" s="88">
        <v>7</v>
      </c>
      <c r="D147" s="83">
        <v>2</v>
      </c>
      <c r="E147" s="83"/>
      <c r="F147" s="83">
        <v>60</v>
      </c>
      <c r="G147" s="83">
        <v>5</v>
      </c>
    </row>
    <row r="148" spans="1:7" x14ac:dyDescent="0.25">
      <c r="A148" t="s">
        <v>312</v>
      </c>
      <c r="B148" s="88">
        <v>2022</v>
      </c>
      <c r="C148" s="88">
        <v>78</v>
      </c>
      <c r="D148" s="83">
        <v>23</v>
      </c>
      <c r="E148" s="83"/>
      <c r="F148" s="83">
        <v>1934</v>
      </c>
      <c r="G148" s="83">
        <v>66</v>
      </c>
    </row>
    <row r="149" spans="1:7" x14ac:dyDescent="0.25">
      <c r="A149" t="s">
        <v>1597</v>
      </c>
      <c r="B149" s="88">
        <v>46</v>
      </c>
      <c r="C149" s="88">
        <v>4</v>
      </c>
      <c r="D149" s="83"/>
      <c r="E149" s="83"/>
      <c r="F149" s="83">
        <v>42</v>
      </c>
      <c r="G149" s="83">
        <v>4</v>
      </c>
    </row>
    <row r="150" spans="1:7" x14ac:dyDescent="0.25">
      <c r="A150" t="s">
        <v>315</v>
      </c>
      <c r="B150" s="88">
        <v>51</v>
      </c>
      <c r="C150" s="88">
        <v>2</v>
      </c>
      <c r="D150" s="83"/>
      <c r="E150" s="83"/>
      <c r="F150" s="83">
        <v>54</v>
      </c>
      <c r="G150" s="83">
        <v>2</v>
      </c>
    </row>
    <row r="151" spans="1:7" x14ac:dyDescent="0.25">
      <c r="A151" t="s">
        <v>318</v>
      </c>
      <c r="B151" s="88">
        <v>85</v>
      </c>
      <c r="C151" s="88">
        <v>14</v>
      </c>
      <c r="D151" s="83">
        <v>1</v>
      </c>
      <c r="E151" s="83"/>
      <c r="F151" s="83">
        <v>79</v>
      </c>
      <c r="G151" s="83">
        <v>13</v>
      </c>
    </row>
    <row r="152" spans="1:7" x14ac:dyDescent="0.25">
      <c r="A152" t="s">
        <v>321</v>
      </c>
      <c r="B152" s="88">
        <v>270</v>
      </c>
      <c r="C152" s="88">
        <v>33</v>
      </c>
      <c r="D152" s="83">
        <v>4</v>
      </c>
      <c r="E152" s="83">
        <v>1</v>
      </c>
      <c r="F152" s="83">
        <v>274</v>
      </c>
      <c r="G152" s="83">
        <v>32</v>
      </c>
    </row>
    <row r="153" spans="1:7" x14ac:dyDescent="0.25">
      <c r="A153" t="s">
        <v>641</v>
      </c>
      <c r="B153" s="88">
        <v>266</v>
      </c>
      <c r="C153" s="88">
        <v>16</v>
      </c>
      <c r="D153" s="83">
        <v>1</v>
      </c>
      <c r="E153" s="83"/>
      <c r="F153" s="83">
        <v>263</v>
      </c>
      <c r="G153" s="83">
        <v>17</v>
      </c>
    </row>
    <row r="154" spans="1:7" x14ac:dyDescent="0.25">
      <c r="A154" t="s">
        <v>1634</v>
      </c>
      <c r="B154" s="88">
        <v>16</v>
      </c>
      <c r="C154" s="88"/>
      <c r="D154" s="83">
        <v>1</v>
      </c>
      <c r="E154" s="83"/>
      <c r="F154" s="83">
        <v>19</v>
      </c>
      <c r="G154" s="83"/>
    </row>
    <row r="155" spans="1:7" x14ac:dyDescent="0.25">
      <c r="A155" t="s">
        <v>957</v>
      </c>
      <c r="B155" s="88">
        <v>20</v>
      </c>
      <c r="C155" s="88"/>
      <c r="D155" s="83">
        <v>1</v>
      </c>
      <c r="E155" s="83"/>
      <c r="F155" s="83">
        <v>21</v>
      </c>
      <c r="G155" s="83"/>
    </row>
    <row r="156" spans="1:7" x14ac:dyDescent="0.25">
      <c r="A156" t="s">
        <v>1631</v>
      </c>
      <c r="B156" s="88">
        <v>705</v>
      </c>
      <c r="C156" s="88">
        <v>27</v>
      </c>
      <c r="D156" s="83">
        <v>3</v>
      </c>
      <c r="E156" s="83">
        <v>1</v>
      </c>
      <c r="F156" s="83">
        <v>705</v>
      </c>
      <c r="G156" s="83">
        <v>29</v>
      </c>
    </row>
    <row r="157" spans="1:7" x14ac:dyDescent="0.25">
      <c r="A157" t="s">
        <v>1208</v>
      </c>
      <c r="B157" s="88">
        <v>91</v>
      </c>
      <c r="C157" s="88">
        <v>13</v>
      </c>
      <c r="D157" s="83"/>
      <c r="E157" s="83"/>
      <c r="F157" s="83">
        <v>89</v>
      </c>
      <c r="G157" s="83">
        <v>13</v>
      </c>
    </row>
    <row r="158" spans="1:7" x14ac:dyDescent="0.25">
      <c r="A158" t="s">
        <v>1211</v>
      </c>
      <c r="B158" s="88">
        <v>692</v>
      </c>
      <c r="C158" s="88">
        <v>43</v>
      </c>
      <c r="D158" s="83">
        <v>11</v>
      </c>
      <c r="E158" s="83"/>
      <c r="F158" s="83">
        <v>695</v>
      </c>
      <c r="G158" s="83">
        <v>41</v>
      </c>
    </row>
    <row r="159" spans="1:7" x14ac:dyDescent="0.25">
      <c r="A159" t="s">
        <v>1641</v>
      </c>
      <c r="B159" s="88">
        <v>6</v>
      </c>
      <c r="C159" s="88"/>
      <c r="D159" s="83">
        <v>1</v>
      </c>
      <c r="E159" s="83"/>
      <c r="F159" s="83">
        <v>8</v>
      </c>
      <c r="G159" s="83"/>
    </row>
    <row r="160" spans="1:7" x14ac:dyDescent="0.25">
      <c r="A160" t="s">
        <v>962</v>
      </c>
      <c r="B160" s="88">
        <v>31</v>
      </c>
      <c r="C160" s="88">
        <v>1</v>
      </c>
      <c r="D160" s="83">
        <v>2</v>
      </c>
      <c r="E160" s="83"/>
      <c r="F160" s="83">
        <v>42</v>
      </c>
      <c r="G160" s="83">
        <v>1</v>
      </c>
    </row>
    <row r="161" spans="1:7" x14ac:dyDescent="0.25">
      <c r="A161" t="s">
        <v>964</v>
      </c>
      <c r="B161" s="88">
        <v>1213</v>
      </c>
      <c r="C161" s="88">
        <v>42</v>
      </c>
      <c r="D161" s="83">
        <v>16</v>
      </c>
      <c r="E161" s="83">
        <v>1</v>
      </c>
      <c r="F161" s="83">
        <v>1225</v>
      </c>
      <c r="G161" s="83">
        <v>41</v>
      </c>
    </row>
    <row r="162" spans="1:7" x14ac:dyDescent="0.25">
      <c r="A162" t="s">
        <v>967</v>
      </c>
      <c r="B162" s="88">
        <v>10</v>
      </c>
      <c r="C162" s="88"/>
      <c r="D162" s="83"/>
      <c r="E162" s="83"/>
      <c r="F162" s="83">
        <v>10</v>
      </c>
      <c r="G162" s="83"/>
    </row>
    <row r="163" spans="1:7" x14ac:dyDescent="0.25">
      <c r="A163" t="s">
        <v>970</v>
      </c>
      <c r="B163" s="88">
        <v>19</v>
      </c>
      <c r="C163" s="88"/>
      <c r="D163" s="83"/>
      <c r="E163" s="83"/>
      <c r="F163" s="83">
        <v>20</v>
      </c>
      <c r="G163" s="83"/>
    </row>
    <row r="164" spans="1:7" x14ac:dyDescent="0.25">
      <c r="A164" t="s">
        <v>972</v>
      </c>
      <c r="B164" s="88">
        <v>123</v>
      </c>
      <c r="C164" s="88">
        <v>16</v>
      </c>
      <c r="D164" s="83"/>
      <c r="E164" s="83"/>
      <c r="F164" s="83">
        <v>127</v>
      </c>
      <c r="G164" s="83">
        <v>15</v>
      </c>
    </row>
    <row r="165" spans="1:7" x14ac:dyDescent="0.25">
      <c r="A165" t="s">
        <v>327</v>
      </c>
      <c r="B165" s="88">
        <v>40</v>
      </c>
      <c r="C165" s="88">
        <v>4</v>
      </c>
      <c r="D165" s="83">
        <v>2</v>
      </c>
      <c r="E165" s="83"/>
      <c r="F165" s="83">
        <v>43</v>
      </c>
      <c r="G165" s="83">
        <v>4</v>
      </c>
    </row>
    <row r="166" spans="1:7" x14ac:dyDescent="0.25">
      <c r="A166" t="s">
        <v>1632</v>
      </c>
      <c r="B166" s="88">
        <v>3543</v>
      </c>
      <c r="C166" s="88">
        <v>159</v>
      </c>
      <c r="D166" s="83">
        <v>51</v>
      </c>
      <c r="E166" s="83">
        <v>3</v>
      </c>
      <c r="F166" s="83">
        <v>3566</v>
      </c>
      <c r="G166" s="83">
        <v>159</v>
      </c>
    </row>
    <row r="167" spans="1:7" x14ac:dyDescent="0.25">
      <c r="A167" t="s">
        <v>330</v>
      </c>
      <c r="B167" s="88">
        <v>134</v>
      </c>
      <c r="C167" s="88">
        <v>6</v>
      </c>
      <c r="D167" s="83">
        <v>6</v>
      </c>
      <c r="E167" s="83"/>
      <c r="F167" s="83">
        <v>140</v>
      </c>
      <c r="G167" s="83">
        <v>6</v>
      </c>
    </row>
    <row r="168" spans="1:7" x14ac:dyDescent="0.25">
      <c r="A168" t="s">
        <v>333</v>
      </c>
      <c r="B168" s="88">
        <v>39</v>
      </c>
      <c r="C168" s="88">
        <v>6</v>
      </c>
      <c r="D168" s="83"/>
      <c r="E168" s="83">
        <v>1</v>
      </c>
      <c r="F168" s="83">
        <v>42</v>
      </c>
      <c r="G168" s="83">
        <v>7</v>
      </c>
    </row>
    <row r="169" spans="1:7" x14ac:dyDescent="0.25">
      <c r="A169" t="s">
        <v>1213</v>
      </c>
      <c r="B169" s="88">
        <v>15</v>
      </c>
      <c r="C169" s="88"/>
      <c r="D169" s="83"/>
      <c r="E169" s="83"/>
      <c r="F169" s="83">
        <v>15</v>
      </c>
      <c r="G169" s="83"/>
    </row>
    <row r="170" spans="1:7" x14ac:dyDescent="0.25">
      <c r="A170" t="s">
        <v>1216</v>
      </c>
      <c r="B170" s="88">
        <v>75</v>
      </c>
      <c r="C170" s="88">
        <v>7</v>
      </c>
      <c r="D170" s="83"/>
      <c r="E170" s="83"/>
      <c r="F170" s="83">
        <v>76</v>
      </c>
      <c r="G170" s="83">
        <v>7</v>
      </c>
    </row>
    <row r="171" spans="1:7" x14ac:dyDescent="0.25">
      <c r="A171" t="s">
        <v>656</v>
      </c>
      <c r="B171" s="88">
        <v>81</v>
      </c>
      <c r="C171" s="88">
        <v>4</v>
      </c>
      <c r="D171" s="83">
        <v>3</v>
      </c>
      <c r="E171" s="83"/>
      <c r="F171" s="83">
        <v>84</v>
      </c>
      <c r="G171" s="83">
        <v>4</v>
      </c>
    </row>
    <row r="172" spans="1:7" x14ac:dyDescent="0.25">
      <c r="A172" t="s">
        <v>1617</v>
      </c>
      <c r="B172" s="88">
        <v>228</v>
      </c>
      <c r="C172" s="88">
        <v>10</v>
      </c>
      <c r="D172" s="83">
        <v>5</v>
      </c>
      <c r="E172" s="83"/>
      <c r="F172" s="83">
        <v>226</v>
      </c>
      <c r="G172" s="83">
        <v>10</v>
      </c>
    </row>
    <row r="173" spans="1:7" x14ac:dyDescent="0.25">
      <c r="A173" t="s">
        <v>976</v>
      </c>
      <c r="B173" s="88">
        <v>19</v>
      </c>
      <c r="C173" s="88"/>
      <c r="D173" s="83"/>
      <c r="E173" s="83"/>
      <c r="F173" s="83">
        <v>40</v>
      </c>
      <c r="G173" s="83"/>
    </row>
    <row r="174" spans="1:7" x14ac:dyDescent="0.25">
      <c r="A174" t="s">
        <v>1551</v>
      </c>
      <c r="B174" s="88">
        <v>958</v>
      </c>
      <c r="C174" s="88">
        <v>46</v>
      </c>
      <c r="D174" s="83">
        <v>5</v>
      </c>
      <c r="E174" s="83"/>
      <c r="F174" s="83">
        <v>959</v>
      </c>
      <c r="G174" s="83">
        <v>46</v>
      </c>
    </row>
    <row r="175" spans="1:7" x14ac:dyDescent="0.25">
      <c r="A175" t="s">
        <v>1221</v>
      </c>
      <c r="B175" s="88">
        <v>28</v>
      </c>
      <c r="C175" s="88">
        <v>1</v>
      </c>
      <c r="D175" s="83"/>
      <c r="E175" s="83"/>
      <c r="F175" s="83">
        <v>30</v>
      </c>
      <c r="G175" s="83">
        <v>1</v>
      </c>
    </row>
    <row r="176" spans="1:7" x14ac:dyDescent="0.25">
      <c r="A176" t="s">
        <v>339</v>
      </c>
      <c r="B176" s="88">
        <v>56</v>
      </c>
      <c r="C176" s="88">
        <v>3</v>
      </c>
      <c r="D176" s="83">
        <v>1</v>
      </c>
      <c r="E176" s="83"/>
      <c r="F176" s="83">
        <v>59</v>
      </c>
      <c r="G176" s="83">
        <v>1</v>
      </c>
    </row>
    <row r="177" spans="1:7" x14ac:dyDescent="0.25">
      <c r="A177" t="s">
        <v>982</v>
      </c>
      <c r="B177" s="88">
        <v>217</v>
      </c>
      <c r="C177" s="88">
        <v>18</v>
      </c>
      <c r="D177" s="83">
        <v>2</v>
      </c>
      <c r="E177" s="83"/>
      <c r="F177" s="83">
        <v>219</v>
      </c>
      <c r="G177" s="83">
        <v>17</v>
      </c>
    </row>
    <row r="178" spans="1:7" x14ac:dyDescent="0.25">
      <c r="A178" t="s">
        <v>1224</v>
      </c>
      <c r="B178" s="88">
        <v>296</v>
      </c>
      <c r="C178" s="88">
        <v>21</v>
      </c>
      <c r="D178" s="83">
        <v>10</v>
      </c>
      <c r="E178" s="83"/>
      <c r="F178" s="83">
        <v>302</v>
      </c>
      <c r="G178" s="83">
        <v>21</v>
      </c>
    </row>
    <row r="179" spans="1:7" x14ac:dyDescent="0.25">
      <c r="A179" t="s">
        <v>665</v>
      </c>
      <c r="B179" s="88">
        <v>359</v>
      </c>
      <c r="C179" s="88">
        <v>33</v>
      </c>
      <c r="D179" s="83">
        <v>3</v>
      </c>
      <c r="E179" s="83"/>
      <c r="F179" s="83">
        <v>363</v>
      </c>
      <c r="G179" s="83">
        <v>33</v>
      </c>
    </row>
    <row r="180" spans="1:7" x14ac:dyDescent="0.25">
      <c r="A180" t="s">
        <v>1598</v>
      </c>
      <c r="B180" s="88">
        <v>3542</v>
      </c>
      <c r="C180" s="88">
        <v>125</v>
      </c>
      <c r="D180" s="83">
        <v>17</v>
      </c>
      <c r="E180" s="83"/>
      <c r="F180" s="83">
        <v>3541</v>
      </c>
      <c r="G180" s="83">
        <v>123</v>
      </c>
    </row>
    <row r="181" spans="1:7" x14ac:dyDescent="0.25">
      <c r="A181" t="s">
        <v>671</v>
      </c>
      <c r="B181" s="88">
        <v>26</v>
      </c>
      <c r="C181" s="88">
        <v>1</v>
      </c>
      <c r="D181" s="83">
        <v>2</v>
      </c>
      <c r="E181" s="83"/>
      <c r="F181" s="83">
        <v>25</v>
      </c>
      <c r="G181" s="83">
        <v>1</v>
      </c>
    </row>
    <row r="182" spans="1:7" x14ac:dyDescent="0.25">
      <c r="A182" t="s">
        <v>674</v>
      </c>
      <c r="B182" s="88">
        <v>110</v>
      </c>
      <c r="C182" s="88">
        <v>8</v>
      </c>
      <c r="D182" s="83">
        <v>1</v>
      </c>
      <c r="E182" s="83">
        <v>1</v>
      </c>
      <c r="F182" s="83">
        <v>116</v>
      </c>
      <c r="G182" s="83">
        <v>8</v>
      </c>
    </row>
    <row r="183" spans="1:7" x14ac:dyDescent="0.25">
      <c r="A183" t="s">
        <v>342</v>
      </c>
      <c r="B183" s="88">
        <v>189</v>
      </c>
      <c r="C183" s="88">
        <v>12</v>
      </c>
      <c r="D183" s="83">
        <v>2</v>
      </c>
      <c r="E183" s="83"/>
      <c r="F183" s="83">
        <v>192</v>
      </c>
      <c r="G183" s="83">
        <v>12</v>
      </c>
    </row>
    <row r="184" spans="1:7" x14ac:dyDescent="0.25">
      <c r="A184" t="s">
        <v>1603</v>
      </c>
      <c r="B184" s="88">
        <v>406</v>
      </c>
      <c r="C184" s="88">
        <v>24</v>
      </c>
      <c r="D184" s="83">
        <v>5</v>
      </c>
      <c r="E184" s="83"/>
      <c r="F184" s="83">
        <v>402</v>
      </c>
      <c r="G184" s="83">
        <v>24</v>
      </c>
    </row>
    <row r="185" spans="1:7" x14ac:dyDescent="0.25">
      <c r="A185" t="s">
        <v>345</v>
      </c>
      <c r="B185" s="88">
        <v>139</v>
      </c>
      <c r="C185" s="88">
        <v>12</v>
      </c>
      <c r="D185" s="83">
        <v>1</v>
      </c>
      <c r="E185" s="83"/>
      <c r="F185" s="83">
        <v>142</v>
      </c>
      <c r="G185" s="83">
        <v>13</v>
      </c>
    </row>
    <row r="186" spans="1:7" x14ac:dyDescent="0.25">
      <c r="A186" t="s">
        <v>1613</v>
      </c>
      <c r="B186" s="88">
        <v>68</v>
      </c>
      <c r="C186" s="88"/>
      <c r="D186" s="83">
        <v>2</v>
      </c>
      <c r="E186" s="83"/>
      <c r="F186" s="83">
        <v>69</v>
      </c>
      <c r="G186" s="83">
        <v>1</v>
      </c>
    </row>
    <row r="187" spans="1:7" x14ac:dyDescent="0.25">
      <c r="A187" t="s">
        <v>1614</v>
      </c>
      <c r="B187" s="88">
        <v>1507</v>
      </c>
      <c r="C187" s="88">
        <v>58</v>
      </c>
      <c r="D187" s="83">
        <v>12</v>
      </c>
      <c r="E187" s="83">
        <v>1</v>
      </c>
      <c r="F187" s="83">
        <v>1504</v>
      </c>
      <c r="G187" s="83">
        <v>56</v>
      </c>
    </row>
    <row r="188" spans="1:7" x14ac:dyDescent="0.25">
      <c r="A188" t="s">
        <v>677</v>
      </c>
      <c r="B188" s="88">
        <v>23</v>
      </c>
      <c r="C188" s="88">
        <v>1</v>
      </c>
      <c r="D188" s="83">
        <v>1</v>
      </c>
      <c r="E188" s="83"/>
      <c r="F188" s="83">
        <v>16</v>
      </c>
      <c r="G188" s="83">
        <v>1</v>
      </c>
    </row>
    <row r="189" spans="1:7" x14ac:dyDescent="0.25">
      <c r="A189" t="s">
        <v>680</v>
      </c>
      <c r="B189" s="88">
        <v>57</v>
      </c>
      <c r="C189" s="88">
        <v>6</v>
      </c>
      <c r="D189" s="83">
        <v>7</v>
      </c>
      <c r="E189" s="83"/>
      <c r="F189" s="83">
        <v>61</v>
      </c>
      <c r="G189" s="83">
        <v>6</v>
      </c>
    </row>
    <row r="190" spans="1:7" x14ac:dyDescent="0.25">
      <c r="A190" t="s">
        <v>1584</v>
      </c>
      <c r="B190" s="88">
        <v>1421</v>
      </c>
      <c r="C190" s="88">
        <v>32</v>
      </c>
      <c r="D190" s="83">
        <v>14</v>
      </c>
      <c r="E190" s="83"/>
      <c r="F190" s="83">
        <v>1415</v>
      </c>
      <c r="G190" s="83">
        <v>29</v>
      </c>
    </row>
    <row r="191" spans="1:7" x14ac:dyDescent="0.25">
      <c r="A191" t="s">
        <v>1643</v>
      </c>
      <c r="B191" s="88">
        <v>908</v>
      </c>
      <c r="C191" s="88">
        <v>49</v>
      </c>
      <c r="D191" s="83">
        <v>7</v>
      </c>
      <c r="E191" s="83"/>
      <c r="F191" s="83">
        <v>904</v>
      </c>
      <c r="G191" s="83">
        <v>49</v>
      </c>
    </row>
    <row r="192" spans="1:7" x14ac:dyDescent="0.25">
      <c r="A192" t="s">
        <v>1559</v>
      </c>
      <c r="B192" s="88">
        <v>558</v>
      </c>
      <c r="C192" s="88">
        <v>30</v>
      </c>
      <c r="D192" s="83">
        <v>16</v>
      </c>
      <c r="E192" s="83"/>
      <c r="F192" s="83">
        <v>590</v>
      </c>
      <c r="G192" s="83">
        <v>30</v>
      </c>
    </row>
    <row r="193" spans="1:7" x14ac:dyDescent="0.25">
      <c r="A193" t="s">
        <v>689</v>
      </c>
      <c r="B193" s="88">
        <v>4</v>
      </c>
      <c r="C193" s="88"/>
      <c r="D193" s="83"/>
      <c r="E193" s="83"/>
      <c r="F193" s="83">
        <v>14</v>
      </c>
      <c r="G193" s="83"/>
    </row>
    <row r="194" spans="1:7" x14ac:dyDescent="0.25">
      <c r="A194" t="s">
        <v>351</v>
      </c>
      <c r="B194" s="88">
        <v>20</v>
      </c>
      <c r="C194" s="88">
        <v>2</v>
      </c>
      <c r="D194" s="83"/>
      <c r="E194" s="83"/>
      <c r="F194" s="83">
        <v>19</v>
      </c>
      <c r="G194" s="83">
        <v>2</v>
      </c>
    </row>
    <row r="195" spans="1:7" x14ac:dyDescent="0.25">
      <c r="A195" t="s">
        <v>691</v>
      </c>
      <c r="B195" s="88">
        <v>33</v>
      </c>
      <c r="C195" s="88"/>
      <c r="D195" s="83">
        <v>1</v>
      </c>
      <c r="E195" s="83"/>
      <c r="F195" s="83">
        <v>34</v>
      </c>
      <c r="G195" s="83"/>
    </row>
    <row r="196" spans="1:7" x14ac:dyDescent="0.25">
      <c r="A196" t="s">
        <v>694</v>
      </c>
      <c r="B196" s="88">
        <v>618</v>
      </c>
      <c r="C196" s="88">
        <v>47</v>
      </c>
      <c r="D196" s="83">
        <v>10</v>
      </c>
      <c r="E196" s="83">
        <v>1</v>
      </c>
      <c r="F196" s="83">
        <v>625</v>
      </c>
      <c r="G196" s="83">
        <v>47</v>
      </c>
    </row>
    <row r="197" spans="1:7" x14ac:dyDescent="0.25">
      <c r="A197" t="s">
        <v>697</v>
      </c>
      <c r="B197" s="88">
        <v>656</v>
      </c>
      <c r="C197" s="88">
        <v>52</v>
      </c>
      <c r="D197" s="83">
        <v>13</v>
      </c>
      <c r="E197" s="83">
        <v>2</v>
      </c>
      <c r="F197" s="83">
        <v>663</v>
      </c>
      <c r="G197" s="83">
        <v>53</v>
      </c>
    </row>
    <row r="198" spans="1:7" x14ac:dyDescent="0.25">
      <c r="A198" t="s">
        <v>700</v>
      </c>
      <c r="B198" s="88">
        <v>241</v>
      </c>
      <c r="C198" s="88">
        <v>25</v>
      </c>
      <c r="D198" s="83">
        <v>4</v>
      </c>
      <c r="E198" s="83">
        <v>1</v>
      </c>
      <c r="F198" s="83">
        <v>243</v>
      </c>
      <c r="G198" s="83">
        <v>27</v>
      </c>
    </row>
    <row r="199" spans="1:7" x14ac:dyDescent="0.25">
      <c r="A199" t="s">
        <v>354</v>
      </c>
      <c r="B199" s="88">
        <v>159</v>
      </c>
      <c r="C199" s="88">
        <v>3</v>
      </c>
      <c r="D199" s="83">
        <v>7</v>
      </c>
      <c r="E199" s="83"/>
      <c r="F199" s="83">
        <v>163</v>
      </c>
      <c r="G199" s="83">
        <v>3</v>
      </c>
    </row>
    <row r="200" spans="1:7" x14ac:dyDescent="0.25">
      <c r="A200" t="s">
        <v>703</v>
      </c>
      <c r="B200" s="88">
        <v>12</v>
      </c>
      <c r="C200" s="88">
        <v>2</v>
      </c>
      <c r="D200" s="83">
        <v>3</v>
      </c>
      <c r="E200" s="83">
        <v>1</v>
      </c>
      <c r="F200" s="83">
        <v>16</v>
      </c>
      <c r="G200" s="83">
        <v>3</v>
      </c>
    </row>
    <row r="201" spans="1:7" x14ac:dyDescent="0.25">
      <c r="A201" t="s">
        <v>1629</v>
      </c>
      <c r="B201" s="88">
        <v>280</v>
      </c>
      <c r="C201" s="88">
        <v>10</v>
      </c>
      <c r="D201" s="83">
        <v>6</v>
      </c>
      <c r="E201" s="83"/>
      <c r="F201" s="83">
        <v>286</v>
      </c>
      <c r="G201" s="83">
        <v>11</v>
      </c>
    </row>
    <row r="202" spans="1:7" x14ac:dyDescent="0.25">
      <c r="A202" t="s">
        <v>987</v>
      </c>
      <c r="B202" s="88">
        <v>66</v>
      </c>
      <c r="C202" s="88">
        <v>2</v>
      </c>
      <c r="D202" s="83">
        <v>2</v>
      </c>
      <c r="E202" s="83"/>
      <c r="F202" s="83">
        <v>81</v>
      </c>
      <c r="G202" s="83">
        <v>3</v>
      </c>
    </row>
    <row r="203" spans="1:7" x14ac:dyDescent="0.25">
      <c r="A203" t="s">
        <v>706</v>
      </c>
      <c r="B203" s="88">
        <v>19</v>
      </c>
      <c r="C203" s="88"/>
      <c r="D203" s="83">
        <v>3</v>
      </c>
      <c r="E203" s="83"/>
      <c r="F203" s="83">
        <v>22</v>
      </c>
      <c r="G203" s="83"/>
    </row>
    <row r="204" spans="1:7" x14ac:dyDescent="0.25">
      <c r="A204" t="s">
        <v>708</v>
      </c>
      <c r="B204" s="88">
        <v>29</v>
      </c>
      <c r="C204" s="88"/>
      <c r="D204" s="83"/>
      <c r="E204" s="83"/>
      <c r="F204" s="83">
        <v>30</v>
      </c>
      <c r="G204" s="83"/>
    </row>
    <row r="205" spans="1:7" x14ac:dyDescent="0.25">
      <c r="A205" t="s">
        <v>710</v>
      </c>
      <c r="B205" s="88">
        <v>22</v>
      </c>
      <c r="C205" s="88"/>
      <c r="D205" s="83"/>
      <c r="E205" s="83"/>
      <c r="F205" s="83">
        <v>21</v>
      </c>
      <c r="G205" s="83"/>
    </row>
    <row r="206" spans="1:7" x14ac:dyDescent="0.25">
      <c r="A206" t="s">
        <v>1616</v>
      </c>
      <c r="B206" s="88">
        <v>1473</v>
      </c>
      <c r="C206" s="88">
        <v>74</v>
      </c>
      <c r="D206" s="83">
        <v>17</v>
      </c>
      <c r="E206" s="83"/>
      <c r="F206" s="83">
        <v>1477</v>
      </c>
      <c r="G206" s="83">
        <v>71</v>
      </c>
    </row>
    <row r="207" spans="1:7" x14ac:dyDescent="0.25">
      <c r="A207" t="s">
        <v>716</v>
      </c>
      <c r="B207" s="88">
        <v>578</v>
      </c>
      <c r="C207" s="88">
        <v>43</v>
      </c>
      <c r="D207" s="83">
        <v>14</v>
      </c>
      <c r="E207" s="83">
        <v>2</v>
      </c>
      <c r="F207" s="83">
        <v>596</v>
      </c>
      <c r="G207" s="83">
        <v>46</v>
      </c>
    </row>
    <row r="208" spans="1:7" x14ac:dyDescent="0.25">
      <c r="A208" t="s">
        <v>719</v>
      </c>
      <c r="B208" s="88">
        <v>177</v>
      </c>
      <c r="C208" s="88">
        <v>10</v>
      </c>
      <c r="D208" s="83">
        <v>8</v>
      </c>
      <c r="E208" s="83">
        <v>1</v>
      </c>
      <c r="F208" s="83">
        <v>183</v>
      </c>
      <c r="G208" s="83">
        <v>11</v>
      </c>
    </row>
    <row r="209" spans="1:7" x14ac:dyDescent="0.25">
      <c r="A209" t="s">
        <v>990</v>
      </c>
      <c r="B209" s="88">
        <v>105</v>
      </c>
      <c r="C209" s="88">
        <v>2</v>
      </c>
      <c r="D209" s="83">
        <v>14</v>
      </c>
      <c r="E209" s="83"/>
      <c r="F209" s="83">
        <v>118</v>
      </c>
      <c r="G209" s="83">
        <v>2</v>
      </c>
    </row>
    <row r="210" spans="1:7" x14ac:dyDescent="0.25">
      <c r="A210" t="s">
        <v>725</v>
      </c>
      <c r="B210" s="88"/>
      <c r="C210" s="88"/>
      <c r="D210" s="83"/>
      <c r="E210" s="83"/>
      <c r="F210" s="83">
        <v>6</v>
      </c>
      <c r="G210" s="83"/>
    </row>
    <row r="211" spans="1:7" x14ac:dyDescent="0.25">
      <c r="A211" t="s">
        <v>1233</v>
      </c>
      <c r="B211" s="88">
        <v>76</v>
      </c>
      <c r="C211" s="88">
        <v>3</v>
      </c>
      <c r="D211" s="83">
        <v>1</v>
      </c>
      <c r="E211" s="83"/>
      <c r="F211" s="83">
        <v>74</v>
      </c>
      <c r="G211" s="83">
        <v>3</v>
      </c>
    </row>
    <row r="212" spans="1:7" x14ac:dyDescent="0.25">
      <c r="A212" t="s">
        <v>1574</v>
      </c>
      <c r="B212" s="88">
        <v>2078</v>
      </c>
      <c r="C212" s="88">
        <v>92</v>
      </c>
      <c r="D212" s="83">
        <v>17</v>
      </c>
      <c r="E212" s="83">
        <v>1</v>
      </c>
      <c r="F212" s="83">
        <v>2068</v>
      </c>
      <c r="G212" s="83">
        <v>93</v>
      </c>
    </row>
    <row r="213" spans="1:7" x14ac:dyDescent="0.25">
      <c r="A213" t="s">
        <v>992</v>
      </c>
      <c r="B213" s="88">
        <v>19</v>
      </c>
      <c r="C213" s="88"/>
      <c r="D213" s="83"/>
      <c r="E213" s="83"/>
      <c r="F213" s="83">
        <v>19</v>
      </c>
      <c r="G213" s="83"/>
    </row>
    <row r="214" spans="1:7" x14ac:dyDescent="0.25">
      <c r="A214" t="s">
        <v>1589</v>
      </c>
      <c r="B214" s="88">
        <v>17</v>
      </c>
      <c r="C214" s="88"/>
      <c r="D214" s="83"/>
      <c r="E214" s="83"/>
      <c r="F214" s="83">
        <v>16</v>
      </c>
      <c r="G214" s="83"/>
    </row>
    <row r="215" spans="1:7" x14ac:dyDescent="0.25">
      <c r="A215" t="s">
        <v>735</v>
      </c>
      <c r="B215" s="88">
        <v>297</v>
      </c>
      <c r="C215" s="88">
        <v>30</v>
      </c>
      <c r="D215" s="83">
        <v>3</v>
      </c>
      <c r="E215" s="83">
        <v>2</v>
      </c>
      <c r="F215" s="83">
        <v>296</v>
      </c>
      <c r="G215" s="83">
        <v>32</v>
      </c>
    </row>
    <row r="216" spans="1:7" x14ac:dyDescent="0.25">
      <c r="A216" t="s">
        <v>362</v>
      </c>
      <c r="B216" s="88">
        <v>418</v>
      </c>
      <c r="C216" s="88">
        <v>19</v>
      </c>
      <c r="D216" s="83">
        <v>12</v>
      </c>
      <c r="E216" s="83">
        <v>1</v>
      </c>
      <c r="F216" s="83">
        <v>420</v>
      </c>
      <c r="G216" s="83">
        <v>16</v>
      </c>
    </row>
    <row r="217" spans="1:7" x14ac:dyDescent="0.25">
      <c r="A217" t="s">
        <v>1592</v>
      </c>
      <c r="B217" s="88">
        <v>8</v>
      </c>
      <c r="C217" s="88"/>
      <c r="D217" s="83"/>
      <c r="E217" s="83"/>
      <c r="F217" s="83">
        <v>7</v>
      </c>
      <c r="G217" s="83"/>
    </row>
    <row r="218" spans="1:7" x14ac:dyDescent="0.25">
      <c r="A218" t="s">
        <v>367</v>
      </c>
      <c r="B218" s="88">
        <v>29</v>
      </c>
      <c r="C218" s="88">
        <v>5</v>
      </c>
      <c r="D218" s="83">
        <v>1</v>
      </c>
      <c r="E218" s="83"/>
      <c r="F218" s="83">
        <v>29</v>
      </c>
      <c r="G218" s="83">
        <v>4</v>
      </c>
    </row>
    <row r="219" spans="1:7" x14ac:dyDescent="0.25">
      <c r="A219" t="s">
        <v>738</v>
      </c>
      <c r="B219" s="88">
        <v>302</v>
      </c>
      <c r="C219" s="88">
        <v>26</v>
      </c>
      <c r="D219" s="83">
        <v>3</v>
      </c>
      <c r="E219" s="83"/>
      <c r="F219" s="83">
        <v>302</v>
      </c>
      <c r="G219" s="83">
        <v>26</v>
      </c>
    </row>
    <row r="220" spans="1:7" x14ac:dyDescent="0.25">
      <c r="A220" t="s">
        <v>1588</v>
      </c>
      <c r="B220" s="88">
        <v>1079</v>
      </c>
      <c r="C220" s="88">
        <v>64</v>
      </c>
      <c r="D220" s="83">
        <v>7</v>
      </c>
      <c r="E220" s="83"/>
      <c r="F220" s="83">
        <v>1080</v>
      </c>
      <c r="G220" s="83">
        <v>64</v>
      </c>
    </row>
    <row r="221" spans="1:7" x14ac:dyDescent="0.25">
      <c r="A221" t="s">
        <v>1236</v>
      </c>
      <c r="B221" s="88">
        <v>47</v>
      </c>
      <c r="C221" s="88">
        <v>1</v>
      </c>
      <c r="D221" s="83"/>
      <c r="E221" s="83"/>
      <c r="F221" s="83">
        <v>56</v>
      </c>
      <c r="G221" s="83">
        <v>1</v>
      </c>
    </row>
    <row r="222" spans="1:7" x14ac:dyDescent="0.25">
      <c r="A222" t="s">
        <v>1550</v>
      </c>
      <c r="B222" s="88">
        <v>20</v>
      </c>
      <c r="C222" s="88"/>
      <c r="D222" s="83">
        <v>2</v>
      </c>
      <c r="E222" s="83"/>
      <c r="F222" s="83">
        <v>22</v>
      </c>
      <c r="G222" s="83"/>
    </row>
    <row r="223" spans="1:7" x14ac:dyDescent="0.25">
      <c r="A223" t="s">
        <v>1618</v>
      </c>
      <c r="B223" s="88">
        <v>23</v>
      </c>
      <c r="C223" s="88">
        <v>1</v>
      </c>
      <c r="D223" s="83"/>
      <c r="E223" s="83"/>
      <c r="F223" s="83">
        <v>23</v>
      </c>
      <c r="G223" s="83">
        <v>1</v>
      </c>
    </row>
    <row r="224" spans="1:7" x14ac:dyDescent="0.25">
      <c r="A224" t="s">
        <v>995</v>
      </c>
      <c r="B224" s="88">
        <v>333</v>
      </c>
      <c r="C224" s="88">
        <v>19</v>
      </c>
      <c r="D224" s="83">
        <v>8</v>
      </c>
      <c r="E224" s="83"/>
      <c r="F224" s="83">
        <v>342</v>
      </c>
      <c r="G224" s="83">
        <v>20</v>
      </c>
    </row>
    <row r="225" spans="1:7" x14ac:dyDescent="0.25">
      <c r="A225" t="s">
        <v>998</v>
      </c>
      <c r="B225" s="88">
        <v>404</v>
      </c>
      <c r="C225" s="88">
        <v>29</v>
      </c>
      <c r="D225" s="83">
        <v>5</v>
      </c>
      <c r="E225" s="83">
        <v>1</v>
      </c>
      <c r="F225" s="83">
        <v>410</v>
      </c>
      <c r="G225" s="83">
        <v>31</v>
      </c>
    </row>
    <row r="226" spans="1:7" x14ac:dyDescent="0.25">
      <c r="A226" t="s">
        <v>1238</v>
      </c>
      <c r="B226" s="88">
        <v>189</v>
      </c>
      <c r="C226" s="88">
        <v>13</v>
      </c>
      <c r="D226" s="83">
        <v>2</v>
      </c>
      <c r="E226" s="83"/>
      <c r="F226" s="83">
        <v>219</v>
      </c>
      <c r="G226" s="83">
        <v>18</v>
      </c>
    </row>
    <row r="227" spans="1:7" x14ac:dyDescent="0.25">
      <c r="A227" t="s">
        <v>1001</v>
      </c>
      <c r="B227" s="88">
        <v>57</v>
      </c>
      <c r="C227" s="88">
        <v>6</v>
      </c>
      <c r="D227" s="83">
        <v>4</v>
      </c>
      <c r="E227" s="83"/>
      <c r="F227" s="83">
        <v>60</v>
      </c>
      <c r="G227" s="83">
        <v>6</v>
      </c>
    </row>
    <row r="228" spans="1:7" x14ac:dyDescent="0.25">
      <c r="A228" t="s">
        <v>375</v>
      </c>
      <c r="B228" s="88">
        <v>22</v>
      </c>
      <c r="C228" s="88"/>
      <c r="D228" s="83"/>
      <c r="E228" s="83"/>
      <c r="F228" s="83">
        <v>23</v>
      </c>
      <c r="G228" s="83"/>
    </row>
    <row r="229" spans="1:7" x14ac:dyDescent="0.25">
      <c r="A229" t="s">
        <v>1240</v>
      </c>
      <c r="B229" s="88">
        <v>8</v>
      </c>
      <c r="C229" s="88"/>
      <c r="D229" s="83"/>
      <c r="E229" s="83"/>
      <c r="F229" s="83">
        <v>10</v>
      </c>
      <c r="G229" s="83"/>
    </row>
    <row r="230" spans="1:7" x14ac:dyDescent="0.25">
      <c r="A230" t="s">
        <v>1242</v>
      </c>
      <c r="B230" s="88">
        <v>56</v>
      </c>
      <c r="C230" s="88">
        <v>3</v>
      </c>
      <c r="D230" s="83"/>
      <c r="E230" s="83"/>
      <c r="F230" s="83">
        <v>60</v>
      </c>
      <c r="G230" s="83">
        <v>4</v>
      </c>
    </row>
    <row r="231" spans="1:7" x14ac:dyDescent="0.25">
      <c r="A231" t="s">
        <v>378</v>
      </c>
      <c r="B231" s="88">
        <v>222</v>
      </c>
      <c r="C231" s="88">
        <v>13</v>
      </c>
      <c r="D231" s="83">
        <v>4</v>
      </c>
      <c r="E231" s="83"/>
      <c r="F231" s="83">
        <v>220</v>
      </c>
      <c r="G231" s="83">
        <v>12</v>
      </c>
    </row>
    <row r="232" spans="1:7" x14ac:dyDescent="0.25">
      <c r="A232" t="s">
        <v>1244</v>
      </c>
      <c r="B232" s="88">
        <v>13</v>
      </c>
      <c r="C232" s="88"/>
      <c r="D232" s="83"/>
      <c r="E232" s="83"/>
      <c r="F232" s="83">
        <v>14</v>
      </c>
      <c r="G232" s="83"/>
    </row>
    <row r="233" spans="1:7" x14ac:dyDescent="0.25">
      <c r="A233" t="s">
        <v>1247</v>
      </c>
      <c r="B233" s="88">
        <v>83</v>
      </c>
      <c r="C233" s="88">
        <v>5</v>
      </c>
      <c r="D233" s="83"/>
      <c r="E233" s="83"/>
      <c r="F233" s="83">
        <v>82</v>
      </c>
      <c r="G233" s="83">
        <v>5</v>
      </c>
    </row>
    <row r="234" spans="1:7" x14ac:dyDescent="0.25">
      <c r="A234" t="s">
        <v>1004</v>
      </c>
      <c r="B234" s="88">
        <v>680</v>
      </c>
      <c r="C234" s="88">
        <v>27</v>
      </c>
      <c r="D234" s="83">
        <v>8</v>
      </c>
      <c r="E234" s="83">
        <v>1</v>
      </c>
      <c r="F234" s="83">
        <v>675</v>
      </c>
      <c r="G234" s="83">
        <v>29</v>
      </c>
    </row>
    <row r="235" spans="1:7" x14ac:dyDescent="0.25">
      <c r="A235" t="s">
        <v>381</v>
      </c>
      <c r="B235" s="88">
        <v>129</v>
      </c>
      <c r="C235" s="88">
        <v>8</v>
      </c>
      <c r="D235" s="83">
        <v>1</v>
      </c>
      <c r="E235" s="83"/>
      <c r="F235" s="83">
        <v>130</v>
      </c>
      <c r="G235" s="83">
        <v>8</v>
      </c>
    </row>
    <row r="236" spans="1:7" x14ac:dyDescent="0.25">
      <c r="A236" t="s">
        <v>1006</v>
      </c>
      <c r="B236" s="88">
        <v>10</v>
      </c>
      <c r="C236" s="88"/>
      <c r="D236" s="83">
        <v>1</v>
      </c>
      <c r="E236" s="83"/>
      <c r="F236" s="83">
        <v>11</v>
      </c>
      <c r="G236" s="83"/>
    </row>
    <row r="237" spans="1:7" x14ac:dyDescent="0.25">
      <c r="A237" t="s">
        <v>1250</v>
      </c>
      <c r="B237" s="88">
        <v>71</v>
      </c>
      <c r="C237" s="88">
        <v>2</v>
      </c>
      <c r="D237" s="83">
        <v>3</v>
      </c>
      <c r="E237" s="83">
        <v>1</v>
      </c>
      <c r="F237" s="83">
        <v>73</v>
      </c>
      <c r="G237" s="83">
        <v>3</v>
      </c>
    </row>
    <row r="238" spans="1:7" x14ac:dyDescent="0.25">
      <c r="A238" t="s">
        <v>1644</v>
      </c>
      <c r="B238" s="88">
        <v>76</v>
      </c>
      <c r="C238" s="88">
        <v>6</v>
      </c>
      <c r="D238" s="83">
        <v>2</v>
      </c>
      <c r="E238" s="83"/>
      <c r="F238" s="83">
        <v>78</v>
      </c>
      <c r="G238" s="83">
        <v>6</v>
      </c>
    </row>
    <row r="239" spans="1:7" x14ac:dyDescent="0.25">
      <c r="A239" t="s">
        <v>389</v>
      </c>
      <c r="B239" s="88">
        <v>1278</v>
      </c>
      <c r="C239" s="88">
        <v>61</v>
      </c>
      <c r="D239" s="83">
        <v>26</v>
      </c>
      <c r="E239" s="83"/>
      <c r="F239" s="83">
        <v>1292</v>
      </c>
      <c r="G239" s="83">
        <v>61</v>
      </c>
    </row>
    <row r="240" spans="1:7" x14ac:dyDescent="0.25">
      <c r="A240" t="s">
        <v>1645</v>
      </c>
      <c r="B240" s="88">
        <v>13</v>
      </c>
      <c r="C240" s="88">
        <v>2</v>
      </c>
      <c r="D240" s="83"/>
      <c r="E240" s="83"/>
      <c r="F240" s="83">
        <v>13</v>
      </c>
      <c r="G240" s="83">
        <v>2</v>
      </c>
    </row>
    <row r="241" spans="1:7" x14ac:dyDescent="0.25">
      <c r="A241" t="s">
        <v>1606</v>
      </c>
      <c r="B241" s="88">
        <v>33</v>
      </c>
      <c r="C241" s="88">
        <v>2</v>
      </c>
      <c r="D241" s="83">
        <v>5</v>
      </c>
      <c r="E241" s="83"/>
      <c r="F241" s="83">
        <v>44</v>
      </c>
      <c r="G241" s="83">
        <v>3</v>
      </c>
    </row>
    <row r="242" spans="1:7" x14ac:dyDescent="0.25">
      <c r="A242" t="s">
        <v>753</v>
      </c>
      <c r="B242" s="88">
        <v>10</v>
      </c>
      <c r="C242" s="88"/>
      <c r="D242" s="83"/>
      <c r="E242" s="83"/>
      <c r="F242" s="83">
        <v>13</v>
      </c>
      <c r="G242" s="83"/>
    </row>
    <row r="243" spans="1:7" x14ac:dyDescent="0.25">
      <c r="A243" t="s">
        <v>756</v>
      </c>
      <c r="B243" s="88">
        <v>366</v>
      </c>
      <c r="C243" s="88">
        <v>13</v>
      </c>
      <c r="D243" s="83">
        <v>6</v>
      </c>
      <c r="E243" s="83"/>
      <c r="F243" s="83">
        <v>368</v>
      </c>
      <c r="G243" s="83">
        <v>12</v>
      </c>
    </row>
    <row r="244" spans="1:7" x14ac:dyDescent="0.25">
      <c r="A244" t="s">
        <v>1627</v>
      </c>
      <c r="B244" s="88">
        <v>171</v>
      </c>
      <c r="C244" s="88">
        <v>4</v>
      </c>
      <c r="D244" s="83">
        <v>10</v>
      </c>
      <c r="E244" s="83"/>
      <c r="F244" s="83">
        <v>182</v>
      </c>
      <c r="G244" s="83">
        <v>5</v>
      </c>
    </row>
    <row r="245" spans="1:7" x14ac:dyDescent="0.25">
      <c r="A245" t="s">
        <v>1253</v>
      </c>
      <c r="B245" s="88">
        <v>193</v>
      </c>
      <c r="C245" s="88">
        <v>10</v>
      </c>
      <c r="D245" s="83">
        <v>1</v>
      </c>
      <c r="E245" s="83"/>
      <c r="F245" s="83">
        <v>181</v>
      </c>
      <c r="G245" s="83">
        <v>6</v>
      </c>
    </row>
    <row r="246" spans="1:7" x14ac:dyDescent="0.25">
      <c r="A246" t="s">
        <v>1580</v>
      </c>
      <c r="B246" s="88">
        <v>249</v>
      </c>
      <c r="C246" s="88">
        <v>10</v>
      </c>
      <c r="D246" s="83">
        <v>4</v>
      </c>
      <c r="E246" s="83"/>
      <c r="F246" s="83">
        <v>253</v>
      </c>
      <c r="G246" s="83">
        <v>10</v>
      </c>
    </row>
    <row r="247" spans="1:7" x14ac:dyDescent="0.25">
      <c r="A247" t="s">
        <v>759</v>
      </c>
      <c r="B247" s="88">
        <v>33</v>
      </c>
      <c r="C247" s="88">
        <v>2</v>
      </c>
      <c r="D247" s="83">
        <v>3</v>
      </c>
      <c r="E247" s="83"/>
      <c r="F247" s="83">
        <v>37</v>
      </c>
      <c r="G247" s="83">
        <v>2</v>
      </c>
    </row>
    <row r="248" spans="1:7" x14ac:dyDescent="0.25">
      <c r="A248" t="s">
        <v>1015</v>
      </c>
      <c r="B248" s="88">
        <v>123</v>
      </c>
      <c r="C248" s="88">
        <v>11</v>
      </c>
      <c r="D248" s="83">
        <v>3</v>
      </c>
      <c r="E248" s="83"/>
      <c r="F248" s="83">
        <v>127</v>
      </c>
      <c r="G248" s="83">
        <v>11</v>
      </c>
    </row>
    <row r="249" spans="1:7" x14ac:dyDescent="0.25">
      <c r="A249" t="s">
        <v>761</v>
      </c>
      <c r="B249" s="88">
        <v>14</v>
      </c>
      <c r="C249" s="88"/>
      <c r="D249" s="83">
        <v>3</v>
      </c>
      <c r="E249" s="83"/>
      <c r="F249" s="83">
        <v>16</v>
      </c>
      <c r="G249" s="83"/>
    </row>
    <row r="250" spans="1:7" x14ac:dyDescent="0.25">
      <c r="A250" t="s">
        <v>1557</v>
      </c>
      <c r="B250" s="88">
        <v>220</v>
      </c>
      <c r="C250" s="88">
        <v>11</v>
      </c>
      <c r="D250" s="83"/>
      <c r="E250" s="83">
        <v>1</v>
      </c>
      <c r="F250" s="83">
        <v>218</v>
      </c>
      <c r="G250" s="83">
        <v>11</v>
      </c>
    </row>
    <row r="251" spans="1:7" x14ac:dyDescent="0.25">
      <c r="A251" t="s">
        <v>1018</v>
      </c>
      <c r="B251" s="88">
        <v>110</v>
      </c>
      <c r="C251" s="88">
        <v>10</v>
      </c>
      <c r="D251" s="83"/>
      <c r="E251" s="83"/>
      <c r="F251" s="83">
        <v>44</v>
      </c>
      <c r="G251" s="83">
        <v>2</v>
      </c>
    </row>
    <row r="252" spans="1:7" x14ac:dyDescent="0.25">
      <c r="A252" t="s">
        <v>1256</v>
      </c>
      <c r="B252" s="88">
        <v>104</v>
      </c>
      <c r="C252" s="88">
        <v>7</v>
      </c>
      <c r="D252" s="83">
        <v>1</v>
      </c>
      <c r="E252" s="83"/>
      <c r="F252" s="83">
        <v>103</v>
      </c>
      <c r="G252" s="83">
        <v>7</v>
      </c>
    </row>
    <row r="253" spans="1:7" x14ac:dyDescent="0.25">
      <c r="A253" t="s">
        <v>1607</v>
      </c>
      <c r="B253" s="88">
        <v>36</v>
      </c>
      <c r="C253" s="88"/>
      <c r="D253" s="83">
        <v>1</v>
      </c>
      <c r="E253" s="83"/>
      <c r="F253" s="83">
        <v>36</v>
      </c>
      <c r="G253" s="83"/>
    </row>
    <row r="254" spans="1:7" x14ac:dyDescent="0.25">
      <c r="A254" t="s">
        <v>400</v>
      </c>
      <c r="B254" s="88">
        <v>50</v>
      </c>
      <c r="C254" s="88">
        <v>3</v>
      </c>
      <c r="D254" s="83"/>
      <c r="E254" s="83"/>
      <c r="F254" s="83">
        <v>50</v>
      </c>
      <c r="G254" s="83">
        <v>3</v>
      </c>
    </row>
    <row r="255" spans="1:7" x14ac:dyDescent="0.25">
      <c r="A255" t="s">
        <v>1596</v>
      </c>
      <c r="B255" s="88">
        <v>119</v>
      </c>
      <c r="C255" s="88">
        <v>13</v>
      </c>
      <c r="D255" s="83">
        <v>1</v>
      </c>
      <c r="E255" s="83"/>
      <c r="F255" s="83">
        <v>120</v>
      </c>
      <c r="G255" s="83">
        <v>13</v>
      </c>
    </row>
    <row r="256" spans="1:7" x14ac:dyDescent="0.25">
      <c r="A256" t="s">
        <v>403</v>
      </c>
      <c r="B256" s="88">
        <v>44</v>
      </c>
      <c r="C256" s="88"/>
      <c r="D256" s="83">
        <v>2</v>
      </c>
      <c r="E256" s="83"/>
      <c r="F256" s="83">
        <v>46</v>
      </c>
      <c r="G256" s="83"/>
    </row>
    <row r="257" spans="1:7" x14ac:dyDescent="0.25">
      <c r="A257" t="s">
        <v>1593</v>
      </c>
      <c r="B257" s="88">
        <v>366</v>
      </c>
      <c r="C257" s="88">
        <v>28</v>
      </c>
      <c r="D257" s="83">
        <v>12</v>
      </c>
      <c r="E257" s="83"/>
      <c r="F257" s="83">
        <v>398</v>
      </c>
      <c r="G257" s="83">
        <v>28</v>
      </c>
    </row>
    <row r="258" spans="1:7" x14ac:dyDescent="0.25">
      <c r="A258" t="s">
        <v>1586</v>
      </c>
      <c r="B258" s="88">
        <v>102</v>
      </c>
      <c r="C258" s="88">
        <v>8</v>
      </c>
      <c r="D258" s="83">
        <v>4</v>
      </c>
      <c r="E258" s="83"/>
      <c r="F258" s="83">
        <v>105</v>
      </c>
      <c r="G258" s="83">
        <v>8</v>
      </c>
    </row>
    <row r="259" spans="1:7" x14ac:dyDescent="0.25">
      <c r="A259" t="s">
        <v>1566</v>
      </c>
      <c r="B259" s="88">
        <v>204</v>
      </c>
      <c r="C259" s="88">
        <v>16</v>
      </c>
      <c r="D259" s="83">
        <v>2</v>
      </c>
      <c r="E259" s="83"/>
      <c r="F259" s="83">
        <v>201</v>
      </c>
      <c r="G259" s="83">
        <v>14</v>
      </c>
    </row>
    <row r="260" spans="1:7" x14ac:dyDescent="0.25">
      <c r="A260" t="s">
        <v>1626</v>
      </c>
      <c r="B260" s="88">
        <v>14</v>
      </c>
      <c r="C260" s="88"/>
      <c r="D260" s="83">
        <v>1</v>
      </c>
      <c r="E260" s="83"/>
      <c r="F260" s="83">
        <v>16</v>
      </c>
      <c r="G260" s="83"/>
    </row>
    <row r="261" spans="1:7" x14ac:dyDescent="0.25">
      <c r="A261" t="s">
        <v>1024</v>
      </c>
      <c r="B261" s="88">
        <v>822</v>
      </c>
      <c r="C261" s="88">
        <v>42</v>
      </c>
      <c r="D261" s="83"/>
      <c r="E261" s="83"/>
      <c r="F261" s="83">
        <v>833</v>
      </c>
      <c r="G261" s="83">
        <v>42</v>
      </c>
    </row>
    <row r="262" spans="1:7" x14ac:dyDescent="0.25">
      <c r="A262" t="s">
        <v>1608</v>
      </c>
      <c r="B262" s="88">
        <v>247</v>
      </c>
      <c r="C262" s="88">
        <v>12</v>
      </c>
      <c r="D262" s="83"/>
      <c r="E262" s="83"/>
      <c r="F262" s="83">
        <v>244</v>
      </c>
      <c r="G262" s="83">
        <v>12</v>
      </c>
    </row>
    <row r="263" spans="1:7" x14ac:dyDescent="0.25">
      <c r="A263" t="s">
        <v>1027</v>
      </c>
      <c r="B263" s="88">
        <v>17</v>
      </c>
      <c r="C263" s="88"/>
      <c r="D263" s="83">
        <v>9</v>
      </c>
      <c r="E263" s="83"/>
      <c r="F263" s="83">
        <v>27</v>
      </c>
      <c r="G263" s="83"/>
    </row>
    <row r="264" spans="1:7" x14ac:dyDescent="0.25">
      <c r="A264" t="s">
        <v>1638</v>
      </c>
      <c r="B264" s="88">
        <v>62</v>
      </c>
      <c r="C264" s="88">
        <v>8</v>
      </c>
      <c r="D264" s="83">
        <v>4</v>
      </c>
      <c r="E264" s="83">
        <v>1</v>
      </c>
      <c r="F264" s="83">
        <v>66</v>
      </c>
      <c r="G264" s="83">
        <v>9</v>
      </c>
    </row>
    <row r="265" spans="1:7" x14ac:dyDescent="0.25">
      <c r="A265" t="s">
        <v>1569</v>
      </c>
      <c r="B265" s="88">
        <v>4</v>
      </c>
      <c r="C265" s="88"/>
      <c r="D265" s="83"/>
      <c r="E265" s="83"/>
      <c r="F265" s="83">
        <v>4</v>
      </c>
      <c r="G265" s="83"/>
    </row>
    <row r="266" spans="1:7" x14ac:dyDescent="0.25">
      <c r="A266" t="s">
        <v>1030</v>
      </c>
      <c r="B266" s="88">
        <v>17</v>
      </c>
      <c r="C266" s="88">
        <v>1</v>
      </c>
      <c r="D266" s="83">
        <v>2</v>
      </c>
      <c r="E266" s="83"/>
      <c r="F266" s="83">
        <v>21</v>
      </c>
      <c r="G266" s="83">
        <v>1</v>
      </c>
    </row>
    <row r="267" spans="1:7" x14ac:dyDescent="0.25">
      <c r="A267" t="s">
        <v>789</v>
      </c>
      <c r="B267" s="88">
        <v>362</v>
      </c>
      <c r="C267" s="88">
        <v>10</v>
      </c>
      <c r="D267" s="83">
        <v>6</v>
      </c>
      <c r="E267" s="83"/>
      <c r="F267" s="83">
        <v>371</v>
      </c>
      <c r="G267" s="83">
        <v>10</v>
      </c>
    </row>
    <row r="268" spans="1:7" x14ac:dyDescent="0.25">
      <c r="A268" t="s">
        <v>1033</v>
      </c>
      <c r="B268" s="88">
        <v>28</v>
      </c>
      <c r="C268" s="88">
        <v>1</v>
      </c>
      <c r="D268" s="83"/>
      <c r="E268" s="83"/>
      <c r="F268" s="83">
        <v>16</v>
      </c>
      <c r="G268" s="83">
        <v>1</v>
      </c>
    </row>
    <row r="269" spans="1:7" x14ac:dyDescent="0.25">
      <c r="A269" t="s">
        <v>1268</v>
      </c>
      <c r="B269" s="88">
        <v>21</v>
      </c>
      <c r="C269" s="88">
        <v>4</v>
      </c>
      <c r="D269" s="83"/>
      <c r="E269" s="83"/>
      <c r="F269" s="83">
        <v>16</v>
      </c>
      <c r="G269" s="83">
        <v>4</v>
      </c>
    </row>
    <row r="270" spans="1:7" x14ac:dyDescent="0.25">
      <c r="A270" t="s">
        <v>1270</v>
      </c>
      <c r="B270" s="88">
        <v>6</v>
      </c>
      <c r="C270" s="88"/>
      <c r="D270" s="83">
        <v>1</v>
      </c>
      <c r="E270" s="83"/>
      <c r="F270" s="83">
        <v>8</v>
      </c>
      <c r="G270" s="83"/>
    </row>
    <row r="271" spans="1:7" x14ac:dyDescent="0.25">
      <c r="A271" t="s">
        <v>794</v>
      </c>
      <c r="B271" s="88">
        <v>10</v>
      </c>
      <c r="C271" s="88"/>
      <c r="D271" s="83">
        <v>1</v>
      </c>
      <c r="E271" s="83"/>
      <c r="F271" s="83">
        <v>12</v>
      </c>
      <c r="G271" s="83"/>
    </row>
    <row r="272" spans="1:7" x14ac:dyDescent="0.25">
      <c r="A272" t="s">
        <v>412</v>
      </c>
      <c r="B272" s="88">
        <v>73</v>
      </c>
      <c r="C272" s="88">
        <v>1</v>
      </c>
      <c r="D272" s="83"/>
      <c r="E272" s="83"/>
      <c r="F272" s="83">
        <v>73</v>
      </c>
      <c r="G272" s="83">
        <v>1</v>
      </c>
    </row>
    <row r="273" spans="1:7" x14ac:dyDescent="0.25">
      <c r="A273" t="s">
        <v>1620</v>
      </c>
      <c r="B273" s="88">
        <v>1871</v>
      </c>
      <c r="C273" s="88">
        <v>89</v>
      </c>
      <c r="D273" s="83">
        <v>27</v>
      </c>
      <c r="E273" s="83">
        <v>2</v>
      </c>
      <c r="F273" s="83">
        <v>1954</v>
      </c>
      <c r="G273" s="83">
        <v>90</v>
      </c>
    </row>
    <row r="274" spans="1:7" x14ac:dyDescent="0.25">
      <c r="A274" t="s">
        <v>415</v>
      </c>
      <c r="B274" s="88">
        <v>45</v>
      </c>
      <c r="C274" s="88">
        <v>4</v>
      </c>
      <c r="D274" s="83"/>
      <c r="E274" s="83"/>
      <c r="F274" s="83">
        <v>42</v>
      </c>
      <c r="G274" s="83">
        <v>3</v>
      </c>
    </row>
    <row r="275" spans="1:7" x14ac:dyDescent="0.25">
      <c r="A275" t="s">
        <v>1609</v>
      </c>
      <c r="B275" s="88">
        <v>888</v>
      </c>
      <c r="C275" s="88">
        <v>66</v>
      </c>
      <c r="D275" s="83">
        <v>3</v>
      </c>
      <c r="E275" s="83">
        <v>2</v>
      </c>
      <c r="F275" s="83">
        <v>914</v>
      </c>
      <c r="G275" s="83">
        <v>65</v>
      </c>
    </row>
    <row r="276" spans="1:7" x14ac:dyDescent="0.25">
      <c r="A276" t="s">
        <v>1044</v>
      </c>
      <c r="B276" s="88">
        <v>107</v>
      </c>
      <c r="C276" s="88">
        <v>4</v>
      </c>
      <c r="D276" s="83"/>
      <c r="E276" s="83"/>
      <c r="F276" s="83">
        <v>107</v>
      </c>
      <c r="G276" s="83">
        <v>4</v>
      </c>
    </row>
    <row r="277" spans="1:7" x14ac:dyDescent="0.25">
      <c r="A277" t="s">
        <v>1047</v>
      </c>
      <c r="B277" s="88">
        <v>17</v>
      </c>
      <c r="C277" s="88"/>
      <c r="D277" s="83">
        <v>1</v>
      </c>
      <c r="E277" s="83"/>
      <c r="F277" s="83">
        <v>18</v>
      </c>
      <c r="G277" s="83"/>
    </row>
    <row r="278" spans="1:7" x14ac:dyDescent="0.25">
      <c r="A278" t="s">
        <v>1621</v>
      </c>
      <c r="B278" s="88">
        <v>66</v>
      </c>
      <c r="C278" s="88">
        <v>3</v>
      </c>
      <c r="D278" s="83">
        <v>3</v>
      </c>
      <c r="E278" s="83"/>
      <c r="F278" s="83">
        <v>70</v>
      </c>
      <c r="G278" s="83">
        <v>3</v>
      </c>
    </row>
    <row r="279" spans="1:7" x14ac:dyDescent="0.25">
      <c r="A279" t="s">
        <v>1052</v>
      </c>
      <c r="B279" s="88">
        <v>66</v>
      </c>
      <c r="C279" s="88">
        <v>3</v>
      </c>
      <c r="D279" s="83">
        <v>3</v>
      </c>
      <c r="E279" s="83"/>
      <c r="F279" s="83">
        <v>70</v>
      </c>
      <c r="G279" s="83">
        <v>3</v>
      </c>
    </row>
    <row r="280" spans="1:7" x14ac:dyDescent="0.25">
      <c r="A280" t="s">
        <v>1611</v>
      </c>
      <c r="B280" s="88">
        <v>184</v>
      </c>
      <c r="C280" s="88">
        <v>9</v>
      </c>
      <c r="D280" s="83">
        <v>3</v>
      </c>
      <c r="E280" s="83"/>
      <c r="F280" s="83">
        <v>188</v>
      </c>
      <c r="G280" s="83">
        <v>9</v>
      </c>
    </row>
    <row r="281" spans="1:7" x14ac:dyDescent="0.25">
      <c r="A281" t="s">
        <v>1585</v>
      </c>
      <c r="B281" s="88">
        <v>296</v>
      </c>
      <c r="C281" s="88">
        <v>17</v>
      </c>
      <c r="D281" s="83">
        <v>3</v>
      </c>
      <c r="E281" s="83">
        <v>1</v>
      </c>
      <c r="F281" s="83">
        <v>299</v>
      </c>
      <c r="G281" s="83">
        <v>18</v>
      </c>
    </row>
    <row r="282" spans="1:7" x14ac:dyDescent="0.25">
      <c r="A282" t="s">
        <v>1610</v>
      </c>
      <c r="B282" s="88">
        <v>220</v>
      </c>
      <c r="C282" s="88"/>
      <c r="D282" s="83">
        <v>3</v>
      </c>
      <c r="E282" s="83"/>
      <c r="F282" s="83">
        <v>222</v>
      </c>
      <c r="G282" s="83"/>
    </row>
    <row r="283" spans="1:7" x14ac:dyDescent="0.25">
      <c r="A283" t="s">
        <v>1605</v>
      </c>
      <c r="B283" s="88">
        <v>187</v>
      </c>
      <c r="C283" s="88">
        <v>19</v>
      </c>
      <c r="D283" s="83">
        <v>3</v>
      </c>
      <c r="E283" s="83"/>
      <c r="F283" s="83">
        <v>190</v>
      </c>
      <c r="G283" s="83">
        <v>21</v>
      </c>
    </row>
    <row r="284" spans="1:7" x14ac:dyDescent="0.25">
      <c r="A284" t="s">
        <v>420</v>
      </c>
      <c r="B284" s="88">
        <v>145</v>
      </c>
      <c r="C284" s="88"/>
      <c r="D284" s="83">
        <v>2</v>
      </c>
      <c r="E284" s="83"/>
      <c r="F284" s="83">
        <v>148</v>
      </c>
      <c r="G284" s="83"/>
    </row>
    <row r="285" spans="1:7" x14ac:dyDescent="0.25">
      <c r="A285" t="s">
        <v>797</v>
      </c>
      <c r="B285" s="88">
        <v>264</v>
      </c>
      <c r="C285" s="88">
        <v>13</v>
      </c>
      <c r="D285" s="83">
        <v>3</v>
      </c>
      <c r="E285" s="83"/>
      <c r="F285" s="83">
        <v>221</v>
      </c>
      <c r="G285" s="83">
        <v>13</v>
      </c>
    </row>
    <row r="286" spans="1:7" x14ac:dyDescent="0.25">
      <c r="A286" t="s">
        <v>799</v>
      </c>
      <c r="B286" s="88">
        <v>64</v>
      </c>
      <c r="C286" s="88"/>
      <c r="D286" s="83">
        <v>5</v>
      </c>
      <c r="E286" s="83">
        <v>2</v>
      </c>
      <c r="F286" s="83">
        <v>70</v>
      </c>
      <c r="G286" s="83">
        <v>2</v>
      </c>
    </row>
    <row r="287" spans="1:7" x14ac:dyDescent="0.25">
      <c r="A287" t="s">
        <v>1555</v>
      </c>
      <c r="B287" s="88">
        <v>44</v>
      </c>
      <c r="C287" s="88"/>
      <c r="D287" s="83">
        <v>2</v>
      </c>
      <c r="E287" s="83"/>
      <c r="F287" s="83">
        <v>49</v>
      </c>
      <c r="G287" s="83"/>
    </row>
    <row r="288" spans="1:7" x14ac:dyDescent="0.25">
      <c r="A288" t="s">
        <v>1276</v>
      </c>
      <c r="B288" s="88">
        <v>10</v>
      </c>
      <c r="C288" s="88">
        <v>1</v>
      </c>
      <c r="D288" s="83"/>
      <c r="E288" s="83"/>
      <c r="F288" s="83">
        <v>10</v>
      </c>
      <c r="G288" s="83">
        <v>1</v>
      </c>
    </row>
    <row r="289" spans="1:7" x14ac:dyDescent="0.25">
      <c r="A289" t="s">
        <v>1615</v>
      </c>
      <c r="B289" s="88">
        <v>3314</v>
      </c>
      <c r="C289" s="88">
        <v>118</v>
      </c>
      <c r="D289" s="83">
        <v>17</v>
      </c>
      <c r="E289" s="83">
        <v>1</v>
      </c>
      <c r="F289" s="83">
        <v>3339</v>
      </c>
      <c r="G289" s="83">
        <v>115</v>
      </c>
    </row>
    <row r="290" spans="1:7" x14ac:dyDescent="0.25">
      <c r="A290" t="s">
        <v>1556</v>
      </c>
      <c r="B290" s="88">
        <v>859</v>
      </c>
      <c r="C290" s="88">
        <v>41</v>
      </c>
      <c r="D290" s="83">
        <v>7</v>
      </c>
      <c r="E290" s="83"/>
      <c r="F290" s="83">
        <v>859</v>
      </c>
      <c r="G290" s="83">
        <v>38</v>
      </c>
    </row>
    <row r="291" spans="1:7" x14ac:dyDescent="0.25">
      <c r="A291" t="s">
        <v>1602</v>
      </c>
      <c r="B291" s="88">
        <v>563</v>
      </c>
      <c r="C291" s="88">
        <v>16</v>
      </c>
      <c r="D291" s="83">
        <v>13</v>
      </c>
      <c r="E291" s="83"/>
      <c r="F291" s="83">
        <v>573</v>
      </c>
      <c r="G291" s="83">
        <v>16</v>
      </c>
    </row>
    <row r="292" spans="1:7" x14ac:dyDescent="0.25">
      <c r="A292" t="s">
        <v>426</v>
      </c>
      <c r="B292" s="88">
        <v>34</v>
      </c>
      <c r="C292" s="88"/>
      <c r="D292" s="83">
        <v>1</v>
      </c>
      <c r="E292" s="83"/>
      <c r="F292" s="83">
        <v>37</v>
      </c>
      <c r="G292" s="83"/>
    </row>
    <row r="293" spans="1:7" x14ac:dyDescent="0.25">
      <c r="A293" t="s">
        <v>1278</v>
      </c>
      <c r="B293" s="88">
        <v>49</v>
      </c>
      <c r="C293" s="88">
        <v>2</v>
      </c>
      <c r="D293" s="83">
        <v>1</v>
      </c>
      <c r="E293" s="83"/>
      <c r="F293" s="83">
        <v>50</v>
      </c>
      <c r="G293" s="83">
        <v>2</v>
      </c>
    </row>
    <row r="294" spans="1:7" x14ac:dyDescent="0.25">
      <c r="A294" t="s">
        <v>1280</v>
      </c>
      <c r="B294" s="88">
        <v>226</v>
      </c>
      <c r="C294" s="88">
        <v>12</v>
      </c>
      <c r="D294" s="83">
        <v>4</v>
      </c>
      <c r="E294" s="83"/>
      <c r="F294" s="83">
        <v>233</v>
      </c>
      <c r="G294" s="83">
        <v>12</v>
      </c>
    </row>
    <row r="295" spans="1:7" x14ac:dyDescent="0.25">
      <c r="A295" t="s">
        <v>806</v>
      </c>
      <c r="B295" s="88">
        <v>20</v>
      </c>
      <c r="C295" s="88"/>
      <c r="D295" s="83"/>
      <c r="E295" s="83"/>
      <c r="F295" s="83">
        <v>20</v>
      </c>
      <c r="G295" s="83"/>
    </row>
    <row r="296" spans="1:7" x14ac:dyDescent="0.25">
      <c r="A296" t="s">
        <v>1064</v>
      </c>
      <c r="B296" s="88">
        <v>461</v>
      </c>
      <c r="C296" s="88">
        <v>17</v>
      </c>
      <c r="D296" s="83">
        <v>12</v>
      </c>
      <c r="E296" s="83"/>
      <c r="F296" s="83">
        <v>476</v>
      </c>
      <c r="G296" s="83">
        <v>16</v>
      </c>
    </row>
    <row r="297" spans="1:7" x14ac:dyDescent="0.25">
      <c r="A297" t="s">
        <v>1282</v>
      </c>
      <c r="B297" s="88">
        <v>137</v>
      </c>
      <c r="C297" s="88">
        <v>14</v>
      </c>
      <c r="D297" s="83">
        <v>2</v>
      </c>
      <c r="E297" s="83"/>
      <c r="F297" s="83">
        <v>137</v>
      </c>
      <c r="G297" s="83">
        <v>13</v>
      </c>
    </row>
    <row r="298" spans="1:7" x14ac:dyDescent="0.25">
      <c r="A298" t="s">
        <v>808</v>
      </c>
      <c r="B298" s="88">
        <v>81</v>
      </c>
      <c r="C298" s="88">
        <v>2</v>
      </c>
      <c r="D298" s="83">
        <v>1</v>
      </c>
      <c r="E298" s="83"/>
      <c r="F298" s="83">
        <v>82</v>
      </c>
      <c r="G298" s="83">
        <v>2</v>
      </c>
    </row>
    <row r="299" spans="1:7" x14ac:dyDescent="0.25">
      <c r="A299" t="s">
        <v>428</v>
      </c>
      <c r="B299" s="88">
        <v>275</v>
      </c>
      <c r="C299" s="88">
        <v>15</v>
      </c>
      <c r="D299" s="83">
        <v>8</v>
      </c>
      <c r="E299" s="83"/>
      <c r="F299" s="83">
        <v>279</v>
      </c>
      <c r="G299" s="83">
        <v>12</v>
      </c>
    </row>
    <row r="300" spans="1:7" x14ac:dyDescent="0.25">
      <c r="A300" t="s">
        <v>1635</v>
      </c>
      <c r="B300" s="88">
        <v>632</v>
      </c>
      <c r="C300" s="88">
        <v>46</v>
      </c>
      <c r="D300" s="83">
        <v>4</v>
      </c>
      <c r="E300" s="83"/>
      <c r="F300" s="83">
        <v>623</v>
      </c>
      <c r="G300" s="83">
        <v>43</v>
      </c>
    </row>
    <row r="301" spans="1:7" x14ac:dyDescent="0.25">
      <c r="A301" t="s">
        <v>810</v>
      </c>
      <c r="B301" s="88">
        <v>49</v>
      </c>
      <c r="C301" s="88">
        <v>4</v>
      </c>
      <c r="D301" s="83"/>
      <c r="E301" s="83">
        <v>1</v>
      </c>
      <c r="F301" s="83">
        <v>52</v>
      </c>
      <c r="G301" s="83">
        <v>6</v>
      </c>
    </row>
    <row r="302" spans="1:7" x14ac:dyDescent="0.25">
      <c r="A302" t="s">
        <v>1284</v>
      </c>
      <c r="B302" s="88">
        <v>563</v>
      </c>
      <c r="C302" s="88">
        <v>44</v>
      </c>
      <c r="D302" s="83">
        <v>10</v>
      </c>
      <c r="E302" s="83">
        <v>2</v>
      </c>
      <c r="F302" s="83">
        <v>576</v>
      </c>
      <c r="G302" s="83">
        <v>46</v>
      </c>
    </row>
    <row r="303" spans="1:7" x14ac:dyDescent="0.25">
      <c r="A303" t="s">
        <v>1563</v>
      </c>
      <c r="B303" s="88">
        <v>251</v>
      </c>
      <c r="C303" s="88">
        <v>5</v>
      </c>
      <c r="D303" s="83"/>
      <c r="E303" s="83"/>
      <c r="F303" s="83">
        <v>257</v>
      </c>
      <c r="G303" s="83">
        <v>5</v>
      </c>
    </row>
    <row r="304" spans="1:7" x14ac:dyDescent="0.25">
      <c r="A304" t="s">
        <v>815</v>
      </c>
      <c r="B304" s="88">
        <v>60</v>
      </c>
      <c r="C304" s="88">
        <v>3</v>
      </c>
      <c r="D304" s="83">
        <v>2</v>
      </c>
      <c r="E304" s="83"/>
      <c r="F304" s="83">
        <v>62</v>
      </c>
      <c r="G304" s="83">
        <v>3</v>
      </c>
    </row>
    <row r="305" spans="1:7" x14ac:dyDescent="0.25">
      <c r="A305" t="s">
        <v>1647</v>
      </c>
      <c r="B305" s="88">
        <v>16</v>
      </c>
      <c r="C305" s="88"/>
      <c r="D305" s="83">
        <v>2</v>
      </c>
      <c r="E305" s="83"/>
      <c r="F305" s="83">
        <v>17</v>
      </c>
      <c r="G305" s="83"/>
    </row>
    <row r="306" spans="1:7" x14ac:dyDescent="0.25">
      <c r="A306" t="s">
        <v>1070</v>
      </c>
      <c r="B306" s="88">
        <v>339</v>
      </c>
      <c r="C306" s="88">
        <v>24</v>
      </c>
      <c r="D306" s="83">
        <v>4</v>
      </c>
      <c r="E306" s="83"/>
      <c r="F306" s="83">
        <v>344</v>
      </c>
      <c r="G306" s="83">
        <v>24</v>
      </c>
    </row>
    <row r="307" spans="1:7" x14ac:dyDescent="0.25">
      <c r="A307" t="s">
        <v>1554</v>
      </c>
      <c r="B307" s="88">
        <v>9</v>
      </c>
      <c r="C307" s="88"/>
      <c r="D307" s="83">
        <v>1</v>
      </c>
      <c r="E307" s="83"/>
      <c r="F307" s="83">
        <v>10</v>
      </c>
      <c r="G307" s="83"/>
    </row>
    <row r="308" spans="1:7" x14ac:dyDescent="0.25">
      <c r="A308" t="s">
        <v>1078</v>
      </c>
      <c r="B308" s="88">
        <v>212</v>
      </c>
      <c r="C308" s="88">
        <v>9</v>
      </c>
      <c r="D308" s="83">
        <v>2</v>
      </c>
      <c r="E308" s="83"/>
      <c r="F308" s="83">
        <v>207</v>
      </c>
      <c r="G308" s="83">
        <v>9</v>
      </c>
    </row>
    <row r="309" spans="1:7" x14ac:dyDescent="0.25">
      <c r="A309" t="s">
        <v>431</v>
      </c>
      <c r="B309" s="88">
        <v>1496</v>
      </c>
      <c r="C309" s="88">
        <v>79</v>
      </c>
      <c r="D309" s="83">
        <v>8</v>
      </c>
      <c r="E309" s="83"/>
      <c r="F309" s="83">
        <v>1506</v>
      </c>
      <c r="G309" s="83">
        <v>78</v>
      </c>
    </row>
    <row r="310" spans="1:7" x14ac:dyDescent="0.25">
      <c r="A310" t="s">
        <v>1573</v>
      </c>
      <c r="B310" s="88">
        <v>405</v>
      </c>
      <c r="C310" s="88">
        <v>22</v>
      </c>
      <c r="D310" s="83">
        <v>7</v>
      </c>
      <c r="E310" s="83"/>
      <c r="F310" s="83">
        <v>401</v>
      </c>
      <c r="G310" s="83">
        <v>23</v>
      </c>
    </row>
    <row r="311" spans="1:7" x14ac:dyDescent="0.25">
      <c r="A311" t="s">
        <v>1637</v>
      </c>
      <c r="B311" s="88">
        <v>486</v>
      </c>
      <c r="C311" s="88">
        <v>36</v>
      </c>
      <c r="D311" s="83">
        <v>5</v>
      </c>
      <c r="E311" s="83"/>
      <c r="F311" s="83">
        <v>489</v>
      </c>
      <c r="G311" s="83">
        <v>36</v>
      </c>
    </row>
    <row r="312" spans="1:7" x14ac:dyDescent="0.25">
      <c r="A312" t="s">
        <v>822</v>
      </c>
      <c r="B312" s="88">
        <v>1632</v>
      </c>
      <c r="C312" s="88">
        <v>142</v>
      </c>
      <c r="D312" s="83">
        <v>9</v>
      </c>
      <c r="E312" s="83">
        <v>1</v>
      </c>
      <c r="F312" s="83">
        <v>1659</v>
      </c>
      <c r="G312" s="83">
        <v>137</v>
      </c>
    </row>
    <row r="313" spans="1:7" x14ac:dyDescent="0.25">
      <c r="A313" t="s">
        <v>1623</v>
      </c>
      <c r="B313" s="88">
        <v>168</v>
      </c>
      <c r="C313" s="88">
        <v>11</v>
      </c>
      <c r="D313" s="83">
        <v>2</v>
      </c>
      <c r="E313" s="83"/>
      <c r="F313" s="83">
        <v>175</v>
      </c>
      <c r="G313" s="83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DC465"/>
  <sheetViews>
    <sheetView tabSelected="1" zoomScale="90" zoomScaleNormal="90" workbookViewId="0">
      <pane xSplit="11" ySplit="5" topLeftCell="BS186" activePane="bottomRight" state="frozen"/>
      <selection pane="topRight" activeCell="L1" sqref="L1"/>
      <selection pane="bottomLeft" activeCell="A6" sqref="A6"/>
      <selection pane="bottomRight" activeCell="BS186" sqref="BS186"/>
    </sheetView>
  </sheetViews>
  <sheetFormatPr defaultRowHeight="15" x14ac:dyDescent="0.25"/>
  <cols>
    <col min="1" max="1" width="22.42578125" style="73" customWidth="1"/>
    <col min="2" max="2" width="15.5703125" style="73" customWidth="1"/>
    <col min="3" max="3" width="16.85546875" style="73" customWidth="1"/>
    <col min="4" max="4" width="9.7109375" style="73" customWidth="1"/>
    <col min="5" max="5" width="9.5703125" style="73" customWidth="1"/>
    <col min="6" max="6" width="11.140625" style="73" customWidth="1"/>
    <col min="7" max="7" width="9.5703125" style="73" customWidth="1"/>
    <col min="8" max="8" width="15.5703125" style="73" customWidth="1"/>
    <col min="9" max="9" width="20.5703125" style="73" customWidth="1"/>
    <col min="10" max="10" width="31.5703125" style="73" customWidth="1"/>
    <col min="11" max="11" width="21.42578125" style="73" customWidth="1"/>
    <col min="12" max="12" width="24.7109375" style="73" hidden="1" customWidth="1"/>
    <col min="13" max="13" width="20.7109375" style="73" hidden="1" customWidth="1"/>
    <col min="14" max="14" width="18.42578125" style="73" hidden="1" customWidth="1"/>
    <col min="15" max="15" width="19.7109375" style="73" hidden="1" customWidth="1"/>
    <col min="16" max="27" width="20.7109375" style="73" hidden="1" customWidth="1"/>
    <col min="28" max="28" width="21" style="73" hidden="1" customWidth="1"/>
    <col min="29" max="29" width="20.7109375" style="73" hidden="1" customWidth="1"/>
    <col min="30" max="30" width="20.28515625" style="73" customWidth="1"/>
    <col min="31" max="47" width="20.7109375" style="73" customWidth="1"/>
    <col min="48" max="48" width="14.140625" customWidth="1"/>
    <col min="49" max="49" width="13" customWidth="1"/>
    <col min="50" max="50" width="15.85546875" customWidth="1"/>
    <col min="51" max="61" width="20.7109375" style="73" customWidth="1"/>
    <col min="62" max="62" width="18.28515625" customWidth="1"/>
    <col min="63" max="64" width="18.42578125" customWidth="1"/>
    <col min="65" max="65" width="17.140625" customWidth="1"/>
    <col min="66" max="66" width="18.140625" customWidth="1"/>
    <col min="67" max="67" width="17.140625" customWidth="1"/>
    <col min="68" max="68" width="18.140625" customWidth="1"/>
    <col min="69" max="69" width="14.28515625" customWidth="1"/>
    <col min="70" max="70" width="15.28515625" customWidth="1"/>
    <col min="71" max="71" width="17" customWidth="1"/>
    <col min="72" max="72" width="15.28515625" customWidth="1"/>
    <col min="73" max="73" width="21" customWidth="1"/>
    <col min="74" max="74" width="22" customWidth="1"/>
    <col min="75" max="75" width="21" customWidth="1"/>
    <col min="76" max="76" width="22" customWidth="1"/>
    <col min="77" max="77" width="20.85546875" customWidth="1"/>
    <col min="78" max="78" width="21.85546875" customWidth="1"/>
    <col min="79" max="79" width="20.85546875" customWidth="1"/>
    <col min="80" max="80" width="21.85546875" customWidth="1"/>
    <col min="81" max="81" width="21" customWidth="1"/>
    <col min="82" max="82" width="22" customWidth="1"/>
    <col min="83" max="83" width="21" customWidth="1"/>
    <col min="84" max="84" width="22" customWidth="1"/>
    <col min="85" max="85" width="11.7109375" customWidth="1"/>
    <col min="86" max="86" width="12" customWidth="1"/>
    <col min="87" max="87" width="12.140625" customWidth="1"/>
    <col min="88" max="88" width="11.42578125" customWidth="1"/>
    <col min="89" max="89" width="15.28515625" customWidth="1"/>
    <col min="90" max="91" width="10.42578125" customWidth="1"/>
    <col min="92" max="92" width="10.85546875" customWidth="1"/>
    <col min="93" max="93" width="11.42578125" customWidth="1"/>
    <col min="94" max="94" width="14.42578125" customWidth="1"/>
    <col min="95" max="95" width="12" customWidth="1"/>
    <col min="96" max="96" width="17.28515625" customWidth="1"/>
    <col min="97" max="97" width="9.7109375" customWidth="1"/>
    <col min="98" max="98" width="15.28515625" customWidth="1"/>
    <col min="99" max="99" width="10.5703125" customWidth="1"/>
    <col min="100" max="100" width="10.85546875" customWidth="1"/>
    <col min="101" max="101" width="11" customWidth="1"/>
    <col min="102" max="102" width="11.5703125" customWidth="1"/>
    <col min="103" max="103" width="14.5703125" customWidth="1"/>
    <col min="104" max="104" width="12.140625" customWidth="1"/>
    <col min="105" max="105" width="17.42578125" customWidth="1"/>
    <col min="106" max="106" width="15.5703125" customWidth="1"/>
    <col min="107" max="107" width="13.140625" customWidth="1"/>
  </cols>
  <sheetData>
    <row r="1" spans="1:107" s="9" customFormat="1" ht="19.899999999999999" customHeight="1" thickBot="1" x14ac:dyDescent="0.3">
      <c r="A1" t="str" vm="4">
        <f>CUBEMEMBER("pbiazure://api.powerbi.com e2324605-5df0-4e1a-a31e-0edd63db7f20 Model","[DimDate].[MonthYear].&amp;[Mar-2021]")</f>
        <v>Mar-2021</v>
      </c>
      <c r="B1" s="5"/>
      <c r="C1" s="5"/>
      <c r="D1" s="5"/>
      <c r="E1" s="5"/>
      <c r="F1" s="5"/>
      <c r="G1" s="5"/>
      <c r="H1" s="5"/>
      <c r="I1" s="5"/>
      <c r="J1" s="5"/>
      <c r="K1" s="5"/>
      <c r="L1" s="6" t="s">
        <v>0</v>
      </c>
      <c r="M1" s="7" t="s">
        <v>1</v>
      </c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>
        <f t="shared" ref="Y1:BI1" si="0">SUM(Y6:Y2977)</f>
        <v>0</v>
      </c>
      <c r="Z1" s="8">
        <f t="shared" si="0"/>
        <v>0</v>
      </c>
      <c r="AA1" s="8">
        <f t="shared" si="0"/>
        <v>0</v>
      </c>
      <c r="AB1" s="8">
        <f t="shared" si="0"/>
        <v>0</v>
      </c>
      <c r="AC1" s="8">
        <f t="shared" si="0"/>
        <v>0</v>
      </c>
      <c r="AD1" s="8">
        <f t="shared" si="0"/>
        <v>351</v>
      </c>
      <c r="AE1" s="8">
        <f>SUM(AE6:AE2977)</f>
        <v>467</v>
      </c>
      <c r="AF1" s="8">
        <f t="shared" si="0"/>
        <v>5</v>
      </c>
      <c r="AG1" s="8">
        <f t="shared" si="0"/>
        <v>19</v>
      </c>
      <c r="AH1" s="8">
        <f t="shared" si="0"/>
        <v>99456</v>
      </c>
      <c r="AI1" s="8">
        <f t="shared" si="0"/>
        <v>94107</v>
      </c>
      <c r="AJ1" s="8">
        <f t="shared" si="0"/>
        <v>98</v>
      </c>
      <c r="AK1" s="8">
        <f t="shared" si="0"/>
        <v>164</v>
      </c>
      <c r="AL1" s="8">
        <f t="shared" si="0"/>
        <v>38</v>
      </c>
      <c r="AM1" s="8">
        <f t="shared" si="0"/>
        <v>21024</v>
      </c>
      <c r="AN1" s="8">
        <f t="shared" si="0"/>
        <v>4026</v>
      </c>
      <c r="AO1" s="8">
        <f t="shared" si="0"/>
        <v>69057</v>
      </c>
      <c r="AP1" s="8">
        <f t="shared" si="0"/>
        <v>2240</v>
      </c>
      <c r="AQ1" s="8">
        <f t="shared" si="0"/>
        <v>1562</v>
      </c>
      <c r="AR1" s="8">
        <f t="shared" si="0"/>
        <v>449</v>
      </c>
      <c r="AS1" s="8">
        <f t="shared" si="0"/>
        <v>3869</v>
      </c>
      <c r="AT1" s="8">
        <f t="shared" si="0"/>
        <v>3334</v>
      </c>
      <c r="AU1" s="8">
        <f t="shared" si="0"/>
        <v>2898</v>
      </c>
      <c r="AY1" s="8">
        <f t="shared" si="0"/>
        <v>0</v>
      </c>
      <c r="AZ1" s="10">
        <f t="shared" si="0"/>
        <v>0</v>
      </c>
      <c r="BA1" s="10">
        <f t="shared" si="0"/>
        <v>0</v>
      </c>
      <c r="BB1" s="10"/>
      <c r="BC1" s="10">
        <f t="shared" si="0"/>
        <v>0</v>
      </c>
      <c r="BD1" s="8">
        <f t="shared" si="0"/>
        <v>0</v>
      </c>
      <c r="BE1" s="8">
        <f t="shared" si="0"/>
        <v>0</v>
      </c>
      <c r="BF1" s="8"/>
      <c r="BG1" s="8">
        <f t="shared" si="0"/>
        <v>312</v>
      </c>
      <c r="BH1" s="8">
        <f t="shared" si="0"/>
        <v>155</v>
      </c>
      <c r="BI1" s="8">
        <f t="shared" si="0"/>
        <v>15</v>
      </c>
      <c r="BK1" s="11" t="s">
        <v>2</v>
      </c>
      <c r="BL1" s="11"/>
      <c r="BM1" s="11"/>
      <c r="BN1" s="11"/>
      <c r="BO1" s="11"/>
      <c r="BP1" s="11"/>
      <c r="BQ1" s="11"/>
      <c r="BR1" s="11"/>
      <c r="BS1" s="11"/>
    </row>
    <row r="2" spans="1:107" s="16" customFormat="1" ht="16.5" thickBot="1" x14ac:dyDescent="0.3">
      <c r="A2" s="12"/>
      <c r="B2" s="13"/>
      <c r="C2" s="14"/>
      <c r="D2" s="136" t="s">
        <v>3</v>
      </c>
      <c r="E2" s="136"/>
      <c r="F2" s="136"/>
      <c r="G2" s="136"/>
      <c r="H2" s="136"/>
      <c r="I2" s="136"/>
      <c r="J2" s="136"/>
      <c r="K2" s="137"/>
      <c r="L2" s="138" t="s">
        <v>4</v>
      </c>
      <c r="M2" s="139"/>
      <c r="N2" s="139"/>
      <c r="O2" s="139"/>
      <c r="P2" s="139"/>
      <c r="Q2" s="139"/>
      <c r="R2" s="139"/>
      <c r="S2" s="139"/>
      <c r="T2" s="139"/>
      <c r="U2" s="139"/>
      <c r="V2" s="140"/>
      <c r="W2" s="141"/>
      <c r="X2" s="142"/>
      <c r="Y2" s="142"/>
      <c r="Z2" s="142"/>
      <c r="AA2" s="142"/>
      <c r="AB2" s="143"/>
      <c r="AC2" s="135" t="s">
        <v>5</v>
      </c>
      <c r="AD2" s="135"/>
      <c r="AE2" s="135"/>
      <c r="AF2" s="135"/>
      <c r="AG2" s="135"/>
      <c r="AH2" s="144" t="s">
        <v>6</v>
      </c>
      <c r="AI2" s="144"/>
      <c r="AJ2" s="144"/>
      <c r="AK2" s="144"/>
      <c r="AL2" s="144"/>
      <c r="AM2" s="144"/>
      <c r="AN2" s="144"/>
      <c r="AO2" s="144"/>
      <c r="AP2" s="135" t="s">
        <v>7</v>
      </c>
      <c r="AQ2" s="135"/>
      <c r="AR2" s="135"/>
      <c r="AS2" s="124" t="s">
        <v>8</v>
      </c>
      <c r="AT2" s="125"/>
      <c r="AU2" s="125"/>
      <c r="AV2" s="125"/>
      <c r="AW2" s="125"/>
      <c r="AX2" s="126"/>
      <c r="AY2" s="127" t="s">
        <v>9</v>
      </c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9"/>
      <c r="BK2" s="130" t="s">
        <v>10</v>
      </c>
      <c r="BL2" s="131"/>
      <c r="BM2" s="131"/>
      <c r="BN2" s="131"/>
      <c r="BO2" s="131"/>
      <c r="BP2" s="131"/>
      <c r="BQ2" s="132" t="s">
        <v>11</v>
      </c>
      <c r="BR2" s="132"/>
      <c r="BS2" s="132"/>
      <c r="BT2" s="132"/>
      <c r="BU2" s="132"/>
      <c r="BV2" s="132"/>
      <c r="BW2" s="132"/>
      <c r="BX2" s="132"/>
      <c r="BY2" s="132"/>
      <c r="BZ2" s="132"/>
      <c r="CA2" s="132"/>
      <c r="CB2" s="132"/>
      <c r="CC2" s="132"/>
      <c r="CD2" s="132"/>
      <c r="CE2" s="132"/>
      <c r="CF2" s="132"/>
      <c r="CG2" s="132"/>
      <c r="CH2" s="132"/>
      <c r="CI2" s="15"/>
      <c r="CJ2" s="133" t="s">
        <v>6</v>
      </c>
      <c r="CK2" s="133"/>
      <c r="CL2" s="133"/>
      <c r="CM2" s="133"/>
      <c r="CN2" s="133"/>
      <c r="CO2" s="133"/>
      <c r="CP2" s="133"/>
      <c r="CQ2" s="133"/>
      <c r="CR2" s="133"/>
      <c r="CS2" s="134" t="s">
        <v>6</v>
      </c>
      <c r="CT2" s="134"/>
      <c r="CU2" s="134"/>
      <c r="CV2" s="134"/>
      <c r="CW2" s="134"/>
      <c r="CX2" s="134"/>
      <c r="CY2" s="134"/>
      <c r="CZ2" s="134"/>
      <c r="DA2" s="134"/>
      <c r="DB2" s="108" t="s">
        <v>12</v>
      </c>
      <c r="DC2" s="109"/>
    </row>
    <row r="3" spans="1:107" s="24" customFormat="1" ht="16.5" thickBot="1" x14ac:dyDescent="0.35">
      <c r="A3" s="12"/>
      <c r="B3" s="14"/>
      <c r="C3" s="14"/>
      <c r="D3" s="110" t="s">
        <v>13</v>
      </c>
      <c r="E3" s="110"/>
      <c r="F3" s="110"/>
      <c r="G3" s="110"/>
      <c r="H3" s="110"/>
      <c r="I3" s="110"/>
      <c r="J3" s="110"/>
      <c r="K3" s="111"/>
      <c r="L3" s="112" t="s">
        <v>14</v>
      </c>
      <c r="M3" s="113"/>
      <c r="N3" s="112" t="s">
        <v>15</v>
      </c>
      <c r="O3" s="114"/>
      <c r="P3" s="114"/>
      <c r="Q3" s="114"/>
      <c r="R3" s="113"/>
      <c r="S3" s="115" t="s">
        <v>16</v>
      </c>
      <c r="T3" s="116"/>
      <c r="U3" s="116"/>
      <c r="V3" s="117"/>
      <c r="W3" s="118"/>
      <c r="X3" s="119"/>
      <c r="Y3" s="119"/>
      <c r="Z3" s="119"/>
      <c r="AA3" s="119"/>
      <c r="AB3" s="120"/>
      <c r="AC3" s="100" t="s">
        <v>17</v>
      </c>
      <c r="AD3" s="100"/>
      <c r="AE3" s="121" t="s">
        <v>18</v>
      </c>
      <c r="AF3" s="121"/>
      <c r="AG3" s="121"/>
      <c r="AH3" s="122" t="s">
        <v>19</v>
      </c>
      <c r="AI3" s="122"/>
      <c r="AJ3" s="122"/>
      <c r="AK3" s="122"/>
      <c r="AL3" s="122"/>
      <c r="AM3" s="123" t="s">
        <v>20</v>
      </c>
      <c r="AN3" s="123"/>
      <c r="AO3" s="123"/>
      <c r="AP3" s="100" t="s">
        <v>21</v>
      </c>
      <c r="AQ3" s="100"/>
      <c r="AR3" s="100"/>
      <c r="AS3" s="101" t="s">
        <v>8</v>
      </c>
      <c r="AT3" s="102"/>
      <c r="AU3" s="102"/>
      <c r="AV3" s="102"/>
      <c r="AW3" s="102"/>
      <c r="AX3" s="103"/>
      <c r="AY3" s="104" t="s">
        <v>22</v>
      </c>
      <c r="AZ3" s="104"/>
      <c r="BA3" s="104"/>
      <c r="BB3" s="17"/>
      <c r="BC3" s="105" t="s">
        <v>23</v>
      </c>
      <c r="BD3" s="105"/>
      <c r="BE3" s="105"/>
      <c r="BF3" s="18"/>
      <c r="BG3" s="104" t="s">
        <v>24</v>
      </c>
      <c r="BH3" s="104"/>
      <c r="BI3" s="104"/>
      <c r="BJ3" s="19"/>
      <c r="BK3" s="106" t="s">
        <v>25</v>
      </c>
      <c r="BL3" s="107"/>
      <c r="BM3" s="95" t="s">
        <v>26</v>
      </c>
      <c r="BN3" s="95"/>
      <c r="BO3" s="95"/>
      <c r="BP3" s="95"/>
      <c r="BQ3" s="20"/>
      <c r="BR3" s="20"/>
      <c r="BS3" s="20"/>
      <c r="BT3" s="20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2"/>
      <c r="CH3" s="23"/>
      <c r="CI3" s="23"/>
      <c r="CJ3" s="96" t="s">
        <v>27</v>
      </c>
      <c r="CK3" s="96"/>
      <c r="CL3" s="96"/>
      <c r="CM3" s="96"/>
      <c r="CN3" s="96"/>
      <c r="CO3" s="96"/>
      <c r="CP3" s="96"/>
      <c r="CQ3" s="96"/>
      <c r="CR3" s="96"/>
      <c r="CS3" s="97" t="s">
        <v>28</v>
      </c>
      <c r="CT3" s="98"/>
      <c r="CU3" s="98"/>
      <c r="CV3" s="98"/>
      <c r="CW3" s="98"/>
      <c r="CX3" s="98"/>
      <c r="CY3" s="98"/>
      <c r="CZ3" s="98"/>
      <c r="DA3" s="98"/>
      <c r="DB3" s="99"/>
      <c r="DC3" s="99"/>
    </row>
    <row r="4" spans="1:107" s="34" customFormat="1" ht="63.75" customHeight="1" thickBot="1" x14ac:dyDescent="0.3">
      <c r="A4" s="25" t="s">
        <v>29</v>
      </c>
      <c r="B4" s="25" t="s">
        <v>30</v>
      </c>
      <c r="C4" s="25" t="s">
        <v>31</v>
      </c>
      <c r="D4" s="25" t="s">
        <v>32</v>
      </c>
      <c r="E4" s="25" t="s">
        <v>33</v>
      </c>
      <c r="F4" s="25" t="s">
        <v>34</v>
      </c>
      <c r="G4" s="25" t="s">
        <v>35</v>
      </c>
      <c r="H4" s="25" t="s">
        <v>36</v>
      </c>
      <c r="I4" s="25" t="s">
        <v>37</v>
      </c>
      <c r="J4" s="25" t="s">
        <v>38</v>
      </c>
      <c r="K4" s="25" t="s">
        <v>39</v>
      </c>
      <c r="L4" s="25" t="s">
        <v>40</v>
      </c>
      <c r="M4" s="25" t="s">
        <v>41</v>
      </c>
      <c r="N4" s="25" t="s">
        <v>42</v>
      </c>
      <c r="O4" s="25" t="s">
        <v>43</v>
      </c>
      <c r="P4" s="25" t="s">
        <v>44</v>
      </c>
      <c r="Q4" s="25" t="s">
        <v>45</v>
      </c>
      <c r="R4" s="25" t="s">
        <v>46</v>
      </c>
      <c r="S4" s="25" t="s">
        <v>47</v>
      </c>
      <c r="T4" s="25" t="s">
        <v>48</v>
      </c>
      <c r="U4" s="25" t="s">
        <v>49</v>
      </c>
      <c r="V4" s="25" t="s">
        <v>50</v>
      </c>
      <c r="W4" s="25" t="s">
        <v>51</v>
      </c>
      <c r="X4" s="25" t="s">
        <v>52</v>
      </c>
      <c r="Y4" s="25" t="s">
        <v>53</v>
      </c>
      <c r="Z4" s="25" t="s">
        <v>54</v>
      </c>
      <c r="AA4" s="25" t="s">
        <v>55</v>
      </c>
      <c r="AB4" s="25" t="s">
        <v>56</v>
      </c>
      <c r="AC4" s="25" t="s">
        <v>57</v>
      </c>
      <c r="AD4" s="25" t="s">
        <v>58</v>
      </c>
      <c r="AE4" s="25" t="s">
        <v>59</v>
      </c>
      <c r="AF4" s="25" t="s">
        <v>60</v>
      </c>
      <c r="AG4" s="25" t="s">
        <v>61</v>
      </c>
      <c r="AH4" s="25" t="s">
        <v>62</v>
      </c>
      <c r="AI4" s="25" t="s">
        <v>63</v>
      </c>
      <c r="AJ4" s="25" t="s">
        <v>64</v>
      </c>
      <c r="AK4" s="25" t="s">
        <v>65</v>
      </c>
      <c r="AL4" s="25" t="s">
        <v>66</v>
      </c>
      <c r="AM4" s="25" t="s">
        <v>67</v>
      </c>
      <c r="AN4" s="25" t="s">
        <v>68</v>
      </c>
      <c r="AO4" s="25" t="s">
        <v>69</v>
      </c>
      <c r="AP4" s="25" t="s">
        <v>70</v>
      </c>
      <c r="AQ4" s="25" t="s">
        <v>71</v>
      </c>
      <c r="AR4" s="25" t="s">
        <v>72</v>
      </c>
      <c r="AS4" s="25" t="s">
        <v>73</v>
      </c>
      <c r="AT4" s="25" t="s">
        <v>74</v>
      </c>
      <c r="AU4" s="25" t="s">
        <v>75</v>
      </c>
      <c r="AV4" s="25" t="s">
        <v>76</v>
      </c>
      <c r="AW4" s="25" t="s">
        <v>77</v>
      </c>
      <c r="AX4" s="25" t="s">
        <v>78</v>
      </c>
      <c r="AY4" s="25" t="s">
        <v>79</v>
      </c>
      <c r="AZ4" s="25" t="s">
        <v>80</v>
      </c>
      <c r="BA4" s="25" t="s">
        <v>81</v>
      </c>
      <c r="BB4" s="25" t="s">
        <v>82</v>
      </c>
      <c r="BC4" s="25" t="s">
        <v>83</v>
      </c>
      <c r="BD4" s="25" t="s">
        <v>84</v>
      </c>
      <c r="BE4" s="25" t="s">
        <v>85</v>
      </c>
      <c r="BF4" s="25" t="s">
        <v>86</v>
      </c>
      <c r="BG4" s="25" t="s">
        <v>87</v>
      </c>
      <c r="BH4" s="25" t="s">
        <v>88</v>
      </c>
      <c r="BI4" s="25" t="s">
        <v>89</v>
      </c>
      <c r="BJ4" s="25" t="s">
        <v>90</v>
      </c>
      <c r="BK4" s="25" t="s">
        <v>91</v>
      </c>
      <c r="BL4" s="25" t="s">
        <v>92</v>
      </c>
      <c r="BM4" s="25" t="s">
        <v>93</v>
      </c>
      <c r="BN4" s="25" t="s">
        <v>94</v>
      </c>
      <c r="BO4" s="25" t="s">
        <v>95</v>
      </c>
      <c r="BP4" s="25" t="s">
        <v>96</v>
      </c>
      <c r="BQ4" s="25" t="s">
        <v>97</v>
      </c>
      <c r="BR4" s="25" t="s">
        <v>98</v>
      </c>
      <c r="BS4" s="25" t="s">
        <v>99</v>
      </c>
      <c r="BT4" s="25" t="s">
        <v>100</v>
      </c>
      <c r="BU4" s="25" t="s">
        <v>101</v>
      </c>
      <c r="BV4" s="25" t="s">
        <v>102</v>
      </c>
      <c r="BW4" s="25" t="s">
        <v>103</v>
      </c>
      <c r="BX4" s="25" t="s">
        <v>104</v>
      </c>
      <c r="BY4" s="25" t="s">
        <v>105</v>
      </c>
      <c r="BZ4" s="25" t="s">
        <v>106</v>
      </c>
      <c r="CA4" s="25" t="s">
        <v>107</v>
      </c>
      <c r="CB4" s="25" t="s">
        <v>108</v>
      </c>
      <c r="CC4" s="25" t="s">
        <v>109</v>
      </c>
      <c r="CD4" s="25" t="s">
        <v>110</v>
      </c>
      <c r="CE4" s="25" t="s">
        <v>111</v>
      </c>
      <c r="CF4" s="26" t="s">
        <v>112</v>
      </c>
      <c r="CG4" s="27" t="s">
        <v>113</v>
      </c>
      <c r="CH4" s="28" t="s">
        <v>114</v>
      </c>
      <c r="CI4" s="28" t="s">
        <v>115</v>
      </c>
      <c r="CJ4" s="29" t="s">
        <v>116</v>
      </c>
      <c r="CK4" s="29" t="s">
        <v>117</v>
      </c>
      <c r="CL4" s="29" t="s">
        <v>118</v>
      </c>
      <c r="CM4" s="29" t="s">
        <v>119</v>
      </c>
      <c r="CN4" s="29" t="s">
        <v>120</v>
      </c>
      <c r="CO4" s="29" t="s">
        <v>121</v>
      </c>
      <c r="CP4" s="29" t="s">
        <v>122</v>
      </c>
      <c r="CQ4" s="29" t="s">
        <v>123</v>
      </c>
      <c r="CR4" s="29" t="s">
        <v>124</v>
      </c>
      <c r="CS4" s="30" t="s">
        <v>125</v>
      </c>
      <c r="CT4" s="31" t="s">
        <v>126</v>
      </c>
      <c r="CU4" s="30" t="s">
        <v>127</v>
      </c>
      <c r="CV4" s="31" t="s">
        <v>128</v>
      </c>
      <c r="CW4" s="30" t="s">
        <v>129</v>
      </c>
      <c r="CX4" s="31" t="s">
        <v>130</v>
      </c>
      <c r="CY4" s="30" t="s">
        <v>131</v>
      </c>
      <c r="CZ4" s="31" t="s">
        <v>132</v>
      </c>
      <c r="DA4" s="30" t="s">
        <v>133</v>
      </c>
      <c r="DB4" s="32" t="s">
        <v>134</v>
      </c>
      <c r="DC4" s="33" t="s">
        <v>135</v>
      </c>
    </row>
    <row r="5" spans="1:107" s="65" customFormat="1" ht="32.25" customHeight="1" x14ac:dyDescent="0.25">
      <c r="A5" s="35" t="s">
        <v>29</v>
      </c>
      <c r="B5" s="35" t="s">
        <v>30</v>
      </c>
      <c r="C5" s="36" t="s">
        <v>31</v>
      </c>
      <c r="D5" s="37" t="s">
        <v>32</v>
      </c>
      <c r="E5" s="37" t="s">
        <v>33</v>
      </c>
      <c r="F5" s="37" t="s">
        <v>34</v>
      </c>
      <c r="G5" s="37" t="s">
        <v>35</v>
      </c>
      <c r="H5" s="37" t="s">
        <v>36</v>
      </c>
      <c r="I5" s="37" t="s">
        <v>37</v>
      </c>
      <c r="J5" s="37" t="s">
        <v>38</v>
      </c>
      <c r="K5" s="37" t="s">
        <v>39</v>
      </c>
      <c r="L5" s="38" t="s">
        <v>136</v>
      </c>
      <c r="M5" s="39" t="s">
        <v>137</v>
      </c>
      <c r="N5" s="39" t="s">
        <v>138</v>
      </c>
      <c r="O5" s="39" t="s">
        <v>139</v>
      </c>
      <c r="P5" s="39" t="s">
        <v>140</v>
      </c>
      <c r="Q5" s="39" t="s">
        <v>141</v>
      </c>
      <c r="R5" s="39" t="s">
        <v>142</v>
      </c>
      <c r="S5" s="39" t="s">
        <v>143</v>
      </c>
      <c r="T5" s="39" t="s">
        <v>144</v>
      </c>
      <c r="U5" s="39" t="s">
        <v>145</v>
      </c>
      <c r="V5" s="39" t="s">
        <v>146</v>
      </c>
      <c r="W5" s="40" t="s">
        <v>147</v>
      </c>
      <c r="X5" s="40" t="s">
        <v>148</v>
      </c>
      <c r="Y5" s="40" t="s">
        <v>149</v>
      </c>
      <c r="Z5" s="40" t="s">
        <v>150</v>
      </c>
      <c r="AA5" s="40" t="s">
        <v>151</v>
      </c>
      <c r="AB5" s="40" t="s">
        <v>152</v>
      </c>
      <c r="AC5" s="41" t="s">
        <v>153</v>
      </c>
      <c r="AD5" s="41" t="s">
        <v>154</v>
      </c>
      <c r="AE5" s="42" t="s" vm="1">
        <v>155</v>
      </c>
      <c r="AF5" s="42" t="s">
        <v>156</v>
      </c>
      <c r="AG5" s="42" t="s" vm="2">
        <v>157</v>
      </c>
      <c r="AH5" s="43" t="s">
        <v>158</v>
      </c>
      <c r="AI5" s="43" t="s">
        <v>159</v>
      </c>
      <c r="AJ5" s="43" t="s">
        <v>160</v>
      </c>
      <c r="AK5" s="43" t="s">
        <v>161</v>
      </c>
      <c r="AL5" s="43" t="s">
        <v>162</v>
      </c>
      <c r="AM5" s="44" t="s">
        <v>163</v>
      </c>
      <c r="AN5" s="44" t="s">
        <v>164</v>
      </c>
      <c r="AO5" s="44" t="s">
        <v>165</v>
      </c>
      <c r="AP5" s="41" t="s">
        <v>166</v>
      </c>
      <c r="AQ5" s="41" t="s">
        <v>167</v>
      </c>
      <c r="AR5" s="41" t="s">
        <v>168</v>
      </c>
      <c r="AS5" s="45" t="s">
        <v>169</v>
      </c>
      <c r="AT5" s="45" t="s">
        <v>170</v>
      </c>
      <c r="AU5" s="45" t="s">
        <v>171</v>
      </c>
      <c r="AV5" s="46" t="s">
        <v>172</v>
      </c>
      <c r="AW5" s="47" t="s">
        <v>173</v>
      </c>
      <c r="AX5" s="48" t="s">
        <v>174</v>
      </c>
      <c r="AY5" s="49" t="s">
        <v>175</v>
      </c>
      <c r="AZ5" s="49" t="s">
        <v>176</v>
      </c>
      <c r="BA5" s="49" t="s">
        <v>177</v>
      </c>
      <c r="BB5" s="49" t="s">
        <v>178</v>
      </c>
      <c r="BC5" s="50" t="s">
        <v>179</v>
      </c>
      <c r="BD5" s="50" t="s">
        <v>180</v>
      </c>
      <c r="BE5" s="50" t="s">
        <v>181</v>
      </c>
      <c r="BF5" s="50" t="s">
        <v>182</v>
      </c>
      <c r="BG5" s="49" t="s">
        <v>183</v>
      </c>
      <c r="BH5" s="49" t="s">
        <v>184</v>
      </c>
      <c r="BI5" s="49" t="s">
        <v>185</v>
      </c>
      <c r="BJ5" s="49" t="s">
        <v>186</v>
      </c>
      <c r="BK5" s="51" t="s">
        <v>187</v>
      </c>
      <c r="BL5" s="51" t="s">
        <v>188</v>
      </c>
      <c r="BM5" s="52" t="s">
        <v>189</v>
      </c>
      <c r="BN5" s="52" t="s">
        <v>190</v>
      </c>
      <c r="BO5" s="52" t="s">
        <v>191</v>
      </c>
      <c r="BP5" s="52" t="s">
        <v>192</v>
      </c>
      <c r="BQ5" s="53" t="s">
        <v>193</v>
      </c>
      <c r="BR5" s="53" t="s">
        <v>194</v>
      </c>
      <c r="BS5" s="53" t="s">
        <v>195</v>
      </c>
      <c r="BT5" s="53" t="s">
        <v>196</v>
      </c>
      <c r="BU5" s="54" t="s">
        <v>197</v>
      </c>
      <c r="BV5" s="54" t="s">
        <v>198</v>
      </c>
      <c r="BW5" s="54" t="s">
        <v>199</v>
      </c>
      <c r="BX5" s="54" t="s">
        <v>200</v>
      </c>
      <c r="BY5" s="54" t="s">
        <v>201</v>
      </c>
      <c r="BZ5" s="54" t="s">
        <v>202</v>
      </c>
      <c r="CA5" s="54" t="s">
        <v>203</v>
      </c>
      <c r="CB5" s="54" t="s">
        <v>204</v>
      </c>
      <c r="CC5" s="54" t="s">
        <v>205</v>
      </c>
      <c r="CD5" s="54" t="s">
        <v>206</v>
      </c>
      <c r="CE5" s="54" t="s">
        <v>207</v>
      </c>
      <c r="CF5" s="54" t="s">
        <v>208</v>
      </c>
      <c r="CG5" s="55" t="s">
        <v>209</v>
      </c>
      <c r="CH5" s="56" t="s">
        <v>210</v>
      </c>
      <c r="CI5" s="56" t="s">
        <v>211</v>
      </c>
      <c r="CJ5" s="57" t="s">
        <v>212</v>
      </c>
      <c r="CK5" s="57" t="s">
        <v>213</v>
      </c>
      <c r="CL5" s="58" t="s">
        <v>214</v>
      </c>
      <c r="CM5" s="57" t="s">
        <v>215</v>
      </c>
      <c r="CN5" s="58" t="s">
        <v>216</v>
      </c>
      <c r="CO5" s="57" t="s">
        <v>217</v>
      </c>
      <c r="CP5" s="58" t="s">
        <v>218</v>
      </c>
      <c r="CQ5" s="57" t="s">
        <v>219</v>
      </c>
      <c r="CR5" s="59" t="s">
        <v>220</v>
      </c>
      <c r="CS5" s="60" t="s">
        <v>221</v>
      </c>
      <c r="CT5" s="61" t="s">
        <v>222</v>
      </c>
      <c r="CU5" s="62" t="s">
        <v>223</v>
      </c>
      <c r="CV5" s="61" t="s">
        <v>224</v>
      </c>
      <c r="CW5" s="62" t="s">
        <v>225</v>
      </c>
      <c r="CX5" s="61" t="s">
        <v>226</v>
      </c>
      <c r="CY5" s="62" t="s">
        <v>227</v>
      </c>
      <c r="CZ5" s="61" t="s">
        <v>228</v>
      </c>
      <c r="DA5" s="62" t="s">
        <v>229</v>
      </c>
      <c r="DB5" s="63" t="s">
        <v>230</v>
      </c>
      <c r="DC5" s="64" t="s">
        <v>231</v>
      </c>
    </row>
    <row r="6" spans="1:107" x14ac:dyDescent="0.25">
      <c r="A6" s="66">
        <v>4</v>
      </c>
      <c r="B6" s="67" t="str" vm="4">
        <f t="shared" ref="B6:B69" si="1">ReportMonth</f>
        <v>Mar-2021</v>
      </c>
      <c r="C6" s="67"/>
      <c r="D6" s="67" t="s">
        <v>232</v>
      </c>
      <c r="E6" s="67" t="s">
        <v>233</v>
      </c>
      <c r="F6" s="67" t="s">
        <v>234</v>
      </c>
      <c r="G6" s="67"/>
      <c r="H6" s="67" t="s">
        <v>235</v>
      </c>
      <c r="I6" s="67" t="s">
        <v>236</v>
      </c>
      <c r="J6" s="67" t="s">
        <v>237</v>
      </c>
      <c r="K6" s="67" t="s">
        <v>238</v>
      </c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t="str" vm="3324">
        <f>CUBEVALUE(ConnectionString,ReportMonth,Table1[[#This Row],[Site ID (from DATIM)]],"TX_NEW_2VIS")</f>
        <v/>
      </c>
      <c r="AE6" s="67" t="str" vm="2899">
        <f>CUBEVALUE(ConnectionString,ReportMonth,Table1[[#This Row],[Site ID (from DATIM)]],INDEX(SDI_Measures,1))</f>
        <v/>
      </c>
      <c r="AF6" s="67" t="str" vm="1253">
        <f>CUBEVALUE(ConnectionString,ReportMonth,Table1[[#This Row],[Site ID (from DATIM)]],INDEX(SDI_Measures,2))</f>
        <v/>
      </c>
      <c r="AG6" s="67" t="str" vm="1669">
        <f>CUBEVALUE(ConnectionString,ReportMonth,Table1[[#This Row],[Site ID (from DATIM)]],INDEX(SDI_Measures,3))</f>
        <v/>
      </c>
      <c r="AH6" vm="2016">
        <f>CUBEVALUE(ConnectionString,ReportMonth,Table1[[#This Row],[Site ID (from DATIM)]],"TX_CURR_PRIOR_MONTH")</f>
        <v>72</v>
      </c>
      <c r="AI6" vm="623">
        <f>CUBEVALUE(ConnectionString,ReportMonth,Table1[[#This Row],[Site ID (from DATIM)]],"TX_CURR")</f>
        <v>72</v>
      </c>
      <c r="AJ6" t="str" vm="2623">
        <f>CUBEVALUE(ConnectionString,ReportMonth,Table1[[#This Row],[Site ID (from DATIM)]],"[Measures].[TI]")</f>
        <v/>
      </c>
      <c r="AK6" t="str" vm="3777">
        <f>CUBEVALUE(ConnectionString,ReportMonth,Table1[[#This Row],[Site ID (from DATIM)]],"[Measures].[TO]")</f>
        <v/>
      </c>
      <c r="AL6" t="str" vm="1492">
        <f>CUBEVALUE(ConnectionString,ReportMonth,Table1[[#This Row],[Site ID (from DATIM)]],"[Measures].[DIED]")</f>
        <v/>
      </c>
      <c r="AM6" s="67" vm="4912">
        <f>CUBEVALUE(ConnectionString,ReportMonth,Table1[[#This Row],[Site ID (from DATIM)]],"[Measures].[MMS_01_31]")</f>
        <v>21</v>
      </c>
      <c r="AN6" s="67" vm="7602">
        <f>CUBEVALUE(ConnectionString,ReportMonth,Table1[[#This Row],[Site ID (from DATIM)]],"[Measures].[MMS_32_62]")</f>
        <v>2</v>
      </c>
      <c r="AO6" s="67" vm="6265">
        <f>CUBEVALUE(ConnectionString,ReportMonth,Table1[[#This Row],[Site ID (from DATIM)]],"[Measures].[MMS_63+]")</f>
        <v>49</v>
      </c>
      <c r="AP6" s="67" vm="7561">
        <f>CUBEVALUE(ConnectionString,ReportMonth,Table1[[#This Row],[Site ID (from DATIM)]],"[Measures].[TBPREV_D]")</f>
        <v>3</v>
      </c>
      <c r="AQ6" s="67" vm="4824">
        <f>CUBEVALUE(ConnectionString,ReportMonth,Table1[[#This Row],[Site ID (from DATIM)]],"[Measures].[TBPREV_N]")</f>
        <v>3</v>
      </c>
      <c r="AR6" s="67" t="str" vm="11575">
        <f>CUBEVALUE(ConnectionString,ReportMonth,Table1[[#This Row],[Site ID (from DATIM)]],"[Measures].[TBPREV_NEW]")</f>
        <v/>
      </c>
      <c r="AS6" s="67" vm="11382">
        <f>CUBEVALUE(ConnectionString,ReportMonth,Table1[[#This Row],[Site ID (from DATIM)]],"[Measures].[HVL_ELIG_P]")</f>
        <v>8</v>
      </c>
      <c r="AT6" s="67" vm="6345">
        <f>CUBEVALUE(ConnectionString,ReportMonth,Table1[[#This Row],[Site ID (from DATIM)]],"[Measures].[HVL_D_P]")</f>
        <v>5</v>
      </c>
      <c r="AU6" s="67" vm="10012">
        <f>CUBEVALUE(ConnectionString,ReportMonth,Table1[[#This Row],[Site ID (from DATIM)]],"[Measures].[HVL_N_P]")</f>
        <v>5</v>
      </c>
      <c r="AV6" s="67" vm="8125">
        <f>CUBEVALUE(ConnectionString,ReportMonth,Table1[[#This Row],[Site ID (from DATIM)]],"[Measures].[HVL_ELIG_A]")</f>
        <v>52</v>
      </c>
      <c r="AW6" s="67" vm="7244">
        <f>CUBEVALUE(ConnectionString,ReportMonth,Table1[[#This Row],[Site ID (from DATIM)]],"[Measures].[HVL_D_A]")</f>
        <v>46</v>
      </c>
      <c r="AX6" s="67" vm="10534">
        <f>CUBEVALUE(ConnectionString,ReportMonth,Table1[[#This Row],[Site ID (from DATIM)]],"[Measures].[HVL_N_A]")</f>
        <v>40</v>
      </c>
      <c r="AY6" s="67"/>
      <c r="AZ6" s="67"/>
      <c r="BA6" s="67"/>
      <c r="BB6" s="67"/>
      <c r="BC6" s="67"/>
      <c r="BD6" s="67"/>
      <c r="BE6" s="67"/>
      <c r="BF6" s="67"/>
      <c r="BG6" s="67" t="str" vm="13574">
        <f>CUBEVALUE(ConnectionString,ReportMonth,Table1[[#This Row],[Site ID (from DATIM)]],"[Measures].[TX_NEW_F_A]")</f>
        <v/>
      </c>
      <c r="BH6" s="67" t="str" vm="17440">
        <f>CUBEVALUE(ConnectionString,ReportMonth,Table1[[#This Row],[Site ID (from DATIM)]],"[Measures].[TX_NEW_M_A]")</f>
        <v/>
      </c>
      <c r="BI6" s="67" t="str" vm="13734">
        <f>CUBEVALUE(ConnectionString,ReportMonth,Table1[[#This Row],[Site ID (from DATIM)]],"[Measures].[TX_NEW_F_P]")</f>
        <v/>
      </c>
      <c r="BJ6" s="67" t="str" vm="16564">
        <f>CUBEVALUE(ConnectionString,ReportMonth,Table1[[#This Row],[Site ID (from DATIM)]],"[Measures].[TX_NEW_M_P]")</f>
        <v/>
      </c>
      <c r="BK6" s="68"/>
      <c r="BL6" s="68"/>
      <c r="BM6" s="68"/>
      <c r="BN6" s="68"/>
      <c r="BO6" s="68"/>
      <c r="BP6" s="68"/>
      <c r="BQ6" s="67" vm="9146">
        <f>CUBEVALUE(ConnectionString,ReportMonth,Table1[[#This Row],[Site ID (from DATIM)]],"[Measures].[TX_CURR_F_P]")</f>
        <v>6</v>
      </c>
      <c r="BR6" s="67" vm="8503">
        <f>CUBEVALUE(ConnectionString,ReportMonth,Table1[[#This Row],[Site ID (from DATIM)]],"[Measures].[TX_CURR_M_P]")</f>
        <v>4</v>
      </c>
      <c r="BS6" s="67" vm="11614">
        <f>CUBEVALUE(ConnectionString,ReportMonth,Table1[[#This Row],[Site ID (from DATIM)]],"[Measures].[TX_CURR_F_A]")</f>
        <v>44</v>
      </c>
      <c r="BT6" s="67" vm="13209">
        <f>CUBEVALUE(ConnectionString,ReportMonth,Table1[[#This Row],[Site ID (from DATIM)]],"[Measures].[TX_CURR_M_A]")</f>
        <v>19</v>
      </c>
      <c r="BU6" s="67" vm="18692">
        <f>CUBEVALUE(ConnectionString,ReportMonth,Table1[[#This Row],[Site ID (from DATIM)]],"[Measures].[MMS_01_89_F_P]")</f>
        <v>3</v>
      </c>
      <c r="BV6" s="67" vm="19096">
        <f>CUBEVALUE(ConnectionString,ReportMonth,Table1[[#This Row],[Site ID (from DATIM)]],"[Measures].[MMS_01_89_M_P]")</f>
        <v>3</v>
      </c>
      <c r="BW6" s="67" vm="20074">
        <f>CUBEVALUE(ConnectionString,ReportMonth,Table1[[#This Row],[Site ID (from DATIM)]],"[Measures].[MMS_01_89_F_A]")</f>
        <v>11</v>
      </c>
      <c r="BX6" s="67" vm="19183">
        <f>CUBEVALUE(ConnectionString,ReportMonth,Table1[[#This Row],[Site ID (from DATIM)]],"[Measures].[MMS_01_89_M_A]")</f>
        <v>7</v>
      </c>
      <c r="BY6" s="67" vm="16002">
        <f>CUBEVALUE(ConnectionString,ReportMonth,Table1[[#This Row],[Site ID (from DATIM)]],"[Measures].[MMS_90_179_F_P]")</f>
        <v>3</v>
      </c>
      <c r="BZ6" s="67" vm="18802">
        <f>CUBEVALUE(ConnectionString,ReportMonth,Table1[[#This Row],[Site ID (from DATIM)]],"[Measures].[MMS_90_179_M_P]")</f>
        <v>1</v>
      </c>
      <c r="CA6" s="67" vm="19292">
        <f>CUBEVALUE(ConnectionString,ReportMonth,Table1[[#This Row],[Site ID (from DATIM)]],"[Measures].[MMS_90_179_F_A]")</f>
        <v>33</v>
      </c>
      <c r="CB6" s="67" vm="16765">
        <f>CUBEVALUE(ConnectionString,ReportMonth,Table1[[#This Row],[Site ID (from DATIM)]],"[Measures].[MMS_90_179_M_A]")</f>
        <v>12</v>
      </c>
      <c r="CC6" s="67" t="str" vm="15153">
        <f>CUBEVALUE(ConnectionString,ReportMonth,Table1[[#This Row],[Site ID (from DATIM)]],"[Measures].[MMS_180+_F_P]")</f>
        <v/>
      </c>
      <c r="CD6" s="67" t="str" vm="16788">
        <f>CUBEVALUE(ConnectionString,ReportMonth,Table1[[#This Row],[Site ID (from DATIM)]],"[Measures].[MMS_180+_M_P]")</f>
        <v/>
      </c>
      <c r="CE6" s="67" t="str" vm="15465">
        <f>CUBEVALUE(ConnectionString,ReportMonth,Table1[[#This Row],[Site ID (from DATIM)]],"[Measures].[MMS_180+_F_A]")</f>
        <v/>
      </c>
      <c r="CF6" s="67" t="str" vm="7">
        <f>CUBEVALUE(ConnectionString,ReportMonth,Table1[[#This Row],[Site ID (from DATIM)]],"[Measures].[MMS_180+_M_A]")</f>
        <v/>
      </c>
      <c r="CG6" s="67" vm="8355">
        <f>CUBEVALUE(ConnectionString,ReportMonth,Table1[[#This Row],[Site ID (from DATIM)]],"[Measures].[MISSEDAPP]")</f>
        <v>39</v>
      </c>
      <c r="CH6" s="67" t="str" vm="11936">
        <f>CUBEVALUE(ConnectionString,ReportMonth,Table1[[#This Row],[Site ID (from DATIM)]],"[Measures].[MMS_180+_P]")</f>
        <v/>
      </c>
      <c r="CI6" s="67" t="str" vm="14014">
        <f>CUBEVALUE(ConnectionString,ReportMonth,Table1[[#This Row],[Site ID (from DATIM)]],"[Measures].[MMS_180+_A]")</f>
        <v/>
      </c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</row>
    <row r="7" spans="1:107" x14ac:dyDescent="0.25">
      <c r="A7" s="66">
        <v>4</v>
      </c>
      <c r="B7" s="67" t="str" vm="4">
        <f t="shared" si="1"/>
        <v>Mar-2021</v>
      </c>
      <c r="C7" s="67"/>
      <c r="D7" s="67" t="s">
        <v>232</v>
      </c>
      <c r="E7" s="67" t="s">
        <v>233</v>
      </c>
      <c r="F7" s="67" t="s">
        <v>437</v>
      </c>
      <c r="G7" s="67"/>
      <c r="H7" s="67" t="s">
        <v>438</v>
      </c>
      <c r="I7" s="67" t="s">
        <v>439</v>
      </c>
      <c r="J7" s="67" t="s">
        <v>440</v>
      </c>
      <c r="K7" s="67" t="s">
        <v>441</v>
      </c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 t="str" vm="2047">
        <f>CUBEVALUE(ConnectionString,ReportMonth,Table1[[#This Row],[Site ID (from DATIM)]],"TX_NEW_2VIS")</f>
        <v/>
      </c>
      <c r="AE7" s="67" vm="2884">
        <f>CUBEVALUE(ConnectionString,ReportMonth,Table1[[#This Row],[Site ID (from DATIM)]],INDEX(SDI_Measures,1))</f>
        <v>1</v>
      </c>
      <c r="AF7" s="67" t="str" vm="972">
        <f>CUBEVALUE(ConnectionString,ReportMonth,Table1[[#This Row],[Site ID (from DATIM)]],INDEX(SDI_Measures,2))</f>
        <v/>
      </c>
      <c r="AG7" s="67" t="str" vm="3262">
        <f>CUBEVALUE(ConnectionString,ReportMonth,Table1[[#This Row],[Site ID (from DATIM)]],INDEX(SDI_Measures,3))</f>
        <v/>
      </c>
      <c r="AH7" s="67" vm="2309">
        <f>CUBEVALUE(ConnectionString,ReportMonth,Table1[[#This Row],[Site ID (from DATIM)]],"TX_CURR_PRIOR_MONTH")</f>
        <v>51</v>
      </c>
      <c r="AI7" s="67" vm="5766">
        <f>CUBEVALUE(ConnectionString,ReportMonth,Table1[[#This Row],[Site ID (from DATIM)]],"TX_CURR")</f>
        <v>43</v>
      </c>
      <c r="AJ7" s="67" t="str" vm="3803">
        <f>CUBEVALUE(ConnectionString,ReportMonth,Table1[[#This Row],[Site ID (from DATIM)]],"[Measures].[TI]")</f>
        <v/>
      </c>
      <c r="AK7" s="67" t="str" vm="1401">
        <f>CUBEVALUE(ConnectionString,ReportMonth,Table1[[#This Row],[Site ID (from DATIM)]],"[Measures].[TO]")</f>
        <v/>
      </c>
      <c r="AL7" s="67" t="str" vm="3368">
        <f>CUBEVALUE(ConnectionString,ReportMonth,Table1[[#This Row],[Site ID (from DATIM)]],"[Measures].[DIED]")</f>
        <v/>
      </c>
      <c r="AM7" s="67" vm="5866">
        <f>CUBEVALUE(ConnectionString,ReportMonth,Table1[[#This Row],[Site ID (from DATIM)]],"[Measures].[MMS_01_31]")</f>
        <v>38</v>
      </c>
      <c r="AN7" s="67" t="str" vm="7871">
        <f>CUBEVALUE(ConnectionString,ReportMonth,Table1[[#This Row],[Site ID (from DATIM)]],"[Measures].[MMS_32_62]")</f>
        <v/>
      </c>
      <c r="AO7" s="67" vm="7780">
        <f>CUBEVALUE(ConnectionString,ReportMonth,Table1[[#This Row],[Site ID (from DATIM)]],"[Measures].[MMS_63+]")</f>
        <v>5</v>
      </c>
      <c r="AP7" s="67" vm="7666">
        <f>CUBEVALUE(ConnectionString,ReportMonth,Table1[[#This Row],[Site ID (from DATIM)]],"[Measures].[TBPREV_D]")</f>
        <v>4</v>
      </c>
      <c r="AQ7" s="67" vm="10982">
        <f>CUBEVALUE(ConnectionString,ReportMonth,Table1[[#This Row],[Site ID (from DATIM)]],"[Measures].[TBPREV_N]")</f>
        <v>1</v>
      </c>
      <c r="AR7" s="67" t="str" vm="6487">
        <f>CUBEVALUE(ConnectionString,ReportMonth,Table1[[#This Row],[Site ID (from DATIM)]],"[Measures].[TBPREV_NEW]")</f>
        <v/>
      </c>
      <c r="AS7" s="67" t="str" vm="12456">
        <f>CUBEVALUE(ConnectionString,ReportMonth,Table1[[#This Row],[Site ID (from DATIM)]],"[Measures].[HVL_ELIG_P]")</f>
        <v/>
      </c>
      <c r="AT7" s="67" t="str" vm="10801">
        <f>CUBEVALUE(ConnectionString,ReportMonth,Table1[[#This Row],[Site ID (from DATIM)]],"[Measures].[HVL_D_P]")</f>
        <v/>
      </c>
      <c r="AU7" s="67" t="str" vm="13853">
        <f>CUBEVALUE(ConnectionString,ReportMonth,Table1[[#This Row],[Site ID (from DATIM)]],"[Measures].[HVL_N_P]")</f>
        <v/>
      </c>
      <c r="AV7" s="68" vm="8551">
        <f>CUBEVALUE(ConnectionString,ReportMonth,Table1[[#This Row],[Site ID (from DATIM)]],"[Measures].[HVL_ELIG_A]")</f>
        <v>35</v>
      </c>
      <c r="AW7" s="68" vm="10586">
        <f>CUBEVALUE(ConnectionString,ReportMonth,Table1[[#This Row],[Site ID (from DATIM)]],"[Measures].[HVL_D_A]")</f>
        <v>13</v>
      </c>
      <c r="AX7" s="68" vm="10287">
        <f>CUBEVALUE(ConnectionString,ReportMonth,Table1[[#This Row],[Site ID (from DATIM)]],"[Measures].[HVL_N_A]")</f>
        <v>11</v>
      </c>
      <c r="AY7" s="67"/>
      <c r="AZ7" s="67"/>
      <c r="BA7" s="67"/>
      <c r="BB7" s="67"/>
      <c r="BC7" s="67"/>
      <c r="BD7" s="67"/>
      <c r="BE7" s="67"/>
      <c r="BF7" s="67"/>
      <c r="BG7" s="67" vm="13353">
        <f>CUBEVALUE(ConnectionString,ReportMonth,Table1[[#This Row],[Site ID (from DATIM)]],"[Measures].[TX_NEW_F_A]")</f>
        <v>1</v>
      </c>
      <c r="BH7" s="67" t="str" vm="14138">
        <f>CUBEVALUE(ConnectionString,ReportMonth,Table1[[#This Row],[Site ID (from DATIM)]],"[Measures].[TX_NEW_M_A]")</f>
        <v/>
      </c>
      <c r="BI7" s="67" t="str" vm="14415">
        <f>CUBEVALUE(ConnectionString,ReportMonth,Table1[[#This Row],[Site ID (from DATIM)]],"[Measures].[TX_NEW_F_P]")</f>
        <v/>
      </c>
      <c r="BJ7" s="68" t="str" vm="13442">
        <f>CUBEVALUE(ConnectionString,ReportMonth,Table1[[#This Row],[Site ID (from DATIM)]],"[Measures].[TX_NEW_M_P]")</f>
        <v/>
      </c>
      <c r="BK7" s="68"/>
      <c r="BL7" s="68"/>
      <c r="BM7" s="68"/>
      <c r="BN7" s="68"/>
      <c r="BO7" s="68"/>
      <c r="BP7" s="68"/>
      <c r="BQ7" s="68" t="str" vm="8861">
        <f>CUBEVALUE(ConnectionString,ReportMonth,Table1[[#This Row],[Site ID (from DATIM)]],"[Measures].[TX_CURR_F_P]")</f>
        <v/>
      </c>
      <c r="BR7" s="68" t="str" vm="10572">
        <f>CUBEVALUE(ConnectionString,ReportMonth,Table1[[#This Row],[Site ID (from DATIM)]],"[Measures].[TX_CURR_M_P]")</f>
        <v/>
      </c>
      <c r="BS7" s="68" vm="13498">
        <f>CUBEVALUE(ConnectionString,ReportMonth,Table1[[#This Row],[Site ID (from DATIM)]],"[Measures].[TX_CURR_F_A]")</f>
        <v>41</v>
      </c>
      <c r="BT7" s="68" vm="11201">
        <f>CUBEVALUE(ConnectionString,ReportMonth,Table1[[#This Row],[Site ID (from DATIM)]],"[Measures].[TX_CURR_M_A]")</f>
        <v>2</v>
      </c>
      <c r="BU7" s="68" t="str" vm="18413">
        <f>CUBEVALUE(ConnectionString,ReportMonth,Table1[[#This Row],[Site ID (from DATIM)]],"[Measures].[MMS_01_89_F_P]")</f>
        <v/>
      </c>
      <c r="BV7" s="68" t="str" vm="19691">
        <f>CUBEVALUE(ConnectionString,ReportMonth,Table1[[#This Row],[Site ID (from DATIM)]],"[Measures].[MMS_01_89_M_P]")</f>
        <v/>
      </c>
      <c r="BW7" s="68" vm="20159">
        <f>CUBEVALUE(ConnectionString,ReportMonth,Table1[[#This Row],[Site ID (from DATIM)]],"[Measures].[MMS_01_89_F_A]")</f>
        <v>36</v>
      </c>
      <c r="BX7" s="68" vm="18561">
        <f>CUBEVALUE(ConnectionString,ReportMonth,Table1[[#This Row],[Site ID (from DATIM)]],"[Measures].[MMS_01_89_M_A]")</f>
        <v>2</v>
      </c>
      <c r="BY7" s="68" t="str" vm="17995">
        <f>CUBEVALUE(ConnectionString,ReportMonth,Table1[[#This Row],[Site ID (from DATIM)]],"[Measures].[MMS_90_179_F_P]")</f>
        <v/>
      </c>
      <c r="BZ7" s="68" t="str" vm="16047">
        <f>CUBEVALUE(ConnectionString,ReportMonth,Table1[[#This Row],[Site ID (from DATIM)]],"[Measures].[MMS_90_179_M_P]")</f>
        <v/>
      </c>
      <c r="CA7" s="68" vm="14769">
        <f>CUBEVALUE(ConnectionString,ReportMonth,Table1[[#This Row],[Site ID (from DATIM)]],"[Measures].[MMS_90_179_F_A]")</f>
        <v>5</v>
      </c>
      <c r="CB7" s="68" t="str" vm="16471">
        <f>CUBEVALUE(ConnectionString,ReportMonth,Table1[[#This Row],[Site ID (from DATIM)]],"[Measures].[MMS_90_179_M_A]")</f>
        <v/>
      </c>
      <c r="CC7" s="68" t="str" vm="17251">
        <f>CUBEVALUE(ConnectionString,ReportMonth,Table1[[#This Row],[Site ID (from DATIM)]],"[Measures].[MMS_180+_F_P]")</f>
        <v/>
      </c>
      <c r="CD7" s="68" t="str" vm="14999">
        <f>CUBEVALUE(ConnectionString,ReportMonth,Table1[[#This Row],[Site ID (from DATIM)]],"[Measures].[MMS_180+_M_P]")</f>
        <v/>
      </c>
      <c r="CE7" s="68" t="str" vm="15838">
        <f>CUBEVALUE(ConnectionString,ReportMonth,Table1[[#This Row],[Site ID (from DATIM)]],"[Measures].[MMS_180+_F_A]")</f>
        <v/>
      </c>
      <c r="CF7" s="68" t="str" vm="147">
        <f>CUBEVALUE(ConnectionString,ReportMonth,Table1[[#This Row],[Site ID (from DATIM)]],"[Measures].[MMS_180+_M_A]")</f>
        <v/>
      </c>
      <c r="CG7" s="68" vm="9103">
        <f>CUBEVALUE(ConnectionString,ReportMonth,Table1[[#This Row],[Site ID (from DATIM)]],"[Measures].[MISSEDAPP]")</f>
        <v>36</v>
      </c>
      <c r="CH7" s="68" t="str" vm="11897">
        <f>CUBEVALUE(ConnectionString,ReportMonth,Table1[[#This Row],[Site ID (from DATIM)]],"[Measures].[MMS_180+_P]")</f>
        <v/>
      </c>
      <c r="CI7" s="68" t="str" vm="13135">
        <f>CUBEVALUE(ConnectionString,ReportMonth,Table1[[#This Row],[Site ID (from DATIM)]],"[Measures].[MMS_180+_A]")</f>
        <v/>
      </c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</row>
    <row r="8" spans="1:107" x14ac:dyDescent="0.25">
      <c r="A8" s="66">
        <v>4</v>
      </c>
      <c r="B8" s="67" t="str" vm="4">
        <f t="shared" si="1"/>
        <v>Mar-2021</v>
      </c>
      <c r="C8" s="67"/>
      <c r="D8" s="67" t="s">
        <v>232</v>
      </c>
      <c r="E8" s="67" t="s">
        <v>233</v>
      </c>
      <c r="F8" s="67" t="s">
        <v>234</v>
      </c>
      <c r="G8" s="67"/>
      <c r="H8" s="67" t="s">
        <v>239</v>
      </c>
      <c r="I8" s="67" t="s">
        <v>240</v>
      </c>
      <c r="J8" s="67" t="s">
        <v>241</v>
      </c>
      <c r="K8" s="67" t="s">
        <v>242</v>
      </c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 vm="1256">
        <f>CUBEVALUE(ConnectionString,ReportMonth,Table1[[#This Row],[Site ID (from DATIM)]],"TX_NEW_2VIS")</f>
        <v>1</v>
      </c>
      <c r="AE8" s="67" vm="3379">
        <f>CUBEVALUE(ConnectionString,ReportMonth,Table1[[#This Row],[Site ID (from DATIM)]],INDEX(SDI_Measures,1))</f>
        <v>1</v>
      </c>
      <c r="AF8" s="67" t="str" vm="2606">
        <f>CUBEVALUE(ConnectionString,ReportMonth,Table1[[#This Row],[Site ID (from DATIM)]],INDEX(SDI_Measures,2))</f>
        <v/>
      </c>
      <c r="AG8" s="67" t="str" vm="2673">
        <f>CUBEVALUE(ConnectionString,ReportMonth,Table1[[#This Row],[Site ID (from DATIM)]],INDEX(SDI_Measures,3))</f>
        <v/>
      </c>
      <c r="AH8" s="67" vm="1435">
        <f>CUBEVALUE(ConnectionString,ReportMonth,Table1[[#This Row],[Site ID (from DATIM)]],"TX_CURR_PRIOR_MONTH")</f>
        <v>524</v>
      </c>
      <c r="AI8" s="67" vm="2842">
        <f>CUBEVALUE(ConnectionString,ReportMonth,Table1[[#This Row],[Site ID (from DATIM)]],"TX_CURR")</f>
        <v>498</v>
      </c>
      <c r="AJ8" s="67" t="str" vm="3416">
        <f>CUBEVALUE(ConnectionString,ReportMonth,Table1[[#This Row],[Site ID (from DATIM)]],"[Measures].[TI]")</f>
        <v/>
      </c>
      <c r="AK8" s="67" vm="3329">
        <f>CUBEVALUE(ConnectionString,ReportMonth,Table1[[#This Row],[Site ID (from DATIM)]],"[Measures].[TO]")</f>
        <v>1</v>
      </c>
      <c r="AL8" s="67" vm="2614">
        <f>CUBEVALUE(ConnectionString,ReportMonth,Table1[[#This Row],[Site ID (from DATIM)]],"[Measures].[DIED]")</f>
        <v>1</v>
      </c>
      <c r="AM8" s="67" vm="4218">
        <f>CUBEVALUE(ConnectionString,ReportMonth,Table1[[#This Row],[Site ID (from DATIM)]],"[Measures].[MMS_01_31]")</f>
        <v>43</v>
      </c>
      <c r="AN8" s="67" vm="10520">
        <f>CUBEVALUE(ConnectionString,ReportMonth,Table1[[#This Row],[Site ID (from DATIM)]],"[Measures].[MMS_32_62]")</f>
        <v>13</v>
      </c>
      <c r="AO8" s="67" vm="10485">
        <f>CUBEVALUE(ConnectionString,ReportMonth,Table1[[#This Row],[Site ID (from DATIM)]],"[Measures].[MMS_63+]")</f>
        <v>442</v>
      </c>
      <c r="AP8" s="67" vm="5067">
        <f>CUBEVALUE(ConnectionString,ReportMonth,Table1[[#This Row],[Site ID (from DATIM)]],"[Measures].[TBPREV_D]")</f>
        <v>41</v>
      </c>
      <c r="AQ8" s="67" vm="7559">
        <f>CUBEVALUE(ConnectionString,ReportMonth,Table1[[#This Row],[Site ID (from DATIM)]],"[Measures].[TBPREV_N]")</f>
        <v>18</v>
      </c>
      <c r="AR8" s="67" vm="6689">
        <f>CUBEVALUE(ConnectionString,ReportMonth,Table1[[#This Row],[Site ID (from DATIM)]],"[Measures].[TBPREV_NEW]")</f>
        <v>1</v>
      </c>
      <c r="AS8" s="67" vm="8246">
        <f>CUBEVALUE(ConnectionString,ReportMonth,Table1[[#This Row],[Site ID (from DATIM)]],"[Measures].[HVL_ELIG_P]")</f>
        <v>14</v>
      </c>
      <c r="AT8" s="67" vm="5759">
        <f>CUBEVALUE(ConnectionString,ReportMonth,Table1[[#This Row],[Site ID (from DATIM)]],"[Measures].[HVL_D_P]")</f>
        <v>7</v>
      </c>
      <c r="AU8" s="67" vm="8836">
        <f>CUBEVALUE(ConnectionString,ReportMonth,Table1[[#This Row],[Site ID (from DATIM)]],"[Measures].[HVL_N_P]")</f>
        <v>6</v>
      </c>
      <c r="AV8" s="68" vm="8082">
        <f>CUBEVALUE(ConnectionString,ReportMonth,Table1[[#This Row],[Site ID (from DATIM)]],"[Measures].[HVL_ELIG_A]")</f>
        <v>460</v>
      </c>
      <c r="AW8" s="68" vm="8898">
        <f>CUBEVALUE(ConnectionString,ReportMonth,Table1[[#This Row],[Site ID (from DATIM)]],"[Measures].[HVL_D_A]")</f>
        <v>216</v>
      </c>
      <c r="AX8" s="68" vm="8063">
        <f>CUBEVALUE(ConnectionString,ReportMonth,Table1[[#This Row],[Site ID (from DATIM)]],"[Measures].[HVL_N_A]")</f>
        <v>203</v>
      </c>
      <c r="AY8" s="67"/>
      <c r="AZ8" s="67"/>
      <c r="BA8" s="67"/>
      <c r="BB8" s="67"/>
      <c r="BC8" s="67"/>
      <c r="BD8" s="67"/>
      <c r="BE8" s="67"/>
      <c r="BF8" s="67"/>
      <c r="BG8" s="67" vm="13786">
        <f>CUBEVALUE(ConnectionString,ReportMonth,Table1[[#This Row],[Site ID (from DATIM)]],"[Measures].[TX_NEW_F_A]")</f>
        <v>1</v>
      </c>
      <c r="BH8" s="67" t="str" vm="12559">
        <f>CUBEVALUE(ConnectionString,ReportMonth,Table1[[#This Row],[Site ID (from DATIM)]],"[Measures].[TX_NEW_M_A]")</f>
        <v/>
      </c>
      <c r="BI8" s="67" t="str" vm="16558">
        <f>CUBEVALUE(ConnectionString,ReportMonth,Table1[[#This Row],[Site ID (from DATIM)]],"[Measures].[TX_NEW_F_P]")</f>
        <v/>
      </c>
      <c r="BJ8" s="68" t="str" vm="14305">
        <f>CUBEVALUE(ConnectionString,ReportMonth,Table1[[#This Row],[Site ID (from DATIM)]],"[Measures].[TX_NEW_M_P]")</f>
        <v/>
      </c>
      <c r="BK8" s="68"/>
      <c r="BL8" s="68"/>
      <c r="BM8" s="68"/>
      <c r="BN8" s="68"/>
      <c r="BO8" s="68"/>
      <c r="BP8" s="68"/>
      <c r="BQ8" s="68" vm="10148">
        <f>CUBEVALUE(ConnectionString,ReportMonth,Table1[[#This Row],[Site ID (from DATIM)]],"[Measures].[TX_CURR_F_P]")</f>
        <v>7</v>
      </c>
      <c r="BR8" s="68" vm="7994">
        <f>CUBEVALUE(ConnectionString,ReportMonth,Table1[[#This Row],[Site ID (from DATIM)]],"[Measures].[TX_CURR_M_P]")</f>
        <v>8</v>
      </c>
      <c r="BS8" s="68" vm="9086">
        <f>CUBEVALUE(ConnectionString,ReportMonth,Table1[[#This Row],[Site ID (from DATIM)]],"[Measures].[TX_CURR_F_A]")</f>
        <v>346</v>
      </c>
      <c r="BT8" s="68" vm="13320">
        <f>CUBEVALUE(ConnectionString,ReportMonth,Table1[[#This Row],[Site ID (from DATIM)]],"[Measures].[TX_CURR_M_A]")</f>
        <v>137</v>
      </c>
      <c r="BU8" s="68" t="str" vm="19519">
        <f>CUBEVALUE(ConnectionString,ReportMonth,Table1[[#This Row],[Site ID (from DATIM)]],"[Measures].[MMS_01_89_F_P]")</f>
        <v/>
      </c>
      <c r="BV8" s="68" vm="18421">
        <f>CUBEVALUE(ConnectionString,ReportMonth,Table1[[#This Row],[Site ID (from DATIM)]],"[Measures].[MMS_01_89_M_P]")</f>
        <v>2</v>
      </c>
      <c r="BW8" s="68" vm="19701">
        <f>CUBEVALUE(ConnectionString,ReportMonth,Table1[[#This Row],[Site ID (from DATIM)]],"[Measures].[MMS_01_89_F_A]")</f>
        <v>41</v>
      </c>
      <c r="BX8" s="68" vm="18455">
        <f>CUBEVALUE(ConnectionString,ReportMonth,Table1[[#This Row],[Site ID (from DATIM)]],"[Measures].[MMS_01_89_M_A]")</f>
        <v>16</v>
      </c>
      <c r="BY8" s="68" vm="17931">
        <f>CUBEVALUE(ConnectionString,ReportMonth,Table1[[#This Row],[Site ID (from DATIM)]],"[Measures].[MMS_90_179_F_P]")</f>
        <v>7</v>
      </c>
      <c r="BZ8" s="68" vm="17877">
        <f>CUBEVALUE(ConnectionString,ReportMonth,Table1[[#This Row],[Site ID (from DATIM)]],"[Measures].[MMS_90_179_M_P]")</f>
        <v>6</v>
      </c>
      <c r="CA8" s="68" vm="17815">
        <f>CUBEVALUE(ConnectionString,ReportMonth,Table1[[#This Row],[Site ID (from DATIM)]],"[Measures].[MMS_90_179_F_A]")</f>
        <v>305</v>
      </c>
      <c r="CB8" s="68" vm="17735">
        <f>CUBEVALUE(ConnectionString,ReportMonth,Table1[[#This Row],[Site ID (from DATIM)]],"[Measures].[MMS_90_179_M_A]")</f>
        <v>121</v>
      </c>
      <c r="CC8" s="68" t="str" vm="16824">
        <f>CUBEVALUE(ConnectionString,ReportMonth,Table1[[#This Row],[Site ID (from DATIM)]],"[Measures].[MMS_180+_F_P]")</f>
        <v/>
      </c>
      <c r="CD8" s="68" t="str" vm="16399">
        <f>CUBEVALUE(ConnectionString,ReportMonth,Table1[[#This Row],[Site ID (from DATIM)]],"[Measures].[MMS_180+_M_P]")</f>
        <v/>
      </c>
      <c r="CE8" s="68" t="str" vm="14454">
        <f>CUBEVALUE(ConnectionString,ReportMonth,Table1[[#This Row],[Site ID (from DATIM)]],"[Measures].[MMS_180+_F_A]")</f>
        <v/>
      </c>
      <c r="CF8" s="68" t="str" vm="20231">
        <f>CUBEVALUE(ConnectionString,ReportMonth,Table1[[#This Row],[Site ID (from DATIM)]],"[Measures].[MMS_180+_M_A]")</f>
        <v/>
      </c>
      <c r="CG8" s="68" vm="7628">
        <f>CUBEVALUE(ConnectionString,ReportMonth,Table1[[#This Row],[Site ID (from DATIM)]],"[Measures].[MISSEDAPP]")</f>
        <v>191</v>
      </c>
      <c r="CH8" s="68" t="str" vm="12082">
        <f>CUBEVALUE(ConnectionString,ReportMonth,Table1[[#This Row],[Site ID (from DATIM)]],"[Measures].[MMS_180+_P]")</f>
        <v/>
      </c>
      <c r="CI8" s="68" t="str" vm="13291">
        <f>CUBEVALUE(ConnectionString,ReportMonth,Table1[[#This Row],[Site ID (from DATIM)]],"[Measures].[MMS_180+_A]")</f>
        <v/>
      </c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  <c r="CW8" s="68"/>
      <c r="CX8" s="68"/>
      <c r="CY8" s="68"/>
      <c r="CZ8" s="68"/>
      <c r="DA8" s="68"/>
      <c r="DB8" s="68"/>
      <c r="DC8" s="68"/>
    </row>
    <row r="9" spans="1:107" x14ac:dyDescent="0.25">
      <c r="A9" s="66">
        <v>1</v>
      </c>
      <c r="B9" s="67" t="str" vm="4">
        <f t="shared" si="1"/>
        <v>Mar-2021</v>
      </c>
      <c r="C9" s="67"/>
      <c r="D9" s="67" t="s">
        <v>232</v>
      </c>
      <c r="E9" s="67" t="s">
        <v>233</v>
      </c>
      <c r="F9" s="67" t="s">
        <v>234</v>
      </c>
      <c r="G9" s="67"/>
      <c r="H9" s="67" t="s">
        <v>239</v>
      </c>
      <c r="I9" s="67" t="s">
        <v>243</v>
      </c>
      <c r="J9" s="67" t="s">
        <v>244</v>
      </c>
      <c r="K9" s="67" t="s">
        <v>245</v>
      </c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 vm="2937">
        <f>CUBEVALUE(ConnectionString,ReportMonth,Table1[[#This Row],[Site ID (from DATIM)]],"TX_NEW_2VIS")</f>
        <v>4</v>
      </c>
      <c r="AE9" s="67" vm="3118">
        <f>CUBEVALUE(ConnectionString,ReportMonth,Table1[[#This Row],[Site ID (from DATIM)]],INDEX(SDI_Measures,1))</f>
        <v>10</v>
      </c>
      <c r="AF9" s="67" t="str" vm="366">
        <f>CUBEVALUE(ConnectionString,ReportMonth,Table1[[#This Row],[Site ID (from DATIM)]],INDEX(SDI_Measures,2))</f>
        <v/>
      </c>
      <c r="AG9" s="67" t="str" vm="1688">
        <f>CUBEVALUE(ConnectionString,ReportMonth,Table1[[#This Row],[Site ID (from DATIM)]],INDEX(SDI_Measures,3))</f>
        <v/>
      </c>
      <c r="AH9" s="67" vm="3521">
        <f>CUBEVALUE(ConnectionString,ReportMonth,Table1[[#This Row],[Site ID (from DATIM)]],"TX_CURR_PRIOR_MONTH")</f>
        <v>2136</v>
      </c>
      <c r="AI9" s="67" vm="434">
        <f>CUBEVALUE(ConnectionString,ReportMonth,Table1[[#This Row],[Site ID (from DATIM)]],"TX_CURR")</f>
        <v>2089</v>
      </c>
      <c r="AJ9" s="67" vm="1937">
        <f>CUBEVALUE(ConnectionString,ReportMonth,Table1[[#This Row],[Site ID (from DATIM)]],"[Measures].[TI]")</f>
        <v>3</v>
      </c>
      <c r="AK9" s="67" vm="2406">
        <f>CUBEVALUE(ConnectionString,ReportMonth,Table1[[#This Row],[Site ID (from DATIM)]],"[Measures].[TO]")</f>
        <v>1</v>
      </c>
      <c r="AL9" s="67" t="str" vm="3099">
        <f>CUBEVALUE(ConnectionString,ReportMonth,Table1[[#This Row],[Site ID (from DATIM)]],"[Measures].[DIED]")</f>
        <v/>
      </c>
      <c r="AM9" s="67" vm="6730">
        <f>CUBEVALUE(ConnectionString,ReportMonth,Table1[[#This Row],[Site ID (from DATIM)]],"[Measures].[MMS_01_31]")</f>
        <v>231</v>
      </c>
      <c r="AN9" s="67" vm="5565">
        <f>CUBEVALUE(ConnectionString,ReportMonth,Table1[[#This Row],[Site ID (from DATIM)]],"[Measures].[MMS_32_62]")</f>
        <v>64</v>
      </c>
      <c r="AO9" s="67" vm="11088">
        <f>CUBEVALUE(ConnectionString,ReportMonth,Table1[[#This Row],[Site ID (from DATIM)]],"[Measures].[MMS_63+]")</f>
        <v>1794</v>
      </c>
      <c r="AP9" s="67" vm="6957">
        <f>CUBEVALUE(ConnectionString,ReportMonth,Table1[[#This Row],[Site ID (from DATIM)]],"[Measures].[TBPREV_D]")</f>
        <v>1</v>
      </c>
      <c r="AQ9" s="67" vm="9396">
        <f>CUBEVALUE(ConnectionString,ReportMonth,Table1[[#This Row],[Site ID (from DATIM)]],"[Measures].[TBPREV_N]")</f>
        <v>1</v>
      </c>
      <c r="AR9" s="67" vm="7424">
        <f>CUBEVALUE(ConnectionString,ReportMonth,Table1[[#This Row],[Site ID (from DATIM)]],"[Measures].[TBPREV_NEW]")</f>
        <v>3</v>
      </c>
      <c r="AS9" s="67" vm="5995">
        <f>CUBEVALUE(ConnectionString,ReportMonth,Table1[[#This Row],[Site ID (from DATIM)]],"[Measures].[HVL_ELIG_P]")</f>
        <v>73</v>
      </c>
      <c r="AT9" s="67" vm="11797">
        <f>CUBEVALUE(ConnectionString,ReportMonth,Table1[[#This Row],[Site ID (from DATIM)]],"[Measures].[HVL_D_P]")</f>
        <v>59</v>
      </c>
      <c r="AU9" s="67" vm="10328">
        <f>CUBEVALUE(ConnectionString,ReportMonth,Table1[[#This Row],[Site ID (from DATIM)]],"[Measures].[HVL_N_P]")</f>
        <v>54</v>
      </c>
      <c r="AV9" s="68" vm="7950">
        <f>CUBEVALUE(ConnectionString,ReportMonth,Table1[[#This Row],[Site ID (from DATIM)]],"[Measures].[HVL_ELIG_A]")</f>
        <v>1922</v>
      </c>
      <c r="AW9" s="68" vm="9454">
        <f>CUBEVALUE(ConnectionString,ReportMonth,Table1[[#This Row],[Site ID (from DATIM)]],"[Measures].[HVL_D_A]")</f>
        <v>1444</v>
      </c>
      <c r="AX9" s="68" vm="11603">
        <f>CUBEVALUE(ConnectionString,ReportMonth,Table1[[#This Row],[Site ID (from DATIM)]],"[Measures].[HVL_N_A]")</f>
        <v>1388</v>
      </c>
      <c r="AY9" s="67"/>
      <c r="AZ9" s="67"/>
      <c r="BA9" s="67"/>
      <c r="BB9" s="67"/>
      <c r="BC9" s="67"/>
      <c r="BD9" s="67"/>
      <c r="BE9" s="67"/>
      <c r="BF9" s="67"/>
      <c r="BG9" s="67" vm="12805">
        <f>CUBEVALUE(ConnectionString,ReportMonth,Table1[[#This Row],[Site ID (from DATIM)]],"[Measures].[TX_NEW_F_A]")</f>
        <v>6</v>
      </c>
      <c r="BH9" s="67" vm="15296">
        <f>CUBEVALUE(ConnectionString,ReportMonth,Table1[[#This Row],[Site ID (from DATIM)]],"[Measures].[TX_NEW_M_A]")</f>
        <v>3</v>
      </c>
      <c r="BI9" s="67" vm="14357">
        <f>CUBEVALUE(ConnectionString,ReportMonth,Table1[[#This Row],[Site ID (from DATIM)]],"[Measures].[TX_NEW_F_P]")</f>
        <v>1</v>
      </c>
      <c r="BJ9" s="68" t="str" vm="12585">
        <f>CUBEVALUE(ConnectionString,ReportMonth,Table1[[#This Row],[Site ID (from DATIM)]],"[Measures].[TX_NEW_M_P]")</f>
        <v/>
      </c>
      <c r="BK9" s="68"/>
      <c r="BL9" s="68"/>
      <c r="BM9" s="68"/>
      <c r="BN9" s="68"/>
      <c r="BO9" s="68"/>
      <c r="BP9" s="68"/>
      <c r="BQ9" s="68" vm="10885">
        <f>CUBEVALUE(ConnectionString,ReportMonth,Table1[[#This Row],[Site ID (from DATIM)]],"[Measures].[TX_CURR_F_P]")</f>
        <v>38</v>
      </c>
      <c r="BR9" s="68" vm="11736">
        <f>CUBEVALUE(ConnectionString,ReportMonth,Table1[[#This Row],[Site ID (from DATIM)]],"[Measures].[TX_CURR_M_P]")</f>
        <v>38</v>
      </c>
      <c r="BS9" s="68" vm="11790">
        <f>CUBEVALUE(ConnectionString,ReportMonth,Table1[[#This Row],[Site ID (from DATIM)]],"[Measures].[TX_CURR_F_A]")</f>
        <v>1367</v>
      </c>
      <c r="BT9" s="68" vm="10166">
        <f>CUBEVALUE(ConnectionString,ReportMonth,Table1[[#This Row],[Site ID (from DATIM)]],"[Measures].[TX_CURR_M_A]")</f>
        <v>647</v>
      </c>
      <c r="BU9" s="68" vm="18437">
        <f>CUBEVALUE(ConnectionString,ReportMonth,Table1[[#This Row],[Site ID (from DATIM)]],"[Measures].[MMS_01_89_F_P]")</f>
        <v>6</v>
      </c>
      <c r="BV9" s="68" vm="18430">
        <f>CUBEVALUE(ConnectionString,ReportMonth,Table1[[#This Row],[Site ID (from DATIM)]],"[Measures].[MMS_01_89_M_P]")</f>
        <v>8</v>
      </c>
      <c r="BW9" s="68" vm="18826">
        <f>CUBEVALUE(ConnectionString,ReportMonth,Table1[[#This Row],[Site ID (from DATIM)]],"[Measures].[MMS_01_89_F_A]")</f>
        <v>180</v>
      </c>
      <c r="BX9" s="68" vm="19358">
        <f>CUBEVALUE(ConnectionString,ReportMonth,Table1[[#This Row],[Site ID (from DATIM)]],"[Measures].[MMS_01_89_M_A]")</f>
        <v>119</v>
      </c>
      <c r="BY9" s="68" vm="18491">
        <f>CUBEVALUE(ConnectionString,ReportMonth,Table1[[#This Row],[Site ID (from DATIM)]],"[Measures].[MMS_90_179_F_P]")</f>
        <v>32</v>
      </c>
      <c r="BZ9" s="68" vm="18201">
        <f>CUBEVALUE(ConnectionString,ReportMonth,Table1[[#This Row],[Site ID (from DATIM)]],"[Measures].[MMS_90_179_M_P]")</f>
        <v>30</v>
      </c>
      <c r="CA9" s="68" vm="15205">
        <f>CUBEVALUE(ConnectionString,ReportMonth,Table1[[#This Row],[Site ID (from DATIM)]],"[Measures].[MMS_90_179_F_A]")</f>
        <v>1187</v>
      </c>
      <c r="CB9" s="68" vm="17626">
        <f>CUBEVALUE(ConnectionString,ReportMonth,Table1[[#This Row],[Site ID (from DATIM)]],"[Measures].[MMS_90_179_M_A]")</f>
        <v>528</v>
      </c>
      <c r="CC9" s="68" t="str" vm="17680">
        <f>CUBEVALUE(ConnectionString,ReportMonth,Table1[[#This Row],[Site ID (from DATIM)]],"[Measures].[MMS_180+_F_P]")</f>
        <v/>
      </c>
      <c r="CD9" s="68" t="str" vm="17509">
        <f>CUBEVALUE(ConnectionString,ReportMonth,Table1[[#This Row],[Site ID (from DATIM)]],"[Measures].[MMS_180+_M_P]")</f>
        <v/>
      </c>
      <c r="CE9" s="68" t="str" vm="15398">
        <f>CUBEVALUE(ConnectionString,ReportMonth,Table1[[#This Row],[Site ID (from DATIM)]],"[Measures].[MMS_180+_F_A]")</f>
        <v/>
      </c>
      <c r="CF9" s="68" t="str" vm="14437">
        <f>CUBEVALUE(ConnectionString,ReportMonth,Table1[[#This Row],[Site ID (from DATIM)]],"[Measures].[MMS_180+_M_A]")</f>
        <v/>
      </c>
      <c r="CG9" s="68" vm="6154">
        <f>CUBEVALUE(ConnectionString,ReportMonth,Table1[[#This Row],[Site ID (from DATIM)]],"[Measures].[MISSEDAPP]")</f>
        <v>783</v>
      </c>
      <c r="CH9" s="68" t="str" vm="13049">
        <f>CUBEVALUE(ConnectionString,ReportMonth,Table1[[#This Row],[Site ID (from DATIM)]],"[Measures].[MMS_180+_P]")</f>
        <v/>
      </c>
      <c r="CI9" s="68" t="str" vm="11267">
        <f>CUBEVALUE(ConnectionString,ReportMonth,Table1[[#This Row],[Site ID (from DATIM)]],"[Measures].[MMS_180+_A]")</f>
        <v/>
      </c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68"/>
      <c r="DC9" s="68"/>
    </row>
    <row r="10" spans="1:107" x14ac:dyDescent="0.25">
      <c r="A10" s="66">
        <v>4</v>
      </c>
      <c r="B10" s="67" t="str" vm="4">
        <f t="shared" si="1"/>
        <v>Mar-2021</v>
      </c>
      <c r="C10" s="67"/>
      <c r="D10" s="67" t="s">
        <v>232</v>
      </c>
      <c r="E10" s="67" t="s">
        <v>233</v>
      </c>
      <c r="F10" s="67" t="s">
        <v>1083</v>
      </c>
      <c r="G10" s="67"/>
      <c r="H10" s="67" t="s">
        <v>1084</v>
      </c>
      <c r="I10" s="67" t="s">
        <v>1085</v>
      </c>
      <c r="J10" s="67" t="s">
        <v>1086</v>
      </c>
      <c r="K10" s="67" t="s">
        <v>1087</v>
      </c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 t="str" vm="702">
        <f>CUBEVALUE(ConnectionString,ReportMonth,Table1[[#This Row],[Site ID (from DATIM)]],"TX_NEW_2VIS")</f>
        <v/>
      </c>
      <c r="AE10" s="67" t="str" vm="1506">
        <f>CUBEVALUE(ConnectionString,ReportMonth,Table1[[#This Row],[Site ID (from DATIM)]],INDEX(SDI_Measures,1))</f>
        <v/>
      </c>
      <c r="AF10" s="67" t="str" vm="1057">
        <f>CUBEVALUE(ConnectionString,ReportMonth,Table1[[#This Row],[Site ID (from DATIM)]],INDEX(SDI_Measures,2))</f>
        <v/>
      </c>
      <c r="AG10" s="67" t="str" vm="3461">
        <f>CUBEVALUE(ConnectionString,ReportMonth,Table1[[#This Row],[Site ID (from DATIM)]],INDEX(SDI_Measures,3))</f>
        <v/>
      </c>
      <c r="AH10" s="67" t="str" vm="2327">
        <f>CUBEVALUE(ConnectionString,ReportMonth,Table1[[#This Row],[Site ID (from DATIM)]],"TX_CURR_PRIOR_MONTH")</f>
        <v/>
      </c>
      <c r="AI10" s="67" t="str" vm="1770">
        <f>CUBEVALUE(ConnectionString,ReportMonth,Table1[[#This Row],[Site ID (from DATIM)]],"TX_CURR")</f>
        <v/>
      </c>
      <c r="AJ10" s="67" t="str" vm="1768">
        <f>CUBEVALUE(ConnectionString,ReportMonth,Table1[[#This Row],[Site ID (from DATIM)]],"[Measures].[TI]")</f>
        <v/>
      </c>
      <c r="AK10" s="67" t="str" vm="578">
        <f>CUBEVALUE(ConnectionString,ReportMonth,Table1[[#This Row],[Site ID (from DATIM)]],"[Measures].[TO]")</f>
        <v/>
      </c>
      <c r="AL10" s="67" t="str" vm="3563">
        <f>CUBEVALUE(ConnectionString,ReportMonth,Table1[[#This Row],[Site ID (from DATIM)]],"[Measures].[DIED]")</f>
        <v/>
      </c>
      <c r="AM10" s="67" t="str" vm="3505">
        <f>CUBEVALUE(ConnectionString,ReportMonth,Table1[[#This Row],[Site ID (from DATIM)]],"[Measures].[MMS_01_31]")</f>
        <v/>
      </c>
      <c r="AN10" s="67" t="str" vm="4715">
        <f>CUBEVALUE(ConnectionString,ReportMonth,Table1[[#This Row],[Site ID (from DATIM)]],"[Measures].[MMS_32_62]")</f>
        <v/>
      </c>
      <c r="AO10" s="67" t="str" vm="9341">
        <f>CUBEVALUE(ConnectionString,ReportMonth,Table1[[#This Row],[Site ID (from DATIM)]],"[Measures].[MMS_63+]")</f>
        <v/>
      </c>
      <c r="AP10" s="67" t="str" vm="5291">
        <f>CUBEVALUE(ConnectionString,ReportMonth,Table1[[#This Row],[Site ID (from DATIM)]],"[Measures].[TBPREV_D]")</f>
        <v/>
      </c>
      <c r="AQ10" s="67" t="str" vm="6187">
        <f>CUBEVALUE(ConnectionString,ReportMonth,Table1[[#This Row],[Site ID (from DATIM)]],"[Measures].[TBPREV_N]")</f>
        <v/>
      </c>
      <c r="AR10" s="67" t="str" vm="11285">
        <f>CUBEVALUE(ConnectionString,ReportMonth,Table1[[#This Row],[Site ID (from DATIM)]],"[Measures].[TBPREV_NEW]")</f>
        <v/>
      </c>
      <c r="AS10" s="67" t="str" vm="8986">
        <f>CUBEVALUE(ConnectionString,ReportMonth,Table1[[#This Row],[Site ID (from DATIM)]],"[Measures].[HVL_ELIG_P]")</f>
        <v/>
      </c>
      <c r="AT10" s="67" t="str" vm="9529">
        <f>CUBEVALUE(ConnectionString,ReportMonth,Table1[[#This Row],[Site ID (from DATIM)]],"[Measures].[HVL_D_P]")</f>
        <v/>
      </c>
      <c r="AU10" s="67" t="str" vm="9293">
        <f>CUBEVALUE(ConnectionString,ReportMonth,Table1[[#This Row],[Site ID (from DATIM)]],"[Measures].[HVL_N_P]")</f>
        <v/>
      </c>
      <c r="AV10" s="68" t="str" vm="8850">
        <f>CUBEVALUE(ConnectionString,ReportMonth,Table1[[#This Row],[Site ID (from DATIM)]],"[Measures].[HVL_ELIG_A]")</f>
        <v/>
      </c>
      <c r="AW10" s="68" t="str" vm="11924">
        <f>CUBEVALUE(ConnectionString,ReportMonth,Table1[[#This Row],[Site ID (from DATIM)]],"[Measures].[HVL_D_A]")</f>
        <v/>
      </c>
      <c r="AX10" s="68" t="str" vm="11553">
        <f>CUBEVALUE(ConnectionString,ReportMonth,Table1[[#This Row],[Site ID (from DATIM)]],"[Measures].[HVL_N_A]")</f>
        <v/>
      </c>
      <c r="AY10" s="67"/>
      <c r="AZ10" s="67"/>
      <c r="BA10" s="67"/>
      <c r="BB10" s="67"/>
      <c r="BC10" s="67"/>
      <c r="BD10" s="67"/>
      <c r="BE10" s="67"/>
      <c r="BF10" s="67"/>
      <c r="BG10" s="67" t="str" vm="14340">
        <f>CUBEVALUE(ConnectionString,ReportMonth,Table1[[#This Row],[Site ID (from DATIM)]],"[Measures].[TX_NEW_F_A]")</f>
        <v/>
      </c>
      <c r="BH10" s="67" t="str" vm="13250">
        <f>CUBEVALUE(ConnectionString,ReportMonth,Table1[[#This Row],[Site ID (from DATIM)]],"[Measures].[TX_NEW_M_A]")</f>
        <v/>
      </c>
      <c r="BI10" s="67" t="str" vm="14846">
        <f>CUBEVALUE(ConnectionString,ReportMonth,Table1[[#This Row],[Site ID (from DATIM)]],"[Measures].[TX_NEW_F_P]")</f>
        <v/>
      </c>
      <c r="BJ10" s="68" t="str" vm="16596">
        <f>CUBEVALUE(ConnectionString,ReportMonth,Table1[[#This Row],[Site ID (from DATIM)]],"[Measures].[TX_NEW_M_P]")</f>
        <v/>
      </c>
      <c r="BK10" s="68"/>
      <c r="BL10" s="68"/>
      <c r="BM10" s="68"/>
      <c r="BN10" s="68"/>
      <c r="BO10" s="68"/>
      <c r="BP10" s="68"/>
      <c r="BQ10" s="68" t="str" vm="8614">
        <f>CUBEVALUE(ConnectionString,ReportMonth,Table1[[#This Row],[Site ID (from DATIM)]],"[Measures].[TX_CURR_F_P]")</f>
        <v/>
      </c>
      <c r="BR10" s="68" t="str" vm="8427">
        <f>CUBEVALUE(ConnectionString,ReportMonth,Table1[[#This Row],[Site ID (from DATIM)]],"[Measures].[TX_CURR_M_P]")</f>
        <v/>
      </c>
      <c r="BS10" s="68" t="str" vm="11980">
        <f>CUBEVALUE(ConnectionString,ReportMonth,Table1[[#This Row],[Site ID (from DATIM)]],"[Measures].[TX_CURR_F_A]")</f>
        <v/>
      </c>
      <c r="BT10" s="68" t="str" vm="11162">
        <f>CUBEVALUE(ConnectionString,ReportMonth,Table1[[#This Row],[Site ID (from DATIM)]],"[Measures].[TX_CURR_M_A]")</f>
        <v/>
      </c>
      <c r="BU10" s="68" t="str" vm="19798">
        <f>CUBEVALUE(ConnectionString,ReportMonth,Table1[[#This Row],[Site ID (from DATIM)]],"[Measures].[MMS_01_89_F_P]")</f>
        <v/>
      </c>
      <c r="BV10" s="68" t="str" vm="18325">
        <f>CUBEVALUE(ConnectionString,ReportMonth,Table1[[#This Row],[Site ID (from DATIM)]],"[Measures].[MMS_01_89_M_P]")</f>
        <v/>
      </c>
      <c r="BW10" s="68" t="str" vm="18619">
        <f>CUBEVALUE(ConnectionString,ReportMonth,Table1[[#This Row],[Site ID (from DATIM)]],"[Measures].[MMS_01_89_F_A]")</f>
        <v/>
      </c>
      <c r="BX10" s="68" t="str" vm="18873">
        <f>CUBEVALUE(ConnectionString,ReportMonth,Table1[[#This Row],[Site ID (from DATIM)]],"[Measures].[MMS_01_89_M_A]")</f>
        <v/>
      </c>
      <c r="BY10" s="68" t="str" vm="16095">
        <f>CUBEVALUE(ConnectionString,ReportMonth,Table1[[#This Row],[Site ID (from DATIM)]],"[Measures].[MMS_90_179_F_P]")</f>
        <v/>
      </c>
      <c r="BZ10" s="68" t="str" vm="19049">
        <f>CUBEVALUE(ConnectionString,ReportMonth,Table1[[#This Row],[Site ID (from DATIM)]],"[Measures].[MMS_90_179_M_P]")</f>
        <v/>
      </c>
      <c r="CA10" s="68" t="str" vm="17759">
        <f>CUBEVALUE(ConnectionString,ReportMonth,Table1[[#This Row],[Site ID (from DATIM)]],"[Measures].[MMS_90_179_F_A]")</f>
        <v/>
      </c>
      <c r="CB10" s="68" t="str" vm="15549">
        <f>CUBEVALUE(ConnectionString,ReportMonth,Table1[[#This Row],[Site ID (from DATIM)]],"[Measures].[MMS_90_179_M_A]")</f>
        <v/>
      </c>
      <c r="CC10" s="68" t="str" vm="15804">
        <f>CUBEVALUE(ConnectionString,ReportMonth,Table1[[#This Row],[Site ID (from DATIM)]],"[Measures].[MMS_180+_F_P]")</f>
        <v/>
      </c>
      <c r="CD10" s="68" t="str" vm="15800">
        <f>CUBEVALUE(ConnectionString,ReportMonth,Table1[[#This Row],[Site ID (from DATIM)]],"[Measures].[MMS_180+_M_P]")</f>
        <v/>
      </c>
      <c r="CE10" s="68" t="str" vm="16265">
        <f>CUBEVALUE(ConnectionString,ReportMonth,Table1[[#This Row],[Site ID (from DATIM)]],"[Measures].[MMS_180+_F_A]")</f>
        <v/>
      </c>
      <c r="CF10" s="68" t="str" vm="181">
        <f>CUBEVALUE(ConnectionString,ReportMonth,Table1[[#This Row],[Site ID (from DATIM)]],"[Measures].[MMS_180+_M_A]")</f>
        <v/>
      </c>
      <c r="CG10" s="68" t="str" vm="11556">
        <f>CUBEVALUE(ConnectionString,ReportMonth,Table1[[#This Row],[Site ID (from DATIM)]],"[Measures].[MISSEDAPP]")</f>
        <v/>
      </c>
      <c r="CH10" s="68" t="str" vm="14057">
        <f>CUBEVALUE(ConnectionString,ReportMonth,Table1[[#This Row],[Site ID (from DATIM)]],"[Measures].[MMS_180+_P]")</f>
        <v/>
      </c>
      <c r="CI10" s="68" t="str" vm="12994">
        <f>CUBEVALUE(ConnectionString,ReportMonth,Table1[[#This Row],[Site ID (from DATIM)]],"[Measures].[MMS_180+_A]")</f>
        <v/>
      </c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</row>
    <row r="11" spans="1:107" x14ac:dyDescent="0.25">
      <c r="A11" s="66">
        <v>4</v>
      </c>
      <c r="B11" s="67" t="str" vm="4">
        <f t="shared" si="1"/>
        <v>Mar-2021</v>
      </c>
      <c r="C11" s="67"/>
      <c r="D11" s="67" t="s">
        <v>232</v>
      </c>
      <c r="E11" s="67" t="s">
        <v>233</v>
      </c>
      <c r="F11" s="67" t="s">
        <v>437</v>
      </c>
      <c r="G11" s="67"/>
      <c r="H11" s="67" t="s">
        <v>442</v>
      </c>
      <c r="I11" s="67" t="s">
        <v>443</v>
      </c>
      <c r="J11" s="67" t="s">
        <v>444</v>
      </c>
      <c r="K11" s="67" t="s">
        <v>445</v>
      </c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 t="str" vm="2470">
        <f>CUBEVALUE(ConnectionString,ReportMonth,Table1[[#This Row],[Site ID (from DATIM)]],"TX_NEW_2VIS")</f>
        <v/>
      </c>
      <c r="AE11" s="67" t="str" vm="2984">
        <f>CUBEVALUE(ConnectionString,ReportMonth,Table1[[#This Row],[Site ID (from DATIM)]],INDEX(SDI_Measures,1))</f>
        <v/>
      </c>
      <c r="AF11" s="67" t="str" vm="1479">
        <f>CUBEVALUE(ConnectionString,ReportMonth,Table1[[#This Row],[Site ID (from DATIM)]],INDEX(SDI_Measures,2))</f>
        <v/>
      </c>
      <c r="AG11" s="67" t="str" vm="1389">
        <f>CUBEVALUE(ConnectionString,ReportMonth,Table1[[#This Row],[Site ID (from DATIM)]],INDEX(SDI_Measures,3))</f>
        <v/>
      </c>
      <c r="AH11" s="67" t="str" vm="752">
        <f>CUBEVALUE(ConnectionString,ReportMonth,Table1[[#This Row],[Site ID (from DATIM)]],"TX_CURR_PRIOR_MONTH")</f>
        <v/>
      </c>
      <c r="AI11" s="67" t="str" vm="4398">
        <f>CUBEVALUE(ConnectionString,ReportMonth,Table1[[#This Row],[Site ID (from DATIM)]],"TX_CURR")</f>
        <v/>
      </c>
      <c r="AJ11" s="67" t="str" vm="827">
        <f>CUBEVALUE(ConnectionString,ReportMonth,Table1[[#This Row],[Site ID (from DATIM)]],"[Measures].[TI]")</f>
        <v/>
      </c>
      <c r="AK11" s="67" t="str" vm="3917">
        <f>CUBEVALUE(ConnectionString,ReportMonth,Table1[[#This Row],[Site ID (from DATIM)]],"[Measures].[TO]")</f>
        <v/>
      </c>
      <c r="AL11" s="67" t="str" vm="3339">
        <f>CUBEVALUE(ConnectionString,ReportMonth,Table1[[#This Row],[Site ID (from DATIM)]],"[Measures].[DIED]")</f>
        <v/>
      </c>
      <c r="AM11" s="67" t="str" vm="4499">
        <f>CUBEVALUE(ConnectionString,ReportMonth,Table1[[#This Row],[Site ID (from DATIM)]],"[Measures].[MMS_01_31]")</f>
        <v/>
      </c>
      <c r="AN11" s="67" t="str" vm="5987">
        <f>CUBEVALUE(ConnectionString,ReportMonth,Table1[[#This Row],[Site ID (from DATIM)]],"[Measures].[MMS_32_62]")</f>
        <v/>
      </c>
      <c r="AO11" s="67" t="str" vm="6050">
        <f>CUBEVALUE(ConnectionString,ReportMonth,Table1[[#This Row],[Site ID (from DATIM)]],"[Measures].[MMS_63+]")</f>
        <v/>
      </c>
      <c r="AP11" s="67" t="str" vm="4652">
        <f>CUBEVALUE(ConnectionString,ReportMonth,Table1[[#This Row],[Site ID (from DATIM)]],"[Measures].[TBPREV_D]")</f>
        <v/>
      </c>
      <c r="AQ11" s="67" t="str" vm="6199">
        <f>CUBEVALUE(ConnectionString,ReportMonth,Table1[[#This Row],[Site ID (from DATIM)]],"[Measures].[TBPREV_N]")</f>
        <v/>
      </c>
      <c r="AR11" s="67" t="str" vm="5832">
        <f>CUBEVALUE(ConnectionString,ReportMonth,Table1[[#This Row],[Site ID (from DATIM)]],"[Measures].[TBPREV_NEW]")</f>
        <v/>
      </c>
      <c r="AS11" s="67" t="str" vm="7675">
        <f>CUBEVALUE(ConnectionString,ReportMonth,Table1[[#This Row],[Site ID (from DATIM)]],"[Measures].[HVL_ELIG_P]")</f>
        <v/>
      </c>
      <c r="AT11" s="67" t="str" vm="11628">
        <f>CUBEVALUE(ConnectionString,ReportMonth,Table1[[#This Row],[Site ID (from DATIM)]],"[Measures].[HVL_D_P]")</f>
        <v/>
      </c>
      <c r="AU11" s="67" t="str" vm="10347">
        <f>CUBEVALUE(ConnectionString,ReportMonth,Table1[[#This Row],[Site ID (from DATIM)]],"[Measures].[HVL_N_P]")</f>
        <v/>
      </c>
      <c r="AV11" s="68" t="str" vm="9977">
        <f>CUBEVALUE(ConnectionString,ReportMonth,Table1[[#This Row],[Site ID (from DATIM)]],"[Measures].[HVL_ELIG_A]")</f>
        <v/>
      </c>
      <c r="AW11" s="68" t="str" vm="8919">
        <f>CUBEVALUE(ConnectionString,ReportMonth,Table1[[#This Row],[Site ID (from DATIM)]],"[Measures].[HVL_D_A]")</f>
        <v/>
      </c>
      <c r="AX11" s="68" t="str" vm="10231">
        <f>CUBEVALUE(ConnectionString,ReportMonth,Table1[[#This Row],[Site ID (from DATIM)]],"[Measures].[HVL_N_A]")</f>
        <v/>
      </c>
      <c r="AY11" s="67"/>
      <c r="AZ11" s="67"/>
      <c r="BA11" s="67"/>
      <c r="BB11" s="67"/>
      <c r="BC11" s="67"/>
      <c r="BD11" s="67"/>
      <c r="BE11" s="67"/>
      <c r="BF11" s="67"/>
      <c r="BG11" s="67" t="str" vm="10422">
        <f>CUBEVALUE(ConnectionString,ReportMonth,Table1[[#This Row],[Site ID (from DATIM)]],"[Measures].[TX_NEW_F_A]")</f>
        <v/>
      </c>
      <c r="BH11" s="67" t="str" vm="13896">
        <f>CUBEVALUE(ConnectionString,ReportMonth,Table1[[#This Row],[Site ID (from DATIM)]],"[Measures].[TX_NEW_M_A]")</f>
        <v/>
      </c>
      <c r="BI11" s="67" t="str" vm="13142">
        <f>CUBEVALUE(ConnectionString,ReportMonth,Table1[[#This Row],[Site ID (from DATIM)]],"[Measures].[TX_NEW_F_P]")</f>
        <v/>
      </c>
      <c r="BJ11" s="68" t="str" vm="14398">
        <f>CUBEVALUE(ConnectionString,ReportMonth,Table1[[#This Row],[Site ID (from DATIM)]],"[Measures].[TX_NEW_M_P]")</f>
        <v/>
      </c>
      <c r="BK11" s="68"/>
      <c r="BL11" s="68"/>
      <c r="BM11" s="68"/>
      <c r="BN11" s="68"/>
      <c r="BO11" s="68"/>
      <c r="BP11" s="68"/>
      <c r="BQ11" s="68" t="str" vm="10820">
        <f>CUBEVALUE(ConnectionString,ReportMonth,Table1[[#This Row],[Site ID (from DATIM)]],"[Measures].[TX_CURR_F_P]")</f>
        <v/>
      </c>
      <c r="BR11" s="68" t="str" vm="10489">
        <f>CUBEVALUE(ConnectionString,ReportMonth,Table1[[#This Row],[Site ID (from DATIM)]],"[Measures].[TX_CURR_M_P]")</f>
        <v/>
      </c>
      <c r="BS11" s="68" t="str" vm="13905">
        <f>CUBEVALUE(ConnectionString,ReportMonth,Table1[[#This Row],[Site ID (from DATIM)]],"[Measures].[TX_CURR_F_A]")</f>
        <v/>
      </c>
      <c r="BT11" s="68" t="str" vm="12478">
        <f>CUBEVALUE(ConnectionString,ReportMonth,Table1[[#This Row],[Site ID (from DATIM)]],"[Measures].[TX_CURR_M_A]")</f>
        <v/>
      </c>
      <c r="BU11" s="68" t="str" vm="19781">
        <f>CUBEVALUE(ConnectionString,ReportMonth,Table1[[#This Row],[Site ID (from DATIM)]],"[Measures].[MMS_01_89_F_P]")</f>
        <v/>
      </c>
      <c r="BV11" s="68" t="str" vm="20061">
        <f>CUBEVALUE(ConnectionString,ReportMonth,Table1[[#This Row],[Site ID (from DATIM)]],"[Measures].[MMS_01_89_M_P]")</f>
        <v/>
      </c>
      <c r="BW11" s="68" t="str" vm="18618">
        <f>CUBEVALUE(ConnectionString,ReportMonth,Table1[[#This Row],[Site ID (from DATIM)]],"[Measures].[MMS_01_89_F_A]")</f>
        <v/>
      </c>
      <c r="BX11" s="68" t="str" vm="16899">
        <f>CUBEVALUE(ConnectionString,ReportMonth,Table1[[#This Row],[Site ID (from DATIM)]],"[Measures].[MMS_01_89_M_A]")</f>
        <v/>
      </c>
      <c r="BY11" s="68" t="str" vm="17927">
        <f>CUBEVALUE(ConnectionString,ReportMonth,Table1[[#This Row],[Site ID (from DATIM)]],"[Measures].[MMS_90_179_F_P]")</f>
        <v/>
      </c>
      <c r="BZ11" s="68" t="str" vm="17905">
        <f>CUBEVALUE(ConnectionString,ReportMonth,Table1[[#This Row],[Site ID (from DATIM)]],"[Measures].[MMS_90_179_M_P]")</f>
        <v/>
      </c>
      <c r="CA11" s="68" t="str" vm="15147">
        <f>CUBEVALUE(ConnectionString,ReportMonth,Table1[[#This Row],[Site ID (from DATIM)]],"[Measures].[MMS_90_179_F_A]")</f>
        <v/>
      </c>
      <c r="CB11" s="68" t="str" vm="15396">
        <f>CUBEVALUE(ConnectionString,ReportMonth,Table1[[#This Row],[Site ID (from DATIM)]],"[Measures].[MMS_90_179_M_A]")</f>
        <v/>
      </c>
      <c r="CC11" s="68" t="str" vm="14575">
        <f>CUBEVALUE(ConnectionString,ReportMonth,Table1[[#This Row],[Site ID (from DATIM)]],"[Measures].[MMS_180+_F_P]")</f>
        <v/>
      </c>
      <c r="CD11" s="68" t="str" vm="16712">
        <f>CUBEVALUE(ConnectionString,ReportMonth,Table1[[#This Row],[Site ID (from DATIM)]],"[Measures].[MMS_180+_M_P]")</f>
        <v/>
      </c>
      <c r="CE11" s="68" t="str" vm="16736">
        <f>CUBEVALUE(ConnectionString,ReportMonth,Table1[[#This Row],[Site ID (from DATIM)]],"[Measures].[MMS_180+_F_A]")</f>
        <v/>
      </c>
      <c r="CF11" s="68" t="str" vm="14427">
        <f>CUBEVALUE(ConnectionString,ReportMonth,Table1[[#This Row],[Site ID (from DATIM)]],"[Measures].[MMS_180+_M_A]")</f>
        <v/>
      </c>
      <c r="CG11" s="68" t="str" vm="7796">
        <f>CUBEVALUE(ConnectionString,ReportMonth,Table1[[#This Row],[Site ID (from DATIM)]],"[Measures].[MISSEDAPP]")</f>
        <v/>
      </c>
      <c r="CH11" s="68" t="str" vm="12253">
        <f>CUBEVALUE(ConnectionString,ReportMonth,Table1[[#This Row],[Site ID (from DATIM)]],"[Measures].[MMS_180+_P]")</f>
        <v/>
      </c>
      <c r="CI11" s="68" t="str" vm="12437">
        <f>CUBEVALUE(ConnectionString,ReportMonth,Table1[[#This Row],[Site ID (from DATIM)]],"[Measures].[MMS_180+_A]")</f>
        <v/>
      </c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</row>
    <row r="12" spans="1:107" x14ac:dyDescent="0.25">
      <c r="A12" s="66">
        <v>4</v>
      </c>
      <c r="B12" s="67" t="str" vm="4">
        <f t="shared" si="1"/>
        <v>Mar-2021</v>
      </c>
      <c r="C12" s="67"/>
      <c r="D12" s="67" t="s">
        <v>232</v>
      </c>
      <c r="E12" s="67" t="s">
        <v>233</v>
      </c>
      <c r="F12" s="67" t="s">
        <v>831</v>
      </c>
      <c r="G12" s="67"/>
      <c r="H12" s="67" t="s">
        <v>832</v>
      </c>
      <c r="I12" s="67" t="s">
        <v>833</v>
      </c>
      <c r="J12" s="67" t="s">
        <v>834</v>
      </c>
      <c r="K12" s="67" t="s">
        <v>835</v>
      </c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 t="str" vm="3515">
        <f>CUBEVALUE(ConnectionString,ReportMonth,Table1[[#This Row],[Site ID (from DATIM)]],"TX_NEW_2VIS")</f>
        <v/>
      </c>
      <c r="AE12" s="67" t="str" vm="1740">
        <f>CUBEVALUE(ConnectionString,ReportMonth,Table1[[#This Row],[Site ID (from DATIM)]],INDEX(SDI_Measures,1))</f>
        <v/>
      </c>
      <c r="AF12" s="67" t="str" vm="475">
        <f>CUBEVALUE(ConnectionString,ReportMonth,Table1[[#This Row],[Site ID (from DATIM)]],INDEX(SDI_Measures,2))</f>
        <v/>
      </c>
      <c r="AG12" s="67" t="str" vm="863">
        <f>CUBEVALUE(ConnectionString,ReportMonth,Table1[[#This Row],[Site ID (from DATIM)]],INDEX(SDI_Measures,3))</f>
        <v/>
      </c>
      <c r="AH12" s="67" vm="1142">
        <f>CUBEVALUE(ConnectionString,ReportMonth,Table1[[#This Row],[Site ID (from DATIM)]],"TX_CURR_PRIOR_MONTH")</f>
        <v>56</v>
      </c>
      <c r="AI12" s="67" vm="421">
        <f>CUBEVALUE(ConnectionString,ReportMonth,Table1[[#This Row],[Site ID (from DATIM)]],"TX_CURR")</f>
        <v>52</v>
      </c>
      <c r="AJ12" s="67" t="str" vm="778">
        <f>CUBEVALUE(ConnectionString,ReportMonth,Table1[[#This Row],[Site ID (from DATIM)]],"[Measures].[TI]")</f>
        <v/>
      </c>
      <c r="AK12" s="67" t="str" vm="5145">
        <f>CUBEVALUE(ConnectionString,ReportMonth,Table1[[#This Row],[Site ID (from DATIM)]],"[Measures].[TO]")</f>
        <v/>
      </c>
      <c r="AL12" s="67" t="str" vm="11729">
        <f>CUBEVALUE(ConnectionString,ReportMonth,Table1[[#This Row],[Site ID (from DATIM)]],"[Measures].[DIED]")</f>
        <v/>
      </c>
      <c r="AM12" s="67" vm="3728">
        <f>CUBEVALUE(ConnectionString,ReportMonth,Table1[[#This Row],[Site ID (from DATIM)]],"[Measures].[MMS_01_31]")</f>
        <v>17</v>
      </c>
      <c r="AN12" s="67" vm="4723">
        <f>CUBEVALUE(ConnectionString,ReportMonth,Table1[[#This Row],[Site ID (from DATIM)]],"[Measures].[MMS_32_62]")</f>
        <v>1</v>
      </c>
      <c r="AO12" s="67" vm="4740">
        <f>CUBEVALUE(ConnectionString,ReportMonth,Table1[[#This Row],[Site ID (from DATIM)]],"[Measures].[MMS_63+]")</f>
        <v>34</v>
      </c>
      <c r="AP12" s="67" vm="6883">
        <f>CUBEVALUE(ConnectionString,ReportMonth,Table1[[#This Row],[Site ID (from DATIM)]],"[Measures].[TBPREV_D]")</f>
        <v>1</v>
      </c>
      <c r="AQ12" s="67" t="str" vm="8754">
        <f>CUBEVALUE(ConnectionString,ReportMonth,Table1[[#This Row],[Site ID (from DATIM)]],"[Measures].[TBPREV_N]")</f>
        <v/>
      </c>
      <c r="AR12" s="67" t="str" vm="7654">
        <f>CUBEVALUE(ConnectionString,ReportMonth,Table1[[#This Row],[Site ID (from DATIM)]],"[Measures].[TBPREV_NEW]")</f>
        <v/>
      </c>
      <c r="AS12" s="67" vm="5315">
        <f>CUBEVALUE(ConnectionString,ReportMonth,Table1[[#This Row],[Site ID (from DATIM)]],"[Measures].[HVL_ELIG_P]")</f>
        <v>8</v>
      </c>
      <c r="AT12" s="67" vm="4886">
        <f>CUBEVALUE(ConnectionString,ReportMonth,Table1[[#This Row],[Site ID (from DATIM)]],"[Measures].[HVL_D_P]")</f>
        <v>7</v>
      </c>
      <c r="AU12" s="67" vm="11292">
        <f>CUBEVALUE(ConnectionString,ReportMonth,Table1[[#This Row],[Site ID (from DATIM)]],"[Measures].[HVL_N_P]")</f>
        <v>4</v>
      </c>
      <c r="AV12" s="68" vm="8193">
        <f>CUBEVALUE(ConnectionString,ReportMonth,Table1[[#This Row],[Site ID (from DATIM)]],"[Measures].[HVL_ELIG_A]")</f>
        <v>40</v>
      </c>
      <c r="AW12" s="68" vm="10409">
        <f>CUBEVALUE(ConnectionString,ReportMonth,Table1[[#This Row],[Site ID (from DATIM)]],"[Measures].[HVL_D_A]")</f>
        <v>32</v>
      </c>
      <c r="AX12" s="68" vm="10483">
        <f>CUBEVALUE(ConnectionString,ReportMonth,Table1[[#This Row],[Site ID (from DATIM)]],"[Measures].[HVL_N_A]")</f>
        <v>29</v>
      </c>
      <c r="AY12" s="67"/>
      <c r="AZ12" s="67"/>
      <c r="BA12" s="67"/>
      <c r="BB12" s="67"/>
      <c r="BC12" s="67"/>
      <c r="BD12" s="67"/>
      <c r="BE12" s="67"/>
      <c r="BF12" s="67"/>
      <c r="BG12" s="67" t="str" vm="11958">
        <f>CUBEVALUE(ConnectionString,ReportMonth,Table1[[#This Row],[Site ID (from DATIM)]],"[Measures].[TX_NEW_F_A]")</f>
        <v/>
      </c>
      <c r="BH12" s="67" t="str" vm="14188">
        <f>CUBEVALUE(ConnectionString,ReportMonth,Table1[[#This Row],[Site ID (from DATIM)]],"[Measures].[TX_NEW_M_A]")</f>
        <v/>
      </c>
      <c r="BI12" s="67" t="str" vm="13709">
        <f>CUBEVALUE(ConnectionString,ReportMonth,Table1[[#This Row],[Site ID (from DATIM)]],"[Measures].[TX_NEW_F_P]")</f>
        <v/>
      </c>
      <c r="BJ12" s="68" t="str" vm="13458">
        <f>CUBEVALUE(ConnectionString,ReportMonth,Table1[[#This Row],[Site ID (from DATIM)]],"[Measures].[TX_NEW_M_P]")</f>
        <v/>
      </c>
      <c r="BK12" s="68"/>
      <c r="BL12" s="68"/>
      <c r="BM12" s="68"/>
      <c r="BN12" s="68"/>
      <c r="BO12" s="68"/>
      <c r="BP12" s="68"/>
      <c r="BQ12" s="68" vm="14243">
        <f>CUBEVALUE(ConnectionString,ReportMonth,Table1[[#This Row],[Site ID (from DATIM)]],"[Measures].[TX_CURR_F_P]")</f>
        <v>4</v>
      </c>
      <c r="BR12" s="68" vm="8929">
        <f>CUBEVALUE(ConnectionString,ReportMonth,Table1[[#This Row],[Site ID (from DATIM)]],"[Measures].[TX_CURR_M_P]")</f>
        <v>4</v>
      </c>
      <c r="BS12" s="68" vm="9327">
        <f>CUBEVALUE(ConnectionString,ReportMonth,Table1[[#This Row],[Site ID (from DATIM)]],"[Measures].[TX_CURR_F_A]")</f>
        <v>32</v>
      </c>
      <c r="BT12" s="68" vm="10832">
        <f>CUBEVALUE(ConnectionString,ReportMonth,Table1[[#This Row],[Site ID (from DATIM)]],"[Measures].[TX_CURR_M_A]")</f>
        <v>12</v>
      </c>
      <c r="BU12" s="68" vm="18142">
        <f>CUBEVALUE(ConnectionString,ReportMonth,Table1[[#This Row],[Site ID (from DATIM)]],"[Measures].[MMS_01_89_F_P]")</f>
        <v>3</v>
      </c>
      <c r="BV12" s="68" vm="18347">
        <f>CUBEVALUE(ConnectionString,ReportMonth,Table1[[#This Row],[Site ID (from DATIM)]],"[Measures].[MMS_01_89_M_P]")</f>
        <v>2</v>
      </c>
      <c r="BW12" s="68" vm="18864">
        <f>CUBEVALUE(ConnectionString,ReportMonth,Table1[[#This Row],[Site ID (from DATIM)]],"[Measures].[MMS_01_89_F_A]")</f>
        <v>7</v>
      </c>
      <c r="BX12" s="68" vm="16530">
        <f>CUBEVALUE(ConnectionString,ReportMonth,Table1[[#This Row],[Site ID (from DATIM)]],"[Measures].[MMS_01_89_M_A]")</f>
        <v>6</v>
      </c>
      <c r="BY12" s="68" vm="19318">
        <f>CUBEVALUE(ConnectionString,ReportMonth,Table1[[#This Row],[Site ID (from DATIM)]],"[Measures].[MMS_90_179_F_P]")</f>
        <v>1</v>
      </c>
      <c r="BZ12" s="68" vm="17343">
        <f>CUBEVALUE(ConnectionString,ReportMonth,Table1[[#This Row],[Site ID (from DATIM)]],"[Measures].[MMS_90_179_M_P]")</f>
        <v>2</v>
      </c>
      <c r="CA12" s="68" vm="16490">
        <f>CUBEVALUE(ConnectionString,ReportMonth,Table1[[#This Row],[Site ID (from DATIM)]],"[Measures].[MMS_90_179_F_A]")</f>
        <v>25</v>
      </c>
      <c r="CB12" s="68" vm="15587">
        <f>CUBEVALUE(ConnectionString,ReportMonth,Table1[[#This Row],[Site ID (from DATIM)]],"[Measures].[MMS_90_179_M_A]")</f>
        <v>6</v>
      </c>
      <c r="CC12" s="68" t="str" vm="15487">
        <f>CUBEVALUE(ConnectionString,ReportMonth,Table1[[#This Row],[Site ID (from DATIM)]],"[Measures].[MMS_180+_F_P]")</f>
        <v/>
      </c>
      <c r="CD12" s="68" t="str" vm="16677">
        <f>CUBEVALUE(ConnectionString,ReportMonth,Table1[[#This Row],[Site ID (from DATIM)]],"[Measures].[MMS_180+_M_P]")</f>
        <v/>
      </c>
      <c r="CE12" s="68" t="str" vm="14892">
        <f>CUBEVALUE(ConnectionString,ReportMonth,Table1[[#This Row],[Site ID (from DATIM)]],"[Measures].[MMS_180+_F_A]")</f>
        <v/>
      </c>
      <c r="CF12" s="68" t="str" vm="15784">
        <f>CUBEVALUE(ConnectionString,ReportMonth,Table1[[#This Row],[Site ID (from DATIM)]],"[Measures].[MMS_180+_M_A]")</f>
        <v/>
      </c>
      <c r="CG12" s="68" vm="7194">
        <f>CUBEVALUE(ConnectionString,ReportMonth,Table1[[#This Row],[Site ID (from DATIM)]],"[Measures].[MISSEDAPP]")</f>
        <v>32</v>
      </c>
      <c r="CH12" s="68" t="str" vm="14010">
        <f>CUBEVALUE(ConnectionString,ReportMonth,Table1[[#This Row],[Site ID (from DATIM)]],"[Measures].[MMS_180+_P]")</f>
        <v/>
      </c>
      <c r="CI12" s="68" t="str" vm="10662">
        <f>CUBEVALUE(ConnectionString,ReportMonth,Table1[[#This Row],[Site ID (from DATIM)]],"[Measures].[MMS_180+_A]")</f>
        <v/>
      </c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</row>
    <row r="13" spans="1:107" x14ac:dyDescent="0.25">
      <c r="A13" s="66">
        <v>4</v>
      </c>
      <c r="B13" s="67" t="str" vm="4">
        <f t="shared" si="1"/>
        <v>Mar-2021</v>
      </c>
      <c r="C13" s="67"/>
      <c r="D13" s="67" t="s">
        <v>232</v>
      </c>
      <c r="E13" s="67" t="s">
        <v>233</v>
      </c>
      <c r="F13" s="67" t="s">
        <v>1083</v>
      </c>
      <c r="G13" s="67"/>
      <c r="H13" s="67" t="s">
        <v>1088</v>
      </c>
      <c r="I13" s="67" t="s">
        <v>1089</v>
      </c>
      <c r="J13" s="67" t="s">
        <v>1090</v>
      </c>
      <c r="K13" s="67" t="s">
        <v>1091</v>
      </c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 t="str" vm="1576">
        <f>CUBEVALUE(ConnectionString,ReportMonth,Table1[[#This Row],[Site ID (from DATIM)]],"TX_NEW_2VIS")</f>
        <v/>
      </c>
      <c r="AE13" s="67" t="str" vm="4350">
        <f>CUBEVALUE(ConnectionString,ReportMonth,Table1[[#This Row],[Site ID (from DATIM)]],INDEX(SDI_Measures,1))</f>
        <v/>
      </c>
      <c r="AF13" s="67" t="str" vm="279">
        <f>CUBEVALUE(ConnectionString,ReportMonth,Table1[[#This Row],[Site ID (from DATIM)]],INDEX(SDI_Measures,2))</f>
        <v/>
      </c>
      <c r="AG13" s="67" t="str" vm="1051">
        <f>CUBEVALUE(ConnectionString,ReportMonth,Table1[[#This Row],[Site ID (from DATIM)]],INDEX(SDI_Measures,3))</f>
        <v/>
      </c>
      <c r="AH13" s="67" vm="4457">
        <f>CUBEVALUE(ConnectionString,ReportMonth,Table1[[#This Row],[Site ID (from DATIM)]],"TX_CURR_PRIOR_MONTH")</f>
        <v>50</v>
      </c>
      <c r="AI13" s="67" vm="2679">
        <f>CUBEVALUE(ConnectionString,ReportMonth,Table1[[#This Row],[Site ID (from DATIM)]],"TX_CURR")</f>
        <v>21</v>
      </c>
      <c r="AJ13" s="67" t="str" vm="3446">
        <f>CUBEVALUE(ConnectionString,ReportMonth,Table1[[#This Row],[Site ID (from DATIM)]],"[Measures].[TI]")</f>
        <v/>
      </c>
      <c r="AK13" s="67" t="str" vm="945">
        <f>CUBEVALUE(ConnectionString,ReportMonth,Table1[[#This Row],[Site ID (from DATIM)]],"[Measures].[TO]")</f>
        <v/>
      </c>
      <c r="AL13" s="67" t="str" vm="3273">
        <f>CUBEVALUE(ConnectionString,ReportMonth,Table1[[#This Row],[Site ID (from DATIM)]],"[Measures].[DIED]")</f>
        <v/>
      </c>
      <c r="AM13" s="67" t="str" vm="3800">
        <f>CUBEVALUE(ConnectionString,ReportMonth,Table1[[#This Row],[Site ID (from DATIM)]],"[Measures].[MMS_01_31]")</f>
        <v/>
      </c>
      <c r="AN13" s="67" t="str" vm="3309">
        <f>CUBEVALUE(ConnectionString,ReportMonth,Table1[[#This Row],[Site ID (from DATIM)]],"[Measures].[MMS_32_62]")</f>
        <v/>
      </c>
      <c r="AO13" s="67" vm="6269">
        <f>CUBEVALUE(ConnectionString,ReportMonth,Table1[[#This Row],[Site ID (from DATIM)]],"[Measures].[MMS_63+]")</f>
        <v>21</v>
      </c>
      <c r="AP13" s="67" vm="8291">
        <f>CUBEVALUE(ConnectionString,ReportMonth,Table1[[#This Row],[Site ID (from DATIM)]],"[Measures].[TBPREV_D]")</f>
        <v>2</v>
      </c>
      <c r="AQ13" s="67" t="str" vm="10297">
        <f>CUBEVALUE(ConnectionString,ReportMonth,Table1[[#This Row],[Site ID (from DATIM)]],"[Measures].[TBPREV_N]")</f>
        <v/>
      </c>
      <c r="AR13" s="67" t="str" vm="4995">
        <f>CUBEVALUE(ConnectionString,ReportMonth,Table1[[#This Row],[Site ID (from DATIM)]],"[Measures].[TBPREV_NEW]")</f>
        <v/>
      </c>
      <c r="AS13" s="67" t="str" vm="11530">
        <f>CUBEVALUE(ConnectionString,ReportMonth,Table1[[#This Row],[Site ID (from DATIM)]],"[Measures].[HVL_ELIG_P]")</f>
        <v/>
      </c>
      <c r="AT13" s="67" t="str" vm="4796">
        <f>CUBEVALUE(ConnectionString,ReportMonth,Table1[[#This Row],[Site ID (from DATIM)]],"[Measures].[HVL_D_P]")</f>
        <v/>
      </c>
      <c r="AU13" s="67" t="str" vm="13241">
        <f>CUBEVALUE(ConnectionString,ReportMonth,Table1[[#This Row],[Site ID (from DATIM)]],"[Measures].[HVL_N_P]")</f>
        <v/>
      </c>
      <c r="AV13" s="68" vm="8611">
        <f>CUBEVALUE(ConnectionString,ReportMonth,Table1[[#This Row],[Site ID (from DATIM)]],"[Measures].[HVL_ELIG_A]")</f>
        <v>20</v>
      </c>
      <c r="AW13" s="68" vm="11070">
        <f>CUBEVALUE(ConnectionString,ReportMonth,Table1[[#This Row],[Site ID (from DATIM)]],"[Measures].[HVL_D_A]")</f>
        <v>24</v>
      </c>
      <c r="AX13" s="68" vm="10264">
        <f>CUBEVALUE(ConnectionString,ReportMonth,Table1[[#This Row],[Site ID (from DATIM)]],"[Measures].[HVL_N_A]")</f>
        <v>23</v>
      </c>
      <c r="AY13" s="67"/>
      <c r="AZ13" s="67"/>
      <c r="BA13" s="67"/>
      <c r="BB13" s="67"/>
      <c r="BC13" s="67"/>
      <c r="BD13" s="67"/>
      <c r="BE13" s="67"/>
      <c r="BF13" s="67"/>
      <c r="BG13" s="67" t="str" vm="10859">
        <f>CUBEVALUE(ConnectionString,ReportMonth,Table1[[#This Row],[Site ID (from DATIM)]],"[Measures].[TX_NEW_F_A]")</f>
        <v/>
      </c>
      <c r="BH13" s="67" t="str" vm="13894">
        <f>CUBEVALUE(ConnectionString,ReportMonth,Table1[[#This Row],[Site ID (from DATIM)]],"[Measures].[TX_NEW_M_A]")</f>
        <v/>
      </c>
      <c r="BI13" s="67" t="str" vm="15669">
        <f>CUBEVALUE(ConnectionString,ReportMonth,Table1[[#This Row],[Site ID (from DATIM)]],"[Measures].[TX_NEW_F_P]")</f>
        <v/>
      </c>
      <c r="BJ13" s="68" t="str" vm="15271">
        <f>CUBEVALUE(ConnectionString,ReportMonth,Table1[[#This Row],[Site ID (from DATIM)]],"[Measures].[TX_NEW_M_P]")</f>
        <v/>
      </c>
      <c r="BK13" s="68"/>
      <c r="BL13" s="68"/>
      <c r="BM13" s="68"/>
      <c r="BN13" s="68"/>
      <c r="BO13" s="68"/>
      <c r="BP13" s="68"/>
      <c r="BQ13" s="68" t="str" vm="10563">
        <f>CUBEVALUE(ConnectionString,ReportMonth,Table1[[#This Row],[Site ID (from DATIM)]],"[Measures].[TX_CURR_F_P]")</f>
        <v/>
      </c>
      <c r="BR13" s="68" t="str" vm="11202">
        <f>CUBEVALUE(ConnectionString,ReportMonth,Table1[[#This Row],[Site ID (from DATIM)]],"[Measures].[TX_CURR_M_P]")</f>
        <v/>
      </c>
      <c r="BS13" s="68" vm="6358">
        <f>CUBEVALUE(ConnectionString,ReportMonth,Table1[[#This Row],[Site ID (from DATIM)]],"[Measures].[TX_CURR_F_A]")</f>
        <v>18</v>
      </c>
      <c r="BT13" s="68" vm="11507">
        <f>CUBEVALUE(ConnectionString,ReportMonth,Table1[[#This Row],[Site ID (from DATIM)]],"[Measures].[TX_CURR_M_A]")</f>
        <v>3</v>
      </c>
      <c r="BU13" s="68" t="str" vm="18073">
        <f>CUBEVALUE(ConnectionString,ReportMonth,Table1[[#This Row],[Site ID (from DATIM)]],"[Measures].[MMS_01_89_F_P]")</f>
        <v/>
      </c>
      <c r="BV13" s="68" t="str" vm="19490">
        <f>CUBEVALUE(ConnectionString,ReportMonth,Table1[[#This Row],[Site ID (from DATIM)]],"[Measures].[MMS_01_89_M_P]")</f>
        <v/>
      </c>
      <c r="BW13" s="68" t="str" vm="19184">
        <f>CUBEVALUE(ConnectionString,ReportMonth,Table1[[#This Row],[Site ID (from DATIM)]],"[Measures].[MMS_01_89_F_A]")</f>
        <v/>
      </c>
      <c r="BX13" s="68" t="str" vm="19602">
        <f>CUBEVALUE(ConnectionString,ReportMonth,Table1[[#This Row],[Site ID (from DATIM)]],"[Measures].[MMS_01_89_M_A]")</f>
        <v/>
      </c>
      <c r="BY13" s="68" t="str" vm="18475">
        <f>CUBEVALUE(ConnectionString,ReportMonth,Table1[[#This Row],[Site ID (from DATIM)]],"[Measures].[MMS_90_179_F_P]")</f>
        <v/>
      </c>
      <c r="BZ13" s="68" t="str" vm="17785">
        <f>CUBEVALUE(ConnectionString,ReportMonth,Table1[[#This Row],[Site ID (from DATIM)]],"[Measures].[MMS_90_179_M_P]")</f>
        <v/>
      </c>
      <c r="CA13" s="68" vm="17611">
        <f>CUBEVALUE(ConnectionString,ReportMonth,Table1[[#This Row],[Site ID (from DATIM)]],"[Measures].[MMS_90_179_F_A]")</f>
        <v>18</v>
      </c>
      <c r="CB13" s="68" vm="16873">
        <f>CUBEVALUE(ConnectionString,ReportMonth,Table1[[#This Row],[Site ID (from DATIM)]],"[Measures].[MMS_90_179_M_A]")</f>
        <v>3</v>
      </c>
      <c r="CC13" s="68" t="str" vm="15521">
        <f>CUBEVALUE(ConnectionString,ReportMonth,Table1[[#This Row],[Site ID (from DATIM)]],"[Measures].[MMS_180+_F_P]")</f>
        <v/>
      </c>
      <c r="CD13" s="68" t="str" vm="14942">
        <f>CUBEVALUE(ConnectionString,ReportMonth,Table1[[#This Row],[Site ID (from DATIM)]],"[Measures].[MMS_180+_M_P]")</f>
        <v/>
      </c>
      <c r="CE13" s="68" t="str" vm="14957">
        <f>CUBEVALUE(ConnectionString,ReportMonth,Table1[[#This Row],[Site ID (from DATIM)]],"[Measures].[MMS_180+_F_A]")</f>
        <v/>
      </c>
      <c r="CF13" s="68" t="str" vm="15713">
        <f>CUBEVALUE(ConnectionString,ReportMonth,Table1[[#This Row],[Site ID (from DATIM)]],"[Measures].[MMS_180+_M_A]")</f>
        <v/>
      </c>
      <c r="CG13" s="68" vm="6342">
        <f>CUBEVALUE(ConnectionString,ReportMonth,Table1[[#This Row],[Site ID (from DATIM)]],"[Measures].[MISSEDAPP]")</f>
        <v>17</v>
      </c>
      <c r="CH13" s="68" t="str" vm="10457">
        <f>CUBEVALUE(ConnectionString,ReportMonth,Table1[[#This Row],[Site ID (from DATIM)]],"[Measures].[MMS_180+_P]")</f>
        <v/>
      </c>
      <c r="CI13" s="68" t="str" vm="12418">
        <f>CUBEVALUE(ConnectionString,ReportMonth,Table1[[#This Row],[Site ID (from DATIM)]],"[Measures].[MMS_180+_A]")</f>
        <v/>
      </c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</row>
    <row r="14" spans="1:107" x14ac:dyDescent="0.25">
      <c r="A14" s="66">
        <v>1</v>
      </c>
      <c r="B14" s="67" t="str" vm="4">
        <f t="shared" si="1"/>
        <v>Mar-2021</v>
      </c>
      <c r="C14" s="67"/>
      <c r="D14" s="67" t="s">
        <v>232</v>
      </c>
      <c r="E14" s="67" t="s">
        <v>233</v>
      </c>
      <c r="F14" s="67" t="s">
        <v>1083</v>
      </c>
      <c r="G14" s="67"/>
      <c r="H14" s="67" t="s">
        <v>1088</v>
      </c>
      <c r="I14" s="67" t="s">
        <v>1092</v>
      </c>
      <c r="J14" s="67" t="s">
        <v>1093</v>
      </c>
      <c r="K14" s="67" t="s">
        <v>1094</v>
      </c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 vm="3785">
        <f>CUBEVALUE(ConnectionString,ReportMonth,Table1[[#This Row],[Site ID (from DATIM)]],"TX_NEW_2VIS")</f>
        <v>2</v>
      </c>
      <c r="AE14" s="67" t="str" vm="2255">
        <f>CUBEVALUE(ConnectionString,ReportMonth,Table1[[#This Row],[Site ID (from DATIM)]],INDEX(SDI_Measures,1))</f>
        <v/>
      </c>
      <c r="AF14" s="67" t="str" vm="4520">
        <f>CUBEVALUE(ConnectionString,ReportMonth,Table1[[#This Row],[Site ID (from DATIM)]],INDEX(SDI_Measures,2))</f>
        <v/>
      </c>
      <c r="AG14" s="67" vm="1696">
        <f>CUBEVALUE(ConnectionString,ReportMonth,Table1[[#This Row],[Site ID (from DATIM)]],INDEX(SDI_Measures,3))</f>
        <v>1</v>
      </c>
      <c r="AH14" s="67" vm="2638">
        <f>CUBEVALUE(ConnectionString,ReportMonth,Table1[[#This Row],[Site ID (from DATIM)]],"TX_CURR_PRIOR_MONTH")</f>
        <v>1535</v>
      </c>
      <c r="AI14" s="67" vm="3189">
        <f>CUBEVALUE(ConnectionString,ReportMonth,Table1[[#This Row],[Site ID (from DATIM)]],"TX_CURR")</f>
        <v>1432</v>
      </c>
      <c r="AJ14" s="67" t="str" vm="2634">
        <f>CUBEVALUE(ConnectionString,ReportMonth,Table1[[#This Row],[Site ID (from DATIM)]],"[Measures].[TI]")</f>
        <v/>
      </c>
      <c r="AK14" s="67" vm="1978">
        <f>CUBEVALUE(ConnectionString,ReportMonth,Table1[[#This Row],[Site ID (from DATIM)]],"[Measures].[TO]")</f>
        <v>3</v>
      </c>
      <c r="AL14" s="67" t="str" vm="4488">
        <f>CUBEVALUE(ConnectionString,ReportMonth,Table1[[#This Row],[Site ID (from DATIM)]],"[Measures].[DIED]")</f>
        <v/>
      </c>
      <c r="AM14" s="67" vm="4539">
        <f>CUBEVALUE(ConnectionString,ReportMonth,Table1[[#This Row],[Site ID (from DATIM)]],"[Measures].[MMS_01_31]")</f>
        <v>600</v>
      </c>
      <c r="AN14" s="67" vm="5520">
        <f>CUBEVALUE(ConnectionString,ReportMonth,Table1[[#This Row],[Site ID (from DATIM)]],"[Measures].[MMS_32_62]")</f>
        <v>35</v>
      </c>
      <c r="AO14" s="67" vm="7566">
        <f>CUBEVALUE(ConnectionString,ReportMonth,Table1[[#This Row],[Site ID (from DATIM)]],"[Measures].[MMS_63+]")</f>
        <v>797</v>
      </c>
      <c r="AP14" s="67" vm="4629">
        <f>CUBEVALUE(ConnectionString,ReportMonth,Table1[[#This Row],[Site ID (from DATIM)]],"[Measures].[TBPREV_D]")</f>
        <v>39</v>
      </c>
      <c r="AQ14" s="67" vm="7161">
        <f>CUBEVALUE(ConnectionString,ReportMonth,Table1[[#This Row],[Site ID (from DATIM)]],"[Measures].[TBPREV_N]")</f>
        <v>33</v>
      </c>
      <c r="AR14" s="67" t="str" vm="5537">
        <f>CUBEVALUE(ConnectionString,ReportMonth,Table1[[#This Row],[Site ID (from DATIM)]],"[Measures].[TBPREV_NEW]")</f>
        <v/>
      </c>
      <c r="AS14" s="67" vm="6051">
        <f>CUBEVALUE(ConnectionString,ReportMonth,Table1[[#This Row],[Site ID (from DATIM)]],"[Measures].[HVL_ELIG_P]")</f>
        <v>72</v>
      </c>
      <c r="AT14" s="67" vm="13863">
        <f>CUBEVALUE(ConnectionString,ReportMonth,Table1[[#This Row],[Site ID (from DATIM)]],"[Measures].[HVL_D_P]")</f>
        <v>50</v>
      </c>
      <c r="AU14" s="67" vm="10794">
        <f>CUBEVALUE(ConnectionString,ReportMonth,Table1[[#This Row],[Site ID (from DATIM)]],"[Measures].[HVL_N_P]")</f>
        <v>43</v>
      </c>
      <c r="AV14" s="68" vm="15295">
        <f>CUBEVALUE(ConnectionString,ReportMonth,Table1[[#This Row],[Site ID (from DATIM)]],"[Measures].[HVL_ELIG_A]")</f>
        <v>1227</v>
      </c>
      <c r="AW14" s="68" vm="9722">
        <f>CUBEVALUE(ConnectionString,ReportMonth,Table1[[#This Row],[Site ID (from DATIM)]],"[Measures].[HVL_D_A]")</f>
        <v>765</v>
      </c>
      <c r="AX14" s="68" vm="12212">
        <f>CUBEVALUE(ConnectionString,ReportMonth,Table1[[#This Row],[Site ID (from DATIM)]],"[Measures].[HVL_N_A]")</f>
        <v>708</v>
      </c>
      <c r="AY14" s="67"/>
      <c r="AZ14" s="67"/>
      <c r="BA14" s="67"/>
      <c r="BB14" s="67"/>
      <c r="BC14" s="67"/>
      <c r="BD14" s="67"/>
      <c r="BE14" s="67"/>
      <c r="BF14" s="67"/>
      <c r="BG14" s="67" vm="13247">
        <f>CUBEVALUE(ConnectionString,ReportMonth,Table1[[#This Row],[Site ID (from DATIM)]],"[Measures].[TX_NEW_F_A]")</f>
        <v>1</v>
      </c>
      <c r="BH14" s="67" t="str" vm="16171">
        <f>CUBEVALUE(ConnectionString,ReportMonth,Table1[[#This Row],[Site ID (from DATIM)]],"[Measures].[TX_NEW_M_A]")</f>
        <v/>
      </c>
      <c r="BI14" s="67" t="str" vm="12664">
        <f>CUBEVALUE(ConnectionString,ReportMonth,Table1[[#This Row],[Site ID (from DATIM)]],"[Measures].[TX_NEW_F_P]")</f>
        <v/>
      </c>
      <c r="BJ14" s="68" t="str" vm="13741">
        <f>CUBEVALUE(ConnectionString,ReportMonth,Table1[[#This Row],[Site ID (from DATIM)]],"[Measures].[TX_NEW_M_P]")</f>
        <v/>
      </c>
      <c r="BK14" s="68"/>
      <c r="BL14" s="68"/>
      <c r="BM14" s="68"/>
      <c r="BN14" s="68"/>
      <c r="BO14" s="68"/>
      <c r="BP14" s="68"/>
      <c r="BQ14" s="68" vm="9682">
        <f>CUBEVALUE(ConnectionString,ReportMonth,Table1[[#This Row],[Site ID (from DATIM)]],"[Measures].[TX_CURR_F_P]")</f>
        <v>44</v>
      </c>
      <c r="BR14" s="68" vm="12881">
        <f>CUBEVALUE(ConnectionString,ReportMonth,Table1[[#This Row],[Site ID (from DATIM)]],"[Measures].[TX_CURR_M_P]")</f>
        <v>36</v>
      </c>
      <c r="BS14" s="68" vm="10878">
        <f>CUBEVALUE(ConnectionString,ReportMonth,Table1[[#This Row],[Site ID (from DATIM)]],"[Measures].[TX_CURR_F_A]")</f>
        <v>917</v>
      </c>
      <c r="BT14" s="68" vm="15674">
        <f>CUBEVALUE(ConnectionString,ReportMonth,Table1[[#This Row],[Site ID (from DATIM)]],"[Measures].[TX_CURR_M_A]")</f>
        <v>436</v>
      </c>
      <c r="BU14" s="68" vm="19004">
        <f>CUBEVALUE(ConnectionString,ReportMonth,Table1[[#This Row],[Site ID (from DATIM)]],"[Measures].[MMS_01_89_F_P]")</f>
        <v>19</v>
      </c>
      <c r="BV14" s="68" vm="19831">
        <f>CUBEVALUE(ConnectionString,ReportMonth,Table1[[#This Row],[Site ID (from DATIM)]],"[Measures].[MMS_01_89_M_P]")</f>
        <v>18</v>
      </c>
      <c r="BW14" s="68" vm="18086">
        <f>CUBEVALUE(ConnectionString,ReportMonth,Table1[[#This Row],[Site ID (from DATIM)]],"[Measures].[MMS_01_89_F_A]")</f>
        <v>410</v>
      </c>
      <c r="BX14" s="68" vm="19958">
        <f>CUBEVALUE(ConnectionString,ReportMonth,Table1[[#This Row],[Site ID (from DATIM)]],"[Measures].[MMS_01_89_M_A]")</f>
        <v>211</v>
      </c>
      <c r="BY14" s="68" vm="18821">
        <f>CUBEVALUE(ConnectionString,ReportMonth,Table1[[#This Row],[Site ID (from DATIM)]],"[Measures].[MMS_90_179_F_P]")</f>
        <v>25</v>
      </c>
      <c r="BZ14" s="68" vm="19310">
        <f>CUBEVALUE(ConnectionString,ReportMonth,Table1[[#This Row],[Site ID (from DATIM)]],"[Measures].[MMS_90_179_M_P]")</f>
        <v>18</v>
      </c>
      <c r="CA14" s="68" vm="15610">
        <f>CUBEVALUE(ConnectionString,ReportMonth,Table1[[#This Row],[Site ID (from DATIM)]],"[Measures].[MMS_90_179_F_A]")</f>
        <v>507</v>
      </c>
      <c r="CB14" s="68" vm="17298">
        <f>CUBEVALUE(ConnectionString,ReportMonth,Table1[[#This Row],[Site ID (from DATIM)]],"[Measures].[MMS_90_179_M_A]")</f>
        <v>225</v>
      </c>
      <c r="CC14" s="68" t="str" vm="16359">
        <f>CUBEVALUE(ConnectionString,ReportMonth,Table1[[#This Row],[Site ID (from DATIM)]],"[Measures].[MMS_180+_F_P]")</f>
        <v/>
      </c>
      <c r="CD14" s="68" t="str" vm="16772">
        <f>CUBEVALUE(ConnectionString,ReportMonth,Table1[[#This Row],[Site ID (from DATIM)]],"[Measures].[MMS_180+_M_P]")</f>
        <v/>
      </c>
      <c r="CE14" s="68" t="str" vm="14541">
        <f>CUBEVALUE(ConnectionString,ReportMonth,Table1[[#This Row],[Site ID (from DATIM)]],"[Measures].[MMS_180+_F_A]")</f>
        <v/>
      </c>
      <c r="CF14" s="68" t="str" vm="15381">
        <f>CUBEVALUE(ConnectionString,ReportMonth,Table1[[#This Row],[Site ID (from DATIM)]],"[Measures].[MMS_180+_M_A]")</f>
        <v/>
      </c>
      <c r="CG14" s="68" vm="4799">
        <f>CUBEVALUE(ConnectionString,ReportMonth,Table1[[#This Row],[Site ID (from DATIM)]],"[Measures].[MISSEDAPP]")</f>
        <v>569</v>
      </c>
      <c r="CH14" s="68" t="str" vm="13499">
        <f>CUBEVALUE(ConnectionString,ReportMonth,Table1[[#This Row],[Site ID (from DATIM)]],"[Measures].[MMS_180+_P]")</f>
        <v/>
      </c>
      <c r="CI14" s="68" t="str" vm="12262">
        <f>CUBEVALUE(ConnectionString,ReportMonth,Table1[[#This Row],[Site ID (from DATIM)]],"[Measures].[MMS_180+_A]")</f>
        <v/>
      </c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</row>
    <row r="15" spans="1:107" x14ac:dyDescent="0.25">
      <c r="A15" s="66">
        <v>4</v>
      </c>
      <c r="B15" s="67" t="str" vm="4">
        <f t="shared" si="1"/>
        <v>Mar-2021</v>
      </c>
      <c r="C15" s="67"/>
      <c r="D15" s="67" t="s">
        <v>232</v>
      </c>
      <c r="E15" s="67" t="s">
        <v>233</v>
      </c>
      <c r="F15" s="67" t="s">
        <v>437</v>
      </c>
      <c r="G15" s="67"/>
      <c r="H15" s="67" t="s">
        <v>442</v>
      </c>
      <c r="I15" s="67" t="s">
        <v>443</v>
      </c>
      <c r="J15" s="67" t="s">
        <v>446</v>
      </c>
      <c r="K15" s="67" t="s">
        <v>447</v>
      </c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 t="str" vm="1965">
        <f>CUBEVALUE(ConnectionString,ReportMonth,Table1[[#This Row],[Site ID (from DATIM)]],"TX_NEW_2VIS")</f>
        <v/>
      </c>
      <c r="AE15" s="67" t="str" vm="4057">
        <f>CUBEVALUE(ConnectionString,ReportMonth,Table1[[#This Row],[Site ID (from DATIM)]],INDEX(SDI_Measures,1))</f>
        <v/>
      </c>
      <c r="AF15" s="67" t="str" vm="4465">
        <f>CUBEVALUE(ConnectionString,ReportMonth,Table1[[#This Row],[Site ID (from DATIM)]],INDEX(SDI_Measures,2))</f>
        <v/>
      </c>
      <c r="AG15" s="67" t="str" vm="1396">
        <f>CUBEVALUE(ConnectionString,ReportMonth,Table1[[#This Row],[Site ID (from DATIM)]],INDEX(SDI_Measures,3))</f>
        <v/>
      </c>
      <c r="AH15" s="67" vm="414">
        <f>CUBEVALUE(ConnectionString,ReportMonth,Table1[[#This Row],[Site ID (from DATIM)]],"TX_CURR_PRIOR_MONTH")</f>
        <v>61</v>
      </c>
      <c r="AI15" s="67" vm="3038">
        <f>CUBEVALUE(ConnectionString,ReportMonth,Table1[[#This Row],[Site ID (from DATIM)]],"TX_CURR")</f>
        <v>61</v>
      </c>
      <c r="AJ15" s="67" t="str" vm="1438">
        <f>CUBEVALUE(ConnectionString,ReportMonth,Table1[[#This Row],[Site ID (from DATIM)]],"[Measures].[TI]")</f>
        <v/>
      </c>
      <c r="AK15" s="67" t="str" vm="2401">
        <f>CUBEVALUE(ConnectionString,ReportMonth,Table1[[#This Row],[Site ID (from DATIM)]],"[Measures].[TO]")</f>
        <v/>
      </c>
      <c r="AL15" s="67" t="str" vm="3986">
        <f>CUBEVALUE(ConnectionString,ReportMonth,Table1[[#This Row],[Site ID (from DATIM)]],"[Measures].[DIED]")</f>
        <v/>
      </c>
      <c r="AM15" s="67" vm="4242">
        <f>CUBEVALUE(ConnectionString,ReportMonth,Table1[[#This Row],[Site ID (from DATIM)]],"[Measures].[MMS_01_31]")</f>
        <v>17</v>
      </c>
      <c r="AN15" s="67" vm="6476">
        <f>CUBEVALUE(ConnectionString,ReportMonth,Table1[[#This Row],[Site ID (from DATIM)]],"[Measures].[MMS_32_62]")</f>
        <v>1</v>
      </c>
      <c r="AO15" s="67" vm="5360">
        <f>CUBEVALUE(ConnectionString,ReportMonth,Table1[[#This Row],[Site ID (from DATIM)]],"[Measures].[MMS_63+]")</f>
        <v>43</v>
      </c>
      <c r="AP15" s="67" vm="11808">
        <f>CUBEVALUE(ConnectionString,ReportMonth,Table1[[#This Row],[Site ID (from DATIM)]],"[Measures].[TBPREV_D]")</f>
        <v>1</v>
      </c>
      <c r="AQ15" s="67" t="str" vm="8475">
        <f>CUBEVALUE(ConnectionString,ReportMonth,Table1[[#This Row],[Site ID (from DATIM)]],"[Measures].[TBPREV_N]")</f>
        <v/>
      </c>
      <c r="AR15" s="67" t="str" vm="7432">
        <f>CUBEVALUE(ConnectionString,ReportMonth,Table1[[#This Row],[Site ID (from DATIM)]],"[Measures].[TBPREV_NEW]")</f>
        <v/>
      </c>
      <c r="AS15" s="67" vm="5656">
        <f>CUBEVALUE(ConnectionString,ReportMonth,Table1[[#This Row],[Site ID (from DATIM)]],"[Measures].[HVL_ELIG_P]")</f>
        <v>8</v>
      </c>
      <c r="AT15" s="67" vm="13643">
        <f>CUBEVALUE(ConnectionString,ReportMonth,Table1[[#This Row],[Site ID (from DATIM)]],"[Measures].[HVL_D_P]")</f>
        <v>6</v>
      </c>
      <c r="AU15" s="67" vm="12866">
        <f>CUBEVALUE(ConnectionString,ReportMonth,Table1[[#This Row],[Site ID (from DATIM)]],"[Measures].[HVL_N_P]")</f>
        <v>4</v>
      </c>
      <c r="AV15" s="68" vm="12930">
        <f>CUBEVALUE(ConnectionString,ReportMonth,Table1[[#This Row],[Site ID (from DATIM)]],"[Measures].[HVL_ELIG_A]")</f>
        <v>46</v>
      </c>
      <c r="AW15" s="68" vm="8091">
        <f>CUBEVALUE(ConnectionString,ReportMonth,Table1[[#This Row],[Site ID (from DATIM)]],"[Measures].[HVL_D_A]")</f>
        <v>31</v>
      </c>
      <c r="AX15" s="68" vm="10989">
        <f>CUBEVALUE(ConnectionString,ReportMonth,Table1[[#This Row],[Site ID (from DATIM)]],"[Measures].[HVL_N_A]")</f>
        <v>27</v>
      </c>
      <c r="AY15" s="67"/>
      <c r="AZ15" s="67"/>
      <c r="BA15" s="67"/>
      <c r="BB15" s="67"/>
      <c r="BC15" s="67"/>
      <c r="BD15" s="67"/>
      <c r="BE15" s="67"/>
      <c r="BF15" s="67"/>
      <c r="BG15" s="67" t="str" vm="13299">
        <f>CUBEVALUE(ConnectionString,ReportMonth,Table1[[#This Row],[Site ID (from DATIM)]],"[Measures].[TX_NEW_F_A]")</f>
        <v/>
      </c>
      <c r="BH15" s="67" t="str" vm="14084">
        <f>CUBEVALUE(ConnectionString,ReportMonth,Table1[[#This Row],[Site ID (from DATIM)]],"[Measures].[TX_NEW_M_A]")</f>
        <v/>
      </c>
      <c r="BI15" s="67" t="str" vm="13194">
        <f>CUBEVALUE(ConnectionString,ReportMonth,Table1[[#This Row],[Site ID (from DATIM)]],"[Measures].[TX_NEW_F_P]")</f>
        <v/>
      </c>
      <c r="BJ15" s="68" t="str" vm="17397">
        <f>CUBEVALUE(ConnectionString,ReportMonth,Table1[[#This Row],[Site ID (from DATIM)]],"[Measures].[TX_NEW_M_P]")</f>
        <v/>
      </c>
      <c r="BK15" s="68"/>
      <c r="BL15" s="68"/>
      <c r="BM15" s="68"/>
      <c r="BN15" s="68"/>
      <c r="BO15" s="68"/>
      <c r="BP15" s="68"/>
      <c r="BQ15" s="68" vm="9433">
        <f>CUBEVALUE(ConnectionString,ReportMonth,Table1[[#This Row],[Site ID (from DATIM)]],"[Measures].[TX_CURR_F_P]")</f>
        <v>5</v>
      </c>
      <c r="BR15" s="68" vm="8744">
        <f>CUBEVALUE(ConnectionString,ReportMonth,Table1[[#This Row],[Site ID (from DATIM)]],"[Measures].[TX_CURR_M_P]")</f>
        <v>4</v>
      </c>
      <c r="BS15" s="68" vm="10097">
        <f>CUBEVALUE(ConnectionString,ReportMonth,Table1[[#This Row],[Site ID (from DATIM)]],"[Measures].[TX_CURR_F_A]")</f>
        <v>38</v>
      </c>
      <c r="BT15" s="68" vm="13037">
        <f>CUBEVALUE(ConnectionString,ReportMonth,Table1[[#This Row],[Site ID (from DATIM)]],"[Measures].[TX_CURR_M_A]")</f>
        <v>14</v>
      </c>
      <c r="BU15" s="68" vm="18399">
        <f>CUBEVALUE(ConnectionString,ReportMonth,Table1[[#This Row],[Site ID (from DATIM)]],"[Measures].[MMS_01_89_F_P]")</f>
        <v>5</v>
      </c>
      <c r="BV15" s="68" vm="18684">
        <f>CUBEVALUE(ConnectionString,ReportMonth,Table1[[#This Row],[Site ID (from DATIM)]],"[Measures].[MMS_01_89_M_P]")</f>
        <v>4</v>
      </c>
      <c r="BW15" s="68" vm="19466">
        <f>CUBEVALUE(ConnectionString,ReportMonth,Table1[[#This Row],[Site ID (from DATIM)]],"[Measures].[MMS_01_89_F_A]")</f>
        <v>6</v>
      </c>
      <c r="BX15" s="68" vm="18585">
        <f>CUBEVALUE(ConnectionString,ReportMonth,Table1[[#This Row],[Site ID (from DATIM)]],"[Measures].[MMS_01_89_M_A]")</f>
        <v>3</v>
      </c>
      <c r="BY15" s="68" t="str" vm="18256">
        <f>CUBEVALUE(ConnectionString,ReportMonth,Table1[[#This Row],[Site ID (from DATIM)]],"[Measures].[MMS_90_179_F_P]")</f>
        <v/>
      </c>
      <c r="BZ15" s="68" t="str" vm="19566">
        <f>CUBEVALUE(ConnectionString,ReportMonth,Table1[[#This Row],[Site ID (from DATIM)]],"[Measures].[MMS_90_179_M_P]")</f>
        <v/>
      </c>
      <c r="CA15" s="68" vm="15206">
        <f>CUBEVALUE(ConnectionString,ReportMonth,Table1[[#This Row],[Site ID (from DATIM)]],"[Measures].[MMS_90_179_F_A]")</f>
        <v>32</v>
      </c>
      <c r="CB15" s="68" vm="15591">
        <f>CUBEVALUE(ConnectionString,ReportMonth,Table1[[#This Row],[Site ID (from DATIM)]],"[Measures].[MMS_90_179_M_A]")</f>
        <v>11</v>
      </c>
      <c r="CC15" s="68" t="str" vm="19039">
        <f>CUBEVALUE(ConnectionString,ReportMonth,Table1[[#This Row],[Site ID (from DATIM)]],"[Measures].[MMS_180+_F_P]")</f>
        <v/>
      </c>
      <c r="CD15" s="68" t="str" vm="14531">
        <f>CUBEVALUE(ConnectionString,ReportMonth,Table1[[#This Row],[Site ID (from DATIM)]],"[Measures].[MMS_180+_M_P]")</f>
        <v/>
      </c>
      <c r="CE15" s="68" t="str" vm="14993">
        <f>CUBEVALUE(ConnectionString,ReportMonth,Table1[[#This Row],[Site ID (from DATIM)]],"[Measures].[MMS_180+_F_A]")</f>
        <v/>
      </c>
      <c r="CF15" s="68" t="str" vm="17496">
        <f>CUBEVALUE(ConnectionString,ReportMonth,Table1[[#This Row],[Site ID (from DATIM)]],"[Measures].[MMS_180+_M_A]")</f>
        <v/>
      </c>
      <c r="CG15" s="68" vm="9376">
        <f>CUBEVALUE(ConnectionString,ReportMonth,Table1[[#This Row],[Site ID (from DATIM)]],"[Measures].[MISSEDAPP]")</f>
        <v>36</v>
      </c>
      <c r="CH15" s="68" t="str" vm="10122">
        <f>CUBEVALUE(ConnectionString,ReportMonth,Table1[[#This Row],[Site ID (from DATIM)]],"[Measures].[MMS_180+_P]")</f>
        <v/>
      </c>
      <c r="CI15" s="68" t="str" vm="10906">
        <f>CUBEVALUE(ConnectionString,ReportMonth,Table1[[#This Row],[Site ID (from DATIM)]],"[Measures].[MMS_180+_A]")</f>
        <v/>
      </c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</row>
    <row r="16" spans="1:107" x14ac:dyDescent="0.25">
      <c r="A16" s="66">
        <v>2</v>
      </c>
      <c r="B16" s="67" t="str" vm="4">
        <f t="shared" si="1"/>
        <v>Mar-2021</v>
      </c>
      <c r="C16" s="67"/>
      <c r="D16" s="67" t="s">
        <v>232</v>
      </c>
      <c r="E16" s="67" t="s">
        <v>233</v>
      </c>
      <c r="F16" s="67" t="s">
        <v>437</v>
      </c>
      <c r="G16" s="67"/>
      <c r="H16" s="67" t="s">
        <v>442</v>
      </c>
      <c r="I16" s="67" t="s">
        <v>448</v>
      </c>
      <c r="J16" s="67" t="s">
        <v>449</v>
      </c>
      <c r="K16" s="67" t="s">
        <v>450</v>
      </c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 t="str" vm="2348">
        <f>CUBEVALUE(ConnectionString,ReportMonth,Table1[[#This Row],[Site ID (from DATIM)]],"TX_NEW_2VIS")</f>
        <v/>
      </c>
      <c r="AE16" s="67" vm="757">
        <f>CUBEVALUE(ConnectionString,ReportMonth,Table1[[#This Row],[Site ID (from DATIM)]],INDEX(SDI_Measures,1))</f>
        <v>2</v>
      </c>
      <c r="AF16" s="67" t="str" vm="1927">
        <f>CUBEVALUE(ConnectionString,ReportMonth,Table1[[#This Row],[Site ID (from DATIM)]],INDEX(SDI_Measures,2))</f>
        <v/>
      </c>
      <c r="AG16" s="67" t="str" vm="4064">
        <f>CUBEVALUE(ConnectionString,ReportMonth,Table1[[#This Row],[Site ID (from DATIM)]],INDEX(SDI_Measures,3))</f>
        <v/>
      </c>
      <c r="AH16" s="67" vm="2172">
        <f>CUBEVALUE(ConnectionString,ReportMonth,Table1[[#This Row],[Site ID (from DATIM)]],"TX_CURR_PRIOR_MONTH")</f>
        <v>494</v>
      </c>
      <c r="AI16" s="67" vm="598">
        <f>CUBEVALUE(ConnectionString,ReportMonth,Table1[[#This Row],[Site ID (from DATIM)]],"TX_CURR")</f>
        <v>414</v>
      </c>
      <c r="AJ16" s="67" t="str" vm="3007">
        <f>CUBEVALUE(ConnectionString,ReportMonth,Table1[[#This Row],[Site ID (from DATIM)]],"[Measures].[TI]")</f>
        <v/>
      </c>
      <c r="AK16" s="67" vm="2855">
        <f>CUBEVALUE(ConnectionString,ReportMonth,Table1[[#This Row],[Site ID (from DATIM)]],"[Measures].[TO]")</f>
        <v>8</v>
      </c>
      <c r="AL16" s="67" t="str" vm="2823">
        <f>CUBEVALUE(ConnectionString,ReportMonth,Table1[[#This Row],[Site ID (from DATIM)]],"[Measures].[DIED]")</f>
        <v/>
      </c>
      <c r="AM16" s="67" vm="3959">
        <f>CUBEVALUE(ConnectionString,ReportMonth,Table1[[#This Row],[Site ID (from DATIM)]],"[Measures].[MMS_01_31]")</f>
        <v>89</v>
      </c>
      <c r="AN16" s="67" vm="4828">
        <f>CUBEVALUE(ConnectionString,ReportMonth,Table1[[#This Row],[Site ID (from DATIM)]],"[Measures].[MMS_32_62]")</f>
        <v>2</v>
      </c>
      <c r="AO16" s="67" vm="8499">
        <f>CUBEVALUE(ConnectionString,ReportMonth,Table1[[#This Row],[Site ID (from DATIM)]],"[Measures].[MMS_63+]")</f>
        <v>323</v>
      </c>
      <c r="AP16" s="67" vm="5299">
        <f>CUBEVALUE(ConnectionString,ReportMonth,Table1[[#This Row],[Site ID (from DATIM)]],"[Measures].[TBPREV_D]")</f>
        <v>13</v>
      </c>
      <c r="AQ16" s="67" vm="6254">
        <f>CUBEVALUE(ConnectionString,ReportMonth,Table1[[#This Row],[Site ID (from DATIM)]],"[Measures].[TBPREV_N]")</f>
        <v>4</v>
      </c>
      <c r="AR16" s="67" vm="10438">
        <f>CUBEVALUE(ConnectionString,ReportMonth,Table1[[#This Row],[Site ID (from DATIM)]],"[Measures].[TBPREV_NEW]")</f>
        <v>1</v>
      </c>
      <c r="AS16" s="67" vm="6549">
        <f>CUBEVALUE(ConnectionString,ReportMonth,Table1[[#This Row],[Site ID (from DATIM)]],"[Measures].[HVL_ELIG_P]")</f>
        <v>21</v>
      </c>
      <c r="AT16" s="67" vm="6450">
        <f>CUBEVALUE(ConnectionString,ReportMonth,Table1[[#This Row],[Site ID (from DATIM)]],"[Measures].[HVL_D_P]")</f>
        <v>29</v>
      </c>
      <c r="AU16" s="67" vm="12511">
        <f>CUBEVALUE(ConnectionString,ReportMonth,Table1[[#This Row],[Site ID (from DATIM)]],"[Measures].[HVL_N_P]")</f>
        <v>19</v>
      </c>
      <c r="AV16" s="68" vm="9832">
        <f>CUBEVALUE(ConnectionString,ReportMonth,Table1[[#This Row],[Site ID (from DATIM)]],"[Measures].[HVL_ELIG_A]")</f>
        <v>358</v>
      </c>
      <c r="AW16" s="68" vm="7215">
        <f>CUBEVALUE(ConnectionString,ReportMonth,Table1[[#This Row],[Site ID (from DATIM)]],"[Measures].[HVL_D_A]")</f>
        <v>319</v>
      </c>
      <c r="AX16" s="68" vm="10456">
        <f>CUBEVALUE(ConnectionString,ReportMonth,Table1[[#This Row],[Site ID (from DATIM)]],"[Measures].[HVL_N_A]")</f>
        <v>292</v>
      </c>
      <c r="AY16" s="67"/>
      <c r="AZ16" s="67"/>
      <c r="BA16" s="67"/>
      <c r="BB16" s="67"/>
      <c r="BC16" s="67"/>
      <c r="BD16" s="67"/>
      <c r="BE16" s="67"/>
      <c r="BF16" s="67"/>
      <c r="BG16" s="67" vm="12340">
        <f>CUBEVALUE(ConnectionString,ReportMonth,Table1[[#This Row],[Site ID (from DATIM)]],"[Measures].[TX_NEW_F_A]")</f>
        <v>2</v>
      </c>
      <c r="BH16" s="67" t="str" vm="12505">
        <f>CUBEVALUE(ConnectionString,ReportMonth,Table1[[#This Row],[Site ID (from DATIM)]],"[Measures].[TX_NEW_M_A]")</f>
        <v/>
      </c>
      <c r="BI16" s="67" t="str" vm="13420">
        <f>CUBEVALUE(ConnectionString,ReportMonth,Table1[[#This Row],[Site ID (from DATIM)]],"[Measures].[TX_NEW_F_P]")</f>
        <v/>
      </c>
      <c r="BJ16" s="68" t="str" vm="16142">
        <f>CUBEVALUE(ConnectionString,ReportMonth,Table1[[#This Row],[Site ID (from DATIM)]],"[Measures].[TX_NEW_M_P]")</f>
        <v/>
      </c>
      <c r="BK16" s="68"/>
      <c r="BL16" s="68"/>
      <c r="BM16" s="68"/>
      <c r="BN16" s="68"/>
      <c r="BO16" s="68"/>
      <c r="BP16" s="68"/>
      <c r="BQ16" s="68" vm="8463">
        <f>CUBEVALUE(ConnectionString,ReportMonth,Table1[[#This Row],[Site ID (from DATIM)]],"[Measures].[TX_CURR_F_P]")</f>
        <v>11</v>
      </c>
      <c r="BR16" s="68" vm="13801">
        <f>CUBEVALUE(ConnectionString,ReportMonth,Table1[[#This Row],[Site ID (from DATIM)]],"[Measures].[TX_CURR_M_P]")</f>
        <v>10</v>
      </c>
      <c r="BS16" s="68" vm="8388">
        <f>CUBEVALUE(ConnectionString,ReportMonth,Table1[[#This Row],[Site ID (from DATIM)]],"[Measures].[TX_CURR_F_A]")</f>
        <v>266</v>
      </c>
      <c r="BT16" s="68" vm="10987">
        <f>CUBEVALUE(ConnectionString,ReportMonth,Table1[[#This Row],[Site ID (from DATIM)]],"[Measures].[TX_CURR_M_A]")</f>
        <v>127</v>
      </c>
      <c r="BU16" s="68" vm="19768">
        <f>CUBEVALUE(ConnectionString,ReportMonth,Table1[[#This Row],[Site ID (from DATIM)]],"[Measures].[MMS_01_89_F_P]")</f>
        <v>6</v>
      </c>
      <c r="BV16" s="68" vm="19018">
        <f>CUBEVALUE(ConnectionString,ReportMonth,Table1[[#This Row],[Site ID (from DATIM)]],"[Measures].[MMS_01_89_M_P]")</f>
        <v>2</v>
      </c>
      <c r="BW16" s="68" vm="18004">
        <f>CUBEVALUE(ConnectionString,ReportMonth,Table1[[#This Row],[Site ID (from DATIM)]],"[Measures].[MMS_01_89_F_A]")</f>
        <v>60</v>
      </c>
      <c r="BX16" s="68" vm="16950">
        <f>CUBEVALUE(ConnectionString,ReportMonth,Table1[[#This Row],[Site ID (from DATIM)]],"[Measures].[MMS_01_89_M_A]")</f>
        <v>24</v>
      </c>
      <c r="BY16" s="68" vm="19601">
        <f>CUBEVALUE(ConnectionString,ReportMonth,Table1[[#This Row],[Site ID (from DATIM)]],"[Measures].[MMS_90_179_F_P]")</f>
        <v>5</v>
      </c>
      <c r="BZ16" s="68" vm="17773">
        <f>CUBEVALUE(ConnectionString,ReportMonth,Table1[[#This Row],[Site ID (from DATIM)]],"[Measures].[MMS_90_179_M_P]")</f>
        <v>8</v>
      </c>
      <c r="CA16" s="68" vm="17880">
        <f>CUBEVALUE(ConnectionString,ReportMonth,Table1[[#This Row],[Site ID (from DATIM)]],"[Measures].[MMS_90_179_F_A]")</f>
        <v>206</v>
      </c>
      <c r="CB16" s="68" vm="14690">
        <f>CUBEVALUE(ConnectionString,ReportMonth,Table1[[#This Row],[Site ID (from DATIM)]],"[Measures].[MMS_90_179_M_A]")</f>
        <v>103</v>
      </c>
      <c r="CC16" s="68" t="str" vm="16811">
        <f>CUBEVALUE(ConnectionString,ReportMonth,Table1[[#This Row],[Site ID (from DATIM)]],"[Measures].[MMS_180+_F_P]")</f>
        <v/>
      </c>
      <c r="CD16" s="68" t="str" vm="55">
        <f>CUBEVALUE(ConnectionString,ReportMonth,Table1[[#This Row],[Site ID (from DATIM)]],"[Measures].[MMS_180+_M_P]")</f>
        <v/>
      </c>
      <c r="CE16" s="68" t="str" vm="20168">
        <f>CUBEVALUE(ConnectionString,ReportMonth,Table1[[#This Row],[Site ID (from DATIM)]],"[Measures].[MMS_180+_F_A]")</f>
        <v/>
      </c>
      <c r="CF16" s="68" t="str" vm="20182">
        <f>CUBEVALUE(ConnectionString,ReportMonth,Table1[[#This Row],[Site ID (from DATIM)]],"[Measures].[MMS_180+_M_A]")</f>
        <v/>
      </c>
      <c r="CG16" s="68" vm="7085">
        <f>CUBEVALUE(ConnectionString,ReportMonth,Table1[[#This Row],[Site ID (from DATIM)]],"[Measures].[MISSEDAPP]")</f>
        <v>177</v>
      </c>
      <c r="CH16" s="68" t="str" vm="10616">
        <f>CUBEVALUE(ConnectionString,ReportMonth,Table1[[#This Row],[Site ID (from DATIM)]],"[Measures].[MMS_180+_P]")</f>
        <v/>
      </c>
      <c r="CI16" s="68" t="str" vm="13935">
        <f>CUBEVALUE(ConnectionString,ReportMonth,Table1[[#This Row],[Site ID (from DATIM)]],"[Measures].[MMS_180+_A]")</f>
        <v/>
      </c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</row>
    <row r="17" spans="1:107" x14ac:dyDescent="0.25">
      <c r="A17" s="66">
        <v>4</v>
      </c>
      <c r="B17" s="67" t="str" vm="4">
        <f t="shared" si="1"/>
        <v>Mar-2021</v>
      </c>
      <c r="C17" s="67"/>
      <c r="D17" s="67" t="s">
        <v>232</v>
      </c>
      <c r="E17" s="67" t="s">
        <v>233</v>
      </c>
      <c r="F17" s="67" t="s">
        <v>437</v>
      </c>
      <c r="G17" s="67"/>
      <c r="H17" s="67" t="s">
        <v>442</v>
      </c>
      <c r="I17" s="67" t="s">
        <v>451</v>
      </c>
      <c r="J17" s="67" t="s">
        <v>452</v>
      </c>
      <c r="K17" s="67" t="s">
        <v>453</v>
      </c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 t="str" vm="1807">
        <f>CUBEVALUE(ConnectionString,ReportMonth,Table1[[#This Row],[Site ID (from DATIM)]],"TX_NEW_2VIS")</f>
        <v/>
      </c>
      <c r="AE17" s="67" t="str" vm="2913">
        <f>CUBEVALUE(ConnectionString,ReportMonth,Table1[[#This Row],[Site ID (from DATIM)]],INDEX(SDI_Measures,1))</f>
        <v/>
      </c>
      <c r="AF17" s="67" t="str" vm="6394">
        <f>CUBEVALUE(ConnectionString,ReportMonth,Table1[[#This Row],[Site ID (from DATIM)]],INDEX(SDI_Measures,2))</f>
        <v/>
      </c>
      <c r="AG17" s="67" t="str" vm="2129">
        <f>CUBEVALUE(ConnectionString,ReportMonth,Table1[[#This Row],[Site ID (from DATIM)]],INDEX(SDI_Measures,3))</f>
        <v/>
      </c>
      <c r="AH17" s="67" vm="4510">
        <f>CUBEVALUE(ConnectionString,ReportMonth,Table1[[#This Row],[Site ID (from DATIM)]],"TX_CURR_PRIOR_MONTH")</f>
        <v>10</v>
      </c>
      <c r="AI17" s="67" vm="4283">
        <f>CUBEVALUE(ConnectionString,ReportMonth,Table1[[#This Row],[Site ID (from DATIM)]],"TX_CURR")</f>
        <v>10</v>
      </c>
      <c r="AJ17" s="67" t="str" vm="726">
        <f>CUBEVALUE(ConnectionString,ReportMonth,Table1[[#This Row],[Site ID (from DATIM)]],"[Measures].[TI]")</f>
        <v/>
      </c>
      <c r="AK17" s="67" t="str" vm="3137">
        <f>CUBEVALUE(ConnectionString,ReportMonth,Table1[[#This Row],[Site ID (from DATIM)]],"[Measures].[TO]")</f>
        <v/>
      </c>
      <c r="AL17" s="67" t="str" vm="6111">
        <f>CUBEVALUE(ConnectionString,ReportMonth,Table1[[#This Row],[Site ID (from DATIM)]],"[Measures].[DIED]")</f>
        <v/>
      </c>
      <c r="AM17" s="67" vm="4099">
        <f>CUBEVALUE(ConnectionString,ReportMonth,Table1[[#This Row],[Site ID (from DATIM)]],"[Measures].[MMS_01_31]")</f>
        <v>2</v>
      </c>
      <c r="AN17" s="67" vm="5653">
        <f>CUBEVALUE(ConnectionString,ReportMonth,Table1[[#This Row],[Site ID (from DATIM)]],"[Measures].[MMS_32_62]")</f>
        <v>8</v>
      </c>
      <c r="AO17" s="67" t="str" vm="8481">
        <f>CUBEVALUE(ConnectionString,ReportMonth,Table1[[#This Row],[Site ID (from DATIM)]],"[Measures].[MMS_63+]")</f>
        <v/>
      </c>
      <c r="AP17" s="67" t="str" vm="6420">
        <f>CUBEVALUE(ConnectionString,ReportMonth,Table1[[#This Row],[Site ID (from DATIM)]],"[Measures].[TBPREV_D]")</f>
        <v/>
      </c>
      <c r="AQ17" s="67" t="str" vm="7112">
        <f>CUBEVALUE(ConnectionString,ReportMonth,Table1[[#This Row],[Site ID (from DATIM)]],"[Measures].[TBPREV_N]")</f>
        <v/>
      </c>
      <c r="AR17" s="67" t="str" vm="6496">
        <f>CUBEVALUE(ConnectionString,ReportMonth,Table1[[#This Row],[Site ID (from DATIM)]],"[Measures].[TBPREV_NEW]")</f>
        <v/>
      </c>
      <c r="AS17" s="67" t="str" vm="9231">
        <f>CUBEVALUE(ConnectionString,ReportMonth,Table1[[#This Row],[Site ID (from DATIM)]],"[Measures].[HVL_ELIG_P]")</f>
        <v/>
      </c>
      <c r="AT17" s="67" t="str" vm="5403">
        <f>CUBEVALUE(ConnectionString,ReportMonth,Table1[[#This Row],[Site ID (from DATIM)]],"[Measures].[HVL_D_P]")</f>
        <v/>
      </c>
      <c r="AU17" s="67" t="str" vm="8647">
        <f>CUBEVALUE(ConnectionString,ReportMonth,Table1[[#This Row],[Site ID (from DATIM)]],"[Measures].[HVL_N_P]")</f>
        <v/>
      </c>
      <c r="AV17" s="68" t="str" vm="9143">
        <f>CUBEVALUE(ConnectionString,ReportMonth,Table1[[#This Row],[Site ID (from DATIM)]],"[Measures].[HVL_ELIG_A]")</f>
        <v/>
      </c>
      <c r="AW17" s="68" t="str" vm="8282">
        <f>CUBEVALUE(ConnectionString,ReportMonth,Table1[[#This Row],[Site ID (from DATIM)]],"[Measures].[HVL_D_A]")</f>
        <v/>
      </c>
      <c r="AX17" s="68" t="str" vm="12623">
        <f>CUBEVALUE(ConnectionString,ReportMonth,Table1[[#This Row],[Site ID (from DATIM)]],"[Measures].[HVL_N_A]")</f>
        <v/>
      </c>
      <c r="AY17" s="67"/>
      <c r="AZ17" s="67"/>
      <c r="BA17" s="67"/>
      <c r="BB17" s="67"/>
      <c r="BC17" s="67"/>
      <c r="BD17" s="67"/>
      <c r="BE17" s="67"/>
      <c r="BF17" s="67"/>
      <c r="BG17" s="67" t="str" vm="12753">
        <f>CUBEVALUE(ConnectionString,ReportMonth,Table1[[#This Row],[Site ID (from DATIM)]],"[Measures].[TX_NEW_F_A]")</f>
        <v/>
      </c>
      <c r="BH17" s="67" t="str" vm="13062">
        <f>CUBEVALUE(ConnectionString,ReportMonth,Table1[[#This Row],[Site ID (from DATIM)]],"[Measures].[TX_NEW_M_A]")</f>
        <v/>
      </c>
      <c r="BI17" s="67" t="str" vm="13419">
        <f>CUBEVALUE(ConnectionString,ReportMonth,Table1[[#This Row],[Site ID (from DATIM)]],"[Measures].[TX_NEW_F_P]")</f>
        <v/>
      </c>
      <c r="BJ17" s="68" t="str" vm="16205">
        <f>CUBEVALUE(ConnectionString,ReportMonth,Table1[[#This Row],[Site ID (from DATIM)]],"[Measures].[TX_NEW_M_P]")</f>
        <v/>
      </c>
      <c r="BK17" s="68"/>
      <c r="BL17" s="68"/>
      <c r="BM17" s="68"/>
      <c r="BN17" s="68"/>
      <c r="BO17" s="68"/>
      <c r="BP17" s="68"/>
      <c r="BQ17" s="68" t="str" vm="9333">
        <f>CUBEVALUE(ConnectionString,ReportMonth,Table1[[#This Row],[Site ID (from DATIM)]],"[Measures].[TX_CURR_F_P]")</f>
        <v/>
      </c>
      <c r="BR17" s="68" t="str" vm="8582">
        <f>CUBEVALUE(ConnectionString,ReportMonth,Table1[[#This Row],[Site ID (from DATIM)]],"[Measures].[TX_CURR_M_P]")</f>
        <v/>
      </c>
      <c r="BS17" s="68" vm="11599">
        <f>CUBEVALUE(ConnectionString,ReportMonth,Table1[[#This Row],[Site ID (from DATIM)]],"[Measures].[TX_CURR_F_A]")</f>
        <v>9</v>
      </c>
      <c r="BT17" s="68" vm="7733">
        <f>CUBEVALUE(ConnectionString,ReportMonth,Table1[[#This Row],[Site ID (from DATIM)]],"[Measures].[TX_CURR_M_A]")</f>
        <v>1</v>
      </c>
      <c r="BU17" s="68" t="str" vm="19820">
        <f>CUBEVALUE(ConnectionString,ReportMonth,Table1[[#This Row],[Site ID (from DATIM)]],"[Measures].[MMS_01_89_F_P]")</f>
        <v/>
      </c>
      <c r="BV17" s="68" t="str" vm="19511">
        <f>CUBEVALUE(ConnectionString,ReportMonth,Table1[[#This Row],[Site ID (from DATIM)]],"[Measures].[MMS_01_89_M_P]")</f>
        <v/>
      </c>
      <c r="BW17" s="68" vm="19689">
        <f>CUBEVALUE(ConnectionString,ReportMonth,Table1[[#This Row],[Site ID (from DATIM)]],"[Measures].[MMS_01_89_F_A]")</f>
        <v>9</v>
      </c>
      <c r="BX17" s="68" vm="16053">
        <f>CUBEVALUE(ConnectionString,ReportMonth,Table1[[#This Row],[Site ID (from DATIM)]],"[Measures].[MMS_01_89_M_A]")</f>
        <v>1</v>
      </c>
      <c r="BY17" s="68" t="str" vm="19165">
        <f>CUBEVALUE(ConnectionString,ReportMonth,Table1[[#This Row],[Site ID (from DATIM)]],"[Measures].[MMS_90_179_F_P]")</f>
        <v/>
      </c>
      <c r="BZ17" s="68" t="str" vm="16992">
        <f>CUBEVALUE(ConnectionString,ReportMonth,Table1[[#This Row],[Site ID (from DATIM)]],"[Measures].[MMS_90_179_M_P]")</f>
        <v/>
      </c>
      <c r="CA17" s="68" t="str" vm="18148">
        <f>CUBEVALUE(ConnectionString,ReportMonth,Table1[[#This Row],[Site ID (from DATIM)]],"[Measures].[MMS_90_179_F_A]")</f>
        <v/>
      </c>
      <c r="CB17" s="68" t="str" vm="17610">
        <f>CUBEVALUE(ConnectionString,ReportMonth,Table1[[#This Row],[Site ID (from DATIM)]],"[Measures].[MMS_90_179_M_A]")</f>
        <v/>
      </c>
      <c r="CC17" s="68" t="str" vm="16298">
        <f>CUBEVALUE(ConnectionString,ReportMonth,Table1[[#This Row],[Site ID (from DATIM)]],"[Measures].[MMS_180+_F_P]")</f>
        <v/>
      </c>
      <c r="CD17" s="68" t="str" vm="14460">
        <f>CUBEVALUE(ConnectionString,ReportMonth,Table1[[#This Row],[Site ID (from DATIM)]],"[Measures].[MMS_180+_M_P]")</f>
        <v/>
      </c>
      <c r="CE17" s="68" t="str" vm="14926">
        <f>CUBEVALUE(ConnectionString,ReportMonth,Table1[[#This Row],[Site ID (from DATIM)]],"[Measures].[MMS_180+_F_A]")</f>
        <v/>
      </c>
      <c r="CF17" s="68" t="str" vm="16700">
        <f>CUBEVALUE(ConnectionString,ReportMonth,Table1[[#This Row],[Site ID (from DATIM)]],"[Measures].[MMS_180+_M_A]")</f>
        <v/>
      </c>
      <c r="CG17" s="68" vm="5900">
        <f>CUBEVALUE(ConnectionString,ReportMonth,Table1[[#This Row],[Site ID (from DATIM)]],"[Measures].[MISSEDAPP]")</f>
        <v>1</v>
      </c>
      <c r="CH17" s="68" t="str" vm="10118">
        <f>CUBEVALUE(ConnectionString,ReportMonth,Table1[[#This Row],[Site ID (from DATIM)]],"[Measures].[MMS_180+_P]")</f>
        <v/>
      </c>
      <c r="CI17" s="68" t="str" vm="12101">
        <f>CUBEVALUE(ConnectionString,ReportMonth,Table1[[#This Row],[Site ID (from DATIM)]],"[Measures].[MMS_180+_A]")</f>
        <v/>
      </c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</row>
    <row r="18" spans="1:107" x14ac:dyDescent="0.25">
      <c r="A18" s="66">
        <v>4</v>
      </c>
      <c r="B18" s="67" t="str" vm="4">
        <f t="shared" si="1"/>
        <v>Mar-2021</v>
      </c>
      <c r="C18" s="67"/>
      <c r="D18" s="67" t="s">
        <v>232</v>
      </c>
      <c r="E18" s="67" t="s">
        <v>233</v>
      </c>
      <c r="F18" s="67" t="s">
        <v>437</v>
      </c>
      <c r="G18" s="67"/>
      <c r="H18" s="67" t="s">
        <v>454</v>
      </c>
      <c r="I18" s="67" t="s">
        <v>455</v>
      </c>
      <c r="J18" s="67" t="s">
        <v>456</v>
      </c>
      <c r="K18" s="67" t="s">
        <v>457</v>
      </c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 t="str" vm="6110">
        <f>CUBEVALUE(ConnectionString,ReportMonth,Table1[[#This Row],[Site ID (from DATIM)]],"TX_NEW_2VIS")</f>
        <v/>
      </c>
      <c r="AE18" s="67" t="str" vm="1786">
        <f>CUBEVALUE(ConnectionString,ReportMonth,Table1[[#This Row],[Site ID (from DATIM)]],INDEX(SDI_Measures,1))</f>
        <v/>
      </c>
      <c r="AF18" s="67" t="str" vm="4403">
        <f>CUBEVALUE(ConnectionString,ReportMonth,Table1[[#This Row],[Site ID (from DATIM)]],INDEX(SDI_Measures,2))</f>
        <v/>
      </c>
      <c r="AG18" s="67" t="str" vm="4157">
        <f>CUBEVALUE(ConnectionString,ReportMonth,Table1[[#This Row],[Site ID (from DATIM)]],INDEX(SDI_Measures,3))</f>
        <v/>
      </c>
      <c r="AH18" s="67" t="str" vm="981">
        <f>CUBEVALUE(ConnectionString,ReportMonth,Table1[[#This Row],[Site ID (from DATIM)]],"TX_CURR_PRIOR_MONTH")</f>
        <v/>
      </c>
      <c r="AI18" s="67" t="str" vm="3162">
        <f>CUBEVALUE(ConnectionString,ReportMonth,Table1[[#This Row],[Site ID (from DATIM)]],"TX_CURR")</f>
        <v/>
      </c>
      <c r="AJ18" s="67" t="str" vm="2530">
        <f>CUBEVALUE(ConnectionString,ReportMonth,Table1[[#This Row],[Site ID (from DATIM)]],"[Measures].[TI]")</f>
        <v/>
      </c>
      <c r="AK18" s="67" t="str" vm="1706">
        <f>CUBEVALUE(ConnectionString,ReportMonth,Table1[[#This Row],[Site ID (from DATIM)]],"[Measures].[TO]")</f>
        <v/>
      </c>
      <c r="AL18" s="67" t="str" vm="464">
        <f>CUBEVALUE(ConnectionString,ReportMonth,Table1[[#This Row],[Site ID (from DATIM)]],"[Measures].[DIED]")</f>
        <v/>
      </c>
      <c r="AM18" s="67" t="str" vm="4156">
        <f>CUBEVALUE(ConnectionString,ReportMonth,Table1[[#This Row],[Site ID (from DATIM)]],"[Measures].[MMS_01_31]")</f>
        <v/>
      </c>
      <c r="AN18" s="67" t="str" vm="5201">
        <f>CUBEVALUE(ConnectionString,ReportMonth,Table1[[#This Row],[Site ID (from DATIM)]],"[Measures].[MMS_32_62]")</f>
        <v/>
      </c>
      <c r="AO18" s="67" t="str" vm="8053">
        <f>CUBEVALUE(ConnectionString,ReportMonth,Table1[[#This Row],[Site ID (from DATIM)]],"[Measures].[MMS_63+]")</f>
        <v/>
      </c>
      <c r="AP18" s="67" t="str" vm="4564">
        <f>CUBEVALUE(ConnectionString,ReportMonth,Table1[[#This Row],[Site ID (from DATIM)]],"[Measures].[TBPREV_D]")</f>
        <v/>
      </c>
      <c r="AQ18" s="67" t="str" vm="5345">
        <f>CUBEVALUE(ConnectionString,ReportMonth,Table1[[#This Row],[Site ID (from DATIM)]],"[Measures].[TBPREV_N]")</f>
        <v/>
      </c>
      <c r="AR18" s="67" t="str" vm="6753">
        <f>CUBEVALUE(ConnectionString,ReportMonth,Table1[[#This Row],[Site ID (from DATIM)]],"[Measures].[TBPREV_NEW]")</f>
        <v/>
      </c>
      <c r="AS18" s="67" t="str" vm="9752">
        <f>CUBEVALUE(ConnectionString,ReportMonth,Table1[[#This Row],[Site ID (from DATIM)]],"[Measures].[HVL_ELIG_P]")</f>
        <v/>
      </c>
      <c r="AT18" s="67" t="str" vm="7798">
        <f>CUBEVALUE(ConnectionString,ReportMonth,Table1[[#This Row],[Site ID (from DATIM)]],"[Measures].[HVL_D_P]")</f>
        <v/>
      </c>
      <c r="AU18" s="67" t="str" vm="10531">
        <f>CUBEVALUE(ConnectionString,ReportMonth,Table1[[#This Row],[Site ID (from DATIM)]],"[Measures].[HVL_N_P]")</f>
        <v/>
      </c>
      <c r="AV18" s="68" t="str" vm="9891">
        <f>CUBEVALUE(ConnectionString,ReportMonth,Table1[[#This Row],[Site ID (from DATIM)]],"[Measures].[HVL_ELIG_A]")</f>
        <v/>
      </c>
      <c r="AW18" s="68" t="str" vm="7021">
        <f>CUBEVALUE(ConnectionString,ReportMonth,Table1[[#This Row],[Site ID (from DATIM)]],"[Measures].[HVL_D_A]")</f>
        <v/>
      </c>
      <c r="AX18" s="68" t="str" vm="11357">
        <f>CUBEVALUE(ConnectionString,ReportMonth,Table1[[#This Row],[Site ID (from DATIM)]],"[Measures].[HVL_N_A]")</f>
        <v/>
      </c>
      <c r="AY18" s="67"/>
      <c r="AZ18" s="67"/>
      <c r="BA18" s="67"/>
      <c r="BB18" s="67"/>
      <c r="BC18" s="67"/>
      <c r="BD18" s="67"/>
      <c r="BE18" s="67"/>
      <c r="BF18" s="67"/>
      <c r="BG18" s="67" t="str" vm="11718">
        <f>CUBEVALUE(ConnectionString,ReportMonth,Table1[[#This Row],[Site ID (from DATIM)]],"[Measures].[TX_NEW_F_A]")</f>
        <v/>
      </c>
      <c r="BH18" s="67" t="str" vm="17003">
        <f>CUBEVALUE(ConnectionString,ReportMonth,Table1[[#This Row],[Site ID (from DATIM)]],"[Measures].[TX_NEW_M_A]")</f>
        <v/>
      </c>
      <c r="BI18" s="67" t="str" vm="14297">
        <f>CUBEVALUE(ConnectionString,ReportMonth,Table1[[#This Row],[Site ID (from DATIM)]],"[Measures].[TX_NEW_F_P]")</f>
        <v/>
      </c>
      <c r="BJ18" s="68" t="str" vm="14303">
        <f>CUBEVALUE(ConnectionString,ReportMonth,Table1[[#This Row],[Site ID (from DATIM)]],"[Measures].[TX_NEW_M_P]")</f>
        <v/>
      </c>
      <c r="BK18" s="68"/>
      <c r="BL18" s="68"/>
      <c r="BM18" s="68"/>
      <c r="BN18" s="68"/>
      <c r="BO18" s="68"/>
      <c r="BP18" s="68"/>
      <c r="BQ18" s="68" t="str" vm="10899">
        <f>CUBEVALUE(ConnectionString,ReportMonth,Table1[[#This Row],[Site ID (from DATIM)]],"[Measures].[TX_CURR_F_P]")</f>
        <v/>
      </c>
      <c r="BR18" s="68" t="str" vm="10221">
        <f>CUBEVALUE(ConnectionString,ReportMonth,Table1[[#This Row],[Site ID (from DATIM)]],"[Measures].[TX_CURR_M_P]")</f>
        <v/>
      </c>
      <c r="BS18" s="68" t="str" vm="11861">
        <f>CUBEVALUE(ConnectionString,ReportMonth,Table1[[#This Row],[Site ID (from DATIM)]],"[Measures].[TX_CURR_F_A]")</f>
        <v/>
      </c>
      <c r="BT18" s="68" t="str" vm="10892">
        <f>CUBEVALUE(ConnectionString,ReportMonth,Table1[[#This Row],[Site ID (from DATIM)]],"[Measures].[TX_CURR_M_A]")</f>
        <v/>
      </c>
      <c r="BU18" s="68" t="str" vm="20069">
        <f>CUBEVALUE(ConnectionString,ReportMonth,Table1[[#This Row],[Site ID (from DATIM)]],"[Measures].[MMS_01_89_F_P]")</f>
        <v/>
      </c>
      <c r="BV18" s="68" t="str" vm="18309">
        <f>CUBEVALUE(ConnectionString,ReportMonth,Table1[[#This Row],[Site ID (from DATIM)]],"[Measures].[MMS_01_89_M_P]")</f>
        <v/>
      </c>
      <c r="BW18" s="68" t="str" vm="18603">
        <f>CUBEVALUE(ConnectionString,ReportMonth,Table1[[#This Row],[Site ID (from DATIM)]],"[Measures].[MMS_01_89_F_A]")</f>
        <v/>
      </c>
      <c r="BX18" s="68" t="str" vm="18532">
        <f>CUBEVALUE(ConnectionString,ReportMonth,Table1[[#This Row],[Site ID (from DATIM)]],"[Measures].[MMS_01_89_M_A]")</f>
        <v/>
      </c>
      <c r="BY18" s="68" t="str" vm="19063">
        <f>CUBEVALUE(ConnectionString,ReportMonth,Table1[[#This Row],[Site ID (from DATIM)]],"[Measures].[MMS_90_179_F_P]")</f>
        <v/>
      </c>
      <c r="BZ18" s="68" t="str" vm="17771">
        <f>CUBEVALUE(ConnectionString,ReportMonth,Table1[[#This Row],[Site ID (from DATIM)]],"[Measures].[MMS_90_179_M_P]")</f>
        <v/>
      </c>
      <c r="CA18" s="68" t="str" vm="14711">
        <f>CUBEVALUE(ConnectionString,ReportMonth,Table1[[#This Row],[Site ID (from DATIM)]],"[Measures].[MMS_90_179_F_A]")</f>
        <v/>
      </c>
      <c r="CB18" s="68" t="str" vm="16827">
        <f>CUBEVALUE(ConnectionString,ReportMonth,Table1[[#This Row],[Site ID (from DATIM)]],"[Measures].[MMS_90_179_M_A]")</f>
        <v/>
      </c>
      <c r="CC18" s="68" t="str" vm="16849">
        <f>CUBEVALUE(ConnectionString,ReportMonth,Table1[[#This Row],[Site ID (from DATIM)]],"[Measures].[MMS_180+_F_P]")</f>
        <v/>
      </c>
      <c r="CD18" s="68" t="str" vm="17520">
        <f>CUBEVALUE(ConnectionString,ReportMonth,Table1[[#This Row],[Site ID (from DATIM)]],"[Measures].[MMS_180+_M_P]")</f>
        <v/>
      </c>
      <c r="CE18" s="68" t="str" vm="15759">
        <f>CUBEVALUE(ConnectionString,ReportMonth,Table1[[#This Row],[Site ID (from DATIM)]],"[Measures].[MMS_180+_F_A]")</f>
        <v/>
      </c>
      <c r="CF18" s="68" t="str" vm="20204">
        <f>CUBEVALUE(ConnectionString,ReportMonth,Table1[[#This Row],[Site ID (from DATIM)]],"[Measures].[MMS_180+_M_A]")</f>
        <v/>
      </c>
      <c r="CG18" s="68" t="str" vm="9751">
        <f>CUBEVALUE(ConnectionString,ReportMonth,Table1[[#This Row],[Site ID (from DATIM)]],"[Measures].[MISSEDAPP]")</f>
        <v/>
      </c>
      <c r="CH18" s="68" t="str" vm="12475">
        <f>CUBEVALUE(ConnectionString,ReportMonth,Table1[[#This Row],[Site ID (from DATIM)]],"[Measures].[MMS_180+_P]")</f>
        <v/>
      </c>
      <c r="CI18" s="68" t="str" vm="12647">
        <f>CUBEVALUE(ConnectionString,ReportMonth,Table1[[#This Row],[Site ID (from DATIM)]],"[Measures].[MMS_180+_A]")</f>
        <v/>
      </c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</row>
    <row r="19" spans="1:107" x14ac:dyDescent="0.25">
      <c r="A19" s="66">
        <v>4</v>
      </c>
      <c r="B19" s="67" t="str" vm="4">
        <f t="shared" si="1"/>
        <v>Mar-2021</v>
      </c>
      <c r="C19" s="67"/>
      <c r="D19" s="67" t="s">
        <v>232</v>
      </c>
      <c r="E19" s="67" t="s">
        <v>233</v>
      </c>
      <c r="F19" s="67" t="s">
        <v>1083</v>
      </c>
      <c r="G19" s="67"/>
      <c r="H19" s="67" t="s">
        <v>1095</v>
      </c>
      <c r="I19" s="67" t="s">
        <v>1096</v>
      </c>
      <c r="J19" s="67" t="s">
        <v>1097</v>
      </c>
      <c r="K19" s="67" t="s">
        <v>1098</v>
      </c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 t="str" vm="1977">
        <f>CUBEVALUE(ConnectionString,ReportMonth,Table1[[#This Row],[Site ID (from DATIM)]],"TX_NEW_2VIS")</f>
        <v/>
      </c>
      <c r="AE19" s="67" t="str" vm="1507">
        <f>CUBEVALUE(ConnectionString,ReportMonth,Table1[[#This Row],[Site ID (from DATIM)]],INDEX(SDI_Measures,1))</f>
        <v/>
      </c>
      <c r="AF19" s="67" t="str" vm="7102">
        <f>CUBEVALUE(ConnectionString,ReportMonth,Table1[[#This Row],[Site ID (from DATIM)]],INDEX(SDI_Measures,2))</f>
        <v/>
      </c>
      <c r="AG19" s="67" t="str" vm="457">
        <f>CUBEVALUE(ConnectionString,ReportMonth,Table1[[#This Row],[Site ID (from DATIM)]],INDEX(SDI_Measures,3))</f>
        <v/>
      </c>
      <c r="AH19" s="67" vm="1772">
        <f>CUBEVALUE(ConnectionString,ReportMonth,Table1[[#This Row],[Site ID (from DATIM)]],"TX_CURR_PRIOR_MONTH")</f>
        <v>34</v>
      </c>
      <c r="AI19" s="67" vm="2299">
        <f>CUBEVALUE(ConnectionString,ReportMonth,Table1[[#This Row],[Site ID (from DATIM)]],"TX_CURR")</f>
        <v>32</v>
      </c>
      <c r="AJ19" s="67" t="str" vm="3025">
        <f>CUBEVALUE(ConnectionString,ReportMonth,Table1[[#This Row],[Site ID (from DATIM)]],"[Measures].[TI]")</f>
        <v/>
      </c>
      <c r="AK19" s="67" t="str" vm="2708">
        <f>CUBEVALUE(ConnectionString,ReportMonth,Table1[[#This Row],[Site ID (from DATIM)]],"[Measures].[TO]")</f>
        <v/>
      </c>
      <c r="AL19" s="67" t="str" vm="5331">
        <f>CUBEVALUE(ConnectionString,ReportMonth,Table1[[#This Row],[Site ID (from DATIM)]],"[Measures].[DIED]")</f>
        <v/>
      </c>
      <c r="AM19" s="67" vm="3888">
        <f>CUBEVALUE(ConnectionString,ReportMonth,Table1[[#This Row],[Site ID (from DATIM)]],"[Measures].[MMS_01_31]")</f>
        <v>10</v>
      </c>
      <c r="AN19" s="67" t="str" vm="4665">
        <f>CUBEVALUE(ConnectionString,ReportMonth,Table1[[#This Row],[Site ID (from DATIM)]],"[Measures].[MMS_32_62]")</f>
        <v/>
      </c>
      <c r="AO19" s="67" vm="8820">
        <f>CUBEVALUE(ConnectionString,ReportMonth,Table1[[#This Row],[Site ID (from DATIM)]],"[Measures].[MMS_63+]")</f>
        <v>22</v>
      </c>
      <c r="AP19" s="67" t="str" vm="4903">
        <f>CUBEVALUE(ConnectionString,ReportMonth,Table1[[#This Row],[Site ID (from DATIM)]],"[Measures].[TBPREV_D]")</f>
        <v/>
      </c>
      <c r="AQ19" s="67" t="str" vm="4581">
        <f>CUBEVALUE(ConnectionString,ReportMonth,Table1[[#This Row],[Site ID (from DATIM)]],"[Measures].[TBPREV_N]")</f>
        <v/>
      </c>
      <c r="AR19" s="67" t="str" vm="5789">
        <f>CUBEVALUE(ConnectionString,ReportMonth,Table1[[#This Row],[Site ID (from DATIM)]],"[Measures].[TBPREV_NEW]")</f>
        <v/>
      </c>
      <c r="AS19" s="67" vm="6917">
        <f>CUBEVALUE(ConnectionString,ReportMonth,Table1[[#This Row],[Site ID (from DATIM)]],"[Measures].[HVL_ELIG_P]")</f>
        <v>1</v>
      </c>
      <c r="AT19" s="67" t="str" vm="4692">
        <f>CUBEVALUE(ConnectionString,ReportMonth,Table1[[#This Row],[Site ID (from DATIM)]],"[Measures].[HVL_D_P]")</f>
        <v/>
      </c>
      <c r="AU19" s="67" t="str" vm="8872">
        <f>CUBEVALUE(ConnectionString,ReportMonth,Table1[[#This Row],[Site ID (from DATIM)]],"[Measures].[HVL_N_P]")</f>
        <v/>
      </c>
      <c r="AV19" s="68" vm="6375">
        <f>CUBEVALUE(ConnectionString,ReportMonth,Table1[[#This Row],[Site ID (from DATIM)]],"[Measures].[HVL_ELIG_A]")</f>
        <v>29</v>
      </c>
      <c r="AW19" s="68" vm="10007">
        <f>CUBEVALUE(ConnectionString,ReportMonth,Table1[[#This Row],[Site ID (from DATIM)]],"[Measures].[HVL_D_A]")</f>
        <v>15</v>
      </c>
      <c r="AX19" s="68" vm="9517">
        <f>CUBEVALUE(ConnectionString,ReportMonth,Table1[[#This Row],[Site ID (from DATIM)]],"[Measures].[HVL_N_A]")</f>
        <v>13</v>
      </c>
      <c r="AY19" s="67"/>
      <c r="AZ19" s="67"/>
      <c r="BA19" s="67"/>
      <c r="BB19" s="67"/>
      <c r="BC19" s="67"/>
      <c r="BD19" s="67"/>
      <c r="BE19" s="67"/>
      <c r="BF19" s="67"/>
      <c r="BG19" s="67" t="str" vm="11178">
        <f>CUBEVALUE(ConnectionString,ReportMonth,Table1[[#This Row],[Site ID (from DATIM)]],"[Measures].[TX_NEW_F_A]")</f>
        <v/>
      </c>
      <c r="BH19" s="67" t="str" vm="13842">
        <f>CUBEVALUE(ConnectionString,ReportMonth,Table1[[#This Row],[Site ID (from DATIM)]],"[Measures].[TX_NEW_M_A]")</f>
        <v/>
      </c>
      <c r="BI19" s="67" t="str" vm="11017">
        <f>CUBEVALUE(ConnectionString,ReportMonth,Table1[[#This Row],[Site ID (from DATIM)]],"[Measures].[TX_NEW_F_P]")</f>
        <v/>
      </c>
      <c r="BJ19" s="68" t="str" vm="17036">
        <f>CUBEVALUE(ConnectionString,ReportMonth,Table1[[#This Row],[Site ID (from DATIM)]],"[Measures].[TX_NEW_M_P]")</f>
        <v/>
      </c>
      <c r="BK19" s="68"/>
      <c r="BL19" s="68"/>
      <c r="BM19" s="68"/>
      <c r="BN19" s="68"/>
      <c r="BO19" s="68"/>
      <c r="BP19" s="68"/>
      <c r="BQ19" s="68" vm="9153">
        <f>CUBEVALUE(ConnectionString,ReportMonth,Table1[[#This Row],[Site ID (from DATIM)]],"[Measures].[TX_CURR_F_P]")</f>
        <v>1</v>
      </c>
      <c r="BR19" s="68" t="str" vm="9154">
        <f>CUBEVALUE(ConnectionString,ReportMonth,Table1[[#This Row],[Site ID (from DATIM)]],"[Measures].[TX_CURR_M_P]")</f>
        <v/>
      </c>
      <c r="BS19" s="68" vm="13596">
        <f>CUBEVALUE(ConnectionString,ReportMonth,Table1[[#This Row],[Site ID (from DATIM)]],"[Measures].[TX_CURR_F_A]")</f>
        <v>20</v>
      </c>
      <c r="BT19" s="68" vm="13033">
        <f>CUBEVALUE(ConnectionString,ReportMonth,Table1[[#This Row],[Site ID (from DATIM)]],"[Measures].[TX_CURR_M_A]")</f>
        <v>11</v>
      </c>
      <c r="BU19" s="68" vm="20052">
        <f>CUBEVALUE(ConnectionString,ReportMonth,Table1[[#This Row],[Site ID (from DATIM)]],"[Measures].[MMS_01_89_F_P]")</f>
        <v>1</v>
      </c>
      <c r="BV19" s="68" t="str" vm="19439">
        <f>CUBEVALUE(ConnectionString,ReportMonth,Table1[[#This Row],[Site ID (from DATIM)]],"[Measures].[MMS_01_89_M_P]")</f>
        <v/>
      </c>
      <c r="BW19" s="68" vm="18602">
        <f>CUBEVALUE(ConnectionString,ReportMonth,Table1[[#This Row],[Site ID (from DATIM)]],"[Measures].[MMS_01_89_F_A]")</f>
        <v>5</v>
      </c>
      <c r="BX19" s="68" vm="19108">
        <f>CUBEVALUE(ConnectionString,ReportMonth,Table1[[#This Row],[Site ID (from DATIM)]],"[Measures].[MMS_01_89_M_A]")</f>
        <v>4</v>
      </c>
      <c r="BY19" s="68" t="str" vm="18819">
        <f>CUBEVALUE(ConnectionString,ReportMonth,Table1[[#This Row],[Site ID (from DATIM)]],"[Measures].[MMS_90_179_F_P]")</f>
        <v/>
      </c>
      <c r="BZ19" s="68" t="str" vm="15854">
        <f>CUBEVALUE(ConnectionString,ReportMonth,Table1[[#This Row],[Site ID (from DATIM)]],"[Measures].[MMS_90_179_M_P]")</f>
        <v/>
      </c>
      <c r="CA19" s="68" vm="17711">
        <f>CUBEVALUE(ConnectionString,ReportMonth,Table1[[#This Row],[Site ID (from DATIM)]],"[Measures].[MMS_90_179_F_A]")</f>
        <v>15</v>
      </c>
      <c r="CB19" s="68" vm="17293">
        <f>CUBEVALUE(ConnectionString,ReportMonth,Table1[[#This Row],[Site ID (from DATIM)]],"[Measures].[MMS_90_179_M_A]")</f>
        <v>7</v>
      </c>
      <c r="CC19" s="68" t="str" vm="17462">
        <f>CUBEVALUE(ConnectionString,ReportMonth,Table1[[#This Row],[Site ID (from DATIM)]],"[Measures].[MMS_180+_F_P]")</f>
        <v/>
      </c>
      <c r="CD19" s="68" t="str" vm="14943">
        <f>CUBEVALUE(ConnectionString,ReportMonth,Table1[[#This Row],[Site ID (from DATIM)]],"[Measures].[MMS_180+_M_P]")</f>
        <v/>
      </c>
      <c r="CE19" s="68" t="str" vm="16302">
        <f>CUBEVALUE(ConnectionString,ReportMonth,Table1[[#This Row],[Site ID (from DATIM)]],"[Measures].[MMS_180+_F_A]")</f>
        <v/>
      </c>
      <c r="CF19" s="68" t="str" vm="15714">
        <f>CUBEVALUE(ConnectionString,ReportMonth,Table1[[#This Row],[Site ID (from DATIM)]],"[Measures].[MMS_180+_M_A]")</f>
        <v/>
      </c>
      <c r="CG19" s="68" vm="6501">
        <f>CUBEVALUE(ConnectionString,ReportMonth,Table1[[#This Row],[Site ID (from DATIM)]],"[Measures].[MISSEDAPP]")</f>
        <v>19</v>
      </c>
      <c r="CH19" s="68" t="str" vm="10980">
        <f>CUBEVALUE(ConnectionString,ReportMonth,Table1[[#This Row],[Site ID (from DATIM)]],"[Measures].[MMS_180+_P]")</f>
        <v/>
      </c>
      <c r="CI19" s="68" t="str" vm="13046">
        <f>CUBEVALUE(ConnectionString,ReportMonth,Table1[[#This Row],[Site ID (from DATIM)]],"[Measures].[MMS_180+_A]")</f>
        <v/>
      </c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  <c r="CW19" s="68"/>
      <c r="CX19" s="68"/>
      <c r="CY19" s="68"/>
      <c r="CZ19" s="68"/>
      <c r="DA19" s="68"/>
      <c r="DB19" s="68"/>
      <c r="DC19" s="68"/>
    </row>
    <row r="20" spans="1:107" x14ac:dyDescent="0.25">
      <c r="A20" s="66">
        <v>4</v>
      </c>
      <c r="B20" s="67" t="str" vm="4">
        <f t="shared" si="1"/>
        <v>Mar-2021</v>
      </c>
      <c r="C20" s="67"/>
      <c r="D20" s="67" t="s">
        <v>232</v>
      </c>
      <c r="E20" s="67" t="s">
        <v>233</v>
      </c>
      <c r="F20" s="67" t="s">
        <v>1083</v>
      </c>
      <c r="G20" s="67"/>
      <c r="H20" s="67" t="s">
        <v>1099</v>
      </c>
      <c r="I20" s="67" t="s">
        <v>1100</v>
      </c>
      <c r="J20" s="67" t="s">
        <v>1101</v>
      </c>
      <c r="K20" s="67" t="s">
        <v>1102</v>
      </c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 t="str" vm="9520">
        <f>CUBEVALUE(ConnectionString,ReportMonth,Table1[[#This Row],[Site ID (from DATIM)]],"TX_NEW_2VIS")</f>
        <v/>
      </c>
      <c r="AE20" s="67" t="str" vm="456">
        <f>CUBEVALUE(ConnectionString,ReportMonth,Table1[[#This Row],[Site ID (from DATIM)]],INDEX(SDI_Measures,1))</f>
        <v/>
      </c>
      <c r="AF20" s="67" t="str" vm="800">
        <f>CUBEVALUE(ConnectionString,ReportMonth,Table1[[#This Row],[Site ID (from DATIM)]],INDEX(SDI_Measures,2))</f>
        <v/>
      </c>
      <c r="AG20" s="67" t="str" vm="732">
        <f>CUBEVALUE(ConnectionString,ReportMonth,Table1[[#This Row],[Site ID (from DATIM)]],INDEX(SDI_Measures,3))</f>
        <v/>
      </c>
      <c r="AH20" s="67" vm="2150">
        <f>CUBEVALUE(ConnectionString,ReportMonth,Table1[[#This Row],[Site ID (from DATIM)]],"TX_CURR_PRIOR_MONTH")</f>
        <v>128</v>
      </c>
      <c r="AI20" s="67" vm="1427">
        <f>CUBEVALUE(ConnectionString,ReportMonth,Table1[[#This Row],[Site ID (from DATIM)]],"TX_CURR")</f>
        <v>95</v>
      </c>
      <c r="AJ20" s="67" t="str" vm="3057">
        <f>CUBEVALUE(ConnectionString,ReportMonth,Table1[[#This Row],[Site ID (from DATIM)]],"[Measures].[TI]")</f>
        <v/>
      </c>
      <c r="AK20" s="67" t="str" vm="4455">
        <f>CUBEVALUE(ConnectionString,ReportMonth,Table1[[#This Row],[Site ID (from DATIM)]],"[Measures].[TO]")</f>
        <v/>
      </c>
      <c r="AL20" s="67" t="str" vm="3288">
        <f>CUBEVALUE(ConnectionString,ReportMonth,Table1[[#This Row],[Site ID (from DATIM)]],"[Measures].[DIED]")</f>
        <v/>
      </c>
      <c r="AM20" s="67" vm="6017">
        <f>CUBEVALUE(ConnectionString,ReportMonth,Table1[[#This Row],[Site ID (from DATIM)]],"[Measures].[MMS_01_31]")</f>
        <v>19</v>
      </c>
      <c r="AN20" s="67" vm="4975">
        <f>CUBEVALUE(ConnectionString,ReportMonth,Table1[[#This Row],[Site ID (from DATIM)]],"[Measures].[MMS_32_62]")</f>
        <v>56</v>
      </c>
      <c r="AO20" s="67" vm="6046">
        <f>CUBEVALUE(ConnectionString,ReportMonth,Table1[[#This Row],[Site ID (from DATIM)]],"[Measures].[MMS_63+]")</f>
        <v>20</v>
      </c>
      <c r="AP20" s="67" vm="7076">
        <f>CUBEVALUE(ConnectionString,ReportMonth,Table1[[#This Row],[Site ID (from DATIM)]],"[Measures].[TBPREV_D]")</f>
        <v>8</v>
      </c>
      <c r="AQ20" s="67" vm="7701">
        <f>CUBEVALUE(ConnectionString,ReportMonth,Table1[[#This Row],[Site ID (from DATIM)]],"[Measures].[TBPREV_N]")</f>
        <v>3</v>
      </c>
      <c r="AR20" s="67" t="str" vm="5816">
        <f>CUBEVALUE(ConnectionString,ReportMonth,Table1[[#This Row],[Site ID (from DATIM)]],"[Measures].[TBPREV_NEW]")</f>
        <v/>
      </c>
      <c r="AS20" s="67" vm="5076">
        <f>CUBEVALUE(ConnectionString,ReportMonth,Table1[[#This Row],[Site ID (from DATIM)]],"[Measures].[HVL_ELIG_P]")</f>
        <v>6</v>
      </c>
      <c r="AT20" s="67" vm="5036">
        <f>CUBEVALUE(ConnectionString,ReportMonth,Table1[[#This Row],[Site ID (from DATIM)]],"[Measures].[HVL_D_P]")</f>
        <v>1</v>
      </c>
      <c r="AU20" s="67" vm="7996">
        <f>CUBEVALUE(ConnectionString,ReportMonth,Table1[[#This Row],[Site ID (from DATIM)]],"[Measures].[HVL_N_P]")</f>
        <v>1</v>
      </c>
      <c r="AV20" s="68" vm="6579">
        <f>CUBEVALUE(ConnectionString,ReportMonth,Table1[[#This Row],[Site ID (from DATIM)]],"[Measures].[HVL_ELIG_A]")</f>
        <v>77</v>
      </c>
      <c r="AW20" s="68" vm="11137">
        <f>CUBEVALUE(ConnectionString,ReportMonth,Table1[[#This Row],[Site ID (from DATIM)]],"[Measures].[HVL_D_A]")</f>
        <v>20</v>
      </c>
      <c r="AX20" s="68" vm="11276">
        <f>CUBEVALUE(ConnectionString,ReportMonth,Table1[[#This Row],[Site ID (from DATIM)]],"[Measures].[HVL_N_A]")</f>
        <v>18</v>
      </c>
      <c r="AY20" s="67"/>
      <c r="AZ20" s="67"/>
      <c r="BA20" s="67"/>
      <c r="BB20" s="67"/>
      <c r="BC20" s="67"/>
      <c r="BD20" s="67"/>
      <c r="BE20" s="67"/>
      <c r="BF20" s="67"/>
      <c r="BG20" s="67" t="str" vm="10618">
        <f>CUBEVALUE(ConnectionString,ReportMonth,Table1[[#This Row],[Site ID (from DATIM)]],"[Measures].[TX_NEW_F_A]")</f>
        <v/>
      </c>
      <c r="BH20" s="67" t="str" vm="14134">
        <f>CUBEVALUE(ConnectionString,ReportMonth,Table1[[#This Row],[Site ID (from DATIM)]],"[Measures].[TX_NEW_M_A]")</f>
        <v/>
      </c>
      <c r="BI20" s="67" t="str" vm="16163">
        <f>CUBEVALUE(ConnectionString,ReportMonth,Table1[[#This Row],[Site ID (from DATIM)]],"[Measures].[TX_NEW_F_P]")</f>
        <v/>
      </c>
      <c r="BJ20" s="68" t="str" vm="12837">
        <f>CUBEVALUE(ConnectionString,ReportMonth,Table1[[#This Row],[Site ID (from DATIM)]],"[Measures].[TX_NEW_M_P]")</f>
        <v/>
      </c>
      <c r="BK20" s="68"/>
      <c r="BL20" s="68"/>
      <c r="BM20" s="68"/>
      <c r="BN20" s="68"/>
      <c r="BO20" s="68"/>
      <c r="BP20" s="68"/>
      <c r="BQ20" s="68" vm="13026">
        <f>CUBEVALUE(ConnectionString,ReportMonth,Table1[[#This Row],[Site ID (from DATIM)]],"[Measures].[TX_CURR_F_P]")</f>
        <v>4</v>
      </c>
      <c r="BR20" s="68" vm="13757">
        <f>CUBEVALUE(ConnectionString,ReportMonth,Table1[[#This Row],[Site ID (from DATIM)]],"[Measures].[TX_CURR_M_P]")</f>
        <v>3</v>
      </c>
      <c r="BS20" s="68" vm="11312">
        <f>CUBEVALUE(ConnectionString,ReportMonth,Table1[[#This Row],[Site ID (from DATIM)]],"[Measures].[TX_CURR_F_A]")</f>
        <v>61</v>
      </c>
      <c r="BT20" s="68" vm="8931">
        <f>CUBEVALUE(ConnectionString,ReportMonth,Table1[[#This Row],[Site ID (from DATIM)]],"[Measures].[TX_CURR_M_A]")</f>
        <v>27</v>
      </c>
      <c r="BU20" s="68" vm="20104">
        <f>CUBEVALUE(ConnectionString,ReportMonth,Table1[[#This Row],[Site ID (from DATIM)]],"[Measures].[MMS_01_89_F_P]")</f>
        <v>4</v>
      </c>
      <c r="BV20" s="68" vm="20076">
        <f>CUBEVALUE(ConnectionString,ReportMonth,Table1[[#This Row],[Site ID (from DATIM)]],"[Measures].[MMS_01_89_M_P]")</f>
        <v>2</v>
      </c>
      <c r="BW20" s="68" vm="18617">
        <f>CUBEVALUE(ConnectionString,ReportMonth,Table1[[#This Row],[Site ID (from DATIM)]],"[Measures].[MMS_01_89_F_A]")</f>
        <v>46</v>
      </c>
      <c r="BX20" s="68" vm="19907">
        <f>CUBEVALUE(ConnectionString,ReportMonth,Table1[[#This Row],[Site ID (from DATIM)]],"[Measures].[MMS_01_89_M_A]")</f>
        <v>23</v>
      </c>
      <c r="BY20" s="68" t="str" vm="16081">
        <f>CUBEVALUE(ConnectionString,ReportMonth,Table1[[#This Row],[Site ID (from DATIM)]],"[Measures].[MMS_90_179_F_P]")</f>
        <v/>
      </c>
      <c r="BZ20" s="68" vm="17696">
        <f>CUBEVALUE(ConnectionString,ReportMonth,Table1[[#This Row],[Site ID (from DATIM)]],"[Measures].[MMS_90_179_M_P]")</f>
        <v>1</v>
      </c>
      <c r="CA20" s="68" vm="16893">
        <f>CUBEVALUE(ConnectionString,ReportMonth,Table1[[#This Row],[Site ID (from DATIM)]],"[Measures].[MMS_90_179_F_A]")</f>
        <v>15</v>
      </c>
      <c r="CB20" s="68" vm="15942">
        <f>CUBEVALUE(ConnectionString,ReportMonth,Table1[[#This Row],[Site ID (from DATIM)]],"[Measures].[MMS_90_179_M_A]")</f>
        <v>4</v>
      </c>
      <c r="CC20" s="68" t="str" vm="21">
        <f>CUBEVALUE(ConnectionString,ReportMonth,Table1[[#This Row],[Site ID (from DATIM)]],"[Measures].[MMS_180+_F_P]")</f>
        <v/>
      </c>
      <c r="CD20" s="68" t="str" vm="17115">
        <f>CUBEVALUE(ConnectionString,ReportMonth,Table1[[#This Row],[Site ID (from DATIM)]],"[Measures].[MMS_180+_M_P]")</f>
        <v/>
      </c>
      <c r="CE20" s="68" t="str" vm="17460">
        <f>CUBEVALUE(ConnectionString,ReportMonth,Table1[[#This Row],[Site ID (from DATIM)]],"[Measures].[MMS_180+_F_A]")</f>
        <v/>
      </c>
      <c r="CF20" s="68" t="str" vm="61">
        <f>CUBEVALUE(ConnectionString,ReportMonth,Table1[[#This Row],[Site ID (from DATIM)]],"[Measures].[MMS_180+_M_A]")</f>
        <v/>
      </c>
      <c r="CG20" s="68" vm="8414">
        <f>CUBEVALUE(ConnectionString,ReportMonth,Table1[[#This Row],[Site ID (from DATIM)]],"[Measures].[MISSEDAPP]")</f>
        <v>86</v>
      </c>
      <c r="CH20" s="68" t="str" vm="12145">
        <f>CUBEVALUE(ConnectionString,ReportMonth,Table1[[#This Row],[Site ID (from DATIM)]],"[Measures].[MMS_180+_P]")</f>
        <v/>
      </c>
      <c r="CI20" s="68" t="str" vm="12989">
        <f>CUBEVALUE(ConnectionString,ReportMonth,Table1[[#This Row],[Site ID (from DATIM)]],"[Measures].[MMS_180+_A]")</f>
        <v/>
      </c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</row>
    <row r="21" spans="1:107" x14ac:dyDescent="0.25">
      <c r="A21" s="66">
        <v>4</v>
      </c>
      <c r="B21" s="67" t="str" vm="4">
        <f t="shared" si="1"/>
        <v>Mar-2021</v>
      </c>
      <c r="C21" s="67"/>
      <c r="D21" s="67" t="s">
        <v>232</v>
      </c>
      <c r="E21" s="67" t="s">
        <v>233</v>
      </c>
      <c r="F21" s="67" t="s">
        <v>1083</v>
      </c>
      <c r="G21" s="67"/>
      <c r="H21" s="67" t="s">
        <v>1103</v>
      </c>
      <c r="I21" s="67" t="s">
        <v>1104</v>
      </c>
      <c r="J21" s="67" t="s">
        <v>1105</v>
      </c>
      <c r="K21" s="67" t="s">
        <v>1106</v>
      </c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 t="str" vm="407">
        <f>CUBEVALUE(ConnectionString,ReportMonth,Table1[[#This Row],[Site ID (from DATIM)]],"TX_NEW_2VIS")</f>
        <v/>
      </c>
      <c r="AE21" s="67" t="str" vm="1426">
        <f>CUBEVALUE(ConnectionString,ReportMonth,Table1[[#This Row],[Site ID (from DATIM)]],INDEX(SDI_Measures,1))</f>
        <v/>
      </c>
      <c r="AF21" s="67" t="str" vm="3861">
        <f>CUBEVALUE(ConnectionString,ReportMonth,Table1[[#This Row],[Site ID (from DATIM)]],INDEX(SDI_Measures,2))</f>
        <v/>
      </c>
      <c r="AG21" s="67" t="str" vm="2050">
        <f>CUBEVALUE(ConnectionString,ReportMonth,Table1[[#This Row],[Site ID (from DATIM)]],INDEX(SDI_Measures,3))</f>
        <v/>
      </c>
      <c r="AH21" s="67" vm="1699">
        <f>CUBEVALUE(ConnectionString,ReportMonth,Table1[[#This Row],[Site ID (from DATIM)]],"TX_CURR_PRIOR_MONTH")</f>
        <v>137</v>
      </c>
      <c r="AI21" s="67" vm="3939">
        <f>CUBEVALUE(ConnectionString,ReportMonth,Table1[[#This Row],[Site ID (from DATIM)]],"TX_CURR")</f>
        <v>135</v>
      </c>
      <c r="AJ21" s="67" t="str" vm="2318">
        <f>CUBEVALUE(ConnectionString,ReportMonth,Table1[[#This Row],[Site ID (from DATIM)]],"[Measures].[TI]")</f>
        <v/>
      </c>
      <c r="AK21" s="67" t="str" vm="3746">
        <f>CUBEVALUE(ConnectionString,ReportMonth,Table1[[#This Row],[Site ID (from DATIM)]],"[Measures].[TO]")</f>
        <v/>
      </c>
      <c r="AL21" s="67" t="str" vm="2952">
        <f>CUBEVALUE(ConnectionString,ReportMonth,Table1[[#This Row],[Site ID (from DATIM)]],"[Measures].[DIED]")</f>
        <v/>
      </c>
      <c r="AM21" s="67" vm="4298">
        <f>CUBEVALUE(ConnectionString,ReportMonth,Table1[[#This Row],[Site ID (from DATIM)]],"[Measures].[MMS_01_31]")</f>
        <v>65</v>
      </c>
      <c r="AN21" s="67" vm="8597">
        <f>CUBEVALUE(ConnectionString,ReportMonth,Table1[[#This Row],[Site ID (from DATIM)]],"[Measures].[MMS_32_62]")</f>
        <v>4</v>
      </c>
      <c r="AO21" s="67" vm="7570">
        <f>CUBEVALUE(ConnectionString,ReportMonth,Table1[[#This Row],[Site ID (from DATIM)]],"[Measures].[MMS_63+]")</f>
        <v>66</v>
      </c>
      <c r="AP21" s="67" t="str" vm="5834">
        <f>CUBEVALUE(ConnectionString,ReportMonth,Table1[[#This Row],[Site ID (from DATIM)]],"[Measures].[TBPREV_D]")</f>
        <v/>
      </c>
      <c r="AQ21" s="67" t="str" vm="7695">
        <f>CUBEVALUE(ConnectionString,ReportMonth,Table1[[#This Row],[Site ID (from DATIM)]],"[Measures].[TBPREV_N]")</f>
        <v/>
      </c>
      <c r="AR21" s="67" t="str" vm="5943">
        <f>CUBEVALUE(ConnectionString,ReportMonth,Table1[[#This Row],[Site ID (from DATIM)]],"[Measures].[TBPREV_NEW]")</f>
        <v/>
      </c>
      <c r="AS21" s="67" vm="9168">
        <f>CUBEVALUE(ConnectionString,ReportMonth,Table1[[#This Row],[Site ID (from DATIM)]],"[Measures].[HVL_ELIG_P]")</f>
        <v>5</v>
      </c>
      <c r="AT21" s="67" vm="6979">
        <f>CUBEVALUE(ConnectionString,ReportMonth,Table1[[#This Row],[Site ID (from DATIM)]],"[Measures].[HVL_D_P]")</f>
        <v>2</v>
      </c>
      <c r="AU21" s="67" t="str" vm="10340">
        <f>CUBEVALUE(ConnectionString,ReportMonth,Table1[[#This Row],[Site ID (from DATIM)]],"[Measures].[HVL_N_P]")</f>
        <v/>
      </c>
      <c r="AV21" s="68" vm="10165">
        <f>CUBEVALUE(ConnectionString,ReportMonth,Table1[[#This Row],[Site ID (from DATIM)]],"[Measures].[HVL_ELIG_A]")</f>
        <v>112</v>
      </c>
      <c r="AW21" s="68" vm="7736">
        <f>CUBEVALUE(ConnectionString,ReportMonth,Table1[[#This Row],[Site ID (from DATIM)]],"[Measures].[HVL_D_A]")</f>
        <v>57</v>
      </c>
      <c r="AX21" s="68" vm="7505">
        <f>CUBEVALUE(ConnectionString,ReportMonth,Table1[[#This Row],[Site ID (from DATIM)]],"[Measures].[HVL_N_A]")</f>
        <v>52</v>
      </c>
      <c r="AY21" s="67"/>
      <c r="AZ21" s="67"/>
      <c r="BA21" s="67"/>
      <c r="BB21" s="67"/>
      <c r="BC21" s="67"/>
      <c r="BD21" s="67"/>
      <c r="BE21" s="67"/>
      <c r="BF21" s="67"/>
      <c r="BG21" s="67" t="str" vm="11419">
        <f>CUBEVALUE(ConnectionString,ReportMonth,Table1[[#This Row],[Site ID (from DATIM)]],"[Measures].[TX_NEW_F_A]")</f>
        <v/>
      </c>
      <c r="BH21" s="67" t="str" vm="13840">
        <f>CUBEVALUE(ConnectionString,ReportMonth,Table1[[#This Row],[Site ID (from DATIM)]],"[Measures].[TX_NEW_M_A]")</f>
        <v/>
      </c>
      <c r="BI21" s="67" t="str" vm="15697">
        <f>CUBEVALUE(ConnectionString,ReportMonth,Table1[[#This Row],[Site ID (from DATIM)]],"[Measures].[TX_NEW_F_P]")</f>
        <v/>
      </c>
      <c r="BJ21" s="68" t="str" vm="12348">
        <f>CUBEVALUE(ConnectionString,ReportMonth,Table1[[#This Row],[Site ID (from DATIM)]],"[Measures].[TX_NEW_M_P]")</f>
        <v/>
      </c>
      <c r="BK21" s="68"/>
      <c r="BL21" s="68"/>
      <c r="BM21" s="68"/>
      <c r="BN21" s="68"/>
      <c r="BO21" s="68"/>
      <c r="BP21" s="68"/>
      <c r="BQ21" s="68" vm="12460">
        <f>CUBEVALUE(ConnectionString,ReportMonth,Table1[[#This Row],[Site ID (from DATIM)]],"[Measures].[TX_CURR_F_P]")</f>
        <v>4</v>
      </c>
      <c r="BR21" s="68" vm="11352">
        <f>CUBEVALUE(ConnectionString,ReportMonth,Table1[[#This Row],[Site ID (from DATIM)]],"[Measures].[TX_CURR_M_P]")</f>
        <v>2</v>
      </c>
      <c r="BS21" s="68" vm="8190">
        <f>CUBEVALUE(ConnectionString,ReportMonth,Table1[[#This Row],[Site ID (from DATIM)]],"[Measures].[TX_CURR_F_A]")</f>
        <v>86</v>
      </c>
      <c r="BT21" s="68" vm="10983">
        <f>CUBEVALUE(ConnectionString,ReportMonth,Table1[[#This Row],[Site ID (from DATIM)]],"[Measures].[TX_CURR_M_A]")</f>
        <v>43</v>
      </c>
      <c r="BU21" s="68" vm="20119">
        <f>CUBEVALUE(ConnectionString,ReportMonth,Table1[[#This Row],[Site ID (from DATIM)]],"[Measures].[MMS_01_89_F_P]")</f>
        <v>3</v>
      </c>
      <c r="BV21" s="68" vm="20075">
        <f>CUBEVALUE(ConnectionString,ReportMonth,Table1[[#This Row],[Site ID (from DATIM)]],"[Measures].[MMS_01_89_M_P]")</f>
        <v>1</v>
      </c>
      <c r="BW21" s="68" vm="18891">
        <f>CUBEVALUE(ConnectionString,ReportMonth,Table1[[#This Row],[Site ID (from DATIM)]],"[Measures].[MMS_01_89_F_A]")</f>
        <v>42</v>
      </c>
      <c r="BX21" s="68" vm="18573">
        <f>CUBEVALUE(ConnectionString,ReportMonth,Table1[[#This Row],[Site ID (from DATIM)]],"[Measures].[MMS_01_89_M_A]")</f>
        <v>23</v>
      </c>
      <c r="BY21" s="68" vm="19632">
        <f>CUBEVALUE(ConnectionString,ReportMonth,Table1[[#This Row],[Site ID (from DATIM)]],"[Measures].[MMS_90_179_F_P]")</f>
        <v>1</v>
      </c>
      <c r="BZ21" s="68" vm="14740">
        <f>CUBEVALUE(ConnectionString,ReportMonth,Table1[[#This Row],[Site ID (from DATIM)]],"[Measures].[MMS_90_179_M_P]")</f>
        <v>1</v>
      </c>
      <c r="CA21" s="68" vm="17869">
        <f>CUBEVALUE(ConnectionString,ReportMonth,Table1[[#This Row],[Site ID (from DATIM)]],"[Measures].[MMS_90_179_F_A]")</f>
        <v>44</v>
      </c>
      <c r="CB21" s="68" vm="17312">
        <f>CUBEVALUE(ConnectionString,ReportMonth,Table1[[#This Row],[Site ID (from DATIM)]],"[Measures].[MMS_90_179_M_A]")</f>
        <v>20</v>
      </c>
      <c r="CC21" s="68" t="str" vm="15819">
        <f>CUBEVALUE(ConnectionString,ReportMonth,Table1[[#This Row],[Site ID (from DATIM)]],"[Measures].[MMS_180+_F_P]")</f>
        <v/>
      </c>
      <c r="CD21" s="68" t="str" vm="14477">
        <f>CUBEVALUE(ConnectionString,ReportMonth,Table1[[#This Row],[Site ID (from DATIM)]],"[Measures].[MMS_180+_M_P]")</f>
        <v/>
      </c>
      <c r="CE21" s="68" t="str" vm="16630">
        <f>CUBEVALUE(ConnectionString,ReportMonth,Table1[[#This Row],[Site ID (from DATIM)]],"[Measures].[MMS_180+_F_A]")</f>
        <v/>
      </c>
      <c r="CF21" s="68" t="str" vm="20237">
        <f>CUBEVALUE(ConnectionString,ReportMonth,Table1[[#This Row],[Site ID (from DATIM)]],"[Measures].[MMS_180+_M_A]")</f>
        <v/>
      </c>
      <c r="CG21" s="68" vm="4949">
        <f>CUBEVALUE(ConnectionString,ReportMonth,Table1[[#This Row],[Site ID (from DATIM)]],"[Measures].[MISSEDAPP]")</f>
        <v>94</v>
      </c>
      <c r="CH21" s="68" t="str" vm="12028">
        <f>CUBEVALUE(ConnectionString,ReportMonth,Table1[[#This Row],[Site ID (from DATIM)]],"[Measures].[MMS_180+_P]")</f>
        <v/>
      </c>
      <c r="CI21" s="68" t="str" vm="12778">
        <f>CUBEVALUE(ConnectionString,ReportMonth,Table1[[#This Row],[Site ID (from DATIM)]],"[Measures].[MMS_180+_A]")</f>
        <v/>
      </c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</row>
    <row r="22" spans="1:107" x14ac:dyDescent="0.25">
      <c r="A22" s="66">
        <v>4</v>
      </c>
      <c r="B22" s="67" t="str" vm="4">
        <f t="shared" si="1"/>
        <v>Mar-2021</v>
      </c>
      <c r="C22" s="67"/>
      <c r="D22" s="67" t="s">
        <v>232</v>
      </c>
      <c r="E22" s="67" t="s">
        <v>233</v>
      </c>
      <c r="F22" s="67" t="s">
        <v>437</v>
      </c>
      <c r="G22" s="67"/>
      <c r="H22" s="67" t="s">
        <v>438</v>
      </c>
      <c r="I22" s="67" t="s">
        <v>458</v>
      </c>
      <c r="J22" s="67" t="s">
        <v>459</v>
      </c>
      <c r="K22" s="67" t="s">
        <v>460</v>
      </c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 vm="1636">
        <f>CUBEVALUE(ConnectionString,ReportMonth,Table1[[#This Row],[Site ID (from DATIM)]],"TX_NEW_2VIS")</f>
        <v>1</v>
      </c>
      <c r="AE22" s="67" vm="5764">
        <f>CUBEVALUE(ConnectionString,ReportMonth,Table1[[#This Row],[Site ID (from DATIM)]],INDEX(SDI_Measures,1))</f>
        <v>4</v>
      </c>
      <c r="AF22" s="67" t="str" vm="1282">
        <f>CUBEVALUE(ConnectionString,ReportMonth,Table1[[#This Row],[Site ID (from DATIM)]],INDEX(SDI_Measures,2))</f>
        <v/>
      </c>
      <c r="AG22" s="67" t="str" vm="45">
        <f>CUBEVALUE(ConnectionString,ReportMonth,Table1[[#This Row],[Site ID (from DATIM)]],INDEX(SDI_Measures,3))</f>
        <v/>
      </c>
      <c r="AH22" s="67" vm="4284">
        <f>CUBEVALUE(ConnectionString,ReportMonth,Table1[[#This Row],[Site ID (from DATIM)]],"TX_CURR_PRIOR_MONTH")</f>
        <v>56</v>
      </c>
      <c r="AI22" s="67" vm="3008">
        <f>CUBEVALUE(ConnectionString,ReportMonth,Table1[[#This Row],[Site ID (from DATIM)]],"TX_CURR")</f>
        <v>54</v>
      </c>
      <c r="AJ22" s="67" vm="2782">
        <f>CUBEVALUE(ConnectionString,ReportMonth,Table1[[#This Row],[Site ID (from DATIM)]],"[Measures].[TI]")</f>
        <v>1</v>
      </c>
      <c r="AK22" s="67" t="str" vm="993">
        <f>CUBEVALUE(ConnectionString,ReportMonth,Table1[[#This Row],[Site ID (from DATIM)]],"[Measures].[TO]")</f>
        <v/>
      </c>
      <c r="AL22" s="67" t="str" vm="2755">
        <f>CUBEVALUE(ConnectionString,ReportMonth,Table1[[#This Row],[Site ID (from DATIM)]],"[Measures].[DIED]")</f>
        <v/>
      </c>
      <c r="AM22" s="67" vm="4226">
        <f>CUBEVALUE(ConnectionString,ReportMonth,Table1[[#This Row],[Site ID (from DATIM)]],"[Measures].[MMS_01_31]")</f>
        <v>13</v>
      </c>
      <c r="AN22" s="67" vm="6520">
        <f>CUBEVALUE(ConnectionString,ReportMonth,Table1[[#This Row],[Site ID (from DATIM)]],"[Measures].[MMS_32_62]")</f>
        <v>19</v>
      </c>
      <c r="AO22" s="67" vm="5178">
        <f>CUBEVALUE(ConnectionString,ReportMonth,Table1[[#This Row],[Site ID (from DATIM)]],"[Measures].[MMS_63+]")</f>
        <v>22</v>
      </c>
      <c r="AP22" s="67" t="str" vm="5433">
        <f>CUBEVALUE(ConnectionString,ReportMonth,Table1[[#This Row],[Site ID (from DATIM)]],"[Measures].[TBPREV_D]")</f>
        <v/>
      </c>
      <c r="AQ22" s="67" t="str" vm="5420">
        <f>CUBEVALUE(ConnectionString,ReportMonth,Table1[[#This Row],[Site ID (from DATIM)]],"[Measures].[TBPREV_N]")</f>
        <v/>
      </c>
      <c r="AR22" s="67" vm="8603">
        <f>CUBEVALUE(ConnectionString,ReportMonth,Table1[[#This Row],[Site ID (from DATIM)]],"[Measures].[TBPREV_NEW]")</f>
        <v>2</v>
      </c>
      <c r="AS22" s="67" t="str" vm="4741">
        <f>CUBEVALUE(ConnectionString,ReportMonth,Table1[[#This Row],[Site ID (from DATIM)]],"[Measures].[HVL_ELIG_P]")</f>
        <v/>
      </c>
      <c r="AT22" s="67" t="str" vm="8167">
        <f>CUBEVALUE(ConnectionString,ReportMonth,Table1[[#This Row],[Site ID (from DATIM)]],"[Measures].[HVL_D_P]")</f>
        <v/>
      </c>
      <c r="AU22" s="67" t="str" vm="9095">
        <f>CUBEVALUE(ConnectionString,ReportMonth,Table1[[#This Row],[Site ID (from DATIM)]],"[Measures].[HVL_N_P]")</f>
        <v/>
      </c>
      <c r="AV22" s="68" vm="10576">
        <f>CUBEVALUE(ConnectionString,ReportMonth,Table1[[#This Row],[Site ID (from DATIM)]],"[Measures].[HVL_ELIG_A]")</f>
        <v>31</v>
      </c>
      <c r="AW22" s="68" vm="8782">
        <f>CUBEVALUE(ConnectionString,ReportMonth,Table1[[#This Row],[Site ID (from DATIM)]],"[Measures].[HVL_D_A]")</f>
        <v>1</v>
      </c>
      <c r="AX22" s="68" vm="10689">
        <f>CUBEVALUE(ConnectionString,ReportMonth,Table1[[#This Row],[Site ID (from DATIM)]],"[Measures].[HVL_N_A]")</f>
        <v>1</v>
      </c>
      <c r="AY22" s="67"/>
      <c r="AZ22" s="67"/>
      <c r="BA22" s="67"/>
      <c r="BB22" s="67"/>
      <c r="BC22" s="67"/>
      <c r="BD22" s="67"/>
      <c r="BE22" s="67"/>
      <c r="BF22" s="67"/>
      <c r="BG22" s="67" t="str" vm="16125">
        <f>CUBEVALUE(ConnectionString,ReportMonth,Table1[[#This Row],[Site ID (from DATIM)]],"[Measures].[TX_NEW_F_A]")</f>
        <v/>
      </c>
      <c r="BH22" s="67" vm="13954">
        <f>CUBEVALUE(ConnectionString,ReportMonth,Table1[[#This Row],[Site ID (from DATIM)]],"[Measures].[TX_NEW_M_A]")</f>
        <v>4</v>
      </c>
      <c r="BI22" s="67" t="str" vm="13086">
        <f>CUBEVALUE(ConnectionString,ReportMonth,Table1[[#This Row],[Site ID (from DATIM)]],"[Measures].[TX_NEW_F_P]")</f>
        <v/>
      </c>
      <c r="BJ22" s="68" t="str" vm="13463">
        <f>CUBEVALUE(ConnectionString,ReportMonth,Table1[[#This Row],[Site ID (from DATIM)]],"[Measures].[TX_NEW_M_P]")</f>
        <v/>
      </c>
      <c r="BK22" s="68"/>
      <c r="BL22" s="68"/>
      <c r="BM22" s="68"/>
      <c r="BN22" s="68"/>
      <c r="BO22" s="68"/>
      <c r="BP22" s="68"/>
      <c r="BQ22" s="68" t="str" vm="9958">
        <f>CUBEVALUE(ConnectionString,ReportMonth,Table1[[#This Row],[Site ID (from DATIM)]],"[Measures].[TX_CURR_F_P]")</f>
        <v/>
      </c>
      <c r="BR22" s="68" t="str" vm="14097">
        <f>CUBEVALUE(ConnectionString,ReportMonth,Table1[[#This Row],[Site ID (from DATIM)]],"[Measures].[TX_CURR_M_P]")</f>
        <v/>
      </c>
      <c r="BS22" s="68" vm="15654">
        <f>CUBEVALUE(ConnectionString,ReportMonth,Table1[[#This Row],[Site ID (from DATIM)]],"[Measures].[TX_CURR_F_A]")</f>
        <v>29</v>
      </c>
      <c r="BT22" s="68" vm="10098">
        <f>CUBEVALUE(ConnectionString,ReportMonth,Table1[[#This Row],[Site ID (from DATIM)]],"[Measures].[TX_CURR_M_A]")</f>
        <v>25</v>
      </c>
      <c r="BU22" s="68" t="str" vm="19257">
        <f>CUBEVALUE(ConnectionString,ReportMonth,Table1[[#This Row],[Site ID (from DATIM)]],"[Measures].[MMS_01_89_F_P]")</f>
        <v/>
      </c>
      <c r="BV22" s="68" t="str" vm="20135">
        <f>CUBEVALUE(ConnectionString,ReportMonth,Table1[[#This Row],[Site ID (from DATIM)]],"[Measures].[MMS_01_89_M_P]")</f>
        <v/>
      </c>
      <c r="BW22" s="68" vm="19627">
        <f>CUBEVALUE(ConnectionString,ReportMonth,Table1[[#This Row],[Site ID (from DATIM)]],"[Measures].[MMS_01_89_F_A]")</f>
        <v>18</v>
      </c>
      <c r="BX22" s="68" vm="19391">
        <f>CUBEVALUE(ConnectionString,ReportMonth,Table1[[#This Row],[Site ID (from DATIM)]],"[Measures].[MMS_01_89_M_A]")</f>
        <v>14</v>
      </c>
      <c r="BY22" s="68" t="str" vm="18210">
        <f>CUBEVALUE(ConnectionString,ReportMonth,Table1[[#This Row],[Site ID (from DATIM)]],"[Measures].[MMS_90_179_F_P]")</f>
        <v/>
      </c>
      <c r="BZ22" s="68" t="str" vm="16976">
        <f>CUBEVALUE(ConnectionString,ReportMonth,Table1[[#This Row],[Site ID (from DATIM)]],"[Measures].[MMS_90_179_M_P]")</f>
        <v/>
      </c>
      <c r="CA22" s="68" vm="14685">
        <f>CUBEVALUE(ConnectionString,ReportMonth,Table1[[#This Row],[Site ID (from DATIM)]],"[Measures].[MMS_90_179_F_A]")</f>
        <v>11</v>
      </c>
      <c r="CB22" s="68" vm="15473">
        <f>CUBEVALUE(ConnectionString,ReportMonth,Table1[[#This Row],[Site ID (from DATIM)]],"[Measures].[MMS_90_179_M_A]")</f>
        <v>11</v>
      </c>
      <c r="CC22" s="68" t="str" vm="14672">
        <f>CUBEVALUE(ConnectionString,ReportMonth,Table1[[#This Row],[Site ID (from DATIM)]],"[Measures].[MMS_180+_F_P]")</f>
        <v/>
      </c>
      <c r="CD22" s="68" t="str" vm="14934">
        <f>CUBEVALUE(ConnectionString,ReportMonth,Table1[[#This Row],[Site ID (from DATIM)]],"[Measures].[MMS_180+_M_P]")</f>
        <v/>
      </c>
      <c r="CE22" s="68" t="str" vm="17555">
        <f>CUBEVALUE(ConnectionString,ReportMonth,Table1[[#This Row],[Site ID (from DATIM)]],"[Measures].[MMS_180+_F_A]")</f>
        <v/>
      </c>
      <c r="CF22" s="68" t="str" vm="15735">
        <f>CUBEVALUE(ConnectionString,ReportMonth,Table1[[#This Row],[Site ID (from DATIM)]],"[Measures].[MMS_180+_M_A]")</f>
        <v/>
      </c>
      <c r="CG22" s="68" vm="7093">
        <f>CUBEVALUE(ConnectionString,ReportMonth,Table1[[#This Row],[Site ID (from DATIM)]],"[Measures].[MISSEDAPP]")</f>
        <v>12</v>
      </c>
      <c r="CH22" s="68" t="str" vm="14835">
        <f>CUBEVALUE(ConnectionString,ReportMonth,Table1[[#This Row],[Site ID (from DATIM)]],"[Measures].[MMS_180+_P]")</f>
        <v/>
      </c>
      <c r="CI22" s="68" t="str" vm="12685">
        <f>CUBEVALUE(ConnectionString,ReportMonth,Table1[[#This Row],[Site ID (from DATIM)]],"[Measures].[MMS_180+_A]")</f>
        <v/>
      </c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</row>
    <row r="23" spans="1:107" x14ac:dyDescent="0.25">
      <c r="A23" s="66">
        <v>4</v>
      </c>
      <c r="B23" s="67" t="str" vm="4">
        <f t="shared" si="1"/>
        <v>Mar-2021</v>
      </c>
      <c r="C23" s="67"/>
      <c r="D23" s="67" t="s">
        <v>232</v>
      </c>
      <c r="E23" s="67" t="s">
        <v>233</v>
      </c>
      <c r="F23" s="67" t="s">
        <v>437</v>
      </c>
      <c r="G23" s="67"/>
      <c r="H23" s="67" t="s">
        <v>461</v>
      </c>
      <c r="I23" s="67" t="s">
        <v>462</v>
      </c>
      <c r="J23" s="67" t="s">
        <v>463</v>
      </c>
      <c r="K23" s="67" t="s">
        <v>464</v>
      </c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 t="str" vm="1979">
        <f>CUBEVALUE(ConnectionString,ReportMonth,Table1[[#This Row],[Site ID (from DATIM)]],"TX_NEW_2VIS")</f>
        <v/>
      </c>
      <c r="AE23" s="67" t="str" vm="1791">
        <f>CUBEVALUE(ConnectionString,ReportMonth,Table1[[#This Row],[Site ID (from DATIM)]],INDEX(SDI_Measures,1))</f>
        <v/>
      </c>
      <c r="AF23" s="67" t="str" vm="3433">
        <f>CUBEVALUE(ConnectionString,ReportMonth,Table1[[#This Row],[Site ID (from DATIM)]],INDEX(SDI_Measures,2))</f>
        <v/>
      </c>
      <c r="AG23" s="67" t="str" vm="2287">
        <f>CUBEVALUE(ConnectionString,ReportMonth,Table1[[#This Row],[Site ID (from DATIM)]],INDEX(SDI_Measures,3))</f>
        <v/>
      </c>
      <c r="AH23" s="67" vm="1185">
        <f>CUBEVALUE(ConnectionString,ReportMonth,Table1[[#This Row],[Site ID (from DATIM)]],"TX_CURR_PRIOR_MONTH")</f>
        <v>138</v>
      </c>
      <c r="AI23" s="67" vm="1286">
        <f>CUBEVALUE(ConnectionString,ReportMonth,Table1[[#This Row],[Site ID (from DATIM)]],"TX_CURR")</f>
        <v>135</v>
      </c>
      <c r="AJ23" s="67" t="str" vm="2956">
        <f>CUBEVALUE(ConnectionString,ReportMonth,Table1[[#This Row],[Site ID (from DATIM)]],"[Measures].[TI]")</f>
        <v/>
      </c>
      <c r="AK23" s="67" t="str" vm="2404">
        <f>CUBEVALUE(ConnectionString,ReportMonth,Table1[[#This Row],[Site ID (from DATIM)]],"[Measures].[TO]")</f>
        <v/>
      </c>
      <c r="AL23" s="67" t="str" vm="1070">
        <f>CUBEVALUE(ConnectionString,ReportMonth,Table1[[#This Row],[Site ID (from DATIM)]],"[Measures].[DIED]")</f>
        <v/>
      </c>
      <c r="AM23" s="67" vm="8006">
        <f>CUBEVALUE(ConnectionString,ReportMonth,Table1[[#This Row],[Site ID (from DATIM)]],"[Measures].[MMS_01_31]")</f>
        <v>64</v>
      </c>
      <c r="AN23" s="67" vm="6129">
        <f>CUBEVALUE(ConnectionString,ReportMonth,Table1[[#This Row],[Site ID (from DATIM)]],"[Measures].[MMS_32_62]")</f>
        <v>2</v>
      </c>
      <c r="AO23" s="67" vm="5122">
        <f>CUBEVALUE(ConnectionString,ReportMonth,Table1[[#This Row],[Site ID (from DATIM)]],"[Measures].[MMS_63+]")</f>
        <v>69</v>
      </c>
      <c r="AP23" s="67" vm="7167">
        <f>CUBEVALUE(ConnectionString,ReportMonth,Table1[[#This Row],[Site ID (from DATIM)]],"[Measures].[TBPREV_D]")</f>
        <v>3</v>
      </c>
      <c r="AQ23" s="67" vm="4190">
        <f>CUBEVALUE(ConnectionString,ReportMonth,Table1[[#This Row],[Site ID (from DATIM)]],"[Measures].[TBPREV_N]")</f>
        <v>3</v>
      </c>
      <c r="AR23" s="67" t="str" vm="7821">
        <f>CUBEVALUE(ConnectionString,ReportMonth,Table1[[#This Row],[Site ID (from DATIM)]],"[Measures].[TBPREV_NEW]")</f>
        <v/>
      </c>
      <c r="AS23" s="67" vm="7090">
        <f>CUBEVALUE(ConnectionString,ReportMonth,Table1[[#This Row],[Site ID (from DATIM)]],"[Measures].[HVL_ELIG_P]")</f>
        <v>6</v>
      </c>
      <c r="AT23" s="67" vm="6359">
        <f>CUBEVALUE(ConnectionString,ReportMonth,Table1[[#This Row],[Site ID (from DATIM)]],"[Measures].[HVL_D_P]")</f>
        <v>6</v>
      </c>
      <c r="AU23" s="67" vm="12666">
        <f>CUBEVALUE(ConnectionString,ReportMonth,Table1[[#This Row],[Site ID (from DATIM)]],"[Measures].[HVL_N_P]")</f>
        <v>4</v>
      </c>
      <c r="AV23" s="68" vm="11804">
        <f>CUBEVALUE(ConnectionString,ReportMonth,Table1[[#This Row],[Site ID (from DATIM)]],"[Measures].[HVL_ELIG_A]")</f>
        <v>117</v>
      </c>
      <c r="AW23" s="68" vm="9371">
        <f>CUBEVALUE(ConnectionString,ReportMonth,Table1[[#This Row],[Site ID (from DATIM)]],"[Measures].[HVL_D_A]")</f>
        <v>75</v>
      </c>
      <c r="AX23" s="68" vm="13647">
        <f>CUBEVALUE(ConnectionString,ReportMonth,Table1[[#This Row],[Site ID (from DATIM)]],"[Measures].[HVL_N_A]")</f>
        <v>68</v>
      </c>
      <c r="AY23" s="67"/>
      <c r="AZ23" s="67"/>
      <c r="BA23" s="67"/>
      <c r="BB23" s="67"/>
      <c r="BC23" s="67"/>
      <c r="BD23" s="67"/>
      <c r="BE23" s="67"/>
      <c r="BF23" s="67"/>
      <c r="BG23" s="67" t="str" vm="12900">
        <f>CUBEVALUE(ConnectionString,ReportMonth,Table1[[#This Row],[Site ID (from DATIM)]],"[Measures].[TX_NEW_F_A]")</f>
        <v/>
      </c>
      <c r="BH23" s="67" t="str" vm="12059">
        <f>CUBEVALUE(ConnectionString,ReportMonth,Table1[[#This Row],[Site ID (from DATIM)]],"[Measures].[TX_NEW_M_A]")</f>
        <v/>
      </c>
      <c r="BI23" s="67" t="str" vm="15661">
        <f>CUBEVALUE(ConnectionString,ReportMonth,Table1[[#This Row],[Site ID (from DATIM)]],"[Measures].[TX_NEW_F_P]")</f>
        <v/>
      </c>
      <c r="BJ23" s="68" t="str" vm="14421">
        <f>CUBEVALUE(ConnectionString,ReportMonth,Table1[[#This Row],[Site ID (from DATIM)]],"[Measures].[TX_NEW_M_P]")</f>
        <v/>
      </c>
      <c r="BK23" s="68"/>
      <c r="BL23" s="68"/>
      <c r="BM23" s="68"/>
      <c r="BN23" s="68"/>
      <c r="BO23" s="68"/>
      <c r="BP23" s="68"/>
      <c r="BQ23" s="68" vm="11300">
        <f>CUBEVALUE(ConnectionString,ReportMonth,Table1[[#This Row],[Site ID (from DATIM)]],"[Measures].[TX_CURR_F_P]")</f>
        <v>3</v>
      </c>
      <c r="BR23" s="68" vm="9311">
        <f>CUBEVALUE(ConnectionString,ReportMonth,Table1[[#This Row],[Site ID (from DATIM)]],"[Measures].[TX_CURR_M_P]")</f>
        <v>3</v>
      </c>
      <c r="BS23" s="68" vm="8227">
        <f>CUBEVALUE(ConnectionString,ReportMonth,Table1[[#This Row],[Site ID (from DATIM)]],"[Measures].[TX_CURR_F_A]")</f>
        <v>83</v>
      </c>
      <c r="BT23" s="68" vm="12356">
        <f>CUBEVALUE(ConnectionString,ReportMonth,Table1[[#This Row],[Site ID (from DATIM)]],"[Measures].[TX_CURR_M_A]")</f>
        <v>46</v>
      </c>
      <c r="BU23" s="68" vm="18392">
        <f>CUBEVALUE(ConnectionString,ReportMonth,Table1[[#This Row],[Site ID (from DATIM)]],"[Measures].[MMS_01_89_F_P]")</f>
        <v>3</v>
      </c>
      <c r="BV23" s="68" vm="18997">
        <f>CUBEVALUE(ConnectionString,ReportMonth,Table1[[#This Row],[Site ID (from DATIM)]],"[Measures].[MMS_01_89_M_P]")</f>
        <v>3</v>
      </c>
      <c r="BW23" s="68" vm="19450">
        <f>CUBEVALUE(ConnectionString,ReportMonth,Table1[[#This Row],[Site ID (from DATIM)]],"[Measures].[MMS_01_89_F_A]")</f>
        <v>41</v>
      </c>
      <c r="BX23" s="68" vm="17970">
        <f>CUBEVALUE(ConnectionString,ReportMonth,Table1[[#This Row],[Site ID (from DATIM)]],"[Measures].[MMS_01_89_M_A]")</f>
        <v>19</v>
      </c>
      <c r="BY23" s="68" t="str" vm="19936">
        <f>CUBEVALUE(ConnectionString,ReportMonth,Table1[[#This Row],[Site ID (from DATIM)]],"[Measures].[MMS_90_179_F_P]")</f>
        <v/>
      </c>
      <c r="BZ23" s="68" t="str" vm="16954">
        <f>CUBEVALUE(ConnectionString,ReportMonth,Table1[[#This Row],[Site ID (from DATIM)]],"[Measures].[MMS_90_179_M_P]")</f>
        <v/>
      </c>
      <c r="CA23" s="68" vm="18776">
        <f>CUBEVALUE(ConnectionString,ReportMonth,Table1[[#This Row],[Site ID (from DATIM)]],"[Measures].[MMS_90_179_F_A]")</f>
        <v>42</v>
      </c>
      <c r="CB23" s="68" vm="15946">
        <f>CUBEVALUE(ConnectionString,ReportMonth,Table1[[#This Row],[Site ID (from DATIM)]],"[Measures].[MMS_90_179_M_A]")</f>
        <v>27</v>
      </c>
      <c r="CC23" s="68" t="str" vm="17235">
        <f>CUBEVALUE(ConnectionString,ReportMonth,Table1[[#This Row],[Site ID (from DATIM)]],"[Measures].[MMS_180+_F_P]")</f>
        <v/>
      </c>
      <c r="CD23" s="68" t="str" vm="14619">
        <f>CUBEVALUE(ConnectionString,ReportMonth,Table1[[#This Row],[Site ID (from DATIM)]],"[Measures].[MMS_180+_M_P]")</f>
        <v/>
      </c>
      <c r="CE23" s="68" t="str" vm="14525">
        <f>CUBEVALUE(ConnectionString,ReportMonth,Table1[[#This Row],[Site ID (from DATIM)]],"[Measures].[MMS_180+_F_A]")</f>
        <v/>
      </c>
      <c r="CF23" s="68" t="str" vm="16228">
        <f>CUBEVALUE(ConnectionString,ReportMonth,Table1[[#This Row],[Site ID (from DATIM)]],"[Measures].[MMS_180+_M_A]")</f>
        <v/>
      </c>
      <c r="CG23" s="68" vm="8717">
        <f>CUBEVALUE(ConnectionString,ReportMonth,Table1[[#This Row],[Site ID (from DATIM)]],"[Measures].[MISSEDAPP]")</f>
        <v>68</v>
      </c>
      <c r="CH23" s="68" t="str" vm="11274">
        <f>CUBEVALUE(ConnectionString,ReportMonth,Table1[[#This Row],[Site ID (from DATIM)]],"[Measures].[MMS_180+_P]")</f>
        <v/>
      </c>
      <c r="CI23" s="68" t="str" vm="14174">
        <f>CUBEVALUE(ConnectionString,ReportMonth,Table1[[#This Row],[Site ID (from DATIM)]],"[Measures].[MMS_180+_A]")</f>
        <v/>
      </c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</row>
    <row r="24" spans="1:107" x14ac:dyDescent="0.25">
      <c r="A24" s="66">
        <v>4</v>
      </c>
      <c r="B24" s="67" t="str" vm="4">
        <f t="shared" si="1"/>
        <v>Mar-2021</v>
      </c>
      <c r="C24" s="67"/>
      <c r="D24" s="67" t="s">
        <v>232</v>
      </c>
      <c r="E24" s="67" t="s">
        <v>233</v>
      </c>
      <c r="F24" s="67" t="s">
        <v>437</v>
      </c>
      <c r="G24" s="67"/>
      <c r="H24" s="67" t="s">
        <v>465</v>
      </c>
      <c r="I24" s="67" t="s">
        <v>466</v>
      </c>
      <c r="J24" s="67" t="s">
        <v>467</v>
      </c>
      <c r="K24" s="67" t="s">
        <v>468</v>
      </c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 t="str" vm="700">
        <f>CUBEVALUE(ConnectionString,ReportMonth,Table1[[#This Row],[Site ID (from DATIM)]],"TX_NEW_2VIS")</f>
        <v/>
      </c>
      <c r="AE24" s="67" t="str" vm="1243">
        <f>CUBEVALUE(ConnectionString,ReportMonth,Table1[[#This Row],[Site ID (from DATIM)]],INDEX(SDI_Measures,1))</f>
        <v/>
      </c>
      <c r="AF24" s="67" t="str" vm="5276">
        <f>CUBEVALUE(ConnectionString,ReportMonth,Table1[[#This Row],[Site ID (from DATIM)]],INDEX(SDI_Measures,2))</f>
        <v/>
      </c>
      <c r="AG24" s="67" t="str" vm="364">
        <f>CUBEVALUE(ConnectionString,ReportMonth,Table1[[#This Row],[Site ID (from DATIM)]],INDEX(SDI_Measures,3))</f>
        <v/>
      </c>
      <c r="AH24" s="67" vm="2267">
        <f>CUBEVALUE(ConnectionString,ReportMonth,Table1[[#This Row],[Site ID (from DATIM)]],"TX_CURR_PRIOR_MONTH")</f>
        <v>7</v>
      </c>
      <c r="AI24" s="67" vm="974">
        <f>CUBEVALUE(ConnectionString,ReportMonth,Table1[[#This Row],[Site ID (from DATIM)]],"TX_CURR")</f>
        <v>7</v>
      </c>
      <c r="AJ24" s="67" t="str" vm="767">
        <f>CUBEVALUE(ConnectionString,ReportMonth,Table1[[#This Row],[Site ID (from DATIM)]],"[Measures].[TI]")</f>
        <v/>
      </c>
      <c r="AK24" s="67" t="str" vm="3554">
        <f>CUBEVALUE(ConnectionString,ReportMonth,Table1[[#This Row],[Site ID (from DATIM)]],"[Measures].[TO]")</f>
        <v/>
      </c>
      <c r="AL24" s="67" t="str" vm="6411">
        <f>CUBEVALUE(ConnectionString,ReportMonth,Table1[[#This Row],[Site ID (from DATIM)]],"[Measures].[DIED]")</f>
        <v/>
      </c>
      <c r="AM24" s="67" vm="7304">
        <f>CUBEVALUE(ConnectionString,ReportMonth,Table1[[#This Row],[Site ID (from DATIM)]],"[Measures].[MMS_01_31]")</f>
        <v>7</v>
      </c>
      <c r="AN24" s="67" t="str" vm="8173">
        <f>CUBEVALUE(ConnectionString,ReportMonth,Table1[[#This Row],[Site ID (from DATIM)]],"[Measures].[MMS_32_62]")</f>
        <v/>
      </c>
      <c r="AO24" s="67" t="str" vm="12926">
        <f>CUBEVALUE(ConnectionString,ReportMonth,Table1[[#This Row],[Site ID (from DATIM)]],"[Measures].[MMS_63+]")</f>
        <v/>
      </c>
      <c r="AP24" s="67" vm="4662">
        <f>CUBEVALUE(ConnectionString,ReportMonth,Table1[[#This Row],[Site ID (from DATIM)]],"[Measures].[TBPREV_D]")</f>
        <v>1</v>
      </c>
      <c r="AQ24" s="67" vm="7069">
        <f>CUBEVALUE(ConnectionString,ReportMonth,Table1[[#This Row],[Site ID (from DATIM)]],"[Measures].[TBPREV_N]")</f>
        <v>1</v>
      </c>
      <c r="AR24" s="67" t="str" vm="6341">
        <f>CUBEVALUE(ConnectionString,ReportMonth,Table1[[#This Row],[Site ID (from DATIM)]],"[Measures].[TBPREV_NEW]")</f>
        <v/>
      </c>
      <c r="AS24" s="67" t="str" vm="7621">
        <f>CUBEVALUE(ConnectionString,ReportMonth,Table1[[#This Row],[Site ID (from DATIM)]],"[Measures].[HVL_ELIG_P]")</f>
        <v/>
      </c>
      <c r="AT24" s="67" t="str" vm="8591">
        <f>CUBEVALUE(ConnectionString,ReportMonth,Table1[[#This Row],[Site ID (from DATIM)]],"[Measures].[HVL_D_P]")</f>
        <v/>
      </c>
      <c r="AU24" s="67" t="str" vm="12191">
        <f>CUBEVALUE(ConnectionString,ReportMonth,Table1[[#This Row],[Site ID (from DATIM)]],"[Measures].[HVL_N_P]")</f>
        <v/>
      </c>
      <c r="AV24" s="68" vm="8017">
        <f>CUBEVALUE(ConnectionString,ReportMonth,Table1[[#This Row],[Site ID (from DATIM)]],"[Measures].[HVL_ELIG_A]")</f>
        <v>6</v>
      </c>
      <c r="AW24" s="68" vm="10154">
        <f>CUBEVALUE(ConnectionString,ReportMonth,Table1[[#This Row],[Site ID (from DATIM)]],"[Measures].[HVL_D_A]")</f>
        <v>3</v>
      </c>
      <c r="AX24" s="68" vm="13265">
        <f>CUBEVALUE(ConnectionString,ReportMonth,Table1[[#This Row],[Site ID (from DATIM)]],"[Measures].[HVL_N_A]")</f>
        <v>3</v>
      </c>
      <c r="AY24" s="67"/>
      <c r="AZ24" s="67"/>
      <c r="BA24" s="67"/>
      <c r="BB24" s="67"/>
      <c r="BC24" s="67"/>
      <c r="BD24" s="67"/>
      <c r="BE24" s="67"/>
      <c r="BF24" s="67"/>
      <c r="BG24" s="67" t="str" vm="11234">
        <f>CUBEVALUE(ConnectionString,ReportMonth,Table1[[#This Row],[Site ID (from DATIM)]],"[Measures].[TX_NEW_F_A]")</f>
        <v/>
      </c>
      <c r="BH24" s="67" t="str" vm="12451">
        <f>CUBEVALUE(ConnectionString,ReportMonth,Table1[[#This Row],[Site ID (from DATIM)]],"[Measures].[TX_NEW_M_A]")</f>
        <v/>
      </c>
      <c r="BI24" s="67" t="str" vm="14798">
        <f>CUBEVALUE(ConnectionString,ReportMonth,Table1[[#This Row],[Site ID (from DATIM)]],"[Measures].[TX_NEW_F_P]")</f>
        <v/>
      </c>
      <c r="BJ24" s="68" t="str" vm="15636">
        <f>CUBEVALUE(ConnectionString,ReportMonth,Table1[[#This Row],[Site ID (from DATIM)]],"[Measures].[TX_NEW_M_P]")</f>
        <v/>
      </c>
      <c r="BK24" s="68"/>
      <c r="BL24" s="68"/>
      <c r="BM24" s="68"/>
      <c r="BN24" s="68"/>
      <c r="BO24" s="68"/>
      <c r="BP24" s="68"/>
      <c r="BQ24" s="68" t="str" vm="10389">
        <f>CUBEVALUE(ConnectionString,ReportMonth,Table1[[#This Row],[Site ID (from DATIM)]],"[Measures].[TX_CURR_F_P]")</f>
        <v/>
      </c>
      <c r="BR24" s="68" t="str" vm="8615">
        <f>CUBEVALUE(ConnectionString,ReportMonth,Table1[[#This Row],[Site ID (from DATIM)]],"[Measures].[TX_CURR_M_P]")</f>
        <v/>
      </c>
      <c r="BS24" s="68" vm="11444">
        <f>CUBEVALUE(ConnectionString,ReportMonth,Table1[[#This Row],[Site ID (from DATIM)]],"[Measures].[TX_CURR_F_A]")</f>
        <v>6</v>
      </c>
      <c r="BT24" s="68" vm="13548">
        <f>CUBEVALUE(ConnectionString,ReportMonth,Table1[[#This Row],[Site ID (from DATIM)]],"[Measures].[TX_CURR_M_A]")</f>
        <v>1</v>
      </c>
      <c r="BU24" s="68" t="str" vm="18980">
        <f>CUBEVALUE(ConnectionString,ReportMonth,Table1[[#This Row],[Site ID (from DATIM)]],"[Measures].[MMS_01_89_F_P]")</f>
        <v/>
      </c>
      <c r="BV24" s="68" t="str" vm="20044">
        <f>CUBEVALUE(ConnectionString,ReportMonth,Table1[[#This Row],[Site ID (from DATIM)]],"[Measures].[MMS_01_89_M_P]")</f>
        <v/>
      </c>
      <c r="BW24" s="68" vm="18265">
        <f>CUBEVALUE(ConnectionString,ReportMonth,Table1[[#This Row],[Site ID (from DATIM)]],"[Measures].[MMS_01_89_F_A]")</f>
        <v>6</v>
      </c>
      <c r="BX24" s="68" vm="19910">
        <f>CUBEVALUE(ConnectionString,ReportMonth,Table1[[#This Row],[Site ID (from DATIM)]],"[Measures].[MMS_01_89_M_A]")</f>
        <v>1</v>
      </c>
      <c r="BY24" s="68" t="str" vm="19679">
        <f>CUBEVALUE(ConnectionString,ReportMonth,Table1[[#This Row],[Site ID (from DATIM)]],"[Measures].[MMS_90_179_F_P]")</f>
        <v/>
      </c>
      <c r="BZ24" s="68" t="str" vm="18221">
        <f>CUBEVALUE(ConnectionString,ReportMonth,Table1[[#This Row],[Site ID (from DATIM)]],"[Measures].[MMS_90_179_M_P]")</f>
        <v/>
      </c>
      <c r="CA24" s="68" t="str" vm="16952">
        <f>CUBEVALUE(ConnectionString,ReportMonth,Table1[[#This Row],[Site ID (from DATIM)]],"[Measures].[MMS_90_179_F_A]")</f>
        <v/>
      </c>
      <c r="CB24" s="68" t="str" vm="17335">
        <f>CUBEVALUE(ConnectionString,ReportMonth,Table1[[#This Row],[Site ID (from DATIM)]],"[Measures].[MMS_90_179_M_A]")</f>
        <v/>
      </c>
      <c r="CC24" s="68" t="str" vm="14717">
        <f>CUBEVALUE(ConnectionString,ReportMonth,Table1[[#This Row],[Site ID (from DATIM)]],"[Measures].[MMS_180+_F_P]")</f>
        <v/>
      </c>
      <c r="CD24" s="68" t="str" vm="14557">
        <f>CUBEVALUE(ConnectionString,ReportMonth,Table1[[#This Row],[Site ID (from DATIM)]],"[Measures].[MMS_180+_M_P]")</f>
        <v/>
      </c>
      <c r="CE24" s="68" t="str" vm="16750">
        <f>CUBEVALUE(ConnectionString,ReportMonth,Table1[[#This Row],[Site ID (from DATIM)]],"[Measures].[MMS_180+_F_A]")</f>
        <v/>
      </c>
      <c r="CF24" s="68" t="str" vm="180">
        <f>CUBEVALUE(ConnectionString,ReportMonth,Table1[[#This Row],[Site ID (from DATIM)]],"[Measures].[MMS_180+_M_A]")</f>
        <v/>
      </c>
      <c r="CG24" s="68" vm="4985">
        <f>CUBEVALUE(ConnectionString,ReportMonth,Table1[[#This Row],[Site ID (from DATIM)]],"[Measures].[MISSEDAPP]")</f>
        <v>7</v>
      </c>
      <c r="CH24" s="68" t="str" vm="12338">
        <f>CUBEVALUE(ConnectionString,ReportMonth,Table1[[#This Row],[Site ID (from DATIM)]],"[Measures].[MMS_180+_P]")</f>
        <v/>
      </c>
      <c r="CI24" s="68" t="str" vm="10953">
        <f>CUBEVALUE(ConnectionString,ReportMonth,Table1[[#This Row],[Site ID (from DATIM)]],"[Measures].[MMS_180+_A]")</f>
        <v/>
      </c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</row>
    <row r="25" spans="1:107" x14ac:dyDescent="0.25">
      <c r="A25" s="66">
        <v>3</v>
      </c>
      <c r="B25" s="67" t="str" vm="4">
        <f t="shared" si="1"/>
        <v>Mar-2021</v>
      </c>
      <c r="C25" s="67"/>
      <c r="D25" s="67" t="s">
        <v>232</v>
      </c>
      <c r="E25" s="67" t="s">
        <v>233</v>
      </c>
      <c r="F25" s="67" t="s">
        <v>1286</v>
      </c>
      <c r="G25" s="67"/>
      <c r="H25" s="67" t="s">
        <v>1287</v>
      </c>
      <c r="I25" s="67" t="s">
        <v>1288</v>
      </c>
      <c r="J25" s="67" t="s">
        <v>1289</v>
      </c>
      <c r="K25" s="67" t="s">
        <v>1290</v>
      </c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 t="str" vm="1340">
        <f>CUBEVALUE(ConnectionString,ReportMonth,Table1[[#This Row],[Site ID (from DATIM)]],"TX_NEW_2VIS")</f>
        <v/>
      </c>
      <c r="AE25" s="67" t="str" vm="1469">
        <f>CUBEVALUE(ConnectionString,ReportMonth,Table1[[#This Row],[Site ID (from DATIM)]],INDEX(SDI_Measures,1))</f>
        <v/>
      </c>
      <c r="AF25" s="67" t="str" vm="239">
        <f>CUBEVALUE(ConnectionString,ReportMonth,Table1[[#This Row],[Site ID (from DATIM)]],INDEX(SDI_Measures,2))</f>
        <v/>
      </c>
      <c r="AG25" s="67" t="str" vm="3790">
        <f>CUBEVALUE(ConnectionString,ReportMonth,Table1[[#This Row],[Site ID (from DATIM)]],INDEX(SDI_Measures,3))</f>
        <v/>
      </c>
      <c r="AH25" s="67" t="str" vm="1341">
        <f>CUBEVALUE(ConnectionString,ReportMonth,Table1[[#This Row],[Site ID (from DATIM)]],"TX_CURR_PRIOR_MONTH")</f>
        <v/>
      </c>
      <c r="AI25" s="67" t="str" vm="2111">
        <f>CUBEVALUE(ConnectionString,ReportMonth,Table1[[#This Row],[Site ID (from DATIM)]],"TX_CURR")</f>
        <v/>
      </c>
      <c r="AJ25" s="67" t="str" vm="829">
        <f>CUBEVALUE(ConnectionString,ReportMonth,Table1[[#This Row],[Site ID (from DATIM)]],"[Measures].[TI]")</f>
        <v/>
      </c>
      <c r="AK25" s="67" t="str" vm="3345">
        <f>CUBEVALUE(ConnectionString,ReportMonth,Table1[[#This Row],[Site ID (from DATIM)]],"[Measures].[TO]")</f>
        <v/>
      </c>
      <c r="AL25" s="67" t="str" vm="4454">
        <f>CUBEVALUE(ConnectionString,ReportMonth,Table1[[#This Row],[Site ID (from DATIM)]],"[Measures].[DIED]")</f>
        <v/>
      </c>
      <c r="AM25" s="67" t="str" vm="7860">
        <f>CUBEVALUE(ConnectionString,ReportMonth,Table1[[#This Row],[Site ID (from DATIM)]],"[Measures].[MMS_01_31]")</f>
        <v/>
      </c>
      <c r="AN25" s="67" t="str" vm="5534">
        <f>CUBEVALUE(ConnectionString,ReportMonth,Table1[[#This Row],[Site ID (from DATIM)]],"[Measures].[MMS_32_62]")</f>
        <v/>
      </c>
      <c r="AO25" s="67" t="str" vm="8666">
        <f>CUBEVALUE(ConnectionString,ReportMonth,Table1[[#This Row],[Site ID (from DATIM)]],"[Measures].[MMS_63+]")</f>
        <v/>
      </c>
      <c r="AP25" s="67" t="str" vm="4708">
        <f>CUBEVALUE(ConnectionString,ReportMonth,Table1[[#This Row],[Site ID (from DATIM)]],"[Measures].[TBPREV_D]")</f>
        <v/>
      </c>
      <c r="AQ25" s="67" t="str" vm="5197">
        <f>CUBEVALUE(ConnectionString,ReportMonth,Table1[[#This Row],[Site ID (from DATIM)]],"[Measures].[TBPREV_N]")</f>
        <v/>
      </c>
      <c r="AR25" s="67" t="str" vm="7783">
        <f>CUBEVALUE(ConnectionString,ReportMonth,Table1[[#This Row],[Site ID (from DATIM)]],"[Measures].[TBPREV_NEW]")</f>
        <v/>
      </c>
      <c r="AS25" s="67" t="str" vm="9726">
        <f>CUBEVALUE(ConnectionString,ReportMonth,Table1[[#This Row],[Site ID (from DATIM)]],"[Measures].[HVL_ELIG_P]")</f>
        <v/>
      </c>
      <c r="AT25" s="67" t="str" vm="7203">
        <f>CUBEVALUE(ConnectionString,ReportMonth,Table1[[#This Row],[Site ID (from DATIM)]],"[Measures].[HVL_D_P]")</f>
        <v/>
      </c>
      <c r="AU25" s="67" t="str" vm="10313">
        <f>CUBEVALUE(ConnectionString,ReportMonth,Table1[[#This Row],[Site ID (from DATIM)]],"[Measures].[HVL_N_P]")</f>
        <v/>
      </c>
      <c r="AV25" s="68" t="str" vm="9679">
        <f>CUBEVALUE(ConnectionString,ReportMonth,Table1[[#This Row],[Site ID (from DATIM)]],"[Measures].[HVL_ELIG_A]")</f>
        <v/>
      </c>
      <c r="AW25" s="68" t="str" vm="9439">
        <f>CUBEVALUE(ConnectionString,ReportMonth,Table1[[#This Row],[Site ID (from DATIM)]],"[Measures].[HVL_D_A]")</f>
        <v/>
      </c>
      <c r="AX25" s="68" t="str" vm="11537">
        <f>CUBEVALUE(ConnectionString,ReportMonth,Table1[[#This Row],[Site ID (from DATIM)]],"[Measures].[HVL_N_A]")</f>
        <v/>
      </c>
      <c r="AY25" s="67"/>
      <c r="AZ25" s="67"/>
      <c r="BA25" s="67"/>
      <c r="BB25" s="67"/>
      <c r="BC25" s="67"/>
      <c r="BD25" s="67"/>
      <c r="BE25" s="67"/>
      <c r="BF25" s="67"/>
      <c r="BG25" s="67" t="str" vm="12701">
        <f>CUBEVALUE(ConnectionString,ReportMonth,Table1[[#This Row],[Site ID (from DATIM)]],"[Measures].[TX_NEW_F_A]")</f>
        <v/>
      </c>
      <c r="BH25" s="67" t="str" vm="13009">
        <f>CUBEVALUE(ConnectionString,ReportMonth,Table1[[#This Row],[Site ID (from DATIM)]],"[Measures].[TX_NEW_M_A]")</f>
        <v/>
      </c>
      <c r="BI25" s="67" t="str" vm="12345">
        <f>CUBEVALUE(ConnectionString,ReportMonth,Table1[[#This Row],[Site ID (from DATIM)]],"[Measures].[TX_NEW_F_P]")</f>
        <v/>
      </c>
      <c r="BJ25" s="68" t="str" vm="15706">
        <f>CUBEVALUE(ConnectionString,ReportMonth,Table1[[#This Row],[Site ID (from DATIM)]],"[Measures].[TX_NEW_M_P]")</f>
        <v/>
      </c>
      <c r="BK25" s="68"/>
      <c r="BL25" s="68"/>
      <c r="BM25" s="68"/>
      <c r="BN25" s="68"/>
      <c r="BO25" s="68"/>
      <c r="BP25" s="68"/>
      <c r="BQ25" s="68" t="str" vm="12462">
        <f>CUBEVALUE(ConnectionString,ReportMonth,Table1[[#This Row],[Site ID (from DATIM)]],"[Measures].[TX_CURR_F_P]")</f>
        <v/>
      </c>
      <c r="BR25" s="68" t="str" vm="9842">
        <f>CUBEVALUE(ConnectionString,ReportMonth,Table1[[#This Row],[Site ID (from DATIM)]],"[Measures].[TX_CURR_M_P]")</f>
        <v/>
      </c>
      <c r="BS25" s="68" t="str" vm="11158">
        <f>CUBEVALUE(ConnectionString,ReportMonth,Table1[[#This Row],[Site ID (from DATIM)]],"[Measures].[TX_CURR_F_A]")</f>
        <v/>
      </c>
      <c r="BT25" s="68" t="str" vm="12296">
        <f>CUBEVALUE(ConnectionString,ReportMonth,Table1[[#This Row],[Site ID (from DATIM)]],"[Measures].[TX_CURR_M_A]")</f>
        <v/>
      </c>
      <c r="BU25" s="68" t="str" vm="19806">
        <f>CUBEVALUE(ConnectionString,ReportMonth,Table1[[#This Row],[Site ID (from DATIM)]],"[Measures].[MMS_01_89_F_P]")</f>
        <v/>
      </c>
      <c r="BV25" s="68" t="str" vm="19192">
        <f>CUBEVALUE(ConnectionString,ReportMonth,Table1[[#This Row],[Site ID (from DATIM)]],"[Measures].[MMS_01_89_M_P]")</f>
        <v/>
      </c>
      <c r="BW25" s="68" t="str" vm="18067">
        <f>CUBEVALUE(ConnectionString,ReportMonth,Table1[[#This Row],[Site ID (from DATIM)]],"[Measures].[MMS_01_89_F_A]")</f>
        <v/>
      </c>
      <c r="BX25" s="68" t="str" vm="18905">
        <f>CUBEVALUE(ConnectionString,ReportMonth,Table1[[#This Row],[Site ID (from DATIM)]],"[Measures].[MMS_01_89_M_A]")</f>
        <v/>
      </c>
      <c r="BY25" s="68" t="str" vm="19397">
        <f>CUBEVALUE(ConnectionString,ReportMonth,Table1[[#This Row],[Site ID (from DATIM)]],"[Measures].[MMS_90_179_F_P]")</f>
        <v/>
      </c>
      <c r="BZ25" s="68" t="str" vm="19055">
        <f>CUBEVALUE(ConnectionString,ReportMonth,Table1[[#This Row],[Site ID (from DATIM)]],"[Measures].[MMS_90_179_M_P]")</f>
        <v/>
      </c>
      <c r="CA25" s="68" t="str" vm="15609">
        <f>CUBEVALUE(ConnectionString,ReportMonth,Table1[[#This Row],[Site ID (from DATIM)]],"[Measures].[MMS_90_179_F_A]")</f>
        <v/>
      </c>
      <c r="CB25" s="68" t="str" vm="14565">
        <f>CUBEVALUE(ConnectionString,ReportMonth,Table1[[#This Row],[Site ID (from DATIM)]],"[Measures].[MMS_90_179_M_A]")</f>
        <v/>
      </c>
      <c r="CC25" s="68" t="str" vm="14633">
        <f>CUBEVALUE(ConnectionString,ReportMonth,Table1[[#This Row],[Site ID (from DATIM)]],"[Measures].[MMS_180+_F_P]")</f>
        <v/>
      </c>
      <c r="CD25" s="68" t="str" vm="286">
        <f>CUBEVALUE(ConnectionString,ReportMonth,Table1[[#This Row],[Site ID (from DATIM)]],"[Measures].[MMS_180+_M_P]")</f>
        <v/>
      </c>
      <c r="CE25" s="68" t="str" vm="15366">
        <f>CUBEVALUE(ConnectionString,ReportMonth,Table1[[#This Row],[Site ID (from DATIM)]],"[Measures].[MMS_180+_F_A]")</f>
        <v/>
      </c>
      <c r="CF25" s="68" t="str" vm="17086">
        <f>CUBEVALUE(ConnectionString,ReportMonth,Table1[[#This Row],[Site ID (from DATIM)]],"[Measures].[MMS_180+_M_A]")</f>
        <v/>
      </c>
      <c r="CG25" s="68" t="str" vm="5839">
        <f>CUBEVALUE(ConnectionString,ReportMonth,Table1[[#This Row],[Site ID (from DATIM)]],"[Measures].[MISSEDAPP]")</f>
        <v/>
      </c>
      <c r="CH25" s="68" t="str" vm="13822">
        <f>CUBEVALUE(ConnectionString,ReportMonth,Table1[[#This Row],[Site ID (from DATIM)]],"[Measures].[MMS_180+_P]")</f>
        <v/>
      </c>
      <c r="CI25" s="68" t="str" vm="11885">
        <f>CUBEVALUE(ConnectionString,ReportMonth,Table1[[#This Row],[Site ID (from DATIM)]],"[Measures].[MMS_180+_A]")</f>
        <v/>
      </c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</row>
    <row r="26" spans="1:107" x14ac:dyDescent="0.25">
      <c r="A26" s="66">
        <v>4</v>
      </c>
      <c r="B26" s="67" t="str" vm="4">
        <f t="shared" si="1"/>
        <v>Mar-2021</v>
      </c>
      <c r="C26" s="67"/>
      <c r="D26" s="67" t="s">
        <v>232</v>
      </c>
      <c r="E26" s="67" t="s">
        <v>233</v>
      </c>
      <c r="F26" s="67" t="s">
        <v>831</v>
      </c>
      <c r="G26" s="67"/>
      <c r="H26" s="67" t="s">
        <v>836</v>
      </c>
      <c r="I26" s="67" t="s">
        <v>837</v>
      </c>
      <c r="J26" s="67" t="s">
        <v>838</v>
      </c>
      <c r="K26" s="67" t="s">
        <v>839</v>
      </c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 vm="1335">
        <f>CUBEVALUE(ConnectionString,ReportMonth,Table1[[#This Row],[Site ID (from DATIM)]],"TX_NEW_2VIS")</f>
        <v>3</v>
      </c>
      <c r="AE26" s="67" vm="7582">
        <f>CUBEVALUE(ConnectionString,ReportMonth,Table1[[#This Row],[Site ID (from DATIM)]],INDEX(SDI_Measures,1))</f>
        <v>6</v>
      </c>
      <c r="AF26" s="67" t="str" vm="2142">
        <f>CUBEVALUE(ConnectionString,ReportMonth,Table1[[#This Row],[Site ID (from DATIM)]],INDEX(SDI_Measures,2))</f>
        <v/>
      </c>
      <c r="AG26" s="67" t="str" vm="1579">
        <f>CUBEVALUE(ConnectionString,ReportMonth,Table1[[#This Row],[Site ID (from DATIM)]],INDEX(SDI_Measures,3))</f>
        <v/>
      </c>
      <c r="AH26" s="67" vm="2580">
        <f>CUBEVALUE(ConnectionString,ReportMonth,Table1[[#This Row],[Site ID (from DATIM)]],"TX_CURR_PRIOR_MONTH")</f>
        <v>435</v>
      </c>
      <c r="AI26" s="67" vm="2192">
        <f>CUBEVALUE(ConnectionString,ReportMonth,Table1[[#This Row],[Site ID (from DATIM)]],"TX_CURR")</f>
        <v>416</v>
      </c>
      <c r="AJ26" s="67" vm="2982">
        <f>CUBEVALUE(ConnectionString,ReportMonth,Table1[[#This Row],[Site ID (from DATIM)]],"[Measures].[TI]")</f>
        <v>1</v>
      </c>
      <c r="AK26" s="67" vm="1882">
        <f>CUBEVALUE(ConnectionString,ReportMonth,Table1[[#This Row],[Site ID (from DATIM)]],"[Measures].[TO]")</f>
        <v>1</v>
      </c>
      <c r="AL26" s="67" t="str" vm="2706">
        <f>CUBEVALUE(ConnectionString,ReportMonth,Table1[[#This Row],[Site ID (from DATIM)]],"[Measures].[DIED]")</f>
        <v/>
      </c>
      <c r="AM26" s="67" vm="4703">
        <f>CUBEVALUE(ConnectionString,ReportMonth,Table1[[#This Row],[Site ID (from DATIM)]],"[Measures].[MMS_01_31]")</f>
        <v>86</v>
      </c>
      <c r="AN26" s="67" vm="6734">
        <f>CUBEVALUE(ConnectionString,ReportMonth,Table1[[#This Row],[Site ID (from DATIM)]],"[Measures].[MMS_32_62]")</f>
        <v>59</v>
      </c>
      <c r="AO26" s="67" vm="6775">
        <f>CUBEVALUE(ConnectionString,ReportMonth,Table1[[#This Row],[Site ID (from DATIM)]],"[Measures].[MMS_63+]")</f>
        <v>271</v>
      </c>
      <c r="AP26" s="67" vm="5338">
        <f>CUBEVALUE(ConnectionString,ReportMonth,Table1[[#This Row],[Site ID (from DATIM)]],"[Measures].[TBPREV_D]")</f>
        <v>21</v>
      </c>
      <c r="AQ26" s="67" vm="4776">
        <f>CUBEVALUE(ConnectionString,ReportMonth,Table1[[#This Row],[Site ID (from DATIM)]],"[Measures].[TBPREV_N]")</f>
        <v>15</v>
      </c>
      <c r="AR26" s="67" vm="8049">
        <f>CUBEVALUE(ConnectionString,ReportMonth,Table1[[#This Row],[Site ID (from DATIM)]],"[Measures].[TBPREV_NEW]")</f>
        <v>4</v>
      </c>
      <c r="AS26" s="67" vm="9651">
        <f>CUBEVALUE(ConnectionString,ReportMonth,Table1[[#This Row],[Site ID (from DATIM)]],"[Measures].[HVL_ELIG_P]")</f>
        <v>6</v>
      </c>
      <c r="AT26" s="67" vm="6503">
        <f>CUBEVALUE(ConnectionString,ReportMonth,Table1[[#This Row],[Site ID (from DATIM)]],"[Measures].[HVL_D_P]")</f>
        <v>5</v>
      </c>
      <c r="AU26" s="67" vm="11952">
        <f>CUBEVALUE(ConnectionString,ReportMonth,Table1[[#This Row],[Site ID (from DATIM)]],"[Measures].[HVL_N_P]")</f>
        <v>5</v>
      </c>
      <c r="AV26" s="68" vm="8775">
        <f>CUBEVALUE(ConnectionString,ReportMonth,Table1[[#This Row],[Site ID (from DATIM)]],"[Measures].[HVL_ELIG_A]")</f>
        <v>335</v>
      </c>
      <c r="AW26" s="68" vm="10782">
        <f>CUBEVALUE(ConnectionString,ReportMonth,Table1[[#This Row],[Site ID (from DATIM)]],"[Measures].[HVL_D_A]")</f>
        <v>243</v>
      </c>
      <c r="AX26" s="68" vm="11733">
        <f>CUBEVALUE(ConnectionString,ReportMonth,Table1[[#This Row],[Site ID (from DATIM)]],"[Measures].[HVL_N_A]")</f>
        <v>234</v>
      </c>
      <c r="AY26" s="67"/>
      <c r="AZ26" s="67"/>
      <c r="BA26" s="67"/>
      <c r="BB26" s="67"/>
      <c r="BC26" s="67"/>
      <c r="BD26" s="67"/>
      <c r="BE26" s="67"/>
      <c r="BF26" s="67"/>
      <c r="BG26" s="67" vm="10373">
        <f>CUBEVALUE(ConnectionString,ReportMonth,Table1[[#This Row],[Site ID (from DATIM)]],"[Measures].[TX_NEW_F_A]")</f>
        <v>4</v>
      </c>
      <c r="BH26" s="67" vm="11239">
        <f>CUBEVALUE(ConnectionString,ReportMonth,Table1[[#This Row],[Site ID (from DATIM)]],"[Measures].[TX_NEW_M_A]")</f>
        <v>2</v>
      </c>
      <c r="BI26" s="67" t="str" vm="16136">
        <f>CUBEVALUE(ConnectionString,ReportMonth,Table1[[#This Row],[Site ID (from DATIM)]],"[Measures].[TX_NEW_F_P]")</f>
        <v/>
      </c>
      <c r="BJ26" s="68" t="str" vm="14361">
        <f>CUBEVALUE(ConnectionString,ReportMonth,Table1[[#This Row],[Site ID (from DATIM)]],"[Measures].[TX_NEW_M_P]")</f>
        <v/>
      </c>
      <c r="BK26" s="68"/>
      <c r="BL26" s="68"/>
      <c r="BM26" s="68"/>
      <c r="BN26" s="68"/>
      <c r="BO26" s="68"/>
      <c r="BP26" s="68"/>
      <c r="BQ26" s="68" vm="11139">
        <f>CUBEVALUE(ConnectionString,ReportMonth,Table1[[#This Row],[Site ID (from DATIM)]],"[Measures].[TX_CURR_F_P]")</f>
        <v>4</v>
      </c>
      <c r="BR26" s="68" vm="12721">
        <f>CUBEVALUE(ConnectionString,ReportMonth,Table1[[#This Row],[Site ID (from DATIM)]],"[Measures].[TX_CURR_M_P]")</f>
        <v>2</v>
      </c>
      <c r="BS26" s="68" vm="8038">
        <f>CUBEVALUE(ConnectionString,ReportMonth,Table1[[#This Row],[Site ID (from DATIM)]],"[Measures].[TX_CURR_F_A]")</f>
        <v>296</v>
      </c>
      <c r="BT26" s="68" vm="14144">
        <f>CUBEVALUE(ConnectionString,ReportMonth,Table1[[#This Row],[Site ID (from DATIM)]],"[Measures].[TX_CURR_M_A]")</f>
        <v>114</v>
      </c>
      <c r="BU26" s="68" t="str" vm="18081">
        <f>CUBEVALUE(ConnectionString,ReportMonth,Table1[[#This Row],[Site ID (from DATIM)]],"[Measures].[MMS_01_89_F_P]")</f>
        <v/>
      </c>
      <c r="BV26" s="68" t="str" vm="18718">
        <f>CUBEVALUE(ConnectionString,ReportMonth,Table1[[#This Row],[Site ID (from DATIM)]],"[Measures].[MMS_01_89_M_P]")</f>
        <v/>
      </c>
      <c r="BW26" s="68" vm="19361">
        <f>CUBEVALUE(ConnectionString,ReportMonth,Table1[[#This Row],[Site ID (from DATIM)]],"[Measures].[MMS_01_89_F_A]")</f>
        <v>101</v>
      </c>
      <c r="BX26" s="68" vm="18468">
        <f>CUBEVALUE(ConnectionString,ReportMonth,Table1[[#This Row],[Site ID (from DATIM)]],"[Measures].[MMS_01_89_M_A]")</f>
        <v>44</v>
      </c>
      <c r="BY26" s="68" vm="18833">
        <f>CUBEVALUE(ConnectionString,ReportMonth,Table1[[#This Row],[Site ID (from DATIM)]],"[Measures].[MMS_90_179_F_P]")</f>
        <v>4</v>
      </c>
      <c r="BZ26" s="68" vm="15092">
        <f>CUBEVALUE(ConnectionString,ReportMonth,Table1[[#This Row],[Site ID (from DATIM)]],"[Measures].[MMS_90_179_M_P]")</f>
        <v>2</v>
      </c>
      <c r="CA26" s="68" vm="19556">
        <f>CUBEVALUE(ConnectionString,ReportMonth,Table1[[#This Row],[Site ID (from DATIM)]],"[Measures].[MMS_90_179_F_A]")</f>
        <v>195</v>
      </c>
      <c r="CB26" s="68" vm="16814">
        <f>CUBEVALUE(ConnectionString,ReportMonth,Table1[[#This Row],[Site ID (from DATIM)]],"[Measures].[MMS_90_179_M_A]")</f>
        <v>70</v>
      </c>
      <c r="CC26" s="68" t="str" vm="17524">
        <f>CUBEVALUE(ConnectionString,ReportMonth,Table1[[#This Row],[Site ID (from DATIM)]],"[Measures].[MMS_180+_F_P]")</f>
        <v/>
      </c>
      <c r="CD26" s="68" t="str" vm="15038">
        <f>CUBEVALUE(ConnectionString,ReportMonth,Table1[[#This Row],[Site ID (from DATIM)]],"[Measures].[MMS_180+_M_P]")</f>
        <v/>
      </c>
      <c r="CE26" s="68" t="str" vm="16233">
        <f>CUBEVALUE(ConnectionString,ReportMonth,Table1[[#This Row],[Site ID (from DATIM)]],"[Measures].[MMS_180+_F_A]")</f>
        <v/>
      </c>
      <c r="CF26" s="68" t="str" vm="255">
        <f>CUBEVALUE(ConnectionString,ReportMonth,Table1[[#This Row],[Site ID (from DATIM)]],"[Measures].[MMS_180+_M_A]")</f>
        <v/>
      </c>
      <c r="CG26" s="68" vm="7467">
        <f>CUBEVALUE(ConnectionString,ReportMonth,Table1[[#This Row],[Site ID (from DATIM)]],"[Measures].[MISSEDAPP]")</f>
        <v>145</v>
      </c>
      <c r="CH26" s="68" t="str" vm="10207">
        <f>CUBEVALUE(ConnectionString,ReportMonth,Table1[[#This Row],[Site ID (from DATIM)]],"[Measures].[MMS_180+_P]")</f>
        <v/>
      </c>
      <c r="CI26" s="68" t="str" vm="13341">
        <f>CUBEVALUE(ConnectionString,ReportMonth,Table1[[#This Row],[Site ID (from DATIM)]],"[Measures].[MMS_180+_A]")</f>
        <v/>
      </c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</row>
    <row r="27" spans="1:107" x14ac:dyDescent="0.25">
      <c r="A27" s="66">
        <v>4</v>
      </c>
      <c r="B27" s="67" t="str" vm="4">
        <f t="shared" si="1"/>
        <v>Mar-2021</v>
      </c>
      <c r="C27" s="67"/>
      <c r="D27" s="67" t="s">
        <v>232</v>
      </c>
      <c r="E27" s="67" t="s">
        <v>233</v>
      </c>
      <c r="F27" s="67" t="s">
        <v>1083</v>
      </c>
      <c r="G27" s="67"/>
      <c r="H27" s="67" t="s">
        <v>1088</v>
      </c>
      <c r="I27" s="67" t="s">
        <v>1107</v>
      </c>
      <c r="J27" s="67" t="s">
        <v>1108</v>
      </c>
      <c r="K27" s="67" t="s">
        <v>1109</v>
      </c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 t="str" vm="2694">
        <f>CUBEVALUE(ConnectionString,ReportMonth,Table1[[#This Row],[Site ID (from DATIM)]],"TX_NEW_2VIS")</f>
        <v/>
      </c>
      <c r="AE27" s="67" vm="1194">
        <f>CUBEVALUE(ConnectionString,ReportMonth,Table1[[#This Row],[Site ID (from DATIM)]],INDEX(SDI_Measures,1))</f>
        <v>1</v>
      </c>
      <c r="AF27" s="67" t="str" vm="1599">
        <f>CUBEVALUE(ConnectionString,ReportMonth,Table1[[#This Row],[Site ID (from DATIM)]],INDEX(SDI_Measures,2))</f>
        <v/>
      </c>
      <c r="AG27" s="67" t="str" vm="2588">
        <f>CUBEVALUE(ConnectionString,ReportMonth,Table1[[#This Row],[Site ID (from DATIM)]],INDEX(SDI_Measures,3))</f>
        <v/>
      </c>
      <c r="AH27" s="67" vm="3787">
        <f>CUBEVALUE(ConnectionString,ReportMonth,Table1[[#This Row],[Site ID (from DATIM)]],"TX_CURR_PRIOR_MONTH")</f>
        <v>185</v>
      </c>
      <c r="AI27" s="67" vm="2200">
        <f>CUBEVALUE(ConnectionString,ReportMonth,Table1[[#This Row],[Site ID (from DATIM)]],"TX_CURR")</f>
        <v>150</v>
      </c>
      <c r="AJ27" s="67" t="str" vm="5509">
        <f>CUBEVALUE(ConnectionString,ReportMonth,Table1[[#This Row],[Site ID (from DATIM)]],"[Measures].[TI]")</f>
        <v/>
      </c>
      <c r="AK27" s="67" t="str" vm="444">
        <f>CUBEVALUE(ConnectionString,ReportMonth,Table1[[#This Row],[Site ID (from DATIM)]],"[Measures].[TO]")</f>
        <v/>
      </c>
      <c r="AL27" s="67" t="str" vm="2524">
        <f>CUBEVALUE(ConnectionString,ReportMonth,Table1[[#This Row],[Site ID (from DATIM)]],"[Measures].[DIED]")</f>
        <v/>
      </c>
      <c r="AM27" s="67" vm="4103">
        <f>CUBEVALUE(ConnectionString,ReportMonth,Table1[[#This Row],[Site ID (from DATIM)]],"[Measures].[MMS_01_31]")</f>
        <v>57</v>
      </c>
      <c r="AN27" s="67" vm="4571">
        <f>CUBEVALUE(ConnectionString,ReportMonth,Table1[[#This Row],[Site ID (from DATIM)]],"[Measures].[MMS_32_62]")</f>
        <v>2</v>
      </c>
      <c r="AO27" s="67" vm="9526">
        <f>CUBEVALUE(ConnectionString,ReportMonth,Table1[[#This Row],[Site ID (from DATIM)]],"[Measures].[MMS_63+]")</f>
        <v>91</v>
      </c>
      <c r="AP27" s="67" vm="5799">
        <f>CUBEVALUE(ConnectionString,ReportMonth,Table1[[#This Row],[Site ID (from DATIM)]],"[Measures].[TBPREV_D]")</f>
        <v>4</v>
      </c>
      <c r="AQ27" s="67" vm="4862">
        <f>CUBEVALUE(ConnectionString,ReportMonth,Table1[[#This Row],[Site ID (from DATIM)]],"[Measures].[TBPREV_N]")</f>
        <v>3</v>
      </c>
      <c r="AR27" s="67" vm="6954">
        <f>CUBEVALUE(ConnectionString,ReportMonth,Table1[[#This Row],[Site ID (from DATIM)]],"[Measures].[TBPREV_NEW]")</f>
        <v>1</v>
      </c>
      <c r="AS27" s="67" vm="7289">
        <f>CUBEVALUE(ConnectionString,ReportMonth,Table1[[#This Row],[Site ID (from DATIM)]],"[Measures].[HVL_ELIG_P]")</f>
        <v>8</v>
      </c>
      <c r="AT27" s="67" vm="4943">
        <f>CUBEVALUE(ConnectionString,ReportMonth,Table1[[#This Row],[Site ID (from DATIM)]],"[Measures].[HVL_D_P]")</f>
        <v>4</v>
      </c>
      <c r="AU27" s="67" vm="13534">
        <f>CUBEVALUE(ConnectionString,ReportMonth,Table1[[#This Row],[Site ID (from DATIM)]],"[Measures].[HVL_N_P]")</f>
        <v>2</v>
      </c>
      <c r="AV27" s="68" vm="9501">
        <f>CUBEVALUE(ConnectionString,ReportMonth,Table1[[#This Row],[Site ID (from DATIM)]],"[Measures].[HVL_ELIG_A]")</f>
        <v>119</v>
      </c>
      <c r="AW27" s="68" vm="11835">
        <f>CUBEVALUE(ConnectionString,ReportMonth,Table1[[#This Row],[Site ID (from DATIM)]],"[Measures].[HVL_D_A]")</f>
        <v>64</v>
      </c>
      <c r="AX27" s="68" vm="8701">
        <f>CUBEVALUE(ConnectionString,ReportMonth,Table1[[#This Row],[Site ID (from DATIM)]],"[Measures].[HVL_N_A]")</f>
        <v>62</v>
      </c>
      <c r="AY27" s="67"/>
      <c r="AZ27" s="67"/>
      <c r="BA27" s="67"/>
      <c r="BB27" s="67"/>
      <c r="BC27" s="67"/>
      <c r="BD27" s="67"/>
      <c r="BE27" s="67"/>
      <c r="BF27" s="67"/>
      <c r="BG27" s="67" t="str" vm="17011">
        <f>CUBEVALUE(ConnectionString,ReportMonth,Table1[[#This Row],[Site ID (from DATIM)]],"[Measures].[TX_NEW_F_A]")</f>
        <v/>
      </c>
      <c r="BH27" s="67" vm="14028">
        <f>CUBEVALUE(ConnectionString,ReportMonth,Table1[[#This Row],[Site ID (from DATIM)]],"[Measures].[TX_NEW_M_A]")</f>
        <v>1</v>
      </c>
      <c r="BI27" s="67" t="str" vm="13123">
        <f>CUBEVALUE(ConnectionString,ReportMonth,Table1[[#This Row],[Site ID (from DATIM)]],"[Measures].[TX_NEW_F_P]")</f>
        <v/>
      </c>
      <c r="BJ27" s="68" t="str" vm="13148">
        <f>CUBEVALUE(ConnectionString,ReportMonth,Table1[[#This Row],[Site ID (from DATIM)]],"[Measures].[TX_NEW_M_P]")</f>
        <v/>
      </c>
      <c r="BK27" s="68"/>
      <c r="BL27" s="68"/>
      <c r="BM27" s="68"/>
      <c r="BN27" s="68"/>
      <c r="BO27" s="68"/>
      <c r="BP27" s="68"/>
      <c r="BQ27" s="68" vm="10805">
        <f>CUBEVALUE(ConnectionString,ReportMonth,Table1[[#This Row],[Site ID (from DATIM)]],"[Measures].[TX_CURR_F_P]")</f>
        <v>3</v>
      </c>
      <c r="BR27" s="68" vm="11784">
        <f>CUBEVALUE(ConnectionString,ReportMonth,Table1[[#This Row],[Site ID (from DATIM)]],"[Measures].[TX_CURR_M_P]")</f>
        <v>5</v>
      </c>
      <c r="BS27" s="68" vm="13760">
        <f>CUBEVALUE(ConnectionString,ReportMonth,Table1[[#This Row],[Site ID (from DATIM)]],"[Measures].[TX_CURR_F_A]")</f>
        <v>103</v>
      </c>
      <c r="BT27" s="68" vm="14090">
        <f>CUBEVALUE(ConnectionString,ReportMonth,Table1[[#This Row],[Site ID (from DATIM)]],"[Measures].[TX_CURR_M_A]")</f>
        <v>39</v>
      </c>
      <c r="BU27" s="68" vm="20032">
        <f>CUBEVALUE(ConnectionString,ReportMonth,Table1[[#This Row],[Site ID (from DATIM)]],"[Measures].[MMS_01_89_F_P]")</f>
        <v>1</v>
      </c>
      <c r="BV27" s="68" vm="19934">
        <f>CUBEVALUE(ConnectionString,ReportMonth,Table1[[#This Row],[Site ID (from DATIM)]],"[Measures].[MMS_01_89_M_P]")</f>
        <v>5</v>
      </c>
      <c r="BW27" s="68" vm="18516">
        <f>CUBEVALUE(ConnectionString,ReportMonth,Table1[[#This Row],[Site ID (from DATIM)]],"[Measures].[MMS_01_89_F_A]")</f>
        <v>33</v>
      </c>
      <c r="BX27" s="68" vm="17862">
        <f>CUBEVALUE(ConnectionString,ReportMonth,Table1[[#This Row],[Site ID (from DATIM)]],"[Measures].[MMS_01_89_M_A]")</f>
        <v>23</v>
      </c>
      <c r="BY27" s="68" vm="18484">
        <f>CUBEVALUE(ConnectionString,ReportMonth,Table1[[#This Row],[Site ID (from DATIM)]],"[Measures].[MMS_90_179_F_P]")</f>
        <v>2</v>
      </c>
      <c r="BZ27" s="68" t="str" vm="17305">
        <f>CUBEVALUE(ConnectionString,ReportMonth,Table1[[#This Row],[Site ID (from DATIM)]],"[Measures].[MMS_90_179_M_P]")</f>
        <v/>
      </c>
      <c r="CA27" s="68" vm="14663">
        <f>CUBEVALUE(ConnectionString,ReportMonth,Table1[[#This Row],[Site ID (from DATIM)]],"[Measures].[MMS_90_179_F_A]")</f>
        <v>70</v>
      </c>
      <c r="CB27" s="68" vm="16921">
        <f>CUBEVALUE(ConnectionString,ReportMonth,Table1[[#This Row],[Site ID (from DATIM)]],"[Measures].[MMS_90_179_M_A]")</f>
        <v>16</v>
      </c>
      <c r="CC27" s="68" t="str" vm="15472">
        <f>CUBEVALUE(ConnectionString,ReportMonth,Table1[[#This Row],[Site ID (from DATIM)]],"[Measures].[MMS_180+_F_P]")</f>
        <v/>
      </c>
      <c r="CD27" s="68" t="str" vm="15037">
        <f>CUBEVALUE(ConnectionString,ReportMonth,Table1[[#This Row],[Site ID (from DATIM)]],"[Measures].[MMS_180+_M_P]")</f>
        <v/>
      </c>
      <c r="CE27" s="68" t="str" vm="16705">
        <f>CUBEVALUE(ConnectionString,ReportMonth,Table1[[#This Row],[Site ID (from DATIM)]],"[Measures].[MMS_180+_F_A]")</f>
        <v/>
      </c>
      <c r="CF27" s="68" t="str" vm="52">
        <f>CUBEVALUE(ConnectionString,ReportMonth,Table1[[#This Row],[Site ID (from DATIM)]],"[Measures].[MMS_180+_M_A]")</f>
        <v/>
      </c>
      <c r="CG27" s="68" vm="5997">
        <f>CUBEVALUE(ConnectionString,ReportMonth,Table1[[#This Row],[Site ID (from DATIM)]],"[Measures].[MISSEDAPP]")</f>
        <v>88</v>
      </c>
      <c r="CH27" s="68" t="str" vm="13322">
        <f>CUBEVALUE(ConnectionString,ReportMonth,Table1[[#This Row],[Site ID (from DATIM)]],"[Measures].[MMS_180+_P]")</f>
        <v/>
      </c>
      <c r="CI27" s="68" t="str" vm="10219">
        <f>CUBEVALUE(ConnectionString,ReportMonth,Table1[[#This Row],[Site ID (from DATIM)]],"[Measures].[MMS_180+_A]")</f>
        <v/>
      </c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</row>
    <row r="28" spans="1:107" x14ac:dyDescent="0.25">
      <c r="A28" s="66">
        <v>4</v>
      </c>
      <c r="B28" s="67" t="str" vm="4">
        <f t="shared" si="1"/>
        <v>Mar-2021</v>
      </c>
      <c r="C28" s="67"/>
      <c r="D28" s="67" t="s">
        <v>232</v>
      </c>
      <c r="E28" s="67" t="s">
        <v>233</v>
      </c>
      <c r="F28" s="67" t="s">
        <v>437</v>
      </c>
      <c r="G28" s="67"/>
      <c r="H28" s="67" t="s">
        <v>461</v>
      </c>
      <c r="I28" s="67" t="s">
        <v>469</v>
      </c>
      <c r="J28" s="67" t="s">
        <v>470</v>
      </c>
      <c r="K28" s="67" t="s">
        <v>471</v>
      </c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 t="str" vm="3463">
        <f>CUBEVALUE(ConnectionString,ReportMonth,Table1[[#This Row],[Site ID (from DATIM)]],"TX_NEW_2VIS")</f>
        <v/>
      </c>
      <c r="AE28" s="67" t="str" vm="1890">
        <f>CUBEVALUE(ConnectionString,ReportMonth,Table1[[#This Row],[Site ID (from DATIM)]],INDEX(SDI_Measures,1))</f>
        <v/>
      </c>
      <c r="AF28" s="67" t="str" vm="3386">
        <f>CUBEVALUE(ConnectionString,ReportMonth,Table1[[#This Row],[Site ID (from DATIM)]],INDEX(SDI_Measures,2))</f>
        <v/>
      </c>
      <c r="AG28" s="67" t="str" vm="3026">
        <f>CUBEVALUE(ConnectionString,ReportMonth,Table1[[#This Row],[Site ID (from DATIM)]],INDEX(SDI_Measures,3))</f>
        <v/>
      </c>
      <c r="AH28" s="67" t="str" vm="1449">
        <f>CUBEVALUE(ConnectionString,ReportMonth,Table1[[#This Row],[Site ID (from DATIM)]],"TX_CURR_PRIOR_MONTH")</f>
        <v/>
      </c>
      <c r="AI28" s="67" t="str" vm="2531">
        <f>CUBEVALUE(ConnectionString,ReportMonth,Table1[[#This Row],[Site ID (from DATIM)]],"TX_CURR")</f>
        <v/>
      </c>
      <c r="AJ28" s="67" t="str" vm="4042">
        <f>CUBEVALUE(ConnectionString,ReportMonth,Table1[[#This Row],[Site ID (from DATIM)]],"[Measures].[TI]")</f>
        <v/>
      </c>
      <c r="AK28" s="67" t="str" vm="3179">
        <f>CUBEVALUE(ConnectionString,ReportMonth,Table1[[#This Row],[Site ID (from DATIM)]],"[Measures].[TO]")</f>
        <v/>
      </c>
      <c r="AL28" s="67" t="str" vm="4153">
        <f>CUBEVALUE(ConnectionString,ReportMonth,Table1[[#This Row],[Site ID (from DATIM)]],"[Measures].[DIED]")</f>
        <v/>
      </c>
      <c r="AM28" s="67" t="str" vm="4380">
        <f>CUBEVALUE(ConnectionString,ReportMonth,Table1[[#This Row],[Site ID (from DATIM)]],"[Measures].[MMS_01_31]")</f>
        <v/>
      </c>
      <c r="AN28" s="67" t="str" vm="5882">
        <f>CUBEVALUE(ConnectionString,ReportMonth,Table1[[#This Row],[Site ID (from DATIM)]],"[Measures].[MMS_32_62]")</f>
        <v/>
      </c>
      <c r="AO28" s="67" t="str" vm="5407">
        <f>CUBEVALUE(ConnectionString,ReportMonth,Table1[[#This Row],[Site ID (from DATIM)]],"[Measures].[MMS_63+]")</f>
        <v/>
      </c>
      <c r="AP28" s="67" t="str" vm="7611">
        <f>CUBEVALUE(ConnectionString,ReportMonth,Table1[[#This Row],[Site ID (from DATIM)]],"[Measures].[TBPREV_D]")</f>
        <v/>
      </c>
      <c r="AQ28" s="67" t="str" vm="6540">
        <f>CUBEVALUE(ConnectionString,ReportMonth,Table1[[#This Row],[Site ID (from DATIM)]],"[Measures].[TBPREV_N]")</f>
        <v/>
      </c>
      <c r="AR28" s="67" t="str" vm="6065">
        <f>CUBEVALUE(ConnectionString,ReportMonth,Table1[[#This Row],[Site ID (from DATIM)]],"[Measures].[TBPREV_NEW]")</f>
        <v/>
      </c>
      <c r="AS28" s="67" t="str" vm="5601">
        <f>CUBEVALUE(ConnectionString,ReportMonth,Table1[[#This Row],[Site ID (from DATIM)]],"[Measures].[HVL_ELIG_P]")</f>
        <v/>
      </c>
      <c r="AT28" s="67" t="str" vm="9988">
        <f>CUBEVALUE(ConnectionString,ReportMonth,Table1[[#This Row],[Site ID (from DATIM)]],"[Measures].[HVL_D_P]")</f>
        <v/>
      </c>
      <c r="AU28" s="67" t="str" vm="6813">
        <f>CUBEVALUE(ConnectionString,ReportMonth,Table1[[#This Row],[Site ID (from DATIM)]],"[Measures].[HVL_N_P]")</f>
        <v/>
      </c>
      <c r="AV28" s="68" t="str" vm="14156">
        <f>CUBEVALUE(ConnectionString,ReportMonth,Table1[[#This Row],[Site ID (from DATIM)]],"[Measures].[HVL_ELIG_A]")</f>
        <v/>
      </c>
      <c r="AW28" s="68" t="str" vm="9386">
        <f>CUBEVALUE(ConnectionString,ReportMonth,Table1[[#This Row],[Site ID (from DATIM)]],"[Measures].[HVL_D_A]")</f>
        <v/>
      </c>
      <c r="AX28" s="68" t="str" vm="7752">
        <f>CUBEVALUE(ConnectionString,ReportMonth,Table1[[#This Row],[Site ID (from DATIM)]],"[Measures].[HVL_N_A]")</f>
        <v/>
      </c>
      <c r="AY28" s="67"/>
      <c r="AZ28" s="67"/>
      <c r="BA28" s="67"/>
      <c r="BB28" s="67"/>
      <c r="BC28" s="67"/>
      <c r="BD28" s="67"/>
      <c r="BE28" s="67"/>
      <c r="BF28" s="67"/>
      <c r="BG28" s="67" t="str" vm="14842">
        <f>CUBEVALUE(ConnectionString,ReportMonth,Table1[[#This Row],[Site ID (from DATIM)]],"[Measures].[TX_NEW_F_A]")</f>
        <v/>
      </c>
      <c r="BH28" s="67" t="str" vm="14080">
        <f>CUBEVALUE(ConnectionString,ReportMonth,Table1[[#This Row],[Site ID (from DATIM)]],"[Measures].[TX_NEW_M_A]")</f>
        <v/>
      </c>
      <c r="BI28" s="67" t="str" vm="17441">
        <f>CUBEVALUE(ConnectionString,ReportMonth,Table1[[#This Row],[Site ID (from DATIM)]],"[Measures].[TX_NEW_F_P]")</f>
        <v/>
      </c>
      <c r="BJ28" s="68" t="str" vm="13443">
        <f>CUBEVALUE(ConnectionString,ReportMonth,Table1[[#This Row],[Site ID (from DATIM)]],"[Measures].[TX_NEW_M_P]")</f>
        <v/>
      </c>
      <c r="BK28" s="68"/>
      <c r="BL28" s="68"/>
      <c r="BM28" s="68"/>
      <c r="BN28" s="68"/>
      <c r="BO28" s="68"/>
      <c r="BP28" s="68"/>
      <c r="BQ28" s="68" t="str" vm="8595">
        <f>CUBEVALUE(ConnectionString,ReportMonth,Table1[[#This Row],[Site ID (from DATIM)]],"[Measures].[TX_CURR_F_P]")</f>
        <v/>
      </c>
      <c r="BR28" s="68" t="str" vm="7030">
        <f>CUBEVALUE(ConnectionString,ReportMonth,Table1[[#This Row],[Site ID (from DATIM)]],"[Measures].[TX_CURR_M_P]")</f>
        <v/>
      </c>
      <c r="BS28" s="68" t="str" vm="10310">
        <f>CUBEVALUE(ConnectionString,ReportMonth,Table1[[#This Row],[Site ID (from DATIM)]],"[Measures].[TX_CURR_F_A]")</f>
        <v/>
      </c>
      <c r="BT28" s="68" t="str" vm="13997">
        <f>CUBEVALUE(ConnectionString,ReportMonth,Table1[[#This Row],[Site ID (from DATIM)]],"[Measures].[TX_CURR_M_A]")</f>
        <v/>
      </c>
      <c r="BU28" s="68" t="str" vm="20090">
        <f>CUBEVALUE(ConnectionString,ReportMonth,Table1[[#This Row],[Site ID (from DATIM)]],"[Measures].[MMS_01_89_F_P]")</f>
        <v/>
      </c>
      <c r="BV28" s="68" t="str" vm="18088">
        <f>CUBEVALUE(ConnectionString,ReportMonth,Table1[[#This Row],[Site ID (from DATIM)]],"[Measures].[MMS_01_89_M_P]")</f>
        <v/>
      </c>
      <c r="BW28" s="68" t="str" vm="18601">
        <f>CUBEVALUE(ConnectionString,ReportMonth,Table1[[#This Row],[Site ID (from DATIM)]],"[Measures].[MMS_01_89_F_A]")</f>
        <v/>
      </c>
      <c r="BX28" s="68" t="str" vm="16449">
        <f>CUBEVALUE(ConnectionString,ReportMonth,Table1[[#This Row],[Site ID (from DATIM)]],"[Measures].[MMS_01_89_M_A]")</f>
        <v/>
      </c>
      <c r="BY28" s="68" t="str" vm="14777">
        <f>CUBEVALUE(ConnectionString,ReportMonth,Table1[[#This Row],[Site ID (from DATIM)]],"[Measures].[MMS_90_179_F_P]")</f>
        <v/>
      </c>
      <c r="BZ28" s="68" t="str" vm="17845">
        <f>CUBEVALUE(ConnectionString,ReportMonth,Table1[[#This Row],[Site ID (from DATIM)]],"[Measures].[MMS_90_179_M_P]")</f>
        <v/>
      </c>
      <c r="CA28" s="68" t="str" vm="15968">
        <f>CUBEVALUE(ConnectionString,ReportMonth,Table1[[#This Row],[Site ID (from DATIM)]],"[Measures].[MMS_90_179_F_A]")</f>
        <v/>
      </c>
      <c r="CB28" s="68" t="str" vm="17221">
        <f>CUBEVALUE(ConnectionString,ReportMonth,Table1[[#This Row],[Site ID (from DATIM)]],"[Measures].[MMS_90_179_M_A]")</f>
        <v/>
      </c>
      <c r="CC28" s="68" t="str" vm="17588">
        <f>CUBEVALUE(ConnectionString,ReportMonth,Table1[[#This Row],[Site ID (from DATIM)]],"[Measures].[MMS_180+_F_P]")</f>
        <v/>
      </c>
      <c r="CD28" s="68" t="str" vm="16221">
        <f>CUBEVALUE(ConnectionString,ReportMonth,Table1[[#This Row],[Site ID (from DATIM)]],"[Measures].[MMS_180+_M_P]")</f>
        <v/>
      </c>
      <c r="CE28" s="68" t="str" vm="17193">
        <f>CUBEVALUE(ConnectionString,ReportMonth,Table1[[#This Row],[Site ID (from DATIM)]],"[Measures].[MMS_180+_F_A]")</f>
        <v/>
      </c>
      <c r="CF28" s="68" t="str" vm="14896">
        <f>CUBEVALUE(ConnectionString,ReportMonth,Table1[[#This Row],[Site ID (from DATIM)]],"[Measures].[MMS_180+_M_A]")</f>
        <v/>
      </c>
      <c r="CG28" s="68" t="str" vm="5314">
        <f>CUBEVALUE(ConnectionString,ReportMonth,Table1[[#This Row],[Site ID (from DATIM)]],"[Measures].[MISSEDAPP]")</f>
        <v/>
      </c>
      <c r="CH28" s="68" t="str" vm="10646">
        <f>CUBEVALUE(ConnectionString,ReportMonth,Table1[[#This Row],[Site ID (from DATIM)]],"[Measures].[MMS_180+_P]")</f>
        <v/>
      </c>
      <c r="CI28" s="68" t="str" vm="13232">
        <f>CUBEVALUE(ConnectionString,ReportMonth,Table1[[#This Row],[Site ID (from DATIM)]],"[Measures].[MMS_180+_A]")</f>
        <v/>
      </c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</row>
    <row r="29" spans="1:107" x14ac:dyDescent="0.25">
      <c r="A29" s="66">
        <v>4</v>
      </c>
      <c r="B29" s="67" t="str" vm="4">
        <f t="shared" si="1"/>
        <v>Mar-2021</v>
      </c>
      <c r="C29" s="67"/>
      <c r="D29" s="67" t="s">
        <v>232</v>
      </c>
      <c r="E29" s="67" t="s">
        <v>233</v>
      </c>
      <c r="F29" s="67" t="s">
        <v>437</v>
      </c>
      <c r="G29" s="67"/>
      <c r="H29" s="67" t="s">
        <v>461</v>
      </c>
      <c r="I29" s="67" t="s">
        <v>472</v>
      </c>
      <c r="J29" s="67" t="s">
        <v>473</v>
      </c>
      <c r="K29" s="67" t="s">
        <v>474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 t="str" vm="2273">
        <f>CUBEVALUE(ConnectionString,ReportMonth,Table1[[#This Row],[Site ID (from DATIM)]],"TX_NEW_2VIS")</f>
        <v/>
      </c>
      <c r="AE29" s="67" t="str" vm="525">
        <f>CUBEVALUE(ConnectionString,ReportMonth,Table1[[#This Row],[Site ID (from DATIM)]],INDEX(SDI_Measures,1))</f>
        <v/>
      </c>
      <c r="AF29" s="67" t="str" vm="2566">
        <f>CUBEVALUE(ConnectionString,ReportMonth,Table1[[#This Row],[Site ID (from DATIM)]],INDEX(SDI_Measures,2))</f>
        <v/>
      </c>
      <c r="AG29" s="67" t="str" vm="2468">
        <f>CUBEVALUE(ConnectionString,ReportMonth,Table1[[#This Row],[Site ID (from DATIM)]],INDEX(SDI_Measures,3))</f>
        <v/>
      </c>
      <c r="AH29" s="67" vm="1863">
        <f>CUBEVALUE(ConnectionString,ReportMonth,Table1[[#This Row],[Site ID (from DATIM)]],"TX_CURR_PRIOR_MONTH")</f>
        <v>180</v>
      </c>
      <c r="AI29" s="67" vm="2427">
        <f>CUBEVALUE(ConnectionString,ReportMonth,Table1[[#This Row],[Site ID (from DATIM)]],"TX_CURR")</f>
        <v>158</v>
      </c>
      <c r="AJ29" s="67" t="str" vm="3472">
        <f>CUBEVALUE(ConnectionString,ReportMonth,Table1[[#This Row],[Site ID (from DATIM)]],"[Measures].[TI]")</f>
        <v/>
      </c>
      <c r="AK29" s="67" t="str" vm="505">
        <f>CUBEVALUE(ConnectionString,ReportMonth,Table1[[#This Row],[Site ID (from DATIM)]],"[Measures].[TO]")</f>
        <v/>
      </c>
      <c r="AL29" s="67" vm="2274">
        <f>CUBEVALUE(ConnectionString,ReportMonth,Table1[[#This Row],[Site ID (from DATIM)]],"[Measures].[DIED]")</f>
        <v>1</v>
      </c>
      <c r="AM29" s="67" vm="4082">
        <f>CUBEVALUE(ConnectionString,ReportMonth,Table1[[#This Row],[Site ID (from DATIM)]],"[Measures].[MMS_01_31]")</f>
        <v>36</v>
      </c>
      <c r="AN29" s="67" vm="5970">
        <f>CUBEVALUE(ConnectionString,ReportMonth,Table1[[#This Row],[Site ID (from DATIM)]],"[Measures].[MMS_32_62]")</f>
        <v>2</v>
      </c>
      <c r="AO29" s="67" vm="5182">
        <f>CUBEVALUE(ConnectionString,ReportMonth,Table1[[#This Row],[Site ID (from DATIM)]],"[Measures].[MMS_63+]")</f>
        <v>120</v>
      </c>
      <c r="AP29" s="67" vm="6081">
        <f>CUBEVALUE(ConnectionString,ReportMonth,Table1[[#This Row],[Site ID (from DATIM)]],"[Measures].[TBPREV_D]")</f>
        <v>8</v>
      </c>
      <c r="AQ29" s="67" vm="4829">
        <f>CUBEVALUE(ConnectionString,ReportMonth,Table1[[#This Row],[Site ID (from DATIM)]],"[Measures].[TBPREV_N]")</f>
        <v>4</v>
      </c>
      <c r="AR29" s="67" t="str" vm="6645">
        <f>CUBEVALUE(ConnectionString,ReportMonth,Table1[[#This Row],[Site ID (from DATIM)]],"[Measures].[TBPREV_NEW]")</f>
        <v/>
      </c>
      <c r="AS29" s="67" vm="11040">
        <f>CUBEVALUE(ConnectionString,ReportMonth,Table1[[#This Row],[Site ID (from DATIM)]],"[Measures].[HVL_ELIG_P]")</f>
        <v>12</v>
      </c>
      <c r="AT29" s="67" vm="7837">
        <f>CUBEVALUE(ConnectionString,ReportMonth,Table1[[#This Row],[Site ID (from DATIM)]],"[Measures].[HVL_D_P]")</f>
        <v>9</v>
      </c>
      <c r="AU29" s="67" vm="10567">
        <f>CUBEVALUE(ConnectionString,ReportMonth,Table1[[#This Row],[Site ID (from DATIM)]],"[Measures].[HVL_N_P]")</f>
        <v>7</v>
      </c>
      <c r="AV29" s="68" vm="11136">
        <f>CUBEVALUE(ConnectionString,ReportMonth,Table1[[#This Row],[Site ID (from DATIM)]],"[Measures].[HVL_ELIG_A]")</f>
        <v>133</v>
      </c>
      <c r="AW29" s="68" vm="7298">
        <f>CUBEVALUE(ConnectionString,ReportMonth,Table1[[#This Row],[Site ID (from DATIM)]],"[Measures].[HVL_D_A]")</f>
        <v>83</v>
      </c>
      <c r="AX29" s="68" vm="8028">
        <f>CUBEVALUE(ConnectionString,ReportMonth,Table1[[#This Row],[Site ID (from DATIM)]],"[Measures].[HVL_N_A]")</f>
        <v>70</v>
      </c>
      <c r="AY29" s="67"/>
      <c r="AZ29" s="67"/>
      <c r="BA29" s="67"/>
      <c r="BB29" s="67"/>
      <c r="BC29" s="67"/>
      <c r="BD29" s="67"/>
      <c r="BE29" s="67"/>
      <c r="BF29" s="67"/>
      <c r="BG29" s="67" t="str" vm="13212">
        <f>CUBEVALUE(ConnectionString,ReportMonth,Table1[[#This Row],[Site ID (from DATIM)]],"[Measures].[TX_NEW_F_A]")</f>
        <v/>
      </c>
      <c r="BH29" s="67" t="str" vm="12901">
        <f>CUBEVALUE(ConnectionString,ReportMonth,Table1[[#This Row],[Site ID (from DATIM)]],"[Measures].[TX_NEW_M_A]")</f>
        <v/>
      </c>
      <c r="BI29" s="67" t="str" vm="17422">
        <f>CUBEVALUE(ConnectionString,ReportMonth,Table1[[#This Row],[Site ID (from DATIM)]],"[Measures].[TX_NEW_F_P]")</f>
        <v/>
      </c>
      <c r="BJ29" s="68" t="str" vm="16543">
        <f>CUBEVALUE(ConnectionString,ReportMonth,Table1[[#This Row],[Site ID (from DATIM)]],"[Measures].[TX_NEW_M_P]")</f>
        <v/>
      </c>
      <c r="BK29" s="68"/>
      <c r="BL29" s="68"/>
      <c r="BM29" s="68"/>
      <c r="BN29" s="68"/>
      <c r="BO29" s="68"/>
      <c r="BP29" s="68"/>
      <c r="BQ29" s="68" vm="7930">
        <f>CUBEVALUE(ConnectionString,ReportMonth,Table1[[#This Row],[Site ID (from DATIM)]],"[Measures].[TX_CURR_F_P]")</f>
        <v>7</v>
      </c>
      <c r="BR29" s="68" vm="8142">
        <f>CUBEVALUE(ConnectionString,ReportMonth,Table1[[#This Row],[Site ID (from DATIM)]],"[Measures].[TX_CURR_M_P]")</f>
        <v>6</v>
      </c>
      <c r="BS29" s="68" vm="11220">
        <f>CUBEVALUE(ConnectionString,ReportMonth,Table1[[#This Row],[Site ID (from DATIM)]],"[Measures].[TX_CURR_F_A]")</f>
        <v>108</v>
      </c>
      <c r="BT29" s="68" vm="12071">
        <f>CUBEVALUE(ConnectionString,ReportMonth,Table1[[#This Row],[Site ID (from DATIM)]],"[Measures].[TX_CURR_M_A]")</f>
        <v>37</v>
      </c>
      <c r="BU29" s="68" vm="18408">
        <f>CUBEVALUE(ConnectionString,ReportMonth,Table1[[#This Row],[Site ID (from DATIM)]],"[Measures].[MMS_01_89_F_P]")</f>
        <v>6</v>
      </c>
      <c r="BV29" s="68" vm="18087">
        <f>CUBEVALUE(ConnectionString,ReportMonth,Table1[[#This Row],[Site ID (from DATIM)]],"[Measures].[MMS_01_89_M_P]")</f>
        <v>6</v>
      </c>
      <c r="BW29" s="68" vm="18248">
        <f>CUBEVALUE(ConnectionString,ReportMonth,Table1[[#This Row],[Site ID (from DATIM)]],"[Measures].[MMS_01_89_F_A]")</f>
        <v>22</v>
      </c>
      <c r="BX29" s="68" vm="18886">
        <f>CUBEVALUE(ConnectionString,ReportMonth,Table1[[#This Row],[Site ID (from DATIM)]],"[Measures].[MMS_01_89_M_A]")</f>
        <v>5</v>
      </c>
      <c r="BY29" s="68" vm="19347">
        <f>CUBEVALUE(ConnectionString,ReportMonth,Table1[[#This Row],[Site ID (from DATIM)]],"[Measures].[MMS_90_179_F_P]")</f>
        <v>1</v>
      </c>
      <c r="BZ29" s="68" t="str" vm="16885">
        <f>CUBEVALUE(ConnectionString,ReportMonth,Table1[[#This Row],[Site ID (from DATIM)]],"[Measures].[MMS_90_179_M_P]")</f>
        <v/>
      </c>
      <c r="CA29" s="68" vm="17738">
        <f>CUBEVALUE(ConnectionString,ReportMonth,Table1[[#This Row],[Site ID (from DATIM)]],"[Measures].[MMS_90_179_F_A]")</f>
        <v>86</v>
      </c>
      <c r="CB29" s="68" vm="16813">
        <f>CUBEVALUE(ConnectionString,ReportMonth,Table1[[#This Row],[Site ID (from DATIM)]],"[Measures].[MMS_90_179_M_A]")</f>
        <v>32</v>
      </c>
      <c r="CC29" s="68" t="str" vm="17619">
        <f>CUBEVALUE(ConnectionString,ReportMonth,Table1[[#This Row],[Site ID (from DATIM)]],"[Measures].[MMS_180+_F_P]")</f>
        <v/>
      </c>
      <c r="CD29" s="68" t="str" vm="14910">
        <f>CUBEVALUE(ConnectionString,ReportMonth,Table1[[#This Row],[Site ID (from DATIM)]],"[Measures].[MMS_180+_M_P]")</f>
        <v/>
      </c>
      <c r="CE29" s="68" t="str" vm="16250">
        <f>CUBEVALUE(ConnectionString,ReportMonth,Table1[[#This Row],[Site ID (from DATIM)]],"[Measures].[MMS_180+_F_A]")</f>
        <v/>
      </c>
      <c r="CF29" s="68" t="str" vm="124">
        <f>CUBEVALUE(ConnectionString,ReportMonth,Table1[[#This Row],[Site ID (from DATIM)]],"[Measures].[MMS_180+_M_A]")</f>
        <v/>
      </c>
      <c r="CG29" s="68" vm="5190">
        <f>CUBEVALUE(ConnectionString,ReportMonth,Table1[[#This Row],[Site ID (from DATIM)]],"[Measures].[MISSEDAPP]")</f>
        <v>51</v>
      </c>
      <c r="CH29" s="68" t="str" vm="9024">
        <f>CUBEVALUE(ConnectionString,ReportMonth,Table1[[#This Row],[Site ID (from DATIM)]],"[Measures].[MMS_180+_P]")</f>
        <v/>
      </c>
      <c r="CI29" s="68" t="str" vm="12003">
        <f>CUBEVALUE(ConnectionString,ReportMonth,Table1[[#This Row],[Site ID (from DATIM)]],"[Measures].[MMS_180+_A]")</f>
        <v/>
      </c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  <c r="CW29" s="68"/>
      <c r="CX29" s="68"/>
      <c r="CY29" s="68"/>
      <c r="CZ29" s="68"/>
      <c r="DA29" s="68"/>
      <c r="DB29" s="68"/>
      <c r="DC29" s="68"/>
    </row>
    <row r="30" spans="1:107" x14ac:dyDescent="0.25">
      <c r="A30" s="66">
        <v>4</v>
      </c>
      <c r="B30" s="67" t="str" vm="4">
        <f t="shared" si="1"/>
        <v>Mar-2021</v>
      </c>
      <c r="C30" s="67"/>
      <c r="D30" s="67" t="s">
        <v>232</v>
      </c>
      <c r="E30" s="67" t="s">
        <v>233</v>
      </c>
      <c r="F30" s="67" t="s">
        <v>1083</v>
      </c>
      <c r="G30" s="67"/>
      <c r="H30" s="67" t="s">
        <v>1084</v>
      </c>
      <c r="I30" s="67" t="s">
        <v>1110</v>
      </c>
      <c r="J30" s="67" t="s">
        <v>1111</v>
      </c>
      <c r="K30" s="67" t="s">
        <v>1112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 vm="449">
        <f>CUBEVALUE(ConnectionString,ReportMonth,Table1[[#This Row],[Site ID (from DATIM)]],"TX_NEW_2VIS")</f>
        <v>1</v>
      </c>
      <c r="AE30" s="67" t="str" vm="535">
        <f>CUBEVALUE(ConnectionString,ReportMonth,Table1[[#This Row],[Site ID (from DATIM)]],INDEX(SDI_Measures,1))</f>
        <v/>
      </c>
      <c r="AF30" s="67" t="str" vm="4484">
        <f>CUBEVALUE(ConnectionString,ReportMonth,Table1[[#This Row],[Site ID (from DATIM)]],INDEX(SDI_Measures,2))</f>
        <v/>
      </c>
      <c r="AG30" s="67" t="str" vm="2252">
        <f>CUBEVALUE(ConnectionString,ReportMonth,Table1[[#This Row],[Site ID (from DATIM)]],INDEX(SDI_Measures,3))</f>
        <v/>
      </c>
      <c r="AH30" s="67" vm="3010">
        <f>CUBEVALUE(ConnectionString,ReportMonth,Table1[[#This Row],[Site ID (from DATIM)]],"TX_CURR_PRIOR_MONTH")</f>
        <v>18</v>
      </c>
      <c r="AI30" s="67" vm="737">
        <f>CUBEVALUE(ConnectionString,ReportMonth,Table1[[#This Row],[Site ID (from DATIM)]],"TX_CURR")</f>
        <v>17</v>
      </c>
      <c r="AJ30" s="67" t="str" vm="2407">
        <f>CUBEVALUE(ConnectionString,ReportMonth,Table1[[#This Row],[Site ID (from DATIM)]],"[Measures].[TI]")</f>
        <v/>
      </c>
      <c r="AK30" s="67" t="str" vm="2133">
        <f>CUBEVALUE(ConnectionString,ReportMonth,Table1[[#This Row],[Site ID (from DATIM)]],"[Measures].[TO]")</f>
        <v/>
      </c>
      <c r="AL30" s="67" t="str" vm="2382">
        <f>CUBEVALUE(ConnectionString,ReportMonth,Table1[[#This Row],[Site ID (from DATIM)]],"[Measures].[DIED]")</f>
        <v/>
      </c>
      <c r="AM30" s="67" vm="3547">
        <f>CUBEVALUE(ConnectionString,ReportMonth,Table1[[#This Row],[Site ID (from DATIM)]],"[Measures].[MMS_01_31]")</f>
        <v>17</v>
      </c>
      <c r="AN30" s="67" t="str" vm="9699">
        <f>CUBEVALUE(ConnectionString,ReportMonth,Table1[[#This Row],[Site ID (from DATIM)]],"[Measures].[MMS_32_62]")</f>
        <v/>
      </c>
      <c r="AO30" s="67" t="str" vm="4933">
        <f>CUBEVALUE(ConnectionString,ReportMonth,Table1[[#This Row],[Site ID (from DATIM)]],"[Measures].[MMS_63+]")</f>
        <v/>
      </c>
      <c r="AP30" s="67" t="str" vm="4185">
        <f>CUBEVALUE(ConnectionString,ReportMonth,Table1[[#This Row],[Site ID (from DATIM)]],"[Measures].[TBPREV_D]")</f>
        <v/>
      </c>
      <c r="AQ30" s="67" t="str" vm="5668">
        <f>CUBEVALUE(ConnectionString,ReportMonth,Table1[[#This Row],[Site ID (from DATIM)]],"[Measures].[TBPREV_N]")</f>
        <v/>
      </c>
      <c r="AR30" s="67" t="str" vm="5164">
        <f>CUBEVALUE(ConnectionString,ReportMonth,Table1[[#This Row],[Site ID (from DATIM)]],"[Measures].[TBPREV_NEW]")</f>
        <v/>
      </c>
      <c r="AS30" s="67" t="str" vm="4636">
        <f>CUBEVALUE(ConnectionString,ReportMonth,Table1[[#This Row],[Site ID (from DATIM)]],"[Measures].[HVL_ELIG_P]")</f>
        <v/>
      </c>
      <c r="AT30" s="67" t="str" vm="7041">
        <f>CUBEVALUE(ConnectionString,ReportMonth,Table1[[#This Row],[Site ID (from DATIM)]],"[Measures].[HVL_D_P]")</f>
        <v/>
      </c>
      <c r="AU30" s="67" t="str" vm="10583">
        <f>CUBEVALUE(ConnectionString,ReportMonth,Table1[[#This Row],[Site ID (from DATIM)]],"[Measures].[HVL_N_P]")</f>
        <v/>
      </c>
      <c r="AV30" s="68" vm="8866">
        <f>CUBEVALUE(ConnectionString,ReportMonth,Table1[[#This Row],[Site ID (from DATIM)]],"[Measures].[HVL_ELIG_A]")</f>
        <v>11</v>
      </c>
      <c r="AW30" s="68" vm="6588">
        <f>CUBEVALUE(ConnectionString,ReportMonth,Table1[[#This Row],[Site ID (from DATIM)]],"[Measures].[HVL_D_A]")</f>
        <v>4</v>
      </c>
      <c r="AX30" s="68" vm="11373">
        <f>CUBEVALUE(ConnectionString,ReportMonth,Table1[[#This Row],[Site ID (from DATIM)]],"[Measures].[HVL_N_A]")</f>
        <v>4</v>
      </c>
      <c r="AY30" s="67"/>
      <c r="AZ30" s="67"/>
      <c r="BA30" s="67"/>
      <c r="BB30" s="67"/>
      <c r="BC30" s="67"/>
      <c r="BD30" s="67"/>
      <c r="BE30" s="67"/>
      <c r="BF30" s="67"/>
      <c r="BG30" s="67" t="str" vm="11235">
        <f>CUBEVALUE(ConnectionString,ReportMonth,Table1[[#This Row],[Site ID (from DATIM)]],"[Measures].[TX_NEW_F_A]")</f>
        <v/>
      </c>
      <c r="BH30" s="67" t="str" vm="13900">
        <f>CUBEVALUE(ConnectionString,ReportMonth,Table1[[#This Row],[Site ID (from DATIM)]],"[Measures].[TX_NEW_M_A]")</f>
        <v/>
      </c>
      <c r="BI30" s="67" t="str" vm="14334">
        <f>CUBEVALUE(ConnectionString,ReportMonth,Table1[[#This Row],[Site ID (from DATIM)]],"[Measures].[TX_NEW_F_P]")</f>
        <v/>
      </c>
      <c r="BJ30" s="68" t="str" vm="12842">
        <f>CUBEVALUE(ConnectionString,ReportMonth,Table1[[#This Row],[Site ID (from DATIM)]],"[Measures].[TX_NEW_M_P]")</f>
        <v/>
      </c>
      <c r="BK30" s="68"/>
      <c r="BL30" s="68"/>
      <c r="BM30" s="68"/>
      <c r="BN30" s="68"/>
      <c r="BO30" s="68"/>
      <c r="BP30" s="68"/>
      <c r="BQ30" s="68" t="str" vm="8373">
        <f>CUBEVALUE(ConnectionString,ReportMonth,Table1[[#This Row],[Site ID (from DATIM)]],"[Measures].[TX_CURR_F_P]")</f>
        <v/>
      </c>
      <c r="BR30" s="68" t="str" vm="8285">
        <f>CUBEVALUE(ConnectionString,ReportMonth,Table1[[#This Row],[Site ID (from DATIM)]],"[Measures].[TX_CURR_M_P]")</f>
        <v/>
      </c>
      <c r="BS30" s="68" vm="12202">
        <f>CUBEVALUE(ConnectionString,ReportMonth,Table1[[#This Row],[Site ID (from DATIM)]],"[Measures].[TX_CURR_F_A]")</f>
        <v>17</v>
      </c>
      <c r="BT30" s="68" t="str" vm="10414">
        <f>CUBEVALUE(ConnectionString,ReportMonth,Table1[[#This Row],[Site ID (from DATIM)]],"[Measures].[TX_CURR_M_A]")</f>
        <v/>
      </c>
      <c r="BU30" s="68" t="str" vm="18354">
        <f>CUBEVALUE(ConnectionString,ReportMonth,Table1[[#This Row],[Site ID (from DATIM)]],"[Measures].[MMS_01_89_F_P]")</f>
        <v/>
      </c>
      <c r="BV30" s="68" t="str" vm="19706">
        <f>CUBEVALUE(ConnectionString,ReportMonth,Table1[[#This Row],[Site ID (from DATIM)]],"[Measures].[MMS_01_89_M_P]")</f>
        <v/>
      </c>
      <c r="BW30" s="68" vm="18294">
        <f>CUBEVALUE(ConnectionString,ReportMonth,Table1[[#This Row],[Site ID (from DATIM)]],"[Measures].[MMS_01_89_F_A]")</f>
        <v>17</v>
      </c>
      <c r="BX30" s="68" t="str" vm="18967">
        <f>CUBEVALUE(ConnectionString,ReportMonth,Table1[[#This Row],[Site ID (from DATIM)]],"[Measures].[MMS_01_89_M_A]")</f>
        <v/>
      </c>
      <c r="BY30" s="68" t="str" vm="19331">
        <f>CUBEVALUE(ConnectionString,ReportMonth,Table1[[#This Row],[Site ID (from DATIM)]],"[Measures].[MMS_90_179_F_P]")</f>
        <v/>
      </c>
      <c r="BZ30" s="68" t="str" vm="19118">
        <f>CUBEVALUE(ConnectionString,ReportMonth,Table1[[#This Row],[Site ID (from DATIM)]],"[Measures].[MMS_90_179_M_P]")</f>
        <v/>
      </c>
      <c r="CA30" s="68" t="str" vm="15119">
        <f>CUBEVALUE(ConnectionString,ReportMonth,Table1[[#This Row],[Site ID (from DATIM)]],"[Measures].[MMS_90_179_F_A]")</f>
        <v/>
      </c>
      <c r="CB30" s="68" t="str" vm="15179">
        <f>CUBEVALUE(ConnectionString,ReportMonth,Table1[[#This Row],[Site ID (from DATIM)]],"[Measures].[MMS_90_179_M_A]")</f>
        <v/>
      </c>
      <c r="CC30" s="68" t="str" vm="15106">
        <f>CUBEVALUE(ConnectionString,ReportMonth,Table1[[#This Row],[Site ID (from DATIM)]],"[Measures].[MMS_180+_F_P]")</f>
        <v/>
      </c>
      <c r="CD30" s="68" t="str" vm="15374">
        <f>CUBEVALUE(ConnectionString,ReportMonth,Table1[[#This Row],[Site ID (from DATIM)]],"[Measures].[MMS_180+_M_P]")</f>
        <v/>
      </c>
      <c r="CE30" s="68" t="str" vm="14510">
        <f>CUBEVALUE(ConnectionString,ReportMonth,Table1[[#This Row],[Site ID (from DATIM)]],"[Measures].[MMS_180+_F_A]")</f>
        <v/>
      </c>
      <c r="CF30" s="68" t="str" vm="312">
        <f>CUBEVALUE(ConnectionString,ReportMonth,Table1[[#This Row],[Site ID (from DATIM)]],"[Measures].[MMS_180+_M_A]")</f>
        <v/>
      </c>
      <c r="CG30" s="68" vm="9104">
        <f>CUBEVALUE(ConnectionString,ReportMonth,Table1[[#This Row],[Site ID (from DATIM)]],"[Measures].[MISSEDAPP]")</f>
        <v>14</v>
      </c>
      <c r="CH30" s="68" t="str" vm="13938">
        <f>CUBEVALUE(ConnectionString,ReportMonth,Table1[[#This Row],[Site ID (from DATIM)]],"[Measures].[MMS_180+_P]")</f>
        <v/>
      </c>
      <c r="CI30" s="68" t="str" vm="13330">
        <f>CUBEVALUE(ConnectionString,ReportMonth,Table1[[#This Row],[Site ID (from DATIM)]],"[Measures].[MMS_180+_A]")</f>
        <v/>
      </c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</row>
    <row r="31" spans="1:107" x14ac:dyDescent="0.25">
      <c r="A31" s="66">
        <v>4</v>
      </c>
      <c r="B31" s="67" t="str" vm="4">
        <f t="shared" si="1"/>
        <v>Mar-2021</v>
      </c>
      <c r="C31" s="67"/>
      <c r="D31" s="67" t="s">
        <v>232</v>
      </c>
      <c r="E31" s="67" t="s">
        <v>233</v>
      </c>
      <c r="F31" s="67" t="s">
        <v>831</v>
      </c>
      <c r="G31" s="67"/>
      <c r="H31" s="67" t="s">
        <v>840</v>
      </c>
      <c r="I31" s="67" t="s">
        <v>841</v>
      </c>
      <c r="J31" s="67" t="s">
        <v>842</v>
      </c>
      <c r="K31" s="67" t="s">
        <v>843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 t="str" vm="4065">
        <f>CUBEVALUE(ConnectionString,ReportMonth,Table1[[#This Row],[Site ID (from DATIM)]],"TX_NEW_2VIS")</f>
        <v/>
      </c>
      <c r="AE31" s="67" t="str" vm="2573">
        <f>CUBEVALUE(ConnectionString,ReportMonth,Table1[[#This Row],[Site ID (from DATIM)]],INDEX(SDI_Measures,1))</f>
        <v/>
      </c>
      <c r="AF31" s="67" t="str" vm="1326">
        <f>CUBEVALUE(ConnectionString,ReportMonth,Table1[[#This Row],[Site ID (from DATIM)]],INDEX(SDI_Measures,2))</f>
        <v/>
      </c>
      <c r="AG31" s="67" t="str" vm="2930">
        <f>CUBEVALUE(ConnectionString,ReportMonth,Table1[[#This Row],[Site ID (from DATIM)]],INDEX(SDI_Measures,3))</f>
        <v/>
      </c>
      <c r="AH31" s="67" vm="2266">
        <f>CUBEVALUE(ConnectionString,ReportMonth,Table1[[#This Row],[Site ID (from DATIM)]],"TX_CURR_PRIOR_MONTH")</f>
        <v>43</v>
      </c>
      <c r="AI31" s="67" t="str" vm="576">
        <f>CUBEVALUE(ConnectionString,ReportMonth,Table1[[#This Row],[Site ID (from DATIM)]],"TX_CURR")</f>
        <v/>
      </c>
      <c r="AJ31" s="67" t="str" vm="3916">
        <f>CUBEVALUE(ConnectionString,ReportMonth,Table1[[#This Row],[Site ID (from DATIM)]],"[Measures].[TI]")</f>
        <v/>
      </c>
      <c r="AK31" s="67" t="str" vm="2421">
        <f>CUBEVALUE(ConnectionString,ReportMonth,Table1[[#This Row],[Site ID (from DATIM)]],"[Measures].[TO]")</f>
        <v/>
      </c>
      <c r="AL31" s="67" t="str" vm="2897">
        <f>CUBEVALUE(ConnectionString,ReportMonth,Table1[[#This Row],[Site ID (from DATIM)]],"[Measures].[DIED]")</f>
        <v/>
      </c>
      <c r="AM31" s="67" t="str" vm="8494">
        <f>CUBEVALUE(ConnectionString,ReportMonth,Table1[[#This Row],[Site ID (from DATIM)]],"[Measures].[MMS_01_31]")</f>
        <v/>
      </c>
      <c r="AN31" s="67" t="str" vm="4857">
        <f>CUBEVALUE(ConnectionString,ReportMonth,Table1[[#This Row],[Site ID (from DATIM)]],"[Measures].[MMS_32_62]")</f>
        <v/>
      </c>
      <c r="AO31" s="67" t="str" vm="4876">
        <f>CUBEVALUE(ConnectionString,ReportMonth,Table1[[#This Row],[Site ID (from DATIM)]],"[Measures].[MMS_63+]")</f>
        <v/>
      </c>
      <c r="AP31" s="67" vm="6636">
        <f>CUBEVALUE(ConnectionString,ReportMonth,Table1[[#This Row],[Site ID (from DATIM)]],"[Measures].[TBPREV_D]")</f>
        <v>4</v>
      </c>
      <c r="AQ31" s="67" t="str" vm="8112">
        <f>CUBEVALUE(ConnectionString,ReportMonth,Table1[[#This Row],[Site ID (from DATIM)]],"[Measures].[TBPREV_N]")</f>
        <v/>
      </c>
      <c r="AR31" s="67" t="str" vm="5728">
        <f>CUBEVALUE(ConnectionString,ReportMonth,Table1[[#This Row],[Site ID (from DATIM)]],"[Measures].[TBPREV_NEW]")</f>
        <v/>
      </c>
      <c r="AS31" s="67" t="str" vm="4788">
        <f>CUBEVALUE(ConnectionString,ReportMonth,Table1[[#This Row],[Site ID (from DATIM)]],"[Measures].[HVL_ELIG_P]")</f>
        <v/>
      </c>
      <c r="AT31" s="67" vm="10046">
        <f>CUBEVALUE(ConnectionString,ReportMonth,Table1[[#This Row],[Site ID (from DATIM)]],"[Measures].[HVL_D_P]")</f>
        <v>13</v>
      </c>
      <c r="AU31" s="67" vm="11250">
        <f>CUBEVALUE(ConnectionString,ReportMonth,Table1[[#This Row],[Site ID (from DATIM)]],"[Measures].[HVL_N_P]")</f>
        <v>7</v>
      </c>
      <c r="AV31" s="68" t="str" vm="9323">
        <f>CUBEVALUE(ConnectionString,ReportMonth,Table1[[#This Row],[Site ID (from DATIM)]],"[Measures].[HVL_ELIG_A]")</f>
        <v/>
      </c>
      <c r="AW31" s="68" vm="8439">
        <f>CUBEVALUE(ConnectionString,ReportMonth,Table1[[#This Row],[Site ID (from DATIM)]],"[Measures].[HVL_D_A]")</f>
        <v>111</v>
      </c>
      <c r="AX31" s="68" vm="11131">
        <f>CUBEVALUE(ConnectionString,ReportMonth,Table1[[#This Row],[Site ID (from DATIM)]],"[Measures].[HVL_N_A]")</f>
        <v>98</v>
      </c>
      <c r="AY31" s="67"/>
      <c r="AZ31" s="67"/>
      <c r="BA31" s="67"/>
      <c r="BB31" s="67"/>
      <c r="BC31" s="67"/>
      <c r="BD31" s="67"/>
      <c r="BE31" s="67"/>
      <c r="BF31" s="67"/>
      <c r="BG31" s="67" t="str" vm="13968">
        <f>CUBEVALUE(ConnectionString,ReportMonth,Table1[[#This Row],[Site ID (from DATIM)]],"[Measures].[TX_NEW_F_A]")</f>
        <v/>
      </c>
      <c r="BH31" s="67" t="str" vm="16609">
        <f>CUBEVALUE(ConnectionString,ReportMonth,Table1[[#This Row],[Site ID (from DATIM)]],"[Measures].[TX_NEW_M_A]")</f>
        <v/>
      </c>
      <c r="BI31" s="67" t="str" vm="17388">
        <f>CUBEVALUE(ConnectionString,ReportMonth,Table1[[#This Row],[Site ID (from DATIM)]],"[Measures].[TX_NEW_F_P]")</f>
        <v/>
      </c>
      <c r="BJ31" s="68" t="str" vm="16598">
        <f>CUBEVALUE(ConnectionString,ReportMonth,Table1[[#This Row],[Site ID (from DATIM)]],"[Measures].[TX_NEW_M_P]")</f>
        <v/>
      </c>
      <c r="BK31" s="68"/>
      <c r="BL31" s="68"/>
      <c r="BM31" s="68"/>
      <c r="BN31" s="68"/>
      <c r="BO31" s="68"/>
      <c r="BP31" s="68"/>
      <c r="BQ31" s="68" t="str" vm="8135">
        <f>CUBEVALUE(ConnectionString,ReportMonth,Table1[[#This Row],[Site ID (from DATIM)]],"[Measures].[TX_CURR_F_P]")</f>
        <v/>
      </c>
      <c r="BR31" s="68" t="str" vm="9132">
        <f>CUBEVALUE(ConnectionString,ReportMonth,Table1[[#This Row],[Site ID (from DATIM)]],"[Measures].[TX_CURR_M_P]")</f>
        <v/>
      </c>
      <c r="BS31" s="68" t="str" vm="11633">
        <f>CUBEVALUE(ConnectionString,ReportMonth,Table1[[#This Row],[Site ID (from DATIM)]],"[Measures].[TX_CURR_F_A]")</f>
        <v/>
      </c>
      <c r="BT31" s="68" t="str" vm="8520">
        <f>CUBEVALUE(ConnectionString,ReportMonth,Table1[[#This Row],[Site ID (from DATIM)]],"[Measures].[TX_CURR_M_A]")</f>
        <v/>
      </c>
      <c r="BU31" s="68" t="str" vm="18675">
        <f>CUBEVALUE(ConnectionString,ReportMonth,Table1[[#This Row],[Site ID (from DATIM)]],"[Measures].[MMS_01_89_F_P]")</f>
        <v/>
      </c>
      <c r="BV31" s="68" t="str" vm="18925">
        <f>CUBEVALUE(ConnectionString,ReportMonth,Table1[[#This Row],[Site ID (from DATIM)]],"[Measures].[MMS_01_89_M_P]")</f>
        <v/>
      </c>
      <c r="BW31" s="68" t="str" vm="20073">
        <f>CUBEVALUE(ConnectionString,ReportMonth,Table1[[#This Row],[Site ID (from DATIM)]],"[Measures].[MMS_01_89_F_A]")</f>
        <v/>
      </c>
      <c r="BX31" s="68" t="str" vm="19930">
        <f>CUBEVALUE(ConnectionString,ReportMonth,Table1[[#This Row],[Site ID (from DATIM)]],"[Measures].[MMS_01_89_M_A]")</f>
        <v/>
      </c>
      <c r="BY31" s="68" t="str" vm="19637">
        <f>CUBEVALUE(ConnectionString,ReportMonth,Table1[[#This Row],[Site ID (from DATIM)]],"[Measures].[MMS_90_179_F_P]")</f>
        <v/>
      </c>
      <c r="BZ31" s="68" t="str" vm="16525">
        <f>CUBEVALUE(ConnectionString,ReportMonth,Table1[[#This Row],[Site ID (from DATIM)]],"[Measures].[MMS_90_179_M_P]")</f>
        <v/>
      </c>
      <c r="CA31" s="68" t="str" vm="17354">
        <f>CUBEVALUE(ConnectionString,ReportMonth,Table1[[#This Row],[Site ID (from DATIM)]],"[Measures].[MMS_90_179_F_A]")</f>
        <v/>
      </c>
      <c r="CB31" s="68" t="str" vm="15852">
        <f>CUBEVALUE(ConnectionString,ReportMonth,Table1[[#This Row],[Site ID (from DATIM)]],"[Measures].[MMS_90_179_M_A]")</f>
        <v/>
      </c>
      <c r="CC31" s="68" t="str" vm="17591">
        <f>CUBEVALUE(ConnectionString,ReportMonth,Table1[[#This Row],[Site ID (from DATIM)]],"[Measures].[MMS_180+_F_P]")</f>
        <v/>
      </c>
      <c r="CD31" s="68" t="str" vm="14968">
        <f>CUBEVALUE(ConnectionString,ReportMonth,Table1[[#This Row],[Site ID (from DATIM)]],"[Measures].[MMS_180+_M_P]")</f>
        <v/>
      </c>
      <c r="CE31" s="68" t="str" vm="14962">
        <f>CUBEVALUE(ConnectionString,ReportMonth,Table1[[#This Row],[Site ID (from DATIM)]],"[Measures].[MMS_180+_F_A]")</f>
        <v/>
      </c>
      <c r="CF31" s="68" t="str" vm="70">
        <f>CUBEVALUE(ConnectionString,ReportMonth,Table1[[#This Row],[Site ID (from DATIM)]],"[Measures].[MMS_180+_M_A]")</f>
        <v/>
      </c>
      <c r="CG31" s="68" t="str" vm="6166">
        <f>CUBEVALUE(ConnectionString,ReportMonth,Table1[[#This Row],[Site ID (from DATIM)]],"[Measures].[MISSEDAPP]")</f>
        <v/>
      </c>
      <c r="CH31" s="68" t="str" vm="12261">
        <f>CUBEVALUE(ConnectionString,ReportMonth,Table1[[#This Row],[Site ID (from DATIM)]],"[Measures].[MMS_180+_P]")</f>
        <v/>
      </c>
      <c r="CI31" s="68" t="str" vm="10957">
        <f>CUBEVALUE(ConnectionString,ReportMonth,Table1[[#This Row],[Site ID (from DATIM)]],"[Measures].[MMS_180+_A]")</f>
        <v/>
      </c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</row>
    <row r="32" spans="1:107" x14ac:dyDescent="0.25">
      <c r="A32" s="66">
        <v>4</v>
      </c>
      <c r="B32" s="67" t="str" vm="4">
        <f t="shared" si="1"/>
        <v>Mar-2021</v>
      </c>
      <c r="C32" s="67"/>
      <c r="D32" s="67" t="s">
        <v>232</v>
      </c>
      <c r="E32" s="67" t="s">
        <v>233</v>
      </c>
      <c r="F32" s="67" t="s">
        <v>1083</v>
      </c>
      <c r="G32" s="67"/>
      <c r="H32" s="67" t="s">
        <v>1113</v>
      </c>
      <c r="I32" s="67" t="s">
        <v>1114</v>
      </c>
      <c r="J32" s="67" t="s">
        <v>1115</v>
      </c>
      <c r="K32" s="67" t="s">
        <v>1116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 t="str" vm="1790">
        <f>CUBEVALUE(ConnectionString,ReportMonth,Table1[[#This Row],[Site ID (from DATIM)]],"TX_NEW_2VIS")</f>
        <v/>
      </c>
      <c r="AE32" s="67" t="str" vm="768">
        <f>CUBEVALUE(ConnectionString,ReportMonth,Table1[[#This Row],[Site ID (from DATIM)]],INDEX(SDI_Measures,1))</f>
        <v/>
      </c>
      <c r="AF32" s="67" t="str" vm="2009">
        <f>CUBEVALUE(ConnectionString,ReportMonth,Table1[[#This Row],[Site ID (from DATIM)]],INDEX(SDI_Measures,2))</f>
        <v/>
      </c>
      <c r="AG32" s="67" t="str" vm="1131">
        <f>CUBEVALUE(ConnectionString,ReportMonth,Table1[[#This Row],[Site ID (from DATIM)]],INDEX(SDI_Measures,3))</f>
        <v/>
      </c>
      <c r="AH32" s="67" t="str" vm="2154">
        <f>CUBEVALUE(ConnectionString,ReportMonth,Table1[[#This Row],[Site ID (from DATIM)]],"TX_CURR_PRIOR_MONTH")</f>
        <v/>
      </c>
      <c r="AI32" s="67" t="str" vm="1500">
        <f>CUBEVALUE(ConnectionString,ReportMonth,Table1[[#This Row],[Site ID (from DATIM)]],"TX_CURR")</f>
        <v/>
      </c>
      <c r="AJ32" s="67" t="str" vm="4050">
        <f>CUBEVALUE(ConnectionString,ReportMonth,Table1[[#This Row],[Site ID (from DATIM)]],"[Measures].[TI]")</f>
        <v/>
      </c>
      <c r="AK32" s="67" t="str" vm="1718">
        <f>CUBEVALUE(ConnectionString,ReportMonth,Table1[[#This Row],[Site ID (from DATIM)]],"[Measures].[TO]")</f>
        <v/>
      </c>
      <c r="AL32" s="67" t="str" vm="2229">
        <f>CUBEVALUE(ConnectionString,ReportMonth,Table1[[#This Row],[Site ID (from DATIM)]],"[Measures].[DIED]")</f>
        <v/>
      </c>
      <c r="AM32" s="67" t="str" vm="10273">
        <f>CUBEVALUE(ConnectionString,ReportMonth,Table1[[#This Row],[Site ID (from DATIM)]],"[Measures].[MMS_01_31]")</f>
        <v/>
      </c>
      <c r="AN32" s="67" t="str" vm="7113">
        <f>CUBEVALUE(ConnectionString,ReportMonth,Table1[[#This Row],[Site ID (from DATIM)]],"[Measures].[MMS_32_62]")</f>
        <v/>
      </c>
      <c r="AO32" s="67" t="str" vm="10475">
        <f>CUBEVALUE(ConnectionString,ReportMonth,Table1[[#This Row],[Site ID (from DATIM)]],"[Measures].[MMS_63+]")</f>
        <v/>
      </c>
      <c r="AP32" s="67" t="str" vm="11190">
        <f>CUBEVALUE(ConnectionString,ReportMonth,Table1[[#This Row],[Site ID (from DATIM)]],"[Measures].[TBPREV_D]")</f>
        <v/>
      </c>
      <c r="AQ32" s="67" t="str" vm="5292">
        <f>CUBEVALUE(ConnectionString,ReportMonth,Table1[[#This Row],[Site ID (from DATIM)]],"[Measures].[TBPREV_N]")</f>
        <v/>
      </c>
      <c r="AR32" s="67" t="str" vm="10232">
        <f>CUBEVALUE(ConnectionString,ReportMonth,Table1[[#This Row],[Site ID (from DATIM)]],"[Measures].[TBPREV_NEW]")</f>
        <v/>
      </c>
      <c r="AS32" s="67" t="str" vm="8683">
        <f>CUBEVALUE(ConnectionString,ReportMonth,Table1[[#This Row],[Site ID (from DATIM)]],"[Measures].[HVL_ELIG_P]")</f>
        <v/>
      </c>
      <c r="AT32" s="67" t="str" vm="6318">
        <f>CUBEVALUE(ConnectionString,ReportMonth,Table1[[#This Row],[Site ID (from DATIM)]],"[Measures].[HVL_D_P]")</f>
        <v/>
      </c>
      <c r="AU32" s="67" t="str" vm="8344">
        <f>CUBEVALUE(ConnectionString,ReportMonth,Table1[[#This Row],[Site ID (from DATIM)]],"[Measures].[HVL_N_P]")</f>
        <v/>
      </c>
      <c r="AV32" s="68" t="str" vm="9941">
        <f>CUBEVALUE(ConnectionString,ReportMonth,Table1[[#This Row],[Site ID (from DATIM)]],"[Measures].[HVL_ELIG_A]")</f>
        <v/>
      </c>
      <c r="AW32" s="68" t="str" vm="9159">
        <f>CUBEVALUE(ConnectionString,ReportMonth,Table1[[#This Row],[Site ID (from DATIM)]],"[Measures].[HVL_D_A]")</f>
        <v/>
      </c>
      <c r="AX32" s="68" t="str" vm="8805">
        <f>CUBEVALUE(ConnectionString,ReportMonth,Table1[[#This Row],[Site ID (from DATIM)]],"[Measures].[HVL_N_A]")</f>
        <v/>
      </c>
      <c r="AY32" s="67"/>
      <c r="AZ32" s="67"/>
      <c r="BA32" s="67"/>
      <c r="BB32" s="67"/>
      <c r="BC32" s="67"/>
      <c r="BD32" s="67"/>
      <c r="BE32" s="67"/>
      <c r="BF32" s="67"/>
      <c r="BG32" s="67" t="str" vm="11911">
        <f>CUBEVALUE(ConnectionString,ReportMonth,Table1[[#This Row],[Site ID (from DATIM)]],"[Measures].[TX_NEW_F_A]")</f>
        <v/>
      </c>
      <c r="BH32" s="67" t="str" vm="13526">
        <f>CUBEVALUE(ConnectionString,ReportMonth,Table1[[#This Row],[Site ID (from DATIM)]],"[Measures].[TX_NEW_M_A]")</f>
        <v/>
      </c>
      <c r="BI32" s="67" t="str" vm="13455">
        <f>CUBEVALUE(ConnectionString,ReportMonth,Table1[[#This Row],[Site ID (from DATIM)]],"[Measures].[TX_NEW_F_P]")</f>
        <v/>
      </c>
      <c r="BJ32" s="68" t="str" vm="12331">
        <f>CUBEVALUE(ConnectionString,ReportMonth,Table1[[#This Row],[Site ID (from DATIM)]],"[Measures].[TX_NEW_M_P]")</f>
        <v/>
      </c>
      <c r="BK32" s="68"/>
      <c r="BL32" s="68"/>
      <c r="BM32" s="68"/>
      <c r="BN32" s="68"/>
      <c r="BO32" s="68"/>
      <c r="BP32" s="68"/>
      <c r="BQ32" s="68" t="str" vm="6603">
        <f>CUBEVALUE(ConnectionString,ReportMonth,Table1[[#This Row],[Site ID (from DATIM)]],"[Measures].[TX_CURR_F_P]")</f>
        <v/>
      </c>
      <c r="BR32" s="68" t="str" vm="11216">
        <f>CUBEVALUE(ConnectionString,ReportMonth,Table1[[#This Row],[Site ID (from DATIM)]],"[Measures].[TX_CURR_M_P]")</f>
        <v/>
      </c>
      <c r="BS32" s="68" t="str" vm="11260">
        <f>CUBEVALUE(ConnectionString,ReportMonth,Table1[[#This Row],[Site ID (from DATIM)]],"[Measures].[TX_CURR_F_A]")</f>
        <v/>
      </c>
      <c r="BT32" s="68" t="str" vm="11307">
        <f>CUBEVALUE(ConnectionString,ReportMonth,Table1[[#This Row],[Site ID (from DATIM)]],"[Measures].[TX_CURR_M_A]")</f>
        <v/>
      </c>
      <c r="BU32" s="68" t="str" vm="19233">
        <f>CUBEVALUE(ConnectionString,ReportMonth,Table1[[#This Row],[Site ID (from DATIM)]],"[Measures].[MMS_01_89_F_P]")</f>
        <v/>
      </c>
      <c r="BV32" s="68" t="str" vm="19010">
        <f>CUBEVALUE(ConnectionString,ReportMonth,Table1[[#This Row],[Site ID (from DATIM)]],"[Measures].[MMS_01_89_M_P]")</f>
        <v/>
      </c>
      <c r="BW32" s="68" t="str" vm="19488">
        <f>CUBEVALUE(ConnectionString,ReportMonth,Table1[[#This Row],[Site ID (from DATIM)]],"[Measures].[MMS_01_89_F_A]")</f>
        <v/>
      </c>
      <c r="BX32" s="68" t="str" vm="16468">
        <f>CUBEVALUE(ConnectionString,ReportMonth,Table1[[#This Row],[Site ID (from DATIM)]],"[Measures].[MMS_01_89_M_A]")</f>
        <v/>
      </c>
      <c r="BY32" s="68" t="str" vm="19950">
        <f>CUBEVALUE(ConnectionString,ReportMonth,Table1[[#This Row],[Site ID (from DATIM)]],"[Measures].[MMS_90_179_F_P]")</f>
        <v/>
      </c>
      <c r="BZ32" s="68" t="str" vm="15552">
        <f>CUBEVALUE(ConnectionString,ReportMonth,Table1[[#This Row],[Site ID (from DATIM)]],"[Measures].[MMS_90_179_M_P]")</f>
        <v/>
      </c>
      <c r="CA32" s="68" t="str" vm="18447">
        <f>CUBEVALUE(ConnectionString,ReportMonth,Table1[[#This Row],[Site ID (from DATIM)]],"[Measures].[MMS_90_179_F_A]")</f>
        <v/>
      </c>
      <c r="CB32" s="68" t="str" vm="17688">
        <f>CUBEVALUE(ConnectionString,ReportMonth,Table1[[#This Row],[Site ID (from DATIM)]],"[Measures].[MMS_90_179_M_A]")</f>
        <v/>
      </c>
      <c r="CC32" s="68" t="str" vm="17631">
        <f>CUBEVALUE(ConnectionString,ReportMonth,Table1[[#This Row],[Site ID (from DATIM)]],"[Measures].[MMS_180+_F_P]")</f>
        <v/>
      </c>
      <c r="CD32" s="68" t="str" vm="15040">
        <f>CUBEVALUE(ConnectionString,ReportMonth,Table1[[#This Row],[Site ID (from DATIM)]],"[Measures].[MMS_180+_M_P]")</f>
        <v/>
      </c>
      <c r="CE32" s="68" t="str" vm="15826">
        <f>CUBEVALUE(ConnectionString,ReportMonth,Table1[[#This Row],[Site ID (from DATIM)]],"[Measures].[MMS_180+_F_A]")</f>
        <v/>
      </c>
      <c r="CF32" s="68" t="str" vm="20205">
        <f>CUBEVALUE(ConnectionString,ReportMonth,Table1[[#This Row],[Site ID (from DATIM)]],"[Measures].[MMS_180+_M_A]")</f>
        <v/>
      </c>
      <c r="CG32" s="68" t="str" vm="12181">
        <f>CUBEVALUE(ConnectionString,ReportMonth,Table1[[#This Row],[Site ID (from DATIM)]],"[Measures].[MISSEDAPP]")</f>
        <v/>
      </c>
      <c r="CH32" s="68" t="str" vm="11709">
        <f>CUBEVALUE(ConnectionString,ReportMonth,Table1[[#This Row],[Site ID (from DATIM)]],"[Measures].[MMS_180+_P]")</f>
        <v/>
      </c>
      <c r="CI32" s="68" t="str" vm="10846">
        <f>CUBEVALUE(ConnectionString,ReportMonth,Table1[[#This Row],[Site ID (from DATIM)]],"[Measures].[MMS_180+_A]")</f>
        <v/>
      </c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</row>
    <row r="33" spans="1:107" x14ac:dyDescent="0.25">
      <c r="A33" s="66">
        <v>4</v>
      </c>
      <c r="B33" s="67" t="str" vm="4">
        <f t="shared" si="1"/>
        <v>Mar-2021</v>
      </c>
      <c r="C33" s="67"/>
      <c r="D33" s="67" t="s">
        <v>232</v>
      </c>
      <c r="E33" s="67" t="s">
        <v>233</v>
      </c>
      <c r="F33" s="67" t="s">
        <v>437</v>
      </c>
      <c r="G33" s="67"/>
      <c r="H33" s="67" t="s">
        <v>442</v>
      </c>
      <c r="I33" s="67" t="s">
        <v>475</v>
      </c>
      <c r="J33" s="67" t="s">
        <v>476</v>
      </c>
      <c r="K33" s="67" t="s">
        <v>477</v>
      </c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 t="str" vm="3067">
        <f>CUBEVALUE(ConnectionString,ReportMonth,Table1[[#This Row],[Site ID (from DATIM)]],"TX_NEW_2VIS")</f>
        <v/>
      </c>
      <c r="AE33" s="67" t="str" vm="3311">
        <f>CUBEVALUE(ConnectionString,ReportMonth,Table1[[#This Row],[Site ID (from DATIM)]],INDEX(SDI_Measures,1))</f>
        <v/>
      </c>
      <c r="AF33" s="67" t="str" vm="551">
        <f>CUBEVALUE(ConnectionString,ReportMonth,Table1[[#This Row],[Site ID (from DATIM)]],INDEX(SDI_Measures,2))</f>
        <v/>
      </c>
      <c r="AG33" s="67" t="str" vm="3477">
        <f>CUBEVALUE(ConnectionString,ReportMonth,Table1[[#This Row],[Site ID (from DATIM)]],INDEX(SDI_Measures,3))</f>
        <v/>
      </c>
      <c r="AH33" s="67" vm="4231">
        <f>CUBEVALUE(ConnectionString,ReportMonth,Table1[[#This Row],[Site ID (from DATIM)]],"TX_CURR_PRIOR_MONTH")</f>
        <v>15</v>
      </c>
      <c r="AI33" s="67" vm="1466">
        <f>CUBEVALUE(ConnectionString,ReportMonth,Table1[[#This Row],[Site ID (from DATIM)]],"TX_CURR")</f>
        <v>15</v>
      </c>
      <c r="AJ33" s="67" t="str" vm="3045">
        <f>CUBEVALUE(ConnectionString,ReportMonth,Table1[[#This Row],[Site ID (from DATIM)]],"[Measures].[TI]")</f>
        <v/>
      </c>
      <c r="AK33" s="67" t="str" vm="2860">
        <f>CUBEVALUE(ConnectionString,ReportMonth,Table1[[#This Row],[Site ID (from DATIM)]],"[Measures].[TO]")</f>
        <v/>
      </c>
      <c r="AL33" s="67" t="str" vm="1777">
        <f>CUBEVALUE(ConnectionString,ReportMonth,Table1[[#This Row],[Site ID (from DATIM)]],"[Measures].[DIED]")</f>
        <v/>
      </c>
      <c r="AM33" s="67" vm="7139">
        <f>CUBEVALUE(ConnectionString,ReportMonth,Table1[[#This Row],[Site ID (from DATIM)]],"[Measures].[MMS_01_31]")</f>
        <v>15</v>
      </c>
      <c r="AN33" s="67" t="str" vm="6204">
        <f>CUBEVALUE(ConnectionString,ReportMonth,Table1[[#This Row],[Site ID (from DATIM)]],"[Measures].[MMS_32_62]")</f>
        <v/>
      </c>
      <c r="AO33" s="67" t="str" vm="8120">
        <f>CUBEVALUE(ConnectionString,ReportMonth,Table1[[#This Row],[Site ID (from DATIM)]],"[Measures].[MMS_63+]")</f>
        <v/>
      </c>
      <c r="AP33" s="67" t="str" vm="6680">
        <f>CUBEVALUE(ConnectionString,ReportMonth,Table1[[#This Row],[Site ID (from DATIM)]],"[Measures].[TBPREV_D]")</f>
        <v/>
      </c>
      <c r="AQ33" s="67" t="str" vm="4852">
        <f>CUBEVALUE(ConnectionString,ReportMonth,Table1[[#This Row],[Site ID (from DATIM)]],"[Measures].[TBPREV_N]")</f>
        <v/>
      </c>
      <c r="AR33" s="67" t="str" vm="5014">
        <f>CUBEVALUE(ConnectionString,ReportMonth,Table1[[#This Row],[Site ID (from DATIM)]],"[Measures].[TBPREV_NEW]")</f>
        <v/>
      </c>
      <c r="AS33" s="67" t="str" vm="9235">
        <f>CUBEVALUE(ConnectionString,ReportMonth,Table1[[#This Row],[Site ID (from DATIM)]],"[Measures].[HVL_ELIG_P]")</f>
        <v/>
      </c>
      <c r="AT33" s="67" t="str" vm="7502">
        <f>CUBEVALUE(ConnectionString,ReportMonth,Table1[[#This Row],[Site ID (from DATIM)]],"[Measures].[HVL_D_P]")</f>
        <v/>
      </c>
      <c r="AU33" s="67" t="str" vm="13536">
        <f>CUBEVALUE(ConnectionString,ReportMonth,Table1[[#This Row],[Site ID (from DATIM)]],"[Measures].[HVL_N_P]")</f>
        <v/>
      </c>
      <c r="AV33" s="68" vm="9955">
        <f>CUBEVALUE(ConnectionString,ReportMonth,Table1[[#This Row],[Site ID (from DATIM)]],"[Measures].[HVL_ELIG_A]")</f>
        <v>15</v>
      </c>
      <c r="AW33" s="68" t="str" vm="10252">
        <f>CUBEVALUE(ConnectionString,ReportMonth,Table1[[#This Row],[Site ID (from DATIM)]],"[Measures].[HVL_D_A]")</f>
        <v/>
      </c>
      <c r="AX33" s="68" t="str" vm="9238">
        <f>CUBEVALUE(ConnectionString,ReportMonth,Table1[[#This Row],[Site ID (from DATIM)]],"[Measures].[HVL_N_A]")</f>
        <v/>
      </c>
      <c r="AY33" s="67"/>
      <c r="AZ33" s="67"/>
      <c r="BA33" s="67"/>
      <c r="BB33" s="67"/>
      <c r="BC33" s="67"/>
      <c r="BD33" s="67"/>
      <c r="BE33" s="67"/>
      <c r="BF33" s="67"/>
      <c r="BG33" s="67" t="str" vm="13785">
        <f>CUBEVALUE(ConnectionString,ReportMonth,Table1[[#This Row],[Site ID (from DATIM)]],"[Measures].[TX_NEW_F_A]")</f>
        <v/>
      </c>
      <c r="BH33" s="67" t="str" vm="12956">
        <f>CUBEVALUE(ConnectionString,ReportMonth,Table1[[#This Row],[Site ID (from DATIM)]],"[Measures].[TX_NEW_M_A]")</f>
        <v/>
      </c>
      <c r="BI33" s="67" t="str" vm="15254">
        <f>CUBEVALUE(ConnectionString,ReportMonth,Table1[[#This Row],[Site ID (from DATIM)]],"[Measures].[TX_NEW_F_P]")</f>
        <v/>
      </c>
      <c r="BJ33" s="68" t="str" vm="16597">
        <f>CUBEVALUE(ConnectionString,ReportMonth,Table1[[#This Row],[Site ID (from DATIM)]],"[Measures].[TX_NEW_M_P]")</f>
        <v/>
      </c>
      <c r="BK33" s="68"/>
      <c r="BL33" s="68"/>
      <c r="BM33" s="68"/>
      <c r="BN33" s="68"/>
      <c r="BO33" s="68"/>
      <c r="BP33" s="68"/>
      <c r="BQ33" s="68" t="str" vm="9318">
        <f>CUBEVALUE(ConnectionString,ReportMonth,Table1[[#This Row],[Site ID (from DATIM)]],"[Measures].[TX_CURR_F_P]")</f>
        <v/>
      </c>
      <c r="BR33" s="68" t="str" vm="8907">
        <f>CUBEVALUE(ConnectionString,ReportMonth,Table1[[#This Row],[Site ID (from DATIM)]],"[Measures].[TX_CURR_M_P]")</f>
        <v/>
      </c>
      <c r="BS33" s="68" vm="6351">
        <f>CUBEVALUE(ConnectionString,ReportMonth,Table1[[#This Row],[Site ID (from DATIM)]],"[Measures].[TX_CURR_F_A]")</f>
        <v>15</v>
      </c>
      <c r="BT33" s="68" t="str" vm="11887">
        <f>CUBEVALUE(ConnectionString,ReportMonth,Table1[[#This Row],[Site ID (from DATIM)]],"[Measures].[TX_CURR_M_A]")</f>
        <v/>
      </c>
      <c r="BU33" s="68" t="str" vm="19799">
        <f>CUBEVALUE(ConnectionString,ReportMonth,Table1[[#This Row],[Site ID (from DATIM)]],"[Measures].[MMS_01_89_F_P]")</f>
        <v/>
      </c>
      <c r="BV33" s="68" t="str" vm="19363">
        <f>CUBEVALUE(ConnectionString,ReportMonth,Table1[[#This Row],[Site ID (from DATIM)]],"[Measures].[MMS_01_89_M_P]")</f>
        <v/>
      </c>
      <c r="BW33" s="68" vm="19226">
        <f>CUBEVALUE(ConnectionString,ReportMonth,Table1[[#This Row],[Site ID (from DATIM)]],"[Measures].[MMS_01_89_F_A]")</f>
        <v>15</v>
      </c>
      <c r="BX33" s="68" t="str" vm="19157">
        <f>CUBEVALUE(ConnectionString,ReportMonth,Table1[[#This Row],[Site ID (from DATIM)]],"[Measures].[MMS_01_89_M_A]")</f>
        <v/>
      </c>
      <c r="BY33" s="68" t="str" vm="19082">
        <f>CUBEVALUE(ConnectionString,ReportMonth,Table1[[#This Row],[Site ID (from DATIM)]],"[Measures].[MMS_90_179_F_P]")</f>
        <v/>
      </c>
      <c r="BZ33" s="68" t="str" vm="16046">
        <f>CUBEVALUE(ConnectionString,ReportMonth,Table1[[#This Row],[Site ID (from DATIM)]],"[Measures].[MMS_90_179_M_P]")</f>
        <v/>
      </c>
      <c r="CA33" s="68" t="str" vm="14684">
        <f>CUBEVALUE(ConnectionString,ReportMonth,Table1[[#This Row],[Site ID (from DATIM)]],"[Measures].[MMS_90_179_F_A]")</f>
        <v/>
      </c>
      <c r="CB33" s="68" t="str" vm="15177">
        <f>CUBEVALUE(ConnectionString,ReportMonth,Table1[[#This Row],[Site ID (from DATIM)]],"[Measures].[MMS_90_179_M_A]")</f>
        <v/>
      </c>
      <c r="CC33" s="68" t="str" vm="15911">
        <f>CUBEVALUE(ConnectionString,ReportMonth,Table1[[#This Row],[Site ID (from DATIM)]],"[Measures].[MMS_180+_F_P]")</f>
        <v/>
      </c>
      <c r="CD33" s="68" t="str" vm="16756">
        <f>CUBEVALUE(ConnectionString,ReportMonth,Table1[[#This Row],[Site ID (from DATIM)]],"[Measures].[MMS_180+_M_P]")</f>
        <v/>
      </c>
      <c r="CE33" s="68" t="str" vm="64">
        <f>CUBEVALUE(ConnectionString,ReportMonth,Table1[[#This Row],[Site ID (from DATIM)]],"[Measures].[MMS_180+_F_A]")</f>
        <v/>
      </c>
      <c r="CF33" s="68" t="str" vm="14466">
        <f>CUBEVALUE(ConnectionString,ReportMonth,Table1[[#This Row],[Site ID (from DATIM)]],"[Measures].[MMS_180+_M_A]")</f>
        <v/>
      </c>
      <c r="CG33" s="68" vm="13646">
        <f>CUBEVALUE(ConnectionString,ReportMonth,Table1[[#This Row],[Site ID (from DATIM)]],"[Measures].[MISSEDAPP]")</f>
        <v>12</v>
      </c>
      <c r="CH33" s="68" t="str" vm="11266">
        <f>CUBEVALUE(ConnectionString,ReportMonth,Table1[[#This Row],[Site ID (from DATIM)]],"[Measures].[MMS_180+_P]")</f>
        <v/>
      </c>
      <c r="CI33" s="68" t="str" vm="11399">
        <f>CUBEVALUE(ConnectionString,ReportMonth,Table1[[#This Row],[Site ID (from DATIM)]],"[Measures].[MMS_180+_A]")</f>
        <v/>
      </c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</row>
    <row r="34" spans="1:107" x14ac:dyDescent="0.25">
      <c r="A34" s="66">
        <v>4</v>
      </c>
      <c r="B34" s="67" t="str" vm="4">
        <f t="shared" si="1"/>
        <v>Mar-2021</v>
      </c>
      <c r="C34" s="67"/>
      <c r="D34" s="67" t="s">
        <v>232</v>
      </c>
      <c r="E34" s="67" t="s">
        <v>233</v>
      </c>
      <c r="F34" s="67" t="s">
        <v>437</v>
      </c>
      <c r="G34" s="67"/>
      <c r="H34" s="67" t="s">
        <v>478</v>
      </c>
      <c r="I34" s="67" t="s">
        <v>479</v>
      </c>
      <c r="J34" s="67" t="s">
        <v>480</v>
      </c>
      <c r="K34" s="67" t="s">
        <v>481</v>
      </c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 t="str" vm="1808">
        <f>CUBEVALUE(ConnectionString,ReportMonth,Table1[[#This Row],[Site ID (from DATIM)]],"TX_NEW_2VIS")</f>
        <v/>
      </c>
      <c r="AE34" s="67" t="str" vm="1745">
        <f>CUBEVALUE(ConnectionString,ReportMonth,Table1[[#This Row],[Site ID (from DATIM)]],INDEX(SDI_Measures,1))</f>
        <v/>
      </c>
      <c r="AF34" s="67" t="str" vm="949">
        <f>CUBEVALUE(ConnectionString,ReportMonth,Table1[[#This Row],[Site ID (from DATIM)]],INDEX(SDI_Measures,2))</f>
        <v/>
      </c>
      <c r="AG34" s="67" t="str" vm="1901">
        <f>CUBEVALUE(ConnectionString,ReportMonth,Table1[[#This Row],[Site ID (from DATIM)]],INDEX(SDI_Measures,3))</f>
        <v/>
      </c>
      <c r="AH34" s="67" vm="1868">
        <f>CUBEVALUE(ConnectionString,ReportMonth,Table1[[#This Row],[Site ID (from DATIM)]],"TX_CURR_PRIOR_MONTH")</f>
        <v>5</v>
      </c>
      <c r="AI34" s="67" vm="1819">
        <f>CUBEVALUE(ConnectionString,ReportMonth,Table1[[#This Row],[Site ID (from DATIM)]],"TX_CURR")</f>
        <v>4</v>
      </c>
      <c r="AJ34" s="67" t="str" vm="2366">
        <f>CUBEVALUE(ConnectionString,ReportMonth,Table1[[#This Row],[Site ID (from DATIM)]],"[Measures].[TI]")</f>
        <v/>
      </c>
      <c r="AK34" s="67" t="str" vm="3177">
        <f>CUBEVALUE(ConnectionString,ReportMonth,Table1[[#This Row],[Site ID (from DATIM)]],"[Measures].[TO]")</f>
        <v/>
      </c>
      <c r="AL34" s="67" t="str" vm="1110">
        <f>CUBEVALUE(ConnectionString,ReportMonth,Table1[[#This Row],[Site ID (from DATIM)]],"[Measures].[DIED]")</f>
        <v/>
      </c>
      <c r="AM34" s="67" vm="5389">
        <f>CUBEVALUE(ConnectionString,ReportMonth,Table1[[#This Row],[Site ID (from DATIM)]],"[Measures].[MMS_01_31]")</f>
        <v>2</v>
      </c>
      <c r="AN34" s="67" t="str" vm="5049">
        <f>CUBEVALUE(ConnectionString,ReportMonth,Table1[[#This Row],[Site ID (from DATIM)]],"[Measures].[MMS_32_62]")</f>
        <v/>
      </c>
      <c r="AO34" s="67" vm="8247">
        <f>CUBEVALUE(ConnectionString,ReportMonth,Table1[[#This Row],[Site ID (from DATIM)]],"[Measures].[MMS_63+]")</f>
        <v>2</v>
      </c>
      <c r="AP34" s="67" t="str" vm="6191">
        <f>CUBEVALUE(ConnectionString,ReportMonth,Table1[[#This Row],[Site ID (from DATIM)]],"[Measures].[TBPREV_D]")</f>
        <v/>
      </c>
      <c r="AQ34" s="67" t="str" vm="5624">
        <f>CUBEVALUE(ConnectionString,ReportMonth,Table1[[#This Row],[Site ID (from DATIM)]],"[Measures].[TBPREV_N]")</f>
        <v/>
      </c>
      <c r="AR34" s="67" t="str" vm="6304">
        <f>CUBEVALUE(ConnectionString,ReportMonth,Table1[[#This Row],[Site ID (from DATIM)]],"[Measures].[TBPREV_NEW]")</f>
        <v/>
      </c>
      <c r="AS34" s="67" t="str" vm="10954">
        <f>CUBEVALUE(ConnectionString,ReportMonth,Table1[[#This Row],[Site ID (from DATIM)]],"[Measures].[HVL_ELIG_P]")</f>
        <v/>
      </c>
      <c r="AT34" s="67" t="str" vm="5220">
        <f>CUBEVALUE(ConnectionString,ReportMonth,Table1[[#This Row],[Site ID (from DATIM)]],"[Measures].[HVL_D_P]")</f>
        <v/>
      </c>
      <c r="AU34" s="67" t="str" vm="14149">
        <f>CUBEVALUE(ConnectionString,ReportMonth,Table1[[#This Row],[Site ID (from DATIM)]],"[Measures].[HVL_N_P]")</f>
        <v/>
      </c>
      <c r="AV34" s="68" vm="10040">
        <f>CUBEVALUE(ConnectionString,ReportMonth,Table1[[#This Row],[Site ID (from DATIM)]],"[Measures].[HVL_ELIG_A]")</f>
        <v>3</v>
      </c>
      <c r="AW34" s="68" t="str" vm="9756">
        <f>CUBEVALUE(ConnectionString,ReportMonth,Table1[[#This Row],[Site ID (from DATIM)]],"[Measures].[HVL_D_A]")</f>
        <v/>
      </c>
      <c r="AX34" s="68" t="str" vm="9950">
        <f>CUBEVALUE(ConnectionString,ReportMonth,Table1[[#This Row],[Site ID (from DATIM)]],"[Measures].[HVL_N_A]")</f>
        <v/>
      </c>
      <c r="AY34" s="67"/>
      <c r="AZ34" s="67"/>
      <c r="BA34" s="67"/>
      <c r="BB34" s="67"/>
      <c r="BC34" s="67"/>
      <c r="BD34" s="67"/>
      <c r="BE34" s="67"/>
      <c r="BF34" s="67"/>
      <c r="BG34" s="67" t="str" vm="15675">
        <f>CUBEVALUE(ConnectionString,ReportMonth,Table1[[#This Row],[Site ID (from DATIM)]],"[Measures].[TX_NEW_F_A]")</f>
        <v/>
      </c>
      <c r="BH34" s="67" t="str" vm="11916">
        <f>CUBEVALUE(ConnectionString,ReportMonth,Table1[[#This Row],[Site ID (from DATIM)]],"[Measures].[TX_NEW_M_A]")</f>
        <v/>
      </c>
      <c r="BI34" s="67" t="str" vm="13418">
        <f>CUBEVALUE(ConnectionString,ReportMonth,Table1[[#This Row],[Site ID (from DATIM)]],"[Measures].[TX_NEW_F_P]")</f>
        <v/>
      </c>
      <c r="BJ34" s="68" t="str" vm="15635">
        <f>CUBEVALUE(ConnectionString,ReportMonth,Table1[[#This Row],[Site ID (from DATIM)]],"[Measures].[TX_NEW_M_P]")</f>
        <v/>
      </c>
      <c r="BK34" s="68"/>
      <c r="BL34" s="68"/>
      <c r="BM34" s="68"/>
      <c r="BN34" s="68"/>
      <c r="BO34" s="68"/>
      <c r="BP34" s="68"/>
      <c r="BQ34" s="68" t="str" vm="9388">
        <f>CUBEVALUE(ConnectionString,ReportMonth,Table1[[#This Row],[Site ID (from DATIM)]],"[Measures].[TX_CURR_F_P]")</f>
        <v/>
      </c>
      <c r="BR34" s="68" t="str" vm="9213">
        <f>CUBEVALUE(ConnectionString,ReportMonth,Table1[[#This Row],[Site ID (from DATIM)]],"[Measures].[TX_CURR_M_P]")</f>
        <v/>
      </c>
      <c r="BS34" s="68" vm="8575">
        <f>CUBEVALUE(ConnectionString,ReportMonth,Table1[[#This Row],[Site ID (from DATIM)]],"[Measures].[TX_CURR_F_A]")</f>
        <v>4</v>
      </c>
      <c r="BT34" s="68" t="str" vm="13918">
        <f>CUBEVALUE(ConnectionString,ReportMonth,Table1[[#This Row],[Site ID (from DATIM)]],"[Measures].[TX_CURR_M_A]")</f>
        <v/>
      </c>
      <c r="BU34" s="68" t="str" vm="18895">
        <f>CUBEVALUE(ConnectionString,ReportMonth,Table1[[#This Row],[Site ID (from DATIM)]],"[Measures].[MMS_01_89_F_P]")</f>
        <v/>
      </c>
      <c r="BV34" s="68" t="str" vm="20152">
        <f>CUBEVALUE(ConnectionString,ReportMonth,Table1[[#This Row],[Site ID (from DATIM)]],"[Measures].[MMS_01_89_M_P]")</f>
        <v/>
      </c>
      <c r="BW34" s="68" vm="18291">
        <f>CUBEVALUE(ConnectionString,ReportMonth,Table1[[#This Row],[Site ID (from DATIM)]],"[Measures].[MMS_01_89_F_A]")</f>
        <v>2</v>
      </c>
      <c r="BX34" s="68" t="str" vm="17811">
        <f>CUBEVALUE(ConnectionString,ReportMonth,Table1[[#This Row],[Site ID (from DATIM)]],"[Measures].[MMS_01_89_M_A]")</f>
        <v/>
      </c>
      <c r="BY34" s="68" t="str" vm="16065">
        <f>CUBEVALUE(ConnectionString,ReportMonth,Table1[[#This Row],[Site ID (from DATIM)]],"[Measures].[MMS_90_179_F_P]")</f>
        <v/>
      </c>
      <c r="BZ34" s="68" t="str" vm="16847">
        <f>CUBEVALUE(ConnectionString,ReportMonth,Table1[[#This Row],[Site ID (from DATIM)]],"[Measures].[MMS_90_179_M_P]")</f>
        <v/>
      </c>
      <c r="CA34" s="68" vm="15148">
        <f>CUBEVALUE(ConnectionString,ReportMonth,Table1[[#This Row],[Site ID (from DATIM)]],"[Measures].[MMS_90_179_F_A]")</f>
        <v>2</v>
      </c>
      <c r="CB34" s="68" t="str" vm="16922">
        <f>CUBEVALUE(ConnectionString,ReportMonth,Table1[[#This Row],[Site ID (from DATIM)]],"[Measures].[MMS_90_179_M_A]")</f>
        <v/>
      </c>
      <c r="CC34" s="68" t="str" vm="15085">
        <f>CUBEVALUE(ConnectionString,ReportMonth,Table1[[#This Row],[Site ID (from DATIM)]],"[Measures].[MMS_180+_F_P]")</f>
        <v/>
      </c>
      <c r="CD34" s="68" t="str" vm="15022">
        <f>CUBEVALUE(ConnectionString,ReportMonth,Table1[[#This Row],[Site ID (from DATIM)]],"[Measures].[MMS_180+_M_P]")</f>
        <v/>
      </c>
      <c r="CE34" s="68" t="str" vm="56">
        <f>CUBEVALUE(ConnectionString,ReportMonth,Table1[[#This Row],[Site ID (from DATIM)]],"[Measures].[MMS_180+_F_A]")</f>
        <v/>
      </c>
      <c r="CF34" s="68" t="str" vm="15412">
        <f>CUBEVALUE(ConnectionString,ReportMonth,Table1[[#This Row],[Site ID (from DATIM)]],"[Measures].[MMS_180+_M_A]")</f>
        <v/>
      </c>
      <c r="CG34" s="68" vm="6716">
        <f>CUBEVALUE(ConnectionString,ReportMonth,Table1[[#This Row],[Site ID (from DATIM)]],"[Measures].[MISSEDAPP]")</f>
        <v>2</v>
      </c>
      <c r="CH34" s="68" t="str" vm="12674">
        <f>CUBEVALUE(ConnectionString,ReportMonth,Table1[[#This Row],[Site ID (from DATIM)]],"[Measures].[MMS_180+_P]")</f>
        <v/>
      </c>
      <c r="CI34" s="68" t="str" vm="11218">
        <f>CUBEVALUE(ConnectionString,ReportMonth,Table1[[#This Row],[Site ID (from DATIM)]],"[Measures].[MMS_180+_A]")</f>
        <v/>
      </c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</row>
    <row r="35" spans="1:107" x14ac:dyDescent="0.25">
      <c r="A35" s="66">
        <v>4</v>
      </c>
      <c r="B35" s="67" t="str" vm="4">
        <f t="shared" si="1"/>
        <v>Mar-2021</v>
      </c>
      <c r="C35" s="67"/>
      <c r="D35" s="67" t="s">
        <v>232</v>
      </c>
      <c r="E35" s="67" t="s">
        <v>233</v>
      </c>
      <c r="F35" s="67" t="s">
        <v>437</v>
      </c>
      <c r="G35" s="67"/>
      <c r="H35" s="67" t="s">
        <v>454</v>
      </c>
      <c r="I35" s="67" t="s">
        <v>482</v>
      </c>
      <c r="J35" s="67" t="s">
        <v>483</v>
      </c>
      <c r="K35" s="67" t="s">
        <v>484</v>
      </c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 t="str" vm="2569">
        <f>CUBEVALUE(ConnectionString,ReportMonth,Table1[[#This Row],[Site ID (from DATIM)]],"TX_NEW_2VIS")</f>
        <v/>
      </c>
      <c r="AE35" s="67" t="str" vm="1714">
        <f>CUBEVALUE(ConnectionString,ReportMonth,Table1[[#This Row],[Site ID (from DATIM)]],INDEX(SDI_Measures,1))</f>
        <v/>
      </c>
      <c r="AF35" s="67" t="str" vm="4212">
        <f>CUBEVALUE(ConnectionString,ReportMonth,Table1[[#This Row],[Site ID (from DATIM)]],INDEX(SDI_Measures,2))</f>
        <v/>
      </c>
      <c r="AG35" s="67" t="str" vm="3089">
        <f>CUBEVALUE(ConnectionString,ReportMonth,Table1[[#This Row],[Site ID (from DATIM)]],INDEX(SDI_Measures,3))</f>
        <v/>
      </c>
      <c r="AH35" s="67" vm="3836">
        <f>CUBEVALUE(ConnectionString,ReportMonth,Table1[[#This Row],[Site ID (from DATIM)]],"TX_CURR_PRIOR_MONTH")</f>
        <v>13</v>
      </c>
      <c r="AI35" s="67" vm="1547">
        <f>CUBEVALUE(ConnectionString,ReportMonth,Table1[[#This Row],[Site ID (from DATIM)]],"TX_CURR")</f>
        <v>12</v>
      </c>
      <c r="AJ35" s="67" t="str" vm="3918">
        <f>CUBEVALUE(ConnectionString,ReportMonth,Table1[[#This Row],[Site ID (from DATIM)]],"[Measures].[TI]")</f>
        <v/>
      </c>
      <c r="AK35" s="67" t="str" vm="1917">
        <f>CUBEVALUE(ConnectionString,ReportMonth,Table1[[#This Row],[Site ID (from DATIM)]],"[Measures].[TO]")</f>
        <v/>
      </c>
      <c r="AL35" s="67" t="str" vm="3055">
        <f>CUBEVALUE(ConnectionString,ReportMonth,Table1[[#This Row],[Site ID (from DATIM)]],"[Measures].[DIED]")</f>
        <v/>
      </c>
      <c r="AM35" s="67" vm="8005">
        <f>CUBEVALUE(ConnectionString,ReportMonth,Table1[[#This Row],[Site ID (from DATIM)]],"[Measures].[MMS_01_31]")</f>
        <v>10</v>
      </c>
      <c r="AN35" s="67" t="str" vm="7421">
        <f>CUBEVALUE(ConnectionString,ReportMonth,Table1[[#This Row],[Site ID (from DATIM)]],"[Measures].[MMS_32_62]")</f>
        <v/>
      </c>
      <c r="AO35" s="67" vm="6771">
        <f>CUBEVALUE(ConnectionString,ReportMonth,Table1[[#This Row],[Site ID (from DATIM)]],"[Measures].[MMS_63+]")</f>
        <v>2</v>
      </c>
      <c r="AP35" s="67" t="str" vm="6030">
        <f>CUBEVALUE(ConnectionString,ReportMonth,Table1[[#This Row],[Site ID (from DATIM)]],"[Measures].[TBPREV_D]")</f>
        <v/>
      </c>
      <c r="AQ35" s="67" t="str" vm="5068">
        <f>CUBEVALUE(ConnectionString,ReportMonth,Table1[[#This Row],[Site ID (from DATIM)]],"[Measures].[TBPREV_N]")</f>
        <v/>
      </c>
      <c r="AR35" s="67" t="str" vm="5574">
        <f>CUBEVALUE(ConnectionString,ReportMonth,Table1[[#This Row],[Site ID (from DATIM)]],"[Measures].[TBPREV_NEW]")</f>
        <v/>
      </c>
      <c r="AS35" s="67" t="str" vm="11679">
        <f>CUBEVALUE(ConnectionString,ReportMonth,Table1[[#This Row],[Site ID (from DATIM)]],"[Measures].[HVL_ELIG_P]")</f>
        <v/>
      </c>
      <c r="AT35" s="67" t="str" vm="6499">
        <f>CUBEVALUE(ConnectionString,ReportMonth,Table1[[#This Row],[Site ID (from DATIM)]],"[Measures].[HVL_D_P]")</f>
        <v/>
      </c>
      <c r="AU35" s="67" t="str" vm="7742">
        <f>CUBEVALUE(ConnectionString,ReportMonth,Table1[[#This Row],[Site ID (from DATIM)]],"[Measures].[HVL_N_P]")</f>
        <v/>
      </c>
      <c r="AV35" s="68" vm="9769">
        <f>CUBEVALUE(ConnectionString,ReportMonth,Table1[[#This Row],[Site ID (from DATIM)]],"[Measures].[HVL_ELIG_A]")</f>
        <v>8</v>
      </c>
      <c r="AW35" s="68" t="str" vm="8194">
        <f>CUBEVALUE(ConnectionString,ReportMonth,Table1[[#This Row],[Site ID (from DATIM)]],"[Measures].[HVL_D_A]")</f>
        <v/>
      </c>
      <c r="AX35" s="68" t="str" vm="11304">
        <f>CUBEVALUE(ConnectionString,ReportMonth,Table1[[#This Row],[Site ID (from DATIM)]],"[Measures].[HVL_N_A]")</f>
        <v/>
      </c>
      <c r="AY35" s="67"/>
      <c r="AZ35" s="67"/>
      <c r="BA35" s="67"/>
      <c r="BB35" s="67"/>
      <c r="BC35" s="67"/>
      <c r="BD35" s="67"/>
      <c r="BE35" s="67"/>
      <c r="BF35" s="67"/>
      <c r="BG35" s="67" t="str" vm="12549">
        <f>CUBEVALUE(ConnectionString,ReportMonth,Table1[[#This Row],[Site ID (from DATIM)]],"[Measures].[TX_NEW_F_A]")</f>
        <v/>
      </c>
      <c r="BH35" s="67" t="str" vm="16151">
        <f>CUBEVALUE(ConnectionString,ReportMonth,Table1[[#This Row],[Site ID (from DATIM)]],"[Measures].[TX_NEW_M_A]")</f>
        <v/>
      </c>
      <c r="BI35" s="67" t="str" vm="12597">
        <f>CUBEVALUE(ConnectionString,ReportMonth,Table1[[#This Row],[Site ID (from DATIM)]],"[Measures].[TX_NEW_F_P]")</f>
        <v/>
      </c>
      <c r="BJ35" s="68" t="str" vm="13129">
        <f>CUBEVALUE(ConnectionString,ReportMonth,Table1[[#This Row],[Site ID (from DATIM)]],"[Measures].[TX_NEW_M_P]")</f>
        <v/>
      </c>
      <c r="BK35" s="68"/>
      <c r="BL35" s="68"/>
      <c r="BM35" s="68"/>
      <c r="BN35" s="68"/>
      <c r="BO35" s="68"/>
      <c r="BP35" s="68"/>
      <c r="BQ35" s="68" t="str" vm="12636">
        <f>CUBEVALUE(ConnectionString,ReportMonth,Table1[[#This Row],[Site ID (from DATIM)]],"[Measures].[TX_CURR_F_P]")</f>
        <v/>
      </c>
      <c r="BR35" s="68" t="str" vm="10443">
        <f>CUBEVALUE(ConnectionString,ReportMonth,Table1[[#This Row],[Site ID (from DATIM)]],"[Measures].[TX_CURR_M_P]")</f>
        <v/>
      </c>
      <c r="BS35" s="68" vm="10637">
        <f>CUBEVALUE(ConnectionString,ReportMonth,Table1[[#This Row],[Site ID (from DATIM)]],"[Measures].[TX_CURR_F_A]")</f>
        <v>12</v>
      </c>
      <c r="BT35" s="68" t="str" vm="14004">
        <f>CUBEVALUE(ConnectionString,ReportMonth,Table1[[#This Row],[Site ID (from DATIM)]],"[Measures].[TX_CURR_M_A]")</f>
        <v/>
      </c>
      <c r="BU35" s="68" t="str" vm="19223">
        <f>CUBEVALUE(ConnectionString,ReportMonth,Table1[[#This Row],[Site ID (from DATIM)]],"[Measures].[MMS_01_89_F_P]")</f>
        <v/>
      </c>
      <c r="BV35" s="68" t="str" vm="19306">
        <f>CUBEVALUE(ConnectionString,ReportMonth,Table1[[#This Row],[Site ID (from DATIM)]],"[Measures].[MMS_01_89_M_P]")</f>
        <v/>
      </c>
      <c r="BW35" s="68" vm="18290">
        <f>CUBEVALUE(ConnectionString,ReportMonth,Table1[[#This Row],[Site ID (from DATIM)]],"[Measures].[MMS_01_89_F_A]")</f>
        <v>10</v>
      </c>
      <c r="BX35" s="68" t="str" vm="18574">
        <f>CUBEVALUE(ConnectionString,ReportMonth,Table1[[#This Row],[Site ID (from DATIM)]],"[Measures].[MMS_01_89_M_A]")</f>
        <v/>
      </c>
      <c r="BY35" s="68" t="str" vm="16094">
        <f>CUBEVALUE(ConnectionString,ReportMonth,Table1[[#This Row],[Site ID (from DATIM)]],"[Measures].[MMS_90_179_F_P]")</f>
        <v/>
      </c>
      <c r="BZ35" s="68" t="str" vm="19315">
        <f>CUBEVALUE(ConnectionString,ReportMonth,Table1[[#This Row],[Site ID (from DATIM)]],"[Measures].[MMS_90_179_M_P]")</f>
        <v/>
      </c>
      <c r="CA35" s="68" vm="15051">
        <f>CUBEVALUE(ConnectionString,ReportMonth,Table1[[#This Row],[Site ID (from DATIM)]],"[Measures].[MMS_90_179_F_A]")</f>
        <v>2</v>
      </c>
      <c r="CB35" s="68" t="str" vm="17360">
        <f>CUBEVALUE(ConnectionString,ReportMonth,Table1[[#This Row],[Site ID (from DATIM)]],"[Measures].[MMS_90_179_M_A]")</f>
        <v/>
      </c>
      <c r="CC35" s="68" t="str" vm="14548">
        <f>CUBEVALUE(ConnectionString,ReportMonth,Table1[[#This Row],[Site ID (from DATIM)]],"[Measures].[MMS_180+_F_P]")</f>
        <v/>
      </c>
      <c r="CD35" s="68" t="str" vm="15021">
        <f>CUBEVALUE(ConnectionString,ReportMonth,Table1[[#This Row],[Site ID (from DATIM)]],"[Measures].[MMS_180+_M_P]")</f>
        <v/>
      </c>
      <c r="CE35" s="68" t="str" vm="105">
        <f>CUBEVALUE(ConnectionString,ReportMonth,Table1[[#This Row],[Site ID (from DATIM)]],"[Measures].[MMS_180+_F_A]")</f>
        <v/>
      </c>
      <c r="CF35" s="68" t="str" vm="342">
        <f>CUBEVALUE(ConnectionString,ReportMonth,Table1[[#This Row],[Site ID (from DATIM)]],"[Measures].[MMS_180+_M_A]")</f>
        <v/>
      </c>
      <c r="CG35" s="68" vm="10763">
        <f>CUBEVALUE(ConnectionString,ReportMonth,Table1[[#This Row],[Site ID (from DATIM)]],"[Measures].[MISSEDAPP]")</f>
        <v>8</v>
      </c>
      <c r="CH35" s="68" t="str" vm="14070">
        <f>CUBEVALUE(ConnectionString,ReportMonth,Table1[[#This Row],[Site ID (from DATIM)]],"[Measures].[MMS_180+_P]")</f>
        <v/>
      </c>
      <c r="CI35" s="68" t="str" vm="10111">
        <f>CUBEVALUE(ConnectionString,ReportMonth,Table1[[#This Row],[Site ID (from DATIM)]],"[Measures].[MMS_180+_A]")</f>
        <v/>
      </c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</row>
    <row r="36" spans="1:107" x14ac:dyDescent="0.25">
      <c r="A36" s="66">
        <v>4</v>
      </c>
      <c r="B36" s="67" t="str" vm="4">
        <f t="shared" si="1"/>
        <v>Mar-2021</v>
      </c>
      <c r="C36" s="67"/>
      <c r="D36" s="67" t="s">
        <v>232</v>
      </c>
      <c r="E36" s="67" t="s">
        <v>233</v>
      </c>
      <c r="F36" s="67" t="s">
        <v>437</v>
      </c>
      <c r="G36" s="67"/>
      <c r="H36" s="67" t="s">
        <v>438</v>
      </c>
      <c r="I36" s="67" t="s">
        <v>485</v>
      </c>
      <c r="J36" s="67" t="s">
        <v>486</v>
      </c>
      <c r="K36" s="67" t="s">
        <v>487</v>
      </c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 t="str" vm="3503">
        <f>CUBEVALUE(ConnectionString,ReportMonth,Table1[[#This Row],[Site ID (from DATIM)]],"TX_NEW_2VIS")</f>
        <v/>
      </c>
      <c r="AE36" s="67" t="str" vm="2064">
        <f>CUBEVALUE(ConnectionString,ReportMonth,Table1[[#This Row],[Site ID (from DATIM)]],INDEX(SDI_Measures,1))</f>
        <v/>
      </c>
      <c r="AF36" s="67" t="str" vm="3940">
        <f>CUBEVALUE(ConnectionString,ReportMonth,Table1[[#This Row],[Site ID (from DATIM)]],INDEX(SDI_Measures,2))</f>
        <v/>
      </c>
      <c r="AG36" s="67" t="str" vm="875">
        <f>CUBEVALUE(ConnectionString,ReportMonth,Table1[[#This Row],[Site ID (from DATIM)]],INDEX(SDI_Measures,3))</f>
        <v/>
      </c>
      <c r="AH36" s="67" t="str" vm="580">
        <f>CUBEVALUE(ConnectionString,ReportMonth,Table1[[#This Row],[Site ID (from DATIM)]],"TX_CURR_PRIOR_MONTH")</f>
        <v/>
      </c>
      <c r="AI36" s="67" t="str" vm="911">
        <f>CUBEVALUE(ConnectionString,ReportMonth,Table1[[#This Row],[Site ID (from DATIM)]],"TX_CURR")</f>
        <v/>
      </c>
      <c r="AJ36" s="67" t="str" vm="2622">
        <f>CUBEVALUE(ConnectionString,ReportMonth,Table1[[#This Row],[Site ID (from DATIM)]],"[Measures].[TI]")</f>
        <v/>
      </c>
      <c r="AK36" s="67" t="str" vm="1295">
        <f>CUBEVALUE(ConnectionString,ReportMonth,Table1[[#This Row],[Site ID (from DATIM)]],"[Measures].[TO]")</f>
        <v/>
      </c>
      <c r="AL36" s="67" t="str" vm="2560">
        <f>CUBEVALUE(ConnectionString,ReportMonth,Table1[[#This Row],[Site ID (from DATIM)]],"[Measures].[DIED]")</f>
        <v/>
      </c>
      <c r="AM36" s="67" t="str" vm="3663">
        <f>CUBEVALUE(ConnectionString,ReportMonth,Table1[[#This Row],[Site ID (from DATIM)]],"[Measures].[MMS_01_31]")</f>
        <v/>
      </c>
      <c r="AN36" s="67" t="str" vm="5019">
        <f>CUBEVALUE(ConnectionString,ReportMonth,Table1[[#This Row],[Site ID (from DATIM)]],"[Measures].[MMS_32_62]")</f>
        <v/>
      </c>
      <c r="AO36" s="67" t="str" vm="8541">
        <f>CUBEVALUE(ConnectionString,ReportMonth,Table1[[#This Row],[Site ID (from DATIM)]],"[Measures].[MMS_63+]")</f>
        <v/>
      </c>
      <c r="AP36" s="67" t="str" vm="6640">
        <f>CUBEVALUE(ConnectionString,ReportMonth,Table1[[#This Row],[Site ID (from DATIM)]],"[Measures].[TBPREV_D]")</f>
        <v/>
      </c>
      <c r="AQ36" s="67" t="str" vm="6397">
        <f>CUBEVALUE(ConnectionString,ReportMonth,Table1[[#This Row],[Site ID (from DATIM)]],"[Measures].[TBPREV_N]")</f>
        <v/>
      </c>
      <c r="AR36" s="67" t="str" vm="7181">
        <f>CUBEVALUE(ConnectionString,ReportMonth,Table1[[#This Row],[Site ID (from DATIM)]],"[Measures].[TBPREV_NEW]")</f>
        <v/>
      </c>
      <c r="AS36" s="67" t="str" vm="8646">
        <f>CUBEVALUE(ConnectionString,ReportMonth,Table1[[#This Row],[Site ID (from DATIM)]],"[Measures].[HVL_ELIG_P]")</f>
        <v/>
      </c>
      <c r="AT36" s="67" t="str" vm="9968">
        <f>CUBEVALUE(ConnectionString,ReportMonth,Table1[[#This Row],[Site ID (from DATIM)]],"[Measures].[HVL_D_P]")</f>
        <v/>
      </c>
      <c r="AU36" s="67" t="str" vm="8074">
        <f>CUBEVALUE(ConnectionString,ReportMonth,Table1[[#This Row],[Site ID (from DATIM)]],"[Measures].[HVL_N_P]")</f>
        <v/>
      </c>
      <c r="AV36" s="68" t="str" vm="8406">
        <f>CUBEVALUE(ConnectionString,ReportMonth,Table1[[#This Row],[Site ID (from DATIM)]],"[Measures].[HVL_ELIG_A]")</f>
        <v/>
      </c>
      <c r="AW36" s="68" t="str" vm="11122">
        <f>CUBEVALUE(ConnectionString,ReportMonth,Table1[[#This Row],[Site ID (from DATIM)]],"[Measures].[HVL_D_A]")</f>
        <v/>
      </c>
      <c r="AX36" s="68" t="str" vm="10509">
        <f>CUBEVALUE(ConnectionString,ReportMonth,Table1[[#This Row],[Site ID (from DATIM)]],"[Measures].[HVL_N_A]")</f>
        <v/>
      </c>
      <c r="AY36" s="67"/>
      <c r="AZ36" s="67"/>
      <c r="BA36" s="67"/>
      <c r="BB36" s="67"/>
      <c r="BC36" s="67"/>
      <c r="BD36" s="67"/>
      <c r="BE36" s="67"/>
      <c r="BF36" s="67"/>
      <c r="BG36" s="67" t="str" vm="14180">
        <f>CUBEVALUE(ConnectionString,ReportMonth,Table1[[#This Row],[Site ID (from DATIM)]],"[Measures].[TX_NEW_F_A]")</f>
        <v/>
      </c>
      <c r="BH36" s="67" t="str" vm="12055">
        <f>CUBEVALUE(ConnectionString,ReportMonth,Table1[[#This Row],[Site ID (from DATIM)]],"[Measures].[TX_NEW_M_A]")</f>
        <v/>
      </c>
      <c r="BI36" s="67" t="str" vm="15305">
        <f>CUBEVALUE(ConnectionString,ReportMonth,Table1[[#This Row],[Site ID (from DATIM)]],"[Measures].[TX_NEW_F_P]")</f>
        <v/>
      </c>
      <c r="BJ36" s="68" t="str" vm="16197">
        <f>CUBEVALUE(ConnectionString,ReportMonth,Table1[[#This Row],[Site ID (from DATIM)]],"[Measures].[TX_NEW_M_P]")</f>
        <v/>
      </c>
      <c r="BK36" s="68"/>
      <c r="BL36" s="68"/>
      <c r="BM36" s="68"/>
      <c r="BN36" s="68"/>
      <c r="BO36" s="68"/>
      <c r="BP36" s="68"/>
      <c r="BQ36" s="68" t="str" vm="11491">
        <f>CUBEVALUE(ConnectionString,ReportMonth,Table1[[#This Row],[Site ID (from DATIM)]],"[Measures].[TX_CURR_F_P]")</f>
        <v/>
      </c>
      <c r="BR36" s="68" t="str" vm="8513">
        <f>CUBEVALUE(ConnectionString,ReportMonth,Table1[[#This Row],[Site ID (from DATIM)]],"[Measures].[TX_CURR_M_P]")</f>
        <v/>
      </c>
      <c r="BS36" s="68" t="str" vm="13367">
        <f>CUBEVALUE(ConnectionString,ReportMonth,Table1[[#This Row],[Site ID (from DATIM)]],"[Measures].[TX_CURR_F_A]")</f>
        <v/>
      </c>
      <c r="BT36" s="68" t="str" vm="7032">
        <f>CUBEVALUE(ConnectionString,ReportMonth,Table1[[#This Row],[Site ID (from DATIM)]],"[Measures].[TX_CURR_M_A]")</f>
        <v/>
      </c>
      <c r="BU36" s="68" t="str" vm="20083">
        <f>CUBEVALUE(ConnectionString,ReportMonth,Table1[[#This Row],[Site ID (from DATIM)]],"[Measures].[MMS_01_89_F_P]")</f>
        <v/>
      </c>
      <c r="BV36" s="68" t="str" vm="19477">
        <f>CUBEVALUE(ConnectionString,ReportMonth,Table1[[#This Row],[Site ID (from DATIM)]],"[Measures].[MMS_01_89_M_P]")</f>
        <v/>
      </c>
      <c r="BW36" s="68" t="str" vm="17812">
        <f>CUBEVALUE(ConnectionString,ReportMonth,Table1[[#This Row],[Site ID (from DATIM)]],"[Measures].[MMS_01_89_F_A]")</f>
        <v/>
      </c>
      <c r="BX36" s="68" t="str" vm="19418">
        <f>CUBEVALUE(ConnectionString,ReportMonth,Table1[[#This Row],[Site ID (from DATIM)]],"[Measures].[MMS_01_89_M_A]")</f>
        <v/>
      </c>
      <c r="BY36" s="68" t="str" vm="17946">
        <f>CUBEVALUE(ConnectionString,ReportMonth,Table1[[#This Row],[Site ID (from DATIM)]],"[Measures].[MMS_90_179_F_P]")</f>
        <v/>
      </c>
      <c r="BZ36" s="68" t="str" vm="17894">
        <f>CUBEVALUE(ConnectionString,ReportMonth,Table1[[#This Row],[Site ID (from DATIM)]],"[Measures].[MMS_90_179_M_P]")</f>
        <v/>
      </c>
      <c r="CA36" s="68" t="str" vm="16443">
        <f>CUBEVALUE(ConnectionString,ReportMonth,Table1[[#This Row],[Site ID (from DATIM)]],"[Measures].[MMS_90_179_F_A]")</f>
        <v/>
      </c>
      <c r="CB36" s="68" t="str" vm="20235">
        <f>CUBEVALUE(ConnectionString,ReportMonth,Table1[[#This Row],[Site ID (from DATIM)]],"[Measures].[MMS_90_179_M_A]")</f>
        <v/>
      </c>
      <c r="CC36" s="68" t="str" vm="16747">
        <f>CUBEVALUE(ConnectionString,ReportMonth,Table1[[#This Row],[Site ID (from DATIM)]],"[Measures].[MMS_180+_F_P]")</f>
        <v/>
      </c>
      <c r="CD36" s="68" t="str" vm="15841">
        <f>CUBEVALUE(ConnectionString,ReportMonth,Table1[[#This Row],[Site ID (from DATIM)]],"[Measures].[MMS_180+_M_P]")</f>
        <v/>
      </c>
      <c r="CE36" s="68" t="str" vm="16720">
        <f>CUBEVALUE(ConnectionString,ReportMonth,Table1[[#This Row],[Site ID (from DATIM)]],"[Measures].[MMS_180+_F_A]")</f>
        <v/>
      </c>
      <c r="CF36" s="68" t="str" vm="101">
        <f>CUBEVALUE(ConnectionString,ReportMonth,Table1[[#This Row],[Site ID (from DATIM)]],"[Measures].[MMS_180+_M_A]")</f>
        <v/>
      </c>
      <c r="CG36" s="68" t="str" vm="5075">
        <f>CUBEVALUE(ConnectionString,ReportMonth,Table1[[#This Row],[Site ID (from DATIM)]],"[Measures].[MISSEDAPP]")</f>
        <v/>
      </c>
      <c r="CH36" s="68" t="str" vm="12371">
        <f>CUBEVALUE(ConnectionString,ReportMonth,Table1[[#This Row],[Site ID (from DATIM)]],"[Measures].[MMS_180+_P]")</f>
        <v/>
      </c>
      <c r="CI36" s="68" t="str" vm="14054">
        <f>CUBEVALUE(ConnectionString,ReportMonth,Table1[[#This Row],[Site ID (from DATIM)]],"[Measures].[MMS_180+_A]")</f>
        <v/>
      </c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</row>
    <row r="37" spans="1:107" x14ac:dyDescent="0.25">
      <c r="A37" s="66">
        <v>2</v>
      </c>
      <c r="B37" s="67" t="str" vm="4">
        <f t="shared" si="1"/>
        <v>Mar-2021</v>
      </c>
      <c r="C37" s="67"/>
      <c r="D37" s="67" t="s">
        <v>232</v>
      </c>
      <c r="E37" s="67" t="s">
        <v>233</v>
      </c>
      <c r="F37" s="67" t="s">
        <v>437</v>
      </c>
      <c r="G37" s="67"/>
      <c r="H37" s="67" t="s">
        <v>488</v>
      </c>
      <c r="I37" s="67" t="s">
        <v>489</v>
      </c>
      <c r="J37" s="67" t="s">
        <v>490</v>
      </c>
      <c r="K37" s="67" t="s">
        <v>491</v>
      </c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 vm="2332">
        <f>CUBEVALUE(ConnectionString,ReportMonth,Table1[[#This Row],[Site ID (from DATIM)]],"TX_NEW_2VIS")</f>
        <v>8</v>
      </c>
      <c r="AE37" s="67" vm="559">
        <f>CUBEVALUE(ConnectionString,ReportMonth,Table1[[#This Row],[Site ID (from DATIM)]],INDEX(SDI_Measures,1))</f>
        <v>18</v>
      </c>
      <c r="AF37" s="67" t="str" vm="724">
        <f>CUBEVALUE(ConnectionString,ReportMonth,Table1[[#This Row],[Site ID (from DATIM)]],INDEX(SDI_Measures,2))</f>
        <v/>
      </c>
      <c r="AG37" s="67" t="str" vm="1033">
        <f>CUBEVALUE(ConnectionString,ReportMonth,Table1[[#This Row],[Site ID (from DATIM)]],INDEX(SDI_Measures,3))</f>
        <v/>
      </c>
      <c r="AH37" s="67" vm="4362">
        <f>CUBEVALUE(ConnectionString,ReportMonth,Table1[[#This Row],[Site ID (from DATIM)]],"TX_CURR_PRIOR_MONTH")</f>
        <v>1051</v>
      </c>
      <c r="AI37" s="67" vm="4524">
        <f>CUBEVALUE(ConnectionString,ReportMonth,Table1[[#This Row],[Site ID (from DATIM)]],"TX_CURR")</f>
        <v>1067</v>
      </c>
      <c r="AJ37" s="67" vm="5564">
        <f>CUBEVALUE(ConnectionString,ReportMonth,Table1[[#This Row],[Site ID (from DATIM)]],"[Measures].[TI]")</f>
        <v>2</v>
      </c>
      <c r="AK37" s="67" vm="3216">
        <f>CUBEVALUE(ConnectionString,ReportMonth,Table1[[#This Row],[Site ID (from DATIM)]],"[Measures].[TO]")</f>
        <v>1</v>
      </c>
      <c r="AL37" s="67" vm="4229">
        <f>CUBEVALUE(ConnectionString,ReportMonth,Table1[[#This Row],[Site ID (from DATIM)]],"[Measures].[DIED]")</f>
        <v>1</v>
      </c>
      <c r="AM37" s="67" vm="4754">
        <f>CUBEVALUE(ConnectionString,ReportMonth,Table1[[#This Row],[Site ID (from DATIM)]],"[Measures].[MMS_01_31]")</f>
        <v>343</v>
      </c>
      <c r="AN37" s="67" vm="4004">
        <f>CUBEVALUE(ConnectionString,ReportMonth,Table1[[#This Row],[Site ID (from DATIM)]],"[Measures].[MMS_32_62]")</f>
        <v>21</v>
      </c>
      <c r="AO37" s="67" vm="4937">
        <f>CUBEVALUE(ConnectionString,ReportMonth,Table1[[#This Row],[Site ID (from DATIM)]],"[Measures].[MMS_63+]")</f>
        <v>703</v>
      </c>
      <c r="AP37" s="67" vm="5429">
        <f>CUBEVALUE(ConnectionString,ReportMonth,Table1[[#This Row],[Site ID (from DATIM)]],"[Measures].[TBPREV_D]")</f>
        <v>25</v>
      </c>
      <c r="AQ37" s="67" vm="10761">
        <f>CUBEVALUE(ConnectionString,ReportMonth,Table1[[#This Row],[Site ID (from DATIM)]],"[Measures].[TBPREV_N]")</f>
        <v>25</v>
      </c>
      <c r="AR37" s="67" vm="5530">
        <f>CUBEVALUE(ConnectionString,ReportMonth,Table1[[#This Row],[Site ID (from DATIM)]],"[Measures].[TBPREV_NEW]")</f>
        <v>19</v>
      </c>
      <c r="AS37" s="67" vm="4687">
        <f>CUBEVALUE(ConnectionString,ReportMonth,Table1[[#This Row],[Site ID (from DATIM)]],"[Measures].[HVL_ELIG_P]")</f>
        <v>43</v>
      </c>
      <c r="AT37" s="67" vm="7564">
        <f>CUBEVALUE(ConnectionString,ReportMonth,Table1[[#This Row],[Site ID (from DATIM)]],"[Measures].[HVL_D_P]")</f>
        <v>39</v>
      </c>
      <c r="AU37" s="67" vm="8740">
        <f>CUBEVALUE(ConnectionString,ReportMonth,Table1[[#This Row],[Site ID (from DATIM)]],"[Measures].[HVL_N_P]")</f>
        <v>34</v>
      </c>
      <c r="AV37" s="68" vm="9385">
        <f>CUBEVALUE(ConnectionString,ReportMonth,Table1[[#This Row],[Site ID (from DATIM)]],"[Measures].[HVL_ELIG_A]")</f>
        <v>857</v>
      </c>
      <c r="AW37" s="68" vm="9301">
        <f>CUBEVALUE(ConnectionString,ReportMonth,Table1[[#This Row],[Site ID (from DATIM)]],"[Measures].[HVL_D_A]")</f>
        <v>698</v>
      </c>
      <c r="AX37" s="68" vm="9068">
        <f>CUBEVALUE(ConnectionString,ReportMonth,Table1[[#This Row],[Site ID (from DATIM)]],"[Measures].[HVL_N_A]")</f>
        <v>654</v>
      </c>
      <c r="AY37" s="67"/>
      <c r="AZ37" s="67"/>
      <c r="BA37" s="67"/>
      <c r="BB37" s="67"/>
      <c r="BC37" s="67"/>
      <c r="BD37" s="67"/>
      <c r="BE37" s="67"/>
      <c r="BF37" s="67"/>
      <c r="BG37" s="67" vm="12271">
        <f>CUBEVALUE(ConnectionString,ReportMonth,Table1[[#This Row],[Site ID (from DATIM)]],"[Measures].[TX_NEW_F_A]")</f>
        <v>8</v>
      </c>
      <c r="BH37" s="67" vm="14824">
        <f>CUBEVALUE(ConnectionString,ReportMonth,Table1[[#This Row],[Site ID (from DATIM)]],"[Measures].[TX_NEW_M_A]")</f>
        <v>10</v>
      </c>
      <c r="BI37" s="67" t="str" vm="13955">
        <f>CUBEVALUE(ConnectionString,ReportMonth,Table1[[#This Row],[Site ID (from DATIM)]],"[Measures].[TX_NEW_F_P]")</f>
        <v/>
      </c>
      <c r="BJ37" s="68" t="str" vm="13437">
        <f>CUBEVALUE(ConnectionString,ReportMonth,Table1[[#This Row],[Site ID (from DATIM)]],"[Measures].[TX_NEW_M_P]")</f>
        <v/>
      </c>
      <c r="BK37" s="68"/>
      <c r="BL37" s="68"/>
      <c r="BM37" s="68"/>
      <c r="BN37" s="68"/>
      <c r="BO37" s="68"/>
      <c r="BP37" s="68"/>
      <c r="BQ37" s="68" vm="11830">
        <f>CUBEVALUE(ConnectionString,ReportMonth,Table1[[#This Row],[Site ID (from DATIM)]],"[Measures].[TX_CURR_F_P]")</f>
        <v>22</v>
      </c>
      <c r="BR37" s="68" vm="12144">
        <f>CUBEVALUE(ConnectionString,ReportMonth,Table1[[#This Row],[Site ID (from DATIM)]],"[Measures].[TX_CURR_M_P]")</f>
        <v>29</v>
      </c>
      <c r="BS37" s="68" vm="10831">
        <f>CUBEVALUE(ConnectionString,ReportMonth,Table1[[#This Row],[Site ID (from DATIM)]],"[Measures].[TX_CURR_F_A]")</f>
        <v>728</v>
      </c>
      <c r="BT37" s="68" vm="10102">
        <f>CUBEVALUE(ConnectionString,ReportMonth,Table1[[#This Row],[Site ID (from DATIM)]],"[Measures].[TX_CURR_M_A]")</f>
        <v>288</v>
      </c>
      <c r="BU37" s="68" vm="18394">
        <f>CUBEVALUE(ConnectionString,ReportMonth,Table1[[#This Row],[Site ID (from DATIM)]],"[Measures].[MMS_01_89_F_P]")</f>
        <v>12</v>
      </c>
      <c r="BV37" s="68" vm="18333">
        <f>CUBEVALUE(ConnectionString,ReportMonth,Table1[[#This Row],[Site ID (from DATIM)]],"[Measures].[MMS_01_89_M_P]")</f>
        <v>14</v>
      </c>
      <c r="BW37" s="68" vm="18968">
        <f>CUBEVALUE(ConnectionString,ReportMonth,Table1[[#This Row],[Site ID (from DATIM)]],"[Measures].[MMS_01_89_F_A]")</f>
        <v>243</v>
      </c>
      <c r="BX37" s="68" vm="18243">
        <f>CUBEVALUE(ConnectionString,ReportMonth,Table1[[#This Row],[Site ID (from DATIM)]],"[Measures].[MMS_01_89_M_A]")</f>
        <v>96</v>
      </c>
      <c r="BY37" s="68" vm="19636">
        <f>CUBEVALUE(ConnectionString,ReportMonth,Table1[[#This Row],[Site ID (from DATIM)]],"[Measures].[MMS_90_179_F_P]")</f>
        <v>10</v>
      </c>
      <c r="BZ37" s="68" vm="17324">
        <f>CUBEVALUE(ConnectionString,ReportMonth,Table1[[#This Row],[Site ID (from DATIM)]],"[Measures].[MMS_90_179_M_P]")</f>
        <v>15</v>
      </c>
      <c r="CA37" s="68" vm="14693">
        <f>CUBEVALUE(ConnectionString,ReportMonth,Table1[[#This Row],[Site ID (from DATIM)]],"[Measures].[MMS_90_179_F_A]")</f>
        <v>485</v>
      </c>
      <c r="CB37" s="68" vm="17633">
        <f>CUBEVALUE(ConnectionString,ReportMonth,Table1[[#This Row],[Site ID (from DATIM)]],"[Measures].[MMS_90_179_M_A]")</f>
        <v>192</v>
      </c>
      <c r="CC37" s="68" t="str" vm="17603">
        <f>CUBEVALUE(ConnectionString,ReportMonth,Table1[[#This Row],[Site ID (from DATIM)]],"[Measures].[MMS_180+_F_P]")</f>
        <v/>
      </c>
      <c r="CD37" s="68" t="str" vm="104">
        <f>CUBEVALUE(ConnectionString,ReportMonth,Table1[[#This Row],[Site ID (from DATIM)]],"[Measures].[MMS_180+_M_P]")</f>
        <v/>
      </c>
      <c r="CE37" s="68" t="str" vm="16649">
        <f>CUBEVALUE(ConnectionString,ReportMonth,Table1[[#This Row],[Site ID (from DATIM)]],"[Measures].[MMS_180+_F_A]")</f>
        <v/>
      </c>
      <c r="CF37" s="68" t="str" vm="173">
        <f>CUBEVALUE(ConnectionString,ReportMonth,Table1[[#This Row],[Site ID (from DATIM)]],"[Measures].[MMS_180+_M_A]")</f>
        <v/>
      </c>
      <c r="CG37" s="68" vm="7574">
        <f>CUBEVALUE(ConnectionString,ReportMonth,Table1[[#This Row],[Site ID (from DATIM)]],"[Measures].[MISSEDAPP]")</f>
        <v>264</v>
      </c>
      <c r="CH37" s="68" t="str" vm="11155">
        <f>CUBEVALUE(ConnectionString,ReportMonth,Table1[[#This Row],[Site ID (from DATIM)]],"[Measures].[MMS_180+_P]")</f>
        <v/>
      </c>
      <c r="CI37" s="68" t="str" vm="11955">
        <f>CUBEVALUE(ConnectionString,ReportMonth,Table1[[#This Row],[Site ID (from DATIM)]],"[Measures].[MMS_180+_A]")</f>
        <v/>
      </c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</row>
    <row r="38" spans="1:107" x14ac:dyDescent="0.25">
      <c r="A38" s="66">
        <v>4</v>
      </c>
      <c r="B38" s="67" t="str" vm="4">
        <f t="shared" si="1"/>
        <v>Mar-2021</v>
      </c>
      <c r="C38" s="67"/>
      <c r="D38" s="67" t="s">
        <v>232</v>
      </c>
      <c r="E38" s="67" t="s">
        <v>233</v>
      </c>
      <c r="F38" s="67" t="s">
        <v>437</v>
      </c>
      <c r="G38" s="67"/>
      <c r="H38" s="67" t="s">
        <v>478</v>
      </c>
      <c r="I38" s="67" t="s">
        <v>492</v>
      </c>
      <c r="J38" s="67" t="s">
        <v>493</v>
      </c>
      <c r="K38" s="67" t="s">
        <v>494</v>
      </c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 t="str" vm="3633">
        <f>CUBEVALUE(ConnectionString,ReportMonth,Table1[[#This Row],[Site ID (from DATIM)]],"TX_NEW_2VIS")</f>
        <v/>
      </c>
      <c r="AE38" s="67" t="str" vm="799">
        <f>CUBEVALUE(ConnectionString,ReportMonth,Table1[[#This Row],[Site ID (from DATIM)]],INDEX(SDI_Measures,1))</f>
        <v/>
      </c>
      <c r="AF38" s="67" t="str" vm="20219">
        <f>CUBEVALUE(ConnectionString,ReportMonth,Table1[[#This Row],[Site ID (from DATIM)]],INDEX(SDI_Measures,2))</f>
        <v/>
      </c>
      <c r="AG38" s="67" t="str" vm="3123">
        <f>CUBEVALUE(ConnectionString,ReportMonth,Table1[[#This Row],[Site ID (from DATIM)]],INDEX(SDI_Measures,3))</f>
        <v/>
      </c>
      <c r="AH38" s="67" t="str" vm="2564">
        <f>CUBEVALUE(ConnectionString,ReportMonth,Table1[[#This Row],[Site ID (from DATIM)]],"TX_CURR_PRIOR_MONTH")</f>
        <v/>
      </c>
      <c r="AI38" s="67" t="str" vm="2196">
        <f>CUBEVALUE(ConnectionString,ReportMonth,Table1[[#This Row],[Site ID (from DATIM)]],"TX_CURR")</f>
        <v/>
      </c>
      <c r="AJ38" s="67" t="str" vm="1954">
        <f>CUBEVALUE(ConnectionString,ReportMonth,Table1[[#This Row],[Site ID (from DATIM)]],"[Measures].[TI]")</f>
        <v/>
      </c>
      <c r="AK38" s="67" t="str" vm="554">
        <f>CUBEVALUE(ConnectionString,ReportMonth,Table1[[#This Row],[Site ID (from DATIM)]],"[Measures].[TO]")</f>
        <v/>
      </c>
      <c r="AL38" s="67" t="str" vm="1147">
        <f>CUBEVALUE(ConnectionString,ReportMonth,Table1[[#This Row],[Site ID (from DATIM)]],"[Measures].[DIED]")</f>
        <v/>
      </c>
      <c r="AM38" s="67" t="str" vm="7261">
        <f>CUBEVALUE(ConnectionString,ReportMonth,Table1[[#This Row],[Site ID (from DATIM)]],"[Measures].[MMS_01_31]")</f>
        <v/>
      </c>
      <c r="AN38" s="67" t="str" vm="13310">
        <f>CUBEVALUE(ConnectionString,ReportMonth,Table1[[#This Row],[Site ID (from DATIM)]],"[Measures].[MMS_32_62]")</f>
        <v/>
      </c>
      <c r="AO38" s="67" t="str" vm="4678">
        <f>CUBEVALUE(ConnectionString,ReportMonth,Table1[[#This Row],[Site ID (from DATIM)]],"[Measures].[MMS_63+]")</f>
        <v/>
      </c>
      <c r="AP38" s="67" t="str" vm="6527">
        <f>CUBEVALUE(ConnectionString,ReportMonth,Table1[[#This Row],[Site ID (from DATIM)]],"[Measures].[TBPREV_D]")</f>
        <v/>
      </c>
      <c r="AQ38" s="67" t="str" vm="7565">
        <f>CUBEVALUE(ConnectionString,ReportMonth,Table1[[#This Row],[Site ID (from DATIM)]],"[Measures].[TBPREV_N]")</f>
        <v/>
      </c>
      <c r="AR38" s="67" t="str" vm="5427">
        <f>CUBEVALUE(ConnectionString,ReportMonth,Table1[[#This Row],[Site ID (from DATIM)]],"[Measures].[TBPREV_NEW]")</f>
        <v/>
      </c>
      <c r="AS38" s="67" t="str" vm="6270">
        <f>CUBEVALUE(ConnectionString,ReportMonth,Table1[[#This Row],[Site ID (from DATIM)]],"[Measures].[HVL_ELIG_P]")</f>
        <v/>
      </c>
      <c r="AT38" s="67" t="str" vm="8152">
        <f>CUBEVALUE(ConnectionString,ReportMonth,Table1[[#This Row],[Site ID (from DATIM)]],"[Measures].[HVL_D_P]")</f>
        <v/>
      </c>
      <c r="AU38" s="67" t="str" vm="12134">
        <f>CUBEVALUE(ConnectionString,ReportMonth,Table1[[#This Row],[Site ID (from DATIM)]],"[Measures].[HVL_N_P]")</f>
        <v/>
      </c>
      <c r="AV38" s="68" t="str" vm="10561">
        <f>CUBEVALUE(ConnectionString,ReportMonth,Table1[[#This Row],[Site ID (from DATIM)]],"[Measures].[HVL_ELIG_A]")</f>
        <v/>
      </c>
      <c r="AW38" s="68" t="str" vm="8425">
        <f>CUBEVALUE(ConnectionString,ReportMonth,Table1[[#This Row],[Site ID (from DATIM)]],"[Measures].[HVL_D_A]")</f>
        <v/>
      </c>
      <c r="AX38" s="68" t="str" vm="9510">
        <f>CUBEVALUE(ConnectionString,ReportMonth,Table1[[#This Row],[Site ID (from DATIM)]],"[Measures].[HVL_N_A]")</f>
        <v/>
      </c>
      <c r="AY38" s="67"/>
      <c r="AZ38" s="67"/>
      <c r="BA38" s="67"/>
      <c r="BB38" s="67"/>
      <c r="BC38" s="67"/>
      <c r="BD38" s="67"/>
      <c r="BE38" s="67"/>
      <c r="BF38" s="67"/>
      <c r="BG38" s="67" t="str" vm="11912">
        <f>CUBEVALUE(ConnectionString,ReportMonth,Table1[[#This Row],[Site ID (from DATIM)]],"[Measures].[TX_NEW_F_A]")</f>
        <v/>
      </c>
      <c r="BH38" s="67" t="str" vm="13846">
        <f>CUBEVALUE(ConnectionString,ReportMonth,Table1[[#This Row],[Site ID (from DATIM)]],"[Measures].[TX_NEW_M_A]")</f>
        <v/>
      </c>
      <c r="BI38" s="67" t="str" vm="16614">
        <f>CUBEVALUE(ConnectionString,ReportMonth,Table1[[#This Row],[Site ID (from DATIM)]],"[Measures].[TX_NEW_F_P]")</f>
        <v/>
      </c>
      <c r="BJ38" s="68" t="str" vm="12843">
        <f>CUBEVALUE(ConnectionString,ReportMonth,Table1[[#This Row],[Site ID (from DATIM)]],"[Measures].[TX_NEW_M_P]")</f>
        <v/>
      </c>
      <c r="BK38" s="68"/>
      <c r="BL38" s="68"/>
      <c r="BM38" s="68"/>
      <c r="BN38" s="68"/>
      <c r="BO38" s="68"/>
      <c r="BP38" s="68"/>
      <c r="BQ38" s="68" t="str" vm="12131">
        <f>CUBEVALUE(ConnectionString,ReportMonth,Table1[[#This Row],[Site ID (from DATIM)]],"[Measures].[TX_CURR_F_P]")</f>
        <v/>
      </c>
      <c r="BR38" s="68" t="str" vm="9442">
        <f>CUBEVALUE(ConnectionString,ReportMonth,Table1[[#This Row],[Site ID (from DATIM)]],"[Measures].[TX_CURR_M_P]")</f>
        <v/>
      </c>
      <c r="BS38" s="68" t="str" vm="9760">
        <f>CUBEVALUE(ConnectionString,ReportMonth,Table1[[#This Row],[Site ID (from DATIM)]],"[Measures].[TX_CURR_F_A]")</f>
        <v/>
      </c>
      <c r="BT38" s="68" t="str" vm="12739">
        <f>CUBEVALUE(ConnectionString,ReportMonth,Table1[[#This Row],[Site ID (from DATIM)]],"[Measures].[TX_CURR_M_A]")</f>
        <v/>
      </c>
      <c r="BU38" s="68" t="str" vm="18940">
        <f>CUBEVALUE(ConnectionString,ReportMonth,Table1[[#This Row],[Site ID (from DATIM)]],"[Measures].[MMS_01_89_F_P]")</f>
        <v/>
      </c>
      <c r="BV38" s="68" t="str" vm="18108">
        <f>CUBEVALUE(ConnectionString,ReportMonth,Table1[[#This Row],[Site ID (from DATIM)]],"[Measures].[MMS_01_89_M_P]")</f>
        <v/>
      </c>
      <c r="BW38" s="68" t="str" vm="18199">
        <f>CUBEVALUE(ConnectionString,ReportMonth,Table1[[#This Row],[Site ID (from DATIM)]],"[Measures].[MMS_01_89_F_A]")</f>
        <v/>
      </c>
      <c r="BX38" s="68" t="str" vm="19131">
        <f>CUBEVALUE(ConnectionString,ReportMonth,Table1[[#This Row],[Site ID (from DATIM)]],"[Measures].[MMS_01_89_M_A]")</f>
        <v/>
      </c>
      <c r="BY38" s="68" t="str" vm="19968">
        <f>CUBEVALUE(ConnectionString,ReportMonth,Table1[[#This Row],[Site ID (from DATIM)]],"[Measures].[MMS_90_179_F_P]")</f>
        <v/>
      </c>
      <c r="BZ38" s="68" t="str" vm="18453">
        <f>CUBEVALUE(ConnectionString,ReportMonth,Table1[[#This Row],[Site ID (from DATIM)]],"[Measures].[MMS_90_179_M_P]")</f>
        <v/>
      </c>
      <c r="CA38" s="68" t="str" vm="15530">
        <f>CUBEVALUE(ConnectionString,ReportMonth,Table1[[#This Row],[Site ID (from DATIM)]],"[Measures].[MMS_90_179_F_A]")</f>
        <v/>
      </c>
      <c r="CB38" s="68" t="str" vm="15620">
        <f>CUBEVALUE(ConnectionString,ReportMonth,Table1[[#This Row],[Site ID (from DATIM)]],"[Measures].[MMS_90_179_M_A]")</f>
        <v/>
      </c>
      <c r="CC38" s="68" t="str" vm="16762">
        <f>CUBEVALUE(ConnectionString,ReportMonth,Table1[[#This Row],[Site ID (from DATIM)]],"[Measures].[MMS_180+_F_P]")</f>
        <v/>
      </c>
      <c r="CD38" s="68" t="str" vm="63">
        <f>CUBEVALUE(ConnectionString,ReportMonth,Table1[[#This Row],[Site ID (from DATIM)]],"[Measures].[MMS_180+_M_P]")</f>
        <v/>
      </c>
      <c r="CE38" s="68" t="str" vm="16268">
        <f>CUBEVALUE(ConnectionString,ReportMonth,Table1[[#This Row],[Site ID (from DATIM)]],"[Measures].[MMS_180+_F_A]")</f>
        <v/>
      </c>
      <c r="CF38" s="68" t="str" vm="20224">
        <f>CUBEVALUE(ConnectionString,ReportMonth,Table1[[#This Row],[Site ID (from DATIM)]],"[Measures].[MMS_180+_M_A]")</f>
        <v/>
      </c>
      <c r="CG38" s="68" t="str" vm="6974">
        <f>CUBEVALUE(ConnectionString,ReportMonth,Table1[[#This Row],[Site ID (from DATIM)]],"[Measures].[MISSEDAPP]")</f>
        <v/>
      </c>
      <c r="CH38" s="68" t="str" vm="10853">
        <f>CUBEVALUE(ConnectionString,ReportMonth,Table1[[#This Row],[Site ID (from DATIM)]],"[Measures].[MMS_180+_P]")</f>
        <v/>
      </c>
      <c r="CI38" s="68" t="str" vm="10942">
        <f>CUBEVALUE(ConnectionString,ReportMonth,Table1[[#This Row],[Site ID (from DATIM)]],"[Measures].[MMS_180+_A]")</f>
        <v/>
      </c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</row>
    <row r="39" spans="1:107" x14ac:dyDescent="0.25">
      <c r="A39" s="66">
        <v>4</v>
      </c>
      <c r="B39" s="67" t="str" vm="4">
        <f t="shared" si="1"/>
        <v>Mar-2021</v>
      </c>
      <c r="C39" s="67"/>
      <c r="D39" s="67" t="s">
        <v>232</v>
      </c>
      <c r="E39" s="67" t="s">
        <v>233</v>
      </c>
      <c r="F39" s="67" t="s">
        <v>831</v>
      </c>
      <c r="G39" s="67"/>
      <c r="H39" s="67" t="s">
        <v>832</v>
      </c>
      <c r="I39" s="67" t="s">
        <v>844</v>
      </c>
      <c r="J39" s="67" t="s">
        <v>845</v>
      </c>
      <c r="K39" s="67" t="s">
        <v>846</v>
      </c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 t="str" vm="909">
        <f>CUBEVALUE(ConnectionString,ReportMonth,Table1[[#This Row],[Site ID (from DATIM)]],"TX_NEW_2VIS")</f>
        <v/>
      </c>
      <c r="AE39" s="67" vm="1633">
        <f>CUBEVALUE(ConnectionString,ReportMonth,Table1[[#This Row],[Site ID (from DATIM)]],INDEX(SDI_Measures,1))</f>
        <v>3</v>
      </c>
      <c r="AF39" s="67" t="str" vm="1075">
        <f>CUBEVALUE(ConnectionString,ReportMonth,Table1[[#This Row],[Site ID (from DATIM)]],INDEX(SDI_Measures,2))</f>
        <v/>
      </c>
      <c r="AG39" s="67" t="str" vm="994">
        <f>CUBEVALUE(ConnectionString,ReportMonth,Table1[[#This Row],[Site ID (from DATIM)]],INDEX(SDI_Measures,3))</f>
        <v/>
      </c>
      <c r="AH39" s="67" vm="2794">
        <f>CUBEVALUE(ConnectionString,ReportMonth,Table1[[#This Row],[Site ID (from DATIM)]],"TX_CURR_PRIOR_MONTH")</f>
        <v>143</v>
      </c>
      <c r="AI39" s="67" vm="600">
        <f>CUBEVALUE(ConnectionString,ReportMonth,Table1[[#This Row],[Site ID (from DATIM)]],"TX_CURR")</f>
        <v>141</v>
      </c>
      <c r="AJ39" s="67" t="str" vm="2844">
        <f>CUBEVALUE(ConnectionString,ReportMonth,Table1[[#This Row],[Site ID (from DATIM)]],"[Measures].[TI]")</f>
        <v/>
      </c>
      <c r="AK39" s="67" t="str" vm="2726">
        <f>CUBEVALUE(ConnectionString,ReportMonth,Table1[[#This Row],[Site ID (from DATIM)]],"[Measures].[TO]")</f>
        <v/>
      </c>
      <c r="AL39" s="67" t="str" vm="2188">
        <f>CUBEVALUE(ConnectionString,ReportMonth,Table1[[#This Row],[Site ID (from DATIM)]],"[Measures].[DIED]")</f>
        <v/>
      </c>
      <c r="AM39" s="67" vm="5709">
        <f>CUBEVALUE(ConnectionString,ReportMonth,Table1[[#This Row],[Site ID (from DATIM)]],"[Measures].[MMS_01_31]")</f>
        <v>42</v>
      </c>
      <c r="AN39" s="67" vm="6415">
        <f>CUBEVALUE(ConnectionString,ReportMonth,Table1[[#This Row],[Site ID (from DATIM)]],"[Measures].[MMS_32_62]")</f>
        <v>4</v>
      </c>
      <c r="AO39" s="67" vm="5797">
        <f>CUBEVALUE(ConnectionString,ReportMonth,Table1[[#This Row],[Site ID (from DATIM)]],"[Measures].[MMS_63+]")</f>
        <v>95</v>
      </c>
      <c r="AP39" s="67" vm="4910">
        <f>CUBEVALUE(ConnectionString,ReportMonth,Table1[[#This Row],[Site ID (from DATIM)]],"[Measures].[TBPREV_D]")</f>
        <v>5</v>
      </c>
      <c r="AQ39" s="67" vm="6902">
        <f>CUBEVALUE(ConnectionString,ReportMonth,Table1[[#This Row],[Site ID (from DATIM)]],"[Measures].[TBPREV_N]")</f>
        <v>2</v>
      </c>
      <c r="AR39" s="67" vm="5074">
        <f>CUBEVALUE(ConnectionString,ReportMonth,Table1[[#This Row],[Site ID (from DATIM)]],"[Measures].[TBPREV_NEW]")</f>
        <v>3</v>
      </c>
      <c r="AS39" s="67" vm="4730">
        <f>CUBEVALUE(ConnectionString,ReportMonth,Table1[[#This Row],[Site ID (from DATIM)]],"[Measures].[HVL_ELIG_P]")</f>
        <v>4</v>
      </c>
      <c r="AT39" s="67" vm="9051">
        <f>CUBEVALUE(ConnectionString,ReportMonth,Table1[[#This Row],[Site ID (from DATIM)]],"[Measures].[HVL_D_P]")</f>
        <v>3</v>
      </c>
      <c r="AU39" s="69" vm="7927">
        <f>CUBEVALUE(ConnectionString,ReportMonth,Table1[[#This Row],[Site ID (from DATIM)]],"[Measures].[HVL_N_P]")</f>
        <v>2</v>
      </c>
      <c r="AV39" s="68" vm="11309">
        <f>CUBEVALUE(ConnectionString,ReportMonth,Table1[[#This Row],[Site ID (from DATIM)]],"[Measures].[HVL_ELIG_A]")</f>
        <v>108</v>
      </c>
      <c r="AW39" s="68" vm="9295">
        <f>CUBEVALUE(ConnectionString,ReportMonth,Table1[[#This Row],[Site ID (from DATIM)]],"[Measures].[HVL_D_A]")</f>
        <v>53</v>
      </c>
      <c r="AX39" s="68" vm="9261">
        <f>CUBEVALUE(ConnectionString,ReportMonth,Table1[[#This Row],[Site ID (from DATIM)]],"[Measures].[HVL_N_A]")</f>
        <v>48</v>
      </c>
      <c r="AY39" s="67"/>
      <c r="AZ39" s="67"/>
      <c r="BA39" s="67"/>
      <c r="BB39" s="67"/>
      <c r="BC39" s="67"/>
      <c r="BD39" s="67"/>
      <c r="BE39" s="67"/>
      <c r="BF39" s="67"/>
      <c r="BG39" s="67" vm="10917">
        <f>CUBEVALUE(ConnectionString,ReportMonth,Table1[[#This Row],[Site ID (from DATIM)]],"[Measures].[TX_NEW_F_A]")</f>
        <v>2</v>
      </c>
      <c r="BH39" s="67" t="str" vm="11728">
        <f>CUBEVALUE(ConnectionString,ReportMonth,Table1[[#This Row],[Site ID (from DATIM)]],"[Measures].[TX_NEW_M_A]")</f>
        <v/>
      </c>
      <c r="BI39" s="67" vm="12291">
        <f>CUBEVALUE(ConnectionString,ReportMonth,Table1[[#This Row],[Site ID (from DATIM)]],"[Measures].[TX_NEW_F_P]")</f>
        <v>1</v>
      </c>
      <c r="BJ39" s="68" t="str" vm="15666">
        <f>CUBEVALUE(ConnectionString,ReportMonth,Table1[[#This Row],[Site ID (from DATIM)]],"[Measures].[TX_NEW_M_P]")</f>
        <v/>
      </c>
      <c r="BK39" s="68"/>
      <c r="BL39" s="68"/>
      <c r="BM39" s="68"/>
      <c r="BN39" s="68"/>
      <c r="BO39" s="68"/>
      <c r="BP39" s="68"/>
      <c r="BQ39" s="68" vm="8962">
        <f>CUBEVALUE(ConnectionString,ReportMonth,Table1[[#This Row],[Site ID (from DATIM)]],"[Measures].[TX_CURR_F_P]")</f>
        <v>1</v>
      </c>
      <c r="BR39" s="68" vm="9494">
        <f>CUBEVALUE(ConnectionString,ReportMonth,Table1[[#This Row],[Site ID (from DATIM)]],"[Measures].[TX_CURR_M_P]")</f>
        <v>8</v>
      </c>
      <c r="BS39" s="68" vm="6372">
        <f>CUBEVALUE(ConnectionString,ReportMonth,Table1[[#This Row],[Site ID (from DATIM)]],"[Measures].[TX_CURR_F_A]")</f>
        <v>86</v>
      </c>
      <c r="BT39" s="68" vm="12141">
        <f>CUBEVALUE(ConnectionString,ReportMonth,Table1[[#This Row],[Site ID (from DATIM)]],"[Measures].[TX_CURR_M_A]")</f>
        <v>46</v>
      </c>
      <c r="BU39" s="68" vm="18988">
        <f>CUBEVALUE(ConnectionString,ReportMonth,Table1[[#This Row],[Site ID (from DATIM)]],"[Measures].[MMS_01_89_F_P]")</f>
        <v>1</v>
      </c>
      <c r="BV39" s="68" vm="19962">
        <f>CUBEVALUE(ConnectionString,ReportMonth,Table1[[#This Row],[Site ID (from DATIM)]],"[Measures].[MMS_01_89_M_P]")</f>
        <v>3</v>
      </c>
      <c r="BW39" s="68" vm="18085">
        <f>CUBEVALUE(ConnectionString,ReportMonth,Table1[[#This Row],[Site ID (from DATIM)]],"[Measures].[MMS_01_89_F_A]")</f>
        <v>25</v>
      </c>
      <c r="BX39" s="68" vm="18338">
        <f>CUBEVALUE(ConnectionString,ReportMonth,Table1[[#This Row],[Site ID (from DATIM)]],"[Measures].[MMS_01_89_M_A]")</f>
        <v>18</v>
      </c>
      <c r="BY39" s="68" t="str" vm="15955">
        <f>CUBEVALUE(ConnectionString,ReportMonth,Table1[[#This Row],[Site ID (from DATIM)]],"[Measures].[MMS_90_179_F_P]")</f>
        <v/>
      </c>
      <c r="BZ39" s="68" vm="18465">
        <f>CUBEVALUE(ConnectionString,ReportMonth,Table1[[#This Row],[Site ID (from DATIM)]],"[Measures].[MMS_90_179_M_P]")</f>
        <v>5</v>
      </c>
      <c r="CA39" s="68" vm="16465">
        <f>CUBEVALUE(ConnectionString,ReportMonth,Table1[[#This Row],[Site ID (from DATIM)]],"[Measures].[MMS_90_179_F_A]")</f>
        <v>60</v>
      </c>
      <c r="CB39" s="68" vm="17297">
        <f>CUBEVALUE(ConnectionString,ReportMonth,Table1[[#This Row],[Site ID (from DATIM)]],"[Measures].[MMS_90_179_M_A]")</f>
        <v>28</v>
      </c>
      <c r="CC39" s="68" t="str" vm="17328">
        <f>CUBEVALUE(ConnectionString,ReportMonth,Table1[[#This Row],[Site ID (from DATIM)]],"[Measures].[MMS_180+_F_P]")</f>
        <v/>
      </c>
      <c r="CD39" s="68" t="str" vm="16692">
        <f>CUBEVALUE(ConnectionString,ReportMonth,Table1[[#This Row],[Site ID (from DATIM)]],"[Measures].[MMS_180+_M_P]")</f>
        <v/>
      </c>
      <c r="CE39" s="68" vm="16686">
        <f>CUBEVALUE(ConnectionString,ReportMonth,Table1[[#This Row],[Site ID (from DATIM)]],"[Measures].[MMS_180+_F_A]")</f>
        <v>1</v>
      </c>
      <c r="CF39" s="68" t="str" vm="14447">
        <f>CUBEVALUE(ConnectionString,ReportMonth,Table1[[#This Row],[Site ID (from DATIM)]],"[Measures].[MMS_180+_M_A]")</f>
        <v/>
      </c>
      <c r="CG39" s="68" vm="6885">
        <f>CUBEVALUE(ConnectionString,ReportMonth,Table1[[#This Row],[Site ID (from DATIM)]],"[Measures].[MISSEDAPP]")</f>
        <v>43</v>
      </c>
      <c r="CH39" s="68" t="str" vm="12684">
        <f>CUBEVALUE(ConnectionString,ReportMonth,Table1[[#This Row],[Site ID (from DATIM)]],"[Measures].[MMS_180+_P]")</f>
        <v/>
      </c>
      <c r="CI39" s="68" vm="13185">
        <f>CUBEVALUE(ConnectionString,ReportMonth,Table1[[#This Row],[Site ID (from DATIM)]],"[Measures].[MMS_180+_A]")</f>
        <v>1</v>
      </c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</row>
    <row r="40" spans="1:107" x14ac:dyDescent="0.25">
      <c r="A40" s="66">
        <v>3</v>
      </c>
      <c r="B40" s="67" t="str" vm="4">
        <f t="shared" si="1"/>
        <v>Mar-2021</v>
      </c>
      <c r="C40" s="67"/>
      <c r="D40" s="67" t="s">
        <v>232</v>
      </c>
      <c r="E40" s="67" t="s">
        <v>233</v>
      </c>
      <c r="F40" s="67" t="s">
        <v>831</v>
      </c>
      <c r="G40" s="67"/>
      <c r="H40" s="67" t="s">
        <v>847</v>
      </c>
      <c r="I40" s="67" t="s">
        <v>848</v>
      </c>
      <c r="J40" s="67" t="s">
        <v>849</v>
      </c>
      <c r="K40" s="67" t="s">
        <v>850</v>
      </c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 t="str" vm="1734">
        <f>CUBEVALUE(ConnectionString,ReportMonth,Table1[[#This Row],[Site ID (from DATIM)]],"TX_NEW_2VIS")</f>
        <v/>
      </c>
      <c r="AE40" s="67" t="str" vm="3678">
        <f>CUBEVALUE(ConnectionString,ReportMonth,Table1[[#This Row],[Site ID (from DATIM)]],INDEX(SDI_Measures,1))</f>
        <v/>
      </c>
      <c r="AF40" s="67" t="str" vm="1631">
        <f>CUBEVALUE(ConnectionString,ReportMonth,Table1[[#This Row],[Site ID (from DATIM)]],INDEX(SDI_Measures,2))</f>
        <v/>
      </c>
      <c r="AG40" s="67" t="str" vm="2700">
        <f>CUBEVALUE(ConnectionString,ReportMonth,Table1[[#This Row],[Site ID (from DATIM)]],INDEX(SDI_Measures,3))</f>
        <v/>
      </c>
      <c r="AH40" s="67" vm="3398">
        <f>CUBEVALUE(ConnectionString,ReportMonth,Table1[[#This Row],[Site ID (from DATIM)]],"TX_CURR_PRIOR_MONTH")</f>
        <v>114</v>
      </c>
      <c r="AI40" s="67" vm="1587">
        <f>CUBEVALUE(ConnectionString,ReportMonth,Table1[[#This Row],[Site ID (from DATIM)]],"TX_CURR")</f>
        <v>100</v>
      </c>
      <c r="AJ40" s="67" t="str" vm="2809">
        <f>CUBEVALUE(ConnectionString,ReportMonth,Table1[[#This Row],[Site ID (from DATIM)]],"[Measures].[TI]")</f>
        <v/>
      </c>
      <c r="AK40" s="67" t="str" vm="2395">
        <f>CUBEVALUE(ConnectionString,ReportMonth,Table1[[#This Row],[Site ID (from DATIM)]],"[Measures].[TO]")</f>
        <v/>
      </c>
      <c r="AL40" s="67" t="str" vm="4017">
        <f>CUBEVALUE(ConnectionString,ReportMonth,Table1[[#This Row],[Site ID (from DATIM)]],"[Measures].[DIED]")</f>
        <v/>
      </c>
      <c r="AM40" s="67" vm="3932">
        <f>CUBEVALUE(ConnectionString,ReportMonth,Table1[[#This Row],[Site ID (from DATIM)]],"[Measures].[MMS_01_31]")</f>
        <v>79</v>
      </c>
      <c r="AN40" s="67" vm="5154">
        <f>CUBEVALUE(ConnectionString,ReportMonth,Table1[[#This Row],[Site ID (from DATIM)]],"[Measures].[MMS_32_62]")</f>
        <v>3</v>
      </c>
      <c r="AO40" s="67" vm="8528">
        <f>CUBEVALUE(ConnectionString,ReportMonth,Table1[[#This Row],[Site ID (from DATIM)]],"[Measures].[MMS_63+]")</f>
        <v>18</v>
      </c>
      <c r="AP40" s="67" vm="7811">
        <f>CUBEVALUE(ConnectionString,ReportMonth,Table1[[#This Row],[Site ID (from DATIM)]],"[Measures].[TBPREV_D]")</f>
        <v>9</v>
      </c>
      <c r="AQ40" s="67" vm="4565">
        <f>CUBEVALUE(ConnectionString,ReportMonth,Table1[[#This Row],[Site ID (from DATIM)]],"[Measures].[TBPREV_N]")</f>
        <v>6</v>
      </c>
      <c r="AR40" s="67" t="str" vm="4948">
        <f>CUBEVALUE(ConnectionString,ReportMonth,Table1[[#This Row],[Site ID (from DATIM)]],"[Measures].[TBPREV_NEW]")</f>
        <v/>
      </c>
      <c r="AS40" s="67" t="str" vm="12070">
        <f>CUBEVALUE(ConnectionString,ReportMonth,Table1[[#This Row],[Site ID (from DATIM)]],"[Measures].[HVL_ELIG_P]")</f>
        <v/>
      </c>
      <c r="AT40" s="67" t="str" vm="10440">
        <f>CUBEVALUE(ConnectionString,ReportMonth,Table1[[#This Row],[Site ID (from DATIM)]],"[Measures].[HVL_D_P]")</f>
        <v/>
      </c>
      <c r="AU40" s="67" t="str" vm="11438">
        <f>CUBEVALUE(ConnectionString,ReportMonth,Table1[[#This Row],[Site ID (from DATIM)]],"[Measures].[HVL_N_P]")</f>
        <v/>
      </c>
      <c r="AV40" s="68" vm="13161">
        <f>CUBEVALUE(ConnectionString,ReportMonth,Table1[[#This Row],[Site ID (from DATIM)]],"[Measures].[HVL_ELIG_A]")</f>
        <v>51</v>
      </c>
      <c r="AW40" s="68" vm="7951">
        <f>CUBEVALUE(ConnectionString,ReportMonth,Table1[[#This Row],[Site ID (from DATIM)]],"[Measures].[HVL_D_A]")</f>
        <v>35</v>
      </c>
      <c r="AX40" s="68" vm="11794">
        <f>CUBEVALUE(ConnectionString,ReportMonth,Table1[[#This Row],[Site ID (from DATIM)]],"[Measures].[HVL_N_A]")</f>
        <v>31</v>
      </c>
      <c r="AY40" s="67"/>
      <c r="AZ40" s="67"/>
      <c r="BA40" s="67"/>
      <c r="BB40" s="67"/>
      <c r="BC40" s="67"/>
      <c r="BD40" s="67"/>
      <c r="BE40" s="67"/>
      <c r="BF40" s="67"/>
      <c r="BG40" s="67" t="str" vm="13989">
        <f>CUBEVALUE(ConnectionString,ReportMonth,Table1[[#This Row],[Site ID (from DATIM)]],"[Measures].[TX_NEW_F_A]")</f>
        <v/>
      </c>
      <c r="BH40" s="67" t="str" vm="13748">
        <f>CUBEVALUE(ConnectionString,ReportMonth,Table1[[#This Row],[Site ID (from DATIM)]],"[Measures].[TX_NEW_M_A]")</f>
        <v/>
      </c>
      <c r="BI40" s="67" t="str" vm="12404">
        <f>CUBEVALUE(ConnectionString,ReportMonth,Table1[[#This Row],[Site ID (from DATIM)]],"[Measures].[TX_NEW_F_P]")</f>
        <v/>
      </c>
      <c r="BJ40" s="68" t="str" vm="13980">
        <f>CUBEVALUE(ConnectionString,ReportMonth,Table1[[#This Row],[Site ID (from DATIM)]],"[Measures].[TX_NEW_M_P]")</f>
        <v/>
      </c>
      <c r="BK40" s="68"/>
      <c r="BL40" s="68"/>
      <c r="BM40" s="68"/>
      <c r="BN40" s="68"/>
      <c r="BO40" s="68"/>
      <c r="BP40" s="68"/>
      <c r="BQ40" s="68" t="str" vm="8024">
        <f>CUBEVALUE(ConnectionString,ReportMonth,Table1[[#This Row],[Site ID (from DATIM)]],"[Measures].[TX_CURR_F_P]")</f>
        <v/>
      </c>
      <c r="BR40" s="68" t="str" vm="16544">
        <f>CUBEVALUE(ConnectionString,ReportMonth,Table1[[#This Row],[Site ID (from DATIM)]],"[Measures].[TX_CURR_M_P]")</f>
        <v/>
      </c>
      <c r="BS40" s="68" vm="11585">
        <f>CUBEVALUE(ConnectionString,ReportMonth,Table1[[#This Row],[Site ID (from DATIM)]],"[Measures].[TX_CURR_F_A]")</f>
        <v>70</v>
      </c>
      <c r="BT40" s="68" vm="11935">
        <f>CUBEVALUE(ConnectionString,ReportMonth,Table1[[#This Row],[Site ID (from DATIM)]],"[Measures].[TX_CURR_M_A]")</f>
        <v>30</v>
      </c>
      <c r="BU40" s="68" t="str" vm="18428">
        <f>CUBEVALUE(ConnectionString,ReportMonth,Table1[[#This Row],[Site ID (from DATIM)]],"[Measures].[MMS_01_89_F_P]")</f>
        <v/>
      </c>
      <c r="BV40" s="68" t="str" vm="19264">
        <f>CUBEVALUE(ConnectionString,ReportMonth,Table1[[#This Row],[Site ID (from DATIM)]],"[Measures].[MMS_01_89_M_P]")</f>
        <v/>
      </c>
      <c r="BW40" s="68" vm="18331">
        <f>CUBEVALUE(ConnectionString,ReportMonth,Table1[[#This Row],[Site ID (from DATIM)]],"[Measures].[MMS_01_89_F_A]")</f>
        <v>60</v>
      </c>
      <c r="BX40" s="68" vm="19458">
        <f>CUBEVALUE(ConnectionString,ReportMonth,Table1[[#This Row],[Site ID (from DATIM)]],"[Measures].[MMS_01_89_M_A]")</f>
        <v>28</v>
      </c>
      <c r="BY40" s="68" t="str" vm="16110">
        <f>CUBEVALUE(ConnectionString,ReportMonth,Table1[[#This Row],[Site ID (from DATIM)]],"[Measures].[MMS_90_179_F_P]")</f>
        <v/>
      </c>
      <c r="BZ40" s="68" t="str" vm="15101">
        <f>CUBEVALUE(ConnectionString,ReportMonth,Table1[[#This Row],[Site ID (from DATIM)]],"[Measures].[MMS_90_179_M_P]")</f>
        <v/>
      </c>
      <c r="CA40" s="68" vm="16477">
        <f>CUBEVALUE(ConnectionString,ReportMonth,Table1[[#This Row],[Site ID (from DATIM)]],"[Measures].[MMS_90_179_F_A]")</f>
        <v>10</v>
      </c>
      <c r="CB40" s="68" vm="14637">
        <f>CUBEVALUE(ConnectionString,ReportMonth,Table1[[#This Row],[Site ID (from DATIM)]],"[Measures].[MMS_90_179_M_A]")</f>
        <v>2</v>
      </c>
      <c r="CC40" s="68" t="str" vm="15506">
        <f>CUBEVALUE(ConnectionString,ReportMonth,Table1[[#This Row],[Site ID (from DATIM)]],"[Measures].[MMS_180+_F_P]")</f>
        <v/>
      </c>
      <c r="CD40" s="68" t="str" vm="15024">
        <f>CUBEVALUE(ConnectionString,ReportMonth,Table1[[#This Row],[Site ID (from DATIM)]],"[Measures].[MMS_180+_M_P]")</f>
        <v/>
      </c>
      <c r="CE40" s="68" t="str" vm="15437">
        <f>CUBEVALUE(ConnectionString,ReportMonth,Table1[[#This Row],[Site ID (from DATIM)]],"[Measures].[MMS_180+_F_A]")</f>
        <v/>
      </c>
      <c r="CF40" s="68" t="str" vm="17530">
        <f>CUBEVALUE(ConnectionString,ReportMonth,Table1[[#This Row],[Site ID (from DATIM)]],"[Measures].[MMS_180+_M_A]")</f>
        <v/>
      </c>
      <c r="CG40" s="68" vm="9937">
        <f>CUBEVALUE(ConnectionString,ReportMonth,Table1[[#This Row],[Site ID (from DATIM)]],"[Measures].[MISSEDAPP]")</f>
        <v>87</v>
      </c>
      <c r="CH40" s="68" t="str" vm="14115">
        <f>CUBEVALUE(ConnectionString,ReportMonth,Table1[[#This Row],[Site ID (from DATIM)]],"[Measures].[MMS_180+_P]")</f>
        <v/>
      </c>
      <c r="CI40" s="68" t="str" vm="10651">
        <f>CUBEVALUE(ConnectionString,ReportMonth,Table1[[#This Row],[Site ID (from DATIM)]],"[Measures].[MMS_180+_A]")</f>
        <v/>
      </c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</row>
    <row r="41" spans="1:107" x14ac:dyDescent="0.25">
      <c r="A41" s="66">
        <v>4</v>
      </c>
      <c r="B41" s="67" t="str" vm="4">
        <f t="shared" si="1"/>
        <v>Mar-2021</v>
      </c>
      <c r="C41" s="67"/>
      <c r="D41" s="67" t="s">
        <v>232</v>
      </c>
      <c r="E41" s="67" t="s">
        <v>233</v>
      </c>
      <c r="F41" s="67" t="s">
        <v>437</v>
      </c>
      <c r="G41" s="67"/>
      <c r="H41" s="67" t="s">
        <v>442</v>
      </c>
      <c r="I41" s="67" t="s">
        <v>495</v>
      </c>
      <c r="J41" s="67" t="s">
        <v>496</v>
      </c>
      <c r="K41" s="67" t="s">
        <v>497</v>
      </c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 t="str" vm="2948">
        <f>CUBEVALUE(ConnectionString,ReportMonth,Table1[[#This Row],[Site ID (from DATIM)]],"TX_NEW_2VIS")</f>
        <v/>
      </c>
      <c r="AE41" s="67" t="str" vm="2966">
        <f>CUBEVALUE(ConnectionString,ReportMonth,Table1[[#This Row],[Site ID (from DATIM)]],INDEX(SDI_Measures,1))</f>
        <v/>
      </c>
      <c r="AF41" s="67" t="str" vm="695">
        <f>CUBEVALUE(ConnectionString,ReportMonth,Table1[[#This Row],[Site ID (from DATIM)]],INDEX(SDI_Measures,2))</f>
        <v/>
      </c>
      <c r="AG41" s="67" t="str" vm="2563">
        <f>CUBEVALUE(ConnectionString,ReportMonth,Table1[[#This Row],[Site ID (from DATIM)]],INDEX(SDI_Measures,3))</f>
        <v/>
      </c>
      <c r="AH41" s="67" vm="814">
        <f>CUBEVALUE(ConnectionString,ReportMonth,Table1[[#This Row],[Site ID (from DATIM)]],"TX_CURR_PRIOR_MONTH")</f>
        <v>78</v>
      </c>
      <c r="AI41" s="67" vm="599">
        <f>CUBEVALUE(ConnectionString,ReportMonth,Table1[[#This Row],[Site ID (from DATIM)]],"TX_CURR")</f>
        <v>74</v>
      </c>
      <c r="AJ41" s="67" t="str" vm="2003">
        <f>CUBEVALUE(ConnectionString,ReportMonth,Table1[[#This Row],[Site ID (from DATIM)]],"[Measures].[TI]")</f>
        <v/>
      </c>
      <c r="AK41" s="67" t="str" vm="2593">
        <f>CUBEVALUE(ConnectionString,ReportMonth,Table1[[#This Row],[Site ID (from DATIM)]],"[Measures].[TO]")</f>
        <v/>
      </c>
      <c r="AL41" s="67" t="str" vm="3676">
        <f>CUBEVALUE(ConnectionString,ReportMonth,Table1[[#This Row],[Site ID (from DATIM)]],"[Measures].[DIED]")</f>
        <v/>
      </c>
      <c r="AM41" s="67" vm="4258">
        <f>CUBEVALUE(ConnectionString,ReportMonth,Table1[[#This Row],[Site ID (from DATIM)]],"[Measures].[MMS_01_31]")</f>
        <v>17</v>
      </c>
      <c r="AN41" s="67" vm="5161">
        <f>CUBEVALUE(ConnectionString,ReportMonth,Table1[[#This Row],[Site ID (from DATIM)]],"[Measures].[MMS_32_62]")</f>
        <v>3</v>
      </c>
      <c r="AO41" s="67" vm="8764">
        <f>CUBEVALUE(ConnectionString,ReportMonth,Table1[[#This Row],[Site ID (from DATIM)]],"[Measures].[MMS_63+]")</f>
        <v>54</v>
      </c>
      <c r="AP41" s="67" t="str" vm="7645">
        <f>CUBEVALUE(ConnectionString,ReportMonth,Table1[[#This Row],[Site ID (from DATIM)]],"[Measures].[TBPREV_D]")</f>
        <v/>
      </c>
      <c r="AQ41" s="67" t="str" vm="9164">
        <f>CUBEVALUE(ConnectionString,ReportMonth,Table1[[#This Row],[Site ID (from DATIM)]],"[Measures].[TBPREV_N]")</f>
        <v/>
      </c>
      <c r="AR41" s="67" t="str" vm="5538">
        <f>CUBEVALUE(ConnectionString,ReportMonth,Table1[[#This Row],[Site ID (from DATIM)]],"[Measures].[TBPREV_NEW]")</f>
        <v/>
      </c>
      <c r="AS41" s="67" t="str" vm="8054">
        <f>CUBEVALUE(ConnectionString,ReportMonth,Table1[[#This Row],[Site ID (from DATIM)]],"[Measures].[HVL_ELIG_P]")</f>
        <v/>
      </c>
      <c r="AT41" s="67" t="str" vm="6407">
        <f>CUBEVALUE(ConnectionString,ReportMonth,Table1[[#This Row],[Site ID (from DATIM)]],"[Measures].[HVL_D_P]")</f>
        <v/>
      </c>
      <c r="AU41" s="67" t="str" vm="7720">
        <f>CUBEVALUE(ConnectionString,ReportMonth,Table1[[#This Row],[Site ID (from DATIM)]],"[Measures].[HVL_N_P]")</f>
        <v/>
      </c>
      <c r="AV41" s="68" vm="8370">
        <f>CUBEVALUE(ConnectionString,ReportMonth,Table1[[#This Row],[Site ID (from DATIM)]],"[Measures].[HVL_ELIG_A]")</f>
        <v>38</v>
      </c>
      <c r="AW41" s="68" vm="10300">
        <f>CUBEVALUE(ConnectionString,ReportMonth,Table1[[#This Row],[Site ID (from DATIM)]],"[Measures].[HVL_D_A]")</f>
        <v>16</v>
      </c>
      <c r="AX41" s="68" vm="10943">
        <f>CUBEVALUE(ConnectionString,ReportMonth,Table1[[#This Row],[Site ID (from DATIM)]],"[Measures].[HVL_N_A]")</f>
        <v>11</v>
      </c>
      <c r="AY41" s="67"/>
      <c r="AZ41" s="67"/>
      <c r="BA41" s="67"/>
      <c r="BB41" s="67"/>
      <c r="BC41" s="67"/>
      <c r="BD41" s="67"/>
      <c r="BE41" s="67"/>
      <c r="BF41" s="67"/>
      <c r="BG41" s="67" t="str" vm="16150">
        <f>CUBEVALUE(ConnectionString,ReportMonth,Table1[[#This Row],[Site ID (from DATIM)]],"[Measures].[TX_NEW_F_A]")</f>
        <v/>
      </c>
      <c r="BH41" s="67" t="str" vm="11012">
        <f>CUBEVALUE(ConnectionString,ReportMonth,Table1[[#This Row],[Site ID (from DATIM)]],"[Measures].[TX_NEW_M_A]")</f>
        <v/>
      </c>
      <c r="BI41" s="67" t="str" vm="12909">
        <f>CUBEVALUE(ConnectionString,ReportMonth,Table1[[#This Row],[Site ID (from DATIM)]],"[Measures].[TX_NEW_F_P]")</f>
        <v/>
      </c>
      <c r="BJ41" s="68" t="str" vm="15665">
        <f>CUBEVALUE(ConnectionString,ReportMonth,Table1[[#This Row],[Site ID (from DATIM)]],"[Measures].[TX_NEW_M_P]")</f>
        <v/>
      </c>
      <c r="BK41" s="68"/>
      <c r="BL41" s="68"/>
      <c r="BM41" s="68"/>
      <c r="BN41" s="68"/>
      <c r="BO41" s="68"/>
      <c r="BP41" s="68"/>
      <c r="BQ41" s="68" t="str" vm="8635">
        <f>CUBEVALUE(ConnectionString,ReportMonth,Table1[[#This Row],[Site ID (from DATIM)]],"[Measures].[TX_CURR_F_P]")</f>
        <v/>
      </c>
      <c r="BR41" s="68" t="str" vm="9766">
        <f>CUBEVALUE(ConnectionString,ReportMonth,Table1[[#This Row],[Site ID (from DATIM)]],"[Measures].[TX_CURR_M_P]")</f>
        <v/>
      </c>
      <c r="BS41" s="68" vm="13324">
        <f>CUBEVALUE(ConnectionString,ReportMonth,Table1[[#This Row],[Site ID (from DATIM)]],"[Measures].[TX_CURR_F_A]")</f>
        <v>67</v>
      </c>
      <c r="BT41" s="68" vm="14103">
        <f>CUBEVALUE(ConnectionString,ReportMonth,Table1[[#This Row],[Site ID (from DATIM)]],"[Measures].[TX_CURR_M_A]")</f>
        <v>7</v>
      </c>
      <c r="BU41" s="68" t="str" vm="20070">
        <f>CUBEVALUE(ConnectionString,ReportMonth,Table1[[#This Row],[Site ID (from DATIM)]],"[Measures].[MMS_01_89_F_P]")</f>
        <v/>
      </c>
      <c r="BV41" s="68" t="str" vm="17923">
        <f>CUBEVALUE(ConnectionString,ReportMonth,Table1[[#This Row],[Site ID (from DATIM)]],"[Measures].[MMS_01_89_M_P]")</f>
        <v/>
      </c>
      <c r="BW41" s="68" vm="18321">
        <f>CUBEVALUE(ConnectionString,ReportMonth,Table1[[#This Row],[Site ID (from DATIM)]],"[Measures].[MMS_01_89_F_A]")</f>
        <v>19</v>
      </c>
      <c r="BX41" s="68" vm="18613">
        <f>CUBEVALUE(ConnectionString,ReportMonth,Table1[[#This Row],[Site ID (from DATIM)]],"[Measures].[MMS_01_89_M_A]")</f>
        <v>1</v>
      </c>
      <c r="BY41" s="68" t="str" vm="18525">
        <f>CUBEVALUE(ConnectionString,ReportMonth,Table1[[#This Row],[Site ID (from DATIM)]],"[Measures].[MMS_90_179_F_P]")</f>
        <v/>
      </c>
      <c r="BZ41" s="68" t="str" vm="16524">
        <f>CUBEVALUE(ConnectionString,ReportMonth,Table1[[#This Row],[Site ID (from DATIM)]],"[Measures].[MMS_90_179_M_P]")</f>
        <v/>
      </c>
      <c r="CA41" s="68" vm="15118">
        <f>CUBEVALUE(ConnectionString,ReportMonth,Table1[[#This Row],[Site ID (from DATIM)]],"[Measures].[MMS_90_179_F_A]")</f>
        <v>48</v>
      </c>
      <c r="CB41" s="68" vm="15618">
        <f>CUBEVALUE(ConnectionString,ReportMonth,Table1[[#This Row],[Site ID (from DATIM)]],"[Measures].[MMS_90_179_M_A]")</f>
        <v>6</v>
      </c>
      <c r="CC41" s="68" t="str" vm="16916">
        <f>CUBEVALUE(ConnectionString,ReportMonth,Table1[[#This Row],[Site ID (from DATIM)]],"[Measures].[MMS_180+_F_P]")</f>
        <v/>
      </c>
      <c r="CD41" s="68" t="str" vm="15832">
        <f>CUBEVALUE(ConnectionString,ReportMonth,Table1[[#This Row],[Site ID (from DATIM)]],"[Measures].[MMS_180+_M_P]")</f>
        <v/>
      </c>
      <c r="CE41" s="68" t="str" vm="17579">
        <f>CUBEVALUE(ConnectionString,ReportMonth,Table1[[#This Row],[Site ID (from DATIM)]],"[Measures].[MMS_180+_F_A]")</f>
        <v/>
      </c>
      <c r="CF41" s="68" t="str" vm="14899">
        <f>CUBEVALUE(ConnectionString,ReportMonth,Table1[[#This Row],[Site ID (from DATIM)]],"[Measures].[MMS_180+_M_A]")</f>
        <v/>
      </c>
      <c r="CG41" s="68" vm="9345">
        <f>CUBEVALUE(ConnectionString,ReportMonth,Table1[[#This Row],[Site ID (from DATIM)]],"[Measures].[MISSEDAPP]")</f>
        <v>26</v>
      </c>
      <c r="CH41" s="68" t="str" vm="12635">
        <f>CUBEVALUE(ConnectionString,ReportMonth,Table1[[#This Row],[Site ID (from DATIM)]],"[Measures].[MMS_180+_P]")</f>
        <v/>
      </c>
      <c r="CI41" s="68" t="str" vm="10116">
        <f>CUBEVALUE(ConnectionString,ReportMonth,Table1[[#This Row],[Site ID (from DATIM)]],"[Measures].[MMS_180+_A]")</f>
        <v/>
      </c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</row>
    <row r="42" spans="1:107" x14ac:dyDescent="0.25">
      <c r="A42" s="66">
        <v>4</v>
      </c>
      <c r="B42" s="67" t="str" vm="4">
        <f t="shared" si="1"/>
        <v>Mar-2021</v>
      </c>
      <c r="C42" s="67"/>
      <c r="D42" s="67" t="s">
        <v>232</v>
      </c>
      <c r="E42" s="67" t="s">
        <v>233</v>
      </c>
      <c r="F42" s="67" t="s">
        <v>437</v>
      </c>
      <c r="G42" s="67"/>
      <c r="H42" s="67" t="s">
        <v>442</v>
      </c>
      <c r="I42" s="67" t="s">
        <v>498</v>
      </c>
      <c r="J42" s="67" t="s">
        <v>499</v>
      </c>
      <c r="K42" s="67" t="s">
        <v>500</v>
      </c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 t="str" vm="2969">
        <f>CUBEVALUE(ConnectionString,ReportMonth,Table1[[#This Row],[Site ID (from DATIM)]],"TX_NEW_2VIS")</f>
        <v/>
      </c>
      <c r="AE42" s="67" t="str" vm="2379">
        <f>CUBEVALUE(ConnectionString,ReportMonth,Table1[[#This Row],[Site ID (from DATIM)]],INDEX(SDI_Measures,1))</f>
        <v/>
      </c>
      <c r="AF42" s="67" t="str" vm="850">
        <f>CUBEVALUE(ConnectionString,ReportMonth,Table1[[#This Row],[Site ID (from DATIM)]],INDEX(SDI_Measures,2))</f>
        <v/>
      </c>
      <c r="AG42" s="67" t="str" vm="755">
        <f>CUBEVALUE(ConnectionString,ReportMonth,Table1[[#This Row],[Site ID (from DATIM)]],INDEX(SDI_Measures,3))</f>
        <v/>
      </c>
      <c r="AH42" s="67" vm="810">
        <f>CUBEVALUE(ConnectionString,ReportMonth,Table1[[#This Row],[Site ID (from DATIM)]],"TX_CURR_PRIOR_MONTH")</f>
        <v>101</v>
      </c>
      <c r="AI42" s="67" vm="2487">
        <f>CUBEVALUE(ConnectionString,ReportMonth,Table1[[#This Row],[Site ID (from DATIM)]],"TX_CURR")</f>
        <v>49</v>
      </c>
      <c r="AJ42" s="67" t="str" vm="3408">
        <f>CUBEVALUE(ConnectionString,ReportMonth,Table1[[#This Row],[Site ID (from DATIM)]],"[Measures].[TI]")</f>
        <v/>
      </c>
      <c r="AK42" s="67" t="str" vm="1370">
        <f>CUBEVALUE(ConnectionString,ReportMonth,Table1[[#This Row],[Site ID (from DATIM)]],"[Measures].[TO]")</f>
        <v/>
      </c>
      <c r="AL42" s="67" t="str" vm="3630">
        <f>CUBEVALUE(ConnectionString,ReportMonth,Table1[[#This Row],[Site ID (from DATIM)]],"[Measures].[DIED]")</f>
        <v/>
      </c>
      <c r="AM42" s="67" vm="3945">
        <f>CUBEVALUE(ConnectionString,ReportMonth,Table1[[#This Row],[Site ID (from DATIM)]],"[Measures].[MMS_01_31]")</f>
        <v>15</v>
      </c>
      <c r="AN42" s="67" vm="5280">
        <f>CUBEVALUE(ConnectionString,ReportMonth,Table1[[#This Row],[Site ID (from DATIM)]],"[Measures].[MMS_32_62]")</f>
        <v>1</v>
      </c>
      <c r="AO42" s="67" vm="6998">
        <f>CUBEVALUE(ConnectionString,ReportMonth,Table1[[#This Row],[Site ID (from DATIM)]],"[Measures].[MMS_63+]")</f>
        <v>33</v>
      </c>
      <c r="AP42" s="67" t="str" vm="8495">
        <f>CUBEVALUE(ConnectionString,ReportMonth,Table1[[#This Row],[Site ID (from DATIM)]],"[Measures].[TBPREV_D]")</f>
        <v/>
      </c>
      <c r="AQ42" s="67" t="str" vm="5681">
        <f>CUBEVALUE(ConnectionString,ReportMonth,Table1[[#This Row],[Site ID (from DATIM)]],"[Measures].[TBPREV_N]")</f>
        <v/>
      </c>
      <c r="AR42" s="67" t="str" vm="7548">
        <f>CUBEVALUE(ConnectionString,ReportMonth,Table1[[#This Row],[Site ID (from DATIM)]],"[Measures].[TBPREV_NEW]")</f>
        <v/>
      </c>
      <c r="AS42" s="67" vm="6717">
        <f>CUBEVALUE(ConnectionString,ReportMonth,Table1[[#This Row],[Site ID (from DATIM)]],"[Measures].[HVL_ELIG_P]")</f>
        <v>1</v>
      </c>
      <c r="AT42" s="67" vm="11324">
        <f>CUBEVALUE(ConnectionString,ReportMonth,Table1[[#This Row],[Site ID (from DATIM)]],"[Measures].[HVL_D_P]")</f>
        <v>4</v>
      </c>
      <c r="AU42" s="67" vm="11370">
        <f>CUBEVALUE(ConnectionString,ReportMonth,Table1[[#This Row],[Site ID (from DATIM)]],"[Measures].[HVL_N_P]")</f>
        <v>2</v>
      </c>
      <c r="AV42" s="68" vm="11406">
        <f>CUBEVALUE(ConnectionString,ReportMonth,Table1[[#This Row],[Site ID (from DATIM)]],"[Measures].[HVL_ELIG_A]")</f>
        <v>19</v>
      </c>
      <c r="AW42" s="68" vm="10895">
        <f>CUBEVALUE(ConnectionString,ReportMonth,Table1[[#This Row],[Site ID (from DATIM)]],"[Measures].[HVL_D_A]")</f>
        <v>30</v>
      </c>
      <c r="AX42" s="68" vm="7978">
        <f>CUBEVALUE(ConnectionString,ReportMonth,Table1[[#This Row],[Site ID (from DATIM)]],"[Measures].[HVL_N_A]")</f>
        <v>30</v>
      </c>
      <c r="AY42" s="67"/>
      <c r="AZ42" s="67"/>
      <c r="BA42" s="67"/>
      <c r="BB42" s="67"/>
      <c r="BC42" s="67"/>
      <c r="BD42" s="67"/>
      <c r="BE42" s="67"/>
      <c r="BF42" s="67"/>
      <c r="BG42" s="67" t="str" vm="13943">
        <f>CUBEVALUE(ConnectionString,ReportMonth,Table1[[#This Row],[Site ID (from DATIM)]],"[Measures].[TX_NEW_F_A]")</f>
        <v/>
      </c>
      <c r="BH42" s="67" t="str" vm="12320">
        <f>CUBEVALUE(ConnectionString,ReportMonth,Table1[[#This Row],[Site ID (from DATIM)]],"[Measures].[TX_NEW_M_A]")</f>
        <v/>
      </c>
      <c r="BI42" s="67" t="str" vm="16126">
        <f>CUBEVALUE(ConnectionString,ReportMonth,Table1[[#This Row],[Site ID (from DATIM)]],"[Measures].[TX_NEW_F_P]")</f>
        <v/>
      </c>
      <c r="BJ42" s="68" t="str" vm="12329">
        <f>CUBEVALUE(ConnectionString,ReportMonth,Table1[[#This Row],[Site ID (from DATIM)]],"[Measures].[TX_NEW_M_P]")</f>
        <v/>
      </c>
      <c r="BK42" s="68"/>
      <c r="BL42" s="68"/>
      <c r="BM42" s="68"/>
      <c r="BN42" s="68"/>
      <c r="BO42" s="68"/>
      <c r="BP42" s="68"/>
      <c r="BQ42" s="68" vm="11124">
        <f>CUBEVALUE(ConnectionString,ReportMonth,Table1[[#This Row],[Site ID (from DATIM)]],"[Measures].[TX_CURR_F_P]")</f>
        <v>1</v>
      </c>
      <c r="BR42" s="68" vm="13803">
        <f>CUBEVALUE(ConnectionString,ReportMonth,Table1[[#This Row],[Site ID (from DATIM)]],"[Measures].[TX_CURR_M_P]")</f>
        <v>1</v>
      </c>
      <c r="BS42" s="68" vm="8381">
        <f>CUBEVALUE(ConnectionString,ReportMonth,Table1[[#This Row],[Site ID (from DATIM)]],"[Measures].[TX_CURR_F_A]")</f>
        <v>36</v>
      </c>
      <c r="BT42" s="68" vm="13222">
        <f>CUBEVALUE(ConnectionString,ReportMonth,Table1[[#This Row],[Site ID (from DATIM)]],"[Measures].[TX_CURR_M_A]")</f>
        <v>11</v>
      </c>
      <c r="BU42" s="68" t="str" vm="19494">
        <f>CUBEVALUE(ConnectionString,ReportMonth,Table1[[#This Row],[Site ID (from DATIM)]],"[Measures].[MMS_01_89_F_P]")</f>
        <v/>
      </c>
      <c r="BV42" s="68" vm="18894">
        <f>CUBEVALUE(ConnectionString,ReportMonth,Table1[[#This Row],[Site ID (from DATIM)]],"[Measures].[MMS_01_89_M_P]")</f>
        <v>1</v>
      </c>
      <c r="BW42" s="68" vm="17921">
        <f>CUBEVALUE(ConnectionString,ReportMonth,Table1[[#This Row],[Site ID (from DATIM)]],"[Measures].[MMS_01_89_F_A]")</f>
        <v>15</v>
      </c>
      <c r="BX42" s="68" t="str" vm="18036">
        <f>CUBEVALUE(ConnectionString,ReportMonth,Table1[[#This Row],[Site ID (from DATIM)]],"[Measures].[MMS_01_89_M_A]")</f>
        <v/>
      </c>
      <c r="BY42" s="68" vm="18268">
        <f>CUBEVALUE(ConnectionString,ReportMonth,Table1[[#This Row],[Site ID (from DATIM)]],"[Measures].[MMS_90_179_F_P]")</f>
        <v>1</v>
      </c>
      <c r="BZ42" s="68" t="str" vm="18810">
        <f>CUBEVALUE(ConnectionString,ReportMonth,Table1[[#This Row],[Site ID (from DATIM)]],"[Measures].[MMS_90_179_M_P]")</f>
        <v/>
      </c>
      <c r="CA42" s="68" vm="17712">
        <f>CUBEVALUE(ConnectionString,ReportMonth,Table1[[#This Row],[Site ID (from DATIM)]],"[Measures].[MMS_90_179_F_A]")</f>
        <v>21</v>
      </c>
      <c r="CB42" s="68" vm="17361">
        <f>CUBEVALUE(ConnectionString,ReportMonth,Table1[[#This Row],[Site ID (from DATIM)]],"[Measures].[MMS_90_179_M_A]")</f>
        <v>11</v>
      </c>
      <c r="CC42" s="68" t="str" vm="16404">
        <f>CUBEVALUE(ConnectionString,ReportMonth,Table1[[#This Row],[Site ID (from DATIM)]],"[Measures].[MMS_180+_F_P]")</f>
        <v/>
      </c>
      <c r="CD42" s="68" t="str" vm="17136">
        <f>CUBEVALUE(ConnectionString,ReportMonth,Table1[[#This Row],[Site ID (from DATIM)]],"[Measures].[MMS_180+_M_P]")</f>
        <v/>
      </c>
      <c r="CE42" s="68" t="str" vm="96">
        <f>CUBEVALUE(ConnectionString,ReportMonth,Table1[[#This Row],[Site ID (from DATIM)]],"[Measures].[MMS_180+_F_A]")</f>
        <v/>
      </c>
      <c r="CF42" s="68" t="str" vm="14889">
        <f>CUBEVALUE(ConnectionString,ReportMonth,Table1[[#This Row],[Site ID (from DATIM)]],"[Measures].[MMS_180+_M_A]")</f>
        <v/>
      </c>
      <c r="CG42" s="68" vm="7682">
        <f>CUBEVALUE(ConnectionString,ReportMonth,Table1[[#This Row],[Site ID (from DATIM)]],"[Measures].[MISSEDAPP]")</f>
        <v>34</v>
      </c>
      <c r="CH42" s="68" t="str" vm="12110">
        <f>CUBEVALUE(ConnectionString,ReportMonth,Table1[[#This Row],[Site ID (from DATIM)]],"[Measures].[MMS_180+_P]")</f>
        <v/>
      </c>
      <c r="CI42" s="68" t="str" vm="15281">
        <f>CUBEVALUE(ConnectionString,ReportMonth,Table1[[#This Row],[Site ID (from DATIM)]],"[Measures].[MMS_180+_A]")</f>
        <v/>
      </c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</row>
    <row r="43" spans="1:107" x14ac:dyDescent="0.25">
      <c r="A43" s="66">
        <v>4</v>
      </c>
      <c r="B43" s="67" t="str" vm="4">
        <f t="shared" si="1"/>
        <v>Mar-2021</v>
      </c>
      <c r="C43" s="67"/>
      <c r="D43" s="67" t="s">
        <v>232</v>
      </c>
      <c r="E43" s="67" t="s">
        <v>233</v>
      </c>
      <c r="F43" s="67" t="s">
        <v>437</v>
      </c>
      <c r="G43" s="67"/>
      <c r="H43" s="67" t="s">
        <v>454</v>
      </c>
      <c r="I43" s="67" t="s">
        <v>501</v>
      </c>
      <c r="J43" s="67" t="s">
        <v>502</v>
      </c>
      <c r="K43" s="67" t="s">
        <v>503</v>
      </c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 t="str" vm="991">
        <f>CUBEVALUE(ConnectionString,ReportMonth,Table1[[#This Row],[Site ID (from DATIM)]],"TX_NEW_2VIS")</f>
        <v/>
      </c>
      <c r="AE43" s="67" t="str" vm="641">
        <f>CUBEVALUE(ConnectionString,ReportMonth,Table1[[#This Row],[Site ID (from DATIM)]],INDEX(SDI_Measures,1))</f>
        <v/>
      </c>
      <c r="AF43" s="67" t="str" vm="2045">
        <f>CUBEVALUE(ConnectionString,ReportMonth,Table1[[#This Row],[Site ID (from DATIM)]],INDEX(SDI_Measures,2))</f>
        <v/>
      </c>
      <c r="AG43" s="67" t="str" vm="2126">
        <f>CUBEVALUE(ConnectionString,ReportMonth,Table1[[#This Row],[Site ID (from DATIM)]],INDEX(SDI_Measures,3))</f>
        <v/>
      </c>
      <c r="AH43" s="67" t="str" vm="4051">
        <f>CUBEVALUE(ConnectionString,ReportMonth,Table1[[#This Row],[Site ID (from DATIM)]],"TX_CURR_PRIOR_MONTH")</f>
        <v/>
      </c>
      <c r="AI43" s="67" t="str" vm="7583">
        <f>CUBEVALUE(ConnectionString,ReportMonth,Table1[[#This Row],[Site ID (from DATIM)]],"TX_CURR")</f>
        <v/>
      </c>
      <c r="AJ43" s="67" t="str" vm="2029">
        <f>CUBEVALUE(ConnectionString,ReportMonth,Table1[[#This Row],[Site ID (from DATIM)]],"[Measures].[TI]")</f>
        <v/>
      </c>
      <c r="AK43" s="67" t="str" vm="2895">
        <f>CUBEVALUE(ConnectionString,ReportMonth,Table1[[#This Row],[Site ID (from DATIM)]],"[Measures].[TO]")</f>
        <v/>
      </c>
      <c r="AL43" s="67" t="str" vm="2478">
        <f>CUBEVALUE(ConnectionString,ReportMonth,Table1[[#This Row],[Site ID (from DATIM)]],"[Measures].[DIED]")</f>
        <v/>
      </c>
      <c r="AM43" s="67" t="str" vm="6190">
        <f>CUBEVALUE(ConnectionString,ReportMonth,Table1[[#This Row],[Site ID (from DATIM)]],"[Measures].[MMS_01_31]")</f>
        <v/>
      </c>
      <c r="AN43" s="67" t="str" vm="7060">
        <f>CUBEVALUE(ConnectionString,ReportMonth,Table1[[#This Row],[Site ID (from DATIM)]],"[Measures].[MMS_32_62]")</f>
        <v/>
      </c>
      <c r="AO43" s="67" t="str" vm="7635">
        <f>CUBEVALUE(ConnectionString,ReportMonth,Table1[[#This Row],[Site ID (from DATIM)]],"[Measures].[MMS_63+]")</f>
        <v/>
      </c>
      <c r="AP43" s="67" t="str" vm="4720">
        <f>CUBEVALUE(ConnectionString,ReportMonth,Table1[[#This Row],[Site ID (from DATIM)]],"[Measures].[TBPREV_D]")</f>
        <v/>
      </c>
      <c r="AQ43" s="67" t="str" vm="7693">
        <f>CUBEVALUE(ConnectionString,ReportMonth,Table1[[#This Row],[Site ID (from DATIM)]],"[Measures].[TBPREV_N]")</f>
        <v/>
      </c>
      <c r="AR43" s="67" t="str" vm="8047">
        <f>CUBEVALUE(ConnectionString,ReportMonth,Table1[[#This Row],[Site ID (from DATIM)]],"[Measures].[TBPREV_NEW]")</f>
        <v/>
      </c>
      <c r="AS43" s="67" t="str" vm="9402">
        <f>CUBEVALUE(ConnectionString,ReportMonth,Table1[[#This Row],[Site ID (from DATIM)]],"[Measures].[HVL_ELIG_P]")</f>
        <v/>
      </c>
      <c r="AT43" s="67" t="str" vm="7786">
        <f>CUBEVALUE(ConnectionString,ReportMonth,Table1[[#This Row],[Site ID (from DATIM)]],"[Measures].[HVL_D_P]")</f>
        <v/>
      </c>
      <c r="AU43" s="67" t="str" vm="12094">
        <f>CUBEVALUE(ConnectionString,ReportMonth,Table1[[#This Row],[Site ID (from DATIM)]],"[Measures].[HVL_N_P]")</f>
        <v/>
      </c>
      <c r="AV43" s="68" t="str" vm="7482">
        <f>CUBEVALUE(ConnectionString,ReportMonth,Table1[[#This Row],[Site ID (from DATIM)]],"[Measures].[HVL_ELIG_A]")</f>
        <v/>
      </c>
      <c r="AW43" s="68" t="str" vm="6580">
        <f>CUBEVALUE(ConnectionString,ReportMonth,Table1[[#This Row],[Site ID (from DATIM)]],"[Measures].[HVL_D_A]")</f>
        <v/>
      </c>
      <c r="AX43" s="68" t="str" vm="11596">
        <f>CUBEVALUE(ConnectionString,ReportMonth,Table1[[#This Row],[Site ID (from DATIM)]],"[Measures].[HVL_N_A]")</f>
        <v/>
      </c>
      <c r="AY43" s="67"/>
      <c r="AZ43" s="67"/>
      <c r="BA43" s="67"/>
      <c r="BB43" s="67"/>
      <c r="BC43" s="67"/>
      <c r="BD43" s="67"/>
      <c r="BE43" s="67"/>
      <c r="BF43" s="67"/>
      <c r="BG43" s="67" t="str" vm="12495">
        <f>CUBEVALUE(ConnectionString,ReportMonth,Table1[[#This Row],[Site ID (from DATIM)]],"[Measures].[TX_NEW_F_A]")</f>
        <v/>
      </c>
      <c r="BH43" s="67" t="str" vm="11480">
        <f>CUBEVALUE(ConnectionString,ReportMonth,Table1[[#This Row],[Site ID (from DATIM)]],"[Measures].[TX_NEW_M_A]")</f>
        <v/>
      </c>
      <c r="BI43" s="67" t="str" vm="14210">
        <f>CUBEVALUE(ConnectionString,ReportMonth,Table1[[#This Row],[Site ID (from DATIM)]],"[Measures].[TX_NEW_F_P]")</f>
        <v/>
      </c>
      <c r="BJ43" s="68" t="str" vm="12603">
        <f>CUBEVALUE(ConnectionString,ReportMonth,Table1[[#This Row],[Site ID (from DATIM)]],"[Measures].[TX_NEW_M_P]")</f>
        <v/>
      </c>
      <c r="BK43" s="68"/>
      <c r="BL43" s="68"/>
      <c r="BM43" s="68"/>
      <c r="BN43" s="68"/>
      <c r="BO43" s="68"/>
      <c r="BP43" s="68"/>
      <c r="BQ43" s="68" t="str" vm="12514">
        <f>CUBEVALUE(ConnectionString,ReportMonth,Table1[[#This Row],[Site ID (from DATIM)]],"[Measures].[TX_CURR_F_P]")</f>
        <v/>
      </c>
      <c r="BR43" s="68" t="str" vm="6386">
        <f>CUBEVALUE(ConnectionString,ReportMonth,Table1[[#This Row],[Site ID (from DATIM)]],"[Measures].[TX_CURR_M_P]")</f>
        <v/>
      </c>
      <c r="BS43" s="68" t="str" vm="8334">
        <f>CUBEVALUE(ConnectionString,ReportMonth,Table1[[#This Row],[Site ID (from DATIM)]],"[Measures].[TX_CURR_F_A]")</f>
        <v/>
      </c>
      <c r="BT43" s="68" t="str" vm="12875">
        <f>CUBEVALUE(ConnectionString,ReportMonth,Table1[[#This Row],[Site ID (from DATIM)]],"[Measures].[TX_CURR_M_A]")</f>
        <v/>
      </c>
      <c r="BU43" s="68" t="str" vm="18724">
        <f>CUBEVALUE(ConnectionString,ReportMonth,Table1[[#This Row],[Site ID (from DATIM)]],"[Measures].[MMS_01_89_F_P]")</f>
        <v/>
      </c>
      <c r="BV43" s="68" t="str" vm="18751">
        <f>CUBEVALUE(ConnectionString,ReportMonth,Table1[[#This Row],[Site ID (from DATIM)]],"[Measures].[MMS_01_89_M_P]")</f>
        <v/>
      </c>
      <c r="BW43" s="68" t="str" vm="19341">
        <f>CUBEVALUE(ConnectionString,ReportMonth,Table1[[#This Row],[Site ID (from DATIM)]],"[Measures].[MMS_01_89_F_A]")</f>
        <v/>
      </c>
      <c r="BX43" s="68" t="str" vm="18887">
        <f>CUBEVALUE(ConnectionString,ReportMonth,Table1[[#This Row],[Site ID (from DATIM)]],"[Measures].[MMS_01_89_M_A]")</f>
        <v/>
      </c>
      <c r="BY43" s="68" t="str" vm="17890">
        <f>CUBEVALUE(ConnectionString,ReportMonth,Table1[[#This Row],[Site ID (from DATIM)]],"[Measures].[MMS_90_179_F_P]")</f>
        <v/>
      </c>
      <c r="BZ43" s="68" t="str" vm="15052">
        <f>CUBEVALUE(ConnectionString,ReportMonth,Table1[[#This Row],[Site ID (from DATIM)]],"[Measures].[MMS_90_179_M_P]")</f>
        <v/>
      </c>
      <c r="CA43" s="68" t="str" vm="15930">
        <f>CUBEVALUE(ConnectionString,ReportMonth,Table1[[#This Row],[Site ID (from DATIM)]],"[Measures].[MMS_90_179_F_A]")</f>
        <v/>
      </c>
      <c r="CB43" s="68" t="str" vm="15080">
        <f>CUBEVALUE(ConnectionString,ReportMonth,Table1[[#This Row],[Site ID (from DATIM)]],"[Measures].[MMS_90_179_M_A]")</f>
        <v/>
      </c>
      <c r="CC43" s="68" t="str" vm="15535">
        <f>CUBEVALUE(ConnectionString,ReportMonth,Table1[[#This Row],[Site ID (from DATIM)]],"[Measures].[MMS_180+_F_P]")</f>
        <v/>
      </c>
      <c r="CD43" s="68" t="str" vm="14478">
        <f>CUBEVALUE(ConnectionString,ReportMonth,Table1[[#This Row],[Site ID (from DATIM)]],"[Measures].[MMS_180+_M_P]")</f>
        <v/>
      </c>
      <c r="CE43" s="68" t="str" vm="14471">
        <f>CUBEVALUE(ConnectionString,ReportMonth,Table1[[#This Row],[Site ID (from DATIM)]],"[Measures].[MMS_180+_F_A]")</f>
        <v/>
      </c>
      <c r="CF43" s="68" t="str" vm="17527">
        <f>CUBEVALUE(ConnectionString,ReportMonth,Table1[[#This Row],[Site ID (from DATIM)]],"[Measures].[MMS_180+_M_A]")</f>
        <v/>
      </c>
      <c r="CG43" s="68" t="str" vm="7879">
        <f>CUBEVALUE(ConnectionString,ReportMonth,Table1[[#This Row],[Site ID (from DATIM)]],"[Measures].[MISSEDAPP]")</f>
        <v/>
      </c>
      <c r="CH43" s="68" t="str" vm="13987">
        <f>CUBEVALUE(ConnectionString,ReportMonth,Table1[[#This Row],[Site ID (from DATIM)]],"[Measures].[MMS_180+_P]")</f>
        <v/>
      </c>
      <c r="CI43" s="68" t="str" vm="11940">
        <f>CUBEVALUE(ConnectionString,ReportMonth,Table1[[#This Row],[Site ID (from DATIM)]],"[Measures].[MMS_180+_A]")</f>
        <v/>
      </c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</row>
    <row r="44" spans="1:107" x14ac:dyDescent="0.25">
      <c r="A44" s="66">
        <v>4</v>
      </c>
      <c r="B44" s="67" t="str" vm="4">
        <f t="shared" si="1"/>
        <v>Mar-2021</v>
      </c>
      <c r="C44" s="67"/>
      <c r="D44" s="67" t="s">
        <v>232</v>
      </c>
      <c r="E44" s="67" t="s">
        <v>233</v>
      </c>
      <c r="F44" s="67" t="s">
        <v>437</v>
      </c>
      <c r="G44" s="67"/>
      <c r="H44" s="67" t="s">
        <v>442</v>
      </c>
      <c r="I44" s="67" t="s">
        <v>504</v>
      </c>
      <c r="J44" s="67" t="s">
        <v>505</v>
      </c>
      <c r="K44" s="67" t="s">
        <v>506</v>
      </c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 t="str" vm="1481">
        <f>CUBEVALUE(ConnectionString,ReportMonth,Table1[[#This Row],[Site ID (from DATIM)]],"TX_NEW_2VIS")</f>
        <v/>
      </c>
      <c r="AE44" s="67" t="str" vm="2879">
        <f>CUBEVALUE(ConnectionString,ReportMonth,Table1[[#This Row],[Site ID (from DATIM)]],INDEX(SDI_Measures,1))</f>
        <v/>
      </c>
      <c r="AF44" s="67" t="str" vm="5865">
        <f>CUBEVALUE(ConnectionString,ReportMonth,Table1[[#This Row],[Site ID (from DATIM)]],INDEX(SDI_Measures,2))</f>
        <v/>
      </c>
      <c r="AG44" s="67" t="str" vm="1143">
        <f>CUBEVALUE(ConnectionString,ReportMonth,Table1[[#This Row],[Site ID (from DATIM)]],INDEX(SDI_Measures,3))</f>
        <v/>
      </c>
      <c r="AH44" s="67" vm="3087">
        <f>CUBEVALUE(ConnectionString,ReportMonth,Table1[[#This Row],[Site ID (from DATIM)]],"TX_CURR_PRIOR_MONTH")</f>
        <v>34</v>
      </c>
      <c r="AI44" s="67" vm="2226">
        <f>CUBEVALUE(ConnectionString,ReportMonth,Table1[[#This Row],[Site ID (from DATIM)]],"TX_CURR")</f>
        <v>15</v>
      </c>
      <c r="AJ44" s="67" t="str" vm="3736">
        <f>CUBEVALUE(ConnectionString,ReportMonth,Table1[[#This Row],[Site ID (from DATIM)]],"[Measures].[TI]")</f>
        <v/>
      </c>
      <c r="AK44" s="67" t="str" vm="2295">
        <f>CUBEVALUE(ConnectionString,ReportMonth,Table1[[#This Row],[Site ID (from DATIM)]],"[Measures].[TO]")</f>
        <v/>
      </c>
      <c r="AL44" s="67" t="str" vm="7961">
        <f>CUBEVALUE(ConnectionString,ReportMonth,Table1[[#This Row],[Site ID (from DATIM)]],"[Measures].[DIED]")</f>
        <v/>
      </c>
      <c r="AM44" s="67" vm="5146">
        <f>CUBEVALUE(ConnectionString,ReportMonth,Table1[[#This Row],[Site ID (from DATIM)]],"[Measures].[MMS_01_31]")</f>
        <v>15</v>
      </c>
      <c r="AN44" s="67" t="str" vm="6294">
        <f>CUBEVALUE(ConnectionString,ReportMonth,Table1[[#This Row],[Site ID (from DATIM)]],"[Measures].[MMS_32_62]")</f>
        <v/>
      </c>
      <c r="AO44" s="67" t="str" vm="6767">
        <f>CUBEVALUE(ConnectionString,ReportMonth,Table1[[#This Row],[Site ID (from DATIM)]],"[Measures].[MMS_63+]")</f>
        <v/>
      </c>
      <c r="AP44" s="67" t="str" vm="4913">
        <f>CUBEVALUE(ConnectionString,ReportMonth,Table1[[#This Row],[Site ID (from DATIM)]],"[Measures].[TBPREV_D]")</f>
        <v/>
      </c>
      <c r="AQ44" s="67" t="str" vm="7869">
        <f>CUBEVALUE(ConnectionString,ReportMonth,Table1[[#This Row],[Site ID (from DATIM)]],"[Measures].[TBPREV_N]")</f>
        <v/>
      </c>
      <c r="AR44" s="67" t="str" vm="5640">
        <f>CUBEVALUE(ConnectionString,ReportMonth,Table1[[#This Row],[Site ID (from DATIM)]],"[Measures].[TBPREV_NEW]")</f>
        <v/>
      </c>
      <c r="AS44" s="67" t="str" vm="9283">
        <f>CUBEVALUE(ConnectionString,ReportMonth,Table1[[#This Row],[Site ID (from DATIM)]],"[Measures].[HVL_ELIG_P]")</f>
        <v/>
      </c>
      <c r="AT44" s="67" t="str" vm="7534">
        <f>CUBEVALUE(ConnectionString,ReportMonth,Table1[[#This Row],[Site ID (from DATIM)]],"[Measures].[HVL_D_P]")</f>
        <v/>
      </c>
      <c r="AU44" s="67" t="str" vm="6408">
        <f>CUBEVALUE(ConnectionString,ReportMonth,Table1[[#This Row],[Site ID (from DATIM)]],"[Measures].[HVL_N_P]")</f>
        <v/>
      </c>
      <c r="AV44" s="68" vm="7250">
        <f>CUBEVALUE(ConnectionString,ReportMonth,Table1[[#This Row],[Site ID (from DATIM)]],"[Measures].[HVL_ELIG_A]")</f>
        <v>14</v>
      </c>
      <c r="AW44" s="68" t="str" vm="13182">
        <f>CUBEVALUE(ConnectionString,ReportMonth,Table1[[#This Row],[Site ID (from DATIM)]],"[Measures].[HVL_D_A]")</f>
        <v/>
      </c>
      <c r="AX44" s="68" t="str" vm="7737">
        <f>CUBEVALUE(ConnectionString,ReportMonth,Table1[[#This Row],[Site ID (from DATIM)]],"[Measures].[HVL_N_A]")</f>
        <v/>
      </c>
      <c r="AY44" s="67"/>
      <c r="AZ44" s="67"/>
      <c r="BA44" s="67"/>
      <c r="BB44" s="67"/>
      <c r="BC44" s="67"/>
      <c r="BD44" s="67"/>
      <c r="BE44" s="67"/>
      <c r="BF44" s="67"/>
      <c r="BG44" s="67" t="str" vm="14126">
        <f>CUBEVALUE(ConnectionString,ReportMonth,Table1[[#This Row],[Site ID (from DATIM)]],"[Measures].[TX_NEW_F_A]")</f>
        <v/>
      </c>
      <c r="BH44" s="67" t="str" vm="16608">
        <f>CUBEVALUE(ConnectionString,ReportMonth,Table1[[#This Row],[Site ID (from DATIM)]],"[Measures].[TX_NEW_M_A]")</f>
        <v/>
      </c>
      <c r="BI44" s="67" t="str" vm="13956">
        <f>CUBEVALUE(ConnectionString,ReportMonth,Table1[[#This Row],[Site ID (from DATIM)]],"[Measures].[TX_NEW_F_P]")</f>
        <v/>
      </c>
      <c r="BJ44" s="68" t="str" vm="14326">
        <f>CUBEVALUE(ConnectionString,ReportMonth,Table1[[#This Row],[Site ID (from DATIM)]],"[Measures].[TX_NEW_M_P]")</f>
        <v/>
      </c>
      <c r="BK44" s="68"/>
      <c r="BL44" s="68"/>
      <c r="BM44" s="68"/>
      <c r="BN44" s="68"/>
      <c r="BO44" s="68"/>
      <c r="BP44" s="68"/>
      <c r="BQ44" s="68" t="str" vm="8581">
        <f>CUBEVALUE(ConnectionString,ReportMonth,Table1[[#This Row],[Site ID (from DATIM)]],"[Measures].[TX_CURR_F_P]")</f>
        <v/>
      </c>
      <c r="BR44" s="68" t="str" vm="11871">
        <f>CUBEVALUE(ConnectionString,ReportMonth,Table1[[#This Row],[Site ID (from DATIM)]],"[Measures].[TX_CURR_M_P]")</f>
        <v/>
      </c>
      <c r="BS44" s="68" vm="8964">
        <f>CUBEVALUE(ConnectionString,ReportMonth,Table1[[#This Row],[Site ID (from DATIM)]],"[Measures].[TX_CURR_F_A]")</f>
        <v>15</v>
      </c>
      <c r="BT44" s="68" t="str" vm="10898">
        <f>CUBEVALUE(ConnectionString,ReportMonth,Table1[[#This Row],[Site ID (from DATIM)]],"[Measures].[TX_CURR_M_A]")</f>
        <v/>
      </c>
      <c r="BU44" s="68" t="str" vm="18095">
        <f>CUBEVALUE(ConnectionString,ReportMonth,Table1[[#This Row],[Site ID (from DATIM)]],"[Measures].[MMS_01_89_F_P]")</f>
        <v/>
      </c>
      <c r="BV44" s="68" t="str" vm="18623">
        <f>CUBEVALUE(ConnectionString,ReportMonth,Table1[[#This Row],[Site ID (from DATIM)]],"[Measures].[MMS_01_89_M_P]")</f>
        <v/>
      </c>
      <c r="BW44" s="68" vm="18289">
        <f>CUBEVALUE(ConnectionString,ReportMonth,Table1[[#This Row],[Site ID (from DATIM)]],"[Measures].[MMS_01_89_F_A]")</f>
        <v>15</v>
      </c>
      <c r="BX44" s="68" t="str" vm="19667">
        <f>CUBEVALUE(ConnectionString,ReportMonth,Table1[[#This Row],[Site ID (from DATIM)]],"[Measures].[MMS_01_89_M_A]")</f>
        <v/>
      </c>
      <c r="BY44" s="68" t="str" vm="15214">
        <f>CUBEVALUE(ConnectionString,ReportMonth,Table1[[#This Row],[Site ID (from DATIM)]],"[Measures].[MMS_90_179_F_P]")</f>
        <v/>
      </c>
      <c r="BZ44" s="68" t="str" vm="19860">
        <f>CUBEVALUE(ConnectionString,ReportMonth,Table1[[#This Row],[Site ID (from DATIM)]],"[Measures].[MMS_90_179_M_P]")</f>
        <v/>
      </c>
      <c r="CA44" s="68" t="str" vm="14598">
        <f>CUBEVALUE(ConnectionString,ReportMonth,Table1[[#This Row],[Site ID (from DATIM)]],"[Measures].[MMS_90_179_F_A]")</f>
        <v/>
      </c>
      <c r="CB44" s="68" t="str" vm="16416">
        <f>CUBEVALUE(ConnectionString,ReportMonth,Table1[[#This Row],[Site ID (from DATIM)]],"[Measures].[MMS_90_179_M_A]")</f>
        <v/>
      </c>
      <c r="CC44" s="68" t="str" vm="16402">
        <f>CUBEVALUE(ConnectionString,ReportMonth,Table1[[#This Row],[Site ID (from DATIM)]],"[Measures].[MMS_180+_F_P]")</f>
        <v/>
      </c>
      <c r="CD44" s="68" t="str" vm="14996">
        <f>CUBEVALUE(ConnectionString,ReportMonth,Table1[[#This Row],[Site ID (from DATIM)]],"[Measures].[MMS_180+_M_P]")</f>
        <v/>
      </c>
      <c r="CE44" s="68" t="str" vm="17162">
        <f>CUBEVALUE(ConnectionString,ReportMonth,Table1[[#This Row],[Site ID (from DATIM)]],"[Measures].[MMS_180+_F_A]")</f>
        <v/>
      </c>
      <c r="CF44" s="68" t="str" vm="481">
        <f>CUBEVALUE(ConnectionString,ReportMonth,Table1[[#This Row],[Site ID (from DATIM)]],"[Measures].[MMS_180+_M_A]")</f>
        <v/>
      </c>
      <c r="CG44" s="68" vm="5991">
        <f>CUBEVALUE(ConnectionString,ReportMonth,Table1[[#This Row],[Site ID (from DATIM)]],"[Measures].[MISSEDAPP]")</f>
        <v>15</v>
      </c>
      <c r="CH44" s="68" t="str" vm="13924">
        <f>CUBEVALUE(ConnectionString,ReportMonth,Table1[[#This Row],[Site ID (from DATIM)]],"[Measures].[MMS_180+_P]")</f>
        <v/>
      </c>
      <c r="CI44" s="68" t="str" vm="10400">
        <f>CUBEVALUE(ConnectionString,ReportMonth,Table1[[#This Row],[Site ID (from DATIM)]],"[Measures].[MMS_180+_A]")</f>
        <v/>
      </c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</row>
    <row r="45" spans="1:107" x14ac:dyDescent="0.25">
      <c r="A45" s="66">
        <v>3</v>
      </c>
      <c r="B45" s="67" t="str" vm="4">
        <f t="shared" si="1"/>
        <v>Mar-2021</v>
      </c>
      <c r="C45" s="67"/>
      <c r="D45" s="67" t="s">
        <v>232</v>
      </c>
      <c r="E45" s="67" t="s">
        <v>233</v>
      </c>
      <c r="F45" s="67" t="s">
        <v>1286</v>
      </c>
      <c r="G45" s="67"/>
      <c r="H45" s="67" t="s">
        <v>1291</v>
      </c>
      <c r="I45" s="67" t="s">
        <v>504</v>
      </c>
      <c r="J45" s="67" t="s">
        <v>505</v>
      </c>
      <c r="K45" s="67" t="s">
        <v>1292</v>
      </c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 t="str" vm="2745">
        <f>CUBEVALUE(ConnectionString,ReportMonth,Table1[[#This Row],[Site ID (from DATIM)]],"TX_NEW_2VIS")</f>
        <v/>
      </c>
      <c r="AE45" s="67" t="str" vm="462">
        <f>CUBEVALUE(ConnectionString,ReportMonth,Table1[[#This Row],[Site ID (from DATIM)]],INDEX(SDI_Measures,1))</f>
        <v/>
      </c>
      <c r="AF45" s="67" t="str" vm="1158">
        <f>CUBEVALUE(ConnectionString,ReportMonth,Table1[[#This Row],[Site ID (from DATIM)]],INDEX(SDI_Measures,2))</f>
        <v/>
      </c>
      <c r="AG45" s="67" t="str" vm="2048">
        <f>CUBEVALUE(ConnectionString,ReportMonth,Table1[[#This Row],[Site ID (from DATIM)]],INDEX(SDI_Measures,3))</f>
        <v/>
      </c>
      <c r="AH45" s="67" t="str" vm="913">
        <f>CUBEVALUE(ConnectionString,ReportMonth,Table1[[#This Row],[Site ID (from DATIM)]],"TX_CURR_PRIOR_MONTH")</f>
        <v/>
      </c>
      <c r="AI45" s="67" t="str" vm="4308">
        <f>CUBEVALUE(ConnectionString,ReportMonth,Table1[[#This Row],[Site ID (from DATIM)]],"TX_CURR")</f>
        <v/>
      </c>
      <c r="AJ45" s="67" t="str" vm="3894">
        <f>CUBEVALUE(ConnectionString,ReportMonth,Table1[[#This Row],[Site ID (from DATIM)]],"[Measures].[TI]")</f>
        <v/>
      </c>
      <c r="AK45" s="67" t="str" vm="3248">
        <f>CUBEVALUE(ConnectionString,ReportMonth,Table1[[#This Row],[Site ID (from DATIM)]],"[Measures].[TO]")</f>
        <v/>
      </c>
      <c r="AL45" s="67" t="str" vm="3001">
        <f>CUBEVALUE(ConnectionString,ReportMonth,Table1[[#This Row],[Site ID (from DATIM)]],"[Measures].[DIED]")</f>
        <v/>
      </c>
      <c r="AM45" s="67" t="str" vm="7853">
        <f>CUBEVALUE(ConnectionString,ReportMonth,Table1[[#This Row],[Site ID (from DATIM)]],"[Measures].[MMS_01_31]")</f>
        <v/>
      </c>
      <c r="AN45" s="67" t="str" vm="9562">
        <f>CUBEVALUE(ConnectionString,ReportMonth,Table1[[#This Row],[Site ID (from DATIM)]],"[Measures].[MMS_32_62]")</f>
        <v/>
      </c>
      <c r="AO45" s="67" t="str" vm="4682">
        <f>CUBEVALUE(ConnectionString,ReportMonth,Table1[[#This Row],[Site ID (from DATIM)]],"[Measures].[MMS_63+]")</f>
        <v/>
      </c>
      <c r="AP45" s="67" t="str" vm="8598">
        <f>CUBEVALUE(ConnectionString,ReportMonth,Table1[[#This Row],[Site ID (from DATIM)]],"[Measures].[TBPREV_D]")</f>
        <v/>
      </c>
      <c r="AQ45" s="67" t="str" vm="7603">
        <f>CUBEVALUE(ConnectionString,ReportMonth,Table1[[#This Row],[Site ID (from DATIM)]],"[Measures].[TBPREV_N]")</f>
        <v/>
      </c>
      <c r="AR45" s="67" t="str" vm="5823">
        <f>CUBEVALUE(ConnectionString,ReportMonth,Table1[[#This Row],[Site ID (from DATIM)]],"[Measures].[TBPREV_NEW]")</f>
        <v/>
      </c>
      <c r="AS45" s="67" t="str" vm="7789">
        <f>CUBEVALUE(ConnectionString,ReportMonth,Table1[[#This Row],[Site ID (from DATIM)]],"[Measures].[HVL_ELIG_P]")</f>
        <v/>
      </c>
      <c r="AT45" s="67" t="str" vm="9415">
        <f>CUBEVALUE(ConnectionString,ReportMonth,Table1[[#This Row],[Site ID (from DATIM)]],"[Measures].[HVL_D_P]")</f>
        <v/>
      </c>
      <c r="AU45" s="67" t="str" vm="9306">
        <f>CUBEVALUE(ConnectionString,ReportMonth,Table1[[#This Row],[Site ID (from DATIM)]],"[Measures].[HVL_N_P]")</f>
        <v/>
      </c>
      <c r="AV45" s="68" t="str" vm="11121">
        <f>CUBEVALUE(ConnectionString,ReportMonth,Table1[[#This Row],[Site ID (from DATIM)]],"[Measures].[HVL_ELIG_A]")</f>
        <v/>
      </c>
      <c r="AW45" s="68" t="str" vm="7014">
        <f>CUBEVALUE(ConnectionString,ReportMonth,Table1[[#This Row],[Site ID (from DATIM)]],"[Measures].[HVL_D_A]")</f>
        <v/>
      </c>
      <c r="AX45" s="68" t="str" vm="6802">
        <f>CUBEVALUE(ConnectionString,ReportMonth,Table1[[#This Row],[Site ID (from DATIM)]],"[Measures].[HVL_N_A]")</f>
        <v/>
      </c>
      <c r="AY45" s="67"/>
      <c r="AZ45" s="67"/>
      <c r="BA45" s="67"/>
      <c r="BB45" s="67"/>
      <c r="BC45" s="67"/>
      <c r="BD45" s="67"/>
      <c r="BE45" s="67"/>
      <c r="BF45" s="67"/>
      <c r="BG45" s="67" t="str" vm="12217">
        <f>CUBEVALUE(ConnectionString,ReportMonth,Table1[[#This Row],[Site ID (from DATIM)]],"[Measures].[TX_NEW_F_A]")</f>
        <v/>
      </c>
      <c r="BH45" s="67" t="str" vm="11478">
        <f>CUBEVALUE(ConnectionString,ReportMonth,Table1[[#This Row],[Site ID (from DATIM)]],"[Measures].[TX_NEW_M_A]")</f>
        <v/>
      </c>
      <c r="BI45" s="67" t="str" vm="13901">
        <f>CUBEVALUE(ConnectionString,ReportMonth,Table1[[#This Row],[Site ID (from DATIM)]],"[Measures].[TX_NEW_F_P]")</f>
        <v/>
      </c>
      <c r="BJ45" s="68" t="str" vm="14818">
        <f>CUBEVALUE(ConnectionString,ReportMonth,Table1[[#This Row],[Site ID (from DATIM)]],"[Measures].[TX_NEW_M_P]")</f>
        <v/>
      </c>
      <c r="BK45" s="68"/>
      <c r="BL45" s="68"/>
      <c r="BM45" s="68"/>
      <c r="BN45" s="68"/>
      <c r="BO45" s="68"/>
      <c r="BP45" s="68"/>
      <c r="BQ45" s="68" t="str" vm="8771">
        <f>CUBEVALUE(ConnectionString,ReportMonth,Table1[[#This Row],[Site ID (from DATIM)]],"[Measures].[TX_CURR_F_P]")</f>
        <v/>
      </c>
      <c r="BR45" s="68" t="str" vm="8508">
        <f>CUBEVALUE(ConnectionString,ReportMonth,Table1[[#This Row],[Site ID (from DATIM)]],"[Measures].[TX_CURR_M_P]")</f>
        <v/>
      </c>
      <c r="BS45" s="68" t="str" vm="8930">
        <f>CUBEVALUE(ConnectionString,ReportMonth,Table1[[#This Row],[Site ID (from DATIM)]],"[Measures].[TX_CURR_F_A]")</f>
        <v/>
      </c>
      <c r="BT45" s="68" t="str" vm="12628">
        <f>CUBEVALUE(ConnectionString,ReportMonth,Table1[[#This Row],[Site ID (from DATIM)]],"[Measures].[TX_CURR_M_A]")</f>
        <v/>
      </c>
      <c r="BU45" s="68" t="str" vm="18387">
        <f>CUBEVALUE(ConnectionString,ReportMonth,Table1[[#This Row],[Site ID (from DATIM)]],"[Measures].[MMS_01_89_F_P]")</f>
        <v/>
      </c>
      <c r="BV45" s="68" t="str" vm="19732">
        <f>CUBEVALUE(ConnectionString,ReportMonth,Table1[[#This Row],[Site ID (from DATIM)]],"[Measures].[MMS_01_89_M_P]")</f>
        <v/>
      </c>
      <c r="BW45" s="68" t="str" vm="17959">
        <f>CUBEVALUE(ConnectionString,ReportMonth,Table1[[#This Row],[Site ID (from DATIM)]],"[Measures].[MMS_01_89_F_A]")</f>
        <v/>
      </c>
      <c r="BX45" s="68" t="str" vm="17954">
        <f>CUBEVALUE(ConnectionString,ReportMonth,Table1[[#This Row],[Site ID (from DATIM)]],"[Measures].[MMS_01_89_M_A]")</f>
        <v/>
      </c>
      <c r="BY45" s="68" t="str" vm="18896">
        <f>CUBEVALUE(ConnectionString,ReportMonth,Table1[[#This Row],[Site ID (from DATIM)]],"[Measures].[MMS_90_179_F_P]")</f>
        <v/>
      </c>
      <c r="BZ45" s="68" t="str" vm="16102">
        <f>CUBEVALUE(ConnectionString,ReportMonth,Table1[[#This Row],[Site ID (from DATIM)]],"[Measures].[MMS_90_179_M_P]")</f>
        <v/>
      </c>
      <c r="CA45" s="68" t="str" vm="17338">
        <f>CUBEVALUE(ConnectionString,ReportMonth,Table1[[#This Row],[Site ID (from DATIM)]],"[Measures].[MMS_90_179_F_A]")</f>
        <v/>
      </c>
      <c r="CB45" s="68" t="str" vm="15508">
        <f>CUBEVALUE(ConnectionString,ReportMonth,Table1[[#This Row],[Site ID (from DATIM)]],"[Measures].[MMS_90_179_M_A]")</f>
        <v/>
      </c>
      <c r="CC45" s="68" t="str" vm="16297">
        <f>CUBEVALUE(ConnectionString,ReportMonth,Table1[[#This Row],[Site ID (from DATIM)]],"[Measures].[MMS_180+_F_P]")</f>
        <v/>
      </c>
      <c r="CD45" s="68" t="str" vm="17211">
        <f>CUBEVALUE(ConnectionString,ReportMonth,Table1[[#This Row],[Site ID (from DATIM)]],"[Measures].[MMS_180+_M_P]")</f>
        <v/>
      </c>
      <c r="CE45" s="68" t="str" vm="153">
        <f>CUBEVALUE(ConnectionString,ReportMonth,Table1[[#This Row],[Site ID (from DATIM)]],"[Measures].[MMS_180+_F_A]")</f>
        <v/>
      </c>
      <c r="CF45" s="68" t="str" vm="14497">
        <f>CUBEVALUE(ConnectionString,ReportMonth,Table1[[#This Row],[Site ID (from DATIM)]],"[Measures].[MMS_180+_M_A]")</f>
        <v/>
      </c>
      <c r="CG45" s="68" t="str" vm="9225">
        <f>CUBEVALUE(ConnectionString,ReportMonth,Table1[[#This Row],[Site ID (from DATIM)]],"[Measures].[MISSEDAPP]")</f>
        <v/>
      </c>
      <c r="CH45" s="68" t="str" vm="11983">
        <f>CUBEVALUE(ConnectionString,ReportMonth,Table1[[#This Row],[Site ID (from DATIM)]],"[Measures].[MMS_180+_P]")</f>
        <v/>
      </c>
      <c r="CI45" s="68" t="str" vm="12644">
        <f>CUBEVALUE(ConnectionString,ReportMonth,Table1[[#This Row],[Site ID (from DATIM)]],"[Measures].[MMS_180+_A]")</f>
        <v/>
      </c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</row>
    <row r="46" spans="1:107" x14ac:dyDescent="0.25">
      <c r="A46" s="66">
        <v>4</v>
      </c>
      <c r="B46" s="67" t="str" vm="4">
        <f t="shared" si="1"/>
        <v>Mar-2021</v>
      </c>
      <c r="C46" s="67"/>
      <c r="D46" s="67" t="s">
        <v>232</v>
      </c>
      <c r="E46" s="67" t="s">
        <v>233</v>
      </c>
      <c r="F46" s="67" t="s">
        <v>1286</v>
      </c>
      <c r="G46" s="67"/>
      <c r="H46" s="67" t="s">
        <v>1291</v>
      </c>
      <c r="I46" s="67" t="s">
        <v>1293</v>
      </c>
      <c r="J46" s="67" t="s">
        <v>1294</v>
      </c>
      <c r="K46" s="67" t="s">
        <v>1295</v>
      </c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 t="str" vm="3810">
        <f>CUBEVALUE(ConnectionString,ReportMonth,Table1[[#This Row],[Site ID (from DATIM)]],"TX_NEW_2VIS")</f>
        <v/>
      </c>
      <c r="AE46" s="67" t="str" vm="2292">
        <f>CUBEVALUE(ConnectionString,ReportMonth,Table1[[#This Row],[Site ID (from DATIM)]],INDEX(SDI_Measures,1))</f>
        <v/>
      </c>
      <c r="AF46" s="67" t="str" vm="2331">
        <f>CUBEVALUE(ConnectionString,ReportMonth,Table1[[#This Row],[Site ID (from DATIM)]],INDEX(SDI_Measures,2))</f>
        <v/>
      </c>
      <c r="AG46" s="67" t="str" vm="2393">
        <f>CUBEVALUE(ConnectionString,ReportMonth,Table1[[#This Row],[Site ID (from DATIM)]],INDEX(SDI_Measures,3))</f>
        <v/>
      </c>
      <c r="AH46" s="67" t="str" vm="2985">
        <f>CUBEVALUE(ConnectionString,ReportMonth,Table1[[#This Row],[Site ID (from DATIM)]],"TX_CURR_PRIOR_MONTH")</f>
        <v/>
      </c>
      <c r="AI46" s="67" t="str" vm="6056">
        <f>CUBEVALUE(ConnectionString,ReportMonth,Table1[[#This Row],[Site ID (from DATIM)]],"TX_CURR")</f>
        <v/>
      </c>
      <c r="AJ46" s="67" t="str" vm="3880">
        <f>CUBEVALUE(ConnectionString,ReportMonth,Table1[[#This Row],[Site ID (from DATIM)]],"[Measures].[TI]")</f>
        <v/>
      </c>
      <c r="AK46" s="67" t="str" vm="1344">
        <f>CUBEVALUE(ConnectionString,ReportMonth,Table1[[#This Row],[Site ID (from DATIM)]],"[Measures].[TO]")</f>
        <v/>
      </c>
      <c r="AL46" s="67" t="str" vm="4277">
        <f>CUBEVALUE(ConnectionString,ReportMonth,Table1[[#This Row],[Site ID (from DATIM)]],"[Measures].[DIED]")</f>
        <v/>
      </c>
      <c r="AM46" s="67" t="str" vm="6233">
        <f>CUBEVALUE(ConnectionString,ReportMonth,Table1[[#This Row],[Site ID (from DATIM)]],"[Measures].[MMS_01_31]")</f>
        <v/>
      </c>
      <c r="AN46" s="67" t="str" vm="6308">
        <f>CUBEVALUE(ConnectionString,ReportMonth,Table1[[#This Row],[Site ID (from DATIM)]],"[Measures].[MMS_32_62]")</f>
        <v/>
      </c>
      <c r="AO46" s="67" t="str" vm="5603">
        <f>CUBEVALUE(ConnectionString,ReportMonth,Table1[[#This Row],[Site ID (from DATIM)]],"[Measures].[MMS_63+]")</f>
        <v/>
      </c>
      <c r="AP46" s="67" t="str" vm="7312">
        <f>CUBEVALUE(ConnectionString,ReportMonth,Table1[[#This Row],[Site ID (from DATIM)]],"[Measures].[TBPREV_D]")</f>
        <v/>
      </c>
      <c r="AQ46" s="67" t="str" vm="5252">
        <f>CUBEVALUE(ConnectionString,ReportMonth,Table1[[#This Row],[Site ID (from DATIM)]],"[Measures].[TBPREV_N]")</f>
        <v/>
      </c>
      <c r="AR46" s="67" t="str" vm="4891">
        <f>CUBEVALUE(ConnectionString,ReportMonth,Table1[[#This Row],[Site ID (from DATIM)]],"[Measures].[TBPREV_NEW]")</f>
        <v/>
      </c>
      <c r="AS46" s="67" t="str" vm="7567">
        <f>CUBEVALUE(ConnectionString,ReportMonth,Table1[[#This Row],[Site ID (from DATIM)]],"[Measures].[HVL_ELIG_P]")</f>
        <v/>
      </c>
      <c r="AT46" s="67" t="str" vm="8690">
        <f>CUBEVALUE(ConnectionString,ReportMonth,Table1[[#This Row],[Site ID (from DATIM)]],"[Measures].[HVL_D_P]")</f>
        <v/>
      </c>
      <c r="AU46" s="67" t="str" vm="9996">
        <f>CUBEVALUE(ConnectionString,ReportMonth,Table1[[#This Row],[Site ID (from DATIM)]],"[Measures].[HVL_N_P]")</f>
        <v/>
      </c>
      <c r="AV46" s="68" t="str" vm="14092">
        <f>CUBEVALUE(ConnectionString,ReportMonth,Table1[[#This Row],[Site ID (from DATIM)]],"[Measures].[HVL_ELIG_A]")</f>
        <v/>
      </c>
      <c r="AW46" s="68" t="str" vm="11759">
        <f>CUBEVALUE(ConnectionString,ReportMonth,Table1[[#This Row],[Site ID (from DATIM)]],"[Measures].[HVL_D_A]")</f>
        <v/>
      </c>
      <c r="AX46" s="68" t="str" vm="8084">
        <f>CUBEVALUE(ConnectionString,ReportMonth,Table1[[#This Row],[Site ID (from DATIM)]],"[Measures].[HVL_N_A]")</f>
        <v/>
      </c>
      <c r="AY46" s="67"/>
      <c r="AZ46" s="67"/>
      <c r="BA46" s="67"/>
      <c r="BB46" s="67"/>
      <c r="BC46" s="67"/>
      <c r="BD46" s="67"/>
      <c r="BE46" s="67"/>
      <c r="BF46" s="67"/>
      <c r="BG46" s="67" t="str" vm="12319">
        <f>CUBEVALUE(ConnectionString,ReportMonth,Table1[[#This Row],[Site ID (from DATIM)]],"[Measures].[TX_NEW_F_A]")</f>
        <v/>
      </c>
      <c r="BH46" s="67" t="str" vm="14031">
        <f>CUBEVALUE(ConnectionString,ReportMonth,Table1[[#This Row],[Site ID (from DATIM)]],"[Measures].[TX_NEW_M_A]")</f>
        <v/>
      </c>
      <c r="BI46" s="67" t="str" vm="14396">
        <f>CUBEVALUE(ConnectionString,ReportMonth,Table1[[#This Row],[Site ID (from DATIM)]],"[Measures].[TX_NEW_F_P]")</f>
        <v/>
      </c>
      <c r="BJ46" s="68" t="str" vm="16161">
        <f>CUBEVALUE(ConnectionString,ReportMonth,Table1[[#This Row],[Site ID (from DATIM)]],"[Measures].[TX_NEW_M_P]")</f>
        <v/>
      </c>
      <c r="BK46" s="68"/>
      <c r="BL46" s="68"/>
      <c r="BM46" s="68"/>
      <c r="BN46" s="68"/>
      <c r="BO46" s="68"/>
      <c r="BP46" s="68"/>
      <c r="BQ46" s="68" t="str" vm="12876">
        <f>CUBEVALUE(ConnectionString,ReportMonth,Table1[[#This Row],[Site ID (from DATIM)]],"[Measures].[TX_CURR_F_P]")</f>
        <v/>
      </c>
      <c r="BR46" s="68" t="str" vm="10742">
        <f>CUBEVALUE(ConnectionString,ReportMonth,Table1[[#This Row],[Site ID (from DATIM)]],"[Measures].[TX_CURR_M_P]")</f>
        <v/>
      </c>
      <c r="BS46" s="68" t="str" vm="12783">
        <f>CUBEVALUE(ConnectionString,ReportMonth,Table1[[#This Row],[Site ID (from DATIM)]],"[Measures].[TX_CURR_F_A]")</f>
        <v/>
      </c>
      <c r="BT46" s="68" t="str" vm="6373">
        <f>CUBEVALUE(ConnectionString,ReportMonth,Table1[[#This Row],[Site ID (from DATIM)]],"[Measures].[TX_CURR_M_A]")</f>
        <v/>
      </c>
      <c r="BU46" s="68" t="str" vm="20125">
        <f>CUBEVALUE(ConnectionString,ReportMonth,Table1[[#This Row],[Site ID (from DATIM)]],"[Measures].[MMS_01_89_F_P]")</f>
        <v/>
      </c>
      <c r="BV46" s="68" t="str" vm="18370">
        <f>CUBEVALUE(ConnectionString,ReportMonth,Table1[[#This Row],[Site ID (from DATIM)]],"[Measures].[MMS_01_89_M_P]")</f>
        <v/>
      </c>
      <c r="BW46" s="68" t="str" vm="19283">
        <f>CUBEVALUE(ConnectionString,ReportMonth,Table1[[#This Row],[Site ID (from DATIM)]],"[Measures].[MMS_01_89_F_A]")</f>
        <v/>
      </c>
      <c r="BX46" s="68" t="str" vm="19212">
        <f>CUBEVALUE(ConnectionString,ReportMonth,Table1[[#This Row],[Site ID (from DATIM)]],"[Measures].[MMS_01_89_M_A]")</f>
        <v/>
      </c>
      <c r="BY46" s="68" t="str" vm="17980">
        <f>CUBEVALUE(ConnectionString,ReportMonth,Table1[[#This Row],[Site ID (from DATIM)]],"[Measures].[MMS_90_179_F_P]")</f>
        <v/>
      </c>
      <c r="BZ46" s="68" t="str" vm="17774">
        <f>CUBEVALUE(ConnectionString,ReportMonth,Table1[[#This Row],[Site ID (from DATIM)]],"[Measures].[MMS_90_179_M_P]")</f>
        <v/>
      </c>
      <c r="CA46" s="68" t="str" vm="17887">
        <f>CUBEVALUE(ConnectionString,ReportMonth,Table1[[#This Row],[Site ID (from DATIM)]],"[Measures].[MMS_90_179_F_A]")</f>
        <v/>
      </c>
      <c r="CB46" s="68" t="str" vm="15978">
        <f>CUBEVALUE(ConnectionString,ReportMonth,Table1[[#This Row],[Site ID (from DATIM)]],"[Measures].[MMS_90_179_M_A]")</f>
        <v/>
      </c>
      <c r="CC46" s="68" t="str" vm="17589">
        <f>CUBEVALUE(ConnectionString,ReportMonth,Table1[[#This Row],[Site ID (from DATIM)]],"[Measures].[MMS_180+_F_P]")</f>
        <v/>
      </c>
      <c r="CD46" s="68" t="str" vm="17649">
        <f>CUBEVALUE(ConnectionString,ReportMonth,Table1[[#This Row],[Site ID (from DATIM)]],"[Measures].[MMS_180+_M_P]")</f>
        <v/>
      </c>
      <c r="CE46" s="68" t="str" vm="15762">
        <f>CUBEVALUE(ConnectionString,ReportMonth,Table1[[#This Row],[Site ID (from DATIM)]],"[Measures].[MMS_180+_F_A]")</f>
        <v/>
      </c>
      <c r="CF46" s="68" t="str" vm="139">
        <f>CUBEVALUE(ConnectionString,ReportMonth,Table1[[#This Row],[Site ID (from DATIM)]],"[Measures].[MMS_180+_M_A]")</f>
        <v/>
      </c>
      <c r="CG46" s="68" t="str" vm="6262">
        <f>CUBEVALUE(ConnectionString,ReportMonth,Table1[[#This Row],[Site ID (from DATIM)]],"[Measures].[MISSEDAPP]")</f>
        <v/>
      </c>
      <c r="CH46" s="68" t="str" vm="12429">
        <f>CUBEVALUE(ConnectionString,ReportMonth,Table1[[#This Row],[Site ID (from DATIM)]],"[Measures].[MMS_180+_P]")</f>
        <v/>
      </c>
      <c r="CI46" s="68" t="str" vm="12034">
        <f>CUBEVALUE(ConnectionString,ReportMonth,Table1[[#This Row],[Site ID (from DATIM)]],"[Measures].[MMS_180+_A]")</f>
        <v/>
      </c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</row>
    <row r="47" spans="1:107" x14ac:dyDescent="0.25">
      <c r="A47" s="66">
        <v>4</v>
      </c>
      <c r="B47" s="67" t="str" vm="4">
        <f t="shared" si="1"/>
        <v>Mar-2021</v>
      </c>
      <c r="C47" s="67"/>
      <c r="D47" s="67" t="s">
        <v>232</v>
      </c>
      <c r="E47" s="67" t="s">
        <v>233</v>
      </c>
      <c r="F47" s="67" t="s">
        <v>437</v>
      </c>
      <c r="G47" s="67"/>
      <c r="H47" s="67" t="s">
        <v>488</v>
      </c>
      <c r="I47" s="67" t="s">
        <v>507</v>
      </c>
      <c r="J47" s="67" t="s">
        <v>508</v>
      </c>
      <c r="K47" s="67" t="s">
        <v>509</v>
      </c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 t="str" vm="1043">
        <f>CUBEVALUE(ConnectionString,ReportMonth,Table1[[#This Row],[Site ID (from DATIM)]],"TX_NEW_2VIS")</f>
        <v/>
      </c>
      <c r="AE47" s="67" t="str" vm="5093">
        <f>CUBEVALUE(ConnectionString,ReportMonth,Table1[[#This Row],[Site ID (from DATIM)]],INDEX(SDI_Measures,1))</f>
        <v/>
      </c>
      <c r="AF47" s="67" t="str" vm="1103">
        <f>CUBEVALUE(ConnectionString,ReportMonth,Table1[[#This Row],[Site ID (from DATIM)]],INDEX(SDI_Measures,2))</f>
        <v/>
      </c>
      <c r="AG47" s="67" t="str" vm="465">
        <f>CUBEVALUE(ConnectionString,ReportMonth,Table1[[#This Row],[Site ID (from DATIM)]],INDEX(SDI_Measures,3))</f>
        <v/>
      </c>
      <c r="AH47" s="67" t="str" vm="3769">
        <f>CUBEVALUE(ConnectionString,ReportMonth,Table1[[#This Row],[Site ID (from DATIM)]],"TX_CURR_PRIOR_MONTH")</f>
        <v/>
      </c>
      <c r="AI47" s="67" t="str" vm="1952">
        <f>CUBEVALUE(ConnectionString,ReportMonth,Table1[[#This Row],[Site ID (from DATIM)]],"TX_CURR")</f>
        <v/>
      </c>
      <c r="AJ47" s="67" t="str" vm="3786">
        <f>CUBEVALUE(ConnectionString,ReportMonth,Table1[[#This Row],[Site ID (from DATIM)]],"[Measures].[TI]")</f>
        <v/>
      </c>
      <c r="AK47" s="67" t="str" vm="1565">
        <f>CUBEVALUE(ConnectionString,ReportMonth,Table1[[#This Row],[Site ID (from DATIM)]],"[Measures].[TO]")</f>
        <v/>
      </c>
      <c r="AL47" s="67" t="str" vm="3575">
        <f>CUBEVALUE(ConnectionString,ReportMonth,Table1[[#This Row],[Site ID (from DATIM)]],"[Measures].[DIED]")</f>
        <v/>
      </c>
      <c r="AM47" s="67" t="str" vm="6940">
        <f>CUBEVALUE(ConnectionString,ReportMonth,Table1[[#This Row],[Site ID (from DATIM)]],"[Measures].[MMS_01_31]")</f>
        <v/>
      </c>
      <c r="AN47" s="67" t="str" vm="7104">
        <f>CUBEVALUE(ConnectionString,ReportMonth,Table1[[#This Row],[Site ID (from DATIM)]],"[Measures].[MMS_32_62]")</f>
        <v/>
      </c>
      <c r="AO47" s="67" t="str" vm="9398">
        <f>CUBEVALUE(ConnectionString,ReportMonth,Table1[[#This Row],[Site ID (from DATIM)]],"[Measures].[MMS_63+]")</f>
        <v/>
      </c>
      <c r="AP47" s="67" t="str" vm="6894">
        <f>CUBEVALUE(ConnectionString,ReportMonth,Table1[[#This Row],[Site ID (from DATIM)]],"[Measures].[TBPREV_D]")</f>
        <v/>
      </c>
      <c r="AQ47" s="67" t="str" vm="4965">
        <f>CUBEVALUE(ConnectionString,ReportMonth,Table1[[#This Row],[Site ID (from DATIM)]],"[Measures].[TBPREV_N]")</f>
        <v/>
      </c>
      <c r="AR47" s="67" t="str" vm="4834">
        <f>CUBEVALUE(ConnectionString,ReportMonth,Table1[[#This Row],[Site ID (from DATIM)]],"[Measures].[TBPREV_NEW]")</f>
        <v/>
      </c>
      <c r="AS47" s="67" t="str" vm="14099">
        <f>CUBEVALUE(ConnectionString,ReportMonth,Table1[[#This Row],[Site ID (from DATIM)]],"[Measures].[HVL_ELIG_P]")</f>
        <v/>
      </c>
      <c r="AT47" s="67" t="str" vm="12531">
        <f>CUBEVALUE(ConnectionString,ReportMonth,Table1[[#This Row],[Site ID (from DATIM)]],"[Measures].[HVL_D_P]")</f>
        <v/>
      </c>
      <c r="AU47" s="67" t="str" vm="11856">
        <f>CUBEVALUE(ConnectionString,ReportMonth,Table1[[#This Row],[Site ID (from DATIM)]],"[Measures].[HVL_N_P]")</f>
        <v/>
      </c>
      <c r="AV47" s="68" t="str" vm="10306">
        <f>CUBEVALUE(ConnectionString,ReportMonth,Table1[[#This Row],[Site ID (from DATIM)]],"[Measures].[HVL_ELIG_A]")</f>
        <v/>
      </c>
      <c r="AW47" s="68" t="str" vm="10533">
        <f>CUBEVALUE(ConnectionString,ReportMonth,Table1[[#This Row],[Site ID (from DATIM)]],"[Measures].[HVL_D_A]")</f>
        <v/>
      </c>
      <c r="AX47" s="68" t="str" vm="9778">
        <f>CUBEVALUE(ConnectionString,ReportMonth,Table1[[#This Row],[Site ID (from DATIM)]],"[Measures].[HVL_N_A]")</f>
        <v/>
      </c>
      <c r="AY47" s="67"/>
      <c r="AZ47" s="67"/>
      <c r="BA47" s="67"/>
      <c r="BB47" s="67"/>
      <c r="BC47" s="67"/>
      <c r="BD47" s="67"/>
      <c r="BE47" s="67"/>
      <c r="BF47" s="67"/>
      <c r="BG47" s="67" t="str" vm="11670">
        <f>CUBEVALUE(ConnectionString,ReportMonth,Table1[[#This Row],[Site ID (from DATIM)]],"[Measures].[TX_NEW_F_A]")</f>
        <v/>
      </c>
      <c r="BH47" s="67" t="str" vm="10383">
        <f>CUBEVALUE(ConnectionString,ReportMonth,Table1[[#This Row],[Site ID (from DATIM)]],"[Measures].[TX_NEW_M_A]")</f>
        <v/>
      </c>
      <c r="BI47" s="67" t="str" vm="15258">
        <f>CUBEVALUE(ConnectionString,ReportMonth,Table1[[#This Row],[Site ID (from DATIM)]],"[Measures].[TX_NEW_F_P]")</f>
        <v/>
      </c>
      <c r="BJ47" s="68" t="str" vm="14282">
        <f>CUBEVALUE(ConnectionString,ReportMonth,Table1[[#This Row],[Site ID (from DATIM)]],"[Measures].[TX_NEW_M_P]")</f>
        <v/>
      </c>
      <c r="BK47" s="68"/>
      <c r="BL47" s="68"/>
      <c r="BM47" s="68"/>
      <c r="BN47" s="68"/>
      <c r="BO47" s="68"/>
      <c r="BP47" s="68"/>
      <c r="BQ47" s="68" t="str" vm="12087">
        <f>CUBEVALUE(ConnectionString,ReportMonth,Table1[[#This Row],[Site ID (from DATIM)]],"[Measures].[TX_CURR_F_P]")</f>
        <v/>
      </c>
      <c r="BR47" s="68" t="str" vm="10727">
        <f>CUBEVALUE(ConnectionString,ReportMonth,Table1[[#This Row],[Site ID (from DATIM)]],"[Measures].[TX_CURR_M_P]")</f>
        <v/>
      </c>
      <c r="BS47" s="68" t="str" vm="13660">
        <f>CUBEVALUE(ConnectionString,ReportMonth,Table1[[#This Row],[Site ID (from DATIM)]],"[Measures].[TX_CURR_F_A]")</f>
        <v/>
      </c>
      <c r="BT47" s="68" t="str" vm="12540">
        <f>CUBEVALUE(ConnectionString,ReportMonth,Table1[[#This Row],[Site ID (from DATIM)]],"[Measures].[TX_CURR_M_A]")</f>
        <v/>
      </c>
      <c r="BU47" s="68" t="str" vm="18076">
        <f>CUBEVALUE(ConnectionString,ReportMonth,Table1[[#This Row],[Site ID (from DATIM)]],"[Measures].[MMS_01_89_F_P]")</f>
        <v/>
      </c>
      <c r="BV47" s="68" t="str" vm="19395">
        <f>CUBEVALUE(ConnectionString,ReportMonth,Table1[[#This Row],[Site ID (from DATIM)]],"[Measures].[MMS_01_89_M_P]")</f>
        <v/>
      </c>
      <c r="BW47" s="68" t="str" vm="19333">
        <f>CUBEVALUE(ConnectionString,ReportMonth,Table1[[#This Row],[Site ID (from DATIM)]],"[Measures].[MMS_01_89_F_A]")</f>
        <v/>
      </c>
      <c r="BX47" s="68" t="str" vm="18461">
        <f>CUBEVALUE(ConnectionString,ReportMonth,Table1[[#This Row],[Site ID (from DATIM)]],"[Measures].[MMS_01_89_M_A]")</f>
        <v/>
      </c>
      <c r="BY47" s="68" t="str" vm="18193">
        <f>CUBEVALUE(ConnectionString,ReportMonth,Table1[[#This Row],[Site ID (from DATIM)]],"[Measures].[MMS_90_179_F_P]")</f>
        <v/>
      </c>
      <c r="BZ47" s="68" t="str" vm="19557">
        <f>CUBEVALUE(ConnectionString,ReportMonth,Table1[[#This Row],[Site ID (from DATIM)]],"[Measures].[MMS_90_179_M_P]")</f>
        <v/>
      </c>
      <c r="CA47" s="68" t="str" vm="16865">
        <f>CUBEVALUE(ConnectionString,ReportMonth,Table1[[#This Row],[Site ID (from DATIM)]],"[Measures].[MMS_90_179_F_A]")</f>
        <v/>
      </c>
      <c r="CB47" s="68" t="str" vm="17563">
        <f>CUBEVALUE(ConnectionString,ReportMonth,Table1[[#This Row],[Site ID (from DATIM)]],"[Measures].[MMS_90_179_M_A]")</f>
        <v/>
      </c>
      <c r="CC47" s="68" t="str" vm="17681">
        <f>CUBEVALUE(ConnectionString,ReportMonth,Table1[[#This Row],[Site ID (from DATIM)]],"[Measures].[MMS_180+_F_P]")</f>
        <v/>
      </c>
      <c r="CD47" s="68" t="str" vm="16787">
        <f>CUBEVALUE(ConnectionString,ReportMonth,Table1[[#This Row],[Site ID (from DATIM)]],"[Measures].[MMS_180+_M_P]")</f>
        <v/>
      </c>
      <c r="CE47" s="68" t="str" vm="16255">
        <f>CUBEVALUE(ConnectionString,ReportMonth,Table1[[#This Row],[Site ID (from DATIM)]],"[Measures].[MMS_180+_F_A]")</f>
        <v/>
      </c>
      <c r="CF47" s="68" t="str" vm="349">
        <f>CUBEVALUE(ConnectionString,ReportMonth,Table1[[#This Row],[Site ID (from DATIM)]],"[Measures].[MMS_180+_M_A]")</f>
        <v/>
      </c>
      <c r="CG47" s="68" t="str" vm="7396">
        <f>CUBEVALUE(ConnectionString,ReportMonth,Table1[[#This Row],[Site ID (from DATIM)]],"[Measures].[MISSEDAPP]")</f>
        <v/>
      </c>
      <c r="CH47" s="68" t="str" vm="13329">
        <f>CUBEVALUE(ConnectionString,ReportMonth,Table1[[#This Row],[Site ID (from DATIM)]],"[Measures].[MMS_180+_P]")</f>
        <v/>
      </c>
      <c r="CI47" s="68" t="str" vm="12480">
        <f>CUBEVALUE(ConnectionString,ReportMonth,Table1[[#This Row],[Site ID (from DATIM)]],"[Measures].[MMS_180+_A]")</f>
        <v/>
      </c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</row>
    <row r="48" spans="1:107" x14ac:dyDescent="0.25">
      <c r="A48" s="66">
        <v>2</v>
      </c>
      <c r="B48" s="67" t="str" vm="4">
        <f t="shared" si="1"/>
        <v>Mar-2021</v>
      </c>
      <c r="C48" s="67"/>
      <c r="D48" s="67" t="s">
        <v>232</v>
      </c>
      <c r="E48" s="67" t="s">
        <v>233</v>
      </c>
      <c r="F48" s="67" t="s">
        <v>437</v>
      </c>
      <c r="G48" s="67"/>
      <c r="H48" s="67" t="s">
        <v>442</v>
      </c>
      <c r="I48" s="67" t="s">
        <v>510</v>
      </c>
      <c r="J48" s="67" t="s">
        <v>511</v>
      </c>
      <c r="K48" s="67" t="s">
        <v>512</v>
      </c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 t="str" vm="1673">
        <f>CUBEVALUE(ConnectionString,ReportMonth,Table1[[#This Row],[Site ID (from DATIM)]],"TX_NEW_2VIS")</f>
        <v/>
      </c>
      <c r="AE48" s="67" t="str" vm="2538">
        <f>CUBEVALUE(ConnectionString,ReportMonth,Table1[[#This Row],[Site ID (from DATIM)]],INDEX(SDI_Measures,1))</f>
        <v/>
      </c>
      <c r="AF48" s="67" t="str" vm="2000">
        <f>CUBEVALUE(ConnectionString,ReportMonth,Table1[[#This Row],[Site ID (from DATIM)]],INDEX(SDI_Measures,2))</f>
        <v/>
      </c>
      <c r="AG48" s="67" t="str" vm="998">
        <f>CUBEVALUE(ConnectionString,ReportMonth,Table1[[#This Row],[Site ID (from DATIM)]],INDEX(SDI_Measures,3))</f>
        <v/>
      </c>
      <c r="AH48" s="67" vm="2363">
        <f>CUBEVALUE(ConnectionString,ReportMonth,Table1[[#This Row],[Site ID (from DATIM)]],"TX_CURR_PRIOR_MONTH")</f>
        <v>476</v>
      </c>
      <c r="AI48" s="67" vm="2236">
        <f>CUBEVALUE(ConnectionString,ReportMonth,Table1[[#This Row],[Site ID (from DATIM)]],"TX_CURR")</f>
        <v>376</v>
      </c>
      <c r="AJ48" s="67" t="str" vm="4363">
        <f>CUBEVALUE(ConnectionString,ReportMonth,Table1[[#This Row],[Site ID (from DATIM)]],"[Measures].[TI]")</f>
        <v/>
      </c>
      <c r="AK48" s="67" t="str" vm="2099">
        <f>CUBEVALUE(ConnectionString,ReportMonth,Table1[[#This Row],[Site ID (from DATIM)]],"[Measures].[TO]")</f>
        <v/>
      </c>
      <c r="AL48" s="67" t="str" vm="742">
        <f>CUBEVALUE(ConnectionString,ReportMonth,Table1[[#This Row],[Site ID (from DATIM)]],"[Measures].[DIED]")</f>
        <v/>
      </c>
      <c r="AM48" s="67" vm="7374">
        <f>CUBEVALUE(ConnectionString,ReportMonth,Table1[[#This Row],[Site ID (from DATIM)]],"[Measures].[MMS_01_31]")</f>
        <v>97</v>
      </c>
      <c r="AN48" s="67" t="str" vm="7857">
        <f>CUBEVALUE(ConnectionString,ReportMonth,Table1[[#This Row],[Site ID (from DATIM)]],"[Measures].[MMS_32_62]")</f>
        <v/>
      </c>
      <c r="AO48" s="67" vm="9685">
        <f>CUBEVALUE(ConnectionString,ReportMonth,Table1[[#This Row],[Site ID (from DATIM)]],"[Measures].[MMS_63+]")</f>
        <v>279</v>
      </c>
      <c r="AP48" s="67" vm="5974">
        <f>CUBEVALUE(ConnectionString,ReportMonth,Table1[[#This Row],[Site ID (from DATIM)]],"[Measures].[TBPREV_D]")</f>
        <v>8</v>
      </c>
      <c r="AQ48" s="67" vm="5339">
        <f>CUBEVALUE(ConnectionString,ReportMonth,Table1[[#This Row],[Site ID (from DATIM)]],"[Measures].[TBPREV_N]")</f>
        <v>2</v>
      </c>
      <c r="AR48" s="67" t="str" vm="7176">
        <f>CUBEVALUE(ConnectionString,ReportMonth,Table1[[#This Row],[Site ID (from DATIM)]],"[Measures].[TBPREV_NEW]")</f>
        <v/>
      </c>
      <c r="AS48" s="67" vm="7207">
        <f>CUBEVALUE(ConnectionString,ReportMonth,Table1[[#This Row],[Site ID (from DATIM)]],"[Measures].[HVL_ELIG_P]")</f>
        <v>22</v>
      </c>
      <c r="AT48" s="67" vm="8577">
        <f>CUBEVALUE(ConnectionString,ReportMonth,Table1[[#This Row],[Site ID (from DATIM)]],"[Measures].[HVL_D_P]")</f>
        <v>15</v>
      </c>
      <c r="AU48" s="67" vm="8329">
        <f>CUBEVALUE(ConnectionString,ReportMonth,Table1[[#This Row],[Site ID (from DATIM)]],"[Measures].[HVL_N_P]")</f>
        <v>10</v>
      </c>
      <c r="AV48" s="68" vm="7050">
        <f>CUBEVALUE(ConnectionString,ReportMonth,Table1[[#This Row],[Site ID (from DATIM)]],"[Measures].[HVL_ELIG_A]")</f>
        <v>332</v>
      </c>
      <c r="AW48" s="68" vm="9144">
        <f>CUBEVALUE(ConnectionString,ReportMonth,Table1[[#This Row],[Site ID (from DATIM)]],"[Measures].[HVL_D_A]")</f>
        <v>206</v>
      </c>
      <c r="AX48" s="68" vm="11843">
        <f>CUBEVALUE(ConnectionString,ReportMonth,Table1[[#This Row],[Site ID (from DATIM)]],"[Measures].[HVL_N_A]")</f>
        <v>184</v>
      </c>
      <c r="AY48" s="67"/>
      <c r="AZ48" s="67"/>
      <c r="BA48" s="67"/>
      <c r="BB48" s="67"/>
      <c r="BC48" s="67"/>
      <c r="BD48" s="67"/>
      <c r="BE48" s="67"/>
      <c r="BF48" s="67"/>
      <c r="BG48" s="67" t="str" vm="13406">
        <f>CUBEVALUE(ConnectionString,ReportMonth,Table1[[#This Row],[Site ID (from DATIM)]],"[Measures].[TX_NEW_F_A]")</f>
        <v/>
      </c>
      <c r="BH48" s="67" t="str" vm="10189">
        <f>CUBEVALUE(ConnectionString,ReportMonth,Table1[[#This Row],[Site ID (from DATIM)]],"[Measures].[TX_NEW_M_A]")</f>
        <v/>
      </c>
      <c r="BI48" s="67" t="str" vm="12834">
        <f>CUBEVALUE(ConnectionString,ReportMonth,Table1[[#This Row],[Site ID (from DATIM)]],"[Measures].[TX_NEW_F_P]")</f>
        <v/>
      </c>
      <c r="BJ48" s="68" t="str" vm="14405">
        <f>CUBEVALUE(ConnectionString,ReportMonth,Table1[[#This Row],[Site ID (from DATIM)]],"[Measures].[TX_NEW_M_P]")</f>
        <v/>
      </c>
      <c r="BK48" s="68"/>
      <c r="BL48" s="68"/>
      <c r="BM48" s="68"/>
      <c r="BN48" s="68"/>
      <c r="BO48" s="68"/>
      <c r="BP48" s="68"/>
      <c r="BQ48" s="68" vm="13366">
        <f>CUBEVALUE(ConnectionString,ReportMonth,Table1[[#This Row],[Site ID (from DATIM)]],"[Measures].[TX_CURR_F_P]")</f>
        <v>11</v>
      </c>
      <c r="BR48" s="68" vm="9389">
        <f>CUBEVALUE(ConnectionString,ReportMonth,Table1[[#This Row],[Site ID (from DATIM)]],"[Measures].[TX_CURR_M_P]")</f>
        <v>12</v>
      </c>
      <c r="BS48" s="68" vm="12942">
        <f>CUBEVALUE(ConnectionString,ReportMonth,Table1[[#This Row],[Site ID (from DATIM)]],"[Measures].[TX_CURR_F_A]")</f>
        <v>246</v>
      </c>
      <c r="BT48" s="68" vm="14002">
        <f>CUBEVALUE(ConnectionString,ReportMonth,Table1[[#This Row],[Site ID (from DATIM)]],"[Measures].[TX_CURR_M_A]")</f>
        <v>107</v>
      </c>
      <c r="BU48" s="68" vm="19021">
        <f>CUBEVALUE(ConnectionString,ReportMonth,Table1[[#This Row],[Site ID (from DATIM)]],"[Measures].[MMS_01_89_F_P]")</f>
        <v>7</v>
      </c>
      <c r="BV48" s="68" vm="18963">
        <f>CUBEVALUE(ConnectionString,ReportMonth,Table1[[#This Row],[Site ID (from DATIM)]],"[Measures].[MMS_01_89_M_P]")</f>
        <v>6</v>
      </c>
      <c r="BW48" s="68" vm="19730">
        <f>CUBEVALUE(ConnectionString,ReportMonth,Table1[[#This Row],[Site ID (from DATIM)]],"[Measures].[MMS_01_89_F_A]")</f>
        <v>54</v>
      </c>
      <c r="BX48" s="68" vm="19421">
        <f>CUBEVALUE(ConnectionString,ReportMonth,Table1[[#This Row],[Site ID (from DATIM)]],"[Measures].[MMS_01_89_M_A]")</f>
        <v>32</v>
      </c>
      <c r="BY48" s="68" vm="19123">
        <f>CUBEVALUE(ConnectionString,ReportMonth,Table1[[#This Row],[Site ID (from DATIM)]],"[Measures].[MMS_90_179_F_P]")</f>
        <v>4</v>
      </c>
      <c r="BZ48" s="68" vm="19097">
        <f>CUBEVALUE(ConnectionString,ReportMonth,Table1[[#This Row],[Site ID (from DATIM)]],"[Measures].[MMS_90_179_M_P]")</f>
        <v>6</v>
      </c>
      <c r="CA48" s="68" vm="15597">
        <f>CUBEVALUE(ConnectionString,ReportMonth,Table1[[#This Row],[Site ID (from DATIM)]],"[Measures].[MMS_90_179_F_A]")</f>
        <v>192</v>
      </c>
      <c r="CB48" s="68" vm="15915">
        <f>CUBEVALUE(ConnectionString,ReportMonth,Table1[[#This Row],[Site ID (from DATIM)]],"[Measures].[MMS_90_179_M_A]")</f>
        <v>75</v>
      </c>
      <c r="CC48" s="68" t="str" vm="14670">
        <f>CUBEVALUE(ConnectionString,ReportMonth,Table1[[#This Row],[Site ID (from DATIM)]],"[Measures].[MMS_180+_F_P]")</f>
        <v/>
      </c>
      <c r="CD48" s="68" t="str" vm="17203">
        <f>CUBEVALUE(ConnectionString,ReportMonth,Table1[[#This Row],[Site ID (from DATIM)]],"[Measures].[MMS_180+_M_P]")</f>
        <v/>
      </c>
      <c r="CE48" s="68" t="str" vm="15795">
        <f>CUBEVALUE(ConnectionString,ReportMonth,Table1[[#This Row],[Site ID (from DATIM)]],"[Measures].[MMS_180+_F_A]")</f>
        <v/>
      </c>
      <c r="CF48" s="68" t="str" vm="282">
        <f>CUBEVALUE(ConnectionString,ReportMonth,Table1[[#This Row],[Site ID (from DATIM)]],"[Measures].[MMS_180+_M_A]")</f>
        <v/>
      </c>
      <c r="CG48" s="68" vm="8761">
        <f>CUBEVALUE(ConnectionString,ReportMonth,Table1[[#This Row],[Site ID (from DATIM)]],"[Measures].[MISSEDAPP]")</f>
        <v>174</v>
      </c>
      <c r="CH48" s="68" t="str" vm="12379">
        <f>CUBEVALUE(ConnectionString,ReportMonth,Table1[[#This Row],[Site ID (from DATIM)]],"[Measures].[MMS_180+_P]")</f>
        <v/>
      </c>
      <c r="CI48" s="68" t="str" vm="13656">
        <f>CUBEVALUE(ConnectionString,ReportMonth,Table1[[#This Row],[Site ID (from DATIM)]],"[Measures].[MMS_180+_A]")</f>
        <v/>
      </c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</row>
    <row r="49" spans="1:107" x14ac:dyDescent="0.25">
      <c r="A49" s="66">
        <v>2</v>
      </c>
      <c r="B49" s="67" t="str" vm="4">
        <f t="shared" si="1"/>
        <v>Mar-2021</v>
      </c>
      <c r="C49" s="67"/>
      <c r="D49" s="67" t="s">
        <v>232</v>
      </c>
      <c r="E49" s="67" t="s">
        <v>233</v>
      </c>
      <c r="F49" s="67" t="s">
        <v>437</v>
      </c>
      <c r="G49" s="67"/>
      <c r="H49" s="67" t="s">
        <v>513</v>
      </c>
      <c r="I49" s="67" t="s">
        <v>514</v>
      </c>
      <c r="J49" s="67" t="s">
        <v>515</v>
      </c>
      <c r="K49" s="67" t="s">
        <v>516</v>
      </c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 t="str" vm="1800">
        <f>CUBEVALUE(ConnectionString,ReportMonth,Table1[[#This Row],[Site ID (from DATIM)]],"TX_NEW_2VIS")</f>
        <v/>
      </c>
      <c r="AE49" s="67" vm="3220">
        <f>CUBEVALUE(ConnectionString,ReportMonth,Table1[[#This Row],[Site ID (from DATIM)]],INDEX(SDI_Measures,1))</f>
        <v>3</v>
      </c>
      <c r="AF49" s="67" t="str" vm="3616">
        <f>CUBEVALUE(ConnectionString,ReportMonth,Table1[[#This Row],[Site ID (from DATIM)]],INDEX(SDI_Measures,2))</f>
        <v/>
      </c>
      <c r="AG49" s="67" t="str" vm="5294">
        <f>CUBEVALUE(ConnectionString,ReportMonth,Table1[[#This Row],[Site ID (from DATIM)]],INDEX(SDI_Measures,3))</f>
        <v/>
      </c>
      <c r="AH49" s="67" vm="3699">
        <f>CUBEVALUE(ConnectionString,ReportMonth,Table1[[#This Row],[Site ID (from DATIM)]],"TX_CURR_PRIOR_MONTH")</f>
        <v>797</v>
      </c>
      <c r="AI49" s="67" vm="997">
        <f>CUBEVALUE(ConnectionString,ReportMonth,Table1[[#This Row],[Site ID (from DATIM)]],"TX_CURR")</f>
        <v>797</v>
      </c>
      <c r="AJ49" s="67" vm="1522">
        <f>CUBEVALUE(ConnectionString,ReportMonth,Table1[[#This Row],[Site ID (from DATIM)]],"[Measures].[TI]")</f>
        <v>1</v>
      </c>
      <c r="AK49" s="67" vm="1352">
        <f>CUBEVALUE(ConnectionString,ReportMonth,Table1[[#This Row],[Site ID (from DATIM)]],"[Measures].[TO]")</f>
        <v>2</v>
      </c>
      <c r="AL49" s="67" t="str" vm="1431">
        <f>CUBEVALUE(ConnectionString,ReportMonth,Table1[[#This Row],[Site ID (from DATIM)]],"[Measures].[DIED]")</f>
        <v/>
      </c>
      <c r="AM49" s="67" vm="4128">
        <f>CUBEVALUE(ConnectionString,ReportMonth,Table1[[#This Row],[Site ID (from DATIM)]],"[Measures].[MMS_01_31]")</f>
        <v>96</v>
      </c>
      <c r="AN49" s="67" vm="5424">
        <f>CUBEVALUE(ConnectionString,ReportMonth,Table1[[#This Row],[Site ID (from DATIM)]],"[Measures].[MMS_32_62]")</f>
        <v>4</v>
      </c>
      <c r="AO49" s="67" vm="7272">
        <f>CUBEVALUE(ConnectionString,ReportMonth,Table1[[#This Row],[Site ID (from DATIM)]],"[Measures].[MMS_63+]")</f>
        <v>697</v>
      </c>
      <c r="AP49" s="67" vm="6562">
        <f>CUBEVALUE(ConnectionString,ReportMonth,Table1[[#This Row],[Site ID (from DATIM)]],"[Measures].[TBPREV_D]")</f>
        <v>34</v>
      </c>
      <c r="AQ49" s="67" vm="5029">
        <f>CUBEVALUE(ConnectionString,ReportMonth,Table1[[#This Row],[Site ID (from DATIM)]],"[Measures].[TBPREV_N]")</f>
        <v>32</v>
      </c>
      <c r="AR49" s="67" vm="8351">
        <f>CUBEVALUE(ConnectionString,ReportMonth,Table1[[#This Row],[Site ID (from DATIM)]],"[Measures].[TBPREV_NEW]")</f>
        <v>2</v>
      </c>
      <c r="AS49" s="67" vm="6453">
        <f>CUBEVALUE(ConnectionString,ReportMonth,Table1[[#This Row],[Site ID (from DATIM)]],"[Measures].[HVL_ELIG_P]")</f>
        <v>24</v>
      </c>
      <c r="AT49" s="67" vm="9749">
        <f>CUBEVALUE(ConnectionString,ReportMonth,Table1[[#This Row],[Site ID (from DATIM)]],"[Measures].[HVL_D_P]")</f>
        <v>20</v>
      </c>
      <c r="AU49" s="67" vm="11587">
        <f>CUBEVALUE(ConnectionString,ReportMonth,Table1[[#This Row],[Site ID (from DATIM)]],"[Measures].[HVL_N_P]")</f>
        <v>18</v>
      </c>
      <c r="AV49" s="68" vm="13800">
        <f>CUBEVALUE(ConnectionString,ReportMonth,Table1[[#This Row],[Site ID (from DATIM)]],"[Measures].[HVL_ELIG_A]")</f>
        <v>738</v>
      </c>
      <c r="AW49" s="68" vm="8679">
        <f>CUBEVALUE(ConnectionString,ReportMonth,Table1[[#This Row],[Site ID (from DATIM)]],"[Measures].[HVL_D_A]")</f>
        <v>545</v>
      </c>
      <c r="AX49" s="68" vm="9219">
        <f>CUBEVALUE(ConnectionString,ReportMonth,Table1[[#This Row],[Site ID (from DATIM)]],"[Measures].[HVL_N_A]")</f>
        <v>540</v>
      </c>
      <c r="AY49" s="67"/>
      <c r="AZ49" s="67"/>
      <c r="BA49" s="67"/>
      <c r="BB49" s="67"/>
      <c r="BC49" s="67"/>
      <c r="BD49" s="67"/>
      <c r="BE49" s="67"/>
      <c r="BF49" s="67"/>
      <c r="BG49" s="67" vm="10424">
        <f>CUBEVALUE(ConnectionString,ReportMonth,Table1[[#This Row],[Site ID (from DATIM)]],"[Measures].[TX_NEW_F_A]")</f>
        <v>2</v>
      </c>
      <c r="BH49" s="67" t="str" vm="15323">
        <f>CUBEVALUE(ConnectionString,ReportMonth,Table1[[#This Row],[Site ID (from DATIM)]],"[Measures].[TX_NEW_M_A]")</f>
        <v/>
      </c>
      <c r="BI49" s="67" vm="13434">
        <f>CUBEVALUE(ConnectionString,ReportMonth,Table1[[#This Row],[Site ID (from DATIM)]],"[Measures].[TX_NEW_F_P]")</f>
        <v>1</v>
      </c>
      <c r="BJ49" s="68" t="str" vm="17392">
        <f>CUBEVALUE(ConnectionString,ReportMonth,Table1[[#This Row],[Site ID (from DATIM)]],"[Measures].[TX_NEW_M_P]")</f>
        <v/>
      </c>
      <c r="BK49" s="68"/>
      <c r="BL49" s="68"/>
      <c r="BM49" s="68"/>
      <c r="BN49" s="68"/>
      <c r="BO49" s="68"/>
      <c r="BP49" s="68"/>
      <c r="BQ49" s="68" vm="9675">
        <f>CUBEVALUE(ConnectionString,ReportMonth,Table1[[#This Row],[Site ID (from DATIM)]],"[Measures].[TX_CURR_F_P]")</f>
        <v>16</v>
      </c>
      <c r="BR49" s="68" vm="11096">
        <f>CUBEVALUE(ConnectionString,ReportMonth,Table1[[#This Row],[Site ID (from DATIM)]],"[Measures].[TX_CURR_M_P]")</f>
        <v>11</v>
      </c>
      <c r="BS49" s="68" vm="14045">
        <f>CUBEVALUE(ConnectionString,ReportMonth,Table1[[#This Row],[Site ID (from DATIM)]],"[Measures].[TX_CURR_F_A]")</f>
        <v>514</v>
      </c>
      <c r="BT49" s="68" vm="15691">
        <f>CUBEVALUE(ConnectionString,ReportMonth,Table1[[#This Row],[Site ID (from DATIM)]],"[Measures].[TX_CURR_M_A]")</f>
        <v>258</v>
      </c>
      <c r="BU49" s="68" vm="18082">
        <f>CUBEVALUE(ConnectionString,ReportMonth,Table1[[#This Row],[Site ID (from DATIM)]],"[Measures].[MMS_01_89_F_P]")</f>
        <v>7</v>
      </c>
      <c r="BV49" s="68" vm="18420">
        <f>CUBEVALUE(ConnectionString,ReportMonth,Table1[[#This Row],[Site ID (from DATIM)]],"[Measures].[MMS_01_89_M_P]")</f>
        <v>2</v>
      </c>
      <c r="BW49" s="68" vm="18305">
        <f>CUBEVALUE(ConnectionString,ReportMonth,Table1[[#This Row],[Site ID (from DATIM)]],"[Measures].[MMS_01_89_F_A]")</f>
        <v>77</v>
      </c>
      <c r="BX49" s="68" vm="18545">
        <f>CUBEVALUE(ConnectionString,ReportMonth,Table1[[#This Row],[Site ID (from DATIM)]],"[Measures].[MMS_01_89_M_A]")</f>
        <v>25</v>
      </c>
      <c r="BY49" s="68" vm="18176">
        <f>CUBEVALUE(ConnectionString,ReportMonth,Table1[[#This Row],[Site ID (from DATIM)]],"[Measures].[MMS_90_179_F_P]")</f>
        <v>9</v>
      </c>
      <c r="BZ49" s="68" vm="19364">
        <f>CUBEVALUE(ConnectionString,ReportMonth,Table1[[#This Row],[Site ID (from DATIM)]],"[Measures].[MMS_90_179_M_P]")</f>
        <v>9</v>
      </c>
      <c r="CA49" s="68" vm="14617">
        <f>CUBEVALUE(ConnectionString,ReportMonth,Table1[[#This Row],[Site ID (from DATIM)]],"[Measures].[MMS_90_179_F_A]")</f>
        <v>437</v>
      </c>
      <c r="CB49" s="68" vm="15976">
        <f>CUBEVALUE(ConnectionString,ReportMonth,Table1[[#This Row],[Site ID (from DATIM)]],"[Measures].[MMS_90_179_M_A]")</f>
        <v>233</v>
      </c>
      <c r="CC49" s="68" t="str" vm="15898">
        <f>CUBEVALUE(ConnectionString,ReportMonth,Table1[[#This Row],[Site ID (from DATIM)]],"[Measures].[MMS_180+_F_P]")</f>
        <v/>
      </c>
      <c r="CD49" s="68" t="str" vm="15443">
        <f>CUBEVALUE(ConnectionString,ReportMonth,Table1[[#This Row],[Site ID (from DATIM)]],"[Measures].[MMS_180+_M_P]")</f>
        <v/>
      </c>
      <c r="CE49" s="68" t="str" vm="16738">
        <f>CUBEVALUE(ConnectionString,ReportMonth,Table1[[#This Row],[Site ID (from DATIM)]],"[Measures].[MMS_180+_F_A]")</f>
        <v/>
      </c>
      <c r="CF49" s="68" t="str" vm="114">
        <f>CUBEVALUE(ConnectionString,ReportMonth,Table1[[#This Row],[Site ID (from DATIM)]],"[Measures].[MMS_180+_M_A]")</f>
        <v/>
      </c>
      <c r="CG49" s="68" vm="8242">
        <f>CUBEVALUE(ConnectionString,ReportMonth,Table1[[#This Row],[Site ID (from DATIM)]],"[Measures].[MISSEDAPP]")</f>
        <v>172</v>
      </c>
      <c r="CH49" s="68" t="str" vm="11884">
        <f>CUBEVALUE(ConnectionString,ReportMonth,Table1[[#This Row],[Site ID (from DATIM)]],"[Measures].[MMS_180+_P]")</f>
        <v/>
      </c>
      <c r="CI49" s="68" t="str" vm="12997">
        <f>CUBEVALUE(ConnectionString,ReportMonth,Table1[[#This Row],[Site ID (from DATIM)]],"[Measures].[MMS_180+_A]")</f>
        <v/>
      </c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  <c r="CW49" s="68"/>
      <c r="CX49" s="68"/>
      <c r="CY49" s="68"/>
      <c r="CZ49" s="68"/>
      <c r="DA49" s="68"/>
      <c r="DB49" s="68"/>
      <c r="DC49" s="68"/>
    </row>
    <row r="50" spans="1:107" x14ac:dyDescent="0.25">
      <c r="A50" s="66">
        <v>4</v>
      </c>
      <c r="B50" s="67" t="str" vm="4">
        <f t="shared" si="1"/>
        <v>Mar-2021</v>
      </c>
      <c r="C50" s="67"/>
      <c r="D50" s="67" t="s">
        <v>232</v>
      </c>
      <c r="E50" s="67" t="s">
        <v>233</v>
      </c>
      <c r="F50" s="67" t="s">
        <v>437</v>
      </c>
      <c r="G50" s="67"/>
      <c r="H50" s="67" t="s">
        <v>454</v>
      </c>
      <c r="I50" s="67" t="s">
        <v>517</v>
      </c>
      <c r="J50" s="67" t="s">
        <v>518</v>
      </c>
      <c r="K50" s="67" t="s">
        <v>519</v>
      </c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 t="str" vm="1330">
        <f>CUBEVALUE(ConnectionString,ReportMonth,Table1[[#This Row],[Site ID (from DATIM)]],"TX_NEW_2VIS")</f>
        <v/>
      </c>
      <c r="AE50" s="67" t="str" vm="1785">
        <f>CUBEVALUE(ConnectionString,ReportMonth,Table1[[#This Row],[Site ID (from DATIM)]],INDEX(SDI_Measures,1))</f>
        <v/>
      </c>
      <c r="AF50" s="67" t="str" vm="740">
        <f>CUBEVALUE(ConnectionString,ReportMonth,Table1[[#This Row],[Site ID (from DATIM)]],INDEX(SDI_Measures,2))</f>
        <v/>
      </c>
      <c r="AG50" s="67" t="str" vm="5059">
        <f>CUBEVALUE(ConnectionString,ReportMonth,Table1[[#This Row],[Site ID (from DATIM)]],INDEX(SDI_Measures,3))</f>
        <v/>
      </c>
      <c r="AH50" s="67" vm="2089">
        <f>CUBEVALUE(ConnectionString,ReportMonth,Table1[[#This Row],[Site ID (from DATIM)]],"TX_CURR_PRIOR_MONTH")</f>
        <v>59</v>
      </c>
      <c r="AI50" s="67" vm="3517">
        <f>CUBEVALUE(ConnectionString,ReportMonth,Table1[[#This Row],[Site ID (from DATIM)]],"TX_CURR")</f>
        <v>49</v>
      </c>
      <c r="AJ50" s="67" t="str" vm="4451">
        <f>CUBEVALUE(ConnectionString,ReportMonth,Table1[[#This Row],[Site ID (from DATIM)]],"[Measures].[TI]")</f>
        <v/>
      </c>
      <c r="AK50" s="67" t="str" vm="3279">
        <f>CUBEVALUE(ConnectionString,ReportMonth,Table1[[#This Row],[Site ID (from DATIM)]],"[Measures].[TO]")</f>
        <v/>
      </c>
      <c r="AL50" s="67" t="str" vm="3423">
        <f>CUBEVALUE(ConnectionString,ReportMonth,Table1[[#This Row],[Site ID (from DATIM)]],"[Measures].[DIED]")</f>
        <v/>
      </c>
      <c r="AM50" s="67" vm="3305">
        <f>CUBEVALUE(ConnectionString,ReportMonth,Table1[[#This Row],[Site ID (from DATIM)]],"[Measures].[MMS_01_31]")</f>
        <v>12</v>
      </c>
      <c r="AN50" s="67" t="str" vm="6091">
        <f>CUBEVALUE(ConnectionString,ReportMonth,Table1[[#This Row],[Site ID (from DATIM)]],"[Measures].[MMS_32_62]")</f>
        <v/>
      </c>
      <c r="AO50" s="67" vm="4802">
        <f>CUBEVALUE(ConnectionString,ReportMonth,Table1[[#This Row],[Site ID (from DATIM)]],"[Measures].[MMS_63+]")</f>
        <v>37</v>
      </c>
      <c r="AP50" s="67" vm="5170">
        <f>CUBEVALUE(ConnectionString,ReportMonth,Table1[[#This Row],[Site ID (from DATIM)]],"[Measures].[TBPREV_D]")</f>
        <v>2</v>
      </c>
      <c r="AQ50" s="67" vm="9457">
        <f>CUBEVALUE(ConnectionString,ReportMonth,Table1[[#This Row],[Site ID (from DATIM)]],"[Measures].[TBPREV_N]")</f>
        <v>1</v>
      </c>
      <c r="AR50" s="67" t="str" vm="7846">
        <f>CUBEVALUE(ConnectionString,ReportMonth,Table1[[#This Row],[Site ID (from DATIM)]],"[Measures].[TBPREV_NEW]")</f>
        <v/>
      </c>
      <c r="AS50" s="67" t="str" vm="7683">
        <f>CUBEVALUE(ConnectionString,ReportMonth,Table1[[#This Row],[Site ID (from DATIM)]],"[Measures].[HVL_ELIG_P]")</f>
        <v/>
      </c>
      <c r="AT50" s="67" vm="7881">
        <f>CUBEVALUE(ConnectionString,ReportMonth,Table1[[#This Row],[Site ID (from DATIM)]],"[Measures].[HVL_D_P]")</f>
        <v>2</v>
      </c>
      <c r="AU50" s="67" vm="9507">
        <f>CUBEVALUE(ConnectionString,ReportMonth,Table1[[#This Row],[Site ID (from DATIM)]],"[Measures].[HVL_N_P]")</f>
        <v>2</v>
      </c>
      <c r="AV50" s="68" vm="11492">
        <f>CUBEVALUE(ConnectionString,ReportMonth,Table1[[#This Row],[Site ID (from DATIM)]],"[Measures].[HVL_ELIG_A]")</f>
        <v>40</v>
      </c>
      <c r="AW50" s="68" vm="11076">
        <f>CUBEVALUE(ConnectionString,ReportMonth,Table1[[#This Row],[Site ID (from DATIM)]],"[Measures].[HVL_D_A]")</f>
        <v>44</v>
      </c>
      <c r="AX50" s="68" vm="11696">
        <f>CUBEVALUE(ConnectionString,ReportMonth,Table1[[#This Row],[Site ID (from DATIM)]],"[Measures].[HVL_N_A]")</f>
        <v>40</v>
      </c>
      <c r="AY50" s="67"/>
      <c r="AZ50" s="67"/>
      <c r="BA50" s="67"/>
      <c r="BB50" s="67"/>
      <c r="BC50" s="67"/>
      <c r="BD50" s="67"/>
      <c r="BE50" s="67"/>
      <c r="BF50" s="67"/>
      <c r="BG50" s="67" t="str" vm="13889">
        <f>CUBEVALUE(ConnectionString,ReportMonth,Table1[[#This Row],[Site ID (from DATIM)]],"[Measures].[TX_NEW_F_A]")</f>
        <v/>
      </c>
      <c r="BH50" s="67" t="str" vm="13411">
        <f>CUBEVALUE(ConnectionString,ReportMonth,Table1[[#This Row],[Site ID (from DATIM)]],"[Measures].[TX_NEW_M_A]")</f>
        <v/>
      </c>
      <c r="BI50" s="67" t="str" vm="12323">
        <f>CUBEVALUE(ConnectionString,ReportMonth,Table1[[#This Row],[Site ID (from DATIM)]],"[Measures].[TX_NEW_F_P]")</f>
        <v/>
      </c>
      <c r="BJ50" s="68" t="str" vm="13978">
        <f>CUBEVALUE(ConnectionString,ReportMonth,Table1[[#This Row],[Site ID (from DATIM)]],"[Measures].[TX_NEW_M_P]")</f>
        <v/>
      </c>
      <c r="BK50" s="68"/>
      <c r="BL50" s="68"/>
      <c r="BM50" s="68"/>
      <c r="BN50" s="68"/>
      <c r="BO50" s="68"/>
      <c r="BP50" s="68"/>
      <c r="BQ50" s="68" t="str" vm="17040">
        <f>CUBEVALUE(ConnectionString,ReportMonth,Table1[[#This Row],[Site ID (from DATIM)]],"[Measures].[TX_CURR_F_P]")</f>
        <v/>
      </c>
      <c r="BR50" s="68" vm="7238">
        <f>CUBEVALUE(ConnectionString,ReportMonth,Table1[[#This Row],[Site ID (from DATIM)]],"[Measures].[TX_CURR_M_P]")</f>
        <v>1</v>
      </c>
      <c r="BS50" s="68" vm="8260">
        <f>CUBEVALUE(ConnectionString,ReportMonth,Table1[[#This Row],[Site ID (from DATIM)]],"[Measures].[TX_CURR_F_A]")</f>
        <v>31</v>
      </c>
      <c r="BT50" s="68" vm="11197">
        <f>CUBEVALUE(ConnectionString,ReportMonth,Table1[[#This Row],[Site ID (from DATIM)]],"[Measures].[TX_CURR_M_A]")</f>
        <v>17</v>
      </c>
      <c r="BU50" s="68" t="str" vm="18756">
        <f>CUBEVALUE(ConnectionString,ReportMonth,Table1[[#This Row],[Site ID (from DATIM)]],"[Measures].[MMS_01_89_F_P]")</f>
        <v/>
      </c>
      <c r="BV50" s="68" vm="20148">
        <f>CUBEVALUE(ConnectionString,ReportMonth,Table1[[#This Row],[Site ID (from DATIM)]],"[Measures].[MMS_01_89_M_P]")</f>
        <v>1</v>
      </c>
      <c r="BW50" s="68" vm="18908">
        <f>CUBEVALUE(ConnectionString,ReportMonth,Table1[[#This Row],[Site ID (from DATIM)]],"[Measures].[MMS_01_89_F_A]")</f>
        <v>8</v>
      </c>
      <c r="BX50" s="68" vm="19357">
        <f>CUBEVALUE(ConnectionString,ReportMonth,Table1[[#This Row],[Site ID (from DATIM)]],"[Measures].[MMS_01_89_M_A]")</f>
        <v>3</v>
      </c>
      <c r="BY50" s="68" t="str" vm="19563">
        <f>CUBEVALUE(ConnectionString,ReportMonth,Table1[[#This Row],[Site ID (from DATIM)]],"[Measures].[MMS_90_179_F_P]")</f>
        <v/>
      </c>
      <c r="BZ50" s="68" t="str" vm="17895">
        <f>CUBEVALUE(ConnectionString,ReportMonth,Table1[[#This Row],[Site ID (from DATIM)]],"[Measures].[MMS_90_179_M_P]")</f>
        <v/>
      </c>
      <c r="CA50" s="68" vm="14664">
        <f>CUBEVALUE(ConnectionString,ReportMonth,Table1[[#This Row],[Site ID (from DATIM)]],"[Measures].[MMS_90_179_F_A]")</f>
        <v>23</v>
      </c>
      <c r="CB50" s="68" vm="17717">
        <f>CUBEVALUE(ConnectionString,ReportMonth,Table1[[#This Row],[Site ID (from DATIM)]],"[Measures].[MMS_90_179_M_A]")</f>
        <v>14</v>
      </c>
      <c r="CC50" s="68" t="str" vm="16391">
        <f>CUBEVALUE(ConnectionString,ReportMonth,Table1[[#This Row],[Site ID (from DATIM)]],"[Measures].[MMS_180+_F_P]")</f>
        <v/>
      </c>
      <c r="CD50" s="68" t="str" vm="17488">
        <f>CUBEVALUE(ConnectionString,ReportMonth,Table1[[#This Row],[Site ID (from DATIM)]],"[Measures].[MMS_180+_M_P]")</f>
        <v/>
      </c>
      <c r="CE50" s="68" t="str" vm="17567">
        <f>CUBEVALUE(ConnectionString,ReportMonth,Table1[[#This Row],[Site ID (from DATIM)]],"[Measures].[MMS_180+_F_A]")</f>
        <v/>
      </c>
      <c r="CF50" s="68" t="str" vm="16664">
        <f>CUBEVALUE(ConnectionString,ReportMonth,Table1[[#This Row],[Site ID (from DATIM)]],"[Measures].[MMS_180+_M_A]")</f>
        <v/>
      </c>
      <c r="CG50" s="68" vm="5449">
        <f>CUBEVALUE(ConnectionString,ReportMonth,Table1[[#This Row],[Site ID (from DATIM)]],"[Measures].[MISSEDAPP]")</f>
        <v>24</v>
      </c>
      <c r="CH50" s="68" t="str" vm="13427">
        <f>CUBEVALUE(ConnectionString,ReportMonth,Table1[[#This Row],[Site ID (from DATIM)]],"[Measures].[MMS_180+_P]")</f>
        <v/>
      </c>
      <c r="CI50" s="68" t="str" vm="10842">
        <f>CUBEVALUE(ConnectionString,ReportMonth,Table1[[#This Row],[Site ID (from DATIM)]],"[Measures].[MMS_180+_A]")</f>
        <v/>
      </c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</row>
    <row r="51" spans="1:107" x14ac:dyDescent="0.25">
      <c r="A51" s="66">
        <v>4</v>
      </c>
      <c r="B51" s="67" t="str" vm="4">
        <f t="shared" si="1"/>
        <v>Mar-2021</v>
      </c>
      <c r="C51" s="67"/>
      <c r="D51" s="67" t="s">
        <v>232</v>
      </c>
      <c r="E51" s="67" t="s">
        <v>233</v>
      </c>
      <c r="F51" s="67" t="s">
        <v>437</v>
      </c>
      <c r="G51" s="67"/>
      <c r="H51" s="67" t="s">
        <v>513</v>
      </c>
      <c r="I51" s="67" t="s">
        <v>520</v>
      </c>
      <c r="J51" s="67" t="s">
        <v>521</v>
      </c>
      <c r="K51" s="67" t="s">
        <v>522</v>
      </c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 vm="3046">
        <f>CUBEVALUE(ConnectionString,ReportMonth,Table1[[#This Row],[Site ID (from DATIM)]],"TX_NEW_2VIS")</f>
        <v>2</v>
      </c>
      <c r="AE51" s="67" t="str" vm="720">
        <f>CUBEVALUE(ConnectionString,ReportMonth,Table1[[#This Row],[Site ID (from DATIM)]],INDEX(SDI_Measures,1))</f>
        <v/>
      </c>
      <c r="AF51" s="67" t="str" vm="6841">
        <f>CUBEVALUE(ConnectionString,ReportMonth,Table1[[#This Row],[Site ID (from DATIM)]],INDEX(SDI_Measures,2))</f>
        <v/>
      </c>
      <c r="AG51" s="67" t="str" vm="1420">
        <f>CUBEVALUE(ConnectionString,ReportMonth,Table1[[#This Row],[Site ID (from DATIM)]],INDEX(SDI_Measures,3))</f>
        <v/>
      </c>
      <c r="AH51" s="67" vm="2098">
        <f>CUBEVALUE(ConnectionString,ReportMonth,Table1[[#This Row],[Site ID (from DATIM)]],"TX_CURR_PRIOR_MONTH")</f>
        <v>64</v>
      </c>
      <c r="AI51" s="67" vm="2813">
        <f>CUBEVALUE(ConnectionString,ReportMonth,Table1[[#This Row],[Site ID (from DATIM)]],"TX_CURR")</f>
        <v>64</v>
      </c>
      <c r="AJ51" s="67" t="str" vm="2641">
        <f>CUBEVALUE(ConnectionString,ReportMonth,Table1[[#This Row],[Site ID (from DATIM)]],"[Measures].[TI]")</f>
        <v/>
      </c>
      <c r="AK51" s="67" t="str" vm="2754">
        <f>CUBEVALUE(ConnectionString,ReportMonth,Table1[[#This Row],[Site ID (from DATIM)]],"[Measures].[TO]")</f>
        <v/>
      </c>
      <c r="AL51" s="67" t="str" vm="2625">
        <f>CUBEVALUE(ConnectionString,ReportMonth,Table1[[#This Row],[Site ID (from DATIM)]],"[Measures].[DIED]")</f>
        <v/>
      </c>
      <c r="AM51" s="67" vm="5415">
        <f>CUBEVALUE(ConnectionString,ReportMonth,Table1[[#This Row],[Site ID (from DATIM)]],"[Measures].[MMS_01_31]")</f>
        <v>30</v>
      </c>
      <c r="AN51" s="67" vm="9161">
        <f>CUBEVALUE(ConnectionString,ReportMonth,Table1[[#This Row],[Site ID (from DATIM)]],"[Measures].[MMS_32_62]")</f>
        <v>1</v>
      </c>
      <c r="AO51" s="67" vm="7096">
        <f>CUBEVALUE(ConnectionString,ReportMonth,Table1[[#This Row],[Site ID (from DATIM)]],"[Measures].[MMS_63+]")</f>
        <v>33</v>
      </c>
      <c r="AP51" s="67" vm="5630">
        <f>CUBEVALUE(ConnectionString,ReportMonth,Table1[[#This Row],[Site ID (from DATIM)]],"[Measures].[TBPREV_D]")</f>
        <v>7</v>
      </c>
      <c r="AQ51" s="67" vm="5831">
        <f>CUBEVALUE(ConnectionString,ReportMonth,Table1[[#This Row],[Site ID (from DATIM)]],"[Measures].[TBPREV_N]")</f>
        <v>7</v>
      </c>
      <c r="AR51" s="67" vm="4612">
        <f>CUBEVALUE(ConnectionString,ReportMonth,Table1[[#This Row],[Site ID (from DATIM)]],"[Measures].[TBPREV_NEW]")</f>
        <v>2</v>
      </c>
      <c r="AS51" s="67" vm="5139">
        <f>CUBEVALUE(ConnectionString,ReportMonth,Table1[[#This Row],[Site ID (from DATIM)]],"[Measures].[HVL_ELIG_P]")</f>
        <v>1</v>
      </c>
      <c r="AT51" s="67" vm="5541">
        <f>CUBEVALUE(ConnectionString,ReportMonth,Table1[[#This Row],[Site ID (from DATIM)]],"[Measures].[HVL_D_P]")</f>
        <v>2</v>
      </c>
      <c r="AU51" s="67" vm="8857">
        <f>CUBEVALUE(ConnectionString,ReportMonth,Table1[[#This Row],[Site ID (from DATIM)]],"[Measures].[HVL_N_P]")</f>
        <v>2</v>
      </c>
      <c r="AV51" s="68" vm="9409">
        <f>CUBEVALUE(ConnectionString,ReportMonth,Table1[[#This Row],[Site ID (from DATIM)]],"[Measures].[HVL_ELIG_A]")</f>
        <v>35</v>
      </c>
      <c r="AW51" s="68" vm="12248">
        <f>CUBEVALUE(ConnectionString,ReportMonth,Table1[[#This Row],[Site ID (from DATIM)]],"[Measures].[HVL_D_A]")</f>
        <v>23</v>
      </c>
      <c r="AX51" s="68" vm="9886">
        <f>CUBEVALUE(ConnectionString,ReportMonth,Table1[[#This Row],[Site ID (from DATIM)]],"[Measures].[HVL_N_A]")</f>
        <v>22</v>
      </c>
      <c r="AY51" s="67"/>
      <c r="AZ51" s="67"/>
      <c r="BA51" s="67"/>
      <c r="BB51" s="67"/>
      <c r="BC51" s="67"/>
      <c r="BD51" s="67"/>
      <c r="BE51" s="67"/>
      <c r="BF51" s="67"/>
      <c r="BG51" s="67" t="str" vm="12441">
        <f>CUBEVALUE(ConnectionString,ReportMonth,Table1[[#This Row],[Site ID (from DATIM)]],"[Measures].[TX_NEW_F_A]")</f>
        <v/>
      </c>
      <c r="BH51" s="67" t="str" vm="10135">
        <f>CUBEVALUE(ConnectionString,ReportMonth,Table1[[#This Row],[Site ID (from DATIM)]],"[Measures].[TX_NEW_M_A]")</f>
        <v/>
      </c>
      <c r="BI51" s="67" t="str" vm="16622">
        <f>CUBEVALUE(ConnectionString,ReportMonth,Table1[[#This Row],[Site ID (from DATIM)]],"[Measures].[TX_NEW_F_P]")</f>
        <v/>
      </c>
      <c r="BJ51" s="68" t="str" vm="14216">
        <f>CUBEVALUE(ConnectionString,ReportMonth,Table1[[#This Row],[Site ID (from DATIM)]],"[Measures].[TX_NEW_M_P]")</f>
        <v/>
      </c>
      <c r="BK51" s="68"/>
      <c r="BL51" s="68"/>
      <c r="BM51" s="68"/>
      <c r="BN51" s="68"/>
      <c r="BO51" s="68"/>
      <c r="BP51" s="68"/>
      <c r="BQ51" s="68" vm="10324">
        <f>CUBEVALUE(ConnectionString,ReportMonth,Table1[[#This Row],[Site ID (from DATIM)]],"[Measures].[TX_CURR_F_P]")</f>
        <v>2</v>
      </c>
      <c r="BR51" s="68" vm="10325">
        <f>CUBEVALUE(ConnectionString,ReportMonth,Table1[[#This Row],[Site ID (from DATIM)]],"[Measures].[TX_CURR_M_P]")</f>
        <v>2</v>
      </c>
      <c r="BS51" s="68" vm="9623">
        <f>CUBEVALUE(ConnectionString,ReportMonth,Table1[[#This Row],[Site ID (from DATIM)]],"[Measures].[TX_CURR_F_A]")</f>
        <v>48</v>
      </c>
      <c r="BT51" s="68" vm="12640">
        <f>CUBEVALUE(ConnectionString,ReportMonth,Table1[[#This Row],[Site ID (from DATIM)]],"[Measures].[TX_CURR_M_A]")</f>
        <v>12</v>
      </c>
      <c r="BU51" s="68" vm="18763">
        <f>CUBEVALUE(ConnectionString,ReportMonth,Table1[[#This Row],[Site ID (from DATIM)]],"[Measures].[MMS_01_89_F_P]")</f>
        <v>1</v>
      </c>
      <c r="BV51" s="68" vm="18767">
        <f>CUBEVALUE(ConnectionString,ReportMonth,Table1[[#This Row],[Site ID (from DATIM)]],"[Measures].[MMS_01_89_M_P]")</f>
        <v>2</v>
      </c>
      <c r="BW51" s="68" vm="18003">
        <f>CUBEVALUE(ConnectionString,ReportMonth,Table1[[#This Row],[Site ID (from DATIM)]],"[Measures].[MMS_01_89_F_A]")</f>
        <v>22</v>
      </c>
      <c r="BX51" s="68" vm="18244">
        <f>CUBEVALUE(ConnectionString,ReportMonth,Table1[[#This Row],[Site ID (from DATIM)]],"[Measures].[MMS_01_89_M_A]")</f>
        <v>9</v>
      </c>
      <c r="BY51" s="68" vm="16064">
        <f>CUBEVALUE(ConnectionString,ReportMonth,Table1[[#This Row],[Site ID (from DATIM)]],"[Measures].[MMS_90_179_F_P]")</f>
        <v>1</v>
      </c>
      <c r="BZ51" s="68" t="str" vm="19591">
        <f>CUBEVALUE(ConnectionString,ReportMonth,Table1[[#This Row],[Site ID (from DATIM)]],"[Measures].[MMS_90_179_M_P]")</f>
        <v/>
      </c>
      <c r="CA51" s="68" vm="15035">
        <f>CUBEVALUE(ConnectionString,ReportMonth,Table1[[#This Row],[Site ID (from DATIM)]],"[Measures].[MMS_90_179_F_A]")</f>
        <v>26</v>
      </c>
      <c r="CB51" s="68" vm="16874">
        <f>CUBEVALUE(ConnectionString,ReportMonth,Table1[[#This Row],[Site ID (from DATIM)]],"[Measures].[MMS_90_179_M_A]")</f>
        <v>3</v>
      </c>
      <c r="CC51" s="68" t="str" vm="15522">
        <f>CUBEVALUE(ConnectionString,ReportMonth,Table1[[#This Row],[Site ID (from DATIM)]],"[Measures].[MMS_180+_F_P]")</f>
        <v/>
      </c>
      <c r="CD51" s="68" t="str" vm="14911">
        <f>CUBEVALUE(ConnectionString,ReportMonth,Table1[[#This Row],[Site ID (from DATIM)]],"[Measures].[MMS_180+_M_P]")</f>
        <v/>
      </c>
      <c r="CE51" s="68" t="str" vm="14904">
        <f>CUBEVALUE(ConnectionString,ReportMonth,Table1[[#This Row],[Site ID (from DATIM)]],"[Measures].[MMS_180+_F_A]")</f>
        <v/>
      </c>
      <c r="CF51" s="68" t="str" vm="20229">
        <f>CUBEVALUE(ConnectionString,ReportMonth,Table1[[#This Row],[Site ID (from DATIM)]],"[Measures].[MMS_180+_M_A]")</f>
        <v/>
      </c>
      <c r="CG51" s="68" vm="7025">
        <f>CUBEVALUE(ConnectionString,ReportMonth,Table1[[#This Row],[Site ID (from DATIM)]],"[Measures].[MISSEDAPP]")</f>
        <v>39</v>
      </c>
      <c r="CH51" s="68" t="str" vm="11174">
        <f>CUBEVALUE(ConnectionString,ReportMonth,Table1[[#This Row],[Site ID (from DATIM)]],"[Measures].[MMS_180+_P]")</f>
        <v/>
      </c>
      <c r="CI51" s="68" t="str" vm="12781">
        <f>CUBEVALUE(ConnectionString,ReportMonth,Table1[[#This Row],[Site ID (from DATIM)]],"[Measures].[MMS_180+_A]")</f>
        <v/>
      </c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</row>
    <row r="52" spans="1:107" x14ac:dyDescent="0.25">
      <c r="A52" s="66">
        <v>3</v>
      </c>
      <c r="B52" s="67" t="str" vm="4">
        <f t="shared" si="1"/>
        <v>Mar-2021</v>
      </c>
      <c r="C52" s="67"/>
      <c r="D52" s="67" t="s">
        <v>232</v>
      </c>
      <c r="E52" s="67" t="s">
        <v>233</v>
      </c>
      <c r="F52" s="67" t="s">
        <v>234</v>
      </c>
      <c r="G52" s="67"/>
      <c r="H52" s="67" t="s">
        <v>239</v>
      </c>
      <c r="I52" s="67" t="s">
        <v>246</v>
      </c>
      <c r="J52" s="67" t="s">
        <v>247</v>
      </c>
      <c r="K52" s="67" t="s">
        <v>248</v>
      </c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 vm="1042">
        <f>CUBEVALUE(ConnectionString,ReportMonth,Table1[[#This Row],[Site ID (from DATIM)]],"TX_NEW_2VIS")</f>
        <v>6</v>
      </c>
      <c r="AE52" s="67" vm="429">
        <f>CUBEVALUE(ConnectionString,ReportMonth,Table1[[#This Row],[Site ID (from DATIM)]],INDEX(SDI_Measures,1))</f>
        <v>8</v>
      </c>
      <c r="AF52" s="67" t="str" vm="1123">
        <f>CUBEVALUE(ConnectionString,ReportMonth,Table1[[#This Row],[Site ID (from DATIM)]],INDEX(SDI_Measures,2))</f>
        <v/>
      </c>
      <c r="AG52" s="67" t="str" vm="629">
        <f>CUBEVALUE(ConnectionString,ReportMonth,Table1[[#This Row],[Site ID (from DATIM)]],INDEX(SDI_Measures,3))</f>
        <v/>
      </c>
      <c r="AH52" s="67" vm="3568">
        <f>CUBEVALUE(ConnectionString,ReportMonth,Table1[[#This Row],[Site ID (from DATIM)]],"TX_CURR_PRIOR_MONTH")</f>
        <v>501</v>
      </c>
      <c r="AI52" s="67" vm="2686">
        <f>CUBEVALUE(ConnectionString,ReportMonth,Table1[[#This Row],[Site ID (from DATIM)]],"TX_CURR")</f>
        <v>496</v>
      </c>
      <c r="AJ52" s="67" t="str" vm="3110">
        <f>CUBEVALUE(ConnectionString,ReportMonth,Table1[[#This Row],[Site ID (from DATIM)]],"[Measures].[TI]")</f>
        <v/>
      </c>
      <c r="AK52" s="67" vm="1849">
        <f>CUBEVALUE(ConnectionString,ReportMonth,Table1[[#This Row],[Site ID (from DATIM)]],"[Measures].[TO]")</f>
        <v>1</v>
      </c>
      <c r="AL52" s="67" t="str" vm="4286">
        <f>CUBEVALUE(ConnectionString,ReportMonth,Table1[[#This Row],[Site ID (from DATIM)]],"[Measures].[DIED]")</f>
        <v/>
      </c>
      <c r="AM52" s="67" vm="4698">
        <f>CUBEVALUE(ConnectionString,ReportMonth,Table1[[#This Row],[Site ID (from DATIM)]],"[Measures].[MMS_01_31]")</f>
        <v>253</v>
      </c>
      <c r="AN52" s="67" vm="4651">
        <f>CUBEVALUE(ConnectionString,ReportMonth,Table1[[#This Row],[Site ID (from DATIM)]],"[Measures].[MMS_32_62]")</f>
        <v>3</v>
      </c>
      <c r="AO52" s="67" vm="7631">
        <f>CUBEVALUE(ConnectionString,ReportMonth,Table1[[#This Row],[Site ID (from DATIM)]],"[Measures].[MMS_63+]")</f>
        <v>240</v>
      </c>
      <c r="AP52" s="67" vm="5017">
        <f>CUBEVALUE(ConnectionString,ReportMonth,Table1[[#This Row],[Site ID (from DATIM)]],"[Measures].[TBPREV_D]")</f>
        <v>11</v>
      </c>
      <c r="AQ52" s="67" vm="7315">
        <f>CUBEVALUE(ConnectionString,ReportMonth,Table1[[#This Row],[Site ID (from DATIM)]],"[Measures].[TBPREV_N]")</f>
        <v>2</v>
      </c>
      <c r="AR52" s="67" vm="5889">
        <f>CUBEVALUE(ConnectionString,ReportMonth,Table1[[#This Row],[Site ID (from DATIM)]],"[Measures].[TBPREV_NEW]")</f>
        <v>9</v>
      </c>
      <c r="AS52" s="67" vm="6572">
        <f>CUBEVALUE(ConnectionString,ReportMonth,Table1[[#This Row],[Site ID (from DATIM)]],"[Measures].[HVL_ELIG_P]")</f>
        <v>13</v>
      </c>
      <c r="AT52" s="67" vm="9046">
        <f>CUBEVALUE(ConnectionString,ReportMonth,Table1[[#This Row],[Site ID (from DATIM)]],"[Measures].[HVL_D_P]")</f>
        <v>17</v>
      </c>
      <c r="AU52" s="67" vm="7713">
        <f>CUBEVALUE(ConnectionString,ReportMonth,Table1[[#This Row],[Site ID (from DATIM)]],"[Measures].[HVL_N_P]")</f>
        <v>13</v>
      </c>
      <c r="AV52" s="68" vm="8391">
        <f>CUBEVALUE(ConnectionString,ReportMonth,Table1[[#This Row],[Site ID (from DATIM)]],"[Measures].[HVL_ELIG_A]")</f>
        <v>382</v>
      </c>
      <c r="AW52" s="68" vm="6594">
        <f>CUBEVALUE(ConnectionString,ReportMonth,Table1[[#This Row],[Site ID (from DATIM)]],"[Measures].[HVL_D_A]")</f>
        <v>316</v>
      </c>
      <c r="AX52" s="68" vm="7299">
        <f>CUBEVALUE(ConnectionString,ReportMonth,Table1[[#This Row],[Site ID (from DATIM)]],"[Measures].[HVL_N_A]")</f>
        <v>299</v>
      </c>
      <c r="AY52" s="67"/>
      <c r="AZ52" s="67"/>
      <c r="BA52" s="67"/>
      <c r="BB52" s="67"/>
      <c r="BC52" s="67"/>
      <c r="BD52" s="67"/>
      <c r="BE52" s="67"/>
      <c r="BF52" s="67"/>
      <c r="BG52" s="67" vm="14072">
        <f>CUBEVALUE(ConnectionString,ReportMonth,Table1[[#This Row],[Site ID (from DATIM)]],"[Measures].[TX_NEW_F_A]")</f>
        <v>6</v>
      </c>
      <c r="BH52" s="67" vm="11724">
        <f>CUBEVALUE(ConnectionString,ReportMonth,Table1[[#This Row],[Site ID (from DATIM)]],"[Measures].[TX_NEW_M_A]")</f>
        <v>2</v>
      </c>
      <c r="BI52" s="67" t="str" vm="13902">
        <f>CUBEVALUE(ConnectionString,ReportMonth,Table1[[#This Row],[Site ID (from DATIM)]],"[Measures].[TX_NEW_F_P]")</f>
        <v/>
      </c>
      <c r="BJ52" s="68" t="str" vm="15290">
        <f>CUBEVALUE(ConnectionString,ReportMonth,Table1[[#This Row],[Site ID (from DATIM)]],"[Measures].[TX_NEW_M_P]")</f>
        <v/>
      </c>
      <c r="BK52" s="68"/>
      <c r="BL52" s="68"/>
      <c r="BM52" s="68"/>
      <c r="BN52" s="68"/>
      <c r="BO52" s="68"/>
      <c r="BP52" s="68"/>
      <c r="BQ52" s="68" vm="9841">
        <f>CUBEVALUE(ConnectionString,ReportMonth,Table1[[#This Row],[Site ID (from DATIM)]],"[Measures].[TX_CURR_F_P]")</f>
        <v>7</v>
      </c>
      <c r="BR52" s="68" vm="9601">
        <f>CUBEVALUE(ConnectionString,ReportMonth,Table1[[#This Row],[Site ID (from DATIM)]],"[Measures].[TX_CURR_M_P]")</f>
        <v>8</v>
      </c>
      <c r="BS52" s="68" vm="9007">
        <f>CUBEVALUE(ConnectionString,ReportMonth,Table1[[#This Row],[Site ID (from DATIM)]],"[Measures].[TX_CURR_F_A]")</f>
        <v>361</v>
      </c>
      <c r="BT52" s="68" vm="14247">
        <f>CUBEVALUE(ConnectionString,ReportMonth,Table1[[#This Row],[Site ID (from DATIM)]],"[Measures].[TX_CURR_M_A]")</f>
        <v>120</v>
      </c>
      <c r="BU52" s="68" vm="18356">
        <f>CUBEVALUE(ConnectionString,ReportMonth,Table1[[#This Row],[Site ID (from DATIM)]],"[Measures].[MMS_01_89_F_P]")</f>
        <v>6</v>
      </c>
      <c r="BV52" s="68" vm="18607">
        <f>CUBEVALUE(ConnectionString,ReportMonth,Table1[[#This Row],[Site ID (from DATIM)]],"[Measures].[MMS_01_89_M_P]")</f>
        <v>5</v>
      </c>
      <c r="BW52" s="68" vm="14767">
        <f>CUBEVALUE(ConnectionString,ReportMonth,Table1[[#This Row],[Site ID (from DATIM)]],"[Measures].[MMS_01_89_F_A]")</f>
        <v>201</v>
      </c>
      <c r="BX52" s="68" vm="19139">
        <f>CUBEVALUE(ConnectionString,ReportMonth,Table1[[#This Row],[Site ID (from DATIM)]],"[Measures].[MMS_01_89_M_A]")</f>
        <v>46</v>
      </c>
      <c r="BY52" s="68" vm="18778">
        <f>CUBEVALUE(ConnectionString,ReportMonth,Table1[[#This Row],[Site ID (from DATIM)]],"[Measures].[MMS_90_179_F_P]")</f>
        <v>1</v>
      </c>
      <c r="BZ52" s="68" vm="15225">
        <f>CUBEVALUE(ConnectionString,ReportMonth,Table1[[#This Row],[Site ID (from DATIM)]],"[Measures].[MMS_90_179_M_P]")</f>
        <v>3</v>
      </c>
      <c r="CA52" s="68" vm="17672">
        <f>CUBEVALUE(ConnectionString,ReportMonth,Table1[[#This Row],[Site ID (from DATIM)]],"[Measures].[MMS_90_179_F_A]")</f>
        <v>160</v>
      </c>
      <c r="CB52" s="68" vm="15174">
        <f>CUBEVALUE(ConnectionString,ReportMonth,Table1[[#This Row],[Site ID (from DATIM)]],"[Measures].[MMS_90_179_M_A]")</f>
        <v>74</v>
      </c>
      <c r="CC52" s="68" t="str" vm="16389">
        <f>CUBEVALUE(ConnectionString,ReportMonth,Table1[[#This Row],[Site ID (from DATIM)]],"[Measures].[MMS_180+_F_P]")</f>
        <v/>
      </c>
      <c r="CD52" s="68" t="str" vm="14528">
        <f>CUBEVALUE(ConnectionString,ReportMonth,Table1[[#This Row],[Site ID (from DATIM)]],"[Measures].[MMS_180+_M_P]")</f>
        <v/>
      </c>
      <c r="CE52" s="68" t="str" vm="81">
        <f>CUBEVALUE(ConnectionString,ReportMonth,Table1[[#This Row],[Site ID (from DATIM)]],"[Measures].[MMS_180+_F_A]")</f>
        <v/>
      </c>
      <c r="CF52" s="68" t="str" vm="17494">
        <f>CUBEVALUE(ConnectionString,ReportMonth,Table1[[#This Row],[Site ID (from DATIM)]],"[Measures].[MMS_180+_M_A]")</f>
        <v/>
      </c>
      <c r="CG52" s="68" vm="8397">
        <f>CUBEVALUE(ConnectionString,ReportMonth,Table1[[#This Row],[Site ID (from DATIM)]],"[Measures].[MISSEDAPP]")</f>
        <v>117</v>
      </c>
      <c r="CH52" s="68" t="str" vm="12544">
        <f>CUBEVALUE(ConnectionString,ReportMonth,Table1[[#This Row],[Site ID (from DATIM)]],"[Measures].[MMS_180+_P]")</f>
        <v/>
      </c>
      <c r="CI52" s="68" t="str" vm="10978">
        <f>CUBEVALUE(ConnectionString,ReportMonth,Table1[[#This Row],[Site ID (from DATIM)]],"[Measures].[MMS_180+_A]")</f>
        <v/>
      </c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</row>
    <row r="53" spans="1:107" x14ac:dyDescent="0.25">
      <c r="A53" s="66">
        <v>2</v>
      </c>
      <c r="B53" s="67" t="str" vm="4">
        <f t="shared" si="1"/>
        <v>Mar-2021</v>
      </c>
      <c r="C53" s="67"/>
      <c r="D53" s="67" t="s">
        <v>232</v>
      </c>
      <c r="E53" s="67" t="s">
        <v>233</v>
      </c>
      <c r="F53" s="67" t="s">
        <v>1083</v>
      </c>
      <c r="G53" s="67"/>
      <c r="H53" s="67" t="s">
        <v>1099</v>
      </c>
      <c r="I53" s="67" t="s">
        <v>1117</v>
      </c>
      <c r="J53" s="67" t="s">
        <v>1118</v>
      </c>
      <c r="K53" s="67" t="s">
        <v>1119</v>
      </c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 vm="522">
        <f>CUBEVALUE(ConnectionString,ReportMonth,Table1[[#This Row],[Site ID (from DATIM)]],"TX_NEW_2VIS")</f>
        <v>6</v>
      </c>
      <c r="AE53" s="67" vm="934">
        <f>CUBEVALUE(ConnectionString,ReportMonth,Table1[[#This Row],[Site ID (from DATIM)]],INDEX(SDI_Measures,1))</f>
        <v>2</v>
      </c>
      <c r="AF53" s="67" t="str" vm="2183">
        <f>CUBEVALUE(ConnectionString,ReportMonth,Table1[[#This Row],[Site ID (from DATIM)]],INDEX(SDI_Measures,2))</f>
        <v/>
      </c>
      <c r="AG53" s="67" vm="1628">
        <f>CUBEVALUE(ConnectionString,ReportMonth,Table1[[#This Row],[Site ID (from DATIM)]],INDEX(SDI_Measures,3))</f>
        <v>1</v>
      </c>
      <c r="AH53" s="67" vm="4118">
        <f>CUBEVALUE(ConnectionString,ReportMonth,Table1[[#This Row],[Site ID (from DATIM)]],"TX_CURR_PRIOR_MONTH")</f>
        <v>693</v>
      </c>
      <c r="AI53" s="67" vm="4214">
        <f>CUBEVALUE(ConnectionString,ReportMonth,Table1[[#This Row],[Site ID (from DATIM)]],"TX_CURR")</f>
        <v>696</v>
      </c>
      <c r="AJ53" s="67" t="str" vm="3270">
        <f>CUBEVALUE(ConnectionString,ReportMonth,Table1[[#This Row],[Site ID (from DATIM)]],"[Measures].[TI]")</f>
        <v/>
      </c>
      <c r="AK53" s="67" vm="4325">
        <f>CUBEVALUE(ConnectionString,ReportMonth,Table1[[#This Row],[Site ID (from DATIM)]],"[Measures].[TO]")</f>
        <v>1</v>
      </c>
      <c r="AL53" s="67" vm="2259">
        <f>CUBEVALUE(ConnectionString,ReportMonth,Table1[[#This Row],[Site ID (from DATIM)]],"[Measures].[DIED]")</f>
        <v>1</v>
      </c>
      <c r="AM53" s="67" vm="4774">
        <f>CUBEVALUE(ConnectionString,ReportMonth,Table1[[#This Row],[Site ID (from DATIM)]],"[Measures].[MMS_01_31]")</f>
        <v>140</v>
      </c>
      <c r="AN53" s="67" vm="4459">
        <f>CUBEVALUE(ConnectionString,ReportMonth,Table1[[#This Row],[Site ID (from DATIM)]],"[Measures].[MMS_32_62]")</f>
        <v>53</v>
      </c>
      <c r="AO53" s="67" vm="5606">
        <f>CUBEVALUE(ConnectionString,ReportMonth,Table1[[#This Row],[Site ID (from DATIM)]],"[Measures].[MMS_63+]")</f>
        <v>503</v>
      </c>
      <c r="AP53" s="67" vm="6897">
        <f>CUBEVALUE(ConnectionString,ReportMonth,Table1[[#This Row],[Site ID (from DATIM)]],"[Measures].[TBPREV_D]")</f>
        <v>9</v>
      </c>
      <c r="AQ53" s="67" vm="5521">
        <f>CUBEVALUE(ConnectionString,ReportMonth,Table1[[#This Row],[Site ID (from DATIM)]],"[Measures].[TBPREV_N]")</f>
        <v>4</v>
      </c>
      <c r="AR53" s="67" vm="8473">
        <f>CUBEVALUE(ConnectionString,ReportMonth,Table1[[#This Row],[Site ID (from DATIM)]],"[Measures].[TBPREV_NEW]")</f>
        <v>2</v>
      </c>
      <c r="AS53" s="67" vm="5365">
        <f>CUBEVALUE(ConnectionString,ReportMonth,Table1[[#This Row],[Site ID (from DATIM)]],"[Measures].[HVL_ELIG_P]")</f>
        <v>40</v>
      </c>
      <c r="AT53" s="67" vm="10771">
        <f>CUBEVALUE(ConnectionString,ReportMonth,Table1[[#This Row],[Site ID (from DATIM)]],"[Measures].[HVL_D_P]")</f>
        <v>33</v>
      </c>
      <c r="AU53" s="67" vm="9127">
        <f>CUBEVALUE(ConnectionString,ReportMonth,Table1[[#This Row],[Site ID (from DATIM)]],"[Measures].[HVL_N_P]")</f>
        <v>27</v>
      </c>
      <c r="AV53" s="68" vm="15652">
        <f>CUBEVALUE(ConnectionString,ReportMonth,Table1[[#This Row],[Site ID (from DATIM)]],"[Measures].[HVL_ELIG_A]")</f>
        <v>612</v>
      </c>
      <c r="AW53" s="68" vm="8890">
        <f>CUBEVALUE(ConnectionString,ReportMonth,Table1[[#This Row],[Site ID (from DATIM)]],"[Measures].[HVL_D_A]")</f>
        <v>493</v>
      </c>
      <c r="AX53" s="68" vm="8672">
        <f>CUBEVALUE(ConnectionString,ReportMonth,Table1[[#This Row],[Site ID (from DATIM)]],"[Measures].[HVL_N_A]")</f>
        <v>474</v>
      </c>
      <c r="AY53" s="67"/>
      <c r="AZ53" s="67"/>
      <c r="BA53" s="67"/>
      <c r="BB53" s="67"/>
      <c r="BC53" s="67"/>
      <c r="BD53" s="67"/>
      <c r="BE53" s="67"/>
      <c r="BF53" s="67"/>
      <c r="BG53" s="67" vm="13428">
        <f>CUBEVALUE(ConnectionString,ReportMonth,Table1[[#This Row],[Site ID (from DATIM)]],"[Measures].[TX_NEW_F_A]")</f>
        <v>2</v>
      </c>
      <c r="BH53" s="67" vm="10133">
        <f>CUBEVALUE(ConnectionString,ReportMonth,Table1[[#This Row],[Site ID (from DATIM)]],"[Measures].[TX_NEW_M_A]")</f>
        <v>1</v>
      </c>
      <c r="BI53" s="67" t="str" vm="13847">
        <f>CUBEVALUE(ConnectionString,ReportMonth,Table1[[#This Row],[Site ID (from DATIM)]],"[Measures].[TX_NEW_F_P]")</f>
        <v/>
      </c>
      <c r="BJ53" s="68" t="str" vm="17073">
        <f>CUBEVALUE(ConnectionString,ReportMonth,Table1[[#This Row],[Site ID (from DATIM)]],"[Measures].[TX_NEW_M_P]")</f>
        <v/>
      </c>
      <c r="BK53" s="68"/>
      <c r="BL53" s="68"/>
      <c r="BM53" s="68"/>
      <c r="BN53" s="68"/>
      <c r="BO53" s="68"/>
      <c r="BP53" s="68"/>
      <c r="BQ53" s="68" vm="13606">
        <f>CUBEVALUE(ConnectionString,ReportMonth,Table1[[#This Row],[Site ID (from DATIM)]],"[Measures].[TX_CURR_F_P]")</f>
        <v>22</v>
      </c>
      <c r="BR53" s="68" vm="7938">
        <f>CUBEVALUE(ConnectionString,ReportMonth,Table1[[#This Row],[Site ID (from DATIM)]],"[Measures].[TX_CURR_M_P]")</f>
        <v>22</v>
      </c>
      <c r="BS53" s="68" vm="10970">
        <f>CUBEVALUE(ConnectionString,ReportMonth,Table1[[#This Row],[Site ID (from DATIM)]],"[Measures].[TX_CURR_F_A]")</f>
        <v>471</v>
      </c>
      <c r="BT53" s="68" vm="13316">
        <f>CUBEVALUE(ConnectionString,ReportMonth,Table1[[#This Row],[Site ID (from DATIM)]],"[Measures].[TX_CURR_M_A]")</f>
        <v>181</v>
      </c>
      <c r="BU53" s="68" vm="18670">
        <f>CUBEVALUE(ConnectionString,ReportMonth,Table1[[#This Row],[Site ID (from DATIM)]],"[Measures].[MMS_01_89_F_P]")</f>
        <v>9</v>
      </c>
      <c r="BV53" s="68" vm="19716">
        <f>CUBEVALUE(ConnectionString,ReportMonth,Table1[[#This Row],[Site ID (from DATIM)]],"[Measures].[MMS_01_89_M_P]")</f>
        <v>8</v>
      </c>
      <c r="BW53" s="68" vm="19213">
        <f>CUBEVALUE(ConnectionString,ReportMonth,Table1[[#This Row],[Site ID (from DATIM)]],"[Measures].[MMS_01_89_F_A]")</f>
        <v>149</v>
      </c>
      <c r="BX53" s="68" vm="17911">
        <f>CUBEVALUE(ConnectionString,ReportMonth,Table1[[#This Row],[Site ID (from DATIM)]],"[Measures].[MMS_01_89_M_A]")</f>
        <v>44</v>
      </c>
      <c r="BY53" s="68" vm="19148">
        <f>CUBEVALUE(ConnectionString,ReportMonth,Table1[[#This Row],[Site ID (from DATIM)]],"[Measures].[MMS_90_179_F_P]")</f>
        <v>13</v>
      </c>
      <c r="BZ53" s="68" vm="19314">
        <f>CUBEVALUE(ConnectionString,ReportMonth,Table1[[#This Row],[Site ID (from DATIM)]],"[Measures].[MMS_90_179_M_P]")</f>
        <v>14</v>
      </c>
      <c r="CA53" s="68" vm="17691">
        <f>CUBEVALUE(ConnectionString,ReportMonth,Table1[[#This Row],[Site ID (from DATIM)]],"[Measures].[MMS_90_179_F_A]")</f>
        <v>322</v>
      </c>
      <c r="CB53" s="68" vm="16501">
        <f>CUBEVALUE(ConnectionString,ReportMonth,Table1[[#This Row],[Site ID (from DATIM)]],"[Measures].[MMS_90_179_M_A]")</f>
        <v>137</v>
      </c>
      <c r="CC53" s="68" t="str" vm="14494">
        <f>CUBEVALUE(ConnectionString,ReportMonth,Table1[[#This Row],[Site ID (from DATIM)]],"[Measures].[MMS_180+_F_P]")</f>
        <v/>
      </c>
      <c r="CD53" s="68" t="str" vm="16323">
        <f>CUBEVALUE(ConnectionString,ReportMonth,Table1[[#This Row],[Site ID (from DATIM)]],"[Measures].[MMS_180+_M_P]")</f>
        <v/>
      </c>
      <c r="CE53" s="68" t="str" vm="57">
        <f>CUBEVALUE(ConnectionString,ReportMonth,Table1[[#This Row],[Site ID (from DATIM)]],"[Measures].[MMS_180+_F_A]")</f>
        <v/>
      </c>
      <c r="CF53" s="68" t="str" vm="218">
        <f>CUBEVALUE(ConnectionString,ReportMonth,Table1[[#This Row],[Site ID (from DATIM)]],"[Measures].[MMS_180+_M_A]")</f>
        <v/>
      </c>
      <c r="CG53" s="68" vm="7442">
        <f>CUBEVALUE(ConnectionString,ReportMonth,Table1[[#This Row],[Site ID (from DATIM)]],"[Measures].[MISSEDAPP]")</f>
        <v>170</v>
      </c>
      <c r="CH53" s="68" t="str" vm="11172">
        <f>CUBEVALUE(ConnectionString,ReportMonth,Table1[[#This Row],[Site ID (from DATIM)]],"[Measures].[MMS_180+_P]")</f>
        <v/>
      </c>
      <c r="CI53" s="68" t="str" vm="13703">
        <f>CUBEVALUE(ConnectionString,ReportMonth,Table1[[#This Row],[Site ID (from DATIM)]],"[Measures].[MMS_180+_A]")</f>
        <v/>
      </c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</row>
    <row r="54" spans="1:107" x14ac:dyDescent="0.25">
      <c r="A54" s="66">
        <v>4</v>
      </c>
      <c r="B54" s="67" t="str" vm="4">
        <f t="shared" si="1"/>
        <v>Mar-2021</v>
      </c>
      <c r="C54" s="67"/>
      <c r="D54" s="67" t="s">
        <v>232</v>
      </c>
      <c r="E54" s="67" t="s">
        <v>233</v>
      </c>
      <c r="F54" s="67" t="s">
        <v>1083</v>
      </c>
      <c r="G54" s="67"/>
      <c r="H54" s="67" t="s">
        <v>1095</v>
      </c>
      <c r="I54" s="67" t="s">
        <v>1120</v>
      </c>
      <c r="J54" s="67" t="s">
        <v>1121</v>
      </c>
      <c r="K54" s="67" t="s">
        <v>1122</v>
      </c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 t="str" vm="1116">
        <f>CUBEVALUE(ConnectionString,ReportMonth,Table1[[#This Row],[Site ID (from DATIM)]],"TX_NEW_2VIS")</f>
        <v/>
      </c>
      <c r="AE54" s="67" vm="2498">
        <f>CUBEVALUE(ConnectionString,ReportMonth,Table1[[#This Row],[Site ID (from DATIM)]],INDEX(SDI_Measures,1))</f>
        <v>1</v>
      </c>
      <c r="AF54" s="67" t="str" vm="2983">
        <f>CUBEVALUE(ConnectionString,ReportMonth,Table1[[#This Row],[Site ID (from DATIM)]],INDEX(SDI_Measures,2))</f>
        <v/>
      </c>
      <c r="AG54" s="67" t="str" vm="3395">
        <f>CUBEVALUE(ConnectionString,ReportMonth,Table1[[#This Row],[Site ID (from DATIM)]],INDEX(SDI_Measures,3))</f>
        <v/>
      </c>
      <c r="AH54" s="67" vm="1230">
        <f>CUBEVALUE(ConnectionString,ReportMonth,Table1[[#This Row],[Site ID (from DATIM)]],"TX_CURR_PRIOR_MONTH")</f>
        <v>69</v>
      </c>
      <c r="AI54" s="67" vm="4535">
        <f>CUBEVALUE(ConnectionString,ReportMonth,Table1[[#This Row],[Site ID (from DATIM)]],"TX_CURR")</f>
        <v>66</v>
      </c>
      <c r="AJ54" s="67" t="str" vm="3150">
        <f>CUBEVALUE(ConnectionString,ReportMonth,Table1[[#This Row],[Site ID (from DATIM)]],"[Measures].[TI]")</f>
        <v/>
      </c>
      <c r="AK54" s="67" t="str" vm="5230">
        <f>CUBEVALUE(ConnectionString,ReportMonth,Table1[[#This Row],[Site ID (from DATIM)]],"[Measures].[TO]")</f>
        <v/>
      </c>
      <c r="AL54" s="67" t="str" vm="2815">
        <f>CUBEVALUE(ConnectionString,ReportMonth,Table1[[#This Row],[Site ID (from DATIM)]],"[Measures].[DIED]")</f>
        <v/>
      </c>
      <c r="AM54" s="67" vm="7799">
        <f>CUBEVALUE(ConnectionString,ReportMonth,Table1[[#This Row],[Site ID (from DATIM)]],"[Measures].[MMS_01_31]")</f>
        <v>24</v>
      </c>
      <c r="AN54" s="67" t="str" vm="6568">
        <f>CUBEVALUE(ConnectionString,ReportMonth,Table1[[#This Row],[Site ID (from DATIM)]],"[Measures].[MMS_32_62]")</f>
        <v/>
      </c>
      <c r="AO54" s="67" vm="9807">
        <f>CUBEVALUE(ConnectionString,ReportMonth,Table1[[#This Row],[Site ID (from DATIM)]],"[Measures].[MMS_63+]")</f>
        <v>42</v>
      </c>
      <c r="AP54" s="67" t="str" vm="6779">
        <f>CUBEVALUE(ConnectionString,ReportMonth,Table1[[#This Row],[Site ID (from DATIM)]],"[Measures].[TBPREV_D]")</f>
        <v/>
      </c>
      <c r="AQ54" s="67" t="str" vm="5481">
        <f>CUBEVALUE(ConnectionString,ReportMonth,Table1[[#This Row],[Site ID (from DATIM)]],"[Measures].[TBPREV_N]")</f>
        <v/>
      </c>
      <c r="AR54" s="67" vm="5133">
        <f>CUBEVALUE(ConnectionString,ReportMonth,Table1[[#This Row],[Site ID (from DATIM)]],"[Measures].[TBPREV_NEW]")</f>
        <v>1</v>
      </c>
      <c r="AS54" s="67" t="str" vm="5361">
        <f>CUBEVALUE(ConnectionString,ReportMonth,Table1[[#This Row],[Site ID (from DATIM)]],"[Measures].[HVL_ELIG_P]")</f>
        <v/>
      </c>
      <c r="AT54" s="67" t="str" vm="8965">
        <f>CUBEVALUE(ConnectionString,ReportMonth,Table1[[#This Row],[Site ID (from DATIM)]],"[Measures].[HVL_D_P]")</f>
        <v/>
      </c>
      <c r="AU54" s="67" t="str" vm="9080">
        <f>CUBEVALUE(ConnectionString,ReportMonth,Table1[[#This Row],[Site ID (from DATIM)]],"[Measures].[HVL_N_P]")</f>
        <v/>
      </c>
      <c r="AV54" s="68" vm="7928">
        <f>CUBEVALUE(ConnectionString,ReportMonth,Table1[[#This Row],[Site ID (from DATIM)]],"[Measures].[HVL_ELIG_A]")</f>
        <v>57</v>
      </c>
      <c r="AW54" s="68" vm="13095">
        <f>CUBEVALUE(ConnectionString,ReportMonth,Table1[[#This Row],[Site ID (from DATIM)]],"[Measures].[HVL_D_A]")</f>
        <v>44</v>
      </c>
      <c r="AX54" s="68" vm="9834">
        <f>CUBEVALUE(ConnectionString,ReportMonth,Table1[[#This Row],[Site ID (from DATIM)]],"[Measures].[HVL_N_A]")</f>
        <v>41</v>
      </c>
      <c r="AY54" s="67"/>
      <c r="AZ54" s="67"/>
      <c r="BA54" s="67"/>
      <c r="BB54" s="67"/>
      <c r="BC54" s="67"/>
      <c r="BD54" s="67"/>
      <c r="BE54" s="67"/>
      <c r="BF54" s="67"/>
      <c r="BG54" s="67" vm="16553">
        <f>CUBEVALUE(ConnectionString,ReportMonth,Table1[[#This Row],[Site ID (from DATIM)]],"[Measures].[TX_NEW_F_A]")</f>
        <v>1</v>
      </c>
      <c r="BH54" s="67" t="str" vm="15285">
        <f>CUBEVALUE(ConnectionString,ReportMonth,Table1[[#This Row],[Site ID (from DATIM)]],"[Measures].[TX_NEW_M_A]")</f>
        <v/>
      </c>
      <c r="BI54" s="67" t="str" vm="14200">
        <f>CUBEVALUE(ConnectionString,ReportMonth,Table1[[#This Row],[Site ID (from DATIM)]],"[Measures].[TX_NEW_F_P]")</f>
        <v/>
      </c>
      <c r="BJ54" s="68" t="str" vm="14331">
        <f>CUBEVALUE(ConnectionString,ReportMonth,Table1[[#This Row],[Site ID (from DATIM)]],"[Measures].[TX_NEW_M_P]")</f>
        <v/>
      </c>
      <c r="BK54" s="68"/>
      <c r="BL54" s="68"/>
      <c r="BM54" s="68"/>
      <c r="BN54" s="68"/>
      <c r="BO54" s="68"/>
      <c r="BP54" s="68"/>
      <c r="BQ54" s="68" t="str" vm="9802">
        <f>CUBEVALUE(ConnectionString,ReportMonth,Table1[[#This Row],[Site ID (from DATIM)]],"[Measures].[TX_CURR_F_P]")</f>
        <v/>
      </c>
      <c r="BR54" s="68" t="str" vm="10303">
        <f>CUBEVALUE(ConnectionString,ReportMonth,Table1[[#This Row],[Site ID (from DATIM)]],"[Measures].[TX_CURR_M_P]")</f>
        <v/>
      </c>
      <c r="BS54" s="68" vm="13913">
        <f>CUBEVALUE(ConnectionString,ReportMonth,Table1[[#This Row],[Site ID (from DATIM)]],"[Measures].[TX_CURR_F_A]")</f>
        <v>47</v>
      </c>
      <c r="BT54" s="68" vm="13506">
        <f>CUBEVALUE(ConnectionString,ReportMonth,Table1[[#This Row],[Site ID (from DATIM)]],"[Measures].[TX_CURR_M_A]")</f>
        <v>19</v>
      </c>
      <c r="BU54" s="68" t="str" vm="18414">
        <f>CUBEVALUE(ConnectionString,ReportMonth,Table1[[#This Row],[Site ID (from DATIM)]],"[Measures].[MMS_01_89_F_P]")</f>
        <v/>
      </c>
      <c r="BV54" s="68" t="str" vm="18653">
        <f>CUBEVALUE(ConnectionString,ReportMonth,Table1[[#This Row],[Site ID (from DATIM)]],"[Measures].[MMS_01_89_M_P]")</f>
        <v/>
      </c>
      <c r="BW54" s="68" vm="19177">
        <f>CUBEVALUE(ConnectionString,ReportMonth,Table1[[#This Row],[Site ID (from DATIM)]],"[Measures].[MMS_01_89_F_A]")</f>
        <v>15</v>
      </c>
      <c r="BX54" s="68" vm="19196">
        <f>CUBEVALUE(ConnectionString,ReportMonth,Table1[[#This Row],[Site ID (from DATIM)]],"[Measures].[MMS_01_89_M_A]")</f>
        <v>9</v>
      </c>
      <c r="BY54" s="68" t="str" vm="19650">
        <f>CUBEVALUE(ConnectionString,ReportMonth,Table1[[#This Row],[Site ID (from DATIM)]],"[Measures].[MMS_90_179_F_P]")</f>
        <v/>
      </c>
      <c r="BZ54" s="68" t="str" vm="19898">
        <f>CUBEVALUE(ConnectionString,ReportMonth,Table1[[#This Row],[Site ID (from DATIM)]],"[Measures].[MMS_90_179_M_P]")</f>
        <v/>
      </c>
      <c r="CA54" s="68" vm="17799">
        <f>CUBEVALUE(ConnectionString,ReportMonth,Table1[[#This Row],[Site ID (from DATIM)]],"[Measures].[MMS_90_179_F_A]")</f>
        <v>32</v>
      </c>
      <c r="CB54" s="68" vm="15132">
        <f>CUBEVALUE(ConnectionString,ReportMonth,Table1[[#This Row],[Site ID (from DATIM)]],"[Measures].[MMS_90_179_M_A]")</f>
        <v>10</v>
      </c>
      <c r="CC54" s="68" t="str" vm="15921">
        <f>CUBEVALUE(ConnectionString,ReportMonth,Table1[[#This Row],[Site ID (from DATIM)]],"[Measures].[MMS_180+_F_P]")</f>
        <v/>
      </c>
      <c r="CD54" s="68" t="str" vm="17587">
        <f>CUBEVALUE(ConnectionString,ReportMonth,Table1[[#This Row],[Site ID (from DATIM)]],"[Measures].[MMS_180+_M_P]")</f>
        <v/>
      </c>
      <c r="CE54" s="68" t="str" vm="16236">
        <f>CUBEVALUE(ConnectionString,ReportMonth,Table1[[#This Row],[Site ID (from DATIM)]],"[Measures].[MMS_180+_F_A]")</f>
        <v/>
      </c>
      <c r="CF54" s="68" t="str" vm="16718">
        <f>CUBEVALUE(ConnectionString,ReportMonth,Table1[[#This Row],[Site ID (from DATIM)]],"[Measures].[MMS_180+_M_A]")</f>
        <v/>
      </c>
      <c r="CG54" s="68" vm="10786">
        <f>CUBEVALUE(ConnectionString,ReportMonth,Table1[[#This Row],[Site ID (from DATIM)]],"[Measures].[MISSEDAPP]")</f>
        <v>40</v>
      </c>
      <c r="CH54" s="68" t="str" vm="11994">
        <f>CUBEVALUE(ConnectionString,ReportMonth,Table1[[#This Row],[Site ID (from DATIM)]],"[Measures].[MMS_180+_P]")</f>
        <v/>
      </c>
      <c r="CI54" s="68" t="str" vm="10224">
        <f>CUBEVALUE(ConnectionString,ReportMonth,Table1[[#This Row],[Site ID (from DATIM)]],"[Measures].[MMS_180+_A]")</f>
        <v/>
      </c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</row>
    <row r="55" spans="1:107" x14ac:dyDescent="0.25">
      <c r="A55" s="66">
        <v>4</v>
      </c>
      <c r="B55" s="67" t="str" vm="4">
        <f t="shared" si="1"/>
        <v>Mar-2021</v>
      </c>
      <c r="C55" s="67"/>
      <c r="D55" s="67" t="s">
        <v>232</v>
      </c>
      <c r="E55" s="67" t="s">
        <v>233</v>
      </c>
      <c r="F55" s="67" t="s">
        <v>437</v>
      </c>
      <c r="G55" s="67"/>
      <c r="H55" s="67" t="s">
        <v>438</v>
      </c>
      <c r="I55" s="67" t="s">
        <v>523</v>
      </c>
      <c r="J55" s="67" t="s">
        <v>524</v>
      </c>
      <c r="K55" s="67" t="s">
        <v>525</v>
      </c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 vm="2070">
        <f>CUBEVALUE(ConnectionString,ReportMonth,Table1[[#This Row],[Site ID (from DATIM)]],"TX_NEW_2VIS")</f>
        <v>8</v>
      </c>
      <c r="AE55" s="67" vm="1712">
        <f>CUBEVALUE(ConnectionString,ReportMonth,Table1[[#This Row],[Site ID (from DATIM)]],INDEX(SDI_Measures,1))</f>
        <v>2</v>
      </c>
      <c r="AF55" s="67" t="str" vm="3922">
        <f>CUBEVALUE(ConnectionString,ReportMonth,Table1[[#This Row],[Site ID (from DATIM)]],INDEX(SDI_Measures,2))</f>
        <v/>
      </c>
      <c r="AG55" s="67" t="str" vm="3432">
        <f>CUBEVALUE(ConnectionString,ReportMonth,Table1[[#This Row],[Site ID (from DATIM)]],INDEX(SDI_Measures,3))</f>
        <v/>
      </c>
      <c r="AH55" s="67" vm="936">
        <f>CUBEVALUE(ConnectionString,ReportMonth,Table1[[#This Row],[Site ID (from DATIM)]],"TX_CURR_PRIOR_MONTH")</f>
        <v>310</v>
      </c>
      <c r="AI55" s="67" vm="1934">
        <f>CUBEVALUE(ConnectionString,ReportMonth,Table1[[#This Row],[Site ID (from DATIM)]],"TX_CURR")</f>
        <v>303</v>
      </c>
      <c r="AJ55" s="67" t="str" vm="1184">
        <f>CUBEVALUE(ConnectionString,ReportMonth,Table1[[#This Row],[Site ID (from DATIM)]],"[Measures].[TI]")</f>
        <v/>
      </c>
      <c r="AK55" s="67" t="str" vm="2006">
        <f>CUBEVALUE(ConnectionString,ReportMonth,Table1[[#This Row],[Site ID (from DATIM)]],"[Measures].[TO]")</f>
        <v/>
      </c>
      <c r="AL55" s="67" t="str" vm="1575">
        <f>CUBEVALUE(ConnectionString,ReportMonth,Table1[[#This Row],[Site ID (from DATIM)]],"[Measures].[DIED]")</f>
        <v/>
      </c>
      <c r="AM55" s="67" vm="3319">
        <f>CUBEVALUE(ConnectionString,ReportMonth,Table1[[#This Row],[Site ID (from DATIM)]],"[Measures].[MMS_01_31]")</f>
        <v>268</v>
      </c>
      <c r="AN55" s="67" vm="5657">
        <f>CUBEVALUE(ConnectionString,ReportMonth,Table1[[#This Row],[Site ID (from DATIM)]],"[Measures].[MMS_32_62]")</f>
        <v>6</v>
      </c>
      <c r="AO55" s="67" vm="7178">
        <f>CUBEVALUE(ConnectionString,ReportMonth,Table1[[#This Row],[Site ID (from DATIM)]],"[Measures].[MMS_63+]")</f>
        <v>29</v>
      </c>
      <c r="AP55" s="67" t="str" vm="7855">
        <f>CUBEVALUE(ConnectionString,ReportMonth,Table1[[#This Row],[Site ID (from DATIM)]],"[Measures].[TBPREV_D]")</f>
        <v/>
      </c>
      <c r="AQ55" s="67" t="str" vm="7650">
        <f>CUBEVALUE(ConnectionString,ReportMonth,Table1[[#This Row],[Site ID (from DATIM)]],"[Measures].[TBPREV_N]")</f>
        <v/>
      </c>
      <c r="AR55" s="67" t="str" vm="6678">
        <f>CUBEVALUE(ConnectionString,ReportMonth,Table1[[#This Row],[Site ID (from DATIM)]],"[Measures].[TBPREV_NEW]")</f>
        <v/>
      </c>
      <c r="AS55" s="67" vm="8183">
        <f>CUBEVALUE(ConnectionString,ReportMonth,Table1[[#This Row],[Site ID (from DATIM)]],"[Measures].[HVL_ELIG_P]")</f>
        <v>1</v>
      </c>
      <c r="AT55" s="67" vm="11074">
        <f>CUBEVALUE(ConnectionString,ReportMonth,Table1[[#This Row],[Site ID (from DATIM)]],"[Measures].[HVL_D_P]")</f>
        <v>1</v>
      </c>
      <c r="AU55" s="67" t="str" vm="11827">
        <f>CUBEVALUE(ConnectionString,ReportMonth,Table1[[#This Row],[Site ID (from DATIM)]],"[Measures].[HVL_N_P]")</f>
        <v/>
      </c>
      <c r="AV55" s="68" vm="12237">
        <f>CUBEVALUE(ConnectionString,ReportMonth,Table1[[#This Row],[Site ID (from DATIM)]],"[Measures].[HVL_ELIG_A]")</f>
        <v>241</v>
      </c>
      <c r="AW55" s="68" vm="12107">
        <f>CUBEVALUE(ConnectionString,ReportMonth,Table1[[#This Row],[Site ID (from DATIM)]],"[Measures].[HVL_D_A]")</f>
        <v>22</v>
      </c>
      <c r="AX55" s="68" vm="9614">
        <f>CUBEVALUE(ConnectionString,ReportMonth,Table1[[#This Row],[Site ID (from DATIM)]],"[Measures].[HVL_N_A]")</f>
        <v>19</v>
      </c>
      <c r="AY55" s="67"/>
      <c r="AZ55" s="67"/>
      <c r="BA55" s="67"/>
      <c r="BB55" s="67"/>
      <c r="BC55" s="67"/>
      <c r="BD55" s="67"/>
      <c r="BE55" s="67"/>
      <c r="BF55" s="67"/>
      <c r="BG55" s="67" vm="16565">
        <f>CUBEVALUE(ConnectionString,ReportMonth,Table1[[#This Row],[Site ID (from DATIM)]],"[Measures].[TX_NEW_F_A]")</f>
        <v>1</v>
      </c>
      <c r="BH55" s="67" vm="15304">
        <f>CUBEVALUE(ConnectionString,ReportMonth,Table1[[#This Row],[Site ID (from DATIM)]],"[Measures].[TX_NEW_M_A]")</f>
        <v>1</v>
      </c>
      <c r="BI55" s="67" t="str" vm="14234">
        <f>CUBEVALUE(ConnectionString,ReportMonth,Table1[[#This Row],[Site ID (from DATIM)]],"[Measures].[TX_NEW_F_P]")</f>
        <v/>
      </c>
      <c r="BJ55" s="68" t="str" vm="14262">
        <f>CUBEVALUE(ConnectionString,ReportMonth,Table1[[#This Row],[Site ID (from DATIM)]],"[Measures].[TX_NEW_M_P]")</f>
        <v/>
      </c>
      <c r="BK55" s="68"/>
      <c r="BL55" s="68"/>
      <c r="BM55" s="68"/>
      <c r="BN55" s="68"/>
      <c r="BO55" s="68"/>
      <c r="BP55" s="68"/>
      <c r="BQ55" s="68" vm="11852">
        <f>CUBEVALUE(ConnectionString,ReportMonth,Table1[[#This Row],[Site ID (from DATIM)]],"[Measures].[TX_CURR_F_P]")</f>
        <v>1</v>
      </c>
      <c r="BR55" s="68" vm="12694">
        <f>CUBEVALUE(ConnectionString,ReportMonth,Table1[[#This Row],[Site ID (from DATIM)]],"[Measures].[TX_CURR_M_P]")</f>
        <v>1</v>
      </c>
      <c r="BS55" s="68" vm="13048">
        <f>CUBEVALUE(ConnectionString,ReportMonth,Table1[[#This Row],[Site ID (from DATIM)]],"[Measures].[TX_CURR_F_A]")</f>
        <v>205</v>
      </c>
      <c r="BT55" s="68" vm="13825">
        <f>CUBEVALUE(ConnectionString,ReportMonth,Table1[[#This Row],[Site ID (from DATIM)]],"[Measures].[TX_CURR_M_A]")</f>
        <v>96</v>
      </c>
      <c r="BU55" s="68" vm="19163">
        <f>CUBEVALUE(ConnectionString,ReportMonth,Table1[[#This Row],[Site ID (from DATIM)]],"[Measures].[MMS_01_89_F_P]")</f>
        <v>1</v>
      </c>
      <c r="BV55" s="68" t="str" vm="20117">
        <f>CUBEVALUE(ConnectionString,ReportMonth,Table1[[#This Row],[Site ID (from DATIM)]],"[Measures].[MMS_01_89_M_P]")</f>
        <v/>
      </c>
      <c r="BW55" s="68" vm="19189">
        <f>CUBEVALUE(ConnectionString,ReportMonth,Table1[[#This Row],[Site ID (from DATIM)]],"[Measures].[MMS_01_89_F_A]")</f>
        <v>188</v>
      </c>
      <c r="BX55" s="68" vm="18614">
        <f>CUBEVALUE(ConnectionString,ReportMonth,Table1[[#This Row],[Site ID (from DATIM)]],"[Measures].[MMS_01_89_M_A]")</f>
        <v>86</v>
      </c>
      <c r="BY55" s="68" t="str" vm="18209">
        <f>CUBEVALUE(ConnectionString,ReportMonth,Table1[[#This Row],[Site ID (from DATIM)]],"[Measures].[MMS_90_179_F_P]")</f>
        <v/>
      </c>
      <c r="BZ55" s="68" vm="18830">
        <f>CUBEVALUE(ConnectionString,ReportMonth,Table1[[#This Row],[Site ID (from DATIM)]],"[Measures].[MMS_90_179_M_P]")</f>
        <v>1</v>
      </c>
      <c r="CA55" s="68" vm="15070">
        <f>CUBEVALUE(ConnectionString,ReportMonth,Table1[[#This Row],[Site ID (from DATIM)]],"[Measures].[MMS_90_179_F_A]")</f>
        <v>17</v>
      </c>
      <c r="CB55" s="68" vm="17592">
        <f>CUBEVALUE(ConnectionString,ReportMonth,Table1[[#This Row],[Site ID (from DATIM)]],"[Measures].[MMS_90_179_M_A]")</f>
        <v>10</v>
      </c>
      <c r="CC55" s="68" t="str" vm="14916">
        <f>CUBEVALUE(ConnectionString,ReportMonth,Table1[[#This Row],[Site ID (from DATIM)]],"[Measures].[MMS_180+_F_P]")</f>
        <v/>
      </c>
      <c r="CD55" s="68" t="str" vm="16771">
        <f>CUBEVALUE(ConnectionString,ReportMonth,Table1[[#This Row],[Site ID (from DATIM)]],"[Measures].[MMS_180+_M_P]")</f>
        <v/>
      </c>
      <c r="CE55" s="68" t="str" vm="16654">
        <f>CUBEVALUE(ConnectionString,ReportMonth,Table1[[#This Row],[Site ID (from DATIM)]],"[Measures].[MMS_180+_F_A]")</f>
        <v/>
      </c>
      <c r="CF55" s="68" t="str" vm="16218">
        <f>CUBEVALUE(ConnectionString,ReportMonth,Table1[[#This Row],[Site ID (from DATIM)]],"[Measures].[MMS_180+_M_A]")</f>
        <v/>
      </c>
      <c r="CG55" s="68" vm="5038">
        <f>CUBEVALUE(ConnectionString,ReportMonth,Table1[[#This Row],[Site ID (from DATIM)]],"[Measures].[MISSEDAPP]")</f>
        <v>83</v>
      </c>
      <c r="CH55" s="68" t="str" vm="10941">
        <f>CUBEVALUE(ConnectionString,ReportMonth,Table1[[#This Row],[Site ID (from DATIM)]],"[Measures].[MMS_180+_P]")</f>
        <v/>
      </c>
      <c r="CI55" s="68" t="str" vm="13035">
        <f>CUBEVALUE(ConnectionString,ReportMonth,Table1[[#This Row],[Site ID (from DATIM)]],"[Measures].[MMS_180+_A]")</f>
        <v/>
      </c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</row>
    <row r="56" spans="1:107" x14ac:dyDescent="0.25">
      <c r="A56" s="66">
        <v>4</v>
      </c>
      <c r="B56" s="67" t="str" vm="4">
        <f t="shared" si="1"/>
        <v>Mar-2021</v>
      </c>
      <c r="C56" s="67"/>
      <c r="D56" s="67" t="s">
        <v>232</v>
      </c>
      <c r="E56" s="67" t="s">
        <v>233</v>
      </c>
      <c r="F56" s="67" t="s">
        <v>234</v>
      </c>
      <c r="G56" s="67"/>
      <c r="H56" s="67" t="s">
        <v>249</v>
      </c>
      <c r="I56" s="67" t="s">
        <v>250</v>
      </c>
      <c r="J56" s="67" t="s">
        <v>251</v>
      </c>
      <c r="K56" s="67" t="s">
        <v>252</v>
      </c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 t="str" vm="1621">
        <f>CUBEVALUE(ConnectionString,ReportMonth,Table1[[#This Row],[Site ID (from DATIM)]],"TX_NEW_2VIS")</f>
        <v/>
      </c>
      <c r="AE56" s="67" t="str" vm="361">
        <f>CUBEVALUE(ConnectionString,ReportMonth,Table1[[#This Row],[Site ID (from DATIM)]],INDEX(SDI_Measures,1))</f>
        <v/>
      </c>
      <c r="AF56" s="67" t="str" vm="1624">
        <f>CUBEVALUE(ConnectionString,ReportMonth,Table1[[#This Row],[Site ID (from DATIM)]],INDEX(SDI_Measures,2))</f>
        <v/>
      </c>
      <c r="AG56" s="67" t="str" vm="447">
        <f>CUBEVALUE(ConnectionString,ReportMonth,Table1[[#This Row],[Site ID (from DATIM)]],INDEX(SDI_Measures,3))</f>
        <v/>
      </c>
      <c r="AH56" s="67" vm="1014">
        <f>CUBEVALUE(ConnectionString,ReportMonth,Table1[[#This Row],[Site ID (from DATIM)]],"TX_CURR_PRIOR_MONTH")</f>
        <v>59</v>
      </c>
      <c r="AI56" s="67" vm="2174">
        <f>CUBEVALUE(ConnectionString,ReportMonth,Table1[[#This Row],[Site ID (from DATIM)]],"TX_CURR")</f>
        <v>55</v>
      </c>
      <c r="AJ56" s="67" t="str" vm="2083">
        <f>CUBEVALUE(ConnectionString,ReportMonth,Table1[[#This Row],[Site ID (from DATIM)]],"[Measures].[TI]")</f>
        <v/>
      </c>
      <c r="AK56" s="67" t="str" vm="2862">
        <f>CUBEVALUE(ConnectionString,ReportMonth,Table1[[#This Row],[Site ID (from DATIM)]],"[Measures].[TO]")</f>
        <v/>
      </c>
      <c r="AL56" s="67" t="str" vm="4230">
        <f>CUBEVALUE(ConnectionString,ReportMonth,Table1[[#This Row],[Site ID (from DATIM)]],"[Measures].[DIED]")</f>
        <v/>
      </c>
      <c r="AM56" s="67" vm="4421">
        <f>CUBEVALUE(ConnectionString,ReportMonth,Table1[[#This Row],[Site ID (from DATIM)]],"[Measures].[MMS_01_31]")</f>
        <v>11</v>
      </c>
      <c r="AN56" s="67" vm="12961">
        <f>CUBEVALUE(ConnectionString,ReportMonth,Table1[[#This Row],[Site ID (from DATIM)]],"[Measures].[MMS_32_62]")</f>
        <v>12</v>
      </c>
      <c r="AO56" s="67" vm="10005">
        <f>CUBEVALUE(ConnectionString,ReportMonth,Table1[[#This Row],[Site ID (from DATIM)]],"[Measures].[MMS_63+]")</f>
        <v>32</v>
      </c>
      <c r="AP56" s="67" vm="4605">
        <f>CUBEVALUE(ConnectionString,ReportMonth,Table1[[#This Row],[Site ID (from DATIM)]],"[Measures].[TBPREV_D]")</f>
        <v>2</v>
      </c>
      <c r="AQ56" s="67" vm="7057">
        <f>CUBEVALUE(ConnectionString,ReportMonth,Table1[[#This Row],[Site ID (from DATIM)]],"[Measures].[TBPREV_N]")</f>
        <v>1</v>
      </c>
      <c r="AR56" s="67" t="str" vm="9865">
        <f>CUBEVALUE(ConnectionString,ReportMonth,Table1[[#This Row],[Site ID (from DATIM)]],"[Measures].[TBPREV_NEW]")</f>
        <v/>
      </c>
      <c r="AS56" s="67" vm="5708">
        <f>CUBEVALUE(ConnectionString,ReportMonth,Table1[[#This Row],[Site ID (from DATIM)]],"[Measures].[HVL_ELIG_P]")</f>
        <v>5</v>
      </c>
      <c r="AT56" s="67" vm="9837">
        <f>CUBEVALUE(ConnectionString,ReportMonth,Table1[[#This Row],[Site ID (from DATIM)]],"[Measures].[HVL_D_P]")</f>
        <v>4</v>
      </c>
      <c r="AU56" s="67" vm="9618">
        <f>CUBEVALUE(ConnectionString,ReportMonth,Table1[[#This Row],[Site ID (from DATIM)]],"[Measures].[HVL_N_P]")</f>
        <v>4</v>
      </c>
      <c r="AV56" s="68" vm="10508">
        <f>CUBEVALUE(ConnectionString,ReportMonth,Table1[[#This Row],[Site ID (from DATIM)]],"[Measures].[HVL_ELIG_A]")</f>
        <v>48</v>
      </c>
      <c r="AW56" s="68" vm="9680">
        <f>CUBEVALUE(ConnectionString,ReportMonth,Table1[[#This Row],[Site ID (from DATIM)]],"[Measures].[HVL_D_A]")</f>
        <v>21</v>
      </c>
      <c r="AX56" s="68" vm="12667">
        <f>CUBEVALUE(ConnectionString,ReportMonth,Table1[[#This Row],[Site ID (from DATIM)]],"[Measures].[HVL_N_A]")</f>
        <v>18</v>
      </c>
      <c r="AY56" s="67"/>
      <c r="AZ56" s="67"/>
      <c r="BA56" s="67"/>
      <c r="BB56" s="67"/>
      <c r="BC56" s="67"/>
      <c r="BD56" s="67"/>
      <c r="BE56" s="67"/>
      <c r="BF56" s="67"/>
      <c r="BG56" s="67" t="str" vm="13352">
        <f>CUBEVALUE(ConnectionString,ReportMonth,Table1[[#This Row],[Site ID (from DATIM)]],"[Measures].[TX_NEW_F_A]")</f>
        <v/>
      </c>
      <c r="BH56" s="67" t="str" vm="10871">
        <f>CUBEVALUE(ConnectionString,ReportMonth,Table1[[#This Row],[Site ID (from DATIM)]],"[Measures].[TX_NEW_M_A]")</f>
        <v/>
      </c>
      <c r="BI56" s="67" t="str" vm="14404">
        <f>CUBEVALUE(ConnectionString,ReportMonth,Table1[[#This Row],[Site ID (from DATIM)]],"[Measures].[TX_NEW_F_P]")</f>
        <v/>
      </c>
      <c r="BJ56" s="68" t="str" vm="17077">
        <f>CUBEVALUE(ConnectionString,ReportMonth,Table1[[#This Row],[Site ID (from DATIM)]],"[Measures].[TX_NEW_M_P]")</f>
        <v/>
      </c>
      <c r="BK56" s="68"/>
      <c r="BL56" s="68"/>
      <c r="BM56" s="68"/>
      <c r="BN56" s="68"/>
      <c r="BO56" s="68"/>
      <c r="BP56" s="68"/>
      <c r="BQ56" s="68" vm="9117">
        <f>CUBEVALUE(ConnectionString,ReportMonth,Table1[[#This Row],[Site ID (from DATIM)]],"[Measures].[TX_CURR_F_P]")</f>
        <v>2</v>
      </c>
      <c r="BR56" s="68" vm="11125">
        <f>CUBEVALUE(ConnectionString,ReportMonth,Table1[[#This Row],[Site ID (from DATIM)]],"[Measures].[TX_CURR_M_P]")</f>
        <v>4</v>
      </c>
      <c r="BS56" s="68" vm="10444">
        <f>CUBEVALUE(ConnectionString,ReportMonth,Table1[[#This Row],[Site ID (from DATIM)]],"[Measures].[TX_CURR_F_A]")</f>
        <v>32</v>
      </c>
      <c r="BT56" s="68" vm="10702">
        <f>CUBEVALUE(ConnectionString,ReportMonth,Table1[[#This Row],[Site ID (from DATIM)]],"[Measures].[TX_CURR_M_A]")</f>
        <v>17</v>
      </c>
      <c r="BU56" s="68" vm="18739">
        <f>CUBEVALUE(ConnectionString,ReportMonth,Table1[[#This Row],[Site ID (from DATIM)]],"[Measures].[MMS_01_89_F_P]")</f>
        <v>2</v>
      </c>
      <c r="BV56" s="68" vm="18049">
        <f>CUBEVALUE(ConnectionString,ReportMonth,Table1[[#This Row],[Site ID (from DATIM)]],"[Measures].[MMS_01_89_M_P]")</f>
        <v>4</v>
      </c>
      <c r="BW56" s="68" vm="19714">
        <f>CUBEVALUE(ConnectionString,ReportMonth,Table1[[#This Row],[Site ID (from DATIM)]],"[Measures].[MMS_01_89_F_A]")</f>
        <v>11</v>
      </c>
      <c r="BX56" s="68" vm="19670">
        <f>CUBEVALUE(ConnectionString,ReportMonth,Table1[[#This Row],[Site ID (from DATIM)]],"[Measures].[MMS_01_89_M_A]")</f>
        <v>6</v>
      </c>
      <c r="BY56" s="68" t="str" vm="19320">
        <f>CUBEVALUE(ConnectionString,ReportMonth,Table1[[#This Row],[Site ID (from DATIM)]],"[Measures].[MMS_90_179_F_P]")</f>
        <v/>
      </c>
      <c r="BZ56" s="68" t="str" vm="19879">
        <f>CUBEVALUE(ConnectionString,ReportMonth,Table1[[#This Row],[Site ID (from DATIM)]],"[Measures].[MMS_90_179_M_P]")</f>
        <v/>
      </c>
      <c r="CA56" s="68" vm="15952">
        <f>CUBEVALUE(ConnectionString,ReportMonth,Table1[[#This Row],[Site ID (from DATIM)]],"[Measures].[MMS_90_179_F_A]")</f>
        <v>21</v>
      </c>
      <c r="CB56" s="68" vm="15902">
        <f>CUBEVALUE(ConnectionString,ReportMonth,Table1[[#This Row],[Site ID (from DATIM)]],"[Measures].[MMS_90_179_M_A]")</f>
        <v>11</v>
      </c>
      <c r="CC56" s="68" t="str" vm="15104">
        <f>CUBEVALUE(ConnectionString,ReportMonth,Table1[[#This Row],[Site ID (from DATIM)]],"[Measures].[MMS_180+_F_P]")</f>
        <v/>
      </c>
      <c r="CD56" s="68" t="str" vm="16730">
        <f>CUBEVALUE(ConnectionString,ReportMonth,Table1[[#This Row],[Site ID (from DATIM)]],"[Measures].[MMS_180+_M_P]")</f>
        <v/>
      </c>
      <c r="CE56" s="68" t="str" vm="17515">
        <f>CUBEVALUE(ConnectionString,ReportMonth,Table1[[#This Row],[Site ID (from DATIM)]],"[Measures].[MMS_180+_F_A]")</f>
        <v/>
      </c>
      <c r="CF56" s="68" t="str" vm="14954">
        <f>CUBEVALUE(ConnectionString,ReportMonth,Table1[[#This Row],[Site ID (from DATIM)]],"[Measures].[MMS_180+_M_A]")</f>
        <v/>
      </c>
      <c r="CG56" s="68" vm="13993">
        <f>CUBEVALUE(ConnectionString,ReportMonth,Table1[[#This Row],[Site ID (from DATIM)]],"[Measures].[MISSEDAPP]")</f>
        <v>19</v>
      </c>
      <c r="CH56" s="68" t="str" vm="12928">
        <f>CUBEVALUE(ConnectionString,ReportMonth,Table1[[#This Row],[Site ID (from DATIM)]],"[Measures].[MMS_180+_P]")</f>
        <v/>
      </c>
      <c r="CI56" s="68" t="str" vm="10843">
        <f>CUBEVALUE(ConnectionString,ReportMonth,Table1[[#This Row],[Site ID (from DATIM)]],"[Measures].[MMS_180+_A]")</f>
        <v/>
      </c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</row>
    <row r="57" spans="1:107" x14ac:dyDescent="0.25">
      <c r="A57" s="66">
        <v>1</v>
      </c>
      <c r="B57" s="67" t="str" vm="4">
        <f t="shared" si="1"/>
        <v>Mar-2021</v>
      </c>
      <c r="C57" s="67"/>
      <c r="D57" s="67" t="s">
        <v>232</v>
      </c>
      <c r="E57" s="67" t="s">
        <v>233</v>
      </c>
      <c r="F57" s="67" t="s">
        <v>437</v>
      </c>
      <c r="G57" s="67"/>
      <c r="H57" s="67" t="s">
        <v>438</v>
      </c>
      <c r="I57" s="67" t="s">
        <v>439</v>
      </c>
      <c r="J57" s="67" t="s">
        <v>526</v>
      </c>
      <c r="K57" s="67" t="s">
        <v>527</v>
      </c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 vm="5663">
        <f>CUBEVALUE(ConnectionString,ReportMonth,Table1[[#This Row],[Site ID (from DATIM)]],"TX_NEW_2VIS")</f>
        <v>18</v>
      </c>
      <c r="AE57" s="67" vm="4278">
        <f>CUBEVALUE(ConnectionString,ReportMonth,Table1[[#This Row],[Site ID (from DATIM)]],INDEX(SDI_Measures,1))</f>
        <v>22</v>
      </c>
      <c r="AF57" s="67" t="str" vm="3960">
        <f>CUBEVALUE(ConnectionString,ReportMonth,Table1[[#This Row],[Site ID (from DATIM)]],INDEX(SDI_Measures,2))</f>
        <v/>
      </c>
      <c r="AG57" s="67" vm="595">
        <f>CUBEVALUE(ConnectionString,ReportMonth,Table1[[#This Row],[Site ID (from DATIM)]],INDEX(SDI_Measures,3))</f>
        <v>1</v>
      </c>
      <c r="AH57" s="67" vm="710">
        <f>CUBEVALUE(ConnectionString,ReportMonth,Table1[[#This Row],[Site ID (from DATIM)]],"TX_CURR_PRIOR_MONTH")</f>
        <v>3764</v>
      </c>
      <c r="AI57" s="67" vm="1588">
        <f>CUBEVALUE(ConnectionString,ReportMonth,Table1[[#This Row],[Site ID (from DATIM)]],"TX_CURR")</f>
        <v>3649</v>
      </c>
      <c r="AJ57" s="67" vm="2590">
        <f>CUBEVALUE(ConnectionString,ReportMonth,Table1[[#This Row],[Site ID (from DATIM)]],"[Measures].[TI]")</f>
        <v>8</v>
      </c>
      <c r="AK57" s="67" vm="2356">
        <f>CUBEVALUE(ConnectionString,ReportMonth,Table1[[#This Row],[Site ID (from DATIM)]],"[Measures].[TO]")</f>
        <v>5</v>
      </c>
      <c r="AL57" s="67" vm="1870">
        <f>CUBEVALUE(ConnectionString,ReportMonth,Table1[[#This Row],[Site ID (from DATIM)]],"[Measures].[DIED]")</f>
        <v>1</v>
      </c>
      <c r="AM57" s="67" vm="7801">
        <f>CUBEVALUE(ConnectionString,ReportMonth,Table1[[#This Row],[Site ID (from DATIM)]],"[Measures].[MMS_01_31]")</f>
        <v>293</v>
      </c>
      <c r="AN57" s="67" vm="9584">
        <f>CUBEVALUE(ConnectionString,ReportMonth,Table1[[#This Row],[Site ID (from DATIM)]],"[Measures].[MMS_32_62]")</f>
        <v>242</v>
      </c>
      <c r="AO57" s="67" vm="7702">
        <f>CUBEVALUE(ConnectionString,ReportMonth,Table1[[#This Row],[Site ID (from DATIM)]],"[Measures].[MMS_63+]")</f>
        <v>3114</v>
      </c>
      <c r="AP57" s="67" vm="6485">
        <f>CUBEVALUE(ConnectionString,ReportMonth,Table1[[#This Row],[Site ID (from DATIM)]],"[Measures].[TBPREV_D]")</f>
        <v>50</v>
      </c>
      <c r="AQ57" s="67" vm="6028">
        <f>CUBEVALUE(ConnectionString,ReportMonth,Table1[[#This Row],[Site ID (from DATIM)]],"[Measures].[TBPREV_N]")</f>
        <v>37</v>
      </c>
      <c r="AR57" s="67" vm="4830">
        <f>CUBEVALUE(ConnectionString,ReportMonth,Table1[[#This Row],[Site ID (from DATIM)]],"[Measures].[TBPREV_NEW]")</f>
        <v>9</v>
      </c>
      <c r="AS57" s="67" vm="6929">
        <f>CUBEVALUE(ConnectionString,ReportMonth,Table1[[#This Row],[Site ID (from DATIM)]],"[Measures].[HVL_ELIG_P]")</f>
        <v>115</v>
      </c>
      <c r="AT57" s="67" vm="6230">
        <f>CUBEVALUE(ConnectionString,ReportMonth,Table1[[#This Row],[Site ID (from DATIM)]],"[Measures].[HVL_D_P]")</f>
        <v>126</v>
      </c>
      <c r="AU57" s="67" vm="8550">
        <f>CUBEVALUE(ConnectionString,ReportMonth,Table1[[#This Row],[Site ID (from DATIM)]],"[Measures].[HVL_N_P]")</f>
        <v>112</v>
      </c>
      <c r="AV57" s="68" vm="12370">
        <f>CUBEVALUE(ConnectionString,ReportMonth,Table1[[#This Row],[Site ID (from DATIM)]],"[Measures].[HVL_ELIG_A]")</f>
        <v>3221</v>
      </c>
      <c r="AW57" s="68" vm="7007">
        <f>CUBEVALUE(ConnectionString,ReportMonth,Table1[[#This Row],[Site ID (from DATIM)]],"[Measures].[HVL_D_A]")</f>
        <v>2916</v>
      </c>
      <c r="AX57" s="68" vm="8043">
        <f>CUBEVALUE(ConnectionString,ReportMonth,Table1[[#This Row],[Site ID (from DATIM)]],"[Measures].[HVL_N_A]")</f>
        <v>2809</v>
      </c>
      <c r="AY57" s="67"/>
      <c r="AZ57" s="67"/>
      <c r="BA57" s="67"/>
      <c r="BB57" s="67"/>
      <c r="BC57" s="67"/>
      <c r="BD57" s="67"/>
      <c r="BE57" s="67"/>
      <c r="BF57" s="67"/>
      <c r="BG57" s="67" vm="11180">
        <f>CUBEVALUE(ConnectionString,ReportMonth,Table1[[#This Row],[Site ID (from DATIM)]],"[Measures].[TX_NEW_F_A]")</f>
        <v>15</v>
      </c>
      <c r="BH57" s="67" vm="10678">
        <f>CUBEVALUE(ConnectionString,ReportMonth,Table1[[#This Row],[Site ID (from DATIM)]],"[Measures].[TX_NEW_M_A]")</f>
        <v>7</v>
      </c>
      <c r="BI57" s="67" t="str" vm="13155">
        <f>CUBEVALUE(ConnectionString,ReportMonth,Table1[[#This Row],[Site ID (from DATIM)]],"[Measures].[TX_NEW_F_P]")</f>
        <v/>
      </c>
      <c r="BJ57" s="68" vm="13481">
        <f>CUBEVALUE(ConnectionString,ReportMonth,Table1[[#This Row],[Site ID (from DATIM)]],"[Measures].[TX_NEW_M_P]")</f>
        <v>1</v>
      </c>
      <c r="BK57" s="68"/>
      <c r="BL57" s="68"/>
      <c r="BM57" s="68"/>
      <c r="BN57" s="68"/>
      <c r="BO57" s="68"/>
      <c r="BP57" s="68"/>
      <c r="BQ57" s="68" vm="8561">
        <f>CUBEVALUE(ConnectionString,ReportMonth,Table1[[#This Row],[Site ID (from DATIM)]],"[Measures].[TX_CURR_F_P]")</f>
        <v>56</v>
      </c>
      <c r="BR57" s="68" vm="13550">
        <f>CUBEVALUE(ConnectionString,ReportMonth,Table1[[#This Row],[Site ID (from DATIM)]],"[Measures].[TX_CURR_M_P]")</f>
        <v>68</v>
      </c>
      <c r="BS57" s="68" vm="7047">
        <f>CUBEVALUE(ConnectionString,ReportMonth,Table1[[#This Row],[Site ID (from DATIM)]],"[Measures].[TX_CURR_F_A]")</f>
        <v>2429</v>
      </c>
      <c r="BT57" s="68" vm="13984">
        <f>CUBEVALUE(ConnectionString,ReportMonth,Table1[[#This Row],[Site ID (from DATIM)]],"[Measures].[TX_CURR_M_A]")</f>
        <v>1096</v>
      </c>
      <c r="BU57" s="68" vm="18979">
        <f>CUBEVALUE(ConnectionString,ReportMonth,Table1[[#This Row],[Site ID (from DATIM)]],"[Measures].[MMS_01_89_F_P]")</f>
        <v>15</v>
      </c>
      <c r="BV57" s="68" vm="18743">
        <f>CUBEVALUE(ConnectionString,ReportMonth,Table1[[#This Row],[Site ID (from DATIM)]],"[Measures].[MMS_01_89_M_P]")</f>
        <v>24</v>
      </c>
      <c r="BW57" s="68" vm="19960">
        <f>CUBEVALUE(ConnectionString,ReportMonth,Table1[[#This Row],[Site ID (from DATIM)]],"[Measures].[MMS_01_89_F_A]")</f>
        <v>356</v>
      </c>
      <c r="BX57" s="68" vm="18234">
        <f>CUBEVALUE(ConnectionString,ReportMonth,Table1[[#This Row],[Site ID (from DATIM)]],"[Measures].[MMS_01_89_M_A]")</f>
        <v>142</v>
      </c>
      <c r="BY57" s="68" vm="16083">
        <f>CUBEVALUE(ConnectionString,ReportMonth,Table1[[#This Row],[Site ID (from DATIM)]],"[Measures].[MMS_90_179_F_P]")</f>
        <v>41</v>
      </c>
      <c r="BZ57" s="68" vm="16467">
        <f>CUBEVALUE(ConnectionString,ReportMonth,Table1[[#This Row],[Site ID (from DATIM)]],"[Measures].[MMS_90_179_M_P]")</f>
        <v>44</v>
      </c>
      <c r="CA57" s="68" vm="18462">
        <f>CUBEVALUE(ConnectionString,ReportMonth,Table1[[#This Row],[Site ID (from DATIM)]],"[Measures].[MMS_90_179_F_A]")</f>
        <v>2072</v>
      </c>
      <c r="CB57" s="68" vm="15130">
        <f>CUBEVALUE(ConnectionString,ReportMonth,Table1[[#This Row],[Site ID (from DATIM)]],"[Measures].[MMS_90_179_M_A]")</f>
        <v>954</v>
      </c>
      <c r="CC57" s="68" t="str" vm="16801">
        <f>CUBEVALUE(ConnectionString,ReportMonth,Table1[[#This Row],[Site ID (from DATIM)]],"[Measures].[MMS_180+_F_P]")</f>
        <v/>
      </c>
      <c r="CD57" s="68" t="str" vm="16367">
        <f>CUBEVALUE(ConnectionString,ReportMonth,Table1[[#This Row],[Site ID (from DATIM)]],"[Measures].[MMS_180+_M_P]")</f>
        <v/>
      </c>
      <c r="CE57" s="68" vm="16304">
        <f>CUBEVALUE(ConnectionString,ReportMonth,Table1[[#This Row],[Site ID (from DATIM)]],"[Measures].[MMS_180+_F_A]")</f>
        <v>1</v>
      </c>
      <c r="CF57" s="68" t="str" vm="16">
        <f>CUBEVALUE(ConnectionString,ReportMonth,Table1[[#This Row],[Site ID (from DATIM)]],"[Measures].[MMS_180+_M_A]")</f>
        <v/>
      </c>
      <c r="CG57" s="68" vm="7895">
        <f>CUBEVALUE(ConnectionString,ReportMonth,Table1[[#This Row],[Site ID (from DATIM)]],"[Measures].[MISSEDAPP]")</f>
        <v>692</v>
      </c>
      <c r="CH57" s="68" t="str" vm="10694">
        <f>CUBEVALUE(ConnectionString,ReportMonth,Table1[[#This Row],[Site ID (from DATIM)]],"[Measures].[MMS_180+_P]")</f>
        <v/>
      </c>
      <c r="CI57" s="68" vm="14352">
        <f>CUBEVALUE(ConnectionString,ReportMonth,Table1[[#This Row],[Site ID (from DATIM)]],"[Measures].[MMS_180+_A]")</f>
        <v>1</v>
      </c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</row>
    <row r="58" spans="1:107" x14ac:dyDescent="0.25">
      <c r="A58" s="66">
        <v>4</v>
      </c>
      <c r="B58" s="67" t="str" vm="4">
        <f t="shared" si="1"/>
        <v>Mar-2021</v>
      </c>
      <c r="C58" s="67"/>
      <c r="D58" s="67" t="s">
        <v>232</v>
      </c>
      <c r="E58" s="67" t="s">
        <v>233</v>
      </c>
      <c r="F58" s="67" t="s">
        <v>1286</v>
      </c>
      <c r="G58" s="67"/>
      <c r="H58" s="67" t="s">
        <v>1296</v>
      </c>
      <c r="I58" s="67" t="s">
        <v>1297</v>
      </c>
      <c r="J58" s="67" t="s">
        <v>1298</v>
      </c>
      <c r="K58" s="67" t="s">
        <v>1299</v>
      </c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 t="str" vm="2597">
        <f>CUBEVALUE(ConnectionString,ReportMonth,Table1[[#This Row],[Site ID (from DATIM)]],"TX_NEW_2VIS")</f>
        <v/>
      </c>
      <c r="AE58" s="67" t="str" vm="980">
        <f>CUBEVALUE(ConnectionString,ReportMonth,Table1[[#This Row],[Site ID (from DATIM)]],INDEX(SDI_Measures,1))</f>
        <v/>
      </c>
      <c r="AF58" s="67" t="str" vm="1573">
        <f>CUBEVALUE(ConnectionString,ReportMonth,Table1[[#This Row],[Site ID (from DATIM)]],INDEX(SDI_Measures,2))</f>
        <v/>
      </c>
      <c r="AG58" s="67" t="str" vm="175">
        <f>CUBEVALUE(ConnectionString,ReportMonth,Table1[[#This Row],[Site ID (from DATIM)]],INDEX(SDI_Measures,3))</f>
        <v/>
      </c>
      <c r="AH58" s="67" t="str" vm="2891">
        <f>CUBEVALUE(ConnectionString,ReportMonth,Table1[[#This Row],[Site ID (from DATIM)]],"TX_CURR_PRIOR_MONTH")</f>
        <v/>
      </c>
      <c r="AI58" s="67" t="str" vm="1827">
        <f>CUBEVALUE(ConnectionString,ReportMonth,Table1[[#This Row],[Site ID (from DATIM)]],"TX_CURR")</f>
        <v/>
      </c>
      <c r="AJ58" s="67" t="str" vm="3212">
        <f>CUBEVALUE(ConnectionString,ReportMonth,Table1[[#This Row],[Site ID (from DATIM)]],"[Measures].[TI]")</f>
        <v/>
      </c>
      <c r="AK58" s="67" t="str" vm="3447">
        <f>CUBEVALUE(ConnectionString,ReportMonth,Table1[[#This Row],[Site ID (from DATIM)]],"[Measures].[TO]")</f>
        <v/>
      </c>
      <c r="AL58" s="67" t="str" vm="2075">
        <f>CUBEVALUE(ConnectionString,ReportMonth,Table1[[#This Row],[Site ID (from DATIM)]],"[Measures].[DIED]")</f>
        <v/>
      </c>
      <c r="AM58" s="67" t="str" vm="7352">
        <f>CUBEVALUE(ConnectionString,ReportMonth,Table1[[#This Row],[Site ID (from DATIM)]],"[Measures].[MMS_01_31]")</f>
        <v/>
      </c>
      <c r="AN58" s="67" t="str" vm="4871">
        <f>CUBEVALUE(ConnectionString,ReportMonth,Table1[[#This Row],[Site ID (from DATIM)]],"[Measures].[MMS_32_62]")</f>
        <v/>
      </c>
      <c r="AO58" s="67" t="str" vm="6108">
        <f>CUBEVALUE(ConnectionString,ReportMonth,Table1[[#This Row],[Site ID (from DATIM)]],"[Measures].[MMS_63+]")</f>
        <v/>
      </c>
      <c r="AP58" s="67" t="str" vm="7554">
        <f>CUBEVALUE(ConnectionString,ReportMonth,Table1[[#This Row],[Site ID (from DATIM)]],"[Measures].[TBPREV_D]")</f>
        <v/>
      </c>
      <c r="AQ58" s="67" t="str" vm="5466">
        <f>CUBEVALUE(ConnectionString,ReportMonth,Table1[[#This Row],[Site ID (from DATIM)]],"[Measures].[TBPREV_N]")</f>
        <v/>
      </c>
      <c r="AR58" s="67" t="str" vm="6980">
        <f>CUBEVALUE(ConnectionString,ReportMonth,Table1[[#This Row],[Site ID (from DATIM)]],"[Measures].[TBPREV_NEW]")</f>
        <v/>
      </c>
      <c r="AS58" s="67" t="str" vm="5450">
        <f>CUBEVALUE(ConnectionString,ReportMonth,Table1[[#This Row],[Site ID (from DATIM)]],"[Measures].[HVL_ELIG_P]")</f>
        <v/>
      </c>
      <c r="AT58" s="67" t="str" vm="7494">
        <f>CUBEVALUE(ConnectionString,ReportMonth,Table1[[#This Row],[Site ID (from DATIM)]],"[Measures].[HVL_D_P]")</f>
        <v/>
      </c>
      <c r="AU58" s="67" t="str" vm="8081">
        <f>CUBEVALUE(ConnectionString,ReportMonth,Table1[[#This Row],[Site ID (from DATIM)]],"[Measures].[HVL_N_P]")</f>
        <v/>
      </c>
      <c r="AV58" s="68" t="str" vm="10810">
        <f>CUBEVALUE(ConnectionString,ReportMonth,Table1[[#This Row],[Site ID (from DATIM)]],"[Measures].[HVL_ELIG_A]")</f>
        <v/>
      </c>
      <c r="AW58" s="68" t="str" vm="8587">
        <f>CUBEVALUE(ConnectionString,ReportMonth,Table1[[#This Row],[Site ID (from DATIM)]],"[Measures].[HVL_D_A]")</f>
        <v/>
      </c>
      <c r="AX58" s="68" t="str" vm="8935">
        <f>CUBEVALUE(ConnectionString,ReportMonth,Table1[[#This Row],[Site ID (from DATIM)]],"[Measures].[HVL_N_A]")</f>
        <v/>
      </c>
      <c r="AY58" s="67"/>
      <c r="AZ58" s="67"/>
      <c r="BA58" s="67"/>
      <c r="BB58" s="67"/>
      <c r="BC58" s="67"/>
      <c r="BD58" s="67"/>
      <c r="BE58" s="67"/>
      <c r="BF58" s="67"/>
      <c r="BG58" s="67" t="str" vm="13835">
        <f>CUBEVALUE(ConnectionString,ReportMonth,Table1[[#This Row],[Site ID (from DATIM)]],"[Measures].[TX_NEW_F_A]")</f>
        <v/>
      </c>
      <c r="BH58" s="67" t="str" vm="13357">
        <f>CUBEVALUE(ConnectionString,ReportMonth,Table1[[#This Row],[Site ID (from DATIM)]],"[Measures].[TX_NEW_M_A]")</f>
        <v/>
      </c>
      <c r="BI58" s="67" t="str" vm="13530">
        <f>CUBEVALUE(ConnectionString,ReportMonth,Table1[[#This Row],[Site ID (from DATIM)]],"[Measures].[TX_NEW_F_P]")</f>
        <v/>
      </c>
      <c r="BJ58" s="68" t="str" vm="14242">
        <f>CUBEVALUE(ConnectionString,ReportMonth,Table1[[#This Row],[Site ID (from DATIM)]],"[Measures].[TX_NEW_M_P]")</f>
        <v/>
      </c>
      <c r="BK58" s="68"/>
      <c r="BL58" s="68"/>
      <c r="BM58" s="68"/>
      <c r="BN58" s="68"/>
      <c r="BO58" s="68"/>
      <c r="BP58" s="68"/>
      <c r="BQ58" s="68" t="str" vm="6596">
        <f>CUBEVALUE(ConnectionString,ReportMonth,Table1[[#This Row],[Site ID (from DATIM)]],"[Measures].[TX_CURR_F_P]")</f>
        <v/>
      </c>
      <c r="BR58" s="68" t="str" vm="7294">
        <f>CUBEVALUE(ConnectionString,ReportMonth,Table1[[#This Row],[Site ID (from DATIM)]],"[Measures].[TX_CURR_M_P]")</f>
        <v/>
      </c>
      <c r="BS58" s="68" t="str" vm="8490">
        <f>CUBEVALUE(ConnectionString,ReportMonth,Table1[[#This Row],[Site ID (from DATIM)]],"[Measures].[TX_CURR_F_A]")</f>
        <v/>
      </c>
      <c r="BT58" s="68" t="str" vm="8335">
        <f>CUBEVALUE(ConnectionString,ReportMonth,Table1[[#This Row],[Site ID (from DATIM)]],"[Measures].[TX_CURR_M_A]")</f>
        <v/>
      </c>
      <c r="BU58" s="68" t="str" vm="19548">
        <f>CUBEVALUE(ConnectionString,ReportMonth,Table1[[#This Row],[Site ID (from DATIM)]],"[Measures].[MMS_01_89_F_P]")</f>
        <v/>
      </c>
      <c r="BV58" s="68" t="str" vm="19510">
        <f>CUBEVALUE(ConnectionString,ReportMonth,Table1[[#This Row],[Site ID (from DATIM)]],"[Measures].[MMS_01_89_M_P]")</f>
        <v/>
      </c>
      <c r="BW58" s="68" t="str" vm="18066">
        <f>CUBEVALUE(ConnectionString,ReportMonth,Table1[[#This Row],[Site ID (from DATIM)]],"[Measures].[MMS_01_89_F_A]")</f>
        <v/>
      </c>
      <c r="BX58" s="68" t="str" vm="14766">
        <f>CUBEVALUE(ConnectionString,ReportMonth,Table1[[#This Row],[Site ID (from DATIM)]],"[Measures].[MMS_01_89_M_A]")</f>
        <v/>
      </c>
      <c r="BY58" s="68" t="str" vm="16946">
        <f>CUBEVALUE(ConnectionString,ReportMonth,Table1[[#This Row],[Site ID (from DATIM)]],"[Measures].[MMS_90_179_F_P]")</f>
        <v/>
      </c>
      <c r="BZ58" s="68" t="str" vm="17820">
        <f>CUBEVALUE(ConnectionString,ReportMonth,Table1[[#This Row],[Site ID (from DATIM)]],"[Measures].[MMS_90_179_M_P]")</f>
        <v/>
      </c>
      <c r="CA58" s="68" t="str" vm="15885">
        <f>CUBEVALUE(ConnectionString,ReportMonth,Table1[[#This Row],[Site ID (from DATIM)]],"[Measures].[MMS_90_179_F_A]")</f>
        <v/>
      </c>
      <c r="CB58" s="68" t="str" vm="16875">
        <f>CUBEVALUE(ConnectionString,ReportMonth,Table1[[#This Row],[Site ID (from DATIM)]],"[Measures].[MMS_90_179_M_A]")</f>
        <v/>
      </c>
      <c r="CC58" s="68" t="str" vm="17258">
        <f>CUBEVALUE(ConnectionString,ReportMonth,Table1[[#This Row],[Site ID (from DATIM)]],"[Measures].[MMS_180+_F_P]")</f>
        <v/>
      </c>
      <c r="CD58" s="68" t="str" vm="322">
        <f>CUBEVALUE(ConnectionString,ReportMonth,Table1[[#This Row],[Site ID (from DATIM)]],"[Measures].[MMS_180+_M_P]")</f>
        <v/>
      </c>
      <c r="CE58" s="68" t="str" vm="17180">
        <f>CUBEVALUE(ConnectionString,ReportMonth,Table1[[#This Row],[Site ID (from DATIM)]],"[Measures].[MMS_180+_F_A]")</f>
        <v/>
      </c>
      <c r="CF58" s="68" t="str" vm="17102">
        <f>CUBEVALUE(ConnectionString,ReportMonth,Table1[[#This Row],[Site ID (from DATIM)]],"[Measures].[MMS_180+_M_A]")</f>
        <v/>
      </c>
      <c r="CG58" s="68" t="str" vm="4635">
        <f>CUBEVALUE(ConnectionString,ReportMonth,Table1[[#This Row],[Site ID (from DATIM)]],"[Measures].[MISSEDAPP]")</f>
        <v/>
      </c>
      <c r="CH58" s="68" t="str" vm="11221">
        <f>CUBEVALUE(ConnectionString,ReportMonth,Table1[[#This Row],[Site ID (from DATIM)]],"[Measures].[MMS_180+_P]")</f>
        <v/>
      </c>
      <c r="CI58" s="68" t="str" vm="12978">
        <f>CUBEVALUE(ConnectionString,ReportMonth,Table1[[#This Row],[Site ID (from DATIM)]],"[Measures].[MMS_180+_A]")</f>
        <v/>
      </c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</row>
    <row r="59" spans="1:107" x14ac:dyDescent="0.25">
      <c r="A59" s="66">
        <v>4</v>
      </c>
      <c r="B59" s="67" t="str" vm="4">
        <f t="shared" si="1"/>
        <v>Mar-2021</v>
      </c>
      <c r="C59" s="67"/>
      <c r="D59" s="67" t="s">
        <v>232</v>
      </c>
      <c r="E59" s="67" t="s">
        <v>233</v>
      </c>
      <c r="F59" s="67" t="s">
        <v>1083</v>
      </c>
      <c r="G59" s="67"/>
      <c r="H59" s="67" t="s">
        <v>1084</v>
      </c>
      <c r="I59" s="67" t="s">
        <v>1123</v>
      </c>
      <c r="J59" s="67" t="s">
        <v>1124</v>
      </c>
      <c r="K59" s="67" t="s">
        <v>1125</v>
      </c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 t="str" vm="1398">
        <f>CUBEVALUE(ConnectionString,ReportMonth,Table1[[#This Row],[Site ID (from DATIM)]],"TX_NEW_2VIS")</f>
        <v/>
      </c>
      <c r="AE59" s="67" t="str" vm="3104">
        <f>CUBEVALUE(ConnectionString,ReportMonth,Table1[[#This Row],[Site ID (from DATIM)]],INDEX(SDI_Measures,1))</f>
        <v/>
      </c>
      <c r="AF59" s="67" t="str" vm="977">
        <f>CUBEVALUE(ConnectionString,ReportMonth,Table1[[#This Row],[Site ID (from DATIM)]],INDEX(SDI_Measures,2))</f>
        <v/>
      </c>
      <c r="AG59" s="67" t="str" vm="3149">
        <f>CUBEVALUE(ConnectionString,ReportMonth,Table1[[#This Row],[Site ID (from DATIM)]],INDEX(SDI_Measures,3))</f>
        <v/>
      </c>
      <c r="AH59" s="67" vm="1634">
        <f>CUBEVALUE(ConnectionString,ReportMonth,Table1[[#This Row],[Site ID (from DATIM)]],"TX_CURR_PRIOR_MONTH")</f>
        <v>88</v>
      </c>
      <c r="AI59" s="67" vm="3824">
        <f>CUBEVALUE(ConnectionString,ReportMonth,Table1[[#This Row],[Site ID (from DATIM)]],"TX_CURR")</f>
        <v>34</v>
      </c>
      <c r="AJ59" s="67" t="str" vm="1654">
        <f>CUBEVALUE(ConnectionString,ReportMonth,Table1[[#This Row],[Site ID (from DATIM)]],"[Measures].[TI]")</f>
        <v/>
      </c>
      <c r="AK59" s="67" t="str" vm="1967">
        <f>CUBEVALUE(ConnectionString,ReportMonth,Table1[[#This Row],[Site ID (from DATIM)]],"[Measures].[TO]")</f>
        <v/>
      </c>
      <c r="AL59" s="67" t="str" vm="4448">
        <f>CUBEVALUE(ConnectionString,ReportMonth,Table1[[#This Row],[Site ID (from DATIM)]],"[Measures].[DIED]")</f>
        <v/>
      </c>
      <c r="AM59" s="67" t="str" vm="3832">
        <f>CUBEVALUE(ConnectionString,ReportMonth,Table1[[#This Row],[Site ID (from DATIM)]],"[Measures].[MMS_01_31]")</f>
        <v/>
      </c>
      <c r="AN59" s="67" t="str" vm="4610">
        <f>CUBEVALUE(ConnectionString,ReportMonth,Table1[[#This Row],[Site ID (from DATIM)]],"[Measures].[MMS_32_62]")</f>
        <v/>
      </c>
      <c r="AO59" s="67" vm="4798">
        <f>CUBEVALUE(ConnectionString,ReportMonth,Table1[[#This Row],[Site ID (from DATIM)]],"[Measures].[MMS_63+]")</f>
        <v>34</v>
      </c>
      <c r="AP59" s="67" vm="9162">
        <f>CUBEVALUE(ConnectionString,ReportMonth,Table1[[#This Row],[Site ID (from DATIM)]],"[Measures].[TBPREV_D]")</f>
        <v>5</v>
      </c>
      <c r="AQ59" s="67" t="str" vm="5300">
        <f>CUBEVALUE(ConnectionString,ReportMonth,Table1[[#This Row],[Site ID (from DATIM)]],"[Measures].[TBPREV_N]")</f>
        <v/>
      </c>
      <c r="AR59" s="67" t="str" vm="11839">
        <f>CUBEVALUE(ConnectionString,ReportMonth,Table1[[#This Row],[Site ID (from DATIM)]],"[Measures].[TBPREV_NEW]")</f>
        <v/>
      </c>
      <c r="AS59" s="67" t="str" vm="5373">
        <f>CUBEVALUE(ConnectionString,ReportMonth,Table1[[#This Row],[Site ID (from DATIM)]],"[Measures].[HVL_ELIG_P]")</f>
        <v/>
      </c>
      <c r="AT59" s="67" vm="8767">
        <f>CUBEVALUE(ConnectionString,ReportMonth,Table1[[#This Row],[Site ID (from DATIM)]],"[Measures].[HVL_D_P]")</f>
        <v>4</v>
      </c>
      <c r="AU59" s="67" vm="9798">
        <f>CUBEVALUE(ConnectionString,ReportMonth,Table1[[#This Row],[Site ID (from DATIM)]],"[Measures].[HVL_N_P]")</f>
        <v>3</v>
      </c>
      <c r="AV59" s="68" vm="12263">
        <f>CUBEVALUE(ConnectionString,ReportMonth,Table1[[#This Row],[Site ID (from DATIM)]],"[Measures].[HVL_ELIG_A]")</f>
        <v>34</v>
      </c>
      <c r="AW59" s="68" vm="8407">
        <f>CUBEVALUE(ConnectionString,ReportMonth,Table1[[#This Row],[Site ID (from DATIM)]],"[Measures].[HVL_D_A]")</f>
        <v>43</v>
      </c>
      <c r="AX59" s="68" vm="6348">
        <f>CUBEVALUE(ConnectionString,ReportMonth,Table1[[#This Row],[Site ID (from DATIM)]],"[Measures].[HVL_N_A]")</f>
        <v>42</v>
      </c>
      <c r="AY59" s="67"/>
      <c r="AZ59" s="67"/>
      <c r="BA59" s="67"/>
      <c r="BB59" s="67"/>
      <c r="BC59" s="67"/>
      <c r="BD59" s="67"/>
      <c r="BE59" s="67"/>
      <c r="BF59" s="67"/>
      <c r="BG59" s="67" t="str" vm="12391">
        <f>CUBEVALUE(ConnectionString,ReportMonth,Table1[[#This Row],[Site ID (from DATIM)]],"[Measures].[TX_NEW_F_A]")</f>
        <v/>
      </c>
      <c r="BH59" s="67" t="str" vm="14354">
        <f>CUBEVALUE(ConnectionString,ReportMonth,Table1[[#This Row],[Site ID (from DATIM)]],"[Measures].[TX_NEW_M_A]")</f>
        <v/>
      </c>
      <c r="BI59" s="67" t="str" vm="12817">
        <f>CUBEVALUE(ConnectionString,ReportMonth,Table1[[#This Row],[Site ID (from DATIM)]],"[Measures].[TX_NEW_F_P]")</f>
        <v/>
      </c>
      <c r="BJ59" s="68" t="str" vm="16602">
        <f>CUBEVALUE(ConnectionString,ReportMonth,Table1[[#This Row],[Site ID (from DATIM)]],"[Measures].[TX_NEW_M_P]")</f>
        <v/>
      </c>
      <c r="BK59" s="68"/>
      <c r="BL59" s="68"/>
      <c r="BM59" s="68"/>
      <c r="BN59" s="68"/>
      <c r="BO59" s="68"/>
      <c r="BP59" s="68"/>
      <c r="BQ59" s="68" t="str" vm="6363">
        <f>CUBEVALUE(ConnectionString,ReportMonth,Table1[[#This Row],[Site ID (from DATIM)]],"[Measures].[TX_CURR_F_P]")</f>
        <v/>
      </c>
      <c r="BR59" s="68" t="str" vm="8254">
        <f>CUBEVALUE(ConnectionString,ReportMonth,Table1[[#This Row],[Site ID (from DATIM)]],"[Measures].[TX_CURR_M_P]")</f>
        <v/>
      </c>
      <c r="BS59" s="68" vm="8689">
        <f>CUBEVALUE(ConnectionString,ReportMonth,Table1[[#This Row],[Site ID (from DATIM)]],"[Measures].[TX_CURR_F_A]")</f>
        <v>23</v>
      </c>
      <c r="BT59" s="68" vm="13465">
        <f>CUBEVALUE(ConnectionString,ReportMonth,Table1[[#This Row],[Site ID (from DATIM)]],"[Measures].[TX_CURR_M_A]")</f>
        <v>11</v>
      </c>
      <c r="BU59" s="68" t="str" vm="18132">
        <f>CUBEVALUE(ConnectionString,ReportMonth,Table1[[#This Row],[Site ID (from DATIM)]],"[Measures].[MMS_01_89_F_P]")</f>
        <v/>
      </c>
      <c r="BV59" s="68" t="str" vm="19243">
        <f>CUBEVALUE(ConnectionString,ReportMonth,Table1[[#This Row],[Site ID (from DATIM)]],"[Measures].[MMS_01_89_M_P]")</f>
        <v/>
      </c>
      <c r="BW59" s="68" t="str" vm="18065">
        <f>CUBEVALUE(ConnectionString,ReportMonth,Table1[[#This Row],[Site ID (from DATIM)]],"[Measures].[MMS_01_89_F_A]")</f>
        <v/>
      </c>
      <c r="BX59" s="68" t="str" vm="17955">
        <f>CUBEVALUE(ConnectionString,ReportMonth,Table1[[#This Row],[Site ID (from DATIM)]],"[Measures].[MMS_01_89_M_A]")</f>
        <v/>
      </c>
      <c r="BY59" s="68" t="str" vm="19100">
        <f>CUBEVALUE(ConnectionString,ReportMonth,Table1[[#This Row],[Site ID (from DATIM)]],"[Measures].[MMS_90_179_F_P]")</f>
        <v/>
      </c>
      <c r="BZ59" s="68" t="str" vm="16077">
        <f>CUBEVALUE(ConnectionString,ReportMonth,Table1[[#This Row],[Site ID (from DATIM)]],"[Measures].[MMS_90_179_M_P]")</f>
        <v/>
      </c>
      <c r="CA59" s="68" vm="18445">
        <f>CUBEVALUE(ConnectionString,ReportMonth,Table1[[#This Row],[Site ID (from DATIM)]],"[Measures].[MMS_90_179_F_A]")</f>
        <v>23</v>
      </c>
      <c r="CB59" s="68" vm="14723">
        <f>CUBEVALUE(ConnectionString,ReportMonth,Table1[[#This Row],[Site ID (from DATIM)]],"[Measures].[MMS_90_179_M_A]")</f>
        <v>11</v>
      </c>
      <c r="CC59" s="68" t="str" vm="17562">
        <f>CUBEVALUE(ConnectionString,ReportMonth,Table1[[#This Row],[Site ID (from DATIM)]],"[Measures].[MMS_180+_F_P]")</f>
        <v/>
      </c>
      <c r="CD59" s="68" t="str" vm="72">
        <f>CUBEVALUE(ConnectionString,ReportMonth,Table1[[#This Row],[Site ID (from DATIM)]],"[Measures].[MMS_180+_M_P]")</f>
        <v/>
      </c>
      <c r="CE59" s="68" t="str" vm="185">
        <f>CUBEVALUE(ConnectionString,ReportMonth,Table1[[#This Row],[Site ID (from DATIM)]],"[Measures].[MMS_180+_F_A]")</f>
        <v/>
      </c>
      <c r="CF59" s="68" t="str" vm="20180">
        <f>CUBEVALUE(ConnectionString,ReportMonth,Table1[[#This Row],[Site ID (from DATIM)]],"[Measures].[MMS_180+_M_A]")</f>
        <v/>
      </c>
      <c r="CG59" s="68" vm="6575">
        <f>CUBEVALUE(ConnectionString,ReportMonth,Table1[[#This Row],[Site ID (from DATIM)]],"[Measures].[MISSEDAPP]")</f>
        <v>29</v>
      </c>
      <c r="CH59" s="68" t="str" vm="12797">
        <f>CUBEVALUE(ConnectionString,ReportMonth,Table1[[#This Row],[Site ID (from DATIM)]],"[Measures].[MMS_180+_P]")</f>
        <v/>
      </c>
      <c r="CI59" s="68" t="str" vm="11641">
        <f>CUBEVALUE(ConnectionString,ReportMonth,Table1[[#This Row],[Site ID (from DATIM)]],"[Measures].[MMS_180+_A]")</f>
        <v/>
      </c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  <c r="CW59" s="68"/>
      <c r="CX59" s="68"/>
      <c r="CY59" s="68"/>
      <c r="CZ59" s="68"/>
      <c r="DA59" s="68"/>
      <c r="DB59" s="68"/>
      <c r="DC59" s="68"/>
    </row>
    <row r="60" spans="1:107" x14ac:dyDescent="0.25">
      <c r="A60" s="66">
        <v>4</v>
      </c>
      <c r="B60" s="67" t="str" vm="4">
        <f t="shared" si="1"/>
        <v>Mar-2021</v>
      </c>
      <c r="C60" s="67"/>
      <c r="D60" s="67" t="s">
        <v>232</v>
      </c>
      <c r="E60" s="67" t="s">
        <v>233</v>
      </c>
      <c r="F60" s="67" t="s">
        <v>1083</v>
      </c>
      <c r="G60" s="67"/>
      <c r="H60" s="67" t="s">
        <v>1095</v>
      </c>
      <c r="I60" s="67" t="s">
        <v>1126</v>
      </c>
      <c r="J60" s="67" t="s">
        <v>1127</v>
      </c>
      <c r="K60" s="67" t="s">
        <v>1128</v>
      </c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 t="str" vm="2796">
        <f>CUBEVALUE(ConnectionString,ReportMonth,Table1[[#This Row],[Site ID (from DATIM)]],"TX_NEW_2VIS")</f>
        <v/>
      </c>
      <c r="AE60" s="67" vm="4270">
        <f>CUBEVALUE(ConnectionString,ReportMonth,Table1[[#This Row],[Site ID (from DATIM)]],INDEX(SDI_Measures,1))</f>
        <v>2</v>
      </c>
      <c r="AF60" s="67" t="str" vm="855">
        <f>CUBEVALUE(ConnectionString,ReportMonth,Table1[[#This Row],[Site ID (from DATIM)]],INDEX(SDI_Measures,2))</f>
        <v/>
      </c>
      <c r="AG60" s="67" vm="735">
        <f>CUBEVALUE(ConnectionString,ReportMonth,Table1[[#This Row],[Site ID (from DATIM)]],INDEX(SDI_Measures,3))</f>
        <v>1</v>
      </c>
      <c r="AH60" s="67" vm="3389">
        <f>CUBEVALUE(ConnectionString,ReportMonth,Table1[[#This Row],[Site ID (from DATIM)]],"TX_CURR_PRIOR_MONTH")</f>
        <v>135</v>
      </c>
      <c r="AI60" s="67" vm="3970">
        <f>CUBEVALUE(ConnectionString,ReportMonth,Table1[[#This Row],[Site ID (from DATIM)]],"TX_CURR")</f>
        <v>96</v>
      </c>
      <c r="AJ60" s="67" t="str" vm="1898">
        <f>CUBEVALUE(ConnectionString,ReportMonth,Table1[[#This Row],[Site ID (from DATIM)]],"[Measures].[TI]")</f>
        <v/>
      </c>
      <c r="AK60" s="67" t="str" vm="2785">
        <f>CUBEVALUE(ConnectionString,ReportMonth,Table1[[#This Row],[Site ID (from DATIM)]],"[Measures].[TO]")</f>
        <v/>
      </c>
      <c r="AL60" s="67" t="str" vm="3336">
        <f>CUBEVALUE(ConnectionString,ReportMonth,Table1[[#This Row],[Site ID (from DATIM)]],"[Measures].[DIED]")</f>
        <v/>
      </c>
      <c r="AM60" s="67" vm="4519">
        <f>CUBEVALUE(ConnectionString,ReportMonth,Table1[[#This Row],[Site ID (from DATIM)]],"[Measures].[MMS_01_31]")</f>
        <v>47</v>
      </c>
      <c r="AN60" s="67" vm="3533">
        <f>CUBEVALUE(ConnectionString,ReportMonth,Table1[[#This Row],[Site ID (from DATIM)]],"[Measures].[MMS_32_62]")</f>
        <v>8</v>
      </c>
      <c r="AO60" s="67" vm="7092">
        <f>CUBEVALUE(ConnectionString,ReportMonth,Table1[[#This Row],[Site ID (from DATIM)]],"[Measures].[MMS_63+]")</f>
        <v>41</v>
      </c>
      <c r="AP60" s="67" vm="4960">
        <f>CUBEVALUE(ConnectionString,ReportMonth,Table1[[#This Row],[Site ID (from DATIM)]],"[Measures].[TBPREV_D]")</f>
        <v>4</v>
      </c>
      <c r="AQ60" s="67" vm="5469">
        <f>CUBEVALUE(ConnectionString,ReportMonth,Table1[[#This Row],[Site ID (from DATIM)]],"[Measures].[TBPREV_N]")</f>
        <v>2</v>
      </c>
      <c r="AR60" s="67" vm="5245">
        <f>CUBEVALUE(ConnectionString,ReportMonth,Table1[[#This Row],[Site ID (from DATIM)]],"[Measures].[TBPREV_NEW]")</f>
        <v>1</v>
      </c>
      <c r="AS60" s="67" vm="6278">
        <f>CUBEVALUE(ConnectionString,ReportMonth,Table1[[#This Row],[Site ID (from DATIM)]],"[Measures].[HVL_ELIG_P]")</f>
        <v>2</v>
      </c>
      <c r="AT60" s="67" vm="7349">
        <f>CUBEVALUE(ConnectionString,ReportMonth,Table1[[#This Row],[Site ID (from DATIM)]],"[Measures].[HVL_D_P]")</f>
        <v>1</v>
      </c>
      <c r="AU60" s="67" vm="10209">
        <f>CUBEVALUE(ConnectionString,ReportMonth,Table1[[#This Row],[Site ID (from DATIM)]],"[Measures].[HVL_N_P]")</f>
        <v>1</v>
      </c>
      <c r="AV60" s="68" vm="8910">
        <f>CUBEVALUE(ConnectionString,ReportMonth,Table1[[#This Row],[Site ID (from DATIM)]],"[Measures].[HVL_ELIG_A]")</f>
        <v>85</v>
      </c>
      <c r="AW60" s="68" vm="10293">
        <f>CUBEVALUE(ConnectionString,ReportMonth,Table1[[#This Row],[Site ID (from DATIM)]],"[Measures].[HVL_D_A]")</f>
        <v>19</v>
      </c>
      <c r="AX60" s="68" vm="9302">
        <f>CUBEVALUE(ConnectionString,ReportMonth,Table1[[#This Row],[Site ID (from DATIM)]],"[Measures].[HVL_N_A]")</f>
        <v>17</v>
      </c>
      <c r="AY60" s="67"/>
      <c r="AZ60" s="67"/>
      <c r="BA60" s="67"/>
      <c r="BB60" s="67"/>
      <c r="BC60" s="67"/>
      <c r="BD60" s="67"/>
      <c r="BE60" s="67"/>
      <c r="BF60" s="67"/>
      <c r="BG60" s="67" vm="12047">
        <f>CUBEVALUE(ConnectionString,ReportMonth,Table1[[#This Row],[Site ID (from DATIM)]],"[Measures].[TX_NEW_F_A]")</f>
        <v>3</v>
      </c>
      <c r="BH60" s="67" t="str" vm="10379">
        <f>CUBEVALUE(ConnectionString,ReportMonth,Table1[[#This Row],[Site ID (from DATIM)]],"[Measures].[TX_NEW_M_A]")</f>
        <v/>
      </c>
      <c r="BI60" s="67" t="str" vm="13848">
        <f>CUBEVALUE(ConnectionString,ReportMonth,Table1[[#This Row],[Site ID (from DATIM)]],"[Measures].[TX_NEW_F_P]")</f>
        <v/>
      </c>
      <c r="BJ60" s="68" t="str" vm="17018">
        <f>CUBEVALUE(ConnectionString,ReportMonth,Table1[[#This Row],[Site ID (from DATIM)]],"[Measures].[TX_NEW_M_P]")</f>
        <v/>
      </c>
      <c r="BK60" s="68"/>
      <c r="BL60" s="68"/>
      <c r="BM60" s="68"/>
      <c r="BN60" s="68"/>
      <c r="BO60" s="68"/>
      <c r="BP60" s="68"/>
      <c r="BQ60" s="68" vm="8906">
        <f>CUBEVALUE(ConnectionString,ReportMonth,Table1[[#This Row],[Site ID (from DATIM)]],"[Measures].[TX_CURR_F_P]")</f>
        <v>2</v>
      </c>
      <c r="BR60" s="68" t="str" vm="13335">
        <f>CUBEVALUE(ConnectionString,ReportMonth,Table1[[#This Row],[Site ID (from DATIM)]],"[Measures].[TX_CURR_M_P]")</f>
        <v/>
      </c>
      <c r="BS60" s="68" vm="12474">
        <f>CUBEVALUE(ConnectionString,ReportMonth,Table1[[#This Row],[Site ID (from DATIM)]],"[Measures].[TX_CURR_F_A]")</f>
        <v>56</v>
      </c>
      <c r="BT60" s="68" vm="9603">
        <f>CUBEVALUE(ConnectionString,ReportMonth,Table1[[#This Row],[Site ID (from DATIM)]],"[Measures].[TX_CURR_M_A]")</f>
        <v>38</v>
      </c>
      <c r="BU60" s="68" vm="18597">
        <f>CUBEVALUE(ConnectionString,ReportMonth,Table1[[#This Row],[Site ID (from DATIM)]],"[Measures].[MMS_01_89_F_P]")</f>
        <v>2</v>
      </c>
      <c r="BV60" s="68" t="str" vm="18136">
        <f>CUBEVALUE(ConnectionString,ReportMonth,Table1[[#This Row],[Site ID (from DATIM)]],"[Measures].[MMS_01_89_M_P]")</f>
        <v/>
      </c>
      <c r="BW60" s="68" vm="19625">
        <f>CUBEVALUE(ConnectionString,ReportMonth,Table1[[#This Row],[Site ID (from DATIM)]],"[Measures].[MMS_01_89_F_A]")</f>
        <v>33</v>
      </c>
      <c r="BX60" s="68" vm="18859">
        <f>CUBEVALUE(ConnectionString,ReportMonth,Table1[[#This Row],[Site ID (from DATIM)]],"[Measures].[MMS_01_89_M_A]")</f>
        <v>21</v>
      </c>
      <c r="BY60" s="68" t="str" vm="18831">
        <f>CUBEVALUE(ConnectionString,ReportMonth,Table1[[#This Row],[Site ID (from DATIM)]],"[Measures].[MMS_90_179_F_P]")</f>
        <v/>
      </c>
      <c r="BZ60" s="68" t="str" vm="18153">
        <f>CUBEVALUE(ConnectionString,ReportMonth,Table1[[#This Row],[Site ID (from DATIM)]],"[Measures].[MMS_90_179_M_P]")</f>
        <v/>
      </c>
      <c r="CA60" s="68" vm="14582">
        <f>CUBEVALUE(ConnectionString,ReportMonth,Table1[[#This Row],[Site ID (from DATIM)]],"[Measures].[MMS_90_179_F_A]")</f>
        <v>23</v>
      </c>
      <c r="CB60" s="68" vm="15615">
        <f>CUBEVALUE(ConnectionString,ReportMonth,Table1[[#This Row],[Site ID (from DATIM)]],"[Measures].[MMS_90_179_M_A]")</f>
        <v>16</v>
      </c>
      <c r="CC60" s="68" t="str" vm="17268">
        <f>CUBEVALUE(ConnectionString,ReportMonth,Table1[[#This Row],[Site ID (from DATIM)]],"[Measures].[MMS_180+_F_P]")</f>
        <v/>
      </c>
      <c r="CD60" s="68" t="str" vm="14965">
        <f>CUBEVALUE(ConnectionString,ReportMonth,Table1[[#This Row],[Site ID (from DATIM)]],"[Measures].[MMS_180+_M_P]")</f>
        <v/>
      </c>
      <c r="CE60" s="68" t="str" vm="14923">
        <f>CUBEVALUE(ConnectionString,ReportMonth,Table1[[#This Row],[Site ID (from DATIM)]],"[Measures].[MMS_180+_F_A]")</f>
        <v/>
      </c>
      <c r="CF60" s="68" vm="17472">
        <f>CUBEVALUE(ConnectionString,ReportMonth,Table1[[#This Row],[Site ID (from DATIM)]],"[Measures].[MMS_180+_M_A]")</f>
        <v>1</v>
      </c>
      <c r="CG60" s="68" vm="9282">
        <f>CUBEVALUE(ConnectionString,ReportMonth,Table1[[#This Row],[Site ID (from DATIM)]],"[Measures].[MISSEDAPP]")</f>
        <v>65</v>
      </c>
      <c r="CH60" s="68" t="str" vm="11658">
        <f>CUBEVALUE(ConnectionString,ReportMonth,Table1[[#This Row],[Site ID (from DATIM)]],"[Measures].[MMS_180+_P]")</f>
        <v/>
      </c>
      <c r="CI60" s="68" vm="13558">
        <f>CUBEVALUE(ConnectionString,ReportMonth,Table1[[#This Row],[Site ID (from DATIM)]],"[Measures].[MMS_180+_A]")</f>
        <v>1</v>
      </c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</row>
    <row r="61" spans="1:107" x14ac:dyDescent="0.25">
      <c r="A61" s="66">
        <v>4</v>
      </c>
      <c r="B61" s="67" t="str" vm="4">
        <f t="shared" si="1"/>
        <v>Mar-2021</v>
      </c>
      <c r="C61" s="67"/>
      <c r="D61" s="67" t="s">
        <v>232</v>
      </c>
      <c r="E61" s="67" t="s">
        <v>233</v>
      </c>
      <c r="F61" s="67" t="s">
        <v>1286</v>
      </c>
      <c r="G61" s="67"/>
      <c r="H61" s="67" t="s">
        <v>1287</v>
      </c>
      <c r="I61" s="67" t="s">
        <v>1300</v>
      </c>
      <c r="J61" s="67" t="s">
        <v>1301</v>
      </c>
      <c r="K61" s="67" t="s">
        <v>1302</v>
      </c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 t="str" vm="3439">
        <f>CUBEVALUE(ConnectionString,ReportMonth,Table1[[#This Row],[Site ID (from DATIM)]],"TX_NEW_2VIS")</f>
        <v/>
      </c>
      <c r="AE61" s="67" t="str" vm="722">
        <f>CUBEVALUE(ConnectionString,ReportMonth,Table1[[#This Row],[Site ID (from DATIM)]],INDEX(SDI_Measures,1))</f>
        <v/>
      </c>
      <c r="AF61" s="67" t="str" vm="1578">
        <f>CUBEVALUE(ConnectionString,ReportMonth,Table1[[#This Row],[Site ID (from DATIM)]],INDEX(SDI_Measures,2))</f>
        <v/>
      </c>
      <c r="AG61" s="67" t="str" vm="1992">
        <f>CUBEVALUE(ConnectionString,ReportMonth,Table1[[#This Row],[Site ID (from DATIM)]],INDEX(SDI_Measures,3))</f>
        <v/>
      </c>
      <c r="AH61" s="67" t="str" vm="1799">
        <f>CUBEVALUE(ConnectionString,ReportMonth,Table1[[#This Row],[Site ID (from DATIM)]],"TX_CURR_PRIOR_MONTH")</f>
        <v/>
      </c>
      <c r="AI61" s="67" t="str" vm="3412">
        <f>CUBEVALUE(ConnectionString,ReportMonth,Table1[[#This Row],[Site ID (from DATIM)]],"TX_CURR")</f>
        <v/>
      </c>
      <c r="AJ61" s="67" t="str" vm="3410">
        <f>CUBEVALUE(ConnectionString,ReportMonth,Table1[[#This Row],[Site ID (from DATIM)]],"[Measures].[TI]")</f>
        <v/>
      </c>
      <c r="AK61" s="67" t="str" vm="4395">
        <f>CUBEVALUE(ConnectionString,ReportMonth,Table1[[#This Row],[Site ID (from DATIM)]],"[Measures].[TO]")</f>
        <v/>
      </c>
      <c r="AL61" s="67" t="str" vm="2065">
        <f>CUBEVALUE(ConnectionString,ReportMonth,Table1[[#This Row],[Site ID (from DATIM)]],"[Measures].[DIED]")</f>
        <v/>
      </c>
      <c r="AM61" s="67" t="str" vm="4296">
        <f>CUBEVALUE(ConnectionString,ReportMonth,Table1[[#This Row],[Site ID (from DATIM)]],"[Measures].[MMS_01_31]")</f>
        <v/>
      </c>
      <c r="AN61" s="67" t="str" vm="8290">
        <f>CUBEVALUE(ConnectionString,ReportMonth,Table1[[#This Row],[Site ID (from DATIM)]],"[Measures].[MMS_32_62]")</f>
        <v/>
      </c>
      <c r="AO61" s="67" t="str" vm="8819">
        <f>CUBEVALUE(ConnectionString,ReportMonth,Table1[[#This Row],[Site ID (from DATIM)]],"[Measures].[MMS_63+]")</f>
        <v/>
      </c>
      <c r="AP61" s="67" t="str" vm="5381">
        <f>CUBEVALUE(ConnectionString,ReportMonth,Table1[[#This Row],[Site ID (from DATIM)]],"[Measures].[TBPREV_D]")</f>
        <v/>
      </c>
      <c r="AQ61" s="67" t="str" vm="6521">
        <f>CUBEVALUE(ConnectionString,ReportMonth,Table1[[#This Row],[Site ID (from DATIM)]],"[Measures].[TBPREV_N]")</f>
        <v/>
      </c>
      <c r="AR61" s="67" t="str" vm="5874">
        <f>CUBEVALUE(ConnectionString,ReportMonth,Table1[[#This Row],[Site ID (from DATIM)]],"[Measures].[TBPREV_NEW]")</f>
        <v/>
      </c>
      <c r="AS61" s="67" t="str" vm="5307">
        <f>CUBEVALUE(ConnectionString,ReportMonth,Table1[[#This Row],[Site ID (from DATIM)]],"[Measures].[HVL_ELIG_P]")</f>
        <v/>
      </c>
      <c r="AT61" s="67" t="str" vm="13015">
        <f>CUBEVALUE(ConnectionString,ReportMonth,Table1[[#This Row],[Site ID (from DATIM)]],"[Measures].[HVL_D_P]")</f>
        <v/>
      </c>
      <c r="AU61" s="67" t="str" vm="8016">
        <f>CUBEVALUE(ConnectionString,ReportMonth,Table1[[#This Row],[Site ID (from DATIM)]],"[Measures].[HVL_N_P]")</f>
        <v/>
      </c>
      <c r="AV61" s="68" t="str" vm="6593">
        <f>CUBEVALUE(ConnectionString,ReportMonth,Table1[[#This Row],[Site ID (from DATIM)]],"[Measures].[HVL_ELIG_A]")</f>
        <v/>
      </c>
      <c r="AW61" s="68" t="str" vm="12431">
        <f>CUBEVALUE(ConnectionString,ReportMonth,Table1[[#This Row],[Site ID (from DATIM)]],"[Measures].[HVL_D_A]")</f>
        <v/>
      </c>
      <c r="AX61" s="68" t="str" vm="13775">
        <f>CUBEVALUE(ConnectionString,ReportMonth,Table1[[#This Row],[Site ID (from DATIM)]],"[Measures].[HVL_N_A]")</f>
        <v/>
      </c>
      <c r="AY61" s="67"/>
      <c r="AZ61" s="67"/>
      <c r="BA61" s="67"/>
      <c r="BB61" s="67"/>
      <c r="BC61" s="67"/>
      <c r="BD61" s="67"/>
      <c r="BE61" s="67"/>
      <c r="BF61" s="67"/>
      <c r="BG61" s="67" t="str" vm="12163">
        <f>CUBEVALUE(ConnectionString,ReportMonth,Table1[[#This Row],[Site ID (from DATIM)]],"[Measures].[TX_NEW_F_A]")</f>
        <v/>
      </c>
      <c r="BH61" s="67" t="str" vm="16554">
        <f>CUBEVALUE(ConnectionString,ReportMonth,Table1[[#This Row],[Site ID (from DATIM)]],"[Measures].[TX_NEW_M_A]")</f>
        <v/>
      </c>
      <c r="BI61" s="67" t="str" vm="13528">
        <f>CUBEVALUE(ConnectionString,ReportMonth,Table1[[#This Row],[Site ID (from DATIM)]],"[Measures].[TX_NEW_F_P]")</f>
        <v/>
      </c>
      <c r="BJ61" s="68" t="str" vm="17426">
        <f>CUBEVALUE(ConnectionString,ReportMonth,Table1[[#This Row],[Site ID (from DATIM)]],"[Measures].[TX_NEW_M_P]")</f>
        <v/>
      </c>
      <c r="BK61" s="68"/>
      <c r="BL61" s="68"/>
      <c r="BM61" s="68"/>
      <c r="BN61" s="68"/>
      <c r="BO61" s="68"/>
      <c r="BP61" s="68"/>
      <c r="BQ61" s="68" t="str" vm="10341">
        <f>CUBEVALUE(ConnectionString,ReportMonth,Table1[[#This Row],[Site ID (from DATIM)]],"[Measures].[TX_CURR_F_P]")</f>
        <v/>
      </c>
      <c r="BR61" s="68" t="str" vm="11039">
        <f>CUBEVALUE(ConnectionString,ReportMonth,Table1[[#This Row],[Site ID (from DATIM)]],"[Measures].[TX_CURR_M_P]")</f>
        <v/>
      </c>
      <c r="BS61" s="68" t="str" vm="7031">
        <f>CUBEVALUE(ConnectionString,ReportMonth,Table1[[#This Row],[Site ID (from DATIM)]],"[Measures].[TX_CURR_F_A]")</f>
        <v/>
      </c>
      <c r="BT61" s="68" t="str" vm="9789">
        <f>CUBEVALUE(ConnectionString,ReportMonth,Table1[[#This Row],[Site ID (from DATIM)]],"[Measures].[TX_CURR_M_A]")</f>
        <v/>
      </c>
      <c r="BU61" s="68" t="str" vm="18983">
        <f>CUBEVALUE(ConnectionString,ReportMonth,Table1[[#This Row],[Site ID (from DATIM)]],"[Measures].[MMS_01_89_F_P]")</f>
        <v/>
      </c>
      <c r="BV61" s="68" t="str" vm="18435">
        <f>CUBEVALUE(ConnectionString,ReportMonth,Table1[[#This Row],[Site ID (from DATIM)]],"[Measures].[MMS_01_89_M_P]")</f>
        <v/>
      </c>
      <c r="BW61" s="68" t="str" vm="19197">
        <f>CUBEVALUE(ConnectionString,ReportMonth,Table1[[#This Row],[Site ID (from DATIM)]],"[Measures].[MMS_01_89_F_A]")</f>
        <v/>
      </c>
      <c r="BX61" s="68" t="str" vm="19321">
        <f>CUBEVALUE(ConnectionString,ReportMonth,Table1[[#This Row],[Site ID (from DATIM)]],"[Measures].[MMS_01_89_M_A]")</f>
        <v/>
      </c>
      <c r="BY61" s="68" t="str" vm="19863">
        <f>CUBEVALUE(ConnectionString,ReportMonth,Table1[[#This Row],[Site ID (from DATIM)]],"[Measures].[MMS_90_179_F_P]")</f>
        <v/>
      </c>
      <c r="BZ61" s="68" t="str" vm="14789">
        <f>CUBEVALUE(ConnectionString,ReportMonth,Table1[[#This Row],[Site ID (from DATIM)]],"[Measures].[MMS_90_179_M_P]")</f>
        <v/>
      </c>
      <c r="CA61" s="68" t="str" vm="14566">
        <f>CUBEVALUE(ConnectionString,ReportMonth,Table1[[#This Row],[Site ID (from DATIM)]],"[Measures].[MMS_90_179_F_A]")</f>
        <v/>
      </c>
      <c r="CB61" s="68" t="str" vm="16901">
        <f>CUBEVALUE(ConnectionString,ReportMonth,Table1[[#This Row],[Site ID (from DATIM)]],"[Measures].[MMS_90_179_M_A]")</f>
        <v/>
      </c>
      <c r="CC61" s="68" t="str" vm="17511">
        <f>CUBEVALUE(ConnectionString,ReportMonth,Table1[[#This Row],[Site ID (from DATIM)]],"[Measures].[MMS_180+_F_P]")</f>
        <v/>
      </c>
      <c r="CD61" s="68" t="str" vm="15814">
        <f>CUBEVALUE(ConnectionString,ReportMonth,Table1[[#This Row],[Site ID (from DATIM)]],"[Measures].[MMS_180+_M_P]")</f>
        <v/>
      </c>
      <c r="CE61" s="68" t="str" vm="14535">
        <f>CUBEVALUE(ConnectionString,ReportMonth,Table1[[#This Row],[Site ID (from DATIM)]],"[Measures].[MMS_180+_F_A]")</f>
        <v/>
      </c>
      <c r="CF61" s="68" t="str" vm="150">
        <f>CUBEVALUE(ConnectionString,ReportMonth,Table1[[#This Row],[Site ID (from DATIM)]],"[Measures].[MMS_180+_M_A]")</f>
        <v/>
      </c>
      <c r="CG61" s="68" t="str" vm="6701">
        <f>CUBEVALUE(ConnectionString,ReportMonth,Table1[[#This Row],[Site ID (from DATIM)]],"[Measures].[MISSEDAPP]")</f>
        <v/>
      </c>
      <c r="CH61" s="68" t="str" vm="12214">
        <f>CUBEVALUE(ConnectionString,ReportMonth,Table1[[#This Row],[Site ID (from DATIM)]],"[Measures].[MMS_180+_P]")</f>
        <v/>
      </c>
      <c r="CI61" s="68" t="str" vm="13333">
        <f>CUBEVALUE(ConnectionString,ReportMonth,Table1[[#This Row],[Site ID (from DATIM)]],"[Measures].[MMS_180+_A]")</f>
        <v/>
      </c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</row>
    <row r="62" spans="1:107" x14ac:dyDescent="0.25">
      <c r="A62" s="66">
        <v>4</v>
      </c>
      <c r="B62" s="67" t="str" vm="4">
        <f t="shared" si="1"/>
        <v>Mar-2021</v>
      </c>
      <c r="C62" s="67"/>
      <c r="D62" s="67" t="s">
        <v>232</v>
      </c>
      <c r="E62" s="67" t="s">
        <v>233</v>
      </c>
      <c r="F62" s="67" t="s">
        <v>1286</v>
      </c>
      <c r="G62" s="67"/>
      <c r="H62" s="67" t="s">
        <v>1303</v>
      </c>
      <c r="I62" s="67" t="s">
        <v>1304</v>
      </c>
      <c r="J62" s="67" t="s">
        <v>1305</v>
      </c>
      <c r="K62" s="67" t="s">
        <v>1306</v>
      </c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 t="str" vm="2313">
        <f>CUBEVALUE(ConnectionString,ReportMonth,Table1[[#This Row],[Site ID (from DATIM)]],"TX_NEW_2VIS")</f>
        <v/>
      </c>
      <c r="AE62" s="67" t="str" vm="1086">
        <f>CUBEVALUE(ConnectionString,ReportMonth,Table1[[#This Row],[Site ID (from DATIM)]],INDEX(SDI_Measures,1))</f>
        <v/>
      </c>
      <c r="AF62" s="67" t="str" vm="4167">
        <f>CUBEVALUE(ConnectionString,ReportMonth,Table1[[#This Row],[Site ID (from DATIM)]],INDEX(SDI_Measures,2))</f>
        <v/>
      </c>
      <c r="AG62" s="67" t="str" vm="417">
        <f>CUBEVALUE(ConnectionString,ReportMonth,Table1[[#This Row],[Site ID (from DATIM)]],INDEX(SDI_Measures,3))</f>
        <v/>
      </c>
      <c r="AH62" s="67" t="str" vm="2976">
        <f>CUBEVALUE(ConnectionString,ReportMonth,Table1[[#This Row],[Site ID (from DATIM)]],"TX_CURR_PRIOR_MONTH")</f>
        <v/>
      </c>
      <c r="AI62" s="67" t="str" vm="3857">
        <f>CUBEVALUE(ConnectionString,ReportMonth,Table1[[#This Row],[Site ID (from DATIM)]],"TX_CURR")</f>
        <v/>
      </c>
      <c r="AJ62" s="67" t="str" vm="2792">
        <f>CUBEVALUE(ConnectionString,ReportMonth,Table1[[#This Row],[Site ID (from DATIM)]],"[Measures].[TI]")</f>
        <v/>
      </c>
      <c r="AK62" s="67" t="str" vm="2653">
        <f>CUBEVALUE(ConnectionString,ReportMonth,Table1[[#This Row],[Site ID (from DATIM)]],"[Measures].[TO]")</f>
        <v/>
      </c>
      <c r="AL62" s="67" t="str" vm="3908">
        <f>CUBEVALUE(ConnectionString,ReportMonth,Table1[[#This Row],[Site ID (from DATIM)]],"[Measures].[DIED]")</f>
        <v/>
      </c>
      <c r="AM62" s="67" t="str" vm="7538">
        <f>CUBEVALUE(ConnectionString,ReportMonth,Table1[[#This Row],[Site ID (from DATIM)]],"[Measures].[MMS_01_31]")</f>
        <v/>
      </c>
      <c r="AN62" s="67" t="str" vm="7659">
        <f>CUBEVALUE(ConnectionString,ReportMonth,Table1[[#This Row],[Site ID (from DATIM)]],"[Measures].[MMS_32_62]")</f>
        <v/>
      </c>
      <c r="AO62" s="67" t="str" vm="6973">
        <f>CUBEVALUE(ConnectionString,ReportMonth,Table1[[#This Row],[Site ID (from DATIM)]],"[Measures].[MMS_63+]")</f>
        <v/>
      </c>
      <c r="AP62" s="67" t="str" vm="4816">
        <f>CUBEVALUE(ConnectionString,ReportMonth,Table1[[#This Row],[Site ID (from DATIM)]],"[Measures].[TBPREV_D]")</f>
        <v/>
      </c>
      <c r="AQ62" s="67" t="str" vm="4866">
        <f>CUBEVALUE(ConnectionString,ReportMonth,Table1[[#This Row],[Site ID (from DATIM)]],"[Measures].[TBPREV_N]")</f>
        <v/>
      </c>
      <c r="AR62" s="67" t="str" vm="6708">
        <f>CUBEVALUE(ConnectionString,ReportMonth,Table1[[#This Row],[Site ID (from DATIM)]],"[Measures].[TBPREV_NEW]")</f>
        <v/>
      </c>
      <c r="AS62" s="67" t="str" vm="8718">
        <f>CUBEVALUE(ConnectionString,ReportMonth,Table1[[#This Row],[Site ID (from DATIM)]],"[Measures].[HVL_ELIG_P]")</f>
        <v/>
      </c>
      <c r="AT62" s="67" t="str" vm="9355">
        <f>CUBEVALUE(ConnectionString,ReportMonth,Table1[[#This Row],[Site ID (from DATIM)]],"[Measures].[HVL_D_P]")</f>
        <v/>
      </c>
      <c r="AU62" s="67" t="str" vm="7536">
        <f>CUBEVALUE(ConnectionString,ReportMonth,Table1[[#This Row],[Site ID (from DATIM)]],"[Measures].[HVL_N_P]")</f>
        <v/>
      </c>
      <c r="AV62" s="68" t="str" vm="11828">
        <f>CUBEVALUE(ConnectionString,ReportMonth,Table1[[#This Row],[Site ID (from DATIM)]],"[Measures].[HVL_ELIG_A]")</f>
        <v/>
      </c>
      <c r="AW62" s="68" t="str" vm="9211">
        <f>CUBEVALUE(ConnectionString,ReportMonth,Table1[[#This Row],[Site ID (from DATIM)]],"[Measures].[HVL_D_A]")</f>
        <v/>
      </c>
      <c r="AX62" s="68" t="str" vm="9011">
        <f>CUBEVALUE(ConnectionString,ReportMonth,Table1[[#This Row],[Site ID (from DATIM)]],"[Measures].[HVL_N_A]")</f>
        <v/>
      </c>
      <c r="AY62" s="67"/>
      <c r="AZ62" s="67"/>
      <c r="BA62" s="67"/>
      <c r="BB62" s="67"/>
      <c r="BC62" s="67"/>
      <c r="BD62" s="67"/>
      <c r="BE62" s="67"/>
      <c r="BF62" s="67"/>
      <c r="BG62" s="67" t="str" vm="12274">
        <f>CUBEVALUE(ConnectionString,ReportMonth,Table1[[#This Row],[Site ID (from DATIM)]],"[Measures].[TX_NEW_F_A]")</f>
        <v/>
      </c>
      <c r="BH62" s="67" t="str" vm="11484">
        <f>CUBEVALUE(ConnectionString,ReportMonth,Table1[[#This Row],[Site ID (from DATIM)]],"[Measures].[TX_NEW_M_A]")</f>
        <v/>
      </c>
      <c r="BI62" s="67" t="str" vm="13170">
        <f>CUBEVALUE(ConnectionString,ReportMonth,Table1[[#This Row],[Site ID (from DATIM)]],"[Measures].[TX_NEW_F_P]")</f>
        <v/>
      </c>
      <c r="BJ62" s="68" t="str" vm="14382">
        <f>CUBEVALUE(ConnectionString,ReportMonth,Table1[[#This Row],[Site ID (from DATIM)]],"[Measures].[TX_NEW_M_P]")</f>
        <v/>
      </c>
      <c r="BK62" s="68"/>
      <c r="BL62" s="68"/>
      <c r="BM62" s="68"/>
      <c r="BN62" s="68"/>
      <c r="BO62" s="68"/>
      <c r="BP62" s="68"/>
      <c r="BQ62" s="68" t="str" vm="15707">
        <f>CUBEVALUE(ConnectionString,ReportMonth,Table1[[#This Row],[Site ID (from DATIM)]],"[Measures].[TX_CURR_F_P]")</f>
        <v/>
      </c>
      <c r="BR62" s="68" t="str" vm="8682">
        <f>CUBEVALUE(ConnectionString,ReportMonth,Table1[[#This Row],[Site ID (from DATIM)]],"[Measures].[TX_CURR_M_P]")</f>
        <v/>
      </c>
      <c r="BS62" s="68" t="str" vm="8590">
        <f>CUBEVALUE(ConnectionString,ReportMonth,Table1[[#This Row],[Site ID (from DATIM)]],"[Measures].[TX_CURR_F_A]")</f>
        <v/>
      </c>
      <c r="BT62" s="68" t="str" vm="13814">
        <f>CUBEVALUE(ConnectionString,ReportMonth,Table1[[#This Row],[Site ID (from DATIM)]],"[Measures].[TX_CURR_M_A]")</f>
        <v/>
      </c>
      <c r="BU62" s="68" t="str" vm="18400">
        <f>CUBEVALUE(ConnectionString,ReportMonth,Table1[[#This Row],[Site ID (from DATIM)]],"[Measures].[MMS_01_89_F_P]")</f>
        <v/>
      </c>
      <c r="BV62" s="68" t="str" vm="19978">
        <f>CUBEVALUE(ConnectionString,ReportMonth,Table1[[#This Row],[Site ID (from DATIM)]],"[Measures].[MMS_01_89_M_P]")</f>
        <v/>
      </c>
      <c r="BW62" s="68" t="str" vm="18069">
        <f>CUBEVALUE(ConnectionString,ReportMonth,Table1[[#This Row],[Site ID (from DATIM)]],"[Measures].[MMS_01_89_F_A]")</f>
        <v/>
      </c>
      <c r="BX62" s="68" t="str" vm="19874">
        <f>CUBEVALUE(ConnectionString,ReportMonth,Table1[[#This Row],[Site ID (from DATIM)]],"[Measures].[MMS_01_89_M_A]")</f>
        <v/>
      </c>
      <c r="BY62" s="68" t="str" vm="19373">
        <f>CUBEVALUE(ConnectionString,ReportMonth,Table1[[#This Row],[Site ID (from DATIM)]],"[Measures].[MMS_90_179_F_P]")</f>
        <v/>
      </c>
      <c r="BZ62" s="68" t="str" vm="17744">
        <f>CUBEVALUE(ConnectionString,ReportMonth,Table1[[#This Row],[Site ID (from DATIM)]],"[Measures].[MMS_90_179_M_P]")</f>
        <v/>
      </c>
      <c r="CA62" s="68" t="str" vm="14754">
        <f>CUBEVALUE(ConnectionString,ReportMonth,Table1[[#This Row],[Site ID (from DATIM)]],"[Measures].[MMS_90_179_F_A]")</f>
        <v/>
      </c>
      <c r="CB62" s="68" t="str" vm="15573">
        <f>CUBEVALUE(ConnectionString,ReportMonth,Table1[[#This Row],[Site ID (from DATIM)]],"[Measures].[MMS_90_179_M_A]")</f>
        <v/>
      </c>
      <c r="CC62" s="68" t="str" vm="17748">
        <f>CUBEVALUE(ConnectionString,ReportMonth,Table1[[#This Row],[Site ID (from DATIM)]],"[Measures].[MMS_180+_F_P]")</f>
        <v/>
      </c>
      <c r="CD62" s="68" t="str" vm="16746">
        <f>CUBEVALUE(ConnectionString,ReportMonth,Table1[[#This Row],[Site ID (from DATIM)]],"[Measures].[MMS_180+_M_P]")</f>
        <v/>
      </c>
      <c r="CE62" s="68" t="str" vm="47">
        <f>CUBEVALUE(ConnectionString,ReportMonth,Table1[[#This Row],[Site ID (from DATIM)]],"[Measures].[MMS_180+_F_A]")</f>
        <v/>
      </c>
      <c r="CF62" s="68" t="str" vm="17160">
        <f>CUBEVALUE(ConnectionString,ReportMonth,Table1[[#This Row],[Site ID (from DATIM)]],"[Measures].[MMS_180+_M_A]")</f>
        <v/>
      </c>
      <c r="CG62" s="68" t="str" vm="13904">
        <f>CUBEVALUE(ConnectionString,ReportMonth,Table1[[#This Row],[Site ID (from DATIM)]],"[Measures].[MISSEDAPP]")</f>
        <v/>
      </c>
      <c r="CH62" s="68" t="str" vm="13229">
        <f>CUBEVALUE(ConnectionString,ReportMonth,Table1[[#This Row],[Site ID (from DATIM)]],"[Measures].[MMS_180+_P]")</f>
        <v/>
      </c>
      <c r="CI62" s="68" t="str" vm="11226">
        <f>CUBEVALUE(ConnectionString,ReportMonth,Table1[[#This Row],[Site ID (from DATIM)]],"[Measures].[MMS_180+_A]")</f>
        <v/>
      </c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</row>
    <row r="63" spans="1:107" x14ac:dyDescent="0.25">
      <c r="A63" s="66">
        <v>4</v>
      </c>
      <c r="B63" s="67" t="str" vm="4">
        <f t="shared" si="1"/>
        <v>Mar-2021</v>
      </c>
      <c r="C63" s="67"/>
      <c r="D63" s="67" t="s">
        <v>232</v>
      </c>
      <c r="E63" s="67" t="s">
        <v>233</v>
      </c>
      <c r="F63" s="67" t="s">
        <v>1286</v>
      </c>
      <c r="G63" s="67"/>
      <c r="H63" s="67" t="s">
        <v>1307</v>
      </c>
      <c r="I63" s="67" t="s">
        <v>1308</v>
      </c>
      <c r="J63" s="67" t="s">
        <v>1309</v>
      </c>
      <c r="K63" s="67" t="s">
        <v>1310</v>
      </c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 t="str" vm="889">
        <f>CUBEVALUE(ConnectionString,ReportMonth,Table1[[#This Row],[Site ID (from DATIM)]],"TX_NEW_2VIS")</f>
        <v/>
      </c>
      <c r="AE63" s="67" t="str" vm="4384">
        <f>CUBEVALUE(ConnectionString,ReportMonth,Table1[[#This Row],[Site ID (from DATIM)]],INDEX(SDI_Measures,1))</f>
        <v/>
      </c>
      <c r="AF63" s="67" t="str" vm="4463">
        <f>CUBEVALUE(ConnectionString,ReportMonth,Table1[[#This Row],[Site ID (from DATIM)]],INDEX(SDI_Measures,2))</f>
        <v/>
      </c>
      <c r="AG63" s="67" t="str" vm="2688">
        <f>CUBEVALUE(ConnectionString,ReportMonth,Table1[[#This Row],[Site ID (from DATIM)]],INDEX(SDI_Measures,3))</f>
        <v/>
      </c>
      <c r="AH63" s="67" t="str" vm="5192">
        <f>CUBEVALUE(ConnectionString,ReportMonth,Table1[[#This Row],[Site ID (from DATIM)]],"TX_CURR_PRIOR_MONTH")</f>
        <v/>
      </c>
      <c r="AI63" s="67" t="str" vm="3035">
        <f>CUBEVALUE(ConnectionString,ReportMonth,Table1[[#This Row],[Site ID (from DATIM)]],"TX_CURR")</f>
        <v/>
      </c>
      <c r="AJ63" s="67" t="str" vm="2845">
        <f>CUBEVALUE(ConnectionString,ReportMonth,Table1[[#This Row],[Site ID (from DATIM)]],"[Measures].[TI]")</f>
        <v/>
      </c>
      <c r="AK63" s="67" t="str" vm="1279">
        <f>CUBEVALUE(ConnectionString,ReportMonth,Table1[[#This Row],[Site ID (from DATIM)]],"[Measures].[TO]")</f>
        <v/>
      </c>
      <c r="AL63" s="67" t="str" vm="1416">
        <f>CUBEVALUE(ConnectionString,ReportMonth,Table1[[#This Row],[Site ID (from DATIM)]],"[Measures].[DIED]")</f>
        <v/>
      </c>
      <c r="AM63" s="67" t="str" vm="7754">
        <f>CUBEVALUE(ConnectionString,ReportMonth,Table1[[#This Row],[Site ID (from DATIM)]],"[Measures].[MMS_01_31]")</f>
        <v/>
      </c>
      <c r="AN63" s="67" t="str" vm="6431">
        <f>CUBEVALUE(ConnectionString,ReportMonth,Table1[[#This Row],[Site ID (from DATIM)]],"[Measures].[MMS_32_62]")</f>
        <v/>
      </c>
      <c r="AO63" s="67" t="str" vm="6261">
        <f>CUBEVALUE(ConnectionString,ReportMonth,Table1[[#This Row],[Site ID (from DATIM)]],"[Measures].[MMS_63+]")</f>
        <v/>
      </c>
      <c r="AP63" s="67" t="str" vm="7905">
        <f>CUBEVALUE(ConnectionString,ReportMonth,Table1[[#This Row],[Site ID (from DATIM)]],"[Measures].[TBPREV_D]")</f>
        <v/>
      </c>
      <c r="AQ63" s="67" t="str" vm="11078">
        <f>CUBEVALUE(ConnectionString,ReportMonth,Table1[[#This Row],[Site ID (from DATIM)]],"[Measures].[TBPREV_N]")</f>
        <v/>
      </c>
      <c r="AR63" s="67" t="str" vm="8159">
        <f>CUBEVALUE(ConnectionString,ReportMonth,Table1[[#This Row],[Site ID (from DATIM)]],"[Measures].[TBPREV_NEW]")</f>
        <v/>
      </c>
      <c r="AS63" s="67" t="str" vm="9934">
        <f>CUBEVALUE(ConnectionString,ReportMonth,Table1[[#This Row],[Site ID (from DATIM)]],"[Measures].[HVL_ELIG_P]")</f>
        <v/>
      </c>
      <c r="AT63" s="67" t="str" vm="9790">
        <f>CUBEVALUE(ConnectionString,ReportMonth,Table1[[#This Row],[Site ID (from DATIM)]],"[Measures].[HVL_D_P]")</f>
        <v/>
      </c>
      <c r="AU63" s="67" t="str" vm="8033">
        <f>CUBEVALUE(ConnectionString,ReportMonth,Table1[[#This Row],[Site ID (from DATIM)]],"[Measures].[HVL_N_P]")</f>
        <v/>
      </c>
      <c r="AV63" s="68" t="str" vm="8960">
        <f>CUBEVALUE(ConnectionString,ReportMonth,Table1[[#This Row],[Site ID (from DATIM)]],"[Measures].[HVL_ELIG_A]")</f>
        <v/>
      </c>
      <c r="AW63" s="68" t="str" vm="13022">
        <f>CUBEVALUE(ConnectionString,ReportMonth,Table1[[#This Row],[Site ID (from DATIM)]],"[Measures].[HVL_D_A]")</f>
        <v/>
      </c>
      <c r="AX63" s="68" t="str" vm="8726">
        <f>CUBEVALUE(ConnectionString,ReportMonth,Table1[[#This Row],[Site ID (from DATIM)]],"[Measures].[HVL_N_A]")</f>
        <v/>
      </c>
      <c r="AY63" s="67"/>
      <c r="AZ63" s="67"/>
      <c r="BA63" s="67"/>
      <c r="BB63" s="67"/>
      <c r="BC63" s="67"/>
      <c r="BD63" s="67"/>
      <c r="BE63" s="67"/>
      <c r="BF63" s="67"/>
      <c r="BG63" s="67" t="str" vm="13057">
        <f>CUBEVALUE(ConnectionString,ReportMonth,Table1[[#This Row],[Site ID (from DATIM)]],"[Measures].[TX_NEW_F_A]")</f>
        <v/>
      </c>
      <c r="BH63" s="67" t="str" vm="13953">
        <f>CUBEVALUE(ConnectionString,ReportMonth,Table1[[#This Row],[Site ID (from DATIM)]],"[Measures].[TX_NEW_M_A]")</f>
        <v/>
      </c>
      <c r="BI63" s="67" t="str" vm="13257">
        <f>CUBEVALUE(ConnectionString,ReportMonth,Table1[[#This Row],[Site ID (from DATIM)]],"[Measures].[TX_NEW_F_P]")</f>
        <v/>
      </c>
      <c r="BJ63" s="68" t="str" vm="13740">
        <f>CUBEVALUE(ConnectionString,ReportMonth,Table1[[#This Row],[Site ID (from DATIM)]],"[Measures].[TX_NEW_M_P]")</f>
        <v/>
      </c>
      <c r="BK63" s="68"/>
      <c r="BL63" s="68"/>
      <c r="BM63" s="68"/>
      <c r="BN63" s="68"/>
      <c r="BO63" s="68"/>
      <c r="BP63" s="68"/>
      <c r="BQ63" s="68" t="str" vm="10203">
        <f>CUBEVALUE(ConnectionString,ReportMonth,Table1[[#This Row],[Site ID (from DATIM)]],"[Measures].[TX_CURR_F_P]")</f>
        <v/>
      </c>
      <c r="BR63" s="68" t="str" vm="11441">
        <f>CUBEVALUE(ConnectionString,ReportMonth,Table1[[#This Row],[Site ID (from DATIM)]],"[Measures].[TX_CURR_M_P]")</f>
        <v/>
      </c>
      <c r="BS63" s="68" t="str" vm="8834">
        <f>CUBEVALUE(ConnectionString,ReportMonth,Table1[[#This Row],[Site ID (from DATIM)]],"[Measures].[TX_CURR_F_A]")</f>
        <v/>
      </c>
      <c r="BT63" s="68" t="str" vm="12522">
        <f>CUBEVALUE(ConnectionString,ReportMonth,Table1[[#This Row],[Site ID (from DATIM)]],"[Measures].[TX_CURR_M_A]")</f>
        <v/>
      </c>
      <c r="BU63" s="68" t="str" vm="19837">
        <f>CUBEVALUE(ConnectionString,ReportMonth,Table1[[#This Row],[Site ID (from DATIM)]],"[Measures].[MMS_01_89_F_P]")</f>
        <v/>
      </c>
      <c r="BV63" s="68" t="str" vm="18406">
        <f>CUBEVALUE(ConnectionString,ReportMonth,Table1[[#This Row],[Site ID (from DATIM)]],"[Measures].[MMS_01_89_M_P]")</f>
        <v/>
      </c>
      <c r="BW63" s="68" t="str" vm="19114">
        <f>CUBEVALUE(ConnectionString,ReportMonth,Table1[[#This Row],[Site ID (from DATIM)]],"[Measures].[MMS_01_89_F_A]")</f>
        <v/>
      </c>
      <c r="BX63" s="68" t="str" vm="16966">
        <f>CUBEVALUE(ConnectionString,ReportMonth,Table1[[#This Row],[Site ID (from DATIM)]],"[Measures].[MMS_01_89_M_A]")</f>
        <v/>
      </c>
      <c r="BY63" s="68" t="str" vm="17853">
        <f>CUBEVALUE(ConnectionString,ReportMonth,Table1[[#This Row],[Site ID (from DATIM)]],"[Measures].[MMS_90_179_F_P]")</f>
        <v/>
      </c>
      <c r="BZ63" s="68" t="str" vm="15020">
        <f>CUBEVALUE(ConnectionString,ReportMonth,Table1[[#This Row],[Site ID (from DATIM)]],"[Measures].[MMS_90_179_M_P]")</f>
        <v/>
      </c>
      <c r="CA63" s="68" t="str" vm="16937">
        <f>CUBEVALUE(ConnectionString,ReportMonth,Table1[[#This Row],[Site ID (from DATIM)]],"[Measures].[MMS_90_179_F_A]")</f>
        <v/>
      </c>
      <c r="CB63" s="68" t="str" vm="15178">
        <f>CUBEVALUE(ConnectionString,ReportMonth,Table1[[#This Row],[Site ID (from DATIM)]],"[Measures].[MMS_90_179_M_A]")</f>
        <v/>
      </c>
      <c r="CC63" s="68" t="str" vm="16833">
        <f>CUBEVALUE(ConnectionString,ReportMonth,Table1[[#This Row],[Site ID (from DATIM)]],"[Measures].[MMS_180+_F_P]")</f>
        <v/>
      </c>
      <c r="CD63" s="68" t="str" vm="16261">
        <f>CUBEVALUE(ConnectionString,ReportMonth,Table1[[#This Row],[Site ID (from DATIM)]],"[Measures].[MMS_180+_M_P]")</f>
        <v/>
      </c>
      <c r="CE63" s="68" t="str" vm="17461">
        <f>CUBEVALUE(ConnectionString,ReportMonth,Table1[[#This Row],[Site ID (from DATIM)]],"[Measures].[MMS_180+_F_A]")</f>
        <v/>
      </c>
      <c r="CF63" s="68" t="str" vm="58">
        <f>CUBEVALUE(ConnectionString,ReportMonth,Table1[[#This Row],[Site ID (from DATIM)]],"[Measures].[MMS_180+_M_A]")</f>
        <v/>
      </c>
      <c r="CG63" s="68" t="str" vm="8758">
        <f>CUBEVALUE(ConnectionString,ReportMonth,Table1[[#This Row],[Site ID (from DATIM)]],"[Measures].[MISSEDAPP]")</f>
        <v/>
      </c>
      <c r="CH63" s="68" t="str" vm="13269">
        <f>CUBEVALUE(ConnectionString,ReportMonth,Table1[[#This Row],[Site ID (from DATIM)]],"[Measures].[MMS_180+_P]")</f>
        <v/>
      </c>
      <c r="CI63" s="68" t="str" vm="12880">
        <f>CUBEVALUE(ConnectionString,ReportMonth,Table1[[#This Row],[Site ID (from DATIM)]],"[Measures].[MMS_180+_A]")</f>
        <v/>
      </c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</row>
    <row r="64" spans="1:107" x14ac:dyDescent="0.25">
      <c r="A64" s="66">
        <v>4</v>
      </c>
      <c r="B64" s="67" t="str" vm="4">
        <f t="shared" si="1"/>
        <v>Mar-2021</v>
      </c>
      <c r="C64" s="67"/>
      <c r="D64" s="67" t="s">
        <v>232</v>
      </c>
      <c r="E64" s="67" t="s">
        <v>233</v>
      </c>
      <c r="F64" s="67" t="s">
        <v>234</v>
      </c>
      <c r="G64" s="67"/>
      <c r="H64" s="67" t="s">
        <v>239</v>
      </c>
      <c r="I64" s="67" t="s">
        <v>253</v>
      </c>
      <c r="J64" s="67" t="s">
        <v>254</v>
      </c>
      <c r="K64" s="67" t="s">
        <v>255</v>
      </c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 t="str" vm="2748">
        <f>CUBEVALUE(ConnectionString,ReportMonth,Table1[[#This Row],[Site ID (from DATIM)]],"TX_NEW_2VIS")</f>
        <v/>
      </c>
      <c r="AE64" s="67" t="str" vm="3690">
        <f>CUBEVALUE(ConnectionString,ReportMonth,Table1[[#This Row],[Site ID (from DATIM)]],INDEX(SDI_Measures,1))</f>
        <v/>
      </c>
      <c r="AF64" s="67" t="str" vm="4303">
        <f>CUBEVALUE(ConnectionString,ReportMonth,Table1[[#This Row],[Site ID (from DATIM)]],INDEX(SDI_Measures,2))</f>
        <v/>
      </c>
      <c r="AG64" s="67" t="str" vm="2345">
        <f>CUBEVALUE(ConnectionString,ReportMonth,Table1[[#This Row],[Site ID (from DATIM)]],INDEX(SDI_Measures,3))</f>
        <v/>
      </c>
      <c r="AH64" s="67" vm="3516">
        <f>CUBEVALUE(ConnectionString,ReportMonth,Table1[[#This Row],[Site ID (from DATIM)]],"TX_CURR_PRIOR_MONTH")</f>
        <v>58</v>
      </c>
      <c r="AI64" s="67" vm="1568">
        <f>CUBEVALUE(ConnectionString,ReportMonth,Table1[[#This Row],[Site ID (from DATIM)]],"TX_CURR")</f>
        <v>42</v>
      </c>
      <c r="AJ64" s="67" t="str" vm="3930">
        <f>CUBEVALUE(ConnectionString,ReportMonth,Table1[[#This Row],[Site ID (from DATIM)]],"[Measures].[TI]")</f>
        <v/>
      </c>
      <c r="AK64" s="67" t="str" vm="3224">
        <f>CUBEVALUE(ConnectionString,ReportMonth,Table1[[#This Row],[Site ID (from DATIM)]],"[Measures].[TO]")</f>
        <v/>
      </c>
      <c r="AL64" s="67" t="str" vm="2074">
        <f>CUBEVALUE(ConnectionString,ReportMonth,Table1[[#This Row],[Site ID (from DATIM)]],"[Measures].[DIED]")</f>
        <v/>
      </c>
      <c r="AM64" s="67" vm="6118">
        <f>CUBEVALUE(ConnectionString,ReportMonth,Table1[[#This Row],[Site ID (from DATIM)]],"[Measures].[MMS_01_31]")</f>
        <v>22</v>
      </c>
      <c r="AN64" s="67" vm="9935">
        <f>CUBEVALUE(ConnectionString,ReportMonth,Table1[[#This Row],[Site ID (from DATIM)]],"[Measures].[MMS_32_62]")</f>
        <v>3</v>
      </c>
      <c r="AO64" s="67" vm="10544">
        <f>CUBEVALUE(ConnectionString,ReportMonth,Table1[[#This Row],[Site ID (from DATIM)]],"[Measures].[MMS_63+]")</f>
        <v>17</v>
      </c>
      <c r="AP64" s="67" vm="4928">
        <f>CUBEVALUE(ConnectionString,ReportMonth,Table1[[#This Row],[Site ID (from DATIM)]],"[Measures].[TBPREV_D]")</f>
        <v>4</v>
      </c>
      <c r="AQ64" s="67" vm="8292">
        <f>CUBEVALUE(ConnectionString,ReportMonth,Table1[[#This Row],[Site ID (from DATIM)]],"[Measures].[TBPREV_N]")</f>
        <v>1</v>
      </c>
      <c r="AR64" s="67" t="str" vm="6745">
        <f>CUBEVALUE(ConnectionString,ReportMonth,Table1[[#This Row],[Site ID (from DATIM)]],"[Measures].[TBPREV_NEW]")</f>
        <v/>
      </c>
      <c r="AS64" s="67" vm="5957">
        <f>CUBEVALUE(ConnectionString,ReportMonth,Table1[[#This Row],[Site ID (from DATIM)]],"[Measures].[HVL_ELIG_P]")</f>
        <v>1</v>
      </c>
      <c r="AT64" s="67" t="str" vm="7000">
        <f>CUBEVALUE(ConnectionString,ReportMonth,Table1[[#This Row],[Site ID (from DATIM)]],"[Measures].[HVL_D_P]")</f>
        <v/>
      </c>
      <c r="AU64" s="67" t="str" vm="8684">
        <f>CUBEVALUE(ConnectionString,ReportMonth,Table1[[#This Row],[Site ID (from DATIM)]],"[Measures].[HVL_N_P]")</f>
        <v/>
      </c>
      <c r="AV64" s="68" vm="7035">
        <f>CUBEVALUE(ConnectionString,ReportMonth,Table1[[#This Row],[Site ID (from DATIM)]],"[Measures].[HVL_ELIG_A]")</f>
        <v>29</v>
      </c>
      <c r="AW64" s="68" vm="9956">
        <f>CUBEVALUE(ConnectionString,ReportMonth,Table1[[#This Row],[Site ID (from DATIM)]],"[Measures].[HVL_D_A]")</f>
        <v>18</v>
      </c>
      <c r="AX64" s="68" vm="11778">
        <f>CUBEVALUE(ConnectionString,ReportMonth,Table1[[#This Row],[Site ID (from DATIM)]],"[Measures].[HVL_N_A]")</f>
        <v>18</v>
      </c>
      <c r="AY64" s="67"/>
      <c r="AZ64" s="67"/>
      <c r="BA64" s="67"/>
      <c r="BB64" s="67"/>
      <c r="BC64" s="67"/>
      <c r="BD64" s="67"/>
      <c r="BE64" s="67"/>
      <c r="BF64" s="67"/>
      <c r="BG64" s="67" t="str" vm="13298">
        <f>CUBEVALUE(ConnectionString,ReportMonth,Table1[[#This Row],[Site ID (from DATIM)]],"[Measures].[TX_NEW_F_A]")</f>
        <v/>
      </c>
      <c r="BH64" s="67" t="str" vm="13101">
        <f>CUBEVALUE(ConnectionString,ReportMonth,Table1[[#This Row],[Site ID (from DATIM)]],"[Measures].[TX_NEW_M_A]")</f>
        <v/>
      </c>
      <c r="BI64" s="67" t="str" vm="16194">
        <f>CUBEVALUE(ConnectionString,ReportMonth,Table1[[#This Row],[Site ID (from DATIM)]],"[Measures].[TX_NEW_F_P]")</f>
        <v/>
      </c>
      <c r="BJ64" s="68" t="str" vm="13200">
        <f>CUBEVALUE(ConnectionString,ReportMonth,Table1[[#This Row],[Site ID (from DATIM)]],"[Measures].[TX_NEW_M_P]")</f>
        <v/>
      </c>
      <c r="BK64" s="68"/>
      <c r="BL64" s="68"/>
      <c r="BM64" s="68"/>
      <c r="BN64" s="68"/>
      <c r="BO64" s="68"/>
      <c r="BP64" s="68"/>
      <c r="BQ64" s="68" t="str" vm="14012">
        <f>CUBEVALUE(ConnectionString,ReportMonth,Table1[[#This Row],[Site ID (from DATIM)]],"[Measures].[TX_CURR_F_P]")</f>
        <v/>
      </c>
      <c r="BR64" s="68" vm="13963">
        <f>CUBEVALUE(ConnectionString,ReportMonth,Table1[[#This Row],[Site ID (from DATIM)]],"[Measures].[TX_CURR_M_P]")</f>
        <v>1</v>
      </c>
      <c r="BS64" s="68" vm="10326">
        <f>CUBEVALUE(ConnectionString,ReportMonth,Table1[[#This Row],[Site ID (from DATIM)]],"[Measures].[TX_CURR_F_A]")</f>
        <v>36</v>
      </c>
      <c r="BT64" s="68" vm="13937">
        <f>CUBEVALUE(ConnectionString,ReportMonth,Table1[[#This Row],[Site ID (from DATIM)]],"[Measures].[TX_CURR_M_A]")</f>
        <v>5</v>
      </c>
      <c r="BU64" s="68" t="str" vm="18735">
        <f>CUBEVALUE(ConnectionString,ReportMonth,Table1[[#This Row],[Site ID (from DATIM)]],"[Measures].[MMS_01_89_F_P]")</f>
        <v/>
      </c>
      <c r="BV64" s="68" vm="18033">
        <f>CUBEVALUE(ConnectionString,ReportMonth,Table1[[#This Row],[Site ID (from DATIM)]],"[Measures].[MMS_01_89_M_P]")</f>
        <v>1</v>
      </c>
      <c r="BW64" s="68" vm="19945">
        <f>CUBEVALUE(ConnectionString,ReportMonth,Table1[[#This Row],[Site ID (from DATIM)]],"[Measures].[MMS_01_89_F_A]")</f>
        <v>21</v>
      </c>
      <c r="BX64" s="68" vm="19181">
        <f>CUBEVALUE(ConnectionString,ReportMonth,Table1[[#This Row],[Site ID (from DATIM)]],"[Measures].[MMS_01_89_M_A]")</f>
        <v>3</v>
      </c>
      <c r="BY64" s="68" t="str" vm="18168">
        <f>CUBEVALUE(ConnectionString,ReportMonth,Table1[[#This Row],[Site ID (from DATIM)]],"[Measures].[MMS_90_179_F_P]")</f>
        <v/>
      </c>
      <c r="BZ64" s="68" t="str" vm="19069">
        <f>CUBEVALUE(ConnectionString,ReportMonth,Table1[[#This Row],[Site ID (from DATIM)]],"[Measures].[MMS_90_179_M_P]")</f>
        <v/>
      </c>
      <c r="CA64" s="68" vm="17596">
        <f>CUBEVALUE(ConnectionString,ReportMonth,Table1[[#This Row],[Site ID (from DATIM)]],"[Measures].[MMS_90_179_F_A]")</f>
        <v>15</v>
      </c>
      <c r="CB64" s="68" vm="16924">
        <f>CUBEVALUE(ConnectionString,ReportMonth,Table1[[#This Row],[Site ID (from DATIM)]],"[Measures].[MMS_90_179_M_A]")</f>
        <v>2</v>
      </c>
      <c r="CC64" s="68" t="str" vm="15490">
        <f>CUBEVALUE(ConnectionString,ReportMonth,Table1[[#This Row],[Site ID (from DATIM)]],"[Measures].[MMS_180+_F_P]")</f>
        <v/>
      </c>
      <c r="CD64" s="68" t="str" vm="17172">
        <f>CUBEVALUE(ConnectionString,ReportMonth,Table1[[#This Row],[Site ID (from DATIM)]],"[Measures].[MMS_180+_M_P]")</f>
        <v/>
      </c>
      <c r="CE64" s="68" t="str" vm="17131">
        <f>CUBEVALUE(ConnectionString,ReportMonth,Table1[[#This Row],[Site ID (from DATIM)]],"[Measures].[MMS_180+_F_A]")</f>
        <v/>
      </c>
      <c r="CF64" s="68" t="str" vm="32">
        <f>CUBEVALUE(ConnectionString,ReportMonth,Table1[[#This Row],[Site ID (from DATIM)]],"[Measures].[MMS_180+_M_A]")</f>
        <v/>
      </c>
      <c r="CG64" s="68" vm="5655">
        <f>CUBEVALUE(ConnectionString,ReportMonth,Table1[[#This Row],[Site ID (from DATIM)]],"[Measures].[MISSEDAPP]")</f>
        <v>31</v>
      </c>
      <c r="CH64" s="68" t="str" vm="11448">
        <f>CUBEVALUE(ConnectionString,ReportMonth,Table1[[#This Row],[Site ID (from DATIM)]],"[Measures].[MMS_180+_P]")</f>
        <v/>
      </c>
      <c r="CI64" s="68" t="str" vm="11521">
        <f>CUBEVALUE(ConnectionString,ReportMonth,Table1[[#This Row],[Site ID (from DATIM)]],"[Measures].[MMS_180+_A]")</f>
        <v/>
      </c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</row>
    <row r="65" spans="1:107" x14ac:dyDescent="0.25">
      <c r="A65" s="66">
        <v>3</v>
      </c>
      <c r="B65" s="67" t="str" vm="4">
        <f t="shared" si="1"/>
        <v>Mar-2021</v>
      </c>
      <c r="C65" s="67"/>
      <c r="D65" s="67" t="s">
        <v>232</v>
      </c>
      <c r="E65" s="67" t="s">
        <v>233</v>
      </c>
      <c r="F65" s="67" t="s">
        <v>1286</v>
      </c>
      <c r="G65" s="67"/>
      <c r="H65" s="67" t="s">
        <v>1291</v>
      </c>
      <c r="I65" s="67" t="s">
        <v>1311</v>
      </c>
      <c r="J65" s="67" t="s">
        <v>1312</v>
      </c>
      <c r="K65" s="67" t="s">
        <v>1313</v>
      </c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 t="str" vm="865">
        <f>CUBEVALUE(ConnectionString,ReportMonth,Table1[[#This Row],[Site ID (from DATIM)]],"TX_NEW_2VIS")</f>
        <v/>
      </c>
      <c r="AE65" s="67" t="str" vm="5435">
        <f>CUBEVALUE(ConnectionString,ReportMonth,Table1[[#This Row],[Site ID (from DATIM)]],INDEX(SDI_Measures,1))</f>
        <v/>
      </c>
      <c r="AF65" s="67" t="str" vm="4125">
        <f>CUBEVALUE(ConnectionString,ReportMonth,Table1[[#This Row],[Site ID (from DATIM)]],INDEX(SDI_Measures,2))</f>
        <v/>
      </c>
      <c r="AG65" s="67" t="str" vm="887">
        <f>CUBEVALUE(ConnectionString,ReportMonth,Table1[[#This Row],[Site ID (from DATIM)]],INDEX(SDI_Measures,3))</f>
        <v/>
      </c>
      <c r="AH65" s="67" t="str" vm="4033">
        <f>CUBEVALUE(ConnectionString,ReportMonth,Table1[[#This Row],[Site ID (from DATIM)]],"TX_CURR_PRIOR_MONTH")</f>
        <v/>
      </c>
      <c r="AI65" s="67" t="str" vm="1441">
        <f>CUBEVALUE(ConnectionString,ReportMonth,Table1[[#This Row],[Site ID (from DATIM)]],"TX_CURR")</f>
        <v/>
      </c>
      <c r="AJ65" s="67" t="str" vm="2920">
        <f>CUBEVALUE(ConnectionString,ReportMonth,Table1[[#This Row],[Site ID (from DATIM)]],"[Measures].[TI]")</f>
        <v/>
      </c>
      <c r="AK65" s="67" t="str" vm="3422">
        <f>CUBEVALUE(ConnectionString,ReportMonth,Table1[[#This Row],[Site ID (from DATIM)]],"[Measures].[TO]")</f>
        <v/>
      </c>
      <c r="AL65" s="67" t="str" vm="2161">
        <f>CUBEVALUE(ConnectionString,ReportMonth,Table1[[#This Row],[Site ID (from DATIM)]],"[Measures].[DIED]")</f>
        <v/>
      </c>
      <c r="AM65" s="67" t="str" vm="10026">
        <f>CUBEVALUE(ConnectionString,ReportMonth,Table1[[#This Row],[Site ID (from DATIM)]],"[Measures].[MMS_01_31]")</f>
        <v/>
      </c>
      <c r="AN65" s="67" t="str" vm="5464">
        <f>CUBEVALUE(ConnectionString,ReportMonth,Table1[[#This Row],[Site ID (from DATIM)]],"[Measures].[MMS_32_62]")</f>
        <v/>
      </c>
      <c r="AO65" s="67" t="str" vm="13640">
        <f>CUBEVALUE(ConnectionString,ReportMonth,Table1[[#This Row],[Site ID (from DATIM)]],"[Measures].[MMS_63+]")</f>
        <v/>
      </c>
      <c r="AP65" s="67" t="str" vm="7430">
        <f>CUBEVALUE(ConnectionString,ReportMonth,Table1[[#This Row],[Site ID (from DATIM)]],"[Measures].[TBPREV_D]")</f>
        <v/>
      </c>
      <c r="AQ65" s="67" t="str" vm="4826">
        <f>CUBEVALUE(ConnectionString,ReportMonth,Table1[[#This Row],[Site ID (from DATIM)]],"[Measures].[TBPREV_N]")</f>
        <v/>
      </c>
      <c r="AR65" s="67" t="str" vm="7524">
        <f>CUBEVALUE(ConnectionString,ReportMonth,Table1[[#This Row],[Site ID (from DATIM)]],"[Measures].[TBPREV_NEW]")</f>
        <v/>
      </c>
      <c r="AS65" s="67" t="str" vm="5998">
        <f>CUBEVALUE(ConnectionString,ReportMonth,Table1[[#This Row],[Site ID (from DATIM)]],"[Measures].[HVL_ELIG_P]")</f>
        <v/>
      </c>
      <c r="AT65" s="67" t="str" vm="6714">
        <f>CUBEVALUE(ConnectionString,ReportMonth,Table1[[#This Row],[Site ID (from DATIM)]],"[Measures].[HVL_D_P]")</f>
        <v/>
      </c>
      <c r="AU65" s="67" t="str" vm="12682">
        <f>CUBEVALUE(ConnectionString,ReportMonth,Table1[[#This Row],[Site ID (from DATIM)]],"[Measures].[HVL_N_P]")</f>
        <v/>
      </c>
      <c r="AV65" s="68" t="str" vm="9799">
        <f>CUBEVALUE(ConnectionString,ReportMonth,Table1[[#This Row],[Site ID (from DATIM)]],"[Measures].[HVL_ELIG_A]")</f>
        <v/>
      </c>
      <c r="AW65" s="68" t="str" vm="10836">
        <f>CUBEVALUE(ConnectionString,ReportMonth,Table1[[#This Row],[Site ID (from DATIM)]],"[Measures].[HVL_D_A]")</f>
        <v/>
      </c>
      <c r="AX65" s="68" t="str" vm="9204">
        <f>CUBEVALUE(ConnectionString,ReportMonth,Table1[[#This Row],[Site ID (from DATIM)]],"[Measures].[HVL_N_A]")</f>
        <v/>
      </c>
      <c r="AY65" s="67"/>
      <c r="AZ65" s="67"/>
      <c r="BA65" s="67"/>
      <c r="BB65" s="67"/>
      <c r="BC65" s="67"/>
      <c r="BD65" s="67"/>
      <c r="BE65" s="67"/>
      <c r="BF65" s="67"/>
      <c r="BG65" s="67" t="str" vm="14805">
        <f>CUBEVALUE(ConnectionString,ReportMonth,Table1[[#This Row],[Site ID (from DATIM)]],"[Measures].[TX_NEW_F_A]")</f>
        <v/>
      </c>
      <c r="BH65" s="67" t="str" vm="11429">
        <f>CUBEVALUE(ConnectionString,ReportMonth,Table1[[#This Row],[Site ID (from DATIM)]],"[Measures].[TX_NEW_M_A]")</f>
        <v/>
      </c>
      <c r="BI65" s="67" t="str" vm="17070">
        <f>CUBEVALUE(ConnectionString,ReportMonth,Table1[[#This Row],[Site ID (from DATIM)]],"[Measures].[TX_NEW_F_P]")</f>
        <v/>
      </c>
      <c r="BJ65" s="68" t="str" vm="12860">
        <f>CUBEVALUE(ConnectionString,ReportMonth,Table1[[#This Row],[Site ID (from DATIM)]],"[Measures].[TX_NEW_M_P]")</f>
        <v/>
      </c>
      <c r="BK65" s="68"/>
      <c r="BL65" s="68"/>
      <c r="BM65" s="68"/>
      <c r="BN65" s="68"/>
      <c r="BO65" s="68"/>
      <c r="BP65" s="68"/>
      <c r="BQ65" s="68" t="str" vm="11823">
        <f>CUBEVALUE(ConnectionString,ReportMonth,Table1[[#This Row],[Site ID (from DATIM)]],"[Measures].[TX_CURR_F_P]")</f>
        <v/>
      </c>
      <c r="BR65" s="68" t="str" vm="11031">
        <f>CUBEVALUE(ConnectionString,ReportMonth,Table1[[#This Row],[Site ID (from DATIM)]],"[Measures].[TX_CURR_M_P]")</f>
        <v/>
      </c>
      <c r="BS65" s="68" t="str" vm="8158">
        <f>CUBEVALUE(ConnectionString,ReportMonth,Table1[[#This Row],[Site ID (from DATIM)]],"[Measures].[TX_CURR_F_A]")</f>
        <v/>
      </c>
      <c r="BT65" s="68" t="str" vm="12990">
        <f>CUBEVALUE(ConnectionString,ReportMonth,Table1[[#This Row],[Site ID (from DATIM)]],"[Measures].[TX_CURR_M_A]")</f>
        <v/>
      </c>
      <c r="BU65" s="68" t="str" vm="20046">
        <f>CUBEVALUE(ConnectionString,ReportMonth,Table1[[#This Row],[Site ID (from DATIM)]],"[Measures].[MMS_01_89_F_P]")</f>
        <v/>
      </c>
      <c r="BV65" s="68" t="str" vm="18976">
        <f>CUBEVALUE(ConnectionString,ReportMonth,Table1[[#This Row],[Site ID (from DATIM)]],"[Measures].[MMS_01_89_M_P]")</f>
        <v/>
      </c>
      <c r="BW65" s="68" t="str" vm="18015">
        <f>CUBEVALUE(ConnectionString,ReportMonth,Table1[[#This Row],[Site ID (from DATIM)]],"[Measures].[MMS_01_89_F_A]")</f>
        <v/>
      </c>
      <c r="BX65" s="68" t="str" vm="18285">
        <f>CUBEVALUE(ConnectionString,ReportMonth,Table1[[#This Row],[Site ID (from DATIM)]],"[Measures].[MMS_01_89_M_A]")</f>
        <v/>
      </c>
      <c r="BY65" s="68" t="str" vm="19350">
        <f>CUBEVALUE(ConnectionString,ReportMonth,Table1[[#This Row],[Site ID (from DATIM)]],"[Measures].[MMS_90_179_F_P]")</f>
        <v/>
      </c>
      <c r="BZ65" s="68" t="str" vm="16867">
        <f>CUBEVALUE(ConnectionString,ReportMonth,Table1[[#This Row],[Site ID (from DATIM)]],"[Measures].[MMS_90_179_M_P]")</f>
        <v/>
      </c>
      <c r="CA65" s="68" t="str" vm="16426">
        <f>CUBEVALUE(ConnectionString,ReportMonth,Table1[[#This Row],[Site ID (from DATIM)]],"[Measures].[MMS_90_179_F_A]")</f>
        <v/>
      </c>
      <c r="CB65" s="68" t="str" vm="15571">
        <f>CUBEVALUE(ConnectionString,ReportMonth,Table1[[#This Row],[Site ID (from DATIM)]],"[Measures].[MMS_90_179_M_A]")</f>
        <v/>
      </c>
      <c r="CC65" s="68" t="str" vm="16869">
        <f>CUBEVALUE(ConnectionString,ReportMonth,Table1[[#This Row],[Site ID (from DATIM)]],"[Measures].[MMS_180+_F_P]")</f>
        <v/>
      </c>
      <c r="CD65" s="68" t="str" vm="16351">
        <f>CUBEVALUE(ConnectionString,ReportMonth,Table1[[#This Row],[Site ID (from DATIM)]],"[Measures].[MMS_180+_M_P]")</f>
        <v/>
      </c>
      <c r="CE65" s="68" t="str" vm="16707">
        <f>CUBEVALUE(ConnectionString,ReportMonth,Table1[[#This Row],[Site ID (from DATIM)]],"[Measures].[MMS_180+_F_A]")</f>
        <v/>
      </c>
      <c r="CF65" s="68" t="str" vm="67">
        <f>CUBEVALUE(ConnectionString,ReportMonth,Table1[[#This Row],[Site ID (from DATIM)]],"[Measures].[MMS_180+_M_A]")</f>
        <v/>
      </c>
      <c r="CG65" s="68" t="str" vm="12234">
        <f>CUBEVALUE(ConnectionString,ReportMonth,Table1[[#This Row],[Site ID (from DATIM)]],"[Measures].[MISSEDAPP]")</f>
        <v/>
      </c>
      <c r="CH65" s="68" t="str" vm="12693">
        <f>CUBEVALUE(ConnectionString,ReportMonth,Table1[[#This Row],[Site ID (from DATIM)]],"[Measures].[MMS_180+_P]")</f>
        <v/>
      </c>
      <c r="CI65" s="68" t="str" vm="13510">
        <f>CUBEVALUE(ConnectionString,ReportMonth,Table1[[#This Row],[Site ID (from DATIM)]],"[Measures].[MMS_180+_A]")</f>
        <v/>
      </c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</row>
    <row r="66" spans="1:107" x14ac:dyDescent="0.25">
      <c r="A66" s="66">
        <v>4</v>
      </c>
      <c r="B66" s="67" t="str" vm="4">
        <f t="shared" si="1"/>
        <v>Mar-2021</v>
      </c>
      <c r="C66" s="67"/>
      <c r="D66" s="67" t="s">
        <v>232</v>
      </c>
      <c r="E66" s="67" t="s">
        <v>233</v>
      </c>
      <c r="F66" s="67" t="s">
        <v>1083</v>
      </c>
      <c r="G66" s="67"/>
      <c r="H66" s="67" t="s">
        <v>1084</v>
      </c>
      <c r="I66" s="67" t="s">
        <v>796</v>
      </c>
      <c r="J66" s="67" t="s">
        <v>1129</v>
      </c>
      <c r="K66" s="67" t="s">
        <v>1130</v>
      </c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 t="str" vm="3209">
        <f>CUBEVALUE(ConnectionString,ReportMonth,Table1[[#This Row],[Site ID (from DATIM)]],"TX_NEW_2VIS")</f>
        <v/>
      </c>
      <c r="AE66" s="67" t="str" vm="1312">
        <f>CUBEVALUE(ConnectionString,ReportMonth,Table1[[#This Row],[Site ID (from DATIM)]],INDEX(SDI_Measures,1))</f>
        <v/>
      </c>
      <c r="AF66" s="67" t="str" vm="2265">
        <f>CUBEVALUE(ConnectionString,ReportMonth,Table1[[#This Row],[Site ID (from DATIM)]],INDEX(SDI_Measures,2))</f>
        <v/>
      </c>
      <c r="AG66" s="67" t="str" vm="1471">
        <f>CUBEVALUE(ConnectionString,ReportMonth,Table1[[#This Row],[Site ID (from DATIM)]],INDEX(SDI_Measures,3))</f>
        <v/>
      </c>
      <c r="AH66" s="67" vm="3354">
        <f>CUBEVALUE(ConnectionString,ReportMonth,Table1[[#This Row],[Site ID (from DATIM)]],"TX_CURR_PRIOR_MONTH")</f>
        <v>85</v>
      </c>
      <c r="AI66" s="67" vm="1963">
        <f>CUBEVALUE(ConnectionString,ReportMonth,Table1[[#This Row],[Site ID (from DATIM)]],"TX_CURR")</f>
        <v>83</v>
      </c>
      <c r="AJ66" s="67" vm="2724">
        <f>CUBEVALUE(ConnectionString,ReportMonth,Table1[[#This Row],[Site ID (from DATIM)]],"[Measures].[TI]")</f>
        <v>1</v>
      </c>
      <c r="AK66" s="67" t="str" vm="3666">
        <f>CUBEVALUE(ConnectionString,ReportMonth,Table1[[#This Row],[Site ID (from DATIM)]],"[Measures].[TO]")</f>
        <v/>
      </c>
      <c r="AL66" s="67" t="str" vm="2413">
        <f>CUBEVALUE(ConnectionString,ReportMonth,Table1[[#This Row],[Site ID (from DATIM)]],"[Measures].[DIED]")</f>
        <v/>
      </c>
      <c r="AM66" s="67" vm="6057">
        <f>CUBEVALUE(ConnectionString,ReportMonth,Table1[[#This Row],[Site ID (from DATIM)]],"[Measures].[MMS_01_31]")</f>
        <v>52</v>
      </c>
      <c r="AN66" s="67" t="str" vm="5113">
        <f>CUBEVALUE(ConnectionString,ReportMonth,Table1[[#This Row],[Site ID (from DATIM)]],"[Measures].[MMS_32_62]")</f>
        <v/>
      </c>
      <c r="AO66" s="67" vm="5858">
        <f>CUBEVALUE(ConnectionString,ReportMonth,Table1[[#This Row],[Site ID (from DATIM)]],"[Measures].[MMS_63+]")</f>
        <v>31</v>
      </c>
      <c r="AP66" s="67" vm="4771">
        <f>CUBEVALUE(ConnectionString,ReportMonth,Table1[[#This Row],[Site ID (from DATIM)]],"[Measures].[TBPREV_D]")</f>
        <v>2</v>
      </c>
      <c r="AQ66" s="67" t="str" vm="6631">
        <f>CUBEVALUE(ConnectionString,ReportMonth,Table1[[#This Row],[Site ID (from DATIM)]],"[Measures].[TBPREV_N]")</f>
        <v/>
      </c>
      <c r="AR66" s="67" vm="6944">
        <f>CUBEVALUE(ConnectionString,ReportMonth,Table1[[#This Row],[Site ID (from DATIM)]],"[Measures].[TBPREV_NEW]")</f>
        <v>1</v>
      </c>
      <c r="AS66" s="67" t="str" vm="5801">
        <f>CUBEVALUE(ConnectionString,ReportMonth,Table1[[#This Row],[Site ID (from DATIM)]],"[Measures].[HVL_ELIG_P]")</f>
        <v/>
      </c>
      <c r="AT66" s="67" t="str" vm="6577">
        <f>CUBEVALUE(ConnectionString,ReportMonth,Table1[[#This Row],[Site ID (from DATIM)]],"[Measures].[HVL_D_P]")</f>
        <v/>
      </c>
      <c r="AU66" s="67" t="str" vm="9831">
        <f>CUBEVALUE(ConnectionString,ReportMonth,Table1[[#This Row],[Site ID (from DATIM)]],"[Measures].[HVL_N_P]")</f>
        <v/>
      </c>
      <c r="AV66" s="68" vm="9026">
        <f>CUBEVALUE(ConnectionString,ReportMonth,Table1[[#This Row],[Site ID (from DATIM)]],"[Measures].[HVL_ELIG_A]")</f>
        <v>6</v>
      </c>
      <c r="AW66" s="68" vm="8981">
        <f>CUBEVALUE(ConnectionString,ReportMonth,Table1[[#This Row],[Site ID (from DATIM)]],"[Measures].[HVL_D_A]")</f>
        <v>13</v>
      </c>
      <c r="AX66" s="68" vm="9737">
        <f>CUBEVALUE(ConnectionString,ReportMonth,Table1[[#This Row],[Site ID (from DATIM)]],"[Measures].[HVL_N_A]")</f>
        <v>12</v>
      </c>
      <c r="AY66" s="67"/>
      <c r="AZ66" s="67"/>
      <c r="BA66" s="67"/>
      <c r="BB66" s="67"/>
      <c r="BC66" s="67"/>
      <c r="BD66" s="67"/>
      <c r="BE66" s="67"/>
      <c r="BF66" s="67"/>
      <c r="BG66" s="67" t="str" vm="12948">
        <f>CUBEVALUE(ConnectionString,ReportMonth,Table1[[#This Row],[Site ID (from DATIM)]],"[Measures].[TX_NEW_F_A]")</f>
        <v/>
      </c>
      <c r="BH66" s="67" t="str" vm="13303">
        <f>CUBEVALUE(ConnectionString,ReportMonth,Table1[[#This Row],[Site ID (from DATIM)]],"[Measures].[TX_NEW_M_A]")</f>
        <v/>
      </c>
      <c r="BI66" s="67" t="str" vm="13972">
        <f>CUBEVALUE(ConnectionString,ReportMonth,Table1[[#This Row],[Site ID (from DATIM)]],"[Measures].[TX_NEW_F_P]")</f>
        <v/>
      </c>
      <c r="BJ66" s="68" t="str" vm="14419">
        <f>CUBEVALUE(ConnectionString,ReportMonth,Table1[[#This Row],[Site ID (from DATIM)]],"[Measures].[TX_NEW_M_P]")</f>
        <v/>
      </c>
      <c r="BK66" s="68"/>
      <c r="BL66" s="68"/>
      <c r="BM66" s="68"/>
      <c r="BN66" s="68"/>
      <c r="BO66" s="68"/>
      <c r="BP66" s="68"/>
      <c r="BQ66" s="68" vm="10295">
        <f>CUBEVALUE(ConnectionString,ReportMonth,Table1[[#This Row],[Site ID (from DATIM)]],"[Measures].[TX_CURR_F_P]")</f>
        <v>3</v>
      </c>
      <c r="BR66" s="68" t="str" vm="11193">
        <f>CUBEVALUE(ConnectionString,ReportMonth,Table1[[#This Row],[Site ID (from DATIM)]],"[Measures].[TX_CURR_M_P]")</f>
        <v/>
      </c>
      <c r="BS66" s="68" vm="10664">
        <f>CUBEVALUE(ConnectionString,ReportMonth,Table1[[#This Row],[Site ID (from DATIM)]],"[Measures].[TX_CURR_F_A]")</f>
        <v>60</v>
      </c>
      <c r="BT66" s="68" vm="9624">
        <f>CUBEVALUE(ConnectionString,ReportMonth,Table1[[#This Row],[Site ID (from DATIM)]],"[Measures].[TX_CURR_M_A]")</f>
        <v>20</v>
      </c>
      <c r="BU66" s="68" vm="19540">
        <f>CUBEVALUE(ConnectionString,ReportMonth,Table1[[#This Row],[Site ID (from DATIM)]],"[Measures].[MMS_01_89_F_P]")</f>
        <v>2</v>
      </c>
      <c r="BV66" s="68" t="str" vm="18019">
        <f>CUBEVALUE(ConnectionString,ReportMonth,Table1[[#This Row],[Site ID (from DATIM)]],"[Measures].[MMS_01_89_M_P]")</f>
        <v/>
      </c>
      <c r="BW66" s="68" vm="19225">
        <f>CUBEVALUE(ConnectionString,ReportMonth,Table1[[#This Row],[Site ID (from DATIM)]],"[Measures].[MMS_01_89_F_A]")</f>
        <v>34</v>
      </c>
      <c r="BX66" s="68" vm="19979">
        <f>CUBEVALUE(ConnectionString,ReportMonth,Table1[[#This Row],[Site ID (from DATIM)]],"[Measures].[MMS_01_89_M_A]")</f>
        <v>16</v>
      </c>
      <c r="BY66" s="68" vm="19920">
        <f>CUBEVALUE(ConnectionString,ReportMonth,Table1[[#This Row],[Site ID (from DATIM)]],"[Measures].[MMS_90_179_F_P]")</f>
        <v>1</v>
      </c>
      <c r="BZ66" s="68" t="str" vm="19854">
        <f>CUBEVALUE(ConnectionString,ReportMonth,Table1[[#This Row],[Site ID (from DATIM)]],"[Measures].[MMS_90_179_M_P]")</f>
        <v/>
      </c>
      <c r="CA66" s="68" vm="15931">
        <f>CUBEVALUE(ConnectionString,ReportMonth,Table1[[#This Row],[Site ID (from DATIM)]],"[Measures].[MMS_90_179_F_A]")</f>
        <v>26</v>
      </c>
      <c r="CB66" s="68" vm="17314">
        <f>CUBEVALUE(ConnectionString,ReportMonth,Table1[[#This Row],[Site ID (from DATIM)]],"[Measures].[MMS_90_179_M_A]")</f>
        <v>4</v>
      </c>
      <c r="CC66" s="68" t="str" vm="15045">
        <f>CUBEVALUE(ConnectionString,ReportMonth,Table1[[#This Row],[Site ID (from DATIM)]],"[Measures].[MMS_180+_F_P]")</f>
        <v/>
      </c>
      <c r="CD66" s="68" t="str" vm="16336">
        <f>CUBEVALUE(ConnectionString,ReportMonth,Table1[[#This Row],[Site ID (from DATIM)]],"[Measures].[MMS_180+_M_P]")</f>
        <v/>
      </c>
      <c r="CE66" s="68" t="str" vm="17536">
        <f>CUBEVALUE(ConnectionString,ReportMonth,Table1[[#This Row],[Site ID (from DATIM)]],"[Measures].[MMS_180+_F_A]")</f>
        <v/>
      </c>
      <c r="CF66" s="68" t="str" vm="17457">
        <f>CUBEVALUE(ConnectionString,ReportMonth,Table1[[#This Row],[Site ID (from DATIM)]],"[Measures].[MMS_180+_M_A]")</f>
        <v/>
      </c>
      <c r="CG66" s="68" vm="6782">
        <f>CUBEVALUE(ConnectionString,ReportMonth,Table1[[#This Row],[Site ID (from DATIM)]],"[Measures].[MISSEDAPP]")</f>
        <v>57</v>
      </c>
      <c r="CH66" s="68" t="str" vm="13611">
        <f>CUBEVALUE(ConnectionString,ReportMonth,Table1[[#This Row],[Site ID (from DATIM)]],"[Measures].[MMS_180+_P]")</f>
        <v/>
      </c>
      <c r="CI66" s="68" t="str" vm="13116">
        <f>CUBEVALUE(ConnectionString,ReportMonth,Table1[[#This Row],[Site ID (from DATIM)]],"[Measures].[MMS_180+_A]")</f>
        <v/>
      </c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</row>
    <row r="67" spans="1:107" x14ac:dyDescent="0.25">
      <c r="A67" s="66">
        <v>3</v>
      </c>
      <c r="B67" s="67" t="str" vm="4">
        <f t="shared" si="1"/>
        <v>Mar-2021</v>
      </c>
      <c r="C67" s="67"/>
      <c r="D67" s="67" t="s">
        <v>232</v>
      </c>
      <c r="E67" s="67" t="s">
        <v>233</v>
      </c>
      <c r="F67" s="67" t="s">
        <v>1083</v>
      </c>
      <c r="G67" s="67"/>
      <c r="H67" s="67" t="s">
        <v>1113</v>
      </c>
      <c r="I67" s="67" t="s">
        <v>1131</v>
      </c>
      <c r="J67" s="67" t="s">
        <v>1132</v>
      </c>
      <c r="K67" s="67" t="s">
        <v>1133</v>
      </c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 t="str" vm="3872">
        <f>CUBEVALUE(ConnectionString,ReportMonth,Table1[[#This Row],[Site ID (from DATIM)]],"TX_NEW_2VIS")</f>
        <v/>
      </c>
      <c r="AE67" s="67" t="str" vm="1789">
        <f>CUBEVALUE(ConnectionString,ReportMonth,Table1[[#This Row],[Site ID (from DATIM)]],INDEX(SDI_Measures,1))</f>
        <v/>
      </c>
      <c r="AF67" s="67" t="str" vm="1585">
        <f>CUBEVALUE(ConnectionString,ReportMonth,Table1[[#This Row],[Site ID (from DATIM)]],INDEX(SDI_Measures,2))</f>
        <v/>
      </c>
      <c r="AG67" s="67" t="str" vm="1055">
        <f>CUBEVALUE(ConnectionString,ReportMonth,Table1[[#This Row],[Site ID (from DATIM)]],INDEX(SDI_Measures,3))</f>
        <v/>
      </c>
      <c r="AH67" s="67" vm="2591">
        <f>CUBEVALUE(ConnectionString,ReportMonth,Table1[[#This Row],[Site ID (from DATIM)]],"TX_CURR_PRIOR_MONTH")</f>
        <v>200</v>
      </c>
      <c r="AI67" s="67" vm="2163">
        <f>CUBEVALUE(ConnectionString,ReportMonth,Table1[[#This Row],[Site ID (from DATIM)]],"TX_CURR")</f>
        <v>199</v>
      </c>
      <c r="AJ67" s="67" t="str" vm="4145">
        <f>CUBEVALUE(ConnectionString,ReportMonth,Table1[[#This Row],[Site ID (from DATIM)]],"[Measures].[TI]")</f>
        <v/>
      </c>
      <c r="AK67" s="67" t="str" vm="2235">
        <f>CUBEVALUE(ConnectionString,ReportMonth,Table1[[#This Row],[Site ID (from DATIM)]],"[Measures].[TO]")</f>
        <v/>
      </c>
      <c r="AL67" s="67" t="str" vm="4159">
        <f>CUBEVALUE(ConnectionString,ReportMonth,Table1[[#This Row],[Site ID (from DATIM)]],"[Measures].[DIED]")</f>
        <v/>
      </c>
      <c r="AM67" s="67" vm="3440">
        <f>CUBEVALUE(ConnectionString,ReportMonth,Table1[[#This Row],[Site ID (from DATIM)]],"[Measures].[MMS_01_31]")</f>
        <v>196</v>
      </c>
      <c r="AN67" s="67" vm="13369">
        <f>CUBEVALUE(ConnectionString,ReportMonth,Table1[[#This Row],[Site ID (from DATIM)]],"[Measures].[MMS_32_62]")</f>
        <v>3</v>
      </c>
      <c r="AO67" s="67" t="str" vm="6104">
        <f>CUBEVALUE(ConnectionString,ReportMonth,Table1[[#This Row],[Site ID (from DATIM)]],"[Measures].[MMS_63+]")</f>
        <v/>
      </c>
      <c r="AP67" s="67" vm="7111">
        <f>CUBEVALUE(ConnectionString,ReportMonth,Table1[[#This Row],[Site ID (from DATIM)]],"[Measures].[TBPREV_D]")</f>
        <v>14</v>
      </c>
      <c r="AQ67" s="67" vm="6072">
        <f>CUBEVALUE(ConnectionString,ReportMonth,Table1[[#This Row],[Site ID (from DATIM)]],"[Measures].[TBPREV_N]")</f>
        <v>8</v>
      </c>
      <c r="AR67" s="67" t="str" vm="7525">
        <f>CUBEVALUE(ConnectionString,ReportMonth,Table1[[#This Row],[Site ID (from DATIM)]],"[Measures].[TBPREV_NEW]")</f>
        <v/>
      </c>
      <c r="AS67" s="67" vm="7679">
        <f>CUBEVALUE(ConnectionString,ReportMonth,Table1[[#This Row],[Site ID (from DATIM)]],"[Measures].[HVL_ELIG_P]")</f>
        <v>16</v>
      </c>
      <c r="AT67" s="67" vm="10481">
        <f>CUBEVALUE(ConnectionString,ReportMonth,Table1[[#This Row],[Site ID (from DATIM)]],"[Measures].[HVL_D_P]")</f>
        <v>6</v>
      </c>
      <c r="AU67" s="67" vm="9429">
        <f>CUBEVALUE(ConnectionString,ReportMonth,Table1[[#This Row],[Site ID (from DATIM)]],"[Measures].[HVL_N_P]")</f>
        <v>3</v>
      </c>
      <c r="AV67" s="68" vm="17435">
        <f>CUBEVALUE(ConnectionString,ReportMonth,Table1[[#This Row],[Site ID (from DATIM)]],"[Measures].[HVL_ELIG_A]")</f>
        <v>169</v>
      </c>
      <c r="AW67" s="68" vm="7251">
        <f>CUBEVALUE(ConnectionString,ReportMonth,Table1[[#This Row],[Site ID (from DATIM)]],"[Measures].[HVL_D_A]")</f>
        <v>23</v>
      </c>
      <c r="AX67" s="68" vm="12470">
        <f>CUBEVALUE(ConnectionString,ReportMonth,Table1[[#This Row],[Site ID (from DATIM)]],"[Measures].[HVL_N_A]")</f>
        <v>18</v>
      </c>
      <c r="AY67" s="67"/>
      <c r="AZ67" s="67"/>
      <c r="BA67" s="67"/>
      <c r="BB67" s="67"/>
      <c r="BC67" s="67"/>
      <c r="BD67" s="67"/>
      <c r="BE67" s="67"/>
      <c r="BF67" s="67"/>
      <c r="BG67" s="67" t="str" vm="12614">
        <f>CUBEVALUE(ConnectionString,ReportMonth,Table1[[#This Row],[Site ID (from DATIM)]],"[Measures].[TX_NEW_F_A]")</f>
        <v/>
      </c>
      <c r="BH67" s="67" t="str" vm="13687">
        <f>CUBEVALUE(ConnectionString,ReportMonth,Table1[[#This Row],[Site ID (from DATIM)]],"[Measures].[TX_NEW_M_A]")</f>
        <v/>
      </c>
      <c r="BI67" s="67" t="str" vm="14865">
        <f>CUBEVALUE(ConnectionString,ReportMonth,Table1[[#This Row],[Site ID (from DATIM)]],"[Measures].[TX_NEW_F_P]")</f>
        <v/>
      </c>
      <c r="BJ67" s="68" t="str" vm="14871">
        <f>CUBEVALUE(ConnectionString,ReportMonth,Table1[[#This Row],[Site ID (from DATIM)]],"[Measures].[TX_NEW_M_P]")</f>
        <v/>
      </c>
      <c r="BK67" s="68"/>
      <c r="BL67" s="68"/>
      <c r="BM67" s="68"/>
      <c r="BN67" s="68"/>
      <c r="BO67" s="68"/>
      <c r="BP67" s="68"/>
      <c r="BQ67" s="68" vm="10050">
        <f>CUBEVALUE(ConnectionString,ReportMonth,Table1[[#This Row],[Site ID (from DATIM)]],"[Measures].[TX_CURR_F_P]")</f>
        <v>10</v>
      </c>
      <c r="BR67" s="68" vm="9381">
        <f>CUBEVALUE(ConnectionString,ReportMonth,Table1[[#This Row],[Site ID (from DATIM)]],"[Measures].[TX_CURR_M_P]")</f>
        <v>10</v>
      </c>
      <c r="BS67" s="68" vm="9547">
        <f>CUBEVALUE(ConnectionString,ReportMonth,Table1[[#This Row],[Site ID (from DATIM)]],"[Measures].[TX_CURR_F_A]")</f>
        <v>114</v>
      </c>
      <c r="BT67" s="68" vm="12409">
        <f>CUBEVALUE(ConnectionString,ReportMonth,Table1[[#This Row],[Site ID (from DATIM)]],"[Measures].[TX_CURR_M_A]")</f>
        <v>65</v>
      </c>
      <c r="BU67" s="68" vm="19279">
        <f>CUBEVALUE(ConnectionString,ReportMonth,Table1[[#This Row],[Site ID (from DATIM)]],"[Measures].[MMS_01_89_F_P]")</f>
        <v>10</v>
      </c>
      <c r="BV67" s="68" vm="19525">
        <f>CUBEVALUE(ConnectionString,ReportMonth,Table1[[#This Row],[Site ID (from DATIM)]],"[Measures].[MMS_01_89_M_P]")</f>
        <v>10</v>
      </c>
      <c r="BW67" s="68" vm="19224">
        <f>CUBEVALUE(ConnectionString,ReportMonth,Table1[[#This Row],[Site ID (from DATIM)]],"[Measures].[MMS_01_89_F_A]")</f>
        <v>114</v>
      </c>
      <c r="BX67" s="68" vm="18487">
        <f>CUBEVALUE(ConnectionString,ReportMonth,Table1[[#This Row],[Site ID (from DATIM)]],"[Measures].[MMS_01_89_M_A]")</f>
        <v>65</v>
      </c>
      <c r="BY67" s="68" t="str" vm="19119">
        <f>CUBEVALUE(ConnectionString,ReportMonth,Table1[[#This Row],[Site ID (from DATIM)]],"[Measures].[MMS_90_179_F_P]")</f>
        <v/>
      </c>
      <c r="BZ67" s="68" t="str" vm="18800">
        <f>CUBEVALUE(ConnectionString,ReportMonth,Table1[[#This Row],[Site ID (from DATIM)]],"[Measures].[MMS_90_179_M_P]")</f>
        <v/>
      </c>
      <c r="CA67" s="68" t="str" vm="18774">
        <f>CUBEVALUE(ConnectionString,ReportMonth,Table1[[#This Row],[Site ID (from DATIM)]],"[Measures].[MMS_90_179_F_A]")</f>
        <v/>
      </c>
      <c r="CB67" s="68" t="str" vm="15901">
        <f>CUBEVALUE(ConnectionString,ReportMonth,Table1[[#This Row],[Site ID (from DATIM)]],"[Measures].[MMS_90_179_M_A]")</f>
        <v/>
      </c>
      <c r="CC67" s="68" t="str" vm="17620">
        <f>CUBEVALUE(ConnectionString,ReportMonth,Table1[[#This Row],[Site ID (from DATIM)]],"[Measures].[MMS_180+_F_P]")</f>
        <v/>
      </c>
      <c r="CD67" s="68" t="str" vm="17212">
        <f>CUBEVALUE(ConnectionString,ReportMonth,Table1[[#This Row],[Site ID (from DATIM)]],"[Measures].[MMS_180+_M_P]")</f>
        <v/>
      </c>
      <c r="CE67" s="68" t="str" vm="350">
        <f>CUBEVALUE(ConnectionString,ReportMonth,Table1[[#This Row],[Site ID (from DATIM)]],"[Measures].[MMS_180+_F_A]")</f>
        <v/>
      </c>
      <c r="CF67" s="68" t="str" vm="20238">
        <f>CUBEVALUE(ConnectionString,ReportMonth,Table1[[#This Row],[Site ID (from DATIM)]],"[Measures].[MMS_180+_M_A]")</f>
        <v/>
      </c>
      <c r="CG67" s="68" vm="5142">
        <f>CUBEVALUE(ConnectionString,ReportMonth,Table1[[#This Row],[Site ID (from DATIM)]],"[Measures].[MISSEDAPP]")</f>
        <v>160</v>
      </c>
      <c r="CH67" s="68" t="str" vm="12791">
        <f>CUBEVALUE(ConnectionString,ReportMonth,Table1[[#This Row],[Site ID (from DATIM)]],"[Measures].[MMS_180+_P]")</f>
        <v/>
      </c>
      <c r="CI67" s="68" t="str" vm="11747">
        <f>CUBEVALUE(ConnectionString,ReportMonth,Table1[[#This Row],[Site ID (from DATIM)]],"[Measures].[MMS_180+_A]")</f>
        <v/>
      </c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</row>
    <row r="68" spans="1:107" x14ac:dyDescent="0.25">
      <c r="A68" s="66">
        <v>3</v>
      </c>
      <c r="B68" s="67" t="str" vm="4">
        <f t="shared" si="1"/>
        <v>Mar-2021</v>
      </c>
      <c r="C68" s="67"/>
      <c r="D68" s="67" t="s">
        <v>232</v>
      </c>
      <c r="E68" s="67" t="s">
        <v>233</v>
      </c>
      <c r="F68" s="67" t="s">
        <v>234</v>
      </c>
      <c r="G68" s="67"/>
      <c r="H68" s="67" t="s">
        <v>256</v>
      </c>
      <c r="I68" s="67" t="s">
        <v>257</v>
      </c>
      <c r="J68" s="67" t="s">
        <v>258</v>
      </c>
      <c r="K68" s="67" t="s">
        <v>259</v>
      </c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 t="str" vm="6457">
        <f>CUBEVALUE(ConnectionString,ReportMonth,Table1[[#This Row],[Site ID (from DATIM)]],"TX_NEW_2VIS")</f>
        <v/>
      </c>
      <c r="AE68" s="67" t="str" vm="1719">
        <f>CUBEVALUE(ConnectionString,ReportMonth,Table1[[#This Row],[Site ID (from DATIM)]],INDEX(SDI_Measures,1))</f>
        <v/>
      </c>
      <c r="AF68" s="67" t="str" vm="358">
        <f>CUBEVALUE(ConnectionString,ReportMonth,Table1[[#This Row],[Site ID (from DATIM)]],INDEX(SDI_Measures,2))</f>
        <v/>
      </c>
      <c r="AG68" s="67" t="str" vm="1985">
        <f>CUBEVALUE(ConnectionString,ReportMonth,Table1[[#This Row],[Site ID (from DATIM)]],INDEX(SDI_Measures,3))</f>
        <v/>
      </c>
      <c r="AH68" s="67" vm="389">
        <f>CUBEVALUE(ConnectionString,ReportMonth,Table1[[#This Row],[Site ID (from DATIM)]],"TX_CURR_PRIOR_MONTH")</f>
        <v>128</v>
      </c>
      <c r="AI68" s="67" vm="2143">
        <f>CUBEVALUE(ConnectionString,ReportMonth,Table1[[#This Row],[Site ID (from DATIM)]],"TX_CURR")</f>
        <v>112</v>
      </c>
      <c r="AJ68" s="67" t="str" vm="3473">
        <f>CUBEVALUE(ConnectionString,ReportMonth,Table1[[#This Row],[Site ID (from DATIM)]],"[Measures].[TI]")</f>
        <v/>
      </c>
      <c r="AK68" s="67" t="str" vm="2849">
        <f>CUBEVALUE(ConnectionString,ReportMonth,Table1[[#This Row],[Site ID (from DATIM)]],"[Measures].[TO]")</f>
        <v/>
      </c>
      <c r="AL68" s="67" t="str" vm="4134">
        <f>CUBEVALUE(ConnectionString,ReportMonth,Table1[[#This Row],[Site ID (from DATIM)]],"[Measures].[DIED]")</f>
        <v/>
      </c>
      <c r="AM68" s="67" vm="3905">
        <f>CUBEVALUE(ConnectionString,ReportMonth,Table1[[#This Row],[Site ID (from DATIM)]],"[Measures].[MMS_01_31]")</f>
        <v>51</v>
      </c>
      <c r="AN68" s="67" t="str" vm="4902">
        <f>CUBEVALUE(ConnectionString,ReportMonth,Table1[[#This Row],[Site ID (from DATIM)]],"[Measures].[MMS_32_62]")</f>
        <v/>
      </c>
      <c r="AO68" s="67" vm="4794">
        <f>CUBEVALUE(ConnectionString,ReportMonth,Table1[[#This Row],[Site ID (from DATIM)]],"[Measures].[MMS_63+]")</f>
        <v>61</v>
      </c>
      <c r="AP68" s="67" vm="4810">
        <f>CUBEVALUE(ConnectionString,ReportMonth,Table1[[#This Row],[Site ID (from DATIM)]],"[Measures].[TBPREV_D]")</f>
        <v>1</v>
      </c>
      <c r="AQ68" s="67" t="str" vm="7596">
        <f>CUBEVALUE(ConnectionString,ReportMonth,Table1[[#This Row],[Site ID (from DATIM)]],"[Measures].[TBPREV_N]")</f>
        <v/>
      </c>
      <c r="AR68" s="67" t="str" vm="9742">
        <f>CUBEVALUE(ConnectionString,ReportMonth,Table1[[#This Row],[Site ID (from DATIM)]],"[Measures].[TBPREV_NEW]")</f>
        <v/>
      </c>
      <c r="AS68" s="67" vm="7191">
        <f>CUBEVALUE(ConnectionString,ReportMonth,Table1[[#This Row],[Site ID (from DATIM)]],"[Measures].[HVL_ELIG_P]")</f>
        <v>4</v>
      </c>
      <c r="AT68" s="67" vm="7845">
        <f>CUBEVALUE(ConnectionString,ReportMonth,Table1[[#This Row],[Site ID (from DATIM)]],"[Measures].[HVL_D_P]")</f>
        <v>3</v>
      </c>
      <c r="AU68" s="67" vm="9657">
        <f>CUBEVALUE(ConnectionString,ReportMonth,Table1[[#This Row],[Site ID (from DATIM)]],"[Measures].[HVL_N_P]")</f>
        <v>3</v>
      </c>
      <c r="AV68" s="68" vm="10246">
        <f>CUBEVALUE(ConnectionString,ReportMonth,Table1[[#This Row],[Site ID (from DATIM)]],"[Measures].[HVL_ELIG_A]")</f>
        <v>100</v>
      </c>
      <c r="AW68" s="68" vm="9287">
        <f>CUBEVALUE(ConnectionString,ReportMonth,Table1[[#This Row],[Site ID (from DATIM)]],"[Measures].[HVL_D_A]")</f>
        <v>63</v>
      </c>
      <c r="AX68" s="68" vm="7015">
        <f>CUBEVALUE(ConnectionString,ReportMonth,Table1[[#This Row],[Site ID (from DATIM)]],"[Measures].[HVL_N_A]")</f>
        <v>61</v>
      </c>
      <c r="AY68" s="67"/>
      <c r="AZ68" s="67"/>
      <c r="BA68" s="67"/>
      <c r="BB68" s="67"/>
      <c r="BC68" s="67"/>
      <c r="BD68" s="67"/>
      <c r="BE68" s="67"/>
      <c r="BF68" s="67"/>
      <c r="BG68" s="67" t="str" vm="10963">
        <f>CUBEVALUE(ConnectionString,ReportMonth,Table1[[#This Row],[Site ID (from DATIM)]],"[Measures].[TX_NEW_F_A]")</f>
        <v/>
      </c>
      <c r="BH68" s="67" t="str" vm="16170">
        <f>CUBEVALUE(ConnectionString,ReportMonth,Table1[[#This Row],[Site ID (from DATIM)]],"[Measures].[TX_NEW_M_A]")</f>
        <v/>
      </c>
      <c r="BI68" s="67" t="str" vm="12907">
        <f>CUBEVALUE(ConnectionString,ReportMonth,Table1[[#This Row],[Site ID (from DATIM)]],"[Measures].[TX_NEW_F_P]")</f>
        <v/>
      </c>
      <c r="BJ68" s="68" t="str" vm="16128">
        <f>CUBEVALUE(ConnectionString,ReportMonth,Table1[[#This Row],[Site ID (from DATIM)]],"[Measures].[TX_NEW_M_P]")</f>
        <v/>
      </c>
      <c r="BK68" s="68"/>
      <c r="BL68" s="68"/>
      <c r="BM68" s="68"/>
      <c r="BN68" s="68"/>
      <c r="BO68" s="68"/>
      <c r="BP68" s="68"/>
      <c r="BQ68" s="68" vm="9765">
        <f>CUBEVALUE(ConnectionString,ReportMonth,Table1[[#This Row],[Site ID (from DATIM)]],"[Measures].[TX_CURR_F_P]")</f>
        <v>2</v>
      </c>
      <c r="BR68" s="68" vm="10087">
        <f>CUBEVALUE(ConnectionString,ReportMonth,Table1[[#This Row],[Site ID (from DATIM)]],"[Measures].[TX_CURR_M_P]")</f>
        <v>2</v>
      </c>
      <c r="BS68" s="68" vm="12465">
        <f>CUBEVALUE(ConnectionString,ReportMonth,Table1[[#This Row],[Site ID (from DATIM)]],"[Measures].[TX_CURR_F_A]")</f>
        <v>66</v>
      </c>
      <c r="BT68" s="68" vm="11708">
        <f>CUBEVALUE(ConnectionString,ReportMonth,Table1[[#This Row],[Site ID (from DATIM)]],"[Measures].[TX_CURR_M_A]")</f>
        <v>42</v>
      </c>
      <c r="BU68" s="68" t="str" vm="19571">
        <f>CUBEVALUE(ConnectionString,ReportMonth,Table1[[#This Row],[Site ID (from DATIM)]],"[Measures].[MMS_01_89_F_P]")</f>
        <v/>
      </c>
      <c r="BV68" s="68" t="str" vm="19810">
        <f>CUBEVALUE(ConnectionString,ReportMonth,Table1[[#This Row],[Site ID (from DATIM)]],"[Measures].[MMS_01_89_M_P]")</f>
        <v/>
      </c>
      <c r="BW68" s="68" vm="18064">
        <f>CUBEVALUE(ConnectionString,ReportMonth,Table1[[#This Row],[Site ID (from DATIM)]],"[Measures].[MMS_01_89_F_A]")</f>
        <v>29</v>
      </c>
      <c r="BX68" s="68" vm="19889">
        <f>CUBEVALUE(ConnectionString,ReportMonth,Table1[[#This Row],[Site ID (from DATIM)]],"[Measures].[MMS_01_89_M_A]")</f>
        <v>24</v>
      </c>
      <c r="BY68" s="68" vm="15935">
        <f>CUBEVALUE(ConnectionString,ReportMonth,Table1[[#This Row],[Site ID (from DATIM)]],"[Measures].[MMS_90_179_F_P]")</f>
        <v>2</v>
      </c>
      <c r="BZ68" s="68" vm="16027">
        <f>CUBEVALUE(ConnectionString,ReportMonth,Table1[[#This Row],[Site ID (from DATIM)]],"[Measures].[MMS_90_179_M_P]")</f>
        <v>2</v>
      </c>
      <c r="CA68" s="68" vm="18146">
        <f>CUBEVALUE(ConnectionString,ReportMonth,Table1[[#This Row],[Site ID (from DATIM)]],"[Measures].[MMS_90_179_F_A]")</f>
        <v>37</v>
      </c>
      <c r="CB68" s="68" vm="17656">
        <f>CUBEVALUE(ConnectionString,ReportMonth,Table1[[#This Row],[Site ID (from DATIM)]],"[Measures].[MMS_90_179_M_A]")</f>
        <v>18</v>
      </c>
      <c r="CC68" s="68" t="str" vm="15084">
        <f>CUBEVALUE(ConnectionString,ReportMonth,Table1[[#This Row],[Site ID (from DATIM)]],"[Measures].[MMS_180+_F_P]")</f>
        <v/>
      </c>
      <c r="CD68" s="68" t="str" vm="16689">
        <f>CUBEVALUE(ConnectionString,ReportMonth,Table1[[#This Row],[Site ID (from DATIM)]],"[Measures].[MMS_180+_M_P]")</f>
        <v/>
      </c>
      <c r="CE68" s="68" t="str" vm="15363">
        <f>CUBEVALUE(ConnectionString,ReportMonth,Table1[[#This Row],[Site ID (from DATIM)]],"[Measures].[MMS_180+_F_A]")</f>
        <v/>
      </c>
      <c r="CF68" s="68" t="str" vm="20172">
        <f>CUBEVALUE(ConnectionString,ReportMonth,Table1[[#This Row],[Site ID (from DATIM)]],"[Measures].[MMS_180+_M_A]")</f>
        <v/>
      </c>
      <c r="CG68" s="68" vm="7206">
        <f>CUBEVALUE(ConnectionString,ReportMonth,Table1[[#This Row],[Site ID (from DATIM)]],"[Measures].[MISSEDAPP]")</f>
        <v>59</v>
      </c>
      <c r="CH68" s="68" t="str" vm="13282">
        <f>CUBEVALUE(ConnectionString,ReportMonth,Table1[[#This Row],[Site ID (from DATIM)]],"[Measures].[MMS_180+_P]")</f>
        <v/>
      </c>
      <c r="CI68" s="68" t="str" vm="12269">
        <f>CUBEVALUE(ConnectionString,ReportMonth,Table1[[#This Row],[Site ID (from DATIM)]],"[Measures].[MMS_180+_A]")</f>
        <v/>
      </c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</row>
    <row r="69" spans="1:107" x14ac:dyDescent="0.25">
      <c r="A69" s="66">
        <v>4</v>
      </c>
      <c r="B69" s="67" t="str" vm="4">
        <f t="shared" si="1"/>
        <v>Mar-2021</v>
      </c>
      <c r="C69" s="67"/>
      <c r="D69" s="67" t="s">
        <v>232</v>
      </c>
      <c r="E69" s="67" t="s">
        <v>233</v>
      </c>
      <c r="F69" s="67" t="s">
        <v>1083</v>
      </c>
      <c r="G69" s="67"/>
      <c r="H69" s="67" t="s">
        <v>1103</v>
      </c>
      <c r="I69" s="67" t="s">
        <v>1134</v>
      </c>
      <c r="J69" s="67" t="s">
        <v>1135</v>
      </c>
      <c r="K69" s="67" t="s">
        <v>1136</v>
      </c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 t="str" vm="3197">
        <f>CUBEVALUE(ConnectionString,ReportMonth,Table1[[#This Row],[Site ID (from DATIM)]],"TX_NEW_2VIS")</f>
        <v/>
      </c>
      <c r="AE69" s="67" t="str" vm="558">
        <f>CUBEVALUE(ConnectionString,ReportMonth,Table1[[#This Row],[Site ID (from DATIM)]],INDEX(SDI_Measures,1))</f>
        <v/>
      </c>
      <c r="AF69" s="67" t="str" vm="1213">
        <f>CUBEVALUE(ConnectionString,ReportMonth,Table1[[#This Row],[Site ID (from DATIM)]],INDEX(SDI_Measures,2))</f>
        <v/>
      </c>
      <c r="AG69" s="67" t="str" vm="1753">
        <f>CUBEVALUE(ConnectionString,ReportMonth,Table1[[#This Row],[Site ID (from DATIM)]],INDEX(SDI_Measures,3))</f>
        <v/>
      </c>
      <c r="AH69" s="67" vm="6456">
        <f>CUBEVALUE(ConnectionString,ReportMonth,Table1[[#This Row],[Site ID (from DATIM)]],"TX_CURR_PRIOR_MONTH")</f>
        <v>185</v>
      </c>
      <c r="AI69" s="67" vm="460">
        <f>CUBEVALUE(ConnectionString,ReportMonth,Table1[[#This Row],[Site ID (from DATIM)]],"TX_CURR")</f>
        <v>168</v>
      </c>
      <c r="AJ69" s="67" t="str" vm="2002">
        <f>CUBEVALUE(ConnectionString,ReportMonth,Table1[[#This Row],[Site ID (from DATIM)]],"[Measures].[TI]")</f>
        <v/>
      </c>
      <c r="AK69" s="67" t="str" vm="1317">
        <f>CUBEVALUE(ConnectionString,ReportMonth,Table1[[#This Row],[Site ID (from DATIM)]],"[Measures].[TO]")</f>
        <v/>
      </c>
      <c r="AL69" s="67" t="str" vm="1697">
        <f>CUBEVALUE(ConnectionString,ReportMonth,Table1[[#This Row],[Site ID (from DATIM)]],"[Measures].[DIED]")</f>
        <v/>
      </c>
      <c r="AM69" s="67" vm="3437">
        <f>CUBEVALUE(ConnectionString,ReportMonth,Table1[[#This Row],[Site ID (from DATIM)]],"[Measures].[MMS_01_31]")</f>
        <v>71</v>
      </c>
      <c r="AN69" s="67" t="str" vm="7643">
        <f>CUBEVALUE(ConnectionString,ReportMonth,Table1[[#This Row],[Site ID (from DATIM)]],"[Measures].[MMS_32_62]")</f>
        <v/>
      </c>
      <c r="AO69" s="67" vm="6977">
        <f>CUBEVALUE(ConnectionString,ReportMonth,Table1[[#This Row],[Site ID (from DATIM)]],"[Measures].[MMS_63+]")</f>
        <v>97</v>
      </c>
      <c r="AP69" s="67" vm="4219">
        <f>CUBEVALUE(ConnectionString,ReportMonth,Table1[[#This Row],[Site ID (from DATIM)]],"[Measures].[TBPREV_D]")</f>
        <v>2</v>
      </c>
      <c r="AQ69" s="67" vm="7262">
        <f>CUBEVALUE(ConnectionString,ReportMonth,Table1[[#This Row],[Site ID (from DATIM)]],"[Measures].[TBPREV_N]")</f>
        <v>2</v>
      </c>
      <c r="AR69" s="67" t="str" vm="6122">
        <f>CUBEVALUE(ConnectionString,ReportMonth,Table1[[#This Row],[Site ID (from DATIM)]],"[Measures].[TBPREV_NEW]")</f>
        <v/>
      </c>
      <c r="AS69" s="67" vm="12423">
        <f>CUBEVALUE(ConnectionString,ReportMonth,Table1[[#This Row],[Site ID (from DATIM)]],"[Measures].[HVL_ELIG_P]")</f>
        <v>11</v>
      </c>
      <c r="AT69" s="67" vm="5856">
        <f>CUBEVALUE(ConnectionString,ReportMonth,Table1[[#This Row],[Site ID (from DATIM)]],"[Measures].[HVL_D_P]")</f>
        <v>10</v>
      </c>
      <c r="AU69" s="67" vm="11772">
        <f>CUBEVALUE(ConnectionString,ReportMonth,Table1[[#This Row],[Site ID (from DATIM)]],"[Measures].[HVL_N_P]")</f>
        <v>9</v>
      </c>
      <c r="AV69" s="68" vm="10292">
        <f>CUBEVALUE(ConnectionString,ReportMonth,Table1[[#This Row],[Site ID (from DATIM)]],"[Measures].[HVL_ELIG_A]")</f>
        <v>130</v>
      </c>
      <c r="AW69" s="68" vm="12626">
        <f>CUBEVALUE(ConnectionString,ReportMonth,Table1[[#This Row],[Site ID (from DATIM)]],"[Measures].[HVL_D_A]")</f>
        <v>86</v>
      </c>
      <c r="AX69" s="68" vm="10881">
        <f>CUBEVALUE(ConnectionString,ReportMonth,Table1[[#This Row],[Site ID (from DATIM)]],"[Measures].[HVL_N_A]")</f>
        <v>80</v>
      </c>
      <c r="AY69" s="67"/>
      <c r="AZ69" s="67"/>
      <c r="BA69" s="67"/>
      <c r="BB69" s="67"/>
      <c r="BC69" s="67"/>
      <c r="BD69" s="67"/>
      <c r="BE69" s="67"/>
      <c r="BF69" s="67"/>
      <c r="BG69" s="67" t="str" vm="12802">
        <f>CUBEVALUE(ConnectionString,ReportMonth,Table1[[#This Row],[Site ID (from DATIM)]],"[Measures].[TX_NEW_F_A]")</f>
        <v/>
      </c>
      <c r="BH69" s="67" t="str" vm="13685">
        <f>CUBEVALUE(ConnectionString,ReportMonth,Table1[[#This Row],[Site ID (from DATIM)]],"[Measures].[TX_NEW_M_A]")</f>
        <v/>
      </c>
      <c r="BI69" s="67" t="str" vm="16573">
        <f>CUBEVALUE(ConnectionString,ReportMonth,Table1[[#This Row],[Site ID (from DATIM)]],"[Measures].[TX_NEW_F_P]")</f>
        <v/>
      </c>
      <c r="BJ69" s="68" t="str" vm="16577">
        <f>CUBEVALUE(ConnectionString,ReportMonth,Table1[[#This Row],[Site ID (from DATIM)]],"[Measures].[TX_NEW_M_P]")</f>
        <v/>
      </c>
      <c r="BK69" s="68"/>
      <c r="BL69" s="68"/>
      <c r="BM69" s="68"/>
      <c r="BN69" s="68"/>
      <c r="BO69" s="68"/>
      <c r="BP69" s="68"/>
      <c r="BQ69" s="68" vm="9574">
        <f>CUBEVALUE(ConnectionString,ReportMonth,Table1[[#This Row],[Site ID (from DATIM)]],"[Measures].[TX_CURR_F_P]")</f>
        <v>5</v>
      </c>
      <c r="BR69" s="68" vm="7987">
        <f>CUBEVALUE(ConnectionString,ReportMonth,Table1[[#This Row],[Site ID (from DATIM)]],"[Measures].[TX_CURR_M_P]")</f>
        <v>7</v>
      </c>
      <c r="BS69" s="68" vm="8025">
        <f>CUBEVALUE(ConnectionString,ReportMonth,Table1[[#This Row],[Site ID (from DATIM)]],"[Measures].[TX_CURR_F_A]")</f>
        <v>107</v>
      </c>
      <c r="BT69" s="68" vm="9140">
        <f>CUBEVALUE(ConnectionString,ReportMonth,Table1[[#This Row],[Site ID (from DATIM)]],"[Measures].[TX_CURR_M_A]")</f>
        <v>49</v>
      </c>
      <c r="BU69" s="68" vm="19232">
        <f>CUBEVALUE(ConnectionString,ReportMonth,Table1[[#This Row],[Site ID (from DATIM)]],"[Measures].[MMS_01_89_F_P]")</f>
        <v>3</v>
      </c>
      <c r="BV69" s="68" vm="19809">
        <f>CUBEVALUE(ConnectionString,ReportMonth,Table1[[#This Row],[Site ID (from DATIM)]],"[Measures].[MMS_01_89_M_P]")</f>
        <v>4</v>
      </c>
      <c r="BW69" s="68" vm="17902">
        <f>CUBEVALUE(ConnectionString,ReportMonth,Table1[[#This Row],[Site ID (from DATIM)]],"[Measures].[MMS_01_89_F_A]")</f>
        <v>49</v>
      </c>
      <c r="BX69" s="68" vm="18839">
        <f>CUBEVALUE(ConnectionString,ReportMonth,Table1[[#This Row],[Site ID (from DATIM)]],"[Measures].[MMS_01_89_M_A]")</f>
        <v>22</v>
      </c>
      <c r="BY69" s="68" vm="19862">
        <f>CUBEVALUE(ConnectionString,ReportMonth,Table1[[#This Row],[Site ID (from DATIM)]],"[Measures].[MMS_90_179_F_P]")</f>
        <v>2</v>
      </c>
      <c r="BZ69" s="68" vm="16971">
        <f>CUBEVALUE(ConnectionString,ReportMonth,Table1[[#This Row],[Site ID (from DATIM)]],"[Measures].[MMS_90_179_M_P]")</f>
        <v>3</v>
      </c>
      <c r="CA69" s="68" vm="15555">
        <f>CUBEVALUE(ConnectionString,ReportMonth,Table1[[#This Row],[Site ID (from DATIM)]],"[Measures].[MMS_90_179_F_A]")</f>
        <v>58</v>
      </c>
      <c r="CB69" s="68" vm="15492">
        <f>CUBEVALUE(ConnectionString,ReportMonth,Table1[[#This Row],[Site ID (from DATIM)]],"[Measures].[MMS_90_179_M_A]")</f>
        <v>27</v>
      </c>
      <c r="CC69" s="68" t="str" vm="15074">
        <f>CUBEVALUE(ConnectionString,ReportMonth,Table1[[#This Row],[Site ID (from DATIM)]],"[Measures].[MMS_180+_F_P]")</f>
        <v/>
      </c>
      <c r="CD69" s="68" t="str" vm="16292">
        <f>CUBEVALUE(ConnectionString,ReportMonth,Table1[[#This Row],[Site ID (from DATIM)]],"[Measures].[MMS_180+_M_P]")</f>
        <v/>
      </c>
      <c r="CE69" s="68" t="str" vm="17549">
        <f>CUBEVALUE(ConnectionString,ReportMonth,Table1[[#This Row],[Site ID (from DATIM)]],"[Measures].[MMS_180+_F_A]")</f>
        <v/>
      </c>
      <c r="CF69" s="68" t="str" vm="16223">
        <f>CUBEVALUE(ConnectionString,ReportMonth,Table1[[#This Row],[Site ID (from DATIM)]],"[Measures].[MMS_180+_M_A]")</f>
        <v/>
      </c>
      <c r="CG69" s="68" vm="7487">
        <f>CUBEVALUE(ConnectionString,ReportMonth,Table1[[#This Row],[Site ID (from DATIM)]],"[Measures].[MISSEDAPP]")</f>
        <v>74</v>
      </c>
      <c r="CH69" s="68" t="str" vm="10344">
        <f>CUBEVALUE(ConnectionString,ReportMonth,Table1[[#This Row],[Site ID (from DATIM)]],"[Measures].[MMS_180+_P]")</f>
        <v/>
      </c>
      <c r="CI69" s="68" t="str" vm="13923">
        <f>CUBEVALUE(ConnectionString,ReportMonth,Table1[[#This Row],[Site ID (from DATIM)]],"[Measures].[MMS_180+_A]")</f>
        <v/>
      </c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  <c r="CW69" s="68"/>
      <c r="CX69" s="68"/>
      <c r="CY69" s="68"/>
      <c r="CZ69" s="68"/>
      <c r="DA69" s="68"/>
      <c r="DB69" s="68"/>
      <c r="DC69" s="68"/>
    </row>
    <row r="70" spans="1:107" x14ac:dyDescent="0.25">
      <c r="A70" s="66">
        <v>4</v>
      </c>
      <c r="B70" s="67" t="str" vm="4">
        <f t="shared" ref="B70:B133" si="2">ReportMonth</f>
        <v>Mar-2021</v>
      </c>
      <c r="C70" s="67"/>
      <c r="D70" s="67" t="s">
        <v>232</v>
      </c>
      <c r="E70" s="67" t="s">
        <v>233</v>
      </c>
      <c r="F70" s="67" t="s">
        <v>234</v>
      </c>
      <c r="G70" s="67"/>
      <c r="H70" s="67" t="s">
        <v>249</v>
      </c>
      <c r="I70" s="67" t="s">
        <v>260</v>
      </c>
      <c r="J70" s="67" t="s">
        <v>261</v>
      </c>
      <c r="K70" s="67" t="s">
        <v>262</v>
      </c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 t="str" vm="1369">
        <f>CUBEVALUE(ConnectionString,ReportMonth,Table1[[#This Row],[Site ID (from DATIM)]],"TX_NEW_2VIS")</f>
        <v/>
      </c>
      <c r="AE70" s="67" vm="2081">
        <f>CUBEVALUE(ConnectionString,ReportMonth,Table1[[#This Row],[Site ID (from DATIM)]],INDEX(SDI_Measures,1))</f>
        <v>3</v>
      </c>
      <c r="AF70" s="67" t="str" vm="1958">
        <f>CUBEVALUE(ConnectionString,ReportMonth,Table1[[#This Row],[Site ID (from DATIM)]],INDEX(SDI_Measures,2))</f>
        <v/>
      </c>
      <c r="AG70" s="67" t="str" vm="1101">
        <f>CUBEVALUE(ConnectionString,ReportMonth,Table1[[#This Row],[Site ID (from DATIM)]],INDEX(SDI_Measures,3))</f>
        <v/>
      </c>
      <c r="AH70" s="67" vm="3013">
        <f>CUBEVALUE(ConnectionString,ReportMonth,Table1[[#This Row],[Site ID (from DATIM)]],"TX_CURR_PRIOR_MONTH")</f>
        <v>128</v>
      </c>
      <c r="AI70" s="67" vm="4048">
        <f>CUBEVALUE(ConnectionString,ReportMonth,Table1[[#This Row],[Site ID (from DATIM)]],"TX_CURR")</f>
        <v>133</v>
      </c>
      <c r="AJ70" s="67" t="str" vm="3688">
        <f>CUBEVALUE(ConnectionString,ReportMonth,Table1[[#This Row],[Site ID (from DATIM)]],"[Measures].[TI]")</f>
        <v/>
      </c>
      <c r="AK70" s="67" t="str" vm="3328">
        <f>CUBEVALUE(ConnectionString,ReportMonth,Table1[[#This Row],[Site ID (from DATIM)]],"[Measures].[TO]")</f>
        <v/>
      </c>
      <c r="AL70" s="67" t="str" vm="2996">
        <f>CUBEVALUE(ConnectionString,ReportMonth,Table1[[#This Row],[Site ID (from DATIM)]],"[Measures].[DIED]")</f>
        <v/>
      </c>
      <c r="AM70" s="67" vm="3964">
        <f>CUBEVALUE(ConnectionString,ReportMonth,Table1[[#This Row],[Site ID (from DATIM)]],"[Measures].[MMS_01_31]")</f>
        <v>79</v>
      </c>
      <c r="AN70" s="67" vm="6188">
        <f>CUBEVALUE(ConnectionString,ReportMonth,Table1[[#This Row],[Site ID (from DATIM)]],"[Measures].[MMS_32_62]")</f>
        <v>1</v>
      </c>
      <c r="AO70" s="67" vm="7835">
        <f>CUBEVALUE(ConnectionString,ReportMonth,Table1[[#This Row],[Site ID (from DATIM)]],"[Measures].[MMS_63+]")</f>
        <v>53</v>
      </c>
      <c r="AP70" s="67" vm="8676">
        <f>CUBEVALUE(ConnectionString,ReportMonth,Table1[[#This Row],[Site ID (from DATIM)]],"[Measures].[TBPREV_D]")</f>
        <v>12</v>
      </c>
      <c r="AQ70" s="67" vm="6780">
        <f>CUBEVALUE(ConnectionString,ReportMonth,Table1[[#This Row],[Site ID (from DATIM)]],"[Measures].[TBPREV_N]")</f>
        <v>4</v>
      </c>
      <c r="AR70" s="67" vm="6215">
        <f>CUBEVALUE(ConnectionString,ReportMonth,Table1[[#This Row],[Site ID (from DATIM)]],"[Measures].[TBPREV_NEW]")</f>
        <v>3</v>
      </c>
      <c r="AS70" s="67" vm="8482">
        <f>CUBEVALUE(ConnectionString,ReportMonth,Table1[[#This Row],[Site ID (from DATIM)]],"[Measures].[HVL_ELIG_P]")</f>
        <v>9</v>
      </c>
      <c r="AT70" s="67" vm="10823">
        <f>CUBEVALUE(ConnectionString,ReportMonth,Table1[[#This Row],[Site ID (from DATIM)]],"[Measures].[HVL_D_P]")</f>
        <v>6</v>
      </c>
      <c r="AU70" s="67" vm="8382">
        <f>CUBEVALUE(ConnectionString,ReportMonth,Table1[[#This Row],[Site ID (from DATIM)]],"[Measures].[HVL_N_P]")</f>
        <v>2</v>
      </c>
      <c r="AV70" s="68" vm="8769">
        <f>CUBEVALUE(ConnectionString,ReportMonth,Table1[[#This Row],[Site ID (from DATIM)]],"[Measures].[HVL_ELIG_A]")</f>
        <v>107</v>
      </c>
      <c r="AW70" s="68" vm="13263">
        <f>CUBEVALUE(ConnectionString,ReportMonth,Table1[[#This Row],[Site ID (from DATIM)]],"[Measures].[HVL_D_A]")</f>
        <v>89</v>
      </c>
      <c r="AX70" s="68" vm="9943">
        <f>CUBEVALUE(ConnectionString,ReportMonth,Table1[[#This Row],[Site ID (from DATIM)]],"[Measures].[HVL_N_A]")</f>
        <v>59</v>
      </c>
      <c r="AY70" s="67"/>
      <c r="AZ70" s="67"/>
      <c r="BA70" s="67"/>
      <c r="BB70" s="67"/>
      <c r="BC70" s="67"/>
      <c r="BD70" s="67"/>
      <c r="BE70" s="67"/>
      <c r="BF70" s="67"/>
      <c r="BG70" s="67" vm="11523">
        <f>CUBEVALUE(ConnectionString,ReportMonth,Table1[[#This Row],[Site ID (from DATIM)]],"[Measures].[TX_NEW_F_A]")</f>
        <v>1</v>
      </c>
      <c r="BH70" s="67" vm="10139">
        <f>CUBEVALUE(ConnectionString,ReportMonth,Table1[[#This Row],[Site ID (from DATIM)]],"[Measures].[TX_NEW_M_A]")</f>
        <v>1</v>
      </c>
      <c r="BI70" s="67" t="str" vm="15644">
        <f>CUBEVALUE(ConnectionString,ReportMonth,Table1[[#This Row],[Site ID (from DATIM)]],"[Measures].[TX_NEW_F_P]")</f>
        <v/>
      </c>
      <c r="BJ70" s="68" vm="16143">
        <f>CUBEVALUE(ConnectionString,ReportMonth,Table1[[#This Row],[Site ID (from DATIM)]],"[Measures].[TX_NEW_M_P]")</f>
        <v>1</v>
      </c>
      <c r="BK70" s="68"/>
      <c r="BL70" s="68"/>
      <c r="BM70" s="68"/>
      <c r="BN70" s="68"/>
      <c r="BO70" s="68"/>
      <c r="BP70" s="68"/>
      <c r="BQ70" s="68" vm="9787">
        <f>CUBEVALUE(ConnectionString,ReportMonth,Table1[[#This Row],[Site ID (from DATIM)]],"[Measures].[TX_CURR_F_P]")</f>
        <v>4</v>
      </c>
      <c r="BR70" s="68" vm="7010">
        <f>CUBEVALUE(ConnectionString,ReportMonth,Table1[[#This Row],[Site ID (from DATIM)]],"[Measures].[TX_CURR_M_P]")</f>
        <v>7</v>
      </c>
      <c r="BS70" s="68" vm="8985">
        <f>CUBEVALUE(ConnectionString,ReportMonth,Table1[[#This Row],[Site ID (from DATIM)]],"[Measures].[TX_CURR_F_A]")</f>
        <v>88</v>
      </c>
      <c r="BT70" s="68" vm="10155">
        <f>CUBEVALUE(ConnectionString,ReportMonth,Table1[[#This Row],[Site ID (from DATIM)]],"[Measures].[TX_CURR_M_A]")</f>
        <v>34</v>
      </c>
      <c r="BU70" s="68" vm="18393">
        <f>CUBEVALUE(ConnectionString,ReportMonth,Table1[[#This Row],[Site ID (from DATIM)]],"[Measures].[MMS_01_89_F_P]")</f>
        <v>4</v>
      </c>
      <c r="BV70" s="68" vm="17990">
        <f>CUBEVALUE(ConnectionString,ReportMonth,Table1[[#This Row],[Site ID (from DATIM)]],"[Measures].[MMS_01_89_M_P]")</f>
        <v>5</v>
      </c>
      <c r="BW70" s="68" vm="19787">
        <f>CUBEVALUE(ConnectionString,ReportMonth,Table1[[#This Row],[Site ID (from DATIM)]],"[Measures].[MMS_01_89_F_A]")</f>
        <v>49</v>
      </c>
      <c r="BX70" s="68" vm="18915">
        <f>CUBEVALUE(ConnectionString,ReportMonth,Table1[[#This Row],[Site ID (from DATIM)]],"[Measures].[MMS_01_89_M_A]")</f>
        <v>22</v>
      </c>
      <c r="BY70" s="68" t="str" vm="18476">
        <f>CUBEVALUE(ConnectionString,ReportMonth,Table1[[#This Row],[Site ID (from DATIM)]],"[Measures].[MMS_90_179_F_P]")</f>
        <v/>
      </c>
      <c r="BZ70" s="68" vm="18818">
        <f>CUBEVALUE(ConnectionString,ReportMonth,Table1[[#This Row],[Site ID (from DATIM)]],"[Measures].[MMS_90_179_M_P]")</f>
        <v>2</v>
      </c>
      <c r="CA70" s="68" vm="15191">
        <f>CUBEVALUE(ConnectionString,ReportMonth,Table1[[#This Row],[Site ID (from DATIM)]],"[Measures].[MMS_90_179_F_A]")</f>
        <v>38</v>
      </c>
      <c r="CB70" s="68" vm="15924">
        <f>CUBEVALUE(ConnectionString,ReportMonth,Table1[[#This Row],[Site ID (from DATIM)]],"[Measures].[MMS_90_179_M_A]")</f>
        <v>11</v>
      </c>
      <c r="CC70" s="68" t="str" vm="14700">
        <f>CUBEVALUE(ConnectionString,ReportMonth,Table1[[#This Row],[Site ID (from DATIM)]],"[Measures].[MMS_180+_F_P]")</f>
        <v/>
      </c>
      <c r="CD70" s="68" t="str" vm="16369">
        <f>CUBEVALUE(ConnectionString,ReportMonth,Table1[[#This Row],[Site ID (from DATIM)]],"[Measures].[MMS_180+_M_P]")</f>
        <v/>
      </c>
      <c r="CE70" s="68" vm="15005">
        <f>CUBEVALUE(ConnectionString,ReportMonth,Table1[[#This Row],[Site ID (from DATIM)]],"[Measures].[MMS_180+_F_A]")</f>
        <v>1</v>
      </c>
      <c r="CF70" s="68" vm="287">
        <f>CUBEVALUE(ConnectionString,ReportMonth,Table1[[#This Row],[Site ID (from DATIM)]],"[Measures].[MMS_180+_M_A]")</f>
        <v>1</v>
      </c>
      <c r="CG70" s="68" vm="9045">
        <f>CUBEVALUE(ConnectionString,ReportMonth,Table1[[#This Row],[Site ID (from DATIM)]],"[Measures].[MISSEDAPP]")</f>
        <v>47</v>
      </c>
      <c r="CH70" s="68" t="str" vm="10596">
        <f>CUBEVALUE(ConnectionString,ReportMonth,Table1[[#This Row],[Site ID (from DATIM)]],"[Measures].[MMS_180+_P]")</f>
        <v/>
      </c>
      <c r="CI70" s="68" vm="14120">
        <f>CUBEVALUE(ConnectionString,ReportMonth,Table1[[#This Row],[Site ID (from DATIM)]],"[Measures].[MMS_180+_A]")</f>
        <v>2</v>
      </c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</row>
    <row r="71" spans="1:107" x14ac:dyDescent="0.25">
      <c r="A71" s="66">
        <v>4</v>
      </c>
      <c r="B71" s="67" t="str" vm="4">
        <f t="shared" si="2"/>
        <v>Mar-2021</v>
      </c>
      <c r="C71" s="67"/>
      <c r="D71" s="67" t="s">
        <v>232</v>
      </c>
      <c r="E71" s="67" t="s">
        <v>233</v>
      </c>
      <c r="F71" s="67" t="s">
        <v>234</v>
      </c>
      <c r="G71" s="67"/>
      <c r="H71" s="67" t="s">
        <v>263</v>
      </c>
      <c r="I71" s="67" t="s">
        <v>264</v>
      </c>
      <c r="J71" s="67" t="s">
        <v>265</v>
      </c>
      <c r="K71" s="67" t="s">
        <v>266</v>
      </c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 t="str" vm="929">
        <f>CUBEVALUE(ConnectionString,ReportMonth,Table1[[#This Row],[Site ID (from DATIM)]],"TX_NEW_2VIS")</f>
        <v/>
      </c>
      <c r="AE71" s="67" vm="523">
        <f>CUBEVALUE(ConnectionString,ReportMonth,Table1[[#This Row],[Site ID (from DATIM)]],INDEX(SDI_Measures,1))</f>
        <v>2</v>
      </c>
      <c r="AF71" s="67" t="str" vm="534">
        <f>CUBEVALUE(ConnectionString,ReportMonth,Table1[[#This Row],[Site ID (from DATIM)]],INDEX(SDI_Measures,2))</f>
        <v/>
      </c>
      <c r="AG71" s="67" t="str" vm="1358">
        <f>CUBEVALUE(ConnectionString,ReportMonth,Table1[[#This Row],[Site ID (from DATIM)]],INDEX(SDI_Measures,3))</f>
        <v/>
      </c>
      <c r="AH71" s="67" vm="3912">
        <f>CUBEVALUE(ConnectionString,ReportMonth,Table1[[#This Row],[Site ID (from DATIM)]],"TX_CURR_PRIOR_MONTH")</f>
        <v>54</v>
      </c>
      <c r="AI71" s="67" vm="6627">
        <f>CUBEVALUE(ConnectionString,ReportMonth,Table1[[#This Row],[Site ID (from DATIM)]],"TX_CURR")</f>
        <v>39</v>
      </c>
      <c r="AJ71" s="67" t="str" vm="2553">
        <f>CUBEVALUE(ConnectionString,ReportMonth,Table1[[#This Row],[Site ID (from DATIM)]],"[Measures].[TI]")</f>
        <v/>
      </c>
      <c r="AK71" s="67" t="str" vm="2680">
        <f>CUBEVALUE(ConnectionString,ReportMonth,Table1[[#This Row],[Site ID (from DATIM)]],"[Measures].[TO]")</f>
        <v/>
      </c>
      <c r="AL71" s="67" t="str" vm="1572">
        <f>CUBEVALUE(ConnectionString,ReportMonth,Table1[[#This Row],[Site ID (from DATIM)]],"[Measures].[DIED]")</f>
        <v/>
      </c>
      <c r="AM71" s="67" vm="4056">
        <f>CUBEVALUE(ConnectionString,ReportMonth,Table1[[#This Row],[Site ID (from DATIM)]],"[Measures].[MMS_01_31]")</f>
        <v>21</v>
      </c>
      <c r="AN71" s="67" t="str" vm="6908">
        <f>CUBEVALUE(ConnectionString,ReportMonth,Table1[[#This Row],[Site ID (from DATIM)]],"[Measures].[MMS_32_62]")</f>
        <v/>
      </c>
      <c r="AO71" s="67" vm="7562">
        <f>CUBEVALUE(ConnectionString,ReportMonth,Table1[[#This Row],[Site ID (from DATIM)]],"[Measures].[MMS_63+]")</f>
        <v>18</v>
      </c>
      <c r="AP71" s="67" vm="6697">
        <f>CUBEVALUE(ConnectionString,ReportMonth,Table1[[#This Row],[Site ID (from DATIM)]],"[Measures].[TBPREV_D]")</f>
        <v>1</v>
      </c>
      <c r="AQ71" s="67" t="str" vm="8665">
        <f>CUBEVALUE(ConnectionString,ReportMonth,Table1[[#This Row],[Site ID (from DATIM)]],"[Measures].[TBPREV_N]")</f>
        <v/>
      </c>
      <c r="AR71" s="67" vm="7778">
        <f>CUBEVALUE(ConnectionString,ReportMonth,Table1[[#This Row],[Site ID (from DATIM)]],"[Measures].[TBPREV_NEW]")</f>
        <v>1</v>
      </c>
      <c r="AS71" s="67" vm="10523">
        <f>CUBEVALUE(ConnectionString,ReportMonth,Table1[[#This Row],[Site ID (from DATIM)]],"[Measures].[HVL_ELIG_P]")</f>
        <v>2</v>
      </c>
      <c r="AT71" s="67" vm="6152">
        <f>CUBEVALUE(ConnectionString,ReportMonth,Table1[[#This Row],[Site ID (from DATIM)]],"[Measures].[HVL_D_P]")</f>
        <v>2</v>
      </c>
      <c r="AU71" s="67" vm="8610">
        <f>CUBEVALUE(ConnectionString,ReportMonth,Table1[[#This Row],[Site ID (from DATIM)]],"[Measures].[HVL_N_P]")</f>
        <v>2</v>
      </c>
      <c r="AV71" s="68" vm="9004">
        <f>CUBEVALUE(ConnectionString,ReportMonth,Table1[[#This Row],[Site ID (from DATIM)]],"[Measures].[HVL_ELIG_A]")</f>
        <v>27</v>
      </c>
      <c r="AW71" s="68" vm="11372">
        <f>CUBEVALUE(ConnectionString,ReportMonth,Table1[[#This Row],[Site ID (from DATIM)]],"[Measures].[HVL_D_A]")</f>
        <v>21</v>
      </c>
      <c r="AX71" s="68" vm="11045">
        <f>CUBEVALUE(ConnectionString,ReportMonth,Table1[[#This Row],[Site ID (from DATIM)]],"[Measures].[HVL_N_A]")</f>
        <v>14</v>
      </c>
      <c r="AY71" s="67"/>
      <c r="AZ71" s="67"/>
      <c r="BA71" s="67"/>
      <c r="BB71" s="67"/>
      <c r="BC71" s="67"/>
      <c r="BD71" s="67"/>
      <c r="BE71" s="67"/>
      <c r="BF71" s="67"/>
      <c r="BG71" s="67" vm="13004">
        <f>CUBEVALUE(ConnectionString,ReportMonth,Table1[[#This Row],[Site ID (from DATIM)]],"[Measures].[TX_NEW_F_A]")</f>
        <v>2</v>
      </c>
      <c r="BH71" s="67" t="str" vm="13899">
        <f>CUBEVALUE(ConnectionString,ReportMonth,Table1[[#This Row],[Site ID (from DATIM)]],"[Measures].[TX_NEW_M_A]")</f>
        <v/>
      </c>
      <c r="BI71" s="67" t="str" vm="13712">
        <f>CUBEVALUE(ConnectionString,ReportMonth,Table1[[#This Row],[Site ID (from DATIM)]],"[Measures].[TX_NEW_F_P]")</f>
        <v/>
      </c>
      <c r="BJ71" s="68" t="str" vm="13092">
        <f>CUBEVALUE(ConnectionString,ReportMonth,Table1[[#This Row],[Site ID (from DATIM)]],"[Measures].[TX_NEW_M_P]")</f>
        <v/>
      </c>
      <c r="BK71" s="68"/>
      <c r="BL71" s="68"/>
      <c r="BM71" s="68"/>
      <c r="BN71" s="68"/>
      <c r="BO71" s="68"/>
      <c r="BP71" s="68"/>
      <c r="BQ71" s="68" vm="9582">
        <f>CUBEVALUE(ConnectionString,ReportMonth,Table1[[#This Row],[Site ID (from DATIM)]],"[Measures].[TX_CURR_F_P]")</f>
        <v>2</v>
      </c>
      <c r="BR71" s="68" t="str" vm="9981">
        <f>CUBEVALUE(ConnectionString,ReportMonth,Table1[[#This Row],[Site ID (from DATIM)]],"[Measures].[TX_CURR_M_P]")</f>
        <v/>
      </c>
      <c r="BS71" s="68" vm="10117">
        <f>CUBEVALUE(ConnectionString,ReportMonth,Table1[[#This Row],[Site ID (from DATIM)]],"[Measures].[TX_CURR_F_A]")</f>
        <v>29</v>
      </c>
      <c r="BT71" s="68" vm="12251">
        <f>CUBEVALUE(ConnectionString,ReportMonth,Table1[[#This Row],[Site ID (from DATIM)]],"[Measures].[TX_CURR_M_A]")</f>
        <v>8</v>
      </c>
      <c r="BU71" s="68" t="str" vm="20138">
        <f>CUBEVALUE(ConnectionString,ReportMonth,Table1[[#This Row],[Site ID (from DATIM)]],"[Measures].[MMS_01_89_F_P]")</f>
        <v/>
      </c>
      <c r="BV71" s="68" t="str" vm="18648">
        <f>CUBEVALUE(ConnectionString,ReportMonth,Table1[[#This Row],[Site ID (from DATIM)]],"[Measures].[MMS_01_89_M_P]")</f>
        <v/>
      </c>
      <c r="BW71" s="68" vm="18764">
        <f>CUBEVALUE(ConnectionString,ReportMonth,Table1[[#This Row],[Site ID (from DATIM)]],"[Measures].[MMS_01_89_F_A]")</f>
        <v>18</v>
      </c>
      <c r="BX71" s="68" vm="18514">
        <f>CUBEVALUE(ConnectionString,ReportMonth,Table1[[#This Row],[Site ID (from DATIM)]],"[Measures].[MMS_01_89_M_A]")</f>
        <v>3</v>
      </c>
      <c r="BY71" s="68" vm="19967">
        <f>CUBEVALUE(ConnectionString,ReportMonth,Table1[[#This Row],[Site ID (from DATIM)]],"[Measures].[MMS_90_179_F_P]")</f>
        <v>2</v>
      </c>
      <c r="BZ71" s="68" t="str" vm="17697">
        <f>CUBEVALUE(ConnectionString,ReportMonth,Table1[[#This Row],[Site ID (from DATIM)]],"[Measures].[MMS_90_179_M_P]")</f>
        <v/>
      </c>
      <c r="CA71" s="68" vm="17721">
        <f>CUBEVALUE(ConnectionString,ReportMonth,Table1[[#This Row],[Site ID (from DATIM)]],"[Measures].[MMS_90_179_F_A]")</f>
        <v>11</v>
      </c>
      <c r="CB71" s="68" vm="15093">
        <f>CUBEVALUE(ConnectionString,ReportMonth,Table1[[#This Row],[Site ID (from DATIM)]],"[Measures].[MMS_90_179_M_A]")</f>
        <v>5</v>
      </c>
      <c r="CC71" s="68" t="str" vm="14625">
        <f>CUBEVALUE(ConnectionString,ReportMonth,Table1[[#This Row],[Site ID (from DATIM)]],"[Measures].[MMS_180+_F_P]")</f>
        <v/>
      </c>
      <c r="CD71" s="68" t="str" vm="16660">
        <f>CUBEVALUE(ConnectionString,ReportMonth,Table1[[#This Row],[Site ID (from DATIM)]],"[Measures].[MMS_180+_M_P]")</f>
        <v/>
      </c>
      <c r="CE71" s="68" t="str" vm="15464">
        <f>CUBEVALUE(ConnectionString,ReportMonth,Table1[[#This Row],[Site ID (from DATIM)]],"[Measures].[MMS_180+_F_A]")</f>
        <v/>
      </c>
      <c r="CF71" s="68" t="str" vm="15342">
        <f>CUBEVALUE(ConnectionString,ReportMonth,Table1[[#This Row],[Site ID (from DATIM)]],"[Measures].[MMS_180+_M_A]")</f>
        <v/>
      </c>
      <c r="CG71" s="68" vm="6970">
        <f>CUBEVALUE(ConnectionString,ReportMonth,Table1[[#This Row],[Site ID (from DATIM)]],"[Measures].[MISSEDAPP]")</f>
        <v>28</v>
      </c>
      <c r="CH71" s="68" t="str" vm="12527">
        <f>CUBEVALUE(ConnectionString,ReportMonth,Table1[[#This Row],[Site ID (from DATIM)]],"[Measures].[MMS_180+_P]")</f>
        <v/>
      </c>
      <c r="CI71" s="68" t="str" vm="10950">
        <f>CUBEVALUE(ConnectionString,ReportMonth,Table1[[#This Row],[Site ID (from DATIM)]],"[Measures].[MMS_180+_A]")</f>
        <v/>
      </c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</row>
    <row r="72" spans="1:107" x14ac:dyDescent="0.25">
      <c r="A72" s="66">
        <v>4</v>
      </c>
      <c r="B72" s="67" t="str" vm="4">
        <f t="shared" si="2"/>
        <v>Mar-2021</v>
      </c>
      <c r="C72" s="67"/>
      <c r="D72" s="67" t="s">
        <v>232</v>
      </c>
      <c r="E72" s="67" t="s">
        <v>233</v>
      </c>
      <c r="F72" s="67" t="s">
        <v>1083</v>
      </c>
      <c r="G72" s="67"/>
      <c r="H72" s="67" t="s">
        <v>1113</v>
      </c>
      <c r="I72" s="67" t="s">
        <v>350</v>
      </c>
      <c r="J72" s="67" t="s">
        <v>1137</v>
      </c>
      <c r="K72" s="67" t="s">
        <v>1138</v>
      </c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 t="str" vm="741">
        <f>CUBEVALUE(ConnectionString,ReportMonth,Table1[[#This Row],[Site ID (from DATIM)]],"TX_NEW_2VIS")</f>
        <v/>
      </c>
      <c r="AE72" s="67" t="str" vm="530">
        <f>CUBEVALUE(ConnectionString,ReportMonth,Table1[[#This Row],[Site ID (from DATIM)]],INDEX(SDI_Measures,1))</f>
        <v/>
      </c>
      <c r="AF72" s="67" t="str" vm="374">
        <f>CUBEVALUE(ConnectionString,ReportMonth,Table1[[#This Row],[Site ID (from DATIM)]],INDEX(SDI_Measures,2))</f>
        <v/>
      </c>
      <c r="AG72" s="67" t="str" vm="314">
        <f>CUBEVALUE(ConnectionString,ReportMonth,Table1[[#This Row],[Site ID (from DATIM)]],INDEX(SDI_Measures,3))</f>
        <v/>
      </c>
      <c r="AH72" s="67" t="str" vm="501">
        <f>CUBEVALUE(ConnectionString,ReportMonth,Table1[[#This Row],[Site ID (from DATIM)]],"TX_CURR_PRIOR_MONTH")</f>
        <v/>
      </c>
      <c r="AI72" s="67" t="str" vm="2917">
        <f>CUBEVALUE(ConnectionString,ReportMonth,Table1[[#This Row],[Site ID (from DATIM)]],"TX_CURR")</f>
        <v/>
      </c>
      <c r="AJ72" s="67" t="str" vm="3576">
        <f>CUBEVALUE(ConnectionString,ReportMonth,Table1[[#This Row],[Site ID (from DATIM)]],"[Measures].[TI]")</f>
        <v/>
      </c>
      <c r="AK72" s="67" t="str" vm="1556">
        <f>CUBEVALUE(ConnectionString,ReportMonth,Table1[[#This Row],[Site ID (from DATIM)]],"[Measures].[TO]")</f>
        <v/>
      </c>
      <c r="AL72" s="67" t="str" vm="627">
        <f>CUBEVALUE(ConnectionString,ReportMonth,Table1[[#This Row],[Site ID (from DATIM)]],"[Measures].[DIED]")</f>
        <v/>
      </c>
      <c r="AM72" s="67" t="str" vm="5578">
        <f>CUBEVALUE(ConnectionString,ReportMonth,Table1[[#This Row],[Site ID (from DATIM)]],"[Measures].[MMS_01_31]")</f>
        <v/>
      </c>
      <c r="AN72" s="67" t="str" vm="7665">
        <f>CUBEVALUE(ConnectionString,ReportMonth,Table1[[#This Row],[Site ID (from DATIM)]],"[Measures].[MMS_32_62]")</f>
        <v/>
      </c>
      <c r="AO72" s="67" t="str" vm="8895">
        <f>CUBEVALUE(ConnectionString,ReportMonth,Table1[[#This Row],[Site ID (from DATIM)]],"[Measures].[MMS_63+]")</f>
        <v/>
      </c>
      <c r="AP72" s="67" t="str" vm="4192">
        <f>CUBEVALUE(ConnectionString,ReportMonth,Table1[[#This Row],[Site ID (from DATIM)]],"[Measures].[TBPREV_D]")</f>
        <v/>
      </c>
      <c r="AQ72" s="67" t="str" vm="5171">
        <f>CUBEVALUE(ConnectionString,ReportMonth,Table1[[#This Row],[Site ID (from DATIM)]],"[Measures].[TBPREV_N]")</f>
        <v/>
      </c>
      <c r="AR72" s="67" t="str" vm="6200">
        <f>CUBEVALUE(ConnectionString,ReportMonth,Table1[[#This Row],[Site ID (from DATIM)]],"[Measures].[TBPREV_NEW]")</f>
        <v/>
      </c>
      <c r="AS72" s="67" t="str" vm="6553">
        <f>CUBEVALUE(ConnectionString,ReportMonth,Table1[[#This Row],[Site ID (from DATIM)]],"[Measures].[HVL_ELIG_P]")</f>
        <v/>
      </c>
      <c r="AT72" s="67" t="str" vm="5505">
        <f>CUBEVALUE(ConnectionString,ReportMonth,Table1[[#This Row],[Site ID (from DATIM)]],"[Measures].[HVL_D_P]")</f>
        <v/>
      </c>
      <c r="AU72" s="67" t="str" vm="9542">
        <f>CUBEVALUE(ConnectionString,ReportMonth,Table1[[#This Row],[Site ID (from DATIM)]],"[Measures].[HVL_N_P]")</f>
        <v/>
      </c>
      <c r="AV72" s="68" t="str" vm="8027">
        <f>CUBEVALUE(ConnectionString,ReportMonth,Table1[[#This Row],[Site ID (from DATIM)]],"[Measures].[HVL_ELIG_A]")</f>
        <v/>
      </c>
      <c r="AW72" s="68" t="str" vm="8371">
        <f>CUBEVALUE(ConnectionString,ReportMonth,Table1[[#This Row],[Site ID (from DATIM)]],"[Measures].[HVL_D_A]")</f>
        <v/>
      </c>
      <c r="AX72" s="68" t="str" vm="9487">
        <f>CUBEVALUE(ConnectionString,ReportMonth,Table1[[#This Row],[Site ID (from DATIM)]],"[Measures].[HVL_N_A]")</f>
        <v/>
      </c>
      <c r="AY72" s="67"/>
      <c r="AZ72" s="67"/>
      <c r="BA72" s="67"/>
      <c r="BB72" s="67"/>
      <c r="BC72" s="67"/>
      <c r="BD72" s="67"/>
      <c r="BE72" s="67"/>
      <c r="BF72" s="67"/>
      <c r="BG72" s="67" t="str" vm="13521">
        <f>CUBEVALUE(ConnectionString,ReportMonth,Table1[[#This Row],[Site ID (from DATIM)]],"[Measures].[TX_NEW_F_A]")</f>
        <v/>
      </c>
      <c r="BH72" s="67" t="str" vm="12283">
        <f>CUBEVALUE(ConnectionString,ReportMonth,Table1[[#This Row],[Site ID (from DATIM)]],"[Measures].[TX_NEW_M_A]")</f>
        <v/>
      </c>
      <c r="BI72" s="67" t="str" vm="14323">
        <f>CUBEVALUE(ConnectionString,ReportMonth,Table1[[#This Row],[Site ID (from DATIM)]],"[Measures].[TX_NEW_F_P]")</f>
        <v/>
      </c>
      <c r="BJ72" s="68" t="str" vm="17411">
        <f>CUBEVALUE(ConnectionString,ReportMonth,Table1[[#This Row],[Site ID (from DATIM)]],"[Measures].[TX_NEW_M_P]")</f>
        <v/>
      </c>
      <c r="BK72" s="68"/>
      <c r="BL72" s="68"/>
      <c r="BM72" s="68"/>
      <c r="BN72" s="68"/>
      <c r="BO72" s="68"/>
      <c r="BP72" s="68"/>
      <c r="BQ72" s="68" t="str" vm="11627">
        <f>CUBEVALUE(ConnectionString,ReportMonth,Table1[[#This Row],[Site ID (from DATIM)]],"[Measures].[TX_CURR_F_P]")</f>
        <v/>
      </c>
      <c r="BR72" s="68" t="str" vm="6597">
        <f>CUBEVALUE(ConnectionString,ReportMonth,Table1[[#This Row],[Site ID (from DATIM)]],"[Measures].[TX_CURR_M_P]")</f>
        <v/>
      </c>
      <c r="BS72" s="68" t="str" vm="8527">
        <f>CUBEVALUE(ConnectionString,ReportMonth,Table1[[#This Row],[Site ID (from DATIM)]],"[Measures].[TX_CURR_F_A]")</f>
        <v/>
      </c>
      <c r="BT72" s="68" t="str" vm="13541">
        <f>CUBEVALUE(ConnectionString,ReportMonth,Table1[[#This Row],[Site ID (from DATIM)]],"[Measures].[TX_CURR_M_A]")</f>
        <v/>
      </c>
      <c r="BU72" s="68" t="str" vm="19271">
        <f>CUBEVALUE(ConnectionString,ReportMonth,Table1[[#This Row],[Site ID (from DATIM)]],"[Measures].[MMS_01_89_F_P]")</f>
        <v/>
      </c>
      <c r="BV72" s="68" t="str" vm="18127">
        <f>CUBEVALUE(ConnectionString,ReportMonth,Table1[[#This Row],[Site ID (from DATIM)]],"[Measures].[MMS_01_89_M_P]")</f>
        <v/>
      </c>
      <c r="BW72" s="68" t="str" vm="19436">
        <f>CUBEVALUE(ConnectionString,ReportMonth,Table1[[#This Row],[Site ID (from DATIM)]],"[Measures].[MMS_01_89_F_A]")</f>
        <v/>
      </c>
      <c r="BX72" s="68" t="str" vm="19142">
        <f>CUBEVALUE(ConnectionString,ReportMonth,Table1[[#This Row],[Site ID (from DATIM)]],"[Measures].[MMS_01_89_M_A]")</f>
        <v/>
      </c>
      <c r="BY72" s="68" t="str" vm="19903">
        <f>CUBEVALUE(ConnectionString,ReportMonth,Table1[[#This Row],[Site ID (from DATIM)]],"[Measures].[MMS_90_179_F_P]")</f>
        <v/>
      </c>
      <c r="BZ72" s="68" t="str" vm="17822">
        <f>CUBEVALUE(ConnectionString,ReportMonth,Table1[[#This Row],[Site ID (from DATIM)]],"[Measures].[MMS_90_179_M_P]")</f>
        <v/>
      </c>
      <c r="CA72" s="68" t="str" vm="19059">
        <f>CUBEVALUE(ConnectionString,ReportMonth,Table1[[#This Row],[Site ID (from DATIM)]],"[Measures].[MMS_90_179_F_A]")</f>
        <v/>
      </c>
      <c r="CB72" s="68" t="str" vm="17363">
        <f>CUBEVALUE(ConnectionString,ReportMonth,Table1[[#This Row],[Site ID (from DATIM)]],"[Measures].[MMS_90_179_M_A]")</f>
        <v/>
      </c>
      <c r="CC72" s="68" t="str" vm="15105">
        <f>CUBEVALUE(ConnectionString,ReportMonth,Table1[[#This Row],[Site ID (from DATIM)]],"[Measures].[MMS_180+_F_P]")</f>
        <v/>
      </c>
      <c r="CD72" s="68" t="str" vm="15905">
        <f>CUBEVALUE(ConnectionString,ReportMonth,Table1[[#This Row],[Site ID (from DATIM)]],"[Measures].[MMS_180+_M_P]")</f>
        <v/>
      </c>
      <c r="CE72" s="68" t="str" vm="17483">
        <f>CUBEVALUE(ConnectionString,ReportMonth,Table1[[#This Row],[Site ID (from DATIM)]],"[Measures].[MMS_180+_F_A]")</f>
        <v/>
      </c>
      <c r="CF72" s="68" t="str" vm="237">
        <f>CUBEVALUE(ConnectionString,ReportMonth,Table1[[#This Row],[Site ID (from DATIM)]],"[Measures].[MMS_180+_M_A]")</f>
        <v/>
      </c>
      <c r="CG72" s="68" t="str" vm="7089">
        <f>CUBEVALUE(ConnectionString,ReportMonth,Table1[[#This Row],[Site ID (from DATIM)]],"[Measures].[MISSEDAPP]")</f>
        <v/>
      </c>
      <c r="CH72" s="68" t="str" vm="12022">
        <f>CUBEVALUE(ConnectionString,ReportMonth,Table1[[#This Row],[Site ID (from DATIM)]],"[Measures].[MMS_180+_P]")</f>
        <v/>
      </c>
      <c r="CI72" s="68" t="str" vm="12894">
        <f>CUBEVALUE(ConnectionString,ReportMonth,Table1[[#This Row],[Site ID (from DATIM)]],"[Measures].[MMS_180+_A]")</f>
        <v/>
      </c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</row>
    <row r="73" spans="1:107" x14ac:dyDescent="0.25">
      <c r="A73" s="66">
        <v>3</v>
      </c>
      <c r="B73" s="67" t="str" vm="4">
        <f t="shared" si="2"/>
        <v>Mar-2021</v>
      </c>
      <c r="C73" s="67"/>
      <c r="D73" s="67" t="s">
        <v>232</v>
      </c>
      <c r="E73" s="67" t="s">
        <v>233</v>
      </c>
      <c r="F73" s="67" t="s">
        <v>1083</v>
      </c>
      <c r="G73" s="67"/>
      <c r="H73" s="67" t="s">
        <v>1084</v>
      </c>
      <c r="I73" s="67" t="s">
        <v>1139</v>
      </c>
      <c r="J73" s="67" t="s">
        <v>1140</v>
      </c>
      <c r="K73" s="67" t="s">
        <v>1141</v>
      </c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 t="str" vm="2484">
        <f>CUBEVALUE(ConnectionString,ReportMonth,Table1[[#This Row],[Site ID (from DATIM)]],"TX_NEW_2VIS")</f>
        <v/>
      </c>
      <c r="AE73" s="67" t="str" vm="296">
        <f>CUBEVALUE(ConnectionString,ReportMonth,Table1[[#This Row],[Site ID (from DATIM)]],INDEX(SDI_Measures,1))</f>
        <v/>
      </c>
      <c r="AF73" s="67" t="str" vm="1833">
        <f>CUBEVALUE(ConnectionString,ReportMonth,Table1[[#This Row],[Site ID (from DATIM)]],INDEX(SDI_Measures,2))</f>
        <v/>
      </c>
      <c r="AG73" s="67" t="str" vm="1199">
        <f>CUBEVALUE(ConnectionString,ReportMonth,Table1[[#This Row],[Site ID (from DATIM)]],INDEX(SDI_Measures,3))</f>
        <v/>
      </c>
      <c r="AH73" s="67" vm="2130">
        <f>CUBEVALUE(ConnectionString,ReportMonth,Table1[[#This Row],[Site ID (from DATIM)]],"TX_CURR_PRIOR_MONTH")</f>
        <v>317</v>
      </c>
      <c r="AI73" s="67" vm="3856">
        <f>CUBEVALUE(ConnectionString,ReportMonth,Table1[[#This Row],[Site ID (from DATIM)]],"TX_CURR")</f>
        <v>299</v>
      </c>
      <c r="AJ73" s="67" t="str" vm="1893">
        <f>CUBEVALUE(ConnectionString,ReportMonth,Table1[[#This Row],[Site ID (from DATIM)]],"[Measures].[TI]")</f>
        <v/>
      </c>
      <c r="AK73" s="67" t="str" vm="4138">
        <f>CUBEVALUE(ConnectionString,ReportMonth,Table1[[#This Row],[Site ID (from DATIM)]],"[Measures].[TO]")</f>
        <v/>
      </c>
      <c r="AL73" s="67" t="str" vm="2522">
        <f>CUBEVALUE(ConnectionString,ReportMonth,Table1[[#This Row],[Site ID (from DATIM)]],"[Measures].[DIED]")</f>
        <v/>
      </c>
      <c r="AM73" s="67" vm="3597">
        <f>CUBEVALUE(ConnectionString,ReportMonth,Table1[[#This Row],[Site ID (from DATIM)]],"[Measures].[MMS_01_31]")</f>
        <v>67</v>
      </c>
      <c r="AN73" s="67" vm="5715">
        <f>CUBEVALUE(ConnectionString,ReportMonth,Table1[[#This Row],[Site ID (from DATIM)]],"[Measures].[MMS_32_62]")</f>
        <v>4</v>
      </c>
      <c r="AO73" s="67" vm="10769">
        <f>CUBEVALUE(ConnectionString,ReportMonth,Table1[[#This Row],[Site ID (from DATIM)]],"[Measures].[MMS_63+]")</f>
        <v>228</v>
      </c>
      <c r="AP73" s="67" vm="7819">
        <f>CUBEVALUE(ConnectionString,ReportMonth,Table1[[#This Row],[Site ID (from DATIM)]],"[Measures].[TBPREV_D]")</f>
        <v>3</v>
      </c>
      <c r="AQ73" s="67" vm="7164">
        <f>CUBEVALUE(ConnectionString,ReportMonth,Table1[[#This Row],[Site ID (from DATIM)]],"[Measures].[TBPREV_N]")</f>
        <v>2</v>
      </c>
      <c r="AR73" s="67" t="str" vm="6475">
        <f>CUBEVALUE(ConnectionString,ReportMonth,Table1[[#This Row],[Site ID (from DATIM)]],"[Measures].[TBPREV_NEW]")</f>
        <v/>
      </c>
      <c r="AS73" s="67" vm="7903">
        <f>CUBEVALUE(ConnectionString,ReportMonth,Table1[[#This Row],[Site ID (from DATIM)]],"[Measures].[HVL_ELIG_P]")</f>
        <v>12</v>
      </c>
      <c r="AT73" s="67" vm="5406">
        <f>CUBEVALUE(ConnectionString,ReportMonth,Table1[[#This Row],[Site ID (from DATIM)]],"[Measures].[HVL_D_P]")</f>
        <v>13</v>
      </c>
      <c r="AU73" s="67" vm="10268">
        <f>CUBEVALUE(ConnectionString,ReportMonth,Table1[[#This Row],[Site ID (from DATIM)]],"[Measures].[HVL_N_P]")</f>
        <v>9</v>
      </c>
      <c r="AV73" s="68" vm="16147">
        <f>CUBEVALUE(ConnectionString,ReportMonth,Table1[[#This Row],[Site ID (from DATIM)]],"[Measures].[HVL_ELIG_A]")</f>
        <v>262</v>
      </c>
      <c r="AW73" s="68" vm="8874">
        <f>CUBEVALUE(ConnectionString,ReportMonth,Table1[[#This Row],[Site ID (from DATIM)]],"[Measures].[HVL_D_A]")</f>
        <v>146</v>
      </c>
      <c r="AX73" s="68" vm="8975">
        <f>CUBEVALUE(ConnectionString,ReportMonth,Table1[[#This Row],[Site ID (from DATIM)]],"[Measures].[HVL_N_A]")</f>
        <v>140</v>
      </c>
      <c r="AY73" s="67"/>
      <c r="AZ73" s="67"/>
      <c r="BA73" s="67"/>
      <c r="BB73" s="67"/>
      <c r="BC73" s="67"/>
      <c r="BD73" s="67"/>
      <c r="BE73" s="67"/>
      <c r="BF73" s="67"/>
      <c r="BG73" s="67" t="str" vm="12551">
        <f>CUBEVALUE(ConnectionString,ReportMonth,Table1[[#This Row],[Site ID (from DATIM)]],"[Measures].[TX_NEW_F_A]")</f>
        <v/>
      </c>
      <c r="BH73" s="67" t="str" vm="14392">
        <f>CUBEVALUE(ConnectionString,ReportMonth,Table1[[#This Row],[Site ID (from DATIM)]],"[Measures].[TX_NEW_M_A]")</f>
        <v/>
      </c>
      <c r="BI73" s="67" t="str" vm="16592">
        <f>CUBEVALUE(ConnectionString,ReportMonth,Table1[[#This Row],[Site ID (from DATIM)]],"[Measures].[TX_NEW_F_P]")</f>
        <v/>
      </c>
      <c r="BJ73" s="68" t="str" vm="12310">
        <f>CUBEVALUE(ConnectionString,ReportMonth,Table1[[#This Row],[Site ID (from DATIM)]],"[Measures].[TX_NEW_M_P]")</f>
        <v/>
      </c>
      <c r="BK73" s="68"/>
      <c r="BL73" s="68"/>
      <c r="BM73" s="68"/>
      <c r="BN73" s="68"/>
      <c r="BO73" s="68"/>
      <c r="BP73" s="68"/>
      <c r="BQ73" s="68" vm="12933">
        <f>CUBEVALUE(ConnectionString,ReportMonth,Table1[[#This Row],[Site ID (from DATIM)]],"[Measures].[TX_CURR_F_P]")</f>
        <v>5</v>
      </c>
      <c r="BR73" s="68" vm="11860">
        <f>CUBEVALUE(ConnectionString,ReportMonth,Table1[[#This Row],[Site ID (from DATIM)]],"[Measures].[TX_CURR_M_P]")</f>
        <v>7</v>
      </c>
      <c r="BS73" s="68" vm="8696">
        <f>CUBEVALUE(ConnectionString,ReportMonth,Table1[[#This Row],[Site ID (from DATIM)]],"[Measures].[TX_CURR_F_A]")</f>
        <v>200</v>
      </c>
      <c r="BT73" s="68" vm="10808">
        <f>CUBEVALUE(ConnectionString,ReportMonth,Table1[[#This Row],[Site ID (from DATIM)]],"[Measures].[TX_CURR_M_A]")</f>
        <v>87</v>
      </c>
      <c r="BU73" s="68" vm="18757">
        <f>CUBEVALUE(ConnectionString,ReportMonth,Table1[[#This Row],[Site ID (from DATIM)]],"[Measures].[MMS_01_89_F_P]")</f>
        <v>2</v>
      </c>
      <c r="BV73" s="68" vm="18730">
        <f>CUBEVALUE(ConnectionString,ReportMonth,Table1[[#This Row],[Site ID (from DATIM)]],"[Measures].[MMS_01_89_M_P]")</f>
        <v>4</v>
      </c>
      <c r="BW73" s="68" vm="19393">
        <f>CUBEVALUE(ConnectionString,ReportMonth,Table1[[#This Row],[Site ID (from DATIM)]],"[Measures].[MMS_01_89_F_A]")</f>
        <v>49</v>
      </c>
      <c r="BX73" s="68" vm="16531">
        <f>CUBEVALUE(ConnectionString,ReportMonth,Table1[[#This Row],[Site ID (from DATIM)]],"[Measures].[MMS_01_89_M_A]")</f>
        <v>18</v>
      </c>
      <c r="BY73" s="68" vm="14779">
        <f>CUBEVALUE(ConnectionString,ReportMonth,Table1[[#This Row],[Site ID (from DATIM)]],"[Measures].[MMS_90_179_F_P]")</f>
        <v>3</v>
      </c>
      <c r="BZ73" s="68" vm="17924">
        <f>CUBEVALUE(ConnectionString,ReportMonth,Table1[[#This Row],[Site ID (from DATIM)]],"[Measures].[MMS_90_179_M_P]")</f>
        <v>3</v>
      </c>
      <c r="CA73" s="68" vm="15520">
        <f>CUBEVALUE(ConnectionString,ReportMonth,Table1[[#This Row],[Site ID (from DATIM)]],"[Measures].[MMS_90_179_F_A]")</f>
        <v>151</v>
      </c>
      <c r="CB73" s="68" vm="15770">
        <f>CUBEVALUE(ConnectionString,ReportMonth,Table1[[#This Row],[Site ID (from DATIM)]],"[Measures].[MMS_90_179_M_A]")</f>
        <v>69</v>
      </c>
      <c r="CC73" s="68" t="str" vm="17308">
        <f>CUBEVALUE(ConnectionString,ReportMonth,Table1[[#This Row],[Site ID (from DATIM)]],"[Measures].[MMS_180+_F_P]")</f>
        <v/>
      </c>
      <c r="CD73" s="68" t="str" vm="15801">
        <f>CUBEVALUE(ConnectionString,ReportMonth,Table1[[#This Row],[Site ID (from DATIM)]],"[Measures].[MMS_180+_M_P]")</f>
        <v/>
      </c>
      <c r="CE73" s="68" t="str" vm="14938">
        <f>CUBEVALUE(ConnectionString,ReportMonth,Table1[[#This Row],[Site ID (from DATIM)]],"[Measures].[MMS_180+_F_A]")</f>
        <v/>
      </c>
      <c r="CF73" s="68" t="str" vm="20213">
        <f>CUBEVALUE(ConnectionString,ReportMonth,Table1[[#This Row],[Site ID (from DATIM)]],"[Measures].[MMS_180+_M_A]")</f>
        <v/>
      </c>
      <c r="CG73" s="68" vm="5904">
        <f>CUBEVALUE(ConnectionString,ReportMonth,Table1[[#This Row],[Site ID (from DATIM)]],"[Measures].[MISSEDAPP]")</f>
        <v>121</v>
      </c>
      <c r="CH73" s="68" t="str" vm="12996">
        <f>CUBEVALUE(ConnectionString,ReportMonth,Table1[[#This Row],[Site ID (from DATIM)]],"[Measures].[MMS_180+_P]")</f>
        <v/>
      </c>
      <c r="CI73" s="68" t="str" vm="11944">
        <f>CUBEVALUE(ConnectionString,ReportMonth,Table1[[#This Row],[Site ID (from DATIM)]],"[Measures].[MMS_180+_A]")</f>
        <v/>
      </c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</row>
    <row r="74" spans="1:107" x14ac:dyDescent="0.25">
      <c r="A74" s="66">
        <v>4</v>
      </c>
      <c r="B74" s="67" t="str" vm="4">
        <f t="shared" si="2"/>
        <v>Mar-2021</v>
      </c>
      <c r="C74" s="67"/>
      <c r="D74" s="67" t="s">
        <v>232</v>
      </c>
      <c r="E74" s="67" t="s">
        <v>233</v>
      </c>
      <c r="F74" s="67" t="s">
        <v>234</v>
      </c>
      <c r="G74" s="67"/>
      <c r="H74" s="67" t="s">
        <v>256</v>
      </c>
      <c r="I74" s="67" t="s">
        <v>267</v>
      </c>
      <c r="J74" s="67" t="s">
        <v>268</v>
      </c>
      <c r="K74" s="67" t="s">
        <v>269</v>
      </c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 t="str" vm="1861">
        <f>CUBEVALUE(ConnectionString,ReportMonth,Table1[[#This Row],[Site ID (from DATIM)]],"TX_NEW_2VIS")</f>
        <v/>
      </c>
      <c r="AE74" s="67" t="str" vm="589">
        <f>CUBEVALUE(ConnectionString,ReportMonth,Table1[[#This Row],[Site ID (from DATIM)]],INDEX(SDI_Measures,1))</f>
        <v/>
      </c>
      <c r="AF74" s="67" t="str" vm="3962">
        <f>CUBEVALUE(ConnectionString,ReportMonth,Table1[[#This Row],[Site ID (from DATIM)]],INDEX(SDI_Measures,2))</f>
        <v/>
      </c>
      <c r="AG74" s="67" t="str" vm="3980">
        <f>CUBEVALUE(ConnectionString,ReportMonth,Table1[[#This Row],[Site ID (from DATIM)]],INDEX(SDI_Measures,3))</f>
        <v/>
      </c>
      <c r="AH74" s="67" vm="1743">
        <f>CUBEVALUE(ConnectionString,ReportMonth,Table1[[#This Row],[Site ID (from DATIM)]],"TX_CURR_PRIOR_MONTH")</f>
        <v>13</v>
      </c>
      <c r="AI74" s="67" vm="4419">
        <f>CUBEVALUE(ConnectionString,ReportMonth,Table1[[#This Row],[Site ID (from DATIM)]],"TX_CURR")</f>
        <v>11</v>
      </c>
      <c r="AJ74" s="67" t="str" vm="1041">
        <f>CUBEVALUE(ConnectionString,ReportMonth,Table1[[#This Row],[Site ID (from DATIM)]],"[Measures].[TI]")</f>
        <v/>
      </c>
      <c r="AK74" s="67" t="str" vm="2833">
        <f>CUBEVALUE(ConnectionString,ReportMonth,Table1[[#This Row],[Site ID (from DATIM)]],"[Measures].[TO]")</f>
        <v/>
      </c>
      <c r="AL74" s="67" t="str" vm="4323">
        <f>CUBEVALUE(ConnectionString,ReportMonth,Table1[[#This Row],[Site ID (from DATIM)]],"[Measures].[DIED]")</f>
        <v/>
      </c>
      <c r="AM74" s="67" vm="3881">
        <f>CUBEVALUE(ConnectionString,ReportMonth,Table1[[#This Row],[Site ID (from DATIM)]],"[Measures].[MMS_01_31]")</f>
        <v>8</v>
      </c>
      <c r="AN74" s="67" vm="6022">
        <f>CUBEVALUE(ConnectionString,ReportMonth,Table1[[#This Row],[Site ID (from DATIM)]],"[Measures].[MMS_32_62]")</f>
        <v>3</v>
      </c>
      <c r="AO74" s="67" t="str" vm="12086">
        <f>CUBEVALUE(ConnectionString,ReportMonth,Table1[[#This Row],[Site ID (from DATIM)]],"[Measures].[MMS_63+]")</f>
        <v/>
      </c>
      <c r="AP74" s="67" t="str" vm="5056">
        <f>CUBEVALUE(ConnectionString,ReportMonth,Table1[[#This Row],[Site ID (from DATIM)]],"[Measures].[TBPREV_D]")</f>
        <v/>
      </c>
      <c r="AQ74" s="67" t="str" vm="5588">
        <f>CUBEVALUE(ConnectionString,ReportMonth,Table1[[#This Row],[Site ID (from DATIM)]],"[Measures].[TBPREV_N]")</f>
        <v/>
      </c>
      <c r="AR74" s="67" t="str" vm="4883">
        <f>CUBEVALUE(ConnectionString,ReportMonth,Table1[[#This Row],[Site ID (from DATIM)]],"[Measures].[TBPREV_NEW]")</f>
        <v/>
      </c>
      <c r="AS74" s="67" t="str" vm="6995">
        <f>CUBEVALUE(ConnectionString,ReportMonth,Table1[[#This Row],[Site ID (from DATIM)]],"[Measures].[HVL_ELIG_P]")</f>
        <v/>
      </c>
      <c r="AT74" s="67" t="str" vm="7970">
        <f>CUBEVALUE(ConnectionString,ReportMonth,Table1[[#This Row],[Site ID (from DATIM)]],"[Measures].[HVL_D_P]")</f>
        <v/>
      </c>
      <c r="AU74" s="67" t="str" vm="8505">
        <f>CUBEVALUE(ConnectionString,ReportMonth,Table1[[#This Row],[Site ID (from DATIM)]],"[Measures].[HVL_N_P]")</f>
        <v/>
      </c>
      <c r="AV74" s="68" t="str" vm="9556">
        <f>CUBEVALUE(ConnectionString,ReportMonth,Table1[[#This Row],[Site ID (from DATIM)]],"[Measures].[HVL_ELIG_A]")</f>
        <v/>
      </c>
      <c r="AW74" s="68" vm="11602">
        <f>CUBEVALUE(ConnectionString,ReportMonth,Table1[[#This Row],[Site ID (from DATIM)]],"[Measures].[HVL_D_A]")</f>
        <v>2</v>
      </c>
      <c r="AX74" s="68" vm="8920">
        <f>CUBEVALUE(ConnectionString,ReportMonth,Table1[[#This Row],[Site ID (from DATIM)]],"[Measures].[HVL_N_A]")</f>
        <v>1</v>
      </c>
      <c r="AY74" s="67"/>
      <c r="AZ74" s="67"/>
      <c r="BA74" s="67"/>
      <c r="BB74" s="67"/>
      <c r="BC74" s="67"/>
      <c r="BD74" s="67"/>
      <c r="BE74" s="67"/>
      <c r="BF74" s="67"/>
      <c r="BG74" s="67" t="str" vm="13519">
        <f>CUBEVALUE(ConnectionString,ReportMonth,Table1[[#This Row],[Site ID (from DATIM)]],"[Measures].[TX_NEW_F_A]")</f>
        <v/>
      </c>
      <c r="BH74" s="67" t="str" vm="12903">
        <f>CUBEVALUE(ConnectionString,ReportMonth,Table1[[#This Row],[Site ID (from DATIM)]],"[Measures].[TX_NEW_M_A]")</f>
        <v/>
      </c>
      <c r="BI74" s="67" t="str" vm="17060">
        <f>CUBEVALUE(ConnectionString,ReportMonth,Table1[[#This Row],[Site ID (from DATIM)]],"[Measures].[TX_NEW_F_P]")</f>
        <v/>
      </c>
      <c r="BJ74" s="68" t="str" vm="13198">
        <f>CUBEVALUE(ConnectionString,ReportMonth,Table1[[#This Row],[Site ID (from DATIM)]],"[Measures].[TX_NEW_M_P]")</f>
        <v/>
      </c>
      <c r="BK74" s="68"/>
      <c r="BL74" s="68"/>
      <c r="BM74" s="68"/>
      <c r="BN74" s="68"/>
      <c r="BO74" s="68"/>
      <c r="BP74" s="68"/>
      <c r="BQ74" s="68" t="str" vm="9289">
        <f>CUBEVALUE(ConnectionString,ReportMonth,Table1[[#This Row],[Site ID (from DATIM)]],"[Measures].[TX_CURR_F_P]")</f>
        <v/>
      </c>
      <c r="BR74" s="68" t="str" vm="9821">
        <f>CUBEVALUE(ConnectionString,ReportMonth,Table1[[#This Row],[Site ID (from DATIM)]],"[Measures].[TX_CURR_M_P]")</f>
        <v/>
      </c>
      <c r="BS74" s="68" vm="10640">
        <f>CUBEVALUE(ConnectionString,ReportMonth,Table1[[#This Row],[Site ID (from DATIM)]],"[Measures].[TX_CURR_F_A]")</f>
        <v>11</v>
      </c>
      <c r="BT74" s="68" t="str" vm="10592">
        <f>CUBEVALUE(ConnectionString,ReportMonth,Table1[[#This Row],[Site ID (from DATIM)]],"[Measures].[TX_CURR_M_A]")</f>
        <v/>
      </c>
      <c r="BU74" s="68" t="str" vm="19533">
        <f>CUBEVALUE(ConnectionString,ReportMonth,Table1[[#This Row],[Site ID (from DATIM)]],"[Measures].[MMS_01_89_F_P]")</f>
        <v/>
      </c>
      <c r="BV74" s="68" t="str" vm="18251">
        <f>CUBEVALUE(ConnectionString,ReportMonth,Table1[[#This Row],[Site ID (from DATIM)]],"[Measures].[MMS_01_89_M_P]")</f>
        <v/>
      </c>
      <c r="BW74" s="68" vm="18320">
        <f>CUBEVALUE(ConnectionString,ReportMonth,Table1[[#This Row],[Site ID (from DATIM)]],"[Measures].[MMS_01_89_F_A]")</f>
        <v>11</v>
      </c>
      <c r="BX74" s="68" t="str" vm="18904">
        <f>CUBEVALUE(ConnectionString,ReportMonth,Table1[[#This Row],[Site ID (from DATIM)]],"[Measures].[MMS_01_89_M_A]")</f>
        <v/>
      </c>
      <c r="BY74" s="68" t="str" vm="14687">
        <f>CUBEVALUE(ConnectionString,ReportMonth,Table1[[#This Row],[Site ID (from DATIM)]],"[Measures].[MMS_90_179_F_P]")</f>
        <v/>
      </c>
      <c r="BZ74" s="68" t="str" vm="16957">
        <f>CUBEVALUE(ConnectionString,ReportMonth,Table1[[#This Row],[Site ID (from DATIM)]],"[Measures].[MMS_90_179_M_P]")</f>
        <v/>
      </c>
      <c r="CA74" s="68" t="str" vm="15869">
        <f>CUBEVALUE(ConnectionString,ReportMonth,Table1[[#This Row],[Site ID (from DATIM)]],"[Measures].[MMS_90_179_F_A]")</f>
        <v/>
      </c>
      <c r="CB74" s="68" t="str" vm="17634">
        <f>CUBEVALUE(ConnectionString,ReportMonth,Table1[[#This Row],[Site ID (from DATIM)]],"[Measures].[MMS_90_179_M_A]")</f>
        <v/>
      </c>
      <c r="CC74" s="68" t="str" vm="15029">
        <f>CUBEVALUE(ConnectionString,ReportMonth,Table1[[#This Row],[Site ID (from DATIM)]],"[Measures].[MMS_180+_F_P]")</f>
        <v/>
      </c>
      <c r="CD74" s="68" t="str" vm="15457">
        <f>CUBEVALUE(ConnectionString,ReportMonth,Table1[[#This Row],[Site ID (from DATIM)]],"[Measures].[MMS_180+_M_P]")</f>
        <v/>
      </c>
      <c r="CE74" s="68" t="str" vm="15771">
        <f>CUBEVALUE(ConnectionString,ReportMonth,Table1[[#This Row],[Site ID (from DATIM)]],"[Measures].[MMS_180+_F_A]")</f>
        <v/>
      </c>
      <c r="CF74" s="68" t="str" vm="84">
        <f>CUBEVALUE(ConnectionString,ReportMonth,Table1[[#This Row],[Site ID (from DATIM)]],"[Measures].[MMS_180+_M_A]")</f>
        <v/>
      </c>
      <c r="CG74" s="68" vm="7033">
        <f>CUBEVALUE(ConnectionString,ReportMonth,Table1[[#This Row],[Site ID (from DATIM)]],"[Measures].[MISSEDAPP]")</f>
        <v>7</v>
      </c>
      <c r="CH74" s="68" t="str" vm="12032">
        <f>CUBEVALUE(ConnectionString,ReportMonth,Table1[[#This Row],[Site ID (from DATIM)]],"[Measures].[MMS_180+_P]")</f>
        <v/>
      </c>
      <c r="CI74" s="68" t="str" vm="13766">
        <f>CUBEVALUE(ConnectionString,ReportMonth,Table1[[#This Row],[Site ID (from DATIM)]],"[Measures].[MMS_180+_A]")</f>
        <v/>
      </c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</row>
    <row r="75" spans="1:107" x14ac:dyDescent="0.25">
      <c r="A75" s="66">
        <v>4</v>
      </c>
      <c r="B75" s="67" t="str" vm="4">
        <f t="shared" si="2"/>
        <v>Mar-2021</v>
      </c>
      <c r="C75" s="67"/>
      <c r="D75" s="67" t="s">
        <v>232</v>
      </c>
      <c r="E75" s="67" t="s">
        <v>233</v>
      </c>
      <c r="F75" s="67" t="s">
        <v>234</v>
      </c>
      <c r="G75" s="67"/>
      <c r="H75" s="67" t="s">
        <v>270</v>
      </c>
      <c r="I75" s="67" t="s">
        <v>271</v>
      </c>
      <c r="J75" s="67" t="s">
        <v>268</v>
      </c>
      <c r="K75" s="67" t="s">
        <v>272</v>
      </c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 t="str" vm="1134">
        <f>CUBEVALUE(ConnectionString,ReportMonth,Table1[[#This Row],[Site ID (from DATIM)]],"TX_NEW_2VIS")</f>
        <v/>
      </c>
      <c r="AE75" s="67" t="str" vm="471">
        <f>CUBEVALUE(ConnectionString,ReportMonth,Table1[[#This Row],[Site ID (from DATIM)]],INDEX(SDI_Measures,1))</f>
        <v/>
      </c>
      <c r="AF75" s="67" t="str" vm="4849">
        <f>CUBEVALUE(ConnectionString,ReportMonth,Table1[[#This Row],[Site ID (from DATIM)]],INDEX(SDI_Measures,2))</f>
        <v/>
      </c>
      <c r="AG75" s="67" t="str" vm="1092">
        <f>CUBEVALUE(ConnectionString,ReportMonth,Table1[[#This Row],[Site ID (from DATIM)]],INDEX(SDI_Measures,3))</f>
        <v/>
      </c>
      <c r="AH75" s="67" vm="3784">
        <f>CUBEVALUE(ConnectionString,ReportMonth,Table1[[#This Row],[Site ID (from DATIM)]],"TX_CURR_PRIOR_MONTH")</f>
        <v>135</v>
      </c>
      <c r="AI75" s="67" vm="2981">
        <f>CUBEVALUE(ConnectionString,ReportMonth,Table1[[#This Row],[Site ID (from DATIM)]],"TX_CURR")</f>
        <v>134</v>
      </c>
      <c r="AJ75" s="67" vm="1759">
        <f>CUBEVALUE(ConnectionString,ReportMonth,Table1[[#This Row],[Site ID (from DATIM)]],"[Measures].[TI]")</f>
        <v>1</v>
      </c>
      <c r="AK75" s="67" t="str" vm="3023">
        <f>CUBEVALUE(ConnectionString,ReportMonth,Table1[[#This Row],[Site ID (from DATIM)]],"[Measures].[TO]")</f>
        <v/>
      </c>
      <c r="AL75" s="67" t="str" vm="2676">
        <f>CUBEVALUE(ConnectionString,ReportMonth,Table1[[#This Row],[Site ID (from DATIM)]],"[Measures].[DIED]")</f>
        <v/>
      </c>
      <c r="AM75" s="67" vm="4213">
        <f>CUBEVALUE(ConnectionString,ReportMonth,Table1[[#This Row],[Site ID (from DATIM)]],"[Measures].[MMS_01_31]")</f>
        <v>25</v>
      </c>
      <c r="AN75" s="67" vm="9586">
        <f>CUBEVALUE(ConnectionString,ReportMonth,Table1[[#This Row],[Site ID (from DATIM)]],"[Measures].[MMS_32_62]")</f>
        <v>34</v>
      </c>
      <c r="AO75" s="67" vm="5854">
        <f>CUBEVALUE(ConnectionString,ReportMonth,Table1[[#This Row],[Site ID (from DATIM)]],"[Measures].[MMS_63+]")</f>
        <v>75</v>
      </c>
      <c r="AP75" s="67" vm="5582">
        <f>CUBEVALUE(ConnectionString,ReportMonth,Table1[[#This Row],[Site ID (from DATIM)]],"[Measures].[TBPREV_D]")</f>
        <v>3</v>
      </c>
      <c r="AQ75" s="67" vm="4908">
        <f>CUBEVALUE(ConnectionString,ReportMonth,Table1[[#This Row],[Site ID (from DATIM)]],"[Measures].[TBPREV_N]")</f>
        <v>3</v>
      </c>
      <c r="AR75" s="67" t="str" vm="4578">
        <f>CUBEVALUE(ConnectionString,ReportMonth,Table1[[#This Row],[Site ID (from DATIM)]],"[Measures].[TBPREV_NEW]")</f>
        <v/>
      </c>
      <c r="AS75" s="67" vm="6706">
        <f>CUBEVALUE(ConnectionString,ReportMonth,Table1[[#This Row],[Site ID (from DATIM)]],"[Measures].[HVL_ELIG_P]")</f>
        <v>9</v>
      </c>
      <c r="AT75" s="67" vm="11328">
        <f>CUBEVALUE(ConnectionString,ReportMonth,Table1[[#This Row],[Site ID (from DATIM)]],"[Measures].[HVL_D_P]")</f>
        <v>8</v>
      </c>
      <c r="AU75" s="67" vm="13134">
        <f>CUBEVALUE(ConnectionString,ReportMonth,Table1[[#This Row],[Site ID (from DATIM)]],"[Measures].[HVL_N_P]")</f>
        <v>7</v>
      </c>
      <c r="AV75" s="68" vm="8222">
        <f>CUBEVALUE(ConnectionString,ReportMonth,Table1[[#This Row],[Site ID (from DATIM)]],"[Measures].[HVL_ELIG_A]")</f>
        <v>109</v>
      </c>
      <c r="AW75" s="68" vm="8392">
        <f>CUBEVALUE(ConnectionString,ReportMonth,Table1[[#This Row],[Site ID (from DATIM)]],"[Measures].[HVL_D_A]")</f>
        <v>68</v>
      </c>
      <c r="AX75" s="68" vm="8170">
        <f>CUBEVALUE(ConnectionString,ReportMonth,Table1[[#This Row],[Site ID (from DATIM)]],"[Measures].[HVL_N_A]")</f>
        <v>67</v>
      </c>
      <c r="AY75" s="67"/>
      <c r="AZ75" s="67"/>
      <c r="BA75" s="67"/>
      <c r="BB75" s="67"/>
      <c r="BC75" s="67"/>
      <c r="BD75" s="67"/>
      <c r="BE75" s="67"/>
      <c r="BF75" s="67"/>
      <c r="BG75" s="67" t="str" vm="10179">
        <f>CUBEVALUE(ConnectionString,ReportMonth,Table1[[#This Row],[Site ID (from DATIM)]],"[Measures].[TX_NEW_F_A]")</f>
        <v/>
      </c>
      <c r="BH75" s="67" t="str" vm="13632">
        <f>CUBEVALUE(ConnectionString,ReportMonth,Table1[[#This Row],[Site ID (from DATIM)]],"[Measures].[TX_NEW_M_A]")</f>
        <v/>
      </c>
      <c r="BI75" s="67" t="str" vm="15678">
        <f>CUBEVALUE(ConnectionString,ReportMonth,Table1[[#This Row],[Site ID (from DATIM)]],"[Measures].[TX_NEW_F_P]")</f>
        <v/>
      </c>
      <c r="BJ75" s="68" t="str" vm="17427">
        <f>CUBEVALUE(ConnectionString,ReportMonth,Table1[[#This Row],[Site ID (from DATIM)]],"[Measures].[TX_NEW_M_P]")</f>
        <v/>
      </c>
      <c r="BK75" s="68"/>
      <c r="BL75" s="68"/>
      <c r="BM75" s="68"/>
      <c r="BN75" s="68"/>
      <c r="BO75" s="68"/>
      <c r="BP75" s="68"/>
      <c r="BQ75" s="68" vm="9055">
        <f>CUBEVALUE(ConnectionString,ReportMonth,Table1[[#This Row],[Site ID (from DATIM)]],"[Measures].[TX_CURR_F_P]")</f>
        <v>3</v>
      </c>
      <c r="BR75" s="68" vm="8526">
        <f>CUBEVALUE(ConnectionString,ReportMonth,Table1[[#This Row],[Site ID (from DATIM)]],"[Measures].[TX_CURR_M_P]")</f>
        <v>8</v>
      </c>
      <c r="BS75" s="68" vm="10778">
        <f>CUBEVALUE(ConnectionString,ReportMonth,Table1[[#This Row],[Site ID (from DATIM)]],"[Measures].[TX_CURR_F_A]")</f>
        <v>87</v>
      </c>
      <c r="BT75" s="68" vm="8095">
        <f>CUBEVALUE(ConnectionString,ReportMonth,Table1[[#This Row],[Site ID (from DATIM)]],"[Measures].[TX_CURR_M_A]")</f>
        <v>36</v>
      </c>
      <c r="BU75" s="68" vm="19516">
        <f>CUBEVALUE(ConnectionString,ReportMonth,Table1[[#This Row],[Site ID (from DATIM)]],"[Measures].[MMS_01_89_F_P]")</f>
        <v>3</v>
      </c>
      <c r="BV75" s="68" vm="19774">
        <f>CUBEVALUE(ConnectionString,ReportMonth,Table1[[#This Row],[Site ID (from DATIM)]],"[Measures].[MMS_01_89_M_P]")</f>
        <v>3</v>
      </c>
      <c r="BW75" s="68" vm="18319">
        <f>CUBEVALUE(ConnectionString,ReportMonth,Table1[[#This Row],[Site ID (from DATIM)]],"[Measures].[MMS_01_89_F_A]")</f>
        <v>43</v>
      </c>
      <c r="BX75" s="68" vm="16098">
        <f>CUBEVALUE(ConnectionString,ReportMonth,Table1[[#This Row],[Site ID (from DATIM)]],"[Measures].[MMS_01_89_M_A]")</f>
        <v>14</v>
      </c>
      <c r="BY75" s="68" t="str" vm="19081">
        <f>CUBEVALUE(ConnectionString,ReportMonth,Table1[[#This Row],[Site ID (from DATIM)]],"[Measures].[MMS_90_179_F_P]")</f>
        <v/>
      </c>
      <c r="BZ75" s="68" vm="16078">
        <f>CUBEVALUE(ConnectionString,ReportMonth,Table1[[#This Row],[Site ID (from DATIM)]],"[Measures].[MMS_90_179_M_P]")</f>
        <v>5</v>
      </c>
      <c r="CA75" s="68" vm="17739">
        <f>CUBEVALUE(ConnectionString,ReportMonth,Table1[[#This Row],[Site ID (from DATIM)]],"[Measures].[MMS_90_179_F_A]")</f>
        <v>44</v>
      </c>
      <c r="CB75" s="68" vm="17313">
        <f>CUBEVALUE(ConnectionString,ReportMonth,Table1[[#This Row],[Site ID (from DATIM)]],"[Measures].[MMS_90_179_M_A]")</f>
        <v>22</v>
      </c>
      <c r="CC75" s="68" t="str" vm="17604">
        <f>CUBEVALUE(ConnectionString,ReportMonth,Table1[[#This Row],[Site ID (from DATIM)]],"[Measures].[MMS_180+_F_P]")</f>
        <v/>
      </c>
      <c r="CD75" s="68" t="str" vm="16324">
        <f>CUBEVALUE(ConnectionString,ReportMonth,Table1[[#This Row],[Site ID (from DATIM)]],"[Measures].[MMS_180+_M_P]")</f>
        <v/>
      </c>
      <c r="CE75" s="68" t="str" vm="16317">
        <f>CUBEVALUE(ConnectionString,ReportMonth,Table1[[#This Row],[Site ID (from DATIM)]],"[Measures].[MMS_180+_F_A]")</f>
        <v/>
      </c>
      <c r="CF75" s="68" t="str" vm="15730">
        <f>CUBEVALUE(ConnectionString,ReportMonth,Table1[[#This Row],[Site ID (from DATIM)]],"[Measures].[MMS_180+_M_A]")</f>
        <v/>
      </c>
      <c r="CG75" s="68" vm="5376">
        <f>CUBEVALUE(ConnectionString,ReportMonth,Table1[[#This Row],[Site ID (from DATIM)]],"[Measures].[MISSEDAPP]")</f>
        <v>76</v>
      </c>
      <c r="CH75" s="68" t="str" vm="12109">
        <f>CUBEVALUE(ConnectionString,ReportMonth,Table1[[#This Row],[Site ID (from DATIM)]],"[Measures].[MMS_180+_P]")</f>
        <v/>
      </c>
      <c r="CI75" s="68" t="str" vm="12388">
        <f>CUBEVALUE(ConnectionString,ReportMonth,Table1[[#This Row],[Site ID (from DATIM)]],"[Measures].[MMS_180+_A]")</f>
        <v/>
      </c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</row>
    <row r="76" spans="1:107" x14ac:dyDescent="0.25">
      <c r="A76" s="66">
        <v>4</v>
      </c>
      <c r="B76" s="67" t="str" vm="4">
        <f t="shared" si="2"/>
        <v>Mar-2021</v>
      </c>
      <c r="C76" s="67"/>
      <c r="D76" s="67" t="s">
        <v>232</v>
      </c>
      <c r="E76" s="67" t="s">
        <v>233</v>
      </c>
      <c r="F76" s="67" t="s">
        <v>831</v>
      </c>
      <c r="G76" s="67"/>
      <c r="H76" s="67" t="s">
        <v>847</v>
      </c>
      <c r="I76" s="67" t="s">
        <v>329</v>
      </c>
      <c r="J76" s="67" t="s">
        <v>851</v>
      </c>
      <c r="K76" s="67" t="s">
        <v>852</v>
      </c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 t="str" vm="2889">
        <f>CUBEVALUE(ConnectionString,ReportMonth,Table1[[#This Row],[Site ID (from DATIM)]],"TX_NEW_2VIS")</f>
        <v/>
      </c>
      <c r="AE76" s="67" t="str" vm="2715">
        <f>CUBEVALUE(ConnectionString,ReportMonth,Table1[[#This Row],[Site ID (from DATIM)]],INDEX(SDI_Measures,1))</f>
        <v/>
      </c>
      <c r="AF76" s="67" t="str" vm="2512">
        <f>CUBEVALUE(ConnectionString,ReportMonth,Table1[[#This Row],[Site ID (from DATIM)]],INDEX(SDI_Measures,2))</f>
        <v/>
      </c>
      <c r="AG76" s="67" t="str" vm="1798">
        <f>CUBEVALUE(ConnectionString,ReportMonth,Table1[[#This Row],[Site ID (from DATIM)]],INDEX(SDI_Measures,3))</f>
        <v/>
      </c>
      <c r="AH76" s="67" vm="3114">
        <f>CUBEVALUE(ConnectionString,ReportMonth,Table1[[#This Row],[Site ID (from DATIM)]],"TX_CURR_PRIOR_MONTH")</f>
        <v>250</v>
      </c>
      <c r="AI76" s="67" vm="3321">
        <f>CUBEVALUE(ConnectionString,ReportMonth,Table1[[#This Row],[Site ID (from DATIM)]],"TX_CURR")</f>
        <v>224</v>
      </c>
      <c r="AJ76" s="67" t="str" vm="2222">
        <f>CUBEVALUE(ConnectionString,ReportMonth,Table1[[#This Row],[Site ID (from DATIM)]],"[Measures].[TI]")</f>
        <v/>
      </c>
      <c r="AK76" s="67" t="str" vm="2249">
        <f>CUBEVALUE(ConnectionString,ReportMonth,Table1[[#This Row],[Site ID (from DATIM)]],"[Measures].[TO]")</f>
        <v/>
      </c>
      <c r="AL76" s="67" t="str" vm="1983">
        <f>CUBEVALUE(ConnectionString,ReportMonth,Table1[[#This Row],[Site ID (from DATIM)]],"[Measures].[DIED]")</f>
        <v/>
      </c>
      <c r="AM76" s="67" vm="5809">
        <f>CUBEVALUE(ConnectionString,ReportMonth,Table1[[#This Row],[Site ID (from DATIM)]],"[Measures].[MMS_01_31]")</f>
        <v>127</v>
      </c>
      <c r="AN76" s="67" vm="4587">
        <f>CUBEVALUE(ConnectionString,ReportMonth,Table1[[#This Row],[Site ID (from DATIM)]],"[Measures].[MMS_32_62]")</f>
        <v>3</v>
      </c>
      <c r="AO76" s="67" vm="6100">
        <f>CUBEVALUE(ConnectionString,ReportMonth,Table1[[#This Row],[Site ID (from DATIM)]],"[Measures].[MMS_63+]")</f>
        <v>94</v>
      </c>
      <c r="AP76" s="67" vm="7394">
        <f>CUBEVALUE(ConnectionString,ReportMonth,Table1[[#This Row],[Site ID (from DATIM)]],"[Measures].[TBPREV_D]")</f>
        <v>12</v>
      </c>
      <c r="AQ76" s="67" vm="6728">
        <f>CUBEVALUE(ConnectionString,ReportMonth,Table1[[#This Row],[Site ID (from DATIM)]],"[Measures].[TBPREV_N]")</f>
        <v>4</v>
      </c>
      <c r="AR76" s="67" t="str" vm="6685">
        <f>CUBEVALUE(ConnectionString,ReportMonth,Table1[[#This Row],[Site ID (from DATIM)]],"[Measures].[TBPREV_NEW]")</f>
        <v/>
      </c>
      <c r="AS76" s="67" t="str" vm="5080">
        <f>CUBEVALUE(ConnectionString,ReportMonth,Table1[[#This Row],[Site ID (from DATIM)]],"[Measures].[HVL_ELIG_P]")</f>
        <v/>
      </c>
      <c r="AT76" s="67" t="str" vm="5039">
        <f>CUBEVALUE(ConnectionString,ReportMonth,Table1[[#This Row],[Site ID (from DATIM)]],"[Measures].[HVL_D_P]")</f>
        <v/>
      </c>
      <c r="AU76" s="67" t="str" vm="8261">
        <f>CUBEVALUE(ConnectionString,ReportMonth,Table1[[#This Row],[Site ID (from DATIM)]],"[Measures].[HVL_N_P]")</f>
        <v/>
      </c>
      <c r="AV76" s="68" vm="9605">
        <f>CUBEVALUE(ConnectionString,ReportMonth,Table1[[#This Row],[Site ID (from DATIM)]],"[Measures].[HVL_ELIG_A]")</f>
        <v>134</v>
      </c>
      <c r="AW76" s="68" vm="12591">
        <f>CUBEVALUE(ConnectionString,ReportMonth,Table1[[#This Row],[Site ID (from DATIM)]],"[Measures].[HVL_D_A]")</f>
        <v>38</v>
      </c>
      <c r="AX76" s="68" vm="8891">
        <f>CUBEVALUE(ConnectionString,ReportMonth,Table1[[#This Row],[Site ID (from DATIM)]],"[Measures].[HVL_N_A]")</f>
        <v>36</v>
      </c>
      <c r="AY76" s="67"/>
      <c r="AZ76" s="67"/>
      <c r="BA76" s="67"/>
      <c r="BB76" s="67"/>
      <c r="BC76" s="67"/>
      <c r="BD76" s="67"/>
      <c r="BE76" s="67"/>
      <c r="BF76" s="67"/>
      <c r="BG76" s="67" t="str" vm="11716">
        <f>CUBEVALUE(ConnectionString,ReportMonth,Table1[[#This Row],[Site ID (from DATIM)]],"[Measures].[TX_NEW_F_A]")</f>
        <v/>
      </c>
      <c r="BH76" s="67" t="str" vm="13949">
        <f>CUBEVALUE(ConnectionString,ReportMonth,Table1[[#This Row],[Site ID (from DATIM)]],"[Measures].[TX_NEW_M_A]")</f>
        <v/>
      </c>
      <c r="BI76" s="67" t="str" vm="14374">
        <f>CUBEVALUE(ConnectionString,ReportMonth,Table1[[#This Row],[Site ID (from DATIM)]],"[Measures].[TX_NEW_F_P]")</f>
        <v/>
      </c>
      <c r="BJ76" s="68" t="str" vm="13108">
        <f>CUBEVALUE(ConnectionString,ReportMonth,Table1[[#This Row],[Site ID (from DATIM)]],"[Measures].[TX_NEW_M_P]")</f>
        <v/>
      </c>
      <c r="BK76" s="68"/>
      <c r="BL76" s="68"/>
      <c r="BM76" s="68"/>
      <c r="BN76" s="68"/>
      <c r="BO76" s="68"/>
      <c r="BP76" s="68"/>
      <c r="BQ76" s="68" t="str" vm="11095">
        <f>CUBEVALUE(ConnectionString,ReportMonth,Table1[[#This Row],[Site ID (from DATIM)]],"[Measures].[TX_CURR_F_P]")</f>
        <v/>
      </c>
      <c r="BR76" s="68" t="str" vm="8402">
        <f>CUBEVALUE(ConnectionString,ReportMonth,Table1[[#This Row],[Site ID (from DATIM)]],"[Measures].[TX_CURR_M_P]")</f>
        <v/>
      </c>
      <c r="BS76" s="68" vm="8752">
        <f>CUBEVALUE(ConnectionString,ReportMonth,Table1[[#This Row],[Site ID (from DATIM)]],"[Measures].[TX_CURR_F_A]")</f>
        <v>144</v>
      </c>
      <c r="BT76" s="68" vm="14858">
        <f>CUBEVALUE(ConnectionString,ReportMonth,Table1[[#This Row],[Site ID (from DATIM)]],"[Measures].[TX_CURR_M_A]")</f>
        <v>80</v>
      </c>
      <c r="BU76" s="68" t="str" vm="19034">
        <f>CUBEVALUE(ConnectionString,ReportMonth,Table1[[#This Row],[Site ID (from DATIM)]],"[Measures].[MMS_01_89_F_P]")</f>
        <v/>
      </c>
      <c r="BV76" s="68" t="str" vm="18219">
        <f>CUBEVALUE(ConnectionString,ReportMonth,Table1[[#This Row],[Site ID (from DATIM)]],"[Measures].[MMS_01_89_M_P]")</f>
        <v/>
      </c>
      <c r="BW76" s="68" vm="18197">
        <f>CUBEVALUE(ConnectionString,ReportMonth,Table1[[#This Row],[Site ID (from DATIM)]],"[Measures].[MMS_01_89_F_A]")</f>
        <v>77</v>
      </c>
      <c r="BX76" s="68" vm="17854">
        <f>CUBEVALUE(ConnectionString,ReportMonth,Table1[[#This Row],[Site ID (from DATIM)]],"[Measures].[MMS_01_89_M_A]")</f>
        <v>53</v>
      </c>
      <c r="BY76" s="68" t="str" vm="16115">
        <f>CUBEVALUE(ConnectionString,ReportMonth,Table1[[#This Row],[Site ID (from DATIM)]],"[Measures].[MMS_90_179_F_P]")</f>
        <v/>
      </c>
      <c r="BZ76" s="68" t="str" vm="15480">
        <f>CUBEVALUE(ConnectionString,ReportMonth,Table1[[#This Row],[Site ID (from DATIM)]],"[Measures].[MMS_90_179_M_P]")</f>
        <v/>
      </c>
      <c r="CA76" s="68" vm="15996">
        <f>CUBEVALUE(ConnectionString,ReportMonth,Table1[[#This Row],[Site ID (from DATIM)]],"[Measures].[MMS_90_179_F_A]")</f>
        <v>67</v>
      </c>
      <c r="CB76" s="68" vm="15127">
        <f>CUBEVALUE(ConnectionString,ReportMonth,Table1[[#This Row],[Site ID (from DATIM)]],"[Measures].[MMS_90_179_M_A]")</f>
        <v>27</v>
      </c>
      <c r="CC76" s="68" t="str" vm="17279">
        <f>CUBEVALUE(ConnectionString,ReportMonth,Table1[[#This Row],[Site ID (from DATIM)]],"[Measures].[MMS_180+_F_P]")</f>
        <v/>
      </c>
      <c r="CD76" s="68" t="str" vm="16258">
        <f>CUBEVALUE(ConnectionString,ReportMonth,Table1[[#This Row],[Site ID (from DATIM)]],"[Measures].[MMS_180+_M_P]")</f>
        <v/>
      </c>
      <c r="CE76" s="68" t="str" vm="20193">
        <f>CUBEVALUE(ConnectionString,ReportMonth,Table1[[#This Row],[Site ID (from DATIM)]],"[Measures].[MMS_180+_F_A]")</f>
        <v/>
      </c>
      <c r="CF76" s="68" t="str" vm="197">
        <f>CUBEVALUE(ConnectionString,ReportMonth,Table1[[#This Row],[Site ID (from DATIM)]],"[Measures].[MMS_180+_M_A]")</f>
        <v/>
      </c>
      <c r="CG76" s="68" vm="6277">
        <f>CUBEVALUE(ConnectionString,ReportMonth,Table1[[#This Row],[Site ID (from DATIM)]],"[Measures].[MISSEDAPP]")</f>
        <v>145</v>
      </c>
      <c r="CH76" s="68" t="str" vm="10704">
        <f>CUBEVALUE(ConnectionString,ReportMonth,Table1[[#This Row],[Site ID (from DATIM)]],"[Measures].[MMS_180+_P]")</f>
        <v/>
      </c>
      <c r="CI76" s="68" t="str" vm="11413">
        <f>CUBEVALUE(ConnectionString,ReportMonth,Table1[[#This Row],[Site ID (from DATIM)]],"[Measures].[MMS_180+_A]")</f>
        <v/>
      </c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</row>
    <row r="77" spans="1:107" x14ac:dyDescent="0.25">
      <c r="A77" s="66">
        <v>4</v>
      </c>
      <c r="B77" s="67" t="str" vm="4">
        <f t="shared" si="2"/>
        <v>Mar-2021</v>
      </c>
      <c r="C77" s="67"/>
      <c r="D77" s="67" t="s">
        <v>232</v>
      </c>
      <c r="E77" s="67" t="s">
        <v>233</v>
      </c>
      <c r="F77" s="67" t="s">
        <v>1083</v>
      </c>
      <c r="G77" s="67"/>
      <c r="H77" s="67" t="s">
        <v>1099</v>
      </c>
      <c r="I77" s="67" t="s">
        <v>1142</v>
      </c>
      <c r="J77" s="67" t="s">
        <v>1143</v>
      </c>
      <c r="K77" s="67" t="s">
        <v>1144</v>
      </c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 t="str" vm="538">
        <f>CUBEVALUE(ConnectionString,ReportMonth,Table1[[#This Row],[Site ID (from DATIM)]],"TX_NEW_2VIS")</f>
        <v/>
      </c>
      <c r="AE77" s="67" vm="2110">
        <f>CUBEVALUE(ConnectionString,ReportMonth,Table1[[#This Row],[Site ID (from DATIM)]],INDEX(SDI_Measures,1))</f>
        <v>1</v>
      </c>
      <c r="AF77" s="67" t="str" vm="3942">
        <f>CUBEVALUE(ConnectionString,ReportMonth,Table1[[#This Row],[Site ID (from DATIM)]],INDEX(SDI_Measures,2))</f>
        <v/>
      </c>
      <c r="AG77" s="67" t="str" vm="5410">
        <f>CUBEVALUE(ConnectionString,ReportMonth,Table1[[#This Row],[Site ID (from DATIM)]],INDEX(SDI_Measures,3))</f>
        <v/>
      </c>
      <c r="AH77" s="67" vm="3393">
        <f>CUBEVALUE(ConnectionString,ReportMonth,Table1[[#This Row],[Site ID (from DATIM)]],"TX_CURR_PRIOR_MONTH")</f>
        <v>343</v>
      </c>
      <c r="AI77" s="67" vm="1224">
        <f>CUBEVALUE(ConnectionString,ReportMonth,Table1[[#This Row],[Site ID (from DATIM)]],"TX_CURR")</f>
        <v>303</v>
      </c>
      <c r="AJ77" s="67" t="str" vm="2097">
        <f>CUBEVALUE(ConnectionString,ReportMonth,Table1[[#This Row],[Site ID (from DATIM)]],"[Measures].[TI]")</f>
        <v/>
      </c>
      <c r="AK77" s="67" vm="3499">
        <f>CUBEVALUE(ConnectionString,ReportMonth,Table1[[#This Row],[Site ID (from DATIM)]],"[Measures].[TO]")</f>
        <v>1</v>
      </c>
      <c r="AL77" s="67" t="str" vm="3124">
        <f>CUBEVALUE(ConnectionString,ReportMonth,Table1[[#This Row],[Site ID (from DATIM)]],"[Measures].[DIED]")</f>
        <v/>
      </c>
      <c r="AM77" s="67" vm="4316">
        <f>CUBEVALUE(ConnectionString,ReportMonth,Table1[[#This Row],[Site ID (from DATIM)]],"[Measures].[MMS_01_31]")</f>
        <v>64</v>
      </c>
      <c r="AN77" s="67" vm="4899">
        <f>CUBEVALUE(ConnectionString,ReportMonth,Table1[[#This Row],[Site ID (from DATIM)]],"[Measures].[MMS_32_62]")</f>
        <v>2</v>
      </c>
      <c r="AO77" s="67" vm="7839">
        <f>CUBEVALUE(ConnectionString,ReportMonth,Table1[[#This Row],[Site ID (from DATIM)]],"[Measures].[MMS_63+]")</f>
        <v>237</v>
      </c>
      <c r="AP77" s="67" vm="6968">
        <f>CUBEVALUE(ConnectionString,ReportMonth,Table1[[#This Row],[Site ID (from DATIM)]],"[Measures].[TBPREV_D]")</f>
        <v>36</v>
      </c>
      <c r="AQ77" s="67" vm="13364">
        <f>CUBEVALUE(ConnectionString,ReportMonth,Table1[[#This Row],[Site ID (from DATIM)]],"[Measures].[TBPREV_N]")</f>
        <v>29</v>
      </c>
      <c r="AR77" s="67" vm="7185">
        <f>CUBEVALUE(ConnectionString,ReportMonth,Table1[[#This Row],[Site ID (from DATIM)]],"[Measures].[TBPREV_NEW]")</f>
        <v>1</v>
      </c>
      <c r="AS77" s="67" vm="8886">
        <f>CUBEVALUE(ConnectionString,ReportMonth,Table1[[#This Row],[Site ID (from DATIM)]],"[Measures].[HVL_ELIG_P]")</f>
        <v>13</v>
      </c>
      <c r="AT77" s="67" vm="6102">
        <f>CUBEVALUE(ConnectionString,ReportMonth,Table1[[#This Row],[Site ID (from DATIM)]],"[Measures].[HVL_D_P]")</f>
        <v>6</v>
      </c>
      <c r="AU77" s="67" vm="13562">
        <f>CUBEVALUE(ConnectionString,ReportMonth,Table1[[#This Row],[Site ID (from DATIM)]],"[Measures].[HVL_N_P]")</f>
        <v>5</v>
      </c>
      <c r="AV77" s="68" vm="9286">
        <f>CUBEVALUE(ConnectionString,ReportMonth,Table1[[#This Row],[Site ID (from DATIM)]],"[Measures].[HVL_ELIG_A]")</f>
        <v>274</v>
      </c>
      <c r="AW77" s="68" vm="9695">
        <f>CUBEVALUE(ConnectionString,ReportMonth,Table1[[#This Row],[Site ID (from DATIM)]],"[Measures].[HVL_D_A]")</f>
        <v>121</v>
      </c>
      <c r="AX77" s="68" vm="9447">
        <f>CUBEVALUE(ConnectionString,ReportMonth,Table1[[#This Row],[Site ID (from DATIM)]],"[Measures].[HVL_N_A]")</f>
        <v>120</v>
      </c>
      <c r="AY77" s="67"/>
      <c r="AZ77" s="67"/>
      <c r="BA77" s="67"/>
      <c r="BB77" s="67"/>
      <c r="BC77" s="67"/>
      <c r="BD77" s="67"/>
      <c r="BE77" s="67"/>
      <c r="BF77" s="67"/>
      <c r="BG77" s="67" vm="13242">
        <f>CUBEVALUE(ConnectionString,ReportMonth,Table1[[#This Row],[Site ID (from DATIM)]],"[Measures].[TX_NEW_F_A]")</f>
        <v>1</v>
      </c>
      <c r="BH77" s="67" t="str" vm="13630">
        <f>CUBEVALUE(ConnectionString,ReportMonth,Table1[[#This Row],[Site ID (from DATIM)]],"[Measures].[TX_NEW_M_A]")</f>
        <v/>
      </c>
      <c r="BI77" s="67" t="str" vm="14807">
        <f>CUBEVALUE(ConnectionString,ReportMonth,Table1[[#This Row],[Site ID (from DATIM)]],"[Measures].[TX_NEW_F_P]")</f>
        <v/>
      </c>
      <c r="BJ77" s="68" t="str" vm="14277">
        <f>CUBEVALUE(ConnectionString,ReportMonth,Table1[[#This Row],[Site ID (from DATIM)]],"[Measures].[TX_NEW_M_P]")</f>
        <v/>
      </c>
      <c r="BK77" s="68"/>
      <c r="BL77" s="68"/>
      <c r="BM77" s="68"/>
      <c r="BN77" s="68"/>
      <c r="BO77" s="68"/>
      <c r="BP77" s="68"/>
      <c r="BQ77" s="68" vm="9972">
        <f>CUBEVALUE(ConnectionString,ReportMonth,Table1[[#This Row],[Site ID (from DATIM)]],"[Measures].[TX_CURR_F_P]")</f>
        <v>4</v>
      </c>
      <c r="BR77" s="68" vm="12874">
        <f>CUBEVALUE(ConnectionString,ReportMonth,Table1[[#This Row],[Site ID (from DATIM)]],"[Measures].[TX_CURR_M_P]")</f>
        <v>10</v>
      </c>
      <c r="BS77" s="68" vm="10090">
        <f>CUBEVALUE(ConnectionString,ReportMonth,Table1[[#This Row],[Site ID (from DATIM)]],"[Measures].[TX_CURR_F_A]")</f>
        <v>205</v>
      </c>
      <c r="BT77" s="68" vm="10937">
        <f>CUBEVALUE(ConnectionString,ReportMonth,Table1[[#This Row],[Site ID (from DATIM)]],"[Measures].[TX_CURR_M_A]")</f>
        <v>84</v>
      </c>
      <c r="BU77" s="68" vm="18327">
        <f>CUBEVALUE(ConnectionString,ReportMonth,Table1[[#This Row],[Site ID (from DATIM)]],"[Measures].[MMS_01_89_F_P]")</f>
        <v>3</v>
      </c>
      <c r="BV77" s="68" vm="19394">
        <f>CUBEVALUE(ConnectionString,ReportMonth,Table1[[#This Row],[Site ID (from DATIM)]],"[Measures].[MMS_01_89_M_P]")</f>
        <v>7</v>
      </c>
      <c r="BW77" s="68" vm="18916">
        <f>CUBEVALUE(ConnectionString,ReportMonth,Table1[[#This Row],[Site ID (from DATIM)]],"[Measures].[MMS_01_89_F_A]")</f>
        <v>47</v>
      </c>
      <c r="BX77" s="68" vm="16085">
        <f>CUBEVALUE(ConnectionString,ReportMonth,Table1[[#This Row],[Site ID (from DATIM)]],"[Measures].[MMS_01_89_M_A]")</f>
        <v>9</v>
      </c>
      <c r="BY77" s="68" vm="18813">
        <f>CUBEVALUE(ConnectionString,ReportMonth,Table1[[#This Row],[Site ID (from DATIM)]],"[Measures].[MMS_90_179_F_P]")</f>
        <v>1</v>
      </c>
      <c r="BZ77" s="68" vm="17876">
        <f>CUBEVALUE(ConnectionString,ReportMonth,Table1[[#This Row],[Site ID (from DATIM)]],"[Measures].[MMS_90_179_M_P]")</f>
        <v>3</v>
      </c>
      <c r="CA77" s="68" vm="16264">
        <f>CUBEVALUE(ConnectionString,ReportMonth,Table1[[#This Row],[Site ID (from DATIM)]],"[Measures].[MMS_90_179_F_A]")</f>
        <v>158</v>
      </c>
      <c r="CB77" s="68" vm="16454">
        <f>CUBEVALUE(ConnectionString,ReportMonth,Table1[[#This Row],[Site ID (from DATIM)]],"[Measures].[MMS_90_179_M_A]")</f>
        <v>75</v>
      </c>
      <c r="CC77" s="68" t="str" vm="14462">
        <f>CUBEVALUE(ConnectionString,ReportMonth,Table1[[#This Row],[Site ID (from DATIM)]],"[Measures].[MMS_180+_F_P]")</f>
        <v/>
      </c>
      <c r="CD77" s="68" t="str" vm="14489">
        <f>CUBEVALUE(ConnectionString,ReportMonth,Table1[[#This Row],[Site ID (from DATIM)]],"[Measures].[MMS_180+_M_P]")</f>
        <v/>
      </c>
      <c r="CE77" s="68" t="str" vm="14504">
        <f>CUBEVALUE(ConnectionString,ReportMonth,Table1[[#This Row],[Site ID (from DATIM)]],"[Measures].[MMS_180+_F_A]")</f>
        <v/>
      </c>
      <c r="CF77" s="68" t="str" vm="356">
        <f>CUBEVALUE(ConnectionString,ReportMonth,Table1[[#This Row],[Site ID (from DATIM)]],"[Measures].[MMS_180+_M_A]")</f>
        <v/>
      </c>
      <c r="CG77" s="68" vm="10088">
        <f>CUBEVALUE(ConnectionString,ReportMonth,Table1[[#This Row],[Site ID (from DATIM)]],"[Measures].[MISSEDAPP]")</f>
        <v>75</v>
      </c>
      <c r="CH77" s="68" t="str" vm="12297">
        <f>CUBEVALUE(ConnectionString,ReportMonth,Table1[[#This Row],[Site ID (from DATIM)]],"[Measures].[MMS_180+_P]")</f>
        <v/>
      </c>
      <c r="CI77" s="68" t="str" vm="14005">
        <f>CUBEVALUE(ConnectionString,ReportMonth,Table1[[#This Row],[Site ID (from DATIM)]],"[Measures].[MMS_180+_A]")</f>
        <v/>
      </c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</row>
    <row r="78" spans="1:107" x14ac:dyDescent="0.25">
      <c r="A78" s="66">
        <v>4</v>
      </c>
      <c r="B78" s="67" t="str" vm="4">
        <f t="shared" si="2"/>
        <v>Mar-2021</v>
      </c>
      <c r="C78" s="67"/>
      <c r="D78" s="67" t="s">
        <v>232</v>
      </c>
      <c r="E78" s="67" t="s">
        <v>233</v>
      </c>
      <c r="F78" s="67" t="s">
        <v>234</v>
      </c>
      <c r="G78" s="67"/>
      <c r="H78" s="67" t="s">
        <v>263</v>
      </c>
      <c r="I78" s="67" t="s">
        <v>273</v>
      </c>
      <c r="J78" s="67" t="s">
        <v>274</v>
      </c>
      <c r="K78" s="67" t="s">
        <v>275</v>
      </c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 t="str" vm="383">
        <f>CUBEVALUE(ConnectionString,ReportMonth,Table1[[#This Row],[Site ID (from DATIM)]],"TX_NEW_2VIS")</f>
        <v/>
      </c>
      <c r="AE78" s="67" t="str" vm="5006">
        <f>CUBEVALUE(ConnectionString,ReportMonth,Table1[[#This Row],[Site ID (from DATIM)]],INDEX(SDI_Measures,1))</f>
        <v/>
      </c>
      <c r="AF78" s="67" t="str" vm="1201">
        <f>CUBEVALUE(ConnectionString,ReportMonth,Table1[[#This Row],[Site ID (from DATIM)]],INDEX(SDI_Measures,2))</f>
        <v/>
      </c>
      <c r="AG78" s="67" t="str" vm="499">
        <f>CUBEVALUE(ConnectionString,ReportMonth,Table1[[#This Row],[Site ID (from DATIM)]],INDEX(SDI_Measures,3))</f>
        <v/>
      </c>
      <c r="AH78" s="67" t="str" vm="1908">
        <f>CUBEVALUE(ConnectionString,ReportMonth,Table1[[#This Row],[Site ID (from DATIM)]],"TX_CURR_PRIOR_MONTH")</f>
        <v/>
      </c>
      <c r="AI78" s="67" t="str" vm="2501">
        <f>CUBEVALUE(ConnectionString,ReportMonth,Table1[[#This Row],[Site ID (from DATIM)]],"TX_CURR")</f>
        <v/>
      </c>
      <c r="AJ78" s="67" t="str" vm="1554">
        <f>CUBEVALUE(ConnectionString,ReportMonth,Table1[[#This Row],[Site ID (from DATIM)]],"[Measures].[TI]")</f>
        <v/>
      </c>
      <c r="AK78" s="67" t="str" vm="2711">
        <f>CUBEVALUE(ConnectionString,ReportMonth,Table1[[#This Row],[Site ID (from DATIM)]],"[Measures].[TO]")</f>
        <v/>
      </c>
      <c r="AL78" s="67" t="str" vm="2302">
        <f>CUBEVALUE(ConnectionString,ReportMonth,Table1[[#This Row],[Site ID (from DATIM)]],"[Measures].[DIED]")</f>
        <v/>
      </c>
      <c r="AM78" s="67" t="str" vm="6174">
        <f>CUBEVALUE(ConnectionString,ReportMonth,Table1[[#This Row],[Site ID (from DATIM)]],"[Measures].[MMS_01_31]")</f>
        <v/>
      </c>
      <c r="AN78" s="67" t="str" vm="5287">
        <f>CUBEVALUE(ConnectionString,ReportMonth,Table1[[#This Row],[Site ID (from DATIM)]],"[Measures].[MMS_32_62]")</f>
        <v/>
      </c>
      <c r="AO78" s="67" t="str" vm="7335">
        <f>CUBEVALUE(ConnectionString,ReportMonth,Table1[[#This Row],[Site ID (from DATIM)]],"[Measures].[MMS_63+]")</f>
        <v/>
      </c>
      <c r="AP78" s="67" t="str" vm="13903">
        <f>CUBEVALUE(ConnectionString,ReportMonth,Table1[[#This Row],[Site ID (from DATIM)]],"[Measures].[TBPREV_D]")</f>
        <v/>
      </c>
      <c r="AQ78" s="67" t="str" vm="6243">
        <f>CUBEVALUE(ConnectionString,ReportMonth,Table1[[#This Row],[Site ID (from DATIM)]],"[Measures].[TBPREV_N]")</f>
        <v/>
      </c>
      <c r="AR78" s="67" t="str" vm="5304">
        <f>CUBEVALUE(ConnectionString,ReportMonth,Table1[[#This Row],[Site ID (from DATIM)]],"[Measures].[TBPREV_NEW]")</f>
        <v/>
      </c>
      <c r="AS78" s="67" t="str" vm="11327">
        <f>CUBEVALUE(ConnectionString,ReportMonth,Table1[[#This Row],[Site ID (from DATIM)]],"[Measures].[HVL_ELIG_P]")</f>
        <v/>
      </c>
      <c r="AT78" s="67" t="str" vm="15299">
        <f>CUBEVALUE(ConnectionString,ReportMonth,Table1[[#This Row],[Site ID (from DATIM)]],"[Measures].[HVL_D_P]")</f>
        <v/>
      </c>
      <c r="AU78" s="67" t="str" vm="14245">
        <f>CUBEVALUE(ConnectionString,ReportMonth,Table1[[#This Row],[Site ID (from DATIM)]],"[Measures].[HVL_N_P]")</f>
        <v/>
      </c>
      <c r="AV78" s="68" t="str" vm="12983">
        <f>CUBEVALUE(ConnectionString,ReportMonth,Table1[[#This Row],[Site ID (from DATIM)]],"[Measures].[HVL_ELIG_A]")</f>
        <v/>
      </c>
      <c r="AW78" s="68" t="str" vm="7236">
        <f>CUBEVALUE(ConnectionString,ReportMonth,Table1[[#This Row],[Site ID (from DATIM)]],"[Measures].[HVL_D_A]")</f>
        <v/>
      </c>
      <c r="AX78" s="68" t="str" vm="13211">
        <f>CUBEVALUE(ConnectionString,ReportMonth,Table1[[#This Row],[Site ID (from DATIM)]],"[Measures].[HVL_N_A]")</f>
        <v/>
      </c>
      <c r="AY78" s="67"/>
      <c r="AZ78" s="67"/>
      <c r="BA78" s="67"/>
      <c r="BB78" s="67"/>
      <c r="BC78" s="67"/>
      <c r="BD78" s="67"/>
      <c r="BE78" s="67"/>
      <c r="BF78" s="67"/>
      <c r="BG78" s="67" t="str" vm="15694">
        <f>CUBEVALUE(ConnectionString,ReportMonth,Table1[[#This Row],[Site ID (from DATIM)]],"[Measures].[TX_NEW_F_A]")</f>
        <v/>
      </c>
      <c r="BH78" s="67" t="str" vm="17013">
        <f>CUBEVALUE(ConnectionString,ReportMonth,Table1[[#This Row],[Site ID (from DATIM)]],"[Measures].[TX_NEW_M_A]")</f>
        <v/>
      </c>
      <c r="BI78" s="67" t="str" vm="12067">
        <f>CUBEVALUE(ConnectionString,ReportMonth,Table1[[#This Row],[Site ID (from DATIM)]],"[Measures].[TX_NEW_F_P]")</f>
        <v/>
      </c>
      <c r="BJ78" s="68" t="str" vm="13093">
        <f>CUBEVALUE(ConnectionString,ReportMonth,Table1[[#This Row],[Site ID (from DATIM)]],"[Measures].[TX_NEW_M_P]")</f>
        <v/>
      </c>
      <c r="BK78" s="68"/>
      <c r="BL78" s="68"/>
      <c r="BM78" s="68"/>
      <c r="BN78" s="68"/>
      <c r="BO78" s="68"/>
      <c r="BP78" s="68"/>
      <c r="BQ78" s="68" t="str" vm="9138">
        <f>CUBEVALUE(ConnectionString,ReportMonth,Table1[[#This Row],[Site ID (from DATIM)]],"[Measures].[TX_CURR_F_P]")</f>
        <v/>
      </c>
      <c r="BR78" s="68" t="str" vm="11642">
        <f>CUBEVALUE(ConnectionString,ReportMonth,Table1[[#This Row],[Site ID (from DATIM)]],"[Measures].[TX_CURR_M_P]")</f>
        <v/>
      </c>
      <c r="BS78" s="68" t="str" vm="11606">
        <f>CUBEVALUE(ConnectionString,ReportMonth,Table1[[#This Row],[Site ID (from DATIM)]],"[Measures].[TX_CURR_F_A]")</f>
        <v/>
      </c>
      <c r="BT78" s="68" t="str" vm="12095">
        <f>CUBEVALUE(ConnectionString,ReportMonth,Table1[[#This Row],[Site ID (from DATIM)]],"[Measures].[TX_CURR_M_A]")</f>
        <v/>
      </c>
      <c r="BU78" s="68" t="str" vm="18676">
        <f>CUBEVALUE(ConnectionString,ReportMonth,Table1[[#This Row],[Site ID (from DATIM)]],"[Measures].[MMS_01_89_F_P]")</f>
        <v/>
      </c>
      <c r="BV78" s="68" t="str" vm="19037">
        <f>CUBEVALUE(ConnectionString,ReportMonth,Table1[[#This Row],[Site ID (from DATIM)]],"[Measures].[MMS_01_89_M_P]")</f>
        <v/>
      </c>
      <c r="BW78" s="68" t="str" vm="20058">
        <f>CUBEVALUE(ConnectionString,ReportMonth,Table1[[#This Row],[Site ID (from DATIM)]],"[Measures].[MMS_01_89_F_A]")</f>
        <v/>
      </c>
      <c r="BX78" s="68" t="str" vm="19313">
        <f>CUBEVALUE(ConnectionString,ReportMonth,Table1[[#This Row],[Site ID (from DATIM)]],"[Measures].[MMS_01_89_M_A]")</f>
        <v/>
      </c>
      <c r="BY78" s="68" t="str" vm="17827">
        <f>CUBEVALUE(ConnectionString,ReportMonth,Table1[[#This Row],[Site ID (from DATIM)]],"[Measures].[MMS_90_179_F_P]")</f>
        <v/>
      </c>
      <c r="BZ78" s="68" t="str" vm="19328">
        <f>CUBEVALUE(ConnectionString,ReportMonth,Table1[[#This Row],[Site ID (from DATIM)]],"[Measures].[MMS_90_179_M_P]")</f>
        <v/>
      </c>
      <c r="CA78" s="68" t="str" vm="16427">
        <f>CUBEVALUE(ConnectionString,ReportMonth,Table1[[#This Row],[Site ID (from DATIM)]],"[Measures].[MMS_90_179_F_A]")</f>
        <v/>
      </c>
      <c r="CB78" s="68" t="str" vm="16840">
        <f>CUBEVALUE(ConnectionString,ReportMonth,Table1[[#This Row],[Site ID (from DATIM)]],"[Measures].[MMS_90_179_M_A]")</f>
        <v/>
      </c>
      <c r="CC78" s="68" t="str" vm="17283">
        <f>CUBEVALUE(ConnectionString,ReportMonth,Table1[[#This Row],[Site ID (from DATIM)]],"[Measures].[MMS_180+_F_P]")</f>
        <v/>
      </c>
      <c r="CD78" s="68" t="str" vm="16353">
        <f>CUBEVALUE(ConnectionString,ReportMonth,Table1[[#This Row],[Site ID (from DATIM)]],"[Measures].[MMS_180+_M_P]")</f>
        <v/>
      </c>
      <c r="CE78" s="68" t="str" vm="17570">
        <f>CUBEVALUE(ConnectionString,ReportMonth,Table1[[#This Row],[Site ID (from DATIM)]],"[Measures].[MMS_180+_F_A]")</f>
        <v/>
      </c>
      <c r="CF78" s="68" t="str" vm="14921">
        <f>CUBEVALUE(ConnectionString,ReportMonth,Table1[[#This Row],[Site ID (from DATIM)]],"[Measures].[MMS_180+_M_A]")</f>
        <v/>
      </c>
      <c r="CG78" s="68" t="str" vm="6105">
        <f>CUBEVALUE(ConnectionString,ReportMonth,Table1[[#This Row],[Site ID (from DATIM)]],"[Measures].[MISSEDAPP]")</f>
        <v/>
      </c>
      <c r="CH78" s="68" t="str" vm="11498">
        <f>CUBEVALUE(ConnectionString,ReportMonth,Table1[[#This Row],[Site ID (from DATIM)]],"[Measures].[MMS_180+_P]")</f>
        <v/>
      </c>
      <c r="CI78" s="68" t="str" vm="12208">
        <f>CUBEVALUE(ConnectionString,ReportMonth,Table1[[#This Row],[Site ID (from DATIM)]],"[Measures].[MMS_180+_A]")</f>
        <v/>
      </c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</row>
    <row r="79" spans="1:107" x14ac:dyDescent="0.25">
      <c r="A79" s="66">
        <v>4</v>
      </c>
      <c r="B79" s="67" t="str" vm="4">
        <f t="shared" si="2"/>
        <v>Mar-2021</v>
      </c>
      <c r="C79" s="67"/>
      <c r="D79" s="67" t="s">
        <v>232</v>
      </c>
      <c r="E79" s="67" t="s">
        <v>233</v>
      </c>
      <c r="F79" s="67" t="s">
        <v>1083</v>
      </c>
      <c r="G79" s="67"/>
      <c r="H79" s="67" t="s">
        <v>1103</v>
      </c>
      <c r="I79" s="67" t="s">
        <v>1145</v>
      </c>
      <c r="J79" s="67" t="s">
        <v>1146</v>
      </c>
      <c r="K79" s="67" t="s">
        <v>1147</v>
      </c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 t="str" vm="2018">
        <f>CUBEVALUE(ConnectionString,ReportMonth,Table1[[#This Row],[Site ID (from DATIM)]],"TX_NEW_2VIS")</f>
        <v/>
      </c>
      <c r="AE79" s="67" t="str" vm="547">
        <f>CUBEVALUE(ConnectionString,ReportMonth,Table1[[#This Row],[Site ID (from DATIM)]],INDEX(SDI_Measures,1))</f>
        <v/>
      </c>
      <c r="AF79" s="67" t="str" vm="561">
        <f>CUBEVALUE(ConnectionString,ReportMonth,Table1[[#This Row],[Site ID (from DATIM)]],INDEX(SDI_Measures,2))</f>
        <v/>
      </c>
      <c r="AG79" s="67" t="str" vm="5687">
        <f>CUBEVALUE(ConnectionString,ReportMonth,Table1[[#This Row],[Site ID (from DATIM)]],INDEX(SDI_Measures,3))</f>
        <v/>
      </c>
      <c r="AH79" s="67" vm="6777">
        <f>CUBEVALUE(ConnectionString,ReportMonth,Table1[[#This Row],[Site ID (from DATIM)]],"TX_CURR_PRIOR_MONTH")</f>
        <v>12</v>
      </c>
      <c r="AI79" s="67" t="str" vm="3885">
        <f>CUBEVALUE(ConnectionString,ReportMonth,Table1[[#This Row],[Site ID (from DATIM)]],"TX_CURR")</f>
        <v/>
      </c>
      <c r="AJ79" s="67" t="str" vm="2497">
        <f>CUBEVALUE(ConnectionString,ReportMonth,Table1[[#This Row],[Site ID (from DATIM)]],"[Measures].[TI]")</f>
        <v/>
      </c>
      <c r="AK79" s="67" t="str" vm="4431">
        <f>CUBEVALUE(ConnectionString,ReportMonth,Table1[[#This Row],[Site ID (from DATIM)]],"[Measures].[TO]")</f>
        <v/>
      </c>
      <c r="AL79" s="67" t="str" vm="3344">
        <f>CUBEVALUE(ConnectionString,ReportMonth,Table1[[#This Row],[Site ID (from DATIM)]],"[Measures].[DIED]")</f>
        <v/>
      </c>
      <c r="AM79" s="67" t="str" vm="4521">
        <f>CUBEVALUE(ConnectionString,ReportMonth,Table1[[#This Row],[Site ID (from DATIM)]],"[Measures].[MMS_01_31]")</f>
        <v/>
      </c>
      <c r="AN79" s="67" t="str" vm="7767">
        <f>CUBEVALUE(ConnectionString,ReportMonth,Table1[[#This Row],[Site ID (from DATIM)]],"[Measures].[MMS_32_62]")</f>
        <v/>
      </c>
      <c r="AO79" s="67" t="str" vm="5174">
        <f>CUBEVALUE(ConnectionString,ReportMonth,Table1[[#This Row],[Site ID (from DATIM)]],"[Measures].[MMS_63+]")</f>
        <v/>
      </c>
      <c r="AP79" s="67" t="str" vm="7663">
        <f>CUBEVALUE(ConnectionString,ReportMonth,Table1[[#This Row],[Site ID (from DATIM)]],"[Measures].[TBPREV_D]")</f>
        <v/>
      </c>
      <c r="AQ79" s="67" t="str" vm="7435">
        <f>CUBEVALUE(ConnectionString,ReportMonth,Table1[[#This Row],[Site ID (from DATIM)]],"[Measures].[TBPREV_N]")</f>
        <v/>
      </c>
      <c r="AR79" s="67" t="str" vm="6483">
        <f>CUBEVALUE(ConnectionString,ReportMonth,Table1[[#This Row],[Site ID (from DATIM)]],"[Measures].[TBPREV_NEW]")</f>
        <v/>
      </c>
      <c r="AS79" s="67" t="str" vm="6001">
        <f>CUBEVALUE(ConnectionString,ReportMonth,Table1[[#This Row],[Site ID (from DATIM)]],"[Measures].[HVL_ELIG_P]")</f>
        <v/>
      </c>
      <c r="AT79" s="67" t="str" vm="10501">
        <f>CUBEVALUE(ConnectionString,ReportMonth,Table1[[#This Row],[Site ID (from DATIM)]],"[Measures].[HVL_D_P]")</f>
        <v/>
      </c>
      <c r="AU79" s="67" t="str" vm="8768">
        <f>CUBEVALUE(ConnectionString,ReportMonth,Table1[[#This Row],[Site ID (from DATIM)]],"[Measures].[HVL_N_P]")</f>
        <v/>
      </c>
      <c r="AV79" s="68" t="str" vm="13602">
        <f>CUBEVALUE(ConnectionString,ReportMonth,Table1[[#This Row],[Site ID (from DATIM)]],"[Measures].[HVL_ELIG_A]")</f>
        <v/>
      </c>
      <c r="AW79" s="68" t="str" vm="9509">
        <f>CUBEVALUE(ConnectionString,ReportMonth,Table1[[#This Row],[Site ID (from DATIM)]],"[Measures].[HVL_D_A]")</f>
        <v/>
      </c>
      <c r="AX79" s="68" t="str" vm="12267">
        <f>CUBEVALUE(ConnectionString,ReportMonth,Table1[[#This Row],[Site ID (from DATIM)]],"[Measures].[HVL_N_A]")</f>
        <v/>
      </c>
      <c r="AY79" s="67"/>
      <c r="AZ79" s="67"/>
      <c r="BA79" s="67"/>
      <c r="BB79" s="67"/>
      <c r="BC79" s="67"/>
      <c r="BD79" s="67"/>
      <c r="BE79" s="67"/>
      <c r="BF79" s="67"/>
      <c r="BG79" s="67" t="str" vm="12951">
        <f>CUBEVALUE(ConnectionString,ReportMonth,Table1[[#This Row],[Site ID (from DATIM)]],"[Measures].[TX_NEW_F_A]")</f>
        <v/>
      </c>
      <c r="BH79" s="67" t="str" vm="13845">
        <f>CUBEVALUE(ConnectionString,ReportMonth,Table1[[#This Row],[Site ID (from DATIM)]],"[Measures].[TX_NEW_M_A]")</f>
        <v/>
      </c>
      <c r="BI79" s="67" t="str" vm="13180">
        <f>CUBEVALUE(ConnectionString,ReportMonth,Table1[[#This Row],[Site ID (from DATIM)]],"[Measures].[TX_NEW_F_P]")</f>
        <v/>
      </c>
      <c r="BJ79" s="68" t="str" vm="13114">
        <f>CUBEVALUE(ConnectionString,ReportMonth,Table1[[#This Row],[Site ID (from DATIM)]],"[Measures].[TX_NEW_M_P]")</f>
        <v/>
      </c>
      <c r="BK79" s="68"/>
      <c r="BL79" s="68"/>
      <c r="BM79" s="68"/>
      <c r="BN79" s="68"/>
      <c r="BO79" s="68"/>
      <c r="BP79" s="68"/>
      <c r="BQ79" s="68" t="str" vm="12516">
        <f>CUBEVALUE(ConnectionString,ReportMonth,Table1[[#This Row],[Site ID (from DATIM)]],"[Measures].[TX_CURR_F_P]")</f>
        <v/>
      </c>
      <c r="BR79" s="68" t="str" vm="6379">
        <f>CUBEVALUE(ConnectionString,ReportMonth,Table1[[#This Row],[Site ID (from DATIM)]],"[Measures].[TX_CURR_M_P]")</f>
        <v/>
      </c>
      <c r="BS79" s="68" t="str" vm="14264">
        <f>CUBEVALUE(ConnectionString,ReportMonth,Table1[[#This Row],[Site ID (from DATIM)]],"[Measures].[TX_CURR_F_A]")</f>
        <v/>
      </c>
      <c r="BT79" s="68" t="str" vm="11712">
        <f>CUBEVALUE(ConnectionString,ReportMonth,Table1[[#This Row],[Site ID (from DATIM)]],"[Measures].[TX_CURR_M_A]")</f>
        <v/>
      </c>
      <c r="BU79" s="68" t="str" vm="18117">
        <f>CUBEVALUE(ConnectionString,ReportMonth,Table1[[#This Row],[Site ID (from DATIM)]],"[Measures].[MMS_01_89_F_P]")</f>
        <v/>
      </c>
      <c r="BV79" s="68" t="str" vm="18385">
        <f>CUBEVALUE(ConnectionString,ReportMonth,Table1[[#This Row],[Site ID (from DATIM)]],"[Measures].[MMS_01_89_M_P]")</f>
        <v/>
      </c>
      <c r="BW79" s="68" t="str" vm="19894">
        <f>CUBEVALUE(ConnectionString,ReportMonth,Table1[[#This Row],[Site ID (from DATIM)]],"[Measures].[MMS_01_89_F_A]")</f>
        <v/>
      </c>
      <c r="BX79" s="68" t="str" vm="18286">
        <f>CUBEVALUE(ConnectionString,ReportMonth,Table1[[#This Row],[Site ID (from DATIM)]],"[Measures].[MMS_01_89_M_A]")</f>
        <v/>
      </c>
      <c r="BY79" s="68" t="str" vm="17979">
        <f>CUBEVALUE(ConnectionString,ReportMonth,Table1[[#This Row],[Site ID (from DATIM)]],"[Measures].[MMS_90_179_F_P]")</f>
        <v/>
      </c>
      <c r="BZ79" s="68" t="str" vm="17304">
        <f>CUBEVALUE(ConnectionString,ReportMonth,Table1[[#This Row],[Site ID (from DATIM)]],"[Measures].[MMS_90_179_M_P]")</f>
        <v/>
      </c>
      <c r="CA79" s="68" t="str" vm="19307">
        <f>CUBEVALUE(ConnectionString,ReportMonth,Table1[[#This Row],[Site ID (from DATIM)]],"[Measures].[MMS_90_179_F_A]")</f>
        <v/>
      </c>
      <c r="CB79" s="68" t="str" vm="15619">
        <f>CUBEVALUE(ConnectionString,ReportMonth,Table1[[#This Row],[Site ID (from DATIM)]],"[Measures].[MMS_90_179_M_A]")</f>
        <v/>
      </c>
      <c r="CC79" s="68" t="str" vm="16917">
        <f>CUBEVALUE(ConnectionString,ReportMonth,Table1[[#This Row],[Site ID (from DATIM)]],"[Measures].[MMS_180+_F_P]")</f>
        <v/>
      </c>
      <c r="CD79" s="68" t="str" vm="16632">
        <f>CUBEVALUE(ConnectionString,ReportMonth,Table1[[#This Row],[Site ID (from DATIM)]],"[Measures].[MMS_180+_M_P]")</f>
        <v/>
      </c>
      <c r="CE79" s="68" t="str" vm="14540">
        <f>CUBEVALUE(ConnectionString,ReportMonth,Table1[[#This Row],[Site ID (from DATIM)]],"[Measures].[MMS_180+_F_A]")</f>
        <v/>
      </c>
      <c r="CF79" s="68" t="str" vm="20210">
        <f>CUBEVALUE(ConnectionString,ReportMonth,Table1[[#This Row],[Site ID (from DATIM)]],"[Measures].[MMS_180+_M_A]")</f>
        <v/>
      </c>
      <c r="CG79" s="68" t="str" vm="9896">
        <f>CUBEVALUE(ConnectionString,ReportMonth,Table1[[#This Row],[Site ID (from DATIM)]],"[Measures].[MISSEDAPP]")</f>
        <v/>
      </c>
      <c r="CH79" s="68" t="str" vm="12358">
        <f>CUBEVALUE(ConnectionString,ReportMonth,Table1[[#This Row],[Site ID (from DATIM)]],"[Measures].[MMS_180+_P]")</f>
        <v/>
      </c>
      <c r="CI79" s="68" t="str" vm="10710">
        <f>CUBEVALUE(ConnectionString,ReportMonth,Table1[[#This Row],[Site ID (from DATIM)]],"[Measures].[MMS_180+_A]")</f>
        <v/>
      </c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</row>
    <row r="80" spans="1:107" x14ac:dyDescent="0.25">
      <c r="A80" s="66">
        <v>4</v>
      </c>
      <c r="B80" s="67" t="str" vm="4">
        <f t="shared" si="2"/>
        <v>Mar-2021</v>
      </c>
      <c r="C80" s="67"/>
      <c r="D80" s="67" t="s">
        <v>232</v>
      </c>
      <c r="E80" s="67" t="s">
        <v>233</v>
      </c>
      <c r="F80" s="67" t="s">
        <v>1083</v>
      </c>
      <c r="G80" s="67"/>
      <c r="H80" s="67" t="s">
        <v>1099</v>
      </c>
      <c r="I80" s="67" t="s">
        <v>1148</v>
      </c>
      <c r="J80" s="67" t="s">
        <v>1149</v>
      </c>
      <c r="K80" s="67" t="s">
        <v>1150</v>
      </c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 t="str" vm="1825">
        <f>CUBEVALUE(ConnectionString,ReportMonth,Table1[[#This Row],[Site ID (from DATIM)]],"TX_NEW_2VIS")</f>
        <v/>
      </c>
      <c r="AE80" s="67" t="str" vm="2693">
        <f>CUBEVALUE(ConnectionString,ReportMonth,Table1[[#This Row],[Site ID (from DATIM)]],INDEX(SDI_Measures,1))</f>
        <v/>
      </c>
      <c r="AF80" s="67" t="str" vm="357">
        <f>CUBEVALUE(ConnectionString,ReportMonth,Table1[[#This Row],[Site ID (from DATIM)]],INDEX(SDI_Measures,2))</f>
        <v/>
      </c>
      <c r="AG80" s="67" t="str" vm="1061">
        <f>CUBEVALUE(ConnectionString,ReportMonth,Table1[[#This Row],[Site ID (from DATIM)]],INDEX(SDI_Measures,3))</f>
        <v/>
      </c>
      <c r="AH80" s="67" vm="2440">
        <f>CUBEVALUE(ConnectionString,ReportMonth,Table1[[#This Row],[Site ID (from DATIM)]],"TX_CURR_PRIOR_MONTH")</f>
        <v>43</v>
      </c>
      <c r="AI80" s="67" vm="5411">
        <f>CUBEVALUE(ConnectionString,ReportMonth,Table1[[#This Row],[Site ID (from DATIM)]],"TX_CURR")</f>
        <v>41</v>
      </c>
      <c r="AJ80" s="67" t="str" vm="1237">
        <f>CUBEVALUE(ConnectionString,ReportMonth,Table1[[#This Row],[Site ID (from DATIM)]],"[Measures].[TI]")</f>
        <v/>
      </c>
      <c r="AK80" s="67" t="str" vm="3638">
        <f>CUBEVALUE(ConnectionString,ReportMonth,Table1[[#This Row],[Site ID (from DATIM)]],"[Measures].[TO]")</f>
        <v/>
      </c>
      <c r="AL80" s="67" t="str" vm="2959">
        <f>CUBEVALUE(ConnectionString,ReportMonth,Table1[[#This Row],[Site ID (from DATIM)]],"[Measures].[DIED]")</f>
        <v/>
      </c>
      <c r="AM80" s="67" vm="10272">
        <f>CUBEVALUE(ConnectionString,ReportMonth,Table1[[#This Row],[Site ID (from DATIM)]],"[Measures].[MMS_01_31]")</f>
        <v>18</v>
      </c>
      <c r="AN80" s="67" t="str" vm="11568">
        <f>CUBEVALUE(ConnectionString,ReportMonth,Table1[[#This Row],[Site ID (from DATIM)]],"[Measures].[MMS_32_62]")</f>
        <v/>
      </c>
      <c r="AO80" s="67" vm="7212">
        <f>CUBEVALUE(ConnectionString,ReportMonth,Table1[[#This Row],[Site ID (from DATIM)]],"[Measures].[MMS_63+]")</f>
        <v>23</v>
      </c>
      <c r="AP80" s="67" t="str" vm="5064">
        <f>CUBEVALUE(ConnectionString,ReportMonth,Table1[[#This Row],[Site ID (from DATIM)]],"[Measures].[TBPREV_D]")</f>
        <v/>
      </c>
      <c r="AQ80" s="67" t="str" vm="7555">
        <f>CUBEVALUE(ConnectionString,ReportMonth,Table1[[#This Row],[Site ID (from DATIM)]],"[Measures].[TBPREV_N]")</f>
        <v/>
      </c>
      <c r="AR80" s="67" t="str" vm="5189">
        <f>CUBEVALUE(ConnectionString,ReportMonth,Table1[[#This Row],[Site ID (from DATIM)]],"[Measures].[TBPREV_NEW]")</f>
        <v/>
      </c>
      <c r="AS80" s="67" vm="7389">
        <f>CUBEVALUE(ConnectionString,ReportMonth,Table1[[#This Row],[Site ID (from DATIM)]],"[Measures].[HVL_ELIG_P]")</f>
        <v>3</v>
      </c>
      <c r="AT80" s="67" t="str" vm="5755">
        <f>CUBEVALUE(ConnectionString,ReportMonth,Table1[[#This Row],[Site ID (from DATIM)]],"[Measures].[HVL_D_P]")</f>
        <v/>
      </c>
      <c r="AU80" s="67" t="str" vm="10773">
        <f>CUBEVALUE(ConnectionString,ReportMonth,Table1[[#This Row],[Site ID (from DATIM)]],"[Measures].[HVL_N_P]")</f>
        <v/>
      </c>
      <c r="AV80" s="68" vm="8564">
        <f>CUBEVALUE(ConnectionString,ReportMonth,Table1[[#This Row],[Site ID (from DATIM)]],"[Measures].[HVL_ELIG_A]")</f>
        <v>35</v>
      </c>
      <c r="AW80" s="68" vm="11024">
        <f>CUBEVALUE(ConnectionString,ReportMonth,Table1[[#This Row],[Site ID (from DATIM)]],"[Measures].[HVL_D_A]")</f>
        <v>7</v>
      </c>
      <c r="AX80" s="68" vm="12027">
        <f>CUBEVALUE(ConnectionString,ReportMonth,Table1[[#This Row],[Site ID (from DATIM)]],"[Measures].[HVL_N_A]")</f>
        <v>7</v>
      </c>
      <c r="AY80" s="67"/>
      <c r="AZ80" s="67"/>
      <c r="BA80" s="67"/>
      <c r="BB80" s="67"/>
      <c r="BC80" s="67"/>
      <c r="BD80" s="67"/>
      <c r="BE80" s="67"/>
      <c r="BF80" s="67"/>
      <c r="BG80" s="67" t="str" vm="13429">
        <f>CUBEVALUE(ConnectionString,ReportMonth,Table1[[#This Row],[Site ID (from DATIM)]],"[Measures].[TX_NEW_F_A]")</f>
        <v/>
      </c>
      <c r="BH80" s="67" t="str" vm="12229">
        <f>CUBEVALUE(ConnectionString,ReportMonth,Table1[[#This Row],[Site ID (from DATIM)]],"[Measures].[TX_NEW_M_A]")</f>
        <v/>
      </c>
      <c r="BI80" s="67" t="str" vm="13070">
        <f>CUBEVALUE(ConnectionString,ReportMonth,Table1[[#This Row],[Site ID (from DATIM)]],"[Measures].[TX_NEW_F_P]")</f>
        <v/>
      </c>
      <c r="BJ80" s="68" t="str" vm="15648">
        <f>CUBEVALUE(ConnectionString,ReportMonth,Table1[[#This Row],[Site ID (from DATIM)]],"[Measures].[TX_NEW_M_P]")</f>
        <v/>
      </c>
      <c r="BK80" s="68"/>
      <c r="BL80" s="68"/>
      <c r="BM80" s="68"/>
      <c r="BN80" s="68"/>
      <c r="BO80" s="68"/>
      <c r="BP80" s="68"/>
      <c r="BQ80" s="68" vm="9857">
        <f>CUBEVALUE(ConnectionString,ReportMonth,Table1[[#This Row],[Site ID (from DATIM)]],"[Measures].[TX_CURR_F_P]")</f>
        <v>2</v>
      </c>
      <c r="BR80" s="68" vm="10296">
        <f>CUBEVALUE(ConnectionString,ReportMonth,Table1[[#This Row],[Site ID (from DATIM)]],"[Measures].[TX_CURR_M_P]")</f>
        <v>1</v>
      </c>
      <c r="BS80" s="68" vm="9078">
        <f>CUBEVALUE(ConnectionString,ReportMonth,Table1[[#This Row],[Site ID (from DATIM)]],"[Measures].[TX_CURR_F_A]")</f>
        <v>29</v>
      </c>
      <c r="BT80" s="68" vm="10852">
        <f>CUBEVALUE(ConnectionString,ReportMonth,Table1[[#This Row],[Site ID (from DATIM)]],"[Measures].[TX_CURR_M_A]")</f>
        <v>9</v>
      </c>
      <c r="BU80" s="68" vm="19503">
        <f>CUBEVALUE(ConnectionString,ReportMonth,Table1[[#This Row],[Site ID (from DATIM)]],"[Measures].[MMS_01_89_F_P]")</f>
        <v>1</v>
      </c>
      <c r="BV80" s="68" t="str" vm="18704">
        <f>CUBEVALUE(ConnectionString,ReportMonth,Table1[[#This Row],[Site ID (from DATIM)]],"[Measures].[MMS_01_89_M_P]")</f>
        <v/>
      </c>
      <c r="BW80" s="68" vm="19646">
        <f>CUBEVALUE(ConnectionString,ReportMonth,Table1[[#This Row],[Site ID (from DATIM)]],"[Measures].[MMS_01_89_F_A]")</f>
        <v>13</v>
      </c>
      <c r="BX80" s="68" vm="18862">
        <f>CUBEVALUE(ConnectionString,ReportMonth,Table1[[#This Row],[Site ID (from DATIM)]],"[Measures].[MMS_01_89_M_A]")</f>
        <v>5</v>
      </c>
      <c r="BY80" s="68" vm="16979">
        <f>CUBEVALUE(ConnectionString,ReportMonth,Table1[[#This Row],[Site ID (from DATIM)]],"[Measures].[MMS_90_179_F_P]")</f>
        <v>1</v>
      </c>
      <c r="BZ80" s="68" vm="19303">
        <f>CUBEVALUE(ConnectionString,ReportMonth,Table1[[#This Row],[Site ID (from DATIM)]],"[Measures].[MMS_90_179_M_P]")</f>
        <v>1</v>
      </c>
      <c r="CA80" s="68" vm="16055">
        <f>CUBEVALUE(ConnectionString,ReportMonth,Table1[[#This Row],[Site ID (from DATIM)]],"[Measures].[MMS_90_179_F_A]")</f>
        <v>16</v>
      </c>
      <c r="CB80" s="68" vm="17719">
        <f>CUBEVALUE(ConnectionString,ReportMonth,Table1[[#This Row],[Site ID (from DATIM)]],"[Measures].[MMS_90_179_M_A]")</f>
        <v>4</v>
      </c>
      <c r="CC80" s="68" t="str" vm="15848">
        <f>CUBEVALUE(ConnectionString,ReportMonth,Table1[[#This Row],[Site ID (from DATIM)]],"[Measures].[MMS_180+_F_P]")</f>
        <v/>
      </c>
      <c r="CD80" s="68" t="str" vm="15405">
        <f>CUBEVALUE(ConnectionString,ReportMonth,Table1[[#This Row],[Site ID (from DATIM)]],"[Measures].[MMS_180+_M_P]")</f>
        <v/>
      </c>
      <c r="CE80" s="68" t="str" vm="276">
        <f>CUBEVALUE(ConnectionString,ReportMonth,Table1[[#This Row],[Site ID (from DATIM)]],"[Measures].[MMS_180+_F_A]")</f>
        <v/>
      </c>
      <c r="CF80" s="68" t="str" vm="15379">
        <f>CUBEVALUE(ConnectionString,ReportMonth,Table1[[#This Row],[Site ID (from DATIM)]],"[Measures].[MMS_180+_M_A]")</f>
        <v/>
      </c>
      <c r="CG80" s="68" vm="4787">
        <f>CUBEVALUE(ConnectionString,ReportMonth,Table1[[#This Row],[Site ID (from DATIM)]],"[Measures].[MISSEDAPP]")</f>
        <v>24</v>
      </c>
      <c r="CH80" s="68" t="str" vm="12639">
        <f>CUBEVALUE(ConnectionString,ReportMonth,Table1[[#This Row],[Site ID (from DATIM)]],"[Measures].[MMS_180+_P]")</f>
        <v/>
      </c>
      <c r="CI80" s="68" t="str" vm="13881">
        <f>CUBEVALUE(ConnectionString,ReportMonth,Table1[[#This Row],[Site ID (from DATIM)]],"[Measures].[MMS_180+_A]")</f>
        <v/>
      </c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</row>
    <row r="81" spans="1:107" x14ac:dyDescent="0.25">
      <c r="A81" s="66">
        <v>4</v>
      </c>
      <c r="B81" s="67" t="str" vm="4">
        <f t="shared" si="2"/>
        <v>Mar-2021</v>
      </c>
      <c r="C81" s="67"/>
      <c r="D81" s="67" t="s">
        <v>232</v>
      </c>
      <c r="E81" s="67" t="s">
        <v>233</v>
      </c>
      <c r="F81" s="67" t="s">
        <v>831</v>
      </c>
      <c r="G81" s="67"/>
      <c r="H81" s="67" t="s">
        <v>840</v>
      </c>
      <c r="I81" s="67" t="s">
        <v>853</v>
      </c>
      <c r="J81" s="67" t="s">
        <v>854</v>
      </c>
      <c r="K81" s="67" t="s">
        <v>855</v>
      </c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 t="str" vm="2409">
        <f>CUBEVALUE(ConnectionString,ReportMonth,Table1[[#This Row],[Site ID (from DATIM)]],"TX_NEW_2VIS")</f>
        <v/>
      </c>
      <c r="AE81" s="67" t="str" vm="2462">
        <f>CUBEVALUE(ConnectionString,ReportMonth,Table1[[#This Row],[Site ID (from DATIM)]],INDEX(SDI_Measures,1))</f>
        <v/>
      </c>
      <c r="AF81" s="67" t="str" vm="1815">
        <f>CUBEVALUE(ConnectionString,ReportMonth,Table1[[#This Row],[Site ID (from DATIM)]],INDEX(SDI_Measures,2))</f>
        <v/>
      </c>
      <c r="AG81" s="67" t="str" vm="1561">
        <f>CUBEVALUE(ConnectionString,ReportMonth,Table1[[#This Row],[Site ID (from DATIM)]],INDEX(SDI_Measures,3))</f>
        <v/>
      </c>
      <c r="AH81" s="67" vm="727">
        <f>CUBEVALUE(ConnectionString,ReportMonth,Table1[[#This Row],[Site ID (from DATIM)]],"TX_CURR_PRIOR_MONTH")</f>
        <v>245</v>
      </c>
      <c r="AI81" s="67" vm="2965">
        <f>CUBEVALUE(ConnectionString,ReportMonth,Table1[[#This Row],[Site ID (from DATIM)]],"TX_CURR")</f>
        <v>216</v>
      </c>
      <c r="AJ81" s="67" t="str" vm="4291">
        <f>CUBEVALUE(ConnectionString,ReportMonth,Table1[[#This Row],[Site ID (from DATIM)]],"[Measures].[TI]")</f>
        <v/>
      </c>
      <c r="AK81" s="67" t="str" vm="4031">
        <f>CUBEVALUE(ConnectionString,ReportMonth,Table1[[#This Row],[Site ID (from DATIM)]],"[Measures].[TO]")</f>
        <v/>
      </c>
      <c r="AL81" s="67" t="str" vm="3084">
        <f>CUBEVALUE(ConnectionString,ReportMonth,Table1[[#This Row],[Site ID (from DATIM)]],"[Measures].[DIED]")</f>
        <v/>
      </c>
      <c r="AM81" s="67" vm="6511">
        <f>CUBEVALUE(ConnectionString,ReportMonth,Table1[[#This Row],[Site ID (from DATIM)]],"[Measures].[MMS_01_31]")</f>
        <v>34</v>
      </c>
      <c r="AN81" s="67" vm="7087">
        <f>CUBEVALUE(ConnectionString,ReportMonth,Table1[[#This Row],[Site ID (from DATIM)]],"[Measures].[MMS_32_62]")</f>
        <v>6</v>
      </c>
      <c r="AO81" s="67" vm="10235">
        <f>CUBEVALUE(ConnectionString,ReportMonth,Table1[[#This Row],[Site ID (from DATIM)]],"[Measures].[MMS_63+]")</f>
        <v>176</v>
      </c>
      <c r="AP81" s="67" t="str" vm="5726">
        <f>CUBEVALUE(ConnectionString,ReportMonth,Table1[[#This Row],[Site ID (from DATIM)]],"[Measures].[TBPREV_D]")</f>
        <v/>
      </c>
      <c r="AQ81" s="67" t="str" vm="7762">
        <f>CUBEVALUE(ConnectionString,ReportMonth,Table1[[#This Row],[Site ID (from DATIM)]],"[Measures].[TBPREV_N]")</f>
        <v/>
      </c>
      <c r="AR81" s="67" t="str" vm="8059">
        <f>CUBEVALUE(ConnectionString,ReportMonth,Table1[[#This Row],[Site ID (from DATIM)]],"[Measures].[TBPREV_NEW]")</f>
        <v/>
      </c>
      <c r="AS81" s="67" vm="6545">
        <f>CUBEVALUE(ConnectionString,ReportMonth,Table1[[#This Row],[Site ID (from DATIM)]],"[Measures].[HVL_ELIG_P]")</f>
        <v>14</v>
      </c>
      <c r="AT81" s="67" vm="10580">
        <f>CUBEVALUE(ConnectionString,ReportMonth,Table1[[#This Row],[Site ID (from DATIM)]],"[Measures].[HVL_D_P]")</f>
        <v>13</v>
      </c>
      <c r="AU81" s="67" vm="9322">
        <f>CUBEVALUE(ConnectionString,ReportMonth,Table1[[#This Row],[Site ID (from DATIM)]],"[Measures].[HVL_N_P]")</f>
        <v>12</v>
      </c>
      <c r="AV81" s="68" vm="9784">
        <f>CUBEVALUE(ConnectionString,ReportMonth,Table1[[#This Row],[Site ID (from DATIM)]],"[Measures].[HVL_ELIG_A]")</f>
        <v>191</v>
      </c>
      <c r="AW81" s="68" vm="7744">
        <f>CUBEVALUE(ConnectionString,ReportMonth,Table1[[#This Row],[Site ID (from DATIM)]],"[Measures].[HVL_D_A]")</f>
        <v>193</v>
      </c>
      <c r="AX81" s="68" vm="10056">
        <f>CUBEVALUE(ConnectionString,ReportMonth,Table1[[#This Row],[Site ID (from DATIM)]],"[Measures].[HVL_N_A]")</f>
        <v>184</v>
      </c>
      <c r="AY81" s="67"/>
      <c r="AZ81" s="67"/>
      <c r="BA81" s="67"/>
      <c r="BB81" s="67"/>
      <c r="BC81" s="67"/>
      <c r="BD81" s="67"/>
      <c r="BE81" s="67"/>
      <c r="BF81" s="67"/>
      <c r="BG81" s="67" t="str" vm="12497">
        <f>CUBEVALUE(ConnectionString,ReportMonth,Table1[[#This Row],[Site ID (from DATIM)]],"[Measures].[TX_NEW_F_A]")</f>
        <v/>
      </c>
      <c r="BH81" s="67" t="str" vm="12812">
        <f>CUBEVALUE(ConnectionString,ReportMonth,Table1[[#This Row],[Site ID (from DATIM)]],"[Measures].[TX_NEW_M_A]")</f>
        <v/>
      </c>
      <c r="BI81" s="67" t="str" vm="13069">
        <f>CUBEVALUE(ConnectionString,ReportMonth,Table1[[#This Row],[Site ID (from DATIM)]],"[Measures].[TX_NEW_F_P]")</f>
        <v/>
      </c>
      <c r="BJ81" s="68" t="str" vm="17416">
        <f>CUBEVALUE(ConnectionString,ReportMonth,Table1[[#This Row],[Site ID (from DATIM)]],"[Measures].[TX_NEW_M_P]")</f>
        <v/>
      </c>
      <c r="BK81" s="68"/>
      <c r="BL81" s="68"/>
      <c r="BM81" s="68"/>
      <c r="BN81" s="68"/>
      <c r="BO81" s="68"/>
      <c r="BP81" s="68"/>
      <c r="BQ81" s="68" vm="12242">
        <f>CUBEVALUE(ConnectionString,ReportMonth,Table1[[#This Row],[Site ID (from DATIM)]],"[Measures].[TX_CURR_F_P]")</f>
        <v>5</v>
      </c>
      <c r="BR81" s="68" vm="8037">
        <f>CUBEVALUE(ConnectionString,ReportMonth,Table1[[#This Row],[Site ID (from DATIM)]],"[Measures].[TX_CURR_M_P]")</f>
        <v>9</v>
      </c>
      <c r="BS81" s="68" vm="8971">
        <f>CUBEVALUE(ConnectionString,ReportMonth,Table1[[#This Row],[Site ID (from DATIM)]],"[Measures].[TX_CURR_F_A]")</f>
        <v>118</v>
      </c>
      <c r="BT81" s="68" vm="13368">
        <f>CUBEVALUE(ConnectionString,ReportMonth,Table1[[#This Row],[Site ID (from DATIM)]],"[Measures].[TX_CURR_M_A]")</f>
        <v>85</v>
      </c>
      <c r="BU81" s="68" vm="19549">
        <f>CUBEVALUE(ConnectionString,ReportMonth,Table1[[#This Row],[Site ID (from DATIM)]],"[Measures].[MMS_01_89_F_P]")</f>
        <v>3</v>
      </c>
      <c r="BV81" s="68" vm="19263">
        <f>CUBEVALUE(ConnectionString,ReportMonth,Table1[[#This Row],[Site ID (from DATIM)]],"[Measures].[MMS_01_89_M_P]")</f>
        <v>3</v>
      </c>
      <c r="BW81" s="68" vm="19133">
        <f>CUBEVALUE(ConnectionString,ReportMonth,Table1[[#This Row],[Site ID (from DATIM)]],"[Measures].[MMS_01_89_F_A]")</f>
        <v>21</v>
      </c>
      <c r="BX81" s="68" vm="16868">
        <f>CUBEVALUE(ConnectionString,ReportMonth,Table1[[#This Row],[Site ID (from DATIM)]],"[Measures].[MMS_01_89_M_A]")</f>
        <v>14</v>
      </c>
      <c r="BY81" s="68" vm="18897">
        <f>CUBEVALUE(ConnectionString,ReportMonth,Table1[[#This Row],[Site ID (from DATIM)]],"[Measures].[MMS_90_179_F_P]")</f>
        <v>2</v>
      </c>
      <c r="BZ81" s="68" vm="17848">
        <f>CUBEVALUE(ConnectionString,ReportMonth,Table1[[#This Row],[Site ID (from DATIM)]],"[Measures].[MMS_90_179_M_P]")</f>
        <v>6</v>
      </c>
      <c r="CA81" s="68" vm="15189">
        <f>CUBEVALUE(ConnectionString,ReportMonth,Table1[[#This Row],[Site ID (from DATIM)]],"[Measures].[MMS_90_179_F_A]")</f>
        <v>97</v>
      </c>
      <c r="CB81" s="68" vm="17294">
        <f>CUBEVALUE(ConnectionString,ReportMonth,Table1[[#This Row],[Site ID (from DATIM)]],"[Measures].[MMS_90_179_M_A]")</f>
        <v>71</v>
      </c>
      <c r="CC81" s="68" t="str" vm="14593">
        <f>CUBEVALUE(ConnectionString,ReportMonth,Table1[[#This Row],[Site ID (from DATIM)]],"[Measures].[MMS_180+_F_P]")</f>
        <v/>
      </c>
      <c r="CD81" s="68" t="str" vm="17521">
        <f>CUBEVALUE(ConnectionString,ReportMonth,Table1[[#This Row],[Site ID (from DATIM)]],"[Measures].[MMS_180+_M_P]")</f>
        <v/>
      </c>
      <c r="CE81" s="68" t="str" vm="14473">
        <f>CUBEVALUE(ConnectionString,ReportMonth,Table1[[#This Row],[Site ID (from DATIM)]],"[Measures].[MMS_180+_F_A]")</f>
        <v/>
      </c>
      <c r="CF81" s="68" t="str" vm="16281">
        <f>CUBEVALUE(ConnectionString,ReportMonth,Table1[[#This Row],[Site ID (from DATIM)]],"[Measures].[MMS_180+_M_A]")</f>
        <v/>
      </c>
      <c r="CG81" s="68" vm="5647">
        <f>CUBEVALUE(ConnectionString,ReportMonth,Table1[[#This Row],[Site ID (from DATIM)]],"[Measures].[MISSEDAPP]")</f>
        <v>71</v>
      </c>
      <c r="CH81" s="68" t="str" vm="13487">
        <f>CUBEVALUE(ConnectionString,ReportMonth,Table1[[#This Row],[Site ID (from DATIM)]],"[Measures].[MMS_180+_P]")</f>
        <v/>
      </c>
      <c r="CI81" s="68" t="str" vm="11750">
        <f>CUBEVALUE(ConnectionString,ReportMonth,Table1[[#This Row],[Site ID (from DATIM)]],"[Measures].[MMS_180+_A]")</f>
        <v/>
      </c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</row>
    <row r="82" spans="1:107" x14ac:dyDescent="0.25">
      <c r="A82" s="66">
        <v>4</v>
      </c>
      <c r="B82" s="67" t="str" vm="4">
        <f t="shared" si="2"/>
        <v>Mar-2021</v>
      </c>
      <c r="C82" s="67"/>
      <c r="D82" s="67" t="s">
        <v>232</v>
      </c>
      <c r="E82" s="67" t="s">
        <v>233</v>
      </c>
      <c r="F82" s="67" t="s">
        <v>437</v>
      </c>
      <c r="G82" s="67"/>
      <c r="H82" s="67" t="s">
        <v>513</v>
      </c>
      <c r="I82" s="67" t="s">
        <v>528</v>
      </c>
      <c r="J82" s="67" t="s">
        <v>529</v>
      </c>
      <c r="K82" s="67" t="s">
        <v>530</v>
      </c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 t="str" vm="1865">
        <f>CUBEVALUE(ConnectionString,ReportMonth,Table1[[#This Row],[Site ID (from DATIM)]],"TX_NEW_2VIS")</f>
        <v/>
      </c>
      <c r="AE82" s="67" t="str" vm="1776">
        <f>CUBEVALUE(ConnectionString,ReportMonth,Table1[[#This Row],[Site ID (from DATIM)]],INDEX(SDI_Measures,1))</f>
        <v/>
      </c>
      <c r="AF82" s="67" t="str" vm="1531">
        <f>CUBEVALUE(ConnectionString,ReportMonth,Table1[[#This Row],[Site ID (from DATIM)]],INDEX(SDI_Measures,2))</f>
        <v/>
      </c>
      <c r="AG82" s="67" t="str" vm="1709">
        <f>CUBEVALUE(ConnectionString,ReportMonth,Table1[[#This Row],[Site ID (from DATIM)]],INDEX(SDI_Measures,3))</f>
        <v/>
      </c>
      <c r="AH82" s="67" t="str" vm="2428">
        <f>CUBEVALUE(ConnectionString,ReportMonth,Table1[[#This Row],[Site ID (from DATIM)]],"TX_CURR_PRIOR_MONTH")</f>
        <v/>
      </c>
      <c r="AI82" s="67" t="str" vm="2465">
        <f>CUBEVALUE(ConnectionString,ReportMonth,Table1[[#This Row],[Site ID (from DATIM)]],"TX_CURR")</f>
        <v/>
      </c>
      <c r="AJ82" s="67" t="str" vm="1939">
        <f>CUBEVALUE(ConnectionString,ReportMonth,Table1[[#This Row],[Site ID (from DATIM)]],"[Measures].[TI]")</f>
        <v/>
      </c>
      <c r="AK82" s="67" t="str" vm="419">
        <f>CUBEVALUE(ConnectionString,ReportMonth,Table1[[#This Row],[Site ID (from DATIM)]],"[Measures].[TO]")</f>
        <v/>
      </c>
      <c r="AL82" s="67" t="str" vm="1750">
        <f>CUBEVALUE(ConnectionString,ReportMonth,Table1[[#This Row],[Site ID (from DATIM)]],"[Measures].[DIED]")</f>
        <v/>
      </c>
      <c r="AM82" s="67" t="str" vm="4339">
        <f>CUBEVALUE(ConnectionString,ReportMonth,Table1[[#This Row],[Site ID (from DATIM)]],"[Measures].[MMS_01_31]")</f>
        <v/>
      </c>
      <c r="AN82" s="67" t="str" vm="11322">
        <f>CUBEVALUE(ConnectionString,ReportMonth,Table1[[#This Row],[Site ID (from DATIM)]],"[Measures].[MMS_32_62]")</f>
        <v/>
      </c>
      <c r="AO82" s="67" t="str" vm="10033">
        <f>CUBEVALUE(ConnectionString,ReportMonth,Table1[[#This Row],[Site ID (from DATIM)]],"[Measures].[MMS_63+]")</f>
        <v/>
      </c>
      <c r="AP82" s="67" t="str" vm="8712">
        <f>CUBEVALUE(ConnectionString,ReportMonth,Table1[[#This Row],[Site ID (from DATIM)]],"[Measures].[TBPREV_D]")</f>
        <v/>
      </c>
      <c r="AQ82" s="67" t="str" vm="4172">
        <f>CUBEVALUE(ConnectionString,ReportMonth,Table1[[#This Row],[Site ID (from DATIM)]],"[Measures].[TBPREV_N]")</f>
        <v/>
      </c>
      <c r="AR82" s="67" t="str" vm="7617">
        <f>CUBEVALUE(ConnectionString,ReportMonth,Table1[[#This Row],[Site ID (from DATIM)]],"[Measures].[TBPREV_NEW]")</f>
        <v/>
      </c>
      <c r="AS82" s="67" t="str" vm="7241">
        <f>CUBEVALUE(ConnectionString,ReportMonth,Table1[[#This Row],[Site ID (from DATIM)]],"[Measures].[HVL_ELIG_P]")</f>
        <v/>
      </c>
      <c r="AT82" s="67" t="str" vm="6409">
        <f>CUBEVALUE(ConnectionString,ReportMonth,Table1[[#This Row],[Site ID (from DATIM)]],"[Measures].[HVL_D_P]")</f>
        <v/>
      </c>
      <c r="AU82" s="67" t="str" vm="9940">
        <f>CUBEVALUE(ConnectionString,ReportMonth,Table1[[#This Row],[Site ID (from DATIM)]],"[Measures].[HVL_N_P]")</f>
        <v/>
      </c>
      <c r="AV82" s="68" t="str" vm="9363">
        <f>CUBEVALUE(ConnectionString,ReportMonth,Table1[[#This Row],[Site ID (from DATIM)]],"[Measures].[HVL_ELIG_A]")</f>
        <v/>
      </c>
      <c r="AW82" s="68" t="str" vm="12364">
        <f>CUBEVALUE(ConnectionString,ReportMonth,Table1[[#This Row],[Site ID (from DATIM)]],"[Measures].[HVL_D_A]")</f>
        <v/>
      </c>
      <c r="AX82" s="68" t="str" vm="11547">
        <f>CUBEVALUE(ConnectionString,ReportMonth,Table1[[#This Row],[Site ID (from DATIM)]],"[Measures].[HVL_N_A]")</f>
        <v/>
      </c>
      <c r="AY82" s="67"/>
      <c r="AZ82" s="67"/>
      <c r="BA82" s="67"/>
      <c r="BB82" s="67"/>
      <c r="BC82" s="67"/>
      <c r="BD82" s="67"/>
      <c r="BE82" s="67"/>
      <c r="BF82" s="67"/>
      <c r="BG82" s="67" t="str" vm="14292">
        <f>CUBEVALUE(ConnectionString,ReportMonth,Table1[[#This Row],[Site ID (from DATIM)]],"[Measures].[TX_NEW_F_A]")</f>
        <v/>
      </c>
      <c r="BH82" s="67" t="str" vm="13969">
        <f>CUBEVALUE(ConnectionString,ReportMonth,Table1[[#This Row],[Site ID (from DATIM)]],"[Measures].[TX_NEW_M_A]")</f>
        <v/>
      </c>
      <c r="BI82" s="67" t="str" vm="14413">
        <f>CUBEVALUE(ConnectionString,ReportMonth,Table1[[#This Row],[Site ID (from DATIM)]],"[Measures].[TX_NEW_F_P]")</f>
        <v/>
      </c>
      <c r="BJ82" s="68" t="str" vm="15664">
        <f>CUBEVALUE(ConnectionString,ReportMonth,Table1[[#This Row],[Site ID (from DATIM)]],"[Measures].[TX_NEW_M_P]")</f>
        <v/>
      </c>
      <c r="BK82" s="68"/>
      <c r="BL82" s="68"/>
      <c r="BM82" s="68"/>
      <c r="BN82" s="68"/>
      <c r="BO82" s="68"/>
      <c r="BP82" s="68"/>
      <c r="BQ82" s="68" t="str" vm="13136">
        <f>CUBEVALUE(ConnectionString,ReportMonth,Table1[[#This Row],[Site ID (from DATIM)]],"[Measures].[TX_CURR_F_P]")</f>
        <v/>
      </c>
      <c r="BR82" s="68" t="str" vm="13389">
        <f>CUBEVALUE(ConnectionString,ReportMonth,Table1[[#This Row],[Site ID (from DATIM)]],"[Measures].[TX_CURR_M_P]")</f>
        <v/>
      </c>
      <c r="BS82" s="68" t="str" vm="10754">
        <f>CUBEVALUE(ConnectionString,ReportMonth,Table1[[#This Row],[Site ID (from DATIM)]],"[Measures].[TX_CURR_F_A]")</f>
        <v/>
      </c>
      <c r="BT82" s="68" t="str" vm="14017">
        <f>CUBEVALUE(ConnectionString,ReportMonth,Table1[[#This Row],[Site ID (from DATIM)]],"[Measures].[TX_CURR_M_A]")</f>
        <v/>
      </c>
      <c r="BU82" s="68" t="str" vm="19782">
        <f>CUBEVALUE(ConnectionString,ReportMonth,Table1[[#This Row],[Site ID (from DATIM)]],"[Measures].[MMS_01_89_F_P]")</f>
        <v/>
      </c>
      <c r="BV82" s="68" t="str" vm="17962">
        <f>CUBEVALUE(ConnectionString,ReportMonth,Table1[[#This Row],[Site ID (from DATIM)]],"[Measures].[MMS_01_89_M_P]")</f>
        <v/>
      </c>
      <c r="BW82" s="68" t="str" vm="18304">
        <f>CUBEVALUE(ConnectionString,ReportMonth,Table1[[#This Row],[Site ID (from DATIM)]],"[Measures].[MMS_01_89_F_A]")</f>
        <v/>
      </c>
      <c r="BX82" s="68" t="str" vm="19156">
        <f>CUBEVALUE(ConnectionString,ReportMonth,Table1[[#This Row],[Site ID (from DATIM)]],"[Measures].[MMS_01_89_M_A]")</f>
        <v/>
      </c>
      <c r="BY82" s="68" t="str" vm="19600">
        <f>CUBEVALUE(ConnectionString,ReportMonth,Table1[[#This Row],[Site ID (from DATIM)]],"[Measures].[MMS_90_179_F_P]")</f>
        <v/>
      </c>
      <c r="BZ82" s="68" t="str" vm="19045">
        <f>CUBEVALUE(ConnectionString,ReportMonth,Table1[[#This Row],[Site ID (from DATIM)]],"[Measures].[MMS_90_179_M_P]")</f>
        <v/>
      </c>
      <c r="CA82" s="68" t="str" vm="19042">
        <f>CUBEVALUE(ConnectionString,ReportMonth,Table1[[#This Row],[Site ID (from DATIM)]],"[Measures].[MMS_90_179_F_A]")</f>
        <v/>
      </c>
      <c r="CB82" s="68" t="str" vm="15509">
        <f>CUBEVALUE(ConnectionString,ReportMonth,Table1[[#This Row],[Site ID (from DATIM)]],"[Measures].[MMS_90_179_M_A]")</f>
        <v/>
      </c>
      <c r="CC82" s="68" t="str" vm="16430">
        <f>CUBEVALUE(ConnectionString,ReportMonth,Table1[[#This Row],[Site ID (from DATIM)]],"[Measures].[MMS_180+_F_P]")</f>
        <v/>
      </c>
      <c r="CD82" s="68" t="str" vm="14982">
        <f>CUBEVALUE(ConnectionString,ReportMonth,Table1[[#This Row],[Site ID (from DATIM)]],"[Measures].[MMS_180+_M_P]")</f>
        <v/>
      </c>
      <c r="CE82" s="68" t="str" vm="15385">
        <f>CUBEVALUE(ConnectionString,ReportMonth,Table1[[#This Row],[Site ID (from DATIM)]],"[Measures].[MMS_180+_F_A]")</f>
        <v/>
      </c>
      <c r="CF82" s="68" t="str" vm="20190">
        <f>CUBEVALUE(ConnectionString,ReportMonth,Table1[[#This Row],[Site ID (from DATIM)]],"[Measures].[MMS_180+_M_A]")</f>
        <v/>
      </c>
      <c r="CG82" s="68" t="str" vm="6405">
        <f>CUBEVALUE(ConnectionString,ReportMonth,Table1[[#This Row],[Site ID (from DATIM)]],"[Measures].[MISSEDAPP]")</f>
        <v/>
      </c>
      <c r="CH82" s="68" t="str" vm="12421">
        <f>CUBEVALUE(ConnectionString,ReportMonth,Table1[[#This Row],[Site ID (from DATIM)]],"[Measures].[MMS_180+_P]")</f>
        <v/>
      </c>
      <c r="CI82" s="68" t="str" vm="11765">
        <f>CUBEVALUE(ConnectionString,ReportMonth,Table1[[#This Row],[Site ID (from DATIM)]],"[Measures].[MMS_180+_A]")</f>
        <v/>
      </c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</row>
    <row r="83" spans="1:107" x14ac:dyDescent="0.25">
      <c r="A83" s="66">
        <v>4</v>
      </c>
      <c r="B83" s="67" t="str" vm="4">
        <f t="shared" si="2"/>
        <v>Mar-2021</v>
      </c>
      <c r="C83" s="67"/>
      <c r="D83" s="67" t="s">
        <v>232</v>
      </c>
      <c r="E83" s="67" t="s">
        <v>233</v>
      </c>
      <c r="F83" s="67" t="s">
        <v>1286</v>
      </c>
      <c r="G83" s="67"/>
      <c r="H83" s="67" t="s">
        <v>1296</v>
      </c>
      <c r="I83" s="67" t="s">
        <v>1314</v>
      </c>
      <c r="J83" s="67" t="s">
        <v>1315</v>
      </c>
      <c r="K83" s="67" t="s">
        <v>1316</v>
      </c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 t="str" vm="2832">
        <f>CUBEVALUE(ConnectionString,ReportMonth,Table1[[#This Row],[Site ID (from DATIM)]],"TX_NEW_2VIS")</f>
        <v/>
      </c>
      <c r="AE83" s="67" t="str" vm="4305">
        <f>CUBEVALUE(ConnectionString,ReportMonth,Table1[[#This Row],[Site ID (from DATIM)]],INDEX(SDI_Measures,1))</f>
        <v/>
      </c>
      <c r="AF83" s="67" t="str" vm="2678">
        <f>CUBEVALUE(ConnectionString,ReportMonth,Table1[[#This Row],[Site ID (from DATIM)]],INDEX(SDI_Measures,2))</f>
        <v/>
      </c>
      <c r="AG83" s="67" t="str" vm="1850">
        <f>CUBEVALUE(ConnectionString,ReportMonth,Table1[[#This Row],[Site ID (from DATIM)]],INDEX(SDI_Measures,3))</f>
        <v/>
      </c>
      <c r="AH83" s="67" t="str" vm="1988">
        <f>CUBEVALUE(ConnectionString,ReportMonth,Table1[[#This Row],[Site ID (from DATIM)]],"TX_CURR_PRIOR_MONTH")</f>
        <v/>
      </c>
      <c r="AI83" s="67" t="str" vm="2989">
        <f>CUBEVALUE(ConnectionString,ReportMonth,Table1[[#This Row],[Site ID (from DATIM)]],"TX_CURR")</f>
        <v/>
      </c>
      <c r="AJ83" s="67" t="str" vm="1876">
        <f>CUBEVALUE(ConnectionString,ReportMonth,Table1[[#This Row],[Site ID (from DATIM)]],"[Measures].[TI]")</f>
        <v/>
      </c>
      <c r="AK83" s="67" t="str" vm="2964">
        <f>CUBEVALUE(ConnectionString,ReportMonth,Table1[[#This Row],[Site ID (from DATIM)]],"[Measures].[TO]")</f>
        <v/>
      </c>
      <c r="AL83" s="67" t="str" vm="1678">
        <f>CUBEVALUE(ConnectionString,ReportMonth,Table1[[#This Row],[Site ID (from DATIM)]],"[Measures].[DIED]")</f>
        <v/>
      </c>
      <c r="AM83" s="67" t="str" vm="7585">
        <f>CUBEVALUE(ConnectionString,ReportMonth,Table1[[#This Row],[Site ID (from DATIM)]],"[Measures].[MMS_01_31]")</f>
        <v/>
      </c>
      <c r="AN83" s="67" t="str" vm="5984">
        <f>CUBEVALUE(ConnectionString,ReportMonth,Table1[[#This Row],[Site ID (from DATIM)]],"[Measures].[MMS_32_62]")</f>
        <v/>
      </c>
      <c r="AO83" s="67" t="str" vm="4600">
        <f>CUBEVALUE(ConnectionString,ReportMonth,Table1[[#This Row],[Site ID (from DATIM)]],"[Measures].[MMS_63+]")</f>
        <v/>
      </c>
      <c r="AP83" s="67" t="str" vm="5228">
        <f>CUBEVALUE(ConnectionString,ReportMonth,Table1[[#This Row],[Site ID (from DATIM)]],"[Measures].[TBPREV_D]")</f>
        <v/>
      </c>
      <c r="AQ83" s="67" t="str" vm="4623">
        <f>CUBEVALUE(ConnectionString,ReportMonth,Table1[[#This Row],[Site ID (from DATIM)]],"[Measures].[TBPREV_N]")</f>
        <v/>
      </c>
      <c r="AR83" s="67" t="str" vm="14350">
        <f>CUBEVALUE(ConnectionString,ReportMonth,Table1[[#This Row],[Site ID (from DATIM)]],"[Measures].[TBPREV_NEW]")</f>
        <v/>
      </c>
      <c r="AS83" s="67" t="str" vm="6437">
        <f>CUBEVALUE(ConnectionString,ReportMonth,Table1[[#This Row],[Site ID (from DATIM)]],"[Measures].[HVL_ELIG_P]")</f>
        <v/>
      </c>
      <c r="AT83" s="67" t="str" vm="6279">
        <f>CUBEVALUE(ConnectionString,ReportMonth,Table1[[#This Row],[Site ID (from DATIM)]],"[Measures].[HVL_D_P]")</f>
        <v/>
      </c>
      <c r="AU83" s="67" t="str" vm="11297">
        <f>CUBEVALUE(ConnectionString,ReportMonth,Table1[[#This Row],[Site ID (from DATIM)]],"[Measures].[HVL_N_P]")</f>
        <v/>
      </c>
      <c r="AV83" s="68" t="str" vm="10338">
        <f>CUBEVALUE(ConnectionString,ReportMonth,Table1[[#This Row],[Site ID (from DATIM)]],"[Measures].[HVL_ELIG_A]")</f>
        <v/>
      </c>
      <c r="AW83" s="68" t="str" vm="8911">
        <f>CUBEVALUE(ConnectionString,ReportMonth,Table1[[#This Row],[Site ID (from DATIM)]],"[Measures].[HVL_D_A]")</f>
        <v/>
      </c>
      <c r="AX83" s="68" t="str" vm="7044">
        <f>CUBEVALUE(ConnectionString,ReportMonth,Table1[[#This Row],[Site ID (from DATIM)]],"[Measures].[HVL_N_A]")</f>
        <v/>
      </c>
      <c r="AY83" s="67"/>
      <c r="AZ83" s="67"/>
      <c r="BA83" s="67"/>
      <c r="BB83" s="67"/>
      <c r="BC83" s="67"/>
      <c r="BD83" s="67"/>
      <c r="BE83" s="67"/>
      <c r="BF83" s="67"/>
      <c r="BG83" s="67" t="str" vm="10861">
        <f>CUBEVALUE(ConnectionString,ReportMonth,Table1[[#This Row],[Site ID (from DATIM)]],"[Measures].[TX_NEW_F_A]")</f>
        <v/>
      </c>
      <c r="BH83" s="67" t="str" vm="13577">
        <f>CUBEVALUE(ConnectionString,ReportMonth,Table1[[#This Row],[Site ID (from DATIM)]],"[Measures].[TX_NEW_M_A]")</f>
        <v/>
      </c>
      <c r="BI83" s="67" t="str" vm="13794">
        <f>CUBEVALUE(ConnectionString,ReportMonth,Table1[[#This Row],[Site ID (from DATIM)]],"[Measures].[TX_NEW_F_P]")</f>
        <v/>
      </c>
      <c r="BJ83" s="68" t="str" vm="14302">
        <f>CUBEVALUE(ConnectionString,ReportMonth,Table1[[#This Row],[Site ID (from DATIM)]],"[Measures].[TX_NEW_M_P]")</f>
        <v/>
      </c>
      <c r="BK83" s="68"/>
      <c r="BL83" s="68"/>
      <c r="BM83" s="68"/>
      <c r="BN83" s="68"/>
      <c r="BO83" s="68"/>
      <c r="BP83" s="68"/>
      <c r="BQ83" s="68" t="str" vm="14150">
        <f>CUBEVALUE(ConnectionString,ReportMonth,Table1[[#This Row],[Site ID (from DATIM)]],"[Measures].[TX_CURR_F_P]")</f>
        <v/>
      </c>
      <c r="BR83" s="68" t="str" vm="8840">
        <f>CUBEVALUE(ConnectionString,ReportMonth,Table1[[#This Row],[Site ID (from DATIM)]],"[Measures].[TX_CURR_M_P]")</f>
        <v/>
      </c>
      <c r="BS83" s="68" t="str" vm="13039">
        <f>CUBEVALUE(ConnectionString,ReportMonth,Table1[[#This Row],[Site ID (from DATIM)]],"[Measures].[TX_CURR_F_A]")</f>
        <v/>
      </c>
      <c r="BT83" s="68" t="str" vm="9375">
        <f>CUBEVALUE(ConnectionString,ReportMonth,Table1[[#This Row],[Site ID (from DATIM)]],"[Measures].[TX_CURR_M_A]")</f>
        <v/>
      </c>
      <c r="BU83" s="68" t="str" vm="19765">
        <f>CUBEVALUE(ConnectionString,ReportMonth,Table1[[#This Row],[Site ID (from DATIM)]],"[Measures].[MMS_01_89_F_P]")</f>
        <v/>
      </c>
      <c r="BV83" s="68" t="str" vm="18057">
        <f>CUBEVALUE(ConnectionString,ReportMonth,Table1[[#This Row],[Site ID (from DATIM)]],"[Measures].[MMS_01_89_M_P]")</f>
        <v/>
      </c>
      <c r="BW83" s="68" t="str" vm="18303">
        <f>CUBEVALUE(ConnectionString,ReportMonth,Table1[[#This Row],[Site ID (from DATIM)]],"[Measures].[MMS_01_89_F_A]")</f>
        <v/>
      </c>
      <c r="BX83" s="68" t="str" vm="18840">
        <f>CUBEVALUE(ConnectionString,ReportMonth,Table1[[#This Row],[Site ID (from DATIM)]],"[Measures].[MMS_01_89_M_A]")</f>
        <v/>
      </c>
      <c r="BY83" s="68" t="str" vm="16542">
        <f>CUBEVALUE(ConnectionString,ReportMonth,Table1[[#This Row],[Site ID (from DATIM)]],"[Measures].[MMS_90_179_F_P]")</f>
        <v/>
      </c>
      <c r="BZ83" s="68" t="str" vm="14773">
        <f>CUBEVALUE(ConnectionString,ReportMonth,Table1[[#This Row],[Site ID (from DATIM)]],"[Measures].[MMS_90_179_M_P]")</f>
        <v/>
      </c>
      <c r="CA83" s="68" t="str" vm="15183">
        <f>CUBEVALUE(ConnectionString,ReportMonth,Table1[[#This Row],[Site ID (from DATIM)]],"[Measures].[MMS_90_179_F_A]")</f>
        <v/>
      </c>
      <c r="CB83" s="68" t="str" vm="15067">
        <f>CUBEVALUE(ConnectionString,ReportMonth,Table1[[#This Row],[Site ID (from DATIM)]],"[Measures].[MMS_90_179_M_A]")</f>
        <v/>
      </c>
      <c r="CC83" s="68" t="str" vm="14517">
        <f>CUBEVALUE(ConnectionString,ReportMonth,Table1[[#This Row],[Site ID (from DATIM)]],"[Measures].[MMS_180+_F_P]")</f>
        <v/>
      </c>
      <c r="CD83" s="68" t="str" vm="15815">
        <f>CUBEVALUE(ConnectionString,ReportMonth,Table1[[#This Row],[Site ID (from DATIM)]],"[Measures].[MMS_180+_M_P]")</f>
        <v/>
      </c>
      <c r="CE83" s="68" t="str" vm="15808">
        <f>CUBEVALUE(ConnectionString,ReportMonth,Table1[[#This Row],[Site ID (from DATIM)]],"[Measures].[MMS_180+_F_A]")</f>
        <v/>
      </c>
      <c r="CF83" s="68" t="str" vm="14918">
        <f>CUBEVALUE(ConnectionString,ReportMonth,Table1[[#This Row],[Site ID (from DATIM)]],"[Measures].[MMS_180+_M_A]")</f>
        <v/>
      </c>
      <c r="CG83" s="68" t="str" vm="7792">
        <f>CUBEVALUE(ConnectionString,ReportMonth,Table1[[#This Row],[Site ID (from DATIM)]],"[Measures].[MISSEDAPP]")</f>
        <v/>
      </c>
      <c r="CH83" s="68" t="str" vm="12529">
        <f>CUBEVALUE(ConnectionString,ReportMonth,Table1[[#This Row],[Site ID (from DATIM)]],"[Measures].[MMS_180+_P]")</f>
        <v/>
      </c>
      <c r="CI83" s="68" t="str" vm="12993">
        <f>CUBEVALUE(ConnectionString,ReportMonth,Table1[[#This Row],[Site ID (from DATIM)]],"[Measures].[MMS_180+_A]")</f>
        <v/>
      </c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</row>
    <row r="84" spans="1:107" x14ac:dyDescent="0.25">
      <c r="A84" s="66">
        <v>4</v>
      </c>
      <c r="B84" s="67" t="str" vm="4">
        <f t="shared" si="2"/>
        <v>Mar-2021</v>
      </c>
      <c r="C84" s="67"/>
      <c r="D84" s="67" t="s">
        <v>232</v>
      </c>
      <c r="E84" s="67" t="s">
        <v>233</v>
      </c>
      <c r="F84" s="67" t="s">
        <v>1083</v>
      </c>
      <c r="G84" s="67"/>
      <c r="H84" s="67" t="s">
        <v>1113</v>
      </c>
      <c r="I84" s="67" t="s">
        <v>1151</v>
      </c>
      <c r="J84" s="67" t="s">
        <v>1152</v>
      </c>
      <c r="K84" s="67" t="s">
        <v>1153</v>
      </c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 t="str" vm="3783">
        <f>CUBEVALUE(ConnectionString,ReportMonth,Table1[[#This Row],[Site ID (from DATIM)]],"TX_NEW_2VIS")</f>
        <v/>
      </c>
      <c r="AE84" s="67" t="str" vm="11283">
        <f>CUBEVALUE(ConnectionString,ReportMonth,Table1[[#This Row],[Site ID (from DATIM)]],INDEX(SDI_Measures,1))</f>
        <v/>
      </c>
      <c r="AF84" s="67" t="str" vm="15346">
        <f>CUBEVALUE(ConnectionString,ReportMonth,Table1[[#This Row],[Site ID (from DATIM)]],INDEX(SDI_Measures,2))</f>
        <v/>
      </c>
      <c r="AG84" s="67" t="str" vm="705">
        <f>CUBEVALUE(ConnectionString,ReportMonth,Table1[[#This Row],[Site ID (from DATIM)]],INDEX(SDI_Measures,3))</f>
        <v/>
      </c>
      <c r="AH84" s="67" vm="3778">
        <f>CUBEVALUE(ConnectionString,ReportMonth,Table1[[#This Row],[Site ID (from DATIM)]],"TX_CURR_PRIOR_MONTH")</f>
        <v>30</v>
      </c>
      <c r="AI84" s="67" vm="4241">
        <f>CUBEVALUE(ConnectionString,ReportMonth,Table1[[#This Row],[Site ID (from DATIM)]],"TX_CURR")</f>
        <v>30</v>
      </c>
      <c r="AJ84" s="67" t="str" vm="4281">
        <f>CUBEVALUE(ConnectionString,ReportMonth,Table1[[#This Row],[Site ID (from DATIM)]],"[Measures].[TI]")</f>
        <v/>
      </c>
      <c r="AK84" s="67" t="str" vm="3694">
        <f>CUBEVALUE(ConnectionString,ReportMonth,Table1[[#This Row],[Site ID (from DATIM)]],"[Measures].[TO]")</f>
        <v/>
      </c>
      <c r="AL84" s="67" t="str" vm="1944">
        <f>CUBEVALUE(ConnectionString,ReportMonth,Table1[[#This Row],[Site ID (from DATIM)]],"[Measures].[DIED]")</f>
        <v/>
      </c>
      <c r="AM84" s="67" vm="4439">
        <f>CUBEVALUE(ConnectionString,ReportMonth,Table1[[#This Row],[Site ID (from DATIM)]],"[Measures].[MMS_01_31]")</f>
        <v>29</v>
      </c>
      <c r="AN84" s="67" vm="6029">
        <f>CUBEVALUE(ConnectionString,ReportMonth,Table1[[#This Row],[Site ID (from DATIM)]],"[Measures].[MMS_32_62]")</f>
        <v>1</v>
      </c>
      <c r="AO84" s="67" t="str" vm="5850">
        <f>CUBEVALUE(ConnectionString,ReportMonth,Table1[[#This Row],[Site ID (from DATIM)]],"[Measures].[MMS_63+]")</f>
        <v/>
      </c>
      <c r="AP84" s="67" t="str" vm="4779">
        <f>CUBEVALUE(ConnectionString,ReportMonth,Table1[[#This Row],[Site ID (from DATIM)]],"[Measures].[TBPREV_D]")</f>
        <v/>
      </c>
      <c r="AQ84" s="67" t="str" vm="6107">
        <f>CUBEVALUE(ConnectionString,ReportMonth,Table1[[#This Row],[Site ID (from DATIM)]],"[Measures].[TBPREV_N]")</f>
        <v/>
      </c>
      <c r="AR84" s="67" t="str" vm="4562">
        <f>CUBEVALUE(ConnectionString,ReportMonth,Table1[[#This Row],[Site ID (from DATIM)]],"[Measures].[TBPREV_NEW]")</f>
        <v/>
      </c>
      <c r="AS84" s="67" vm="4201">
        <f>CUBEVALUE(ConnectionString,ReportMonth,Table1[[#This Row],[Site ID (from DATIM)]],"[Measures].[HVL_ELIG_P]")</f>
        <v>6</v>
      </c>
      <c r="AT84" s="67" t="str" vm="8879">
        <f>CUBEVALUE(ConnectionString,ReportMonth,Table1[[#This Row],[Site ID (from DATIM)]],"[Measures].[HVL_D_P]")</f>
        <v/>
      </c>
      <c r="AU84" s="67" t="str" vm="9216">
        <f>CUBEVALUE(ConnectionString,ReportMonth,Table1[[#This Row],[Site ID (from DATIM)]],"[Measures].[HVL_N_P]")</f>
        <v/>
      </c>
      <c r="AV84" s="68" vm="10385">
        <f>CUBEVALUE(ConnectionString,ReportMonth,Table1[[#This Row],[Site ID (from DATIM)]],"[Measures].[HVL_ELIG_A]")</f>
        <v>21</v>
      </c>
      <c r="AW84" s="68" vm="10514">
        <f>CUBEVALUE(ConnectionString,ReportMonth,Table1[[#This Row],[Site ID (from DATIM)]],"[Measures].[HVL_D_A]")</f>
        <v>5</v>
      </c>
      <c r="AX84" s="68" vm="12690">
        <f>CUBEVALUE(ConnectionString,ReportMonth,Table1[[#This Row],[Site ID (from DATIM)]],"[Measures].[HVL_N_A]")</f>
        <v>4</v>
      </c>
      <c r="AY84" s="67"/>
      <c r="AZ84" s="67"/>
      <c r="BA84" s="67"/>
      <c r="BB84" s="67"/>
      <c r="BC84" s="67"/>
      <c r="BD84" s="67"/>
      <c r="BE84" s="67"/>
      <c r="BF84" s="67"/>
      <c r="BG84" s="67" t="str" vm="10371">
        <f>CUBEVALUE(ConnectionString,ReportMonth,Table1[[#This Row],[Site ID (from DATIM)]],"[Measures].[TX_NEW_F_A]")</f>
        <v/>
      </c>
      <c r="BH84" s="67" t="str" vm="13895">
        <f>CUBEVALUE(ConnectionString,ReportMonth,Table1[[#This Row],[Site ID (from DATIM)]],"[Measures].[TX_NEW_M_A]")</f>
        <v/>
      </c>
      <c r="BI84" s="67" t="str" vm="16135">
        <f>CUBEVALUE(ConnectionString,ReportMonth,Table1[[#This Row],[Site ID (from DATIM)]],"[Measures].[TX_NEW_F_P]")</f>
        <v/>
      </c>
      <c r="BJ84" s="68" t="str" vm="12582">
        <f>CUBEVALUE(ConnectionString,ReportMonth,Table1[[#This Row],[Site ID (from DATIM)]],"[Measures].[TX_NEW_M_P]")</f>
        <v/>
      </c>
      <c r="BK84" s="68"/>
      <c r="BL84" s="68"/>
      <c r="BM84" s="68"/>
      <c r="BN84" s="68"/>
      <c r="BO84" s="68"/>
      <c r="BP84" s="68"/>
      <c r="BQ84" s="68" vm="11468">
        <f>CUBEVALUE(ConnectionString,ReportMonth,Table1[[#This Row],[Site ID (from DATIM)]],"[Measures].[TX_CURR_F_P]")</f>
        <v>5</v>
      </c>
      <c r="BR84" s="68" vm="10072">
        <f>CUBEVALUE(ConnectionString,ReportMonth,Table1[[#This Row],[Site ID (from DATIM)]],"[Measures].[TX_CURR_M_P]")</f>
        <v>1</v>
      </c>
      <c r="BS84" s="68" vm="9910">
        <f>CUBEVALUE(ConnectionString,ReportMonth,Table1[[#This Row],[Site ID (from DATIM)]],"[Measures].[TX_CURR_F_A]")</f>
        <v>21</v>
      </c>
      <c r="BT84" s="68" vm="8404">
        <f>CUBEVALUE(ConnectionString,ReportMonth,Table1[[#This Row],[Site ID (from DATIM)]],"[Measures].[TX_CURR_M_A]")</f>
        <v>3</v>
      </c>
      <c r="BU84" s="68" vm="19817">
        <f>CUBEVALUE(ConnectionString,ReportMonth,Table1[[#This Row],[Site ID (from DATIM)]],"[Measures].[MMS_01_89_F_P]")</f>
        <v>5</v>
      </c>
      <c r="BV84" s="68" vm="19789">
        <f>CUBEVALUE(ConnectionString,ReportMonth,Table1[[#This Row],[Site ID (from DATIM)]],"[Measures].[MMS_01_89_M_P]")</f>
        <v>1</v>
      </c>
      <c r="BW84" s="68" vm="18318">
        <f>CUBEVALUE(ConnectionString,ReportMonth,Table1[[#This Row],[Site ID (from DATIM)]],"[Measures].[MMS_01_89_F_A]")</f>
        <v>21</v>
      </c>
      <c r="BX84" s="68" vm="19620">
        <f>CUBEVALUE(ConnectionString,ReportMonth,Table1[[#This Row],[Site ID (from DATIM)]],"[Measures].[MMS_01_89_M_A]")</f>
        <v>3</v>
      </c>
      <c r="BY84" s="68" t="str" vm="19880">
        <f>CUBEVALUE(ConnectionString,ReportMonth,Table1[[#This Row],[Site ID (from DATIM)]],"[Measures].[MMS_90_179_F_P]")</f>
        <v/>
      </c>
      <c r="BZ84" s="68" t="str" vm="15560">
        <f>CUBEVALUE(ConnectionString,ReportMonth,Table1[[#This Row],[Site ID (from DATIM)]],"[Measures].[MMS_90_179_M_P]")</f>
        <v/>
      </c>
      <c r="CA84" s="68" t="str" vm="16474">
        <f>CUBEVALUE(ConnectionString,ReportMonth,Table1[[#This Row],[Site ID (from DATIM)]],"[Measures].[MMS_90_179_F_A]")</f>
        <v/>
      </c>
      <c r="CB84" s="68" t="str" vm="15568">
        <f>CUBEVALUE(ConnectionString,ReportMonth,Table1[[#This Row],[Site ID (from DATIM)]],"[Measures].[MMS_90_179_M_A]")</f>
        <v/>
      </c>
      <c r="CC84" s="68" t="str" vm="16313">
        <f>CUBEVALUE(ConnectionString,ReportMonth,Table1[[#This Row],[Site ID (from DATIM)]],"[Measures].[MMS_180+_F_P]")</f>
        <v/>
      </c>
      <c r="CD84" s="68" t="str" vm="16657">
        <f>CUBEVALUE(ConnectionString,ReportMonth,Table1[[#This Row],[Site ID (from DATIM)]],"[Measures].[MMS_180+_M_P]")</f>
        <v/>
      </c>
      <c r="CE84" s="68" t="str" vm="23">
        <f>CUBEVALUE(ConnectionString,ReportMonth,Table1[[#This Row],[Site ID (from DATIM)]],"[Measures].[MMS_180+_F_A]")</f>
        <v/>
      </c>
      <c r="CF84" s="68" t="str" vm="247">
        <f>CUBEVALUE(ConnectionString,ReportMonth,Table1[[#This Row],[Site ID (from DATIM)]],"[Measures].[MMS_180+_M_A]")</f>
        <v/>
      </c>
      <c r="CG84" s="68" vm="7190">
        <f>CUBEVALUE(ConnectionString,ReportMonth,Table1[[#This Row],[Site ID (from DATIM)]],"[Measures].[MISSEDAPP]")</f>
        <v>28</v>
      </c>
      <c r="CH84" s="68" t="str" vm="12100">
        <f>CUBEVALUE(ConnectionString,ReportMonth,Table1[[#This Row],[Site ID (from DATIM)]],"[Measures].[MMS_180+_P]")</f>
        <v/>
      </c>
      <c r="CI84" s="68" t="str" vm="12936">
        <f>CUBEVALUE(ConnectionString,ReportMonth,Table1[[#This Row],[Site ID (from DATIM)]],"[Measures].[MMS_180+_A]")</f>
        <v/>
      </c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</row>
    <row r="85" spans="1:107" x14ac:dyDescent="0.25">
      <c r="A85" s="66">
        <v>1</v>
      </c>
      <c r="B85" s="67" t="str" vm="4">
        <f t="shared" si="2"/>
        <v>Mar-2021</v>
      </c>
      <c r="C85" s="67"/>
      <c r="D85" s="67" t="s">
        <v>232</v>
      </c>
      <c r="E85" s="67" t="s">
        <v>233</v>
      </c>
      <c r="F85" s="67" t="s">
        <v>831</v>
      </c>
      <c r="G85" s="67"/>
      <c r="H85" s="67" t="s">
        <v>856</v>
      </c>
      <c r="I85" s="67" t="s">
        <v>857</v>
      </c>
      <c r="J85" s="67" t="s">
        <v>858</v>
      </c>
      <c r="K85" s="67" t="s">
        <v>859</v>
      </c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 vm="916">
        <f>CUBEVALUE(ConnectionString,ReportMonth,Table1[[#This Row],[Site ID (from DATIM)]],"TX_NEW_2VIS")</f>
        <v>3</v>
      </c>
      <c r="AE85" s="67" vm="1783">
        <f>CUBEVALUE(ConnectionString,ReportMonth,Table1[[#This Row],[Site ID (from DATIM)]],INDEX(SDI_Measures,1))</f>
        <v>8</v>
      </c>
      <c r="AF85" s="67" t="str" vm="1837">
        <f>CUBEVALUE(ConnectionString,ReportMonth,Table1[[#This Row],[Site ID (from DATIM)]],INDEX(SDI_Measures,2))</f>
        <v/>
      </c>
      <c r="AG85" s="67" t="str" vm="1200">
        <f>CUBEVALUE(ConnectionString,ReportMonth,Table1[[#This Row],[Site ID (from DATIM)]],INDEX(SDI_Measures,3))</f>
        <v/>
      </c>
      <c r="AH85" s="67" vm="3589">
        <f>CUBEVALUE(ConnectionString,ReportMonth,Table1[[#This Row],[Site ID (from DATIM)]],"TX_CURR_PRIOR_MONTH")</f>
        <v>1540</v>
      </c>
      <c r="AI85" s="67" vm="3948">
        <f>CUBEVALUE(ConnectionString,ReportMonth,Table1[[#This Row],[Site ID (from DATIM)]],"TX_CURR")</f>
        <v>1531</v>
      </c>
      <c r="AJ85" s="67" vm="1525">
        <f>CUBEVALUE(ConnectionString,ReportMonth,Table1[[#This Row],[Site ID (from DATIM)]],"[Measures].[TI]")</f>
        <v>2</v>
      </c>
      <c r="AK85" s="67" vm="2846">
        <f>CUBEVALUE(ConnectionString,ReportMonth,Table1[[#This Row],[Site ID (from DATIM)]],"[Measures].[TO]")</f>
        <v>1</v>
      </c>
      <c r="AL85" s="67" t="str" vm="1955">
        <f>CUBEVALUE(ConnectionString,ReportMonth,Table1[[#This Row],[Site ID (from DATIM)]],"[Measures].[DIED]")</f>
        <v/>
      </c>
      <c r="AM85" s="67" vm="3759">
        <f>CUBEVALUE(ConnectionString,ReportMonth,Table1[[#This Row],[Site ID (from DATIM)]],"[Measures].[MMS_01_31]")</f>
        <v>292</v>
      </c>
      <c r="AN85" s="67" vm="5790">
        <f>CUBEVALUE(ConnectionString,ReportMonth,Table1[[#This Row],[Site ID (from DATIM)]],"[Measures].[MMS_32_62]")</f>
        <v>60</v>
      </c>
      <c r="AO85" s="67" vm="7339">
        <f>CUBEVALUE(ConnectionString,ReportMonth,Table1[[#This Row],[Site ID (from DATIM)]],"[Measures].[MMS_63+]")</f>
        <v>1179</v>
      </c>
      <c r="AP85" s="67" vm="4580">
        <f>CUBEVALUE(ConnectionString,ReportMonth,Table1[[#This Row],[Site ID (from DATIM)]],"[Measures].[TBPREV_D]")</f>
        <v>37</v>
      </c>
      <c r="AQ85" s="67" vm="6309">
        <f>CUBEVALUE(ConnectionString,ReportMonth,Table1[[#This Row],[Site ID (from DATIM)]],"[Measures].[TBPREV_N]")</f>
        <v>37</v>
      </c>
      <c r="AR85" s="67" vm="5690">
        <f>CUBEVALUE(ConnectionString,ReportMonth,Table1[[#This Row],[Site ID (from DATIM)]],"[Measures].[TBPREV_NEW]")</f>
        <v>11</v>
      </c>
      <c r="AS85" s="67" vm="6990">
        <f>CUBEVALUE(ConnectionString,ReportMonth,Table1[[#This Row],[Site ID (from DATIM)]],"[Measures].[HVL_ELIG_P]")</f>
        <v>62</v>
      </c>
      <c r="AT85" s="67" vm="7841">
        <f>CUBEVALUE(ConnectionString,ReportMonth,Table1[[#This Row],[Site ID (from DATIM)]],"[Measures].[HVL_D_P]")</f>
        <v>57</v>
      </c>
      <c r="AU85" s="67" vm="6389">
        <f>CUBEVALUE(ConnectionString,ReportMonth,Table1[[#This Row],[Site ID (from DATIM)]],"[Measures].[HVL_N_P]")</f>
        <v>53</v>
      </c>
      <c r="AV85" s="68" vm="14204">
        <f>CUBEVALUE(ConnectionString,ReportMonth,Table1[[#This Row],[Site ID (from DATIM)]],"[Measures].[HVL_ELIG_A]")</f>
        <v>1305</v>
      </c>
      <c r="AW85" s="68" vm="14147">
        <f>CUBEVALUE(ConnectionString,ReportMonth,Table1[[#This Row],[Site ID (from DATIM)]],"[Measures].[HVL_D_A]")</f>
        <v>1194</v>
      </c>
      <c r="AX85" s="68" vm="12185">
        <f>CUBEVALUE(ConnectionString,ReportMonth,Table1[[#This Row],[Site ID (from DATIM)]],"[Measures].[HVL_N_A]")</f>
        <v>1167</v>
      </c>
      <c r="AY85" s="67"/>
      <c r="AZ85" s="67"/>
      <c r="BA85" s="67"/>
      <c r="BB85" s="67"/>
      <c r="BC85" s="67"/>
      <c r="BD85" s="67"/>
      <c r="BE85" s="67"/>
      <c r="BF85" s="67"/>
      <c r="BG85" s="67" vm="12750">
        <f>CUBEVALUE(ConnectionString,ReportMonth,Table1[[#This Row],[Site ID (from DATIM)]],"[Measures].[TX_NEW_F_A]")</f>
        <v>6</v>
      </c>
      <c r="BH85" s="67" vm="13575">
        <f>CUBEVALUE(ConnectionString,ReportMonth,Table1[[#This Row],[Site ID (from DATIM)]],"[Measures].[TX_NEW_M_A]")</f>
        <v>2</v>
      </c>
      <c r="BI85" s="67" t="str" vm="13472">
        <f>CUBEVALUE(ConnectionString,ReportMonth,Table1[[#This Row],[Site ID (from DATIM)]],"[Measures].[TX_NEW_F_P]")</f>
        <v/>
      </c>
      <c r="BJ85" s="68" vm="14257">
        <f>CUBEVALUE(ConnectionString,ReportMonth,Table1[[#This Row],[Site ID (from DATIM)]],"[Measures].[TX_NEW_M_P]")</f>
        <v>1</v>
      </c>
      <c r="BK85" s="68"/>
      <c r="BL85" s="68"/>
      <c r="BM85" s="68"/>
      <c r="BN85" s="68"/>
      <c r="BO85" s="68"/>
      <c r="BP85" s="68"/>
      <c r="BQ85" s="68" vm="10555">
        <f>CUBEVALUE(ConnectionString,ReportMonth,Table1[[#This Row],[Site ID (from DATIM)]],"[Measures].[TX_CURR_F_P]")</f>
        <v>35</v>
      </c>
      <c r="BR85" s="68" vm="9669">
        <f>CUBEVALUE(ConnectionString,ReportMonth,Table1[[#This Row],[Site ID (from DATIM)]],"[Measures].[TX_CURR_M_P]")</f>
        <v>33</v>
      </c>
      <c r="BS85" s="68" vm="9602">
        <f>CUBEVALUE(ConnectionString,ReportMonth,Table1[[#This Row],[Site ID (from DATIM)]],"[Measures].[TX_CURR_F_A]")</f>
        <v>1072</v>
      </c>
      <c r="BT85" s="68" vm="13227">
        <f>CUBEVALUE(ConnectionString,ReportMonth,Table1[[#This Row],[Site ID (from DATIM)]],"[Measures].[TX_CURR_M_A]")</f>
        <v>391</v>
      </c>
      <c r="BU85" s="68" vm="19832">
        <f>CUBEVALUE(ConnectionString,ReportMonth,Table1[[#This Row],[Site ID (from DATIM)]],"[Measures].[MMS_01_89_F_P]")</f>
        <v>11</v>
      </c>
      <c r="BV85" s="68" vm="19788">
        <f>CUBEVALUE(ConnectionString,ReportMonth,Table1[[#This Row],[Site ID (from DATIM)]],"[Measures].[MMS_01_89_M_P]")</f>
        <v>12</v>
      </c>
      <c r="BW85" s="68" vm="15253">
        <f>CUBEVALUE(ConnectionString,ReportMonth,Table1[[#This Row],[Site ID (from DATIM)]],"[Measures].[MMS_01_89_F_A]")</f>
        <v>257</v>
      </c>
      <c r="BX85" s="68" vm="18274">
        <f>CUBEVALUE(ConnectionString,ReportMonth,Table1[[#This Row],[Site ID (from DATIM)]],"[Measures].[MMS_01_89_M_A]")</f>
        <v>82</v>
      </c>
      <c r="BY85" s="68" vm="16962">
        <f>CUBEVALUE(ConnectionString,ReportMonth,Table1[[#This Row],[Site ID (from DATIM)]],"[Measures].[MMS_90_179_F_P]")</f>
        <v>24</v>
      </c>
      <c r="BZ85" s="68" vm="17769">
        <f>CUBEVALUE(ConnectionString,ReportMonth,Table1[[#This Row],[Site ID (from DATIM)]],"[Measures].[MMS_90_179_M_P]")</f>
        <v>21</v>
      </c>
      <c r="CA85" s="68" vm="16927">
        <f>CUBEVALUE(ConnectionString,ReportMonth,Table1[[#This Row],[Site ID (from DATIM)]],"[Measures].[MMS_90_179_F_A]")</f>
        <v>814</v>
      </c>
      <c r="CB85" s="68" vm="16854">
        <f>CUBEVALUE(ConnectionString,ReportMonth,Table1[[#This Row],[Site ID (from DATIM)]],"[Measures].[MMS_90_179_M_A]")</f>
        <v>309</v>
      </c>
      <c r="CC85" s="68" t="str" vm="20169">
        <f>CUBEVALUE(ConnectionString,ReportMonth,Table1[[#This Row],[Site ID (from DATIM)]],"[Measures].[MMS_180+_F_P]")</f>
        <v/>
      </c>
      <c r="CD85" s="68" t="str" vm="17506">
        <f>CUBEVALUE(ConnectionString,ReportMonth,Table1[[#This Row],[Site ID (from DATIM)]],"[Measures].[MMS_180+_M_P]")</f>
        <v/>
      </c>
      <c r="CE85" s="68" vm="97">
        <f>CUBEVALUE(ConnectionString,ReportMonth,Table1[[#This Row],[Site ID (from DATIM)]],"[Measures].[MMS_180+_F_A]")</f>
        <v>1</v>
      </c>
      <c r="CF85" s="68" t="str" vm="16215">
        <f>CUBEVALUE(ConnectionString,ReportMonth,Table1[[#This Row],[Site ID (from DATIM)]],"[Measures].[MMS_180+_M_A]")</f>
        <v/>
      </c>
      <c r="CG85" s="68" vm="4694">
        <f>CUBEVALUE(ConnectionString,ReportMonth,Table1[[#This Row],[Site ID (from DATIM)]],"[Measures].[MISSEDAPP]")</f>
        <v>561</v>
      </c>
      <c r="CH85" s="68" t="str" vm="10991">
        <f>CUBEVALUE(ConnectionString,ReportMonth,Table1[[#This Row],[Site ID (from DATIM)]],"[Measures].[MMS_180+_P]")</f>
        <v/>
      </c>
      <c r="CI85" s="68" vm="12726">
        <f>CUBEVALUE(ConnectionString,ReportMonth,Table1[[#This Row],[Site ID (from DATIM)]],"[Measures].[MMS_180+_A]")</f>
        <v>1</v>
      </c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</row>
    <row r="86" spans="1:107" x14ac:dyDescent="0.25">
      <c r="A86" s="66">
        <v>4</v>
      </c>
      <c r="B86" s="67" t="str" vm="4">
        <f t="shared" si="2"/>
        <v>Mar-2021</v>
      </c>
      <c r="C86" s="67"/>
      <c r="D86" s="67" t="s">
        <v>232</v>
      </c>
      <c r="E86" s="67" t="s">
        <v>233</v>
      </c>
      <c r="F86" s="67" t="s">
        <v>437</v>
      </c>
      <c r="G86" s="67"/>
      <c r="H86" s="67" t="s">
        <v>478</v>
      </c>
      <c r="I86" s="67" t="s">
        <v>531</v>
      </c>
      <c r="J86" s="67" t="s">
        <v>532</v>
      </c>
      <c r="K86" s="67" t="s">
        <v>533</v>
      </c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 t="str" vm="1444">
        <f>CUBEVALUE(ConnectionString,ReportMonth,Table1[[#This Row],[Site ID (from DATIM)]],"TX_NEW_2VIS")</f>
        <v/>
      </c>
      <c r="AE86" s="67" t="str" vm="1909">
        <f>CUBEVALUE(ConnectionString,ReportMonth,Table1[[#This Row],[Site ID (from DATIM)]],INDEX(SDI_Measures,1))</f>
        <v/>
      </c>
      <c r="AF86" s="67" t="str" vm="2827">
        <f>CUBEVALUE(ConnectionString,ReportMonth,Table1[[#This Row],[Site ID (from DATIM)]],INDEX(SDI_Measures,2))</f>
        <v/>
      </c>
      <c r="AG86" s="67" t="str" vm="3348">
        <f>CUBEVALUE(ConnectionString,ReportMonth,Table1[[#This Row],[Site ID (from DATIM)]],INDEX(SDI_Measures,3))</f>
        <v/>
      </c>
      <c r="AH86" s="67" vm="3742">
        <f>CUBEVALUE(ConnectionString,ReportMonth,Table1[[#This Row],[Site ID (from DATIM)]],"TX_CURR_PRIOR_MONTH")</f>
        <v>233</v>
      </c>
      <c r="AI86" s="67" vm="4388">
        <f>CUBEVALUE(ConnectionString,ReportMonth,Table1[[#This Row],[Site ID (from DATIM)]],"TX_CURR")</f>
        <v>162</v>
      </c>
      <c r="AJ86" s="67" t="str" vm="2181">
        <f>CUBEVALUE(ConnectionString,ReportMonth,Table1[[#This Row],[Site ID (from DATIM)]],"[Measures].[TI]")</f>
        <v/>
      </c>
      <c r="AK86" s="67" t="str" vm="7351">
        <f>CUBEVALUE(ConnectionString,ReportMonth,Table1[[#This Row],[Site ID (from DATIM)]],"[Measures].[TO]")</f>
        <v/>
      </c>
      <c r="AL86" s="67" t="str" vm="1155">
        <f>CUBEVALUE(ConnectionString,ReportMonth,Table1[[#This Row],[Site ID (from DATIM)]],"[Measures].[DIED]")</f>
        <v/>
      </c>
      <c r="AM86" s="67" vm="6723">
        <f>CUBEVALUE(ConnectionString,ReportMonth,Table1[[#This Row],[Site ID (from DATIM)]],"[Measures].[MMS_01_31]")</f>
        <v>39</v>
      </c>
      <c r="AN86" s="67" vm="7360">
        <f>CUBEVALUE(ConnectionString,ReportMonth,Table1[[#This Row],[Site ID (from DATIM)]],"[Measures].[MMS_32_62]")</f>
        <v>1</v>
      </c>
      <c r="AO86" s="67" vm="4988">
        <f>CUBEVALUE(ConnectionString,ReportMonth,Table1[[#This Row],[Site ID (from DATIM)]],"[Measures].[MMS_63+]")</f>
        <v>122</v>
      </c>
      <c r="AP86" s="67" vm="4626">
        <f>CUBEVALUE(ConnectionString,ReportMonth,Table1[[#This Row],[Site ID (from DATIM)]],"[Measures].[TBPREV_D]")</f>
        <v>7</v>
      </c>
      <c r="AQ86" s="67" vm="5781">
        <f>CUBEVALUE(ConnectionString,ReportMonth,Table1[[#This Row],[Site ID (from DATIM)]],"[Measures].[TBPREV_N]")</f>
        <v>5</v>
      </c>
      <c r="AR86" s="67" t="str" vm="5740">
        <f>CUBEVALUE(ConnectionString,ReportMonth,Table1[[#This Row],[Site ID (from DATIM)]],"[Measures].[TBPREV_NEW]")</f>
        <v/>
      </c>
      <c r="AS86" s="67" vm="9340">
        <f>CUBEVALUE(ConnectionString,ReportMonth,Table1[[#This Row],[Site ID (from DATIM)]],"[Measures].[HVL_ELIG_P]")</f>
        <v>19</v>
      </c>
      <c r="AT86" s="67" vm="8809">
        <f>CUBEVALUE(ConnectionString,ReportMonth,Table1[[#This Row],[Site ID (from DATIM)]],"[Measures].[HVL_D_P]")</f>
        <v>13</v>
      </c>
      <c r="AU86" s="67" vm="9422">
        <f>CUBEVALUE(ConnectionString,ReportMonth,Table1[[#This Row],[Site ID (from DATIM)]],"[Measures].[HVL_N_P]")</f>
        <v>10</v>
      </c>
      <c r="AV86" s="68" vm="10024">
        <f>CUBEVALUE(ConnectionString,ReportMonth,Table1[[#This Row],[Site ID (from DATIM)]],"[Measures].[HVL_ELIG_A]")</f>
        <v>131</v>
      </c>
      <c r="AW86" s="68" vm="7292">
        <f>CUBEVALUE(ConnectionString,ReportMonth,Table1[[#This Row],[Site ID (from DATIM)]],"[Measures].[HVL_D_A]")</f>
        <v>91</v>
      </c>
      <c r="AX86" s="68" vm="7052">
        <f>CUBEVALUE(ConnectionString,ReportMonth,Table1[[#This Row],[Site ID (from DATIM)]],"[Measures].[HVL_N_A]")</f>
        <v>84</v>
      </c>
      <c r="AY86" s="67"/>
      <c r="AZ86" s="67"/>
      <c r="BA86" s="67"/>
      <c r="BB86" s="67"/>
      <c r="BC86" s="67"/>
      <c r="BD86" s="67"/>
      <c r="BE86" s="67"/>
      <c r="BF86" s="67"/>
      <c r="BG86" s="67" t="str" vm="10228">
        <f>CUBEVALUE(ConnectionString,ReportMonth,Table1[[#This Row],[Site ID (from DATIM)]],"[Measures].[TX_NEW_F_A]")</f>
        <v/>
      </c>
      <c r="BH86" s="67" t="str" vm="13691">
        <f>CUBEVALUE(ConnectionString,ReportMonth,Table1[[#This Row],[Site ID (from DATIM)]],"[Measures].[TX_NEW_M_A]")</f>
        <v/>
      </c>
      <c r="BI86" s="67" t="str" vm="16547">
        <f>CUBEVALUE(ConnectionString,ReportMonth,Table1[[#This Row],[Site ID (from DATIM)]],"[Measures].[TX_NEW_F_P]")</f>
        <v/>
      </c>
      <c r="BJ86" s="68" t="str" vm="13113">
        <f>CUBEVALUE(ConnectionString,ReportMonth,Table1[[#This Row],[Site ID (from DATIM)]],"[Measures].[TX_NEW_M_P]")</f>
        <v/>
      </c>
      <c r="BK86" s="68"/>
      <c r="BL86" s="68"/>
      <c r="BM86" s="68"/>
      <c r="BN86" s="68"/>
      <c r="BO86" s="68"/>
      <c r="BP86" s="68"/>
      <c r="BQ86" s="68" vm="8203">
        <f>CUBEVALUE(ConnectionString,ReportMonth,Table1[[#This Row],[Site ID (from DATIM)]],"[Measures].[TX_CURR_F_P]")</f>
        <v>13</v>
      </c>
      <c r="BR86" s="68" vm="12078">
        <f>CUBEVALUE(ConnectionString,ReportMonth,Table1[[#This Row],[Site ID (from DATIM)]],"[Measures].[TX_CURR_M_P]")</f>
        <v>8</v>
      </c>
      <c r="BS86" s="68" vm="13764">
        <f>CUBEVALUE(ConnectionString,ReportMonth,Table1[[#This Row],[Site ID (from DATIM)]],"[Measures].[TX_CURR_F_A]")</f>
        <v>97</v>
      </c>
      <c r="BT86" s="68" vm="12355">
        <f>CUBEVALUE(ConnectionString,ReportMonth,Table1[[#This Row],[Site ID (from DATIM)]],"[Measures].[TX_CURR_M_A]")</f>
        <v>44</v>
      </c>
      <c r="BU86" s="68" vm="18989">
        <f>CUBEVALUE(ConnectionString,ReportMonth,Table1[[#This Row],[Site ID (from DATIM)]],"[Measures].[MMS_01_89_F_P]")</f>
        <v>7</v>
      </c>
      <c r="BV86" s="68" vm="20102">
        <f>CUBEVALUE(ConnectionString,ReportMonth,Table1[[#This Row],[Site ID (from DATIM)]],"[Measures].[MMS_01_89_M_P]")</f>
        <v>7</v>
      </c>
      <c r="BW86" s="68" vm="19228">
        <f>CUBEVALUE(ConnectionString,ReportMonth,Table1[[#This Row],[Site ID (from DATIM)]],"[Measures].[MMS_01_89_F_A]")</f>
        <v>20</v>
      </c>
      <c r="BX86" s="68" vm="19911">
        <f>CUBEVALUE(ConnectionString,ReportMonth,Table1[[#This Row],[Site ID (from DATIM)]],"[Measures].[MMS_01_89_M_A]")</f>
        <v>7</v>
      </c>
      <c r="BY86" s="68" vm="17933">
        <f>CUBEVALUE(ConnectionString,ReportMonth,Table1[[#This Row],[Site ID (from DATIM)]],"[Measures].[MMS_90_179_F_P]")</f>
        <v>6</v>
      </c>
      <c r="BZ86" s="68" vm="18473">
        <f>CUBEVALUE(ConnectionString,ReportMonth,Table1[[#This Row],[Site ID (from DATIM)]],"[Measures].[MMS_90_179_M_P]")</f>
        <v>1</v>
      </c>
      <c r="CA86" s="68" vm="16388">
        <f>CUBEVALUE(ConnectionString,ReportMonth,Table1[[#This Row],[Site ID (from DATIM)]],"[Measures].[MMS_90_179_F_A]")</f>
        <v>77</v>
      </c>
      <c r="CB86" s="68" vm="17286">
        <f>CUBEVALUE(ConnectionString,ReportMonth,Table1[[#This Row],[Site ID (from DATIM)]],"[Measures].[MMS_90_179_M_A]")</f>
        <v>37</v>
      </c>
      <c r="CC86" s="68" t="str" vm="17701">
        <f>CUBEVALUE(ConnectionString,ReportMonth,Table1[[#This Row],[Site ID (from DATIM)]],"[Measures].[MMS_180+_F_P]")</f>
        <v/>
      </c>
      <c r="CD86" s="68" t="str" vm="16312">
        <f>CUBEVALUE(ConnectionString,ReportMonth,Table1[[#This Row],[Site ID (from DATIM)]],"[Measures].[MMS_180+_M_P]")</f>
        <v/>
      </c>
      <c r="CE86" s="68" t="str" vm="17183">
        <f>CUBEVALUE(ConnectionString,ReportMonth,Table1[[#This Row],[Site ID (from DATIM)]],"[Measures].[MMS_180+_F_A]")</f>
        <v/>
      </c>
      <c r="CF86" s="68" t="str" vm="15361">
        <f>CUBEVALUE(ConnectionString,ReportMonth,Table1[[#This Row],[Site ID (from DATIM)]],"[Measures].[MMS_180+_M_A]")</f>
        <v/>
      </c>
      <c r="CG86" s="68" vm="4795">
        <f>CUBEVALUE(ConnectionString,ReportMonth,Table1[[#This Row],[Site ID (from DATIM)]],"[Measures].[MISSEDAPP]")</f>
        <v>65</v>
      </c>
      <c r="CH86" s="68" t="str" vm="11219">
        <f>CUBEVALUE(ConnectionString,ReportMonth,Table1[[#This Row],[Site ID (from DATIM)]],"[Measures].[MMS_180+_P]")</f>
        <v/>
      </c>
      <c r="CI86" s="68" t="str" vm="12104">
        <f>CUBEVALUE(ConnectionString,ReportMonth,Table1[[#This Row],[Site ID (from DATIM)]],"[Measures].[MMS_180+_A]")</f>
        <v/>
      </c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</row>
    <row r="87" spans="1:107" x14ac:dyDescent="0.25">
      <c r="A87" s="66">
        <v>4</v>
      </c>
      <c r="B87" s="67" t="str" vm="4">
        <f t="shared" si="2"/>
        <v>Mar-2021</v>
      </c>
      <c r="C87" s="67"/>
      <c r="D87" s="67" t="s">
        <v>232</v>
      </c>
      <c r="E87" s="67" t="s">
        <v>233</v>
      </c>
      <c r="F87" s="67" t="s">
        <v>437</v>
      </c>
      <c r="G87" s="67"/>
      <c r="H87" s="67" t="s">
        <v>488</v>
      </c>
      <c r="I87" s="67" t="s">
        <v>534</v>
      </c>
      <c r="J87" s="67" t="s">
        <v>535</v>
      </c>
      <c r="K87" s="67" t="s">
        <v>536</v>
      </c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 t="str" vm="4361">
        <f>CUBEVALUE(ConnectionString,ReportMonth,Table1[[#This Row],[Site ID (from DATIM)]],"TX_NEW_2VIS")</f>
        <v/>
      </c>
      <c r="AE87" s="67" t="str" vm="570">
        <f>CUBEVALUE(ConnectionString,ReportMonth,Table1[[#This Row],[Site ID (from DATIM)]],INDEX(SDI_Measures,1))</f>
        <v/>
      </c>
      <c r="AF87" s="67" t="str" vm="2061">
        <f>CUBEVALUE(ConnectionString,ReportMonth,Table1[[#This Row],[Site ID (from DATIM)]],INDEX(SDI_Measures,2))</f>
        <v/>
      </c>
      <c r="AG87" s="67" t="str" vm="711">
        <f>CUBEVALUE(ConnectionString,ReportMonth,Table1[[#This Row],[Site ID (from DATIM)]],INDEX(SDI_Measures,3))</f>
        <v/>
      </c>
      <c r="AH87" s="67" t="str" vm="2053">
        <f>CUBEVALUE(ConnectionString,ReportMonth,Table1[[#This Row],[Site ID (from DATIM)]],"TX_CURR_PRIOR_MONTH")</f>
        <v/>
      </c>
      <c r="AI87" s="67" t="str" vm="2084">
        <f>CUBEVALUE(ConnectionString,ReportMonth,Table1[[#This Row],[Site ID (from DATIM)]],"TX_CURR")</f>
        <v/>
      </c>
      <c r="AJ87" s="67" t="str" vm="1989">
        <f>CUBEVALUE(ConnectionString,ReportMonth,Table1[[#This Row],[Site ID (from DATIM)]],"[Measures].[TI]")</f>
        <v/>
      </c>
      <c r="AK87" s="67" t="str" vm="1081">
        <f>CUBEVALUE(ConnectionString,ReportMonth,Table1[[#This Row],[Site ID (from DATIM)]],"[Measures].[TO]")</f>
        <v/>
      </c>
      <c r="AL87" s="67" t="str" vm="3484">
        <f>CUBEVALUE(ConnectionString,ReportMonth,Table1[[#This Row],[Site ID (from DATIM)]],"[Measures].[DIED]")</f>
        <v/>
      </c>
      <c r="AM87" s="67" t="str" vm="3436">
        <f>CUBEVALUE(ConnectionString,ReportMonth,Table1[[#This Row],[Site ID (from DATIM)]],"[Measures].[MMS_01_31]")</f>
        <v/>
      </c>
      <c r="AN87" s="67" t="str" vm="5878">
        <f>CUBEVALUE(ConnectionString,ReportMonth,Table1[[#This Row],[Site ID (from DATIM)]],"[Measures].[MMS_32_62]")</f>
        <v/>
      </c>
      <c r="AO87" s="67" t="str" vm="4929">
        <f>CUBEVALUE(ConnectionString,ReportMonth,Table1[[#This Row],[Site ID (from DATIM)]],"[Measures].[MMS_63+]")</f>
        <v/>
      </c>
      <c r="AP87" s="67" t="str" vm="6249">
        <f>CUBEVALUE(ConnectionString,ReportMonth,Table1[[#This Row],[Site ID (from DATIM)]],"[Measures].[TBPREV_D]")</f>
        <v/>
      </c>
      <c r="AQ87" s="67" t="str" vm="9459">
        <f>CUBEVALUE(ConnectionString,ReportMonth,Table1[[#This Row],[Site ID (from DATIM)]],"[Measures].[TBPREV_N]")</f>
        <v/>
      </c>
      <c r="AR87" s="67" t="str" vm="7321">
        <f>CUBEVALUE(ConnectionString,ReportMonth,Table1[[#This Row],[Site ID (from DATIM)]],"[Measures].[TBPREV_NEW]")</f>
        <v/>
      </c>
      <c r="AS87" s="67" t="str" vm="4792">
        <f>CUBEVALUE(ConnectionString,ReportMonth,Table1[[#This Row],[Site ID (from DATIM)]],"[Measures].[HVL_ELIG_P]")</f>
        <v/>
      </c>
      <c r="AT87" s="67" t="str" vm="10793">
        <f>CUBEVALUE(ConnectionString,ReportMonth,Table1[[#This Row],[Site ID (from DATIM)]],"[Measures].[HVL_D_P]")</f>
        <v/>
      </c>
      <c r="AU87" s="67" t="str" vm="8570">
        <f>CUBEVALUE(ConnectionString,ReportMonth,Table1[[#This Row],[Site ID (from DATIM)]],"[Measures].[HVL_N_P]")</f>
        <v/>
      </c>
      <c r="AV87" s="68" t="str" vm="9921">
        <f>CUBEVALUE(ConnectionString,ReportMonth,Table1[[#This Row],[Site ID (from DATIM)]],"[Measures].[HVL_ELIG_A]")</f>
        <v/>
      </c>
      <c r="AW87" s="68" t="str" vm="8083">
        <f>CUBEVALUE(ConnectionString,ReportMonth,Table1[[#This Row],[Site ID (from DATIM)]],"[Measures].[HVL_D_A]")</f>
        <v/>
      </c>
      <c r="AX87" s="68" t="str" vm="6839">
        <f>CUBEVALUE(ConnectionString,ReportMonth,Table1[[#This Row],[Site ID (from DATIM)]],"[Measures].[HVL_N_A]")</f>
        <v/>
      </c>
      <c r="AY87" s="67"/>
      <c r="AZ87" s="67"/>
      <c r="BA87" s="67"/>
      <c r="BB87" s="67"/>
      <c r="BC87" s="67"/>
      <c r="BD87" s="67"/>
      <c r="BE87" s="67"/>
      <c r="BF87" s="67"/>
      <c r="BG87" s="67" t="str" vm="11007">
        <f>CUBEVALUE(ConnectionString,ReportMonth,Table1[[#This Row],[Site ID (from DATIM)]],"[Measures].[TX_NEW_F_A]")</f>
        <v/>
      </c>
      <c r="BH87" s="67" t="str" vm="12399">
        <f>CUBEVALUE(ConnectionString,ReportMonth,Table1[[#This Row],[Site ID (from DATIM)]],"[Measures].[TX_NEW_M_A]")</f>
        <v/>
      </c>
      <c r="BI87" s="67" t="str" vm="17444">
        <f>CUBEVALUE(ConnectionString,ReportMonth,Table1[[#This Row],[Site ID (from DATIM)]],"[Measures].[TX_NEW_F_P]")</f>
        <v/>
      </c>
      <c r="BJ87" s="68" t="str" vm="15294">
        <f>CUBEVALUE(ConnectionString,ReportMonth,Table1[[#This Row],[Site ID (from DATIM)]],"[Measures].[TX_NEW_M_P]")</f>
        <v/>
      </c>
      <c r="BK87" s="68"/>
      <c r="BL87" s="68"/>
      <c r="BM87" s="68"/>
      <c r="BN87" s="68"/>
      <c r="BO87" s="68"/>
      <c r="BP87" s="68"/>
      <c r="BQ87" s="68" t="str" vm="8013">
        <f>CUBEVALUE(ConnectionString,ReportMonth,Table1[[#This Row],[Site ID (from DATIM)]],"[Measures].[TX_CURR_F_P]")</f>
        <v/>
      </c>
      <c r="BR87" s="68" t="str" vm="9504">
        <f>CUBEVALUE(ConnectionString,ReportMonth,Table1[[#This Row],[Site ID (from DATIM)]],"[Measures].[TX_CURR_M_P]")</f>
        <v/>
      </c>
      <c r="BS87" s="68" t="str" vm="9639">
        <f>CUBEVALUE(ConnectionString,ReportMonth,Table1[[#This Row],[Site ID (from DATIM)]],"[Measures].[TX_CURR_F_A]")</f>
        <v/>
      </c>
      <c r="BT87" s="68" t="str" vm="11879">
        <f>CUBEVALUE(ConnectionString,ReportMonth,Table1[[#This Row],[Site ID (from DATIM)]],"[Measures].[TX_CURR_M_A]")</f>
        <v/>
      </c>
      <c r="BU87" s="68" t="str" vm="20127">
        <f>CUBEVALUE(ConnectionString,ReportMonth,Table1[[#This Row],[Site ID (from DATIM)]],"[Measures].[MMS_01_89_F_P]")</f>
        <v/>
      </c>
      <c r="BV87" s="68" t="str" vm="18668">
        <f>CUBEVALUE(ConnectionString,ReportMonth,Table1[[#This Row],[Site ID (from DATIM)]],"[Measures].[MMS_01_89_M_P]")</f>
        <v/>
      </c>
      <c r="BW87" s="68" t="str" vm="18973">
        <f>CUBEVALUE(ConnectionString,ReportMonth,Table1[[#This Row],[Site ID (from DATIM)]],"[Measures].[MMS_01_89_F_A]")</f>
        <v/>
      </c>
      <c r="BX87" s="68" t="str" vm="19560">
        <f>CUBEVALUE(ConnectionString,ReportMonth,Table1[[#This Row],[Site ID (from DATIM)]],"[Measures].[MMS_01_89_M_A]")</f>
        <v/>
      </c>
      <c r="BY87" s="68" t="str" vm="19649">
        <f>CUBEVALUE(ConnectionString,ReportMonth,Table1[[#This Row],[Site ID (from DATIM)]],"[Measures].[MMS_90_179_F_P]")</f>
        <v/>
      </c>
      <c r="BZ87" s="68" t="str" vm="17903">
        <f>CUBEVALUE(ConnectionString,ReportMonth,Table1[[#This Row],[Site ID (from DATIM)]],"[Measures].[MMS_90_179_M_P]")</f>
        <v/>
      </c>
      <c r="CA87" s="68" t="str" vm="17798">
        <f>CUBEVALUE(ConnectionString,ReportMonth,Table1[[#This Row],[Site ID (from DATIM)]],"[Measures].[MMS_90_179_F_A]")</f>
        <v/>
      </c>
      <c r="CB87" s="68" t="str" vm="15977">
        <f>CUBEVALUE(ConnectionString,ReportMonth,Table1[[#This Row],[Site ID (from DATIM)]],"[Measures].[MMS_90_179_M_A]")</f>
        <v/>
      </c>
      <c r="CC87" s="68" t="str" vm="14612">
        <f>CUBEVALUE(ConnectionString,ReportMonth,Table1[[#This Row],[Site ID (from DATIM)]],"[Measures].[MMS_180+_F_P]")</f>
        <v/>
      </c>
      <c r="CD87" s="68" t="str" vm="17648">
        <f>CUBEVALUE(ConnectionString,ReportMonth,Table1[[#This Row],[Site ID (from DATIM)]],"[Measures].[MMS_180+_M_P]")</f>
        <v/>
      </c>
      <c r="CE87" s="68" t="str" vm="17554">
        <f>CUBEVALUE(ConnectionString,ReportMonth,Table1[[#This Row],[Site ID (from DATIM)]],"[Measures].[MMS_180+_F_A]")</f>
        <v/>
      </c>
      <c r="CF87" s="68" t="str" vm="20199">
        <f>CUBEVALUE(ConnectionString,ReportMonth,Table1[[#This Row],[Site ID (from DATIM)]],"[Measures].[MMS_180+_M_A]")</f>
        <v/>
      </c>
      <c r="CG87" s="68" t="str" vm="7471">
        <f>CUBEVALUE(ConnectionString,ReportMonth,Table1[[#This Row],[Site ID (from DATIM)]],"[Measures].[MISSEDAPP]")</f>
        <v/>
      </c>
      <c r="CH87" s="68" t="str" vm="11951">
        <f>CUBEVALUE(ConnectionString,ReportMonth,Table1[[#This Row],[Site ID (from DATIM)]],"[Measures].[MMS_180+_P]")</f>
        <v/>
      </c>
      <c r="CI87" s="68" t="str" vm="12430">
        <f>CUBEVALUE(ConnectionString,ReportMonth,Table1[[#This Row],[Site ID (from DATIM)]],"[Measures].[MMS_180+_A]")</f>
        <v/>
      </c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</row>
    <row r="88" spans="1:107" x14ac:dyDescent="0.25">
      <c r="A88" s="66">
        <v>4</v>
      </c>
      <c r="B88" s="67" t="str" vm="4">
        <f t="shared" si="2"/>
        <v>Mar-2021</v>
      </c>
      <c r="C88" s="67"/>
      <c r="D88" s="67" t="s">
        <v>232</v>
      </c>
      <c r="E88" s="67" t="s">
        <v>233</v>
      </c>
      <c r="F88" s="67" t="s">
        <v>437</v>
      </c>
      <c r="G88" s="67"/>
      <c r="H88" s="67" t="s">
        <v>488</v>
      </c>
      <c r="I88" s="67" t="s">
        <v>537</v>
      </c>
      <c r="J88" s="67" t="s">
        <v>538</v>
      </c>
      <c r="K88" s="67" t="s">
        <v>539</v>
      </c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 vm="1752">
        <f>CUBEVALUE(ConnectionString,ReportMonth,Table1[[#This Row],[Site ID (from DATIM)]],"TX_NEW_2VIS")</f>
        <v>7</v>
      </c>
      <c r="AE88" s="67" vm="2184">
        <f>CUBEVALUE(ConnectionString,ReportMonth,Table1[[#This Row],[Site ID (from DATIM)]],INDEX(SDI_Measures,1))</f>
        <v>7</v>
      </c>
      <c r="AF88" s="67" t="str" vm="1475">
        <f>CUBEVALUE(ConnectionString,ReportMonth,Table1[[#This Row],[Site ID (from DATIM)]],INDEX(SDI_Measures,2))</f>
        <v/>
      </c>
      <c r="AG88" s="67" t="str" vm="461">
        <f>CUBEVALUE(ConnectionString,ReportMonth,Table1[[#This Row],[Site ID (from DATIM)]],INDEX(SDI_Measures,3))</f>
        <v/>
      </c>
      <c r="AH88" s="67" vm="1974">
        <f>CUBEVALUE(ConnectionString,ReportMonth,Table1[[#This Row],[Site ID (from DATIM)]],"TX_CURR_PRIOR_MONTH")</f>
        <v>318</v>
      </c>
      <c r="AI88" s="67" vm="3415">
        <f>CUBEVALUE(ConnectionString,ReportMonth,Table1[[#This Row],[Site ID (from DATIM)]],"TX_CURR")</f>
        <v>325</v>
      </c>
      <c r="AJ88" s="67" t="str" vm="2621">
        <f>CUBEVALUE(ConnectionString,ReportMonth,Table1[[#This Row],[Site ID (from DATIM)]],"[Measures].[TI]")</f>
        <v/>
      </c>
      <c r="AK88" s="67" vm="514">
        <f>CUBEVALUE(ConnectionString,ReportMonth,Table1[[#This Row],[Site ID (from DATIM)]],"[Measures].[TO]")</f>
        <v>1</v>
      </c>
      <c r="AL88" s="67" t="str" vm="2367">
        <f>CUBEVALUE(ConnectionString,ReportMonth,Table1[[#This Row],[Site ID (from DATIM)]],"[Measures].[DIED]")</f>
        <v/>
      </c>
      <c r="AM88" s="67" vm="4224">
        <f>CUBEVALUE(ConnectionString,ReportMonth,Table1[[#This Row],[Site ID (from DATIM)]],"[Measures].[MMS_01_31]")</f>
        <v>81</v>
      </c>
      <c r="AN88" s="67" vm="7166">
        <f>CUBEVALUE(ConnectionString,ReportMonth,Table1[[#This Row],[Site ID (from DATIM)]],"[Measures].[MMS_32_62]")</f>
        <v>44</v>
      </c>
      <c r="AO88" s="67" vm="11446">
        <f>CUBEVALUE(ConnectionString,ReportMonth,Table1[[#This Row],[Site ID (from DATIM)]],"[Measures].[MMS_63+]")</f>
        <v>200</v>
      </c>
      <c r="AP88" s="67" vm="5591">
        <f>CUBEVALUE(ConnectionString,ReportMonth,Table1[[#This Row],[Site ID (from DATIM)]],"[Measures].[TBPREV_D]")</f>
        <v>22</v>
      </c>
      <c r="AQ88" s="67" vm="4772">
        <f>CUBEVALUE(ConnectionString,ReportMonth,Table1[[#This Row],[Site ID (from DATIM)]],"[Measures].[TBPREV_N]")</f>
        <v>20</v>
      </c>
      <c r="AR88" s="67" vm="7573">
        <f>CUBEVALUE(ConnectionString,ReportMonth,Table1[[#This Row],[Site ID (from DATIM)]],"[Measures].[TBPREV_NEW]")</f>
        <v>8</v>
      </c>
      <c r="AS88" s="67" vm="7082">
        <f>CUBEVALUE(ConnectionString,ReportMonth,Table1[[#This Row],[Site ID (from DATIM)]],"[Measures].[HVL_ELIG_P]")</f>
        <v>14</v>
      </c>
      <c r="AT88" s="67" vm="8902">
        <f>CUBEVALUE(ConnectionString,ReportMonth,Table1[[#This Row],[Site ID (from DATIM)]],"[Measures].[HVL_D_P]")</f>
        <v>13</v>
      </c>
      <c r="AU88" s="67" vm="12826">
        <f>CUBEVALUE(ConnectionString,ReportMonth,Table1[[#This Row],[Site ID (from DATIM)]],"[Measures].[HVL_N_P]")</f>
        <v>12</v>
      </c>
      <c r="AV88" s="68" vm="6354">
        <f>CUBEVALUE(ConnectionString,ReportMonth,Table1[[#This Row],[Site ID (from DATIM)]],"[Measures].[HVL_ELIG_A]")</f>
        <v>238</v>
      </c>
      <c r="AW88" s="68" vm="12629">
        <f>CUBEVALUE(ConnectionString,ReportMonth,Table1[[#This Row],[Site ID (from DATIM)]],"[Measures].[HVL_D_A]")</f>
        <v>196</v>
      </c>
      <c r="AX88" s="68" vm="9455">
        <f>CUBEVALUE(ConnectionString,ReportMonth,Table1[[#This Row],[Site ID (from DATIM)]],"[Measures].[HVL_N_A]")</f>
        <v>176</v>
      </c>
      <c r="AY88" s="67"/>
      <c r="AZ88" s="67"/>
      <c r="BA88" s="67"/>
      <c r="BB88" s="67"/>
      <c r="BC88" s="67"/>
      <c r="BD88" s="67"/>
      <c r="BE88" s="67"/>
      <c r="BF88" s="67"/>
      <c r="BG88" s="67" vm="10916">
        <f>CUBEVALUE(ConnectionString,ReportMonth,Table1[[#This Row],[Site ID (from DATIM)]],"[Measures].[TX_NEW_F_A]")</f>
        <v>5</v>
      </c>
      <c r="BH88" s="67" vm="12175">
        <f>CUBEVALUE(ConnectionString,ReportMonth,Table1[[#This Row],[Site ID (from DATIM)]],"[Measures].[TX_NEW_M_A]")</f>
        <v>2</v>
      </c>
      <c r="BI88" s="67" t="str" vm="14376">
        <f>CUBEVALUE(ConnectionString,ReportMonth,Table1[[#This Row],[Site ID (from DATIM)]],"[Measures].[TX_NEW_F_P]")</f>
        <v/>
      </c>
      <c r="BJ88" s="68" t="str" vm="15261">
        <f>CUBEVALUE(ConnectionString,ReportMonth,Table1[[#This Row],[Site ID (from DATIM)]],"[Measures].[TX_NEW_M_P]")</f>
        <v/>
      </c>
      <c r="BK88" s="68"/>
      <c r="BL88" s="68"/>
      <c r="BM88" s="68"/>
      <c r="BN88" s="68"/>
      <c r="BO88" s="68"/>
      <c r="BP88" s="68"/>
      <c r="BQ88" s="68" vm="11612">
        <f>CUBEVALUE(ConnectionString,ReportMonth,Table1[[#This Row],[Site ID (from DATIM)]],"[Measures].[TX_CURR_F_P]")</f>
        <v>3</v>
      </c>
      <c r="BR88" s="68" vm="9290">
        <f>CUBEVALUE(ConnectionString,ReportMonth,Table1[[#This Row],[Site ID (from DATIM)]],"[Measures].[TX_CURR_M_P]")</f>
        <v>13</v>
      </c>
      <c r="BS88" s="68" vm="13669">
        <f>CUBEVALUE(ConnectionString,ReportMonth,Table1[[#This Row],[Site ID (from DATIM)]],"[Measures].[TX_CURR_F_A]")</f>
        <v>221</v>
      </c>
      <c r="BT88" s="68" vm="12428">
        <f>CUBEVALUE(ConnectionString,ReportMonth,Table1[[#This Row],[Site ID (from DATIM)]],"[Measures].[TX_CURR_M_A]")</f>
        <v>88</v>
      </c>
      <c r="BU88" s="68" vm="18651">
        <f>CUBEVALUE(ConnectionString,ReportMonth,Table1[[#This Row],[Site ID (from DATIM)]],"[Measures].[MMS_01_89_F_P]")</f>
        <v>1</v>
      </c>
      <c r="BV88" s="68" vm="16983">
        <f>CUBEVALUE(ConnectionString,ReportMonth,Table1[[#This Row],[Site ID (from DATIM)]],"[Measures].[MMS_01_89_M_P]")</f>
        <v>3</v>
      </c>
      <c r="BW88" s="68" vm="16532">
        <f>CUBEVALUE(ConnectionString,ReportMonth,Table1[[#This Row],[Site ID (from DATIM)]],"[Measures].[MMS_01_89_F_A]")</f>
        <v>75</v>
      </c>
      <c r="BX88" s="68" vm="19603">
        <f>CUBEVALUE(ConnectionString,ReportMonth,Table1[[#This Row],[Site ID (from DATIM)]],"[Measures].[MMS_01_89_M_A]")</f>
        <v>47</v>
      </c>
      <c r="BY88" s="68" vm="19414">
        <f>CUBEVALUE(ConnectionString,ReportMonth,Table1[[#This Row],[Site ID (from DATIM)]],"[Measures].[MMS_90_179_F_P]")</f>
        <v>2</v>
      </c>
      <c r="BZ88" s="68" vm="17944">
        <f>CUBEVALUE(ConnectionString,ReportMonth,Table1[[#This Row],[Site ID (from DATIM)]],"[Measures].[MMS_90_179_M_P]")</f>
        <v>10</v>
      </c>
      <c r="CA88" s="68" vm="16533">
        <f>CUBEVALUE(ConnectionString,ReportMonth,Table1[[#This Row],[Site ID (from DATIM)]],"[Measures].[MMS_90_179_F_A]")</f>
        <v>146</v>
      </c>
      <c r="CB88" s="68" vm="16877">
        <f>CUBEVALUE(ConnectionString,ReportMonth,Table1[[#This Row],[Site ID (from DATIM)]],"[Measures].[MMS_90_179_M_A]")</f>
        <v>41</v>
      </c>
      <c r="CC88" s="68" t="str" vm="15583">
        <f>CUBEVALUE(ConnectionString,ReportMonth,Table1[[#This Row],[Site ID (from DATIM)]],"[Measures].[MMS_180+_F_P]")</f>
        <v/>
      </c>
      <c r="CD88" s="68" t="str" vm="14933">
        <f>CUBEVALUE(ConnectionString,ReportMonth,Table1[[#This Row],[Site ID (from DATIM)]],"[Measures].[MMS_180+_M_P]")</f>
        <v/>
      </c>
      <c r="CE88" s="68" t="str" vm="16331">
        <f>CUBEVALUE(ConnectionString,ReportMonth,Table1[[#This Row],[Site ID (from DATIM)]],"[Measures].[MMS_180+_F_A]")</f>
        <v/>
      </c>
      <c r="CF88" s="68" t="str" vm="15733">
        <f>CUBEVALUE(ConnectionString,ReportMonth,Table1[[#This Row],[Site ID (from DATIM)]],"[Measures].[MMS_180+_M_A]")</f>
        <v/>
      </c>
      <c r="CG88" s="68" vm="4729">
        <f>CUBEVALUE(ConnectionString,ReportMonth,Table1[[#This Row],[Site ID (from DATIM)]],"[Measures].[MISSEDAPP]")</f>
        <v>49</v>
      </c>
      <c r="CH88" s="68" t="str" vm="13398">
        <f>CUBEVALUE(ConnectionString,ReportMonth,Table1[[#This Row],[Site ID (from DATIM)]],"[Measures].[MMS_180+_P]")</f>
        <v/>
      </c>
      <c r="CI88" s="68" t="str" vm="11706">
        <f>CUBEVALUE(ConnectionString,ReportMonth,Table1[[#This Row],[Site ID (from DATIM)]],"[Measures].[MMS_180+_A]")</f>
        <v/>
      </c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</row>
    <row r="89" spans="1:107" x14ac:dyDescent="0.25">
      <c r="A89" s="66">
        <v>4</v>
      </c>
      <c r="B89" s="67" t="str" vm="4">
        <f t="shared" si="2"/>
        <v>Mar-2021</v>
      </c>
      <c r="C89" s="67"/>
      <c r="D89" s="67" t="s">
        <v>232</v>
      </c>
      <c r="E89" s="67" t="s">
        <v>233</v>
      </c>
      <c r="F89" s="67" t="s">
        <v>437</v>
      </c>
      <c r="G89" s="67"/>
      <c r="H89" s="67" t="s">
        <v>461</v>
      </c>
      <c r="I89" s="67" t="s">
        <v>540</v>
      </c>
      <c r="J89" s="67" t="s">
        <v>541</v>
      </c>
      <c r="K89" s="67" t="s">
        <v>542</v>
      </c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 t="str" vm="1544">
        <f>CUBEVALUE(ConnectionString,ReportMonth,Table1[[#This Row],[Site ID (from DATIM)]],"TX_NEW_2VIS")</f>
        <v/>
      </c>
      <c r="AE89" s="67" t="str" vm="3242">
        <f>CUBEVALUE(ConnectionString,ReportMonth,Table1[[#This Row],[Site ID (from DATIM)]],INDEX(SDI_Measures,1))</f>
        <v/>
      </c>
      <c r="AF89" s="67" t="str" vm="747">
        <f>CUBEVALUE(ConnectionString,ReportMonth,Table1[[#This Row],[Site ID (from DATIM)]],INDEX(SDI_Measures,2))</f>
        <v/>
      </c>
      <c r="AG89" s="67" t="str" vm="376">
        <f>CUBEVALUE(ConnectionString,ReportMonth,Table1[[#This Row],[Site ID (from DATIM)]],INDEX(SDI_Measures,3))</f>
        <v/>
      </c>
      <c r="AH89" s="67" vm="847">
        <f>CUBEVALUE(ConnectionString,ReportMonth,Table1[[#This Row],[Site ID (from DATIM)]],"TX_CURR_PRIOR_MONTH")</f>
        <v>70</v>
      </c>
      <c r="AI89" s="67" vm="335">
        <f>CUBEVALUE(ConnectionString,ReportMonth,Table1[[#This Row],[Site ID (from DATIM)]],"TX_CURR")</f>
        <v>69</v>
      </c>
      <c r="AJ89" s="67" t="str" vm="3347">
        <f>CUBEVALUE(ConnectionString,ReportMonth,Table1[[#This Row],[Site ID (from DATIM)]],"[Measures].[TI]")</f>
        <v/>
      </c>
      <c r="AK89" s="67" t="str" vm="3210">
        <f>CUBEVALUE(ConnectionString,ReportMonth,Table1[[#This Row],[Site ID (from DATIM)]],"[Measures].[TO]")</f>
        <v/>
      </c>
      <c r="AL89" s="67" t="str" vm="5966">
        <f>CUBEVALUE(ConnectionString,ReportMonth,Table1[[#This Row],[Site ID (from DATIM)]],"[Measures].[DIED]")</f>
        <v/>
      </c>
      <c r="AM89" s="67" vm="3672">
        <f>CUBEVALUE(ConnectionString,ReportMonth,Table1[[#This Row],[Site ID (from DATIM)]],"[Measures].[MMS_01_31]")</f>
        <v>7</v>
      </c>
      <c r="AN89" s="67" vm="5301">
        <f>CUBEVALUE(ConnectionString,ReportMonth,Table1[[#This Row],[Site ID (from DATIM)]],"[Measures].[MMS_32_62]")</f>
        <v>5</v>
      </c>
      <c r="AO89" s="67" vm="8419">
        <f>CUBEVALUE(ConnectionString,ReportMonth,Table1[[#This Row],[Site ID (from DATIM)]],"[Measures].[MMS_63+]")</f>
        <v>57</v>
      </c>
      <c r="AP89" s="67" vm="6015">
        <f>CUBEVALUE(ConnectionString,ReportMonth,Table1[[#This Row],[Site ID (from DATIM)]],"[Measures].[TBPREV_D]")</f>
        <v>2</v>
      </c>
      <c r="AQ89" s="67" vm="9100">
        <f>CUBEVALUE(ConnectionString,ReportMonth,Table1[[#This Row],[Site ID (from DATIM)]],"[Measures].[TBPREV_N]")</f>
        <v>1</v>
      </c>
      <c r="AR89" s="67" t="str" vm="11529">
        <f>CUBEVALUE(ConnectionString,ReportMonth,Table1[[#This Row],[Site ID (from DATIM)]],"[Measures].[TBPREV_NEW]")</f>
        <v/>
      </c>
      <c r="AS89" s="67" vm="8321">
        <f>CUBEVALUE(ConnectionString,ReportMonth,Table1[[#This Row],[Site ID (from DATIM)]],"[Measures].[HVL_ELIG_P]")</f>
        <v>3</v>
      </c>
      <c r="AT89" s="67" vm="6314">
        <f>CUBEVALUE(ConnectionString,ReportMonth,Table1[[#This Row],[Site ID (from DATIM)]],"[Measures].[HVL_D_P]")</f>
        <v>4</v>
      </c>
      <c r="AU89" s="67" vm="11792">
        <f>CUBEVALUE(ConnectionString,ReportMonth,Table1[[#This Row],[Site ID (from DATIM)]],"[Measures].[HVL_N_P]")</f>
        <v>3</v>
      </c>
      <c r="AV89" s="68" vm="9135">
        <f>CUBEVALUE(ConnectionString,ReportMonth,Table1[[#This Row],[Site ID (from DATIM)]],"[Measures].[HVL_ELIG_A]")</f>
        <v>60</v>
      </c>
      <c r="AW89" s="68" vm="8859">
        <f>CUBEVALUE(ConnectionString,ReportMonth,Table1[[#This Row],[Site ID (from DATIM)]],"[Measures].[HVL_D_A]")</f>
        <v>39</v>
      </c>
      <c r="AX89" s="68" vm="8433">
        <f>CUBEVALUE(ConnectionString,ReportMonth,Table1[[#This Row],[Site ID (from DATIM)]],"[Measures].[HVL_N_A]")</f>
        <v>38</v>
      </c>
      <c r="AY89" s="67"/>
      <c r="AZ89" s="67"/>
      <c r="BA89" s="67"/>
      <c r="BB89" s="67"/>
      <c r="BC89" s="67"/>
      <c r="BD89" s="67"/>
      <c r="BE89" s="67"/>
      <c r="BF89" s="67"/>
      <c r="BG89" s="67" t="str" vm="12443">
        <f>CUBEVALUE(ConnectionString,ReportMonth,Table1[[#This Row],[Site ID (from DATIM)]],"[Measures].[TX_NEW_F_A]")</f>
        <v/>
      </c>
      <c r="BH89" s="67" t="str" vm="12760">
        <f>CUBEVALUE(ConnectionString,ReportMonth,Table1[[#This Row],[Site ID (from DATIM)]],"[Measures].[TX_NEW_M_A]")</f>
        <v/>
      </c>
      <c r="BI89" s="67" t="str" vm="15660">
        <f>CUBEVALUE(ConnectionString,ReportMonth,Table1[[#This Row],[Site ID (from DATIM)]],"[Measures].[TX_NEW_F_P]")</f>
        <v/>
      </c>
      <c r="BJ89" s="68" t="str" vm="15333">
        <f>CUBEVALUE(ConnectionString,ReportMonth,Table1[[#This Row],[Site ID (from DATIM)]],"[Measures].[TX_NEW_M_P]")</f>
        <v/>
      </c>
      <c r="BK89" s="68"/>
      <c r="BL89" s="68"/>
      <c r="BM89" s="68"/>
      <c r="BN89" s="68"/>
      <c r="BO89" s="68"/>
      <c r="BP89" s="68"/>
      <c r="BQ89" s="68" vm="10571">
        <f>CUBEVALUE(ConnectionString,ReportMonth,Table1[[#This Row],[Site ID (from DATIM)]],"[Measures].[TX_CURR_F_P]")</f>
        <v>2</v>
      </c>
      <c r="BR89" s="68" vm="8574">
        <f>CUBEVALUE(ConnectionString,ReportMonth,Table1[[#This Row],[Site ID (from DATIM)]],"[Measures].[TX_CURR_M_P]")</f>
        <v>1</v>
      </c>
      <c r="BS89" s="68" vm="9361">
        <f>CUBEVALUE(ConnectionString,ReportMonth,Table1[[#This Row],[Site ID (from DATIM)]],"[Measures].[TX_CURR_F_A]")</f>
        <v>44</v>
      </c>
      <c r="BT89" s="68" vm="10715">
        <f>CUBEVALUE(ConnectionString,ReportMonth,Table1[[#This Row],[Site ID (from DATIM)]],"[Measures].[TX_CURR_M_A]")</f>
        <v>22</v>
      </c>
      <c r="BU89" s="68" vm="19541">
        <f>CUBEVALUE(ConnectionString,ReportMonth,Table1[[#This Row],[Site ID (from DATIM)]],"[Measures].[MMS_01_89_F_P]")</f>
        <v>1</v>
      </c>
      <c r="BV89" s="68" t="str" vm="20030">
        <f>CUBEVALUE(ConnectionString,ReportMonth,Table1[[#This Row],[Site ID (from DATIM)]],"[Measures].[MMS_01_89_M_P]")</f>
        <v/>
      </c>
      <c r="BW89" s="68" vm="20039">
        <f>CUBEVALUE(ConnectionString,ReportMonth,Table1[[#This Row],[Site ID (from DATIM)]],"[Measures].[MMS_01_89_F_A]")</f>
        <v>6</v>
      </c>
      <c r="BX89" s="68" vm="19110">
        <f>CUBEVALUE(ConnectionString,ReportMonth,Table1[[#This Row],[Site ID (from DATIM)]],"[Measures].[MMS_01_89_M_A]")</f>
        <v>5</v>
      </c>
      <c r="BY89" s="68" vm="19149">
        <f>CUBEVALUE(ConnectionString,ReportMonth,Table1[[#This Row],[Site ID (from DATIM)]],"[Measures].[MMS_90_179_F_P]")</f>
        <v>1</v>
      </c>
      <c r="BZ89" s="68" vm="18472">
        <f>CUBEVALUE(ConnectionString,ReportMonth,Table1[[#This Row],[Site ID (from DATIM)]],"[Measures].[MMS_90_179_M_P]")</f>
        <v>1</v>
      </c>
      <c r="CA89" s="68" vm="17760">
        <f>CUBEVALUE(ConnectionString,ReportMonth,Table1[[#This Row],[Site ID (from DATIM)]],"[Measures].[MMS_90_179_F_A]")</f>
        <v>38</v>
      </c>
      <c r="CB89" s="68" vm="15081">
        <f>CUBEVALUE(ConnectionString,ReportMonth,Table1[[#This Row],[Site ID (from DATIM)]],"[Measures].[MMS_90_179_M_A]")</f>
        <v>17</v>
      </c>
      <c r="CC89" s="68" t="str" vm="14577">
        <f>CUBEVALUE(ConnectionString,ReportMonth,Table1[[#This Row],[Site ID (from DATIM)]],"[Measures].[MMS_180+_F_P]")</f>
        <v/>
      </c>
      <c r="CD89" s="68" t="str" vm="17137">
        <f>CUBEVALUE(ConnectionString,ReportMonth,Table1[[#This Row],[Site ID (from DATIM)]],"[Measures].[MMS_180+_M_P]")</f>
        <v/>
      </c>
      <c r="CE89" s="68" t="str" vm="14906">
        <f>CUBEVALUE(ConnectionString,ReportMonth,Table1[[#This Row],[Site ID (from DATIM)]],"[Measures].[MMS_180+_F_A]")</f>
        <v/>
      </c>
      <c r="CF89" s="68" t="str" vm="41">
        <f>CUBEVALUE(ConnectionString,ReportMonth,Table1[[#This Row],[Site ID (from DATIM)]],"[Measures].[MMS_180+_M_A]")</f>
        <v/>
      </c>
      <c r="CG89" s="68" vm="4585">
        <f>CUBEVALUE(ConnectionString,ReportMonth,Table1[[#This Row],[Site ID (from DATIM)]],"[Measures].[MISSEDAPP]")</f>
        <v>9</v>
      </c>
      <c r="CH89" s="68" t="str" vm="14013">
        <f>CUBEVALUE(ConnectionString,ReportMonth,Table1[[#This Row],[Site ID (from DATIM)]],"[Measures].[MMS_180+_P]")</f>
        <v/>
      </c>
      <c r="CI89" s="68" t="str" vm="17002">
        <f>CUBEVALUE(ConnectionString,ReportMonth,Table1[[#This Row],[Site ID (from DATIM)]],"[Measures].[MMS_180+_A]")</f>
        <v/>
      </c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  <c r="CW89" s="68"/>
      <c r="CX89" s="68"/>
      <c r="CY89" s="68"/>
      <c r="CZ89" s="68"/>
      <c r="DA89" s="68"/>
      <c r="DB89" s="68"/>
      <c r="DC89" s="68"/>
    </row>
    <row r="90" spans="1:107" x14ac:dyDescent="0.25">
      <c r="A90" s="66">
        <v>4</v>
      </c>
      <c r="B90" s="67" t="str" vm="4">
        <f t="shared" si="2"/>
        <v>Mar-2021</v>
      </c>
      <c r="C90" s="67"/>
      <c r="D90" s="67" t="s">
        <v>232</v>
      </c>
      <c r="E90" s="67" t="s">
        <v>233</v>
      </c>
      <c r="F90" s="67" t="s">
        <v>1083</v>
      </c>
      <c r="G90" s="67"/>
      <c r="H90" s="67" t="s">
        <v>1095</v>
      </c>
      <c r="I90" s="67" t="s">
        <v>1154</v>
      </c>
      <c r="J90" s="67" t="s">
        <v>1155</v>
      </c>
      <c r="K90" s="67" t="s">
        <v>1156</v>
      </c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 t="str" vm="540">
        <f>CUBEVALUE(ConnectionString,ReportMonth,Table1[[#This Row],[Site ID (from DATIM)]],"TX_NEW_2VIS")</f>
        <v/>
      </c>
      <c r="AE90" s="67" t="str" vm="445">
        <f>CUBEVALUE(ConnectionString,ReportMonth,Table1[[#This Row],[Site ID (from DATIM)]],INDEX(SDI_Measures,1))</f>
        <v/>
      </c>
      <c r="AF90" s="67" t="str" vm="483">
        <f>CUBEVALUE(ConnectionString,ReportMonth,Table1[[#This Row],[Site ID (from DATIM)]],INDEX(SDI_Measures,2))</f>
        <v/>
      </c>
      <c r="AG90" s="67" t="str" vm="1949">
        <f>CUBEVALUE(ConnectionString,ReportMonth,Table1[[#This Row],[Site ID (from DATIM)]],INDEX(SDI_Measures,3))</f>
        <v/>
      </c>
      <c r="AH90" s="67" vm="1914">
        <f>CUBEVALUE(ConnectionString,ReportMonth,Table1[[#This Row],[Site ID (from DATIM)]],"TX_CURR_PRIOR_MONTH")</f>
        <v>11</v>
      </c>
      <c r="AI90" s="67" vm="4509">
        <f>CUBEVALUE(ConnectionString,ReportMonth,Table1[[#This Row],[Site ID (from DATIM)]],"TX_CURR")</f>
        <v>10</v>
      </c>
      <c r="AJ90" s="67" t="str" vm="2874">
        <f>CUBEVALUE(ConnectionString,ReportMonth,Table1[[#This Row],[Site ID (from DATIM)]],"[Measures].[TI]")</f>
        <v/>
      </c>
      <c r="AK90" s="67" t="str" vm="3903">
        <f>CUBEVALUE(ConnectionString,ReportMonth,Table1[[#This Row],[Site ID (from DATIM)]],"[Measures].[TO]")</f>
        <v/>
      </c>
      <c r="AL90" s="67" t="str" vm="3474">
        <f>CUBEVALUE(ConnectionString,ReportMonth,Table1[[#This Row],[Site ID (from DATIM)]],"[Measures].[DIED]")</f>
        <v/>
      </c>
      <c r="AM90" s="67" vm="3883">
        <f>CUBEVALUE(ConnectionString,ReportMonth,Table1[[#This Row],[Site ID (from DATIM)]],"[Measures].[MMS_01_31]")</f>
        <v>10</v>
      </c>
      <c r="AN90" s="67" t="str" vm="7598">
        <f>CUBEVALUE(ConnectionString,ReportMonth,Table1[[#This Row],[Site ID (from DATIM)]],"[Measures].[MMS_32_62]")</f>
        <v/>
      </c>
      <c r="AO90" s="67" t="str" vm="6563">
        <f>CUBEVALUE(ConnectionString,ReportMonth,Table1[[#This Row],[Site ID (from DATIM)]],"[Measures].[MMS_63+]")</f>
        <v/>
      </c>
      <c r="AP90" s="67" t="str" vm="5100">
        <f>CUBEVALUE(ConnectionString,ReportMonth,Table1[[#This Row],[Site ID (from DATIM)]],"[Measures].[TBPREV_D]")</f>
        <v/>
      </c>
      <c r="AQ90" s="67" t="str" vm="7862">
        <f>CUBEVALUE(ConnectionString,ReportMonth,Table1[[#This Row],[Site ID (from DATIM)]],"[Measures].[TBPREV_N]")</f>
        <v/>
      </c>
      <c r="AR90" s="67" t="str" vm="6749">
        <f>CUBEVALUE(ConnectionString,ReportMonth,Table1[[#This Row],[Site ID (from DATIM)]],"[Measures].[TBPREV_NEW]")</f>
        <v/>
      </c>
      <c r="AS90" s="67" t="str" vm="6406">
        <f>CUBEVALUE(ConnectionString,ReportMonth,Table1[[#This Row],[Site ID (from DATIM)]],"[Measures].[HVL_ELIG_P]")</f>
        <v/>
      </c>
      <c r="AT90" s="67" t="str" vm="7794">
        <f>CUBEVALUE(ConnectionString,ReportMonth,Table1[[#This Row],[Site ID (from DATIM)]],"[Measures].[HVL_D_P]")</f>
        <v/>
      </c>
      <c r="AU90" s="67" t="str" vm="14804">
        <f>CUBEVALUE(ConnectionString,ReportMonth,Table1[[#This Row],[Site ID (from DATIM)]],"[Measures].[HVL_N_P]")</f>
        <v/>
      </c>
      <c r="AV90" s="68" vm="7284">
        <f>CUBEVALUE(ConnectionString,ReportMonth,Table1[[#This Row],[Site ID (from DATIM)]],"[Measures].[HVL_ELIG_A]")</f>
        <v>9</v>
      </c>
      <c r="AW90" s="68" t="str" vm="9997">
        <f>CUBEVALUE(ConnectionString,ReportMonth,Table1[[#This Row],[Site ID (from DATIM)]],"[Measures].[HVL_D_A]")</f>
        <v/>
      </c>
      <c r="AX90" s="68" t="str" vm="11836">
        <f>CUBEVALUE(ConnectionString,ReportMonth,Table1[[#This Row],[Site ID (from DATIM)]],"[Measures].[HVL_N_A]")</f>
        <v/>
      </c>
      <c r="AY90" s="67"/>
      <c r="AZ90" s="67"/>
      <c r="BA90" s="67"/>
      <c r="BB90" s="67"/>
      <c r="BC90" s="67"/>
      <c r="BD90" s="67"/>
      <c r="BE90" s="67"/>
      <c r="BF90" s="67"/>
      <c r="BG90" s="67" t="str" vm="11473">
        <f>CUBEVALUE(ConnectionString,ReportMonth,Table1[[#This Row],[Site ID (from DATIM)]],"[Measures].[TX_NEW_F_A]")</f>
        <v/>
      </c>
      <c r="BH90" s="67" t="str" vm="10921">
        <f>CUBEVALUE(ConnectionString,ReportMonth,Table1[[#This Row],[Site ID (from DATIM)]],"[Measures].[TX_NEW_M_A]")</f>
        <v/>
      </c>
      <c r="BI90" s="67" t="str" vm="13192">
        <f>CUBEVALUE(ConnectionString,ReportMonth,Table1[[#This Row],[Site ID (from DATIM)]],"[Measures].[TX_NEW_F_P]")</f>
        <v/>
      </c>
      <c r="BJ90" s="68" t="str" vm="17391">
        <f>CUBEVALUE(ConnectionString,ReportMonth,Table1[[#This Row],[Site ID (from DATIM)]],"[Measures].[TX_NEW_M_P]")</f>
        <v/>
      </c>
      <c r="BK90" s="68"/>
      <c r="BL90" s="68"/>
      <c r="BM90" s="68"/>
      <c r="BN90" s="68"/>
      <c r="BO90" s="68"/>
      <c r="BP90" s="68"/>
      <c r="BQ90" s="68" t="str" vm="10588">
        <f>CUBEVALUE(ConnectionString,ReportMonth,Table1[[#This Row],[Site ID (from DATIM)]],"[Measures].[TX_CURR_F_P]")</f>
        <v/>
      </c>
      <c r="BR90" s="68" t="str" vm="10332">
        <f>CUBEVALUE(ConnectionString,ReportMonth,Table1[[#This Row],[Site ID (from DATIM)]],"[Measures].[TX_CURR_M_P]")</f>
        <v/>
      </c>
      <c r="BS90" s="68" vm="7508">
        <f>CUBEVALUE(ConnectionString,ReportMonth,Table1[[#This Row],[Site ID (from DATIM)]],"[Measures].[TX_CURR_F_A]")</f>
        <v>6</v>
      </c>
      <c r="BT90" s="68" vm="10779">
        <f>CUBEVALUE(ConnectionString,ReportMonth,Table1[[#This Row],[Site ID (from DATIM)]],"[Measures].[TX_CURR_M_A]")</f>
        <v>4</v>
      </c>
      <c r="BU90" s="68" t="str" vm="20053">
        <f>CUBEVALUE(ConnectionString,ReportMonth,Table1[[#This Row],[Site ID (from DATIM)]],"[Measures].[MMS_01_89_F_P]")</f>
        <v/>
      </c>
      <c r="BV90" s="68" t="str" vm="18419">
        <f>CUBEVALUE(ConnectionString,ReportMonth,Table1[[#This Row],[Site ID (from DATIM)]],"[Measures].[MMS_01_89_M_P]")</f>
        <v/>
      </c>
      <c r="BW90" s="68" vm="19160">
        <f>CUBEVALUE(ConnectionString,ReportMonth,Table1[[#This Row],[Site ID (from DATIM)]],"[Measures].[MMS_01_89_F_A]")</f>
        <v>6</v>
      </c>
      <c r="BX90" s="68" vm="18544">
        <f>CUBEVALUE(ConnectionString,ReportMonth,Table1[[#This Row],[Site ID (from DATIM)]],"[Measures].[MMS_01_89_M_A]")</f>
        <v>4</v>
      </c>
      <c r="BY90" s="68" t="str" vm="18504">
        <f>CUBEVALUE(ConnectionString,ReportMonth,Table1[[#This Row],[Site ID (from DATIM)]],"[Measures].[MMS_90_179_F_P]")</f>
        <v/>
      </c>
      <c r="BZ90" s="68" t="str" vm="16411">
        <f>CUBEVALUE(ConnectionString,ReportMonth,Table1[[#This Row],[Site ID (from DATIM)]],"[Measures].[MMS_90_179_M_P]")</f>
        <v/>
      </c>
      <c r="CA90" s="68" t="str" vm="17740">
        <f>CUBEVALUE(ConnectionString,ReportMonth,Table1[[#This Row],[Site ID (from DATIM)]],"[Measures].[MMS_90_179_F_A]")</f>
        <v/>
      </c>
      <c r="CB90" s="68" t="str" vm="15493">
        <f>CUBEVALUE(ConnectionString,ReportMonth,Table1[[#This Row],[Site ID (from DATIM)]],"[Measures].[MMS_90_179_M_A]")</f>
        <v/>
      </c>
      <c r="CC90" s="68" t="str" vm="17140">
        <f>CUBEVALUE(ConnectionString,ReportMonth,Table1[[#This Row],[Site ID (from DATIM)]],"[Measures].[MMS_180+_F_P]")</f>
        <v/>
      </c>
      <c r="CD90" s="68" t="str" vm="14585">
        <f>CUBEVALUE(ConnectionString,ReportMonth,Table1[[#This Row],[Site ID (from DATIM)]],"[Measures].[MMS_180+_M_P]")</f>
        <v/>
      </c>
      <c r="CE90" s="68" t="str" vm="15739">
        <f>CUBEVALUE(ConnectionString,ReportMonth,Table1[[#This Row],[Site ID (from DATIM)]],"[Measures].[MMS_180+_F_A]")</f>
        <v/>
      </c>
      <c r="CF90" s="68" t="str" vm="26">
        <f>CUBEVALUE(ConnectionString,ReportMonth,Table1[[#This Row],[Site ID (from DATIM)]],"[Measures].[MMS_180+_M_A]")</f>
        <v/>
      </c>
      <c r="CG90" s="68" vm="5559">
        <f>CUBEVALUE(ConnectionString,ReportMonth,Table1[[#This Row],[Site ID (from DATIM)]],"[Measures].[MISSEDAPP]")</f>
        <v>10</v>
      </c>
      <c r="CH90" s="68" t="str" vm="10889">
        <f>CUBEVALUE(ConnectionString,ReportMonth,Table1[[#This Row],[Site ID (from DATIM)]],"[Measures].[MMS_180+_P]")</f>
        <v/>
      </c>
      <c r="CI90" s="68" t="str" vm="13287">
        <f>CUBEVALUE(ConnectionString,ReportMonth,Table1[[#This Row],[Site ID (from DATIM)]],"[Measures].[MMS_180+_A]")</f>
        <v/>
      </c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</row>
    <row r="91" spans="1:107" x14ac:dyDescent="0.25">
      <c r="A91" s="66">
        <v>4</v>
      </c>
      <c r="B91" s="67" t="str" vm="4">
        <f t="shared" si="2"/>
        <v>Mar-2021</v>
      </c>
      <c r="C91" s="67"/>
      <c r="D91" s="67" t="s">
        <v>232</v>
      </c>
      <c r="E91" s="67" t="s">
        <v>233</v>
      </c>
      <c r="F91" s="67" t="s">
        <v>831</v>
      </c>
      <c r="G91" s="67"/>
      <c r="H91" s="67" t="s">
        <v>840</v>
      </c>
      <c r="I91" s="67" t="s">
        <v>860</v>
      </c>
      <c r="J91" s="67" t="s">
        <v>861</v>
      </c>
      <c r="K91" s="67" t="s">
        <v>862</v>
      </c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 t="str" vm="1897">
        <f>CUBEVALUE(ConnectionString,ReportMonth,Table1[[#This Row],[Site ID (from DATIM)]],"TX_NEW_2VIS")</f>
        <v/>
      </c>
      <c r="AE91" s="67" vm="590">
        <f>CUBEVALUE(ConnectionString,ReportMonth,Table1[[#This Row],[Site ID (from DATIM)]],INDEX(SDI_Measures,1))</f>
        <v>1</v>
      </c>
      <c r="AF91" s="67" t="str" vm="992">
        <f>CUBEVALUE(ConnectionString,ReportMonth,Table1[[#This Row],[Site ID (from DATIM)]],INDEX(SDI_Measures,2))</f>
        <v/>
      </c>
      <c r="AG91" s="67" t="str" vm="4248">
        <f>CUBEVALUE(ConnectionString,ReportMonth,Table1[[#This Row],[Site ID (from DATIM)]],INDEX(SDI_Measures,3))</f>
        <v/>
      </c>
      <c r="AH91" s="67" vm="3594">
        <f>CUBEVALUE(ConnectionString,ReportMonth,Table1[[#This Row],[Site ID (from DATIM)]],"TX_CURR_PRIOR_MONTH")</f>
        <v>429</v>
      </c>
      <c r="AI91" s="67" vm="1350">
        <f>CUBEVALUE(ConnectionString,ReportMonth,Table1[[#This Row],[Site ID (from DATIM)]],"TX_CURR")</f>
        <v>389</v>
      </c>
      <c r="AJ91" s="67" t="str" vm="2604">
        <f>CUBEVALUE(ConnectionString,ReportMonth,Table1[[#This Row],[Site ID (from DATIM)]],"[Measures].[TI]")</f>
        <v/>
      </c>
      <c r="AK91" s="67" t="str" vm="2681">
        <f>CUBEVALUE(ConnectionString,ReportMonth,Table1[[#This Row],[Site ID (from DATIM)]],"[Measures].[TO]")</f>
        <v/>
      </c>
      <c r="AL91" s="67" t="str" vm="3226">
        <f>CUBEVALUE(ConnectionString,ReportMonth,Table1[[#This Row],[Site ID (from DATIM)]],"[Measures].[DIED]")</f>
        <v/>
      </c>
      <c r="AM91" s="67" vm="3532">
        <f>CUBEVALUE(ConnectionString,ReportMonth,Table1[[#This Row],[Site ID (from DATIM)]],"[Measures].[MMS_01_31]")</f>
        <v>97</v>
      </c>
      <c r="AN91" s="67" vm="9479">
        <f>CUBEVALUE(ConnectionString,ReportMonth,Table1[[#This Row],[Site ID (from DATIM)]],"[Measures].[MMS_32_62]")</f>
        <v>3</v>
      </c>
      <c r="AO91" s="67" vm="7967">
        <f>CUBEVALUE(ConnectionString,ReportMonth,Table1[[#This Row],[Site ID (from DATIM)]],"[Measures].[MMS_63+]")</f>
        <v>289</v>
      </c>
      <c r="AP91" s="67" vm="8600">
        <f>CUBEVALUE(ConnectionString,ReportMonth,Table1[[#This Row],[Site ID (from DATIM)]],"[Measures].[TBPREV_D]")</f>
        <v>15</v>
      </c>
      <c r="AQ91" s="67" vm="4663">
        <f>CUBEVALUE(ConnectionString,ReportMonth,Table1[[#This Row],[Site ID (from DATIM)]],"[Measures].[TBPREV_N]")</f>
        <v>9</v>
      </c>
      <c r="AR91" s="67" t="str" vm="7816">
        <f>CUBEVALUE(ConnectionString,ReportMonth,Table1[[#This Row],[Site ID (from DATIM)]],"[Measures].[TBPREV_NEW]")</f>
        <v/>
      </c>
      <c r="AS91" s="67" vm="11922">
        <f>CUBEVALUE(ConnectionString,ReportMonth,Table1[[#This Row],[Site ID (from DATIM)]],"[Measures].[HVL_ELIG_P]")</f>
        <v>17</v>
      </c>
      <c r="AT91" s="67" vm="8241">
        <f>CUBEVALUE(ConnectionString,ReportMonth,Table1[[#This Row],[Site ID (from DATIM)]],"[Measures].[HVL_D_P]")</f>
        <v>19</v>
      </c>
      <c r="AU91" s="67" vm="9783">
        <f>CUBEVALUE(ConnectionString,ReportMonth,Table1[[#This Row],[Site ID (from DATIM)]],"[Measures].[HVL_N_P]")</f>
        <v>18</v>
      </c>
      <c r="AV91" s="68" vm="6367">
        <f>CUBEVALUE(ConnectionString,ReportMonth,Table1[[#This Row],[Site ID (from DATIM)]],"[Measures].[HVL_ELIG_A]")</f>
        <v>336</v>
      </c>
      <c r="AW91" s="68" vm="11782">
        <f>CUBEVALUE(ConnectionString,ReportMonth,Table1[[#This Row],[Site ID (from DATIM)]],"[Measures].[HVL_D_A]")</f>
        <v>328</v>
      </c>
      <c r="AX91" s="68" vm="8155">
        <f>CUBEVALUE(ConnectionString,ReportMonth,Table1[[#This Row],[Site ID (from DATIM)]],"[Measures].[HVL_N_A]")</f>
        <v>308</v>
      </c>
      <c r="AY91" s="67"/>
      <c r="AZ91" s="67"/>
      <c r="BA91" s="67"/>
      <c r="BB91" s="67"/>
      <c r="BC91" s="67"/>
      <c r="BD91" s="67"/>
      <c r="BE91" s="67"/>
      <c r="BF91" s="67"/>
      <c r="BG91" s="67" vm="14227">
        <f>CUBEVALUE(ConnectionString,ReportMonth,Table1[[#This Row],[Site ID (from DATIM)]],"[Measures].[TX_NEW_F_A]")</f>
        <v>1</v>
      </c>
      <c r="BH91" s="67" t="str" vm="13789">
        <f>CUBEVALUE(ConnectionString,ReportMonth,Table1[[#This Row],[Site ID (from DATIM)]],"[Measures].[TX_NEW_M_A]")</f>
        <v/>
      </c>
      <c r="BI91" s="67" t="str" vm="14296">
        <f>CUBEVALUE(ConnectionString,ReportMonth,Table1[[#This Row],[Site ID (from DATIM)]],"[Measures].[TX_NEW_F_P]")</f>
        <v/>
      </c>
      <c r="BJ91" s="68" t="str" vm="15272">
        <f>CUBEVALUE(ConnectionString,ReportMonth,Table1[[#This Row],[Site ID (from DATIM)]],"[Measures].[TX_NEW_M_P]")</f>
        <v/>
      </c>
      <c r="BK91" s="68"/>
      <c r="BL91" s="68"/>
      <c r="BM91" s="68"/>
      <c r="BN91" s="68"/>
      <c r="BO91" s="68"/>
      <c r="BP91" s="68"/>
      <c r="BQ91" s="68" vm="8525">
        <f>CUBEVALUE(ConnectionString,ReportMonth,Table1[[#This Row],[Site ID (from DATIM)]],"[Measures].[TX_CURR_F_P]")</f>
        <v>7</v>
      </c>
      <c r="BR91" s="68" vm="10806">
        <f>CUBEVALUE(ConnectionString,ReportMonth,Table1[[#This Row],[Site ID (from DATIM)]],"[Measures].[TX_CURR_M_P]")</f>
        <v>11</v>
      </c>
      <c r="BS91" s="68" vm="11739">
        <f>CUBEVALUE(ConnectionString,ReportMonth,Table1[[#This Row],[Site ID (from DATIM)]],"[Measures].[TX_CURR_F_A]")</f>
        <v>282</v>
      </c>
      <c r="BT91" s="68" vm="14100">
        <f>CUBEVALUE(ConnectionString,ReportMonth,Table1[[#This Row],[Site ID (from DATIM)]],"[Measures].[TX_CURR_M_A]")</f>
        <v>89</v>
      </c>
      <c r="BU91" s="68" vm="19207">
        <f>CUBEVALUE(ConnectionString,ReportMonth,Table1[[#This Row],[Site ID (from DATIM)]],"[Measures].[MMS_01_89_F_P]")</f>
        <v>2</v>
      </c>
      <c r="BV91" s="68" vm="19468">
        <f>CUBEVALUE(ConnectionString,ReportMonth,Table1[[#This Row],[Site ID (from DATIM)]],"[Measures].[MMS_01_89_M_P]")</f>
        <v>3</v>
      </c>
      <c r="BW91" s="68" vm="18264">
        <f>CUBEVALUE(ConnectionString,ReportMonth,Table1[[#This Row],[Site ID (from DATIM)]],"[Measures].[MMS_01_89_F_A]")</f>
        <v>68</v>
      </c>
      <c r="BX91" s="68" vm="17892">
        <f>CUBEVALUE(ConnectionString,ReportMonth,Table1[[#This Row],[Site ID (from DATIM)]],"[Measures].[MMS_01_89_M_A]")</f>
        <v>27</v>
      </c>
      <c r="BY91" s="68" vm="18474">
        <f>CUBEVALUE(ConnectionString,ReportMonth,Table1[[#This Row],[Site ID (from DATIM)]],"[Measures].[MMS_90_179_F_P]")</f>
        <v>5</v>
      </c>
      <c r="BZ91" s="68" vm="14774">
        <f>CUBEVALUE(ConnectionString,ReportMonth,Table1[[#This Row],[Site ID (from DATIM)]],"[Measures].[MMS_90_179_M_P]")</f>
        <v>8</v>
      </c>
      <c r="CA91" s="68" vm="14694">
        <f>CUBEVALUE(ConnectionString,ReportMonth,Table1[[#This Row],[Site ID (from DATIM)]],"[Measures].[MMS_90_179_F_A]")</f>
        <v>214</v>
      </c>
      <c r="CB91" s="68" vm="15157">
        <f>CUBEVALUE(ConnectionString,ReportMonth,Table1[[#This Row],[Site ID (from DATIM)]],"[Measures].[MMS_90_179_M_A]")</f>
        <v>62</v>
      </c>
      <c r="CC91" s="68" t="str" vm="16275">
        <f>CUBEVALUE(ConnectionString,ReportMonth,Table1[[#This Row],[Site ID (from DATIM)]],"[Measures].[MMS_180+_F_P]")</f>
        <v/>
      </c>
      <c r="CD91" s="68" t="str" vm="14584">
        <f>CUBEVALUE(ConnectionString,ReportMonth,Table1[[#This Row],[Site ID (from DATIM)]],"[Measures].[MMS_180+_M_P]")</f>
        <v/>
      </c>
      <c r="CE91" s="68" t="str" vm="16286">
        <f>CUBEVALUE(ConnectionString,ReportMonth,Table1[[#This Row],[Site ID (from DATIM)]],"[Measures].[MMS_180+_F_A]")</f>
        <v/>
      </c>
      <c r="CF91" s="68" t="str" vm="182">
        <f>CUBEVALUE(ConnectionString,ReportMonth,Table1[[#This Row],[Site ID (from DATIM)]],"[Measures].[MMS_180+_M_A]")</f>
        <v/>
      </c>
      <c r="CG91" s="68" vm="11810">
        <f>CUBEVALUE(ConnectionString,ReportMonth,Table1[[#This Row],[Site ID (from DATIM)]],"[Measures].[MISSEDAPP]")</f>
        <v>147</v>
      </c>
      <c r="CH91" s="68" t="str" vm="10399">
        <f>CUBEVALUE(ConnectionString,ReportMonth,Table1[[#This Row],[Site ID (from DATIM)]],"[Measures].[MMS_180+_P]")</f>
        <v/>
      </c>
      <c r="CI91" s="68" t="str" vm="10901">
        <f>CUBEVALUE(ConnectionString,ReportMonth,Table1[[#This Row],[Site ID (from DATIM)]],"[Measures].[MMS_180+_A]")</f>
        <v/>
      </c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</row>
    <row r="92" spans="1:107" x14ac:dyDescent="0.25">
      <c r="A92" s="66">
        <v>4</v>
      </c>
      <c r="B92" s="67" t="str" vm="4">
        <f t="shared" si="2"/>
        <v>Mar-2021</v>
      </c>
      <c r="C92" s="67"/>
      <c r="D92" s="67" t="s">
        <v>232</v>
      </c>
      <c r="E92" s="67" t="s">
        <v>233</v>
      </c>
      <c r="F92" s="67" t="s">
        <v>831</v>
      </c>
      <c r="G92" s="67"/>
      <c r="H92" s="67" t="s">
        <v>847</v>
      </c>
      <c r="I92" s="67" t="s">
        <v>329</v>
      </c>
      <c r="J92" s="67" t="s">
        <v>863</v>
      </c>
      <c r="K92" s="67" t="s">
        <v>864</v>
      </c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 t="str" vm="1192">
        <f>CUBEVALUE(ConnectionString,ReportMonth,Table1[[#This Row],[Site ID (from DATIM)]],"TX_NEW_2VIS")</f>
        <v/>
      </c>
      <c r="AE92" s="67" t="str" vm="340">
        <f>CUBEVALUE(ConnectionString,ReportMonth,Table1[[#This Row],[Site ID (from DATIM)]],INDEX(SDI_Measures,1))</f>
        <v/>
      </c>
      <c r="AF92" s="67" t="str" vm="303">
        <f>CUBEVALUE(ConnectionString,ReportMonth,Table1[[#This Row],[Site ID (from DATIM)]],INDEX(SDI_Measures,2))</f>
        <v/>
      </c>
      <c r="AG92" s="67" t="str" vm="1902">
        <f>CUBEVALUE(ConnectionString,ReportMonth,Table1[[#This Row],[Site ID (from DATIM)]],INDEX(SDI_Measures,3))</f>
        <v/>
      </c>
      <c r="AH92" s="67" vm="1941">
        <f>CUBEVALUE(ConnectionString,ReportMonth,Table1[[#This Row],[Site ID (from DATIM)]],"TX_CURR_PRIOR_MONTH")</f>
        <v>9</v>
      </c>
      <c r="AI92" s="67" vm="1749">
        <f>CUBEVALUE(ConnectionString,ReportMonth,Table1[[#This Row],[Site ID (from DATIM)]],"TX_CURR")</f>
        <v>7</v>
      </c>
      <c r="AJ92" s="67" t="str" vm="1948">
        <f>CUBEVALUE(ConnectionString,ReportMonth,Table1[[#This Row],[Site ID (from DATIM)]],"[Measures].[TI]")</f>
        <v/>
      </c>
      <c r="AK92" s="67" t="str" vm="2506">
        <f>CUBEVALUE(ConnectionString,ReportMonth,Table1[[#This Row],[Site ID (from DATIM)]],"[Measures].[TO]")</f>
        <v/>
      </c>
      <c r="AL92" s="67" t="str" vm="4417">
        <f>CUBEVALUE(ConnectionString,ReportMonth,Table1[[#This Row],[Site ID (from DATIM)]],"[Measures].[DIED]")</f>
        <v/>
      </c>
      <c r="AM92" s="67" vm="5094">
        <f>CUBEVALUE(ConnectionString,ReportMonth,Table1[[#This Row],[Site ID (from DATIM)]],"[Measures].[MMS_01_31]")</f>
        <v>3</v>
      </c>
      <c r="AN92" s="67" vm="4719">
        <f>CUBEVALUE(ConnectionString,ReportMonth,Table1[[#This Row],[Site ID (from DATIM)]],"[Measures].[MMS_32_62]")</f>
        <v>4</v>
      </c>
      <c r="AO92" s="67" t="str" vm="4596">
        <f>CUBEVALUE(ConnectionString,ReportMonth,Table1[[#This Row],[Site ID (from DATIM)]],"[Measures].[MMS_63+]")</f>
        <v/>
      </c>
      <c r="AP92" s="67" t="str" vm="7402">
        <f>CUBEVALUE(ConnectionString,ReportMonth,Table1[[#This Row],[Site ID (from DATIM)]],"[Measures].[TBPREV_D]")</f>
        <v/>
      </c>
      <c r="AQ92" s="67" t="str" vm="7380">
        <f>CUBEVALUE(ConnectionString,ReportMonth,Table1[[#This Row],[Site ID (from DATIM)]],"[Measures].[TBPREV_N]")</f>
        <v/>
      </c>
      <c r="AR92" s="67" t="str" vm="5812">
        <f>CUBEVALUE(ConnectionString,ReportMonth,Table1[[#This Row],[Site ID (from DATIM)]],"[Measures].[TBPREV_NEW]")</f>
        <v/>
      </c>
      <c r="AS92" s="67" t="str" vm="10030">
        <f>CUBEVALUE(ConnectionString,ReportMonth,Table1[[#This Row],[Site ID (from DATIM)]],"[Measures].[HVL_ELIG_P]")</f>
        <v/>
      </c>
      <c r="AT92" s="67" t="str" vm="7440">
        <f>CUBEVALUE(ConnectionString,ReportMonth,Table1[[#This Row],[Site ID (from DATIM)]],"[Measures].[HVL_D_P]")</f>
        <v/>
      </c>
      <c r="AU92" s="67" t="str" vm="17419">
        <f>CUBEVALUE(ConnectionString,ReportMonth,Table1[[#This Row],[Site ID (from DATIM)]],"[Measures].[HVL_N_P]")</f>
        <v/>
      </c>
      <c r="AV92" s="68" vm="10833">
        <f>CUBEVALUE(ConnectionString,ReportMonth,Table1[[#This Row],[Site ID (from DATIM)]],"[Measures].[HVL_ELIG_A]")</f>
        <v>5</v>
      </c>
      <c r="AW92" s="68" vm="8098">
        <f>CUBEVALUE(ConnectionString,ReportMonth,Table1[[#This Row],[Site ID (from DATIM)]],"[Measures].[HVL_D_A]")</f>
        <v>1</v>
      </c>
      <c r="AX92" s="68" vm="12873">
        <f>CUBEVALUE(ConnectionString,ReportMonth,Table1[[#This Row],[Site ID (from DATIM)]],"[Measures].[HVL_N_A]")</f>
        <v>1</v>
      </c>
      <c r="AY92" s="67"/>
      <c r="AZ92" s="67"/>
      <c r="BA92" s="67"/>
      <c r="BB92" s="67"/>
      <c r="BC92" s="67"/>
      <c r="BD92" s="67"/>
      <c r="BE92" s="67"/>
      <c r="BF92" s="67"/>
      <c r="BG92" s="67" t="str" vm="17401">
        <f>CUBEVALUE(ConnectionString,ReportMonth,Table1[[#This Row],[Site ID (from DATIM)]],"[Measures].[TX_NEW_F_A]")</f>
        <v/>
      </c>
      <c r="BH92" s="67" t="str" vm="13841">
        <f>CUBEVALUE(ConnectionString,ReportMonth,Table1[[#This Row],[Site ID (from DATIM)]],"[Measures].[TX_NEW_M_A]")</f>
        <v/>
      </c>
      <c r="BI92" s="67" t="str" vm="12343">
        <f>CUBEVALUE(ConnectionString,ReportMonth,Table1[[#This Row],[Site ID (from DATIM)]],"[Measures].[TX_NEW_F_P]")</f>
        <v/>
      </c>
      <c r="BJ92" s="68" t="str" vm="16164">
        <f>CUBEVALUE(ConnectionString,ReportMonth,Table1[[#This Row],[Site ID (from DATIM)]],"[Measures].[TX_NEW_M_P]")</f>
        <v/>
      </c>
      <c r="BK92" s="68"/>
      <c r="BL92" s="68"/>
      <c r="BM92" s="68"/>
      <c r="BN92" s="68"/>
      <c r="BO92" s="68"/>
      <c r="BP92" s="68"/>
      <c r="BQ92" s="68" t="str" vm="10933">
        <f>CUBEVALUE(ConnectionString,ReportMonth,Table1[[#This Row],[Site ID (from DATIM)]],"[Measures].[TX_CURR_F_P]")</f>
        <v/>
      </c>
      <c r="BR92" s="68" t="str" vm="12089">
        <f>CUBEVALUE(ConnectionString,ReportMonth,Table1[[#This Row],[Site ID (from DATIM)]],"[Measures].[TX_CURR_M_P]")</f>
        <v/>
      </c>
      <c r="BS92" s="68" vm="11306">
        <f>CUBEVALUE(ConnectionString,ReportMonth,Table1[[#This Row],[Site ID (from DATIM)]],"[Measures].[TX_CURR_F_A]")</f>
        <v>7</v>
      </c>
      <c r="BT92" s="68" t="str" vm="10074">
        <f>CUBEVALUE(ConnectionString,ReportMonth,Table1[[#This Row],[Site ID (from DATIM)]],"[Measures].[TX_CURR_M_A]")</f>
        <v/>
      </c>
      <c r="BU92" s="68" t="str" vm="19803">
        <f>CUBEVALUE(ConnectionString,ReportMonth,Table1[[#This Row],[Site ID (from DATIM)]],"[Measures].[MMS_01_89_F_P]")</f>
        <v/>
      </c>
      <c r="BV92" s="68" t="str" vm="20060">
        <f>CUBEVALUE(ConnectionString,ReportMonth,Table1[[#This Row],[Site ID (from DATIM)]],"[Measures].[MMS_01_89_M_P]")</f>
        <v/>
      </c>
      <c r="BW92" s="68" vm="18302">
        <f>CUBEVALUE(ConnectionString,ReportMonth,Table1[[#This Row],[Site ID (from DATIM)]],"[Measures].[MMS_01_89_F_A]")</f>
        <v>7</v>
      </c>
      <c r="BX92" s="68" t="str" vm="19586">
        <f>CUBEVALUE(ConnectionString,ReportMonth,Table1[[#This Row],[Site ID (from DATIM)]],"[Measures].[MMS_01_89_M_A]")</f>
        <v/>
      </c>
      <c r="BY92" s="68" t="str" vm="17836">
        <f>CUBEVALUE(ConnectionString,ReportMonth,Table1[[#This Row],[Site ID (from DATIM)]],"[Measures].[MMS_90_179_F_P]")</f>
        <v/>
      </c>
      <c r="BZ92" s="68" t="str" vm="18480">
        <f>CUBEVALUE(ConnectionString,ReportMonth,Table1[[#This Row],[Site ID (from DATIM)]],"[Measures].[MMS_90_179_M_P]")</f>
        <v/>
      </c>
      <c r="CA92" s="68" t="str" vm="15594">
        <f>CUBEVALUE(ConnectionString,ReportMonth,Table1[[#This Row],[Site ID (from DATIM)]],"[Measures].[MMS_90_179_F_A]")</f>
        <v/>
      </c>
      <c r="CB92" s="68" t="str" vm="17643">
        <f>CUBEVALUE(ConnectionString,ReportMonth,Table1[[#This Row],[Site ID (from DATIM)]],"[Measures].[MMS_90_179_M_A]")</f>
        <v/>
      </c>
      <c r="CC92" s="68" t="str" vm="15043">
        <f>CUBEVALUE(ConnectionString,ReportMonth,Table1[[#This Row],[Site ID (from DATIM)]],"[Measures].[MMS_180+_F_P]")</f>
        <v/>
      </c>
      <c r="CD92" s="68" t="str" vm="15345">
        <f>CUBEVALUE(ConnectionString,ReportMonth,Table1[[#This Row],[Site ID (from DATIM)]],"[Measures].[MMS_180+_M_P]")</f>
        <v/>
      </c>
      <c r="CE92" s="68" t="str" vm="16735">
        <f>CUBEVALUE(ConnectionString,ReportMonth,Table1[[#This Row],[Site ID (from DATIM)]],"[Measures].[MMS_180+_F_A]")</f>
        <v/>
      </c>
      <c r="CF92" s="68" t="str" vm="17084">
        <f>CUBEVALUE(ConnectionString,ReportMonth,Table1[[#This Row],[Site ID (from DATIM)]],"[Measures].[MMS_180+_M_A]")</f>
        <v/>
      </c>
      <c r="CG92" s="68" vm="5487">
        <f>CUBEVALUE(ConnectionString,ReportMonth,Table1[[#This Row],[Site ID (from DATIM)]],"[Measures].[MISSEDAPP]")</f>
        <v>1</v>
      </c>
      <c r="CH92" s="68" t="str" vm="11397">
        <f>CUBEVALUE(ConnectionString,ReportMonth,Table1[[#This Row],[Site ID (from DATIM)]],"[Measures].[MMS_180+_P]")</f>
        <v/>
      </c>
      <c r="CI92" s="68" t="str" vm="10458">
        <f>CUBEVALUE(ConnectionString,ReportMonth,Table1[[#This Row],[Site ID (from DATIM)]],"[Measures].[MMS_180+_A]")</f>
        <v/>
      </c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</row>
    <row r="93" spans="1:107" x14ac:dyDescent="0.25">
      <c r="A93" s="66">
        <v>2</v>
      </c>
      <c r="B93" s="67" t="str" vm="4">
        <f t="shared" si="2"/>
        <v>Mar-2021</v>
      </c>
      <c r="C93" s="67"/>
      <c r="D93" s="67" t="s">
        <v>232</v>
      </c>
      <c r="E93" s="67" t="s">
        <v>233</v>
      </c>
      <c r="F93" s="67" t="s">
        <v>831</v>
      </c>
      <c r="G93" s="67"/>
      <c r="H93" s="67" t="s">
        <v>847</v>
      </c>
      <c r="I93" s="67" t="s">
        <v>329</v>
      </c>
      <c r="J93" s="67" t="s">
        <v>865</v>
      </c>
      <c r="K93" s="67" t="s">
        <v>866</v>
      </c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 vm="2518">
        <f>CUBEVALUE(ConnectionString,ReportMonth,Table1[[#This Row],[Site ID (from DATIM)]],"TX_NEW_2VIS")</f>
        <v>5</v>
      </c>
      <c r="AE93" s="67" vm="4133">
        <f>CUBEVALUE(ConnectionString,ReportMonth,Table1[[#This Row],[Site ID (from DATIM)]],INDEX(SDI_Measures,1))</f>
        <v>5</v>
      </c>
      <c r="AF93" s="67" t="str" vm="807">
        <f>CUBEVALUE(ConnectionString,ReportMonth,Table1[[#This Row],[Site ID (from DATIM)]],INDEX(SDI_Measures,2))</f>
        <v/>
      </c>
      <c r="AG93" s="67" t="str" vm="2069">
        <f>CUBEVALUE(ConnectionString,ReportMonth,Table1[[#This Row],[Site ID (from DATIM)]],INDEX(SDI_Measures,3))</f>
        <v/>
      </c>
      <c r="AH93" s="67" vm="4037">
        <f>CUBEVALUE(ConnectionString,ReportMonth,Table1[[#This Row],[Site ID (from DATIM)]],"TX_CURR_PRIOR_MONTH")</f>
        <v>880</v>
      </c>
      <c r="AI93" s="67" vm="2922">
        <f>CUBEVALUE(ConnectionString,ReportMonth,Table1[[#This Row],[Site ID (from DATIM)]],"TX_CURR")</f>
        <v>838</v>
      </c>
      <c r="AJ93" s="67" vm="3297">
        <f>CUBEVALUE(ConnectionString,ReportMonth,Table1[[#This Row],[Site ID (from DATIM)]],"[Measures].[TI]")</f>
        <v>1</v>
      </c>
      <c r="AK93" s="67" t="str" vm="3702">
        <f>CUBEVALUE(ConnectionString,ReportMonth,Table1[[#This Row],[Site ID (from DATIM)]],"[Measures].[TO]")</f>
        <v/>
      </c>
      <c r="AL93" s="67" vm="4030">
        <f>CUBEVALUE(ConnectionString,ReportMonth,Table1[[#This Row],[Site ID (from DATIM)]],"[Measures].[DIED]")</f>
        <v>2</v>
      </c>
      <c r="AM93" s="67" vm="6080">
        <f>CUBEVALUE(ConnectionString,ReportMonth,Table1[[#This Row],[Site ID (from DATIM)]],"[Measures].[MMS_01_31]")</f>
        <v>214</v>
      </c>
      <c r="AN93" s="67" vm="7201">
        <f>CUBEVALUE(ConnectionString,ReportMonth,Table1[[#This Row],[Site ID (from DATIM)]],"[Measures].[MMS_32_62]")</f>
        <v>40</v>
      </c>
      <c r="AO93" s="67" vm="4992">
        <f>CUBEVALUE(ConnectionString,ReportMonth,Table1[[#This Row],[Site ID (from DATIM)]],"[Measures].[MMS_63+]")</f>
        <v>584</v>
      </c>
      <c r="AP93" s="67" vm="5830">
        <f>CUBEVALUE(ConnectionString,ReportMonth,Table1[[#This Row],[Site ID (from DATIM)]],"[Measures].[TBPREV_D]")</f>
        <v>35</v>
      </c>
      <c r="AQ93" s="67" vm="6781">
        <f>CUBEVALUE(ConnectionString,ReportMonth,Table1[[#This Row],[Site ID (from DATIM)]],"[Measures].[TBPREV_N]")</f>
        <v>23</v>
      </c>
      <c r="AR93" s="67" vm="5940">
        <f>CUBEVALUE(ConnectionString,ReportMonth,Table1[[#This Row],[Site ID (from DATIM)]],"[Measures].[TBPREV_NEW]")</f>
        <v>6</v>
      </c>
      <c r="AS93" s="67" vm="9868">
        <f>CUBEVALUE(ConnectionString,ReportMonth,Table1[[#This Row],[Site ID (from DATIM)]],"[Measures].[HVL_ELIG_P]")</f>
        <v>20</v>
      </c>
      <c r="AT93" s="67" vm="7337">
        <f>CUBEVALUE(ConnectionString,ReportMonth,Table1[[#This Row],[Site ID (from DATIM)]],"[Measures].[HVL_D_P]")</f>
        <v>23</v>
      </c>
      <c r="AU93" s="67" vm="9976">
        <f>CUBEVALUE(ConnectionString,ReportMonth,Table1[[#This Row],[Site ID (from DATIM)]],"[Measures].[HVL_N_P]")</f>
        <v>22</v>
      </c>
      <c r="AV93" s="68" vm="10756">
        <f>CUBEVALUE(ConnectionString,ReportMonth,Table1[[#This Row],[Site ID (from DATIM)]],"[Measures].[HVL_ELIG_A]")</f>
        <v>640</v>
      </c>
      <c r="AW93" s="68" vm="7728">
        <f>CUBEVALUE(ConnectionString,ReportMonth,Table1[[#This Row],[Site ID (from DATIM)]],"[Measures].[HVL_D_A]")</f>
        <v>529</v>
      </c>
      <c r="AX93" s="68" vm="7497">
        <f>CUBEVALUE(ConnectionString,ReportMonth,Table1[[#This Row],[Site ID (from DATIM)]],"[Measures].[HVL_N_A]")</f>
        <v>512</v>
      </c>
      <c r="AY93" s="67"/>
      <c r="AZ93" s="67"/>
      <c r="BA93" s="67"/>
      <c r="BB93" s="67"/>
      <c r="BC93" s="67"/>
      <c r="BD93" s="67"/>
      <c r="BE93" s="67"/>
      <c r="BF93" s="67"/>
      <c r="BG93" s="67" vm="11280">
        <f>CUBEVALUE(ConnectionString,ReportMonth,Table1[[#This Row],[Site ID (from DATIM)]],"[Measures].[TX_NEW_F_A]")</f>
        <v>2</v>
      </c>
      <c r="BH93" s="67" vm="12654">
        <f>CUBEVALUE(ConnectionString,ReportMonth,Table1[[#This Row],[Site ID (from DATIM)]],"[Measures].[TX_NEW_M_A]")</f>
        <v>3</v>
      </c>
      <c r="BI93" s="67" t="str" vm="12851">
        <f>CUBEVALUE(ConnectionString,ReportMonth,Table1[[#This Row],[Site ID (from DATIM)]],"[Measures].[TX_NEW_F_P]")</f>
        <v/>
      </c>
      <c r="BJ93" s="68" t="str" vm="13735">
        <f>CUBEVALUE(ConnectionString,ReportMonth,Table1[[#This Row],[Site ID (from DATIM)]],"[Measures].[TX_NEW_M_P]")</f>
        <v/>
      </c>
      <c r="BK93" s="68"/>
      <c r="BL93" s="68"/>
      <c r="BM93" s="68"/>
      <c r="BN93" s="68"/>
      <c r="BO93" s="68"/>
      <c r="BP93" s="68"/>
      <c r="BQ93" s="68" vm="13700">
        <f>CUBEVALUE(ConnectionString,ReportMonth,Table1[[#This Row],[Site ID (from DATIM)]],"[Measures].[TX_CURR_F_P]")</f>
        <v>14</v>
      </c>
      <c r="BR93" s="68" vm="9944">
        <f>CUBEVALUE(ConnectionString,ReportMonth,Table1[[#This Row],[Site ID (from DATIM)]],"[Measures].[TX_CURR_M_P]")</f>
        <v>13</v>
      </c>
      <c r="BS93" s="68" vm="13610">
        <f>CUBEVALUE(ConnectionString,ReportMonth,Table1[[#This Row],[Site ID (from DATIM)]],"[Measures].[TX_CURR_F_A]")</f>
        <v>569</v>
      </c>
      <c r="BT93" s="68" vm="10290">
        <f>CUBEVALUE(ConnectionString,ReportMonth,Table1[[#This Row],[Site ID (from DATIM)]],"[Measures].[TX_CURR_M_A]")</f>
        <v>242</v>
      </c>
      <c r="BU93" s="68" vm="18121">
        <f>CUBEVALUE(ConnectionString,ReportMonth,Table1[[#This Row],[Site ID (from DATIM)]],"[Measures].[MMS_01_89_F_P]")</f>
        <v>5</v>
      </c>
      <c r="BV93" s="68" vm="20059">
        <f>CUBEVALUE(ConnectionString,ReportMonth,Table1[[#This Row],[Site ID (from DATIM)]],"[Measures].[MMS_01_89_M_P]")</f>
        <v>6</v>
      </c>
      <c r="BW93" s="68" vm="18844">
        <f>CUBEVALUE(ConnectionString,ReportMonth,Table1[[#This Row],[Site ID (from DATIM)]],"[Measures].[MMS_01_89_F_A]")</f>
        <v>175</v>
      </c>
      <c r="BX93" s="68" vm="18557">
        <f>CUBEVALUE(ConnectionString,ReportMonth,Table1[[#This Row],[Site ID (from DATIM)]],"[Measures].[MMS_01_89_M_A]")</f>
        <v>71</v>
      </c>
      <c r="BY93" s="68" vm="19585">
        <f>CUBEVALUE(ConnectionString,ReportMonth,Table1[[#This Row],[Site ID (from DATIM)]],"[Measures].[MMS_90_179_F_P]")</f>
        <v>9</v>
      </c>
      <c r="BZ93" s="68" vm="14639">
        <f>CUBEVALUE(ConnectionString,ReportMonth,Table1[[#This Row],[Site ID (from DATIM)]],"[Measures].[MMS_90_179_M_P]")</f>
        <v>7</v>
      </c>
      <c r="CA93" s="68" vm="17366">
        <f>CUBEVALUE(ConnectionString,ReportMonth,Table1[[#This Row],[Site ID (from DATIM)]],"[Measures].[MMS_90_179_F_A]")</f>
        <v>352</v>
      </c>
      <c r="CB93" s="68" vm="15850">
        <f>CUBEVALUE(ConnectionString,ReportMonth,Table1[[#This Row],[Site ID (from DATIM)]],"[Measures].[MMS_90_179_M_A]")</f>
        <v>153</v>
      </c>
      <c r="CC93" s="68" t="str" vm="17247">
        <f>CUBEVALUE(ConnectionString,ReportMonth,Table1[[#This Row],[Site ID (from DATIM)]],"[Measures].[MMS_180+_F_P]")</f>
        <v/>
      </c>
      <c r="CD93" s="68" t="str" vm="14457">
        <f>CUBEVALUE(ConnectionString,ReportMonth,Table1[[#This Row],[Site ID (from DATIM)]],"[Measures].[MMS_180+_M_P]")</f>
        <v/>
      </c>
      <c r="CE93" s="68" vm="15756">
        <f>CUBEVALUE(ConnectionString,ReportMonth,Table1[[#This Row],[Site ID (from DATIM)]],"[Measures].[MMS_180+_F_A]")</f>
        <v>42</v>
      </c>
      <c r="CF93" s="68" vm="15339">
        <f>CUBEVALUE(ConnectionString,ReportMonth,Table1[[#This Row],[Site ID (from DATIM)]],"[Measures].[MMS_180+_M_A]")</f>
        <v>18</v>
      </c>
      <c r="CG93" s="68" vm="4945">
        <f>CUBEVALUE(ConnectionString,ReportMonth,Table1[[#This Row],[Site ID (from DATIM)]],"[Measures].[MISSEDAPP]")</f>
        <v>319</v>
      </c>
      <c r="CH93" s="68" t="str" vm="6606">
        <f>CUBEVALUE(ConnectionString,ReportMonth,Table1[[#This Row],[Site ID (from DATIM)]],"[Measures].[MMS_180+_P]")</f>
        <v/>
      </c>
      <c r="CI93" s="68" vm="12642">
        <f>CUBEVALUE(ConnectionString,ReportMonth,Table1[[#This Row],[Site ID (from DATIM)]],"[Measures].[MMS_180+_A]")</f>
        <v>60</v>
      </c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</row>
    <row r="94" spans="1:107" x14ac:dyDescent="0.25">
      <c r="A94" s="66">
        <v>3</v>
      </c>
      <c r="B94" s="67" t="str" vm="4">
        <f t="shared" si="2"/>
        <v>Mar-2021</v>
      </c>
      <c r="C94" s="67"/>
      <c r="D94" s="67" t="s">
        <v>232</v>
      </c>
      <c r="E94" s="67" t="s">
        <v>233</v>
      </c>
      <c r="F94" s="67" t="s">
        <v>437</v>
      </c>
      <c r="G94" s="67"/>
      <c r="H94" s="67" t="s">
        <v>454</v>
      </c>
      <c r="I94" s="67" t="s">
        <v>455</v>
      </c>
      <c r="J94" s="67" t="s">
        <v>543</v>
      </c>
      <c r="K94" s="67" t="s">
        <v>544</v>
      </c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 t="str" vm="754">
        <f>CUBEVALUE(ConnectionString,ReportMonth,Table1[[#This Row],[Site ID (from DATIM)]],"TX_NEW_2VIS")</f>
        <v/>
      </c>
      <c r="AE94" s="67" vm="748">
        <f>CUBEVALUE(ConnectionString,ReportMonth,Table1[[#This Row],[Site ID (from DATIM)]],INDEX(SDI_Measures,1))</f>
        <v>1</v>
      </c>
      <c r="AF94" s="67" t="str" vm="1334">
        <f>CUBEVALUE(ConnectionString,ReportMonth,Table1[[#This Row],[Site ID (from DATIM)]],INDEX(SDI_Measures,2))</f>
        <v/>
      </c>
      <c r="AG94" s="67" t="str" vm="832">
        <f>CUBEVALUE(ConnectionString,ReportMonth,Table1[[#This Row],[Site ID (from DATIM)]],INDEX(SDI_Measures,3))</f>
        <v/>
      </c>
      <c r="AH94" s="67" vm="3847">
        <f>CUBEVALUE(ConnectionString,ReportMonth,Table1[[#This Row],[Site ID (from DATIM)]],"TX_CURR_PRIOR_MONTH")</f>
        <v>340</v>
      </c>
      <c r="AI94" s="67" vm="2747">
        <f>CUBEVALUE(ConnectionString,ReportMonth,Table1[[#This Row],[Site ID (from DATIM)]],"TX_CURR")</f>
        <v>330</v>
      </c>
      <c r="AJ94" s="67" t="str" vm="3449">
        <f>CUBEVALUE(ConnectionString,ReportMonth,Table1[[#This Row],[Site ID (from DATIM)]],"[Measures].[TI]")</f>
        <v/>
      </c>
      <c r="AK94" s="67" vm="987">
        <f>CUBEVALUE(ConnectionString,ReportMonth,Table1[[#This Row],[Site ID (from DATIM)]],"[Measures].[TO]")</f>
        <v>1</v>
      </c>
      <c r="AL94" s="67" t="str" vm="4432">
        <f>CUBEVALUE(ConnectionString,ReportMonth,Table1[[#This Row],[Site ID (from DATIM)]],"[Measures].[DIED]")</f>
        <v/>
      </c>
      <c r="AM94" s="67" vm="5765">
        <f>CUBEVALUE(ConnectionString,ReportMonth,Table1[[#This Row],[Site ID (from DATIM)]],"[Measures].[MMS_01_31]")</f>
        <v>78</v>
      </c>
      <c r="AN94" s="67" vm="6516">
        <f>CUBEVALUE(ConnectionString,ReportMonth,Table1[[#This Row],[Site ID (from DATIM)]],"[Measures].[MMS_32_62]")</f>
        <v>15</v>
      </c>
      <c r="AO94" s="67" vm="4732">
        <f>CUBEVALUE(ConnectionString,ReportMonth,Table1[[#This Row],[Site ID (from DATIM)]],"[Measures].[MMS_63+]")</f>
        <v>237</v>
      </c>
      <c r="AP94" s="67" vm="8237">
        <f>CUBEVALUE(ConnectionString,ReportMonth,Table1[[#This Row],[Site ID (from DATIM)]],"[Measures].[TBPREV_D]")</f>
        <v>19</v>
      </c>
      <c r="AQ94" s="67" vm="5417">
        <f>CUBEVALUE(ConnectionString,ReportMonth,Table1[[#This Row],[Site ID (from DATIM)]],"[Measures].[TBPREV_N]")</f>
        <v>18</v>
      </c>
      <c r="AR94" s="67" vm="4919">
        <f>CUBEVALUE(ConnectionString,ReportMonth,Table1[[#This Row],[Site ID (from DATIM)]],"[Measures].[TBPREV_NEW]")</f>
        <v>1</v>
      </c>
      <c r="AS94" s="67" vm="9338">
        <f>CUBEVALUE(ConnectionString,ReportMonth,Table1[[#This Row],[Site ID (from DATIM)]],"[Measures].[HVL_ELIG_P]")</f>
        <v>18</v>
      </c>
      <c r="AT94" s="67" vm="12090">
        <f>CUBEVALUE(ConnectionString,ReportMonth,Table1[[#This Row],[Site ID (from DATIM)]],"[Measures].[HVL_D_P]")</f>
        <v>16</v>
      </c>
      <c r="AU94" s="67" vm="8467">
        <f>CUBEVALUE(ConnectionString,ReportMonth,Table1[[#This Row],[Site ID (from DATIM)]],"[Measures].[HVL_N_P]")</f>
        <v>12</v>
      </c>
      <c r="AV94" s="68" vm="9572">
        <f>CUBEVALUE(ConnectionString,ReportMonth,Table1[[#This Row],[Site ID (from DATIM)]],"[Measures].[HVL_ELIG_A]")</f>
        <v>285</v>
      </c>
      <c r="AW94" s="68" vm="10633">
        <f>CUBEVALUE(ConnectionString,ReportMonth,Table1[[#This Row],[Site ID (from DATIM)]],"[Measures].[HVL_D_A]")</f>
        <v>230</v>
      </c>
      <c r="AX94" s="68" vm="11559">
        <f>CUBEVALUE(ConnectionString,ReportMonth,Table1[[#This Row],[Site ID (from DATIM)]],"[Measures].[HVL_N_A]")</f>
        <v>214</v>
      </c>
      <c r="AY94" s="67"/>
      <c r="AZ94" s="67"/>
      <c r="BA94" s="67"/>
      <c r="BB94" s="67"/>
      <c r="BC94" s="67"/>
      <c r="BD94" s="67"/>
      <c r="BE94" s="67"/>
      <c r="BF94" s="67"/>
      <c r="BG94" s="67" vm="13055">
        <f>CUBEVALUE(ConnectionString,ReportMonth,Table1[[#This Row],[Site ID (from DATIM)]],"[Measures].[TX_NEW_F_A]")</f>
        <v>1</v>
      </c>
      <c r="BH94" s="67" t="str" vm="13636">
        <f>CUBEVALUE(ConnectionString,ReportMonth,Table1[[#This Row],[Site ID (from DATIM)]],"[Measures].[TX_NEW_M_A]")</f>
        <v/>
      </c>
      <c r="BI94" s="67" t="str" vm="13456">
        <f>CUBEVALUE(ConnectionString,ReportMonth,Table1[[#This Row],[Site ID (from DATIM)]],"[Measures].[TX_NEW_F_P]")</f>
        <v/>
      </c>
      <c r="BJ94" s="68" t="str" vm="12587">
        <f>CUBEVALUE(ConnectionString,ReportMonth,Table1[[#This Row],[Site ID (from DATIM)]],"[Measures].[TX_NEW_M_P]")</f>
        <v/>
      </c>
      <c r="BK94" s="68"/>
      <c r="BL94" s="68"/>
      <c r="BM94" s="68"/>
      <c r="BN94" s="68"/>
      <c r="BO94" s="68"/>
      <c r="BP94" s="68"/>
      <c r="BQ94" s="68" vm="9063">
        <f>CUBEVALUE(ConnectionString,ReportMonth,Table1[[#This Row],[Site ID (from DATIM)]],"[Measures].[TX_CURR_F_P]")</f>
        <v>6</v>
      </c>
      <c r="BR94" s="68" vm="7747">
        <f>CUBEVALUE(ConnectionString,ReportMonth,Table1[[#This Row],[Site ID (from DATIM)]],"[Measures].[TX_CURR_M_P]")</f>
        <v>14</v>
      </c>
      <c r="BS94" s="68" vm="13861">
        <f>CUBEVALUE(ConnectionString,ReportMonth,Table1[[#This Row],[Site ID (from DATIM)]],"[Measures].[TX_CURR_F_A]")</f>
        <v>224</v>
      </c>
      <c r="BT94" s="68" vm="12317">
        <f>CUBEVALUE(ConnectionString,ReportMonth,Table1[[#This Row],[Site ID (from DATIM)]],"[Measures].[TX_CURR_M_A]")</f>
        <v>86</v>
      </c>
      <c r="BU94" s="68" vm="18077">
        <f>CUBEVALUE(ConnectionString,ReportMonth,Table1[[#This Row],[Site ID (from DATIM)]],"[Measures].[MMS_01_89_F_P]")</f>
        <v>4</v>
      </c>
      <c r="BV94" s="68" vm="19493">
        <f>CUBEVALUE(ConnectionString,ReportMonth,Table1[[#This Row],[Site ID (from DATIM)]],"[Measures].[MMS_01_89_M_P]")</f>
        <v>5</v>
      </c>
      <c r="BW94" s="68" vm="18323">
        <f>CUBEVALUE(ConnectionString,ReportMonth,Table1[[#This Row],[Site ID (from DATIM)]],"[Measures].[MMS_01_89_F_A]")</f>
        <v>65</v>
      </c>
      <c r="BX94" s="68" vm="18638">
        <f>CUBEVALUE(ConnectionString,ReportMonth,Table1[[#This Row],[Site ID (from DATIM)]],"[Measures].[MMS_01_89_M_A]")</f>
        <v>22</v>
      </c>
      <c r="BY94" s="68" vm="19057">
        <f>CUBEVALUE(ConnectionString,ReportMonth,Table1[[#This Row],[Site ID (from DATIM)]],"[Measures].[MMS_90_179_F_P]")</f>
        <v>2</v>
      </c>
      <c r="BZ94" s="68" vm="18850">
        <f>CUBEVALUE(ConnectionString,ReportMonth,Table1[[#This Row],[Site ID (from DATIM)]],"[Measures].[MMS_90_179_M_P]")</f>
        <v>9</v>
      </c>
      <c r="CA94" s="68" vm="17761">
        <f>CUBEVALUE(ConnectionString,ReportMonth,Table1[[#This Row],[Site ID (from DATIM)]],"[Measures].[MMS_90_179_F_A]")</f>
        <v>159</v>
      </c>
      <c r="CB94" s="68" vm="14726">
        <f>CUBEVALUE(ConnectionString,ReportMonth,Table1[[#This Row],[Site ID (from DATIM)]],"[Measures].[MMS_90_179_M_A]")</f>
        <v>64</v>
      </c>
      <c r="CC94" s="68" t="str" vm="14653">
        <f>CUBEVALUE(ConnectionString,ReportMonth,Table1[[#This Row],[Site ID (from DATIM)]],"[Measures].[MMS_180+_F_P]")</f>
        <v/>
      </c>
      <c r="CD94" s="68" t="str" vm="16715">
        <f>CUBEVALUE(ConnectionString,ReportMonth,Table1[[#This Row],[Site ID (from DATIM)]],"[Measures].[MMS_180+_M_P]")</f>
        <v/>
      </c>
      <c r="CE94" s="68" t="str" vm="17539">
        <f>CUBEVALUE(ConnectionString,ReportMonth,Table1[[#This Row],[Site ID (from DATIM)]],"[Measures].[MMS_180+_F_A]")</f>
        <v/>
      </c>
      <c r="CF94" s="68" t="str" vm="545">
        <f>CUBEVALUE(ConnectionString,ReportMonth,Table1[[#This Row],[Site ID (from DATIM)]],"[Measures].[MMS_180+_M_A]")</f>
        <v/>
      </c>
      <c r="CG94" s="68" vm="6978">
        <f>CUBEVALUE(ConnectionString,ReportMonth,Table1[[#This Row],[Site ID (from DATIM)]],"[Measures].[MISSEDAPP]")</f>
        <v>108</v>
      </c>
      <c r="CH94" s="68" t="str" vm="13884">
        <f>CUBEVALUE(ConnectionString,ReportMonth,Table1[[#This Row],[Site ID (from DATIM)]],"[Measures].[MMS_180+_P]")</f>
        <v/>
      </c>
      <c r="CI94" s="68" t="str" vm="13276">
        <f>CUBEVALUE(ConnectionString,ReportMonth,Table1[[#This Row],[Site ID (from DATIM)]],"[Measures].[MMS_180+_A]")</f>
        <v/>
      </c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</row>
    <row r="95" spans="1:107" x14ac:dyDescent="0.25">
      <c r="A95" s="66">
        <v>4</v>
      </c>
      <c r="B95" s="67" t="str" vm="4">
        <f t="shared" si="2"/>
        <v>Mar-2021</v>
      </c>
      <c r="C95" s="67"/>
      <c r="D95" s="67" t="s">
        <v>232</v>
      </c>
      <c r="E95" s="67" t="s">
        <v>233</v>
      </c>
      <c r="F95" s="67" t="s">
        <v>831</v>
      </c>
      <c r="G95" s="67"/>
      <c r="H95" s="67" t="s">
        <v>867</v>
      </c>
      <c r="I95" s="67" t="s">
        <v>868</v>
      </c>
      <c r="J95" s="67" t="s">
        <v>869</v>
      </c>
      <c r="K95" s="67" t="s">
        <v>870</v>
      </c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 t="str" vm="3573">
        <f>CUBEVALUE(ConnectionString,ReportMonth,Table1[[#This Row],[Site ID (from DATIM)]],"TX_NEW_2VIS")</f>
        <v/>
      </c>
      <c r="AE95" s="67" vm="5246">
        <f>CUBEVALUE(ConnectionString,ReportMonth,Table1[[#This Row],[Site ID (from DATIM)]],INDEX(SDI_Measures,1))</f>
        <v>1</v>
      </c>
      <c r="AF95" s="67" t="str" vm="6550">
        <f>CUBEVALUE(ConnectionString,ReportMonth,Table1[[#This Row],[Site ID (from DATIM)]],INDEX(SDI_Measures,2))</f>
        <v/>
      </c>
      <c r="AG95" s="67" t="str" vm="3135">
        <f>CUBEVALUE(ConnectionString,ReportMonth,Table1[[#This Row],[Site ID (from DATIM)]],INDEX(SDI_Measures,3))</f>
        <v/>
      </c>
      <c r="AH95" s="67" vm="526">
        <f>CUBEVALUE(ConnectionString,ReportMonth,Table1[[#This Row],[Site ID (from DATIM)]],"TX_CURR_PRIOR_MONTH")</f>
        <v>28</v>
      </c>
      <c r="AI95" s="67" vm="2214">
        <f>CUBEVALUE(ConnectionString,ReportMonth,Table1[[#This Row],[Site ID (from DATIM)]],"TX_CURR")</f>
        <v>24</v>
      </c>
      <c r="AJ95" s="67" t="str" vm="892">
        <f>CUBEVALUE(ConnectionString,ReportMonth,Table1[[#This Row],[Site ID (from DATIM)]],"[Measures].[TI]")</f>
        <v/>
      </c>
      <c r="AK95" s="67" t="str" vm="1926">
        <f>CUBEVALUE(ConnectionString,ReportMonth,Table1[[#This Row],[Site ID (from DATIM)]],"[Measures].[TO]")</f>
        <v/>
      </c>
      <c r="AL95" s="67" t="str" vm="2585">
        <f>CUBEVALUE(ConnectionString,ReportMonth,Table1[[#This Row],[Site ID (from DATIM)]],"[Measures].[DIED]")</f>
        <v/>
      </c>
      <c r="AM95" s="67" vm="4808">
        <f>CUBEVALUE(ConnectionString,ReportMonth,Table1[[#This Row],[Site ID (from DATIM)]],"[Measures].[MMS_01_31]")</f>
        <v>10</v>
      </c>
      <c r="AN95" s="67" vm="4616">
        <f>CUBEVALUE(ConnectionString,ReportMonth,Table1[[#This Row],[Site ID (from DATIM)]],"[Measures].[MMS_32_62]")</f>
        <v>2</v>
      </c>
      <c r="AO95" s="67" vm="4674">
        <f>CUBEVALUE(ConnectionString,ReportMonth,Table1[[#This Row],[Site ID (from DATIM)]],"[Measures].[MMS_63+]")</f>
        <v>12</v>
      </c>
      <c r="AP95" s="67" t="str" vm="5930">
        <f>CUBEVALUE(ConnectionString,ReportMonth,Table1[[#This Row],[Site ID (from DATIM)]],"[Measures].[TBPREV_D]")</f>
        <v/>
      </c>
      <c r="AQ95" s="67" t="str" vm="6958">
        <f>CUBEVALUE(ConnectionString,ReportMonth,Table1[[#This Row],[Site ID (from DATIM)]],"[Measures].[TBPREV_N]")</f>
        <v/>
      </c>
      <c r="AR95" s="67" vm="5474">
        <f>CUBEVALUE(ConnectionString,ReportMonth,Table1[[#This Row],[Site ID (from DATIM)]],"[Measures].[TBPREV_NEW]")</f>
        <v>1</v>
      </c>
      <c r="AS95" s="67" vm="6094">
        <f>CUBEVALUE(ConnectionString,ReportMonth,Table1[[#This Row],[Site ID (from DATIM)]],"[Measures].[HVL_ELIG_P]")</f>
        <v>2</v>
      </c>
      <c r="AT95" s="67" vm="10336">
        <f>CUBEVALUE(ConnectionString,ReportMonth,Table1[[#This Row],[Site ID (from DATIM)]],"[Measures].[HVL_D_P]")</f>
        <v>1</v>
      </c>
      <c r="AU95" s="67" vm="11945">
        <f>CUBEVALUE(ConnectionString,ReportMonth,Table1[[#This Row],[Site ID (from DATIM)]],"[Measures].[HVL_N_P]")</f>
        <v>1</v>
      </c>
      <c r="AV95" s="68" vm="8748">
        <f>CUBEVALUE(ConnectionString,ReportMonth,Table1[[#This Row],[Site ID (from DATIM)]],"[Measures].[HVL_ELIG_A]")</f>
        <v>5</v>
      </c>
      <c r="AW95" s="68" vm="9833">
        <f>CUBEVALUE(ConnectionString,ReportMonth,Table1[[#This Row],[Site ID (from DATIM)]],"[Measures].[HVL_D_A]")</f>
        <v>6</v>
      </c>
      <c r="AX95" s="68" vm="11316">
        <f>CUBEVALUE(ConnectionString,ReportMonth,Table1[[#This Row],[Site ID (from DATIM)]],"[Measures].[HVL_N_A]")</f>
        <v>6</v>
      </c>
      <c r="AY95" s="67"/>
      <c r="AZ95" s="67"/>
      <c r="BA95" s="67"/>
      <c r="BB95" s="67"/>
      <c r="BC95" s="67"/>
      <c r="BD95" s="67"/>
      <c r="BE95" s="67"/>
      <c r="BF95" s="67"/>
      <c r="BG95" s="67" vm="14862">
        <f>CUBEVALUE(ConnectionString,ReportMonth,Table1[[#This Row],[Site ID (from DATIM)]],"[Measures].[TX_NEW_F_A]")</f>
        <v>1</v>
      </c>
      <c r="BH95" s="67" t="str" vm="13165">
        <f>CUBEVALUE(ConnectionString,ReportMonth,Table1[[#This Row],[Site ID (from DATIM)]],"[Measures].[TX_NEW_M_A]")</f>
        <v/>
      </c>
      <c r="BI95" s="67" t="str" vm="16174">
        <f>CUBEVALUE(ConnectionString,ReportMonth,Table1[[#This Row],[Site ID (from DATIM)]],"[Measures].[TX_NEW_F_P]")</f>
        <v/>
      </c>
      <c r="BJ95" s="68" t="str" vm="16179">
        <f>CUBEVALUE(ConnectionString,ReportMonth,Table1[[#This Row],[Site ID (from DATIM)]],"[Measures].[TX_NEW_M_P]")</f>
        <v/>
      </c>
      <c r="BK95" s="68"/>
      <c r="BL95" s="68"/>
      <c r="BM95" s="68"/>
      <c r="BN95" s="68"/>
      <c r="BO95" s="68"/>
      <c r="BP95" s="68"/>
      <c r="BQ95" s="68" vm="9567">
        <f>CUBEVALUE(ConnectionString,ReportMonth,Table1[[#This Row],[Site ID (from DATIM)]],"[Measures].[TX_CURR_F_P]")</f>
        <v>3</v>
      </c>
      <c r="BR95" s="68" t="str" vm="9773">
        <f>CUBEVALUE(ConnectionString,ReportMonth,Table1[[#This Row],[Site ID (from DATIM)]],"[Measures].[TX_CURR_M_P]")</f>
        <v/>
      </c>
      <c r="BS95" s="68" vm="11368">
        <f>CUBEVALUE(ConnectionString,ReportMonth,Table1[[#This Row],[Site ID (from DATIM)]],"[Measures].[TX_CURR_F_A]")</f>
        <v>15</v>
      </c>
      <c r="BT95" s="68" vm="11756">
        <f>CUBEVALUE(ConnectionString,ReportMonth,Table1[[#This Row],[Site ID (from DATIM)]],"[Measures].[TX_CURR_M_A]")</f>
        <v>6</v>
      </c>
      <c r="BU95" s="68" vm="18376">
        <f>CUBEVALUE(ConnectionString,ReportMonth,Table1[[#This Row],[Site ID (from DATIM)]],"[Measures].[MMS_01_89_F_P]")</f>
        <v>2</v>
      </c>
      <c r="BV95" s="68" t="str" vm="19744">
        <f>CUBEVALUE(ConnectionString,ReportMonth,Table1[[#This Row],[Site ID (from DATIM)]],"[Measures].[MMS_01_89_M_P]")</f>
        <v/>
      </c>
      <c r="BW95" s="68" vm="19786">
        <f>CUBEVALUE(ConnectionString,ReportMonth,Table1[[#This Row],[Site ID (from DATIM)]],"[Measures].[MMS_01_89_F_A]")</f>
        <v>6</v>
      </c>
      <c r="BX95" s="68" vm="18001">
        <f>CUBEVALUE(ConnectionString,ReportMonth,Table1[[#This Row],[Site ID (from DATIM)]],"[Measures].[MMS_01_89_M_A]")</f>
        <v>4</v>
      </c>
      <c r="BY95" s="68" vm="19372">
        <f>CUBEVALUE(ConnectionString,ReportMonth,Table1[[#This Row],[Site ID (from DATIM)]],"[Measures].[MMS_90_179_F_P]")</f>
        <v>1</v>
      </c>
      <c r="BZ95" s="68" t="str" vm="18190">
        <f>CUBEVALUE(ConnectionString,ReportMonth,Table1[[#This Row],[Site ID (from DATIM)]],"[Measures].[MMS_90_179_M_P]")</f>
        <v/>
      </c>
      <c r="CA95" s="68" vm="14753">
        <f>CUBEVALUE(ConnectionString,ReportMonth,Table1[[#This Row],[Site ID (from DATIM)]],"[Measures].[MMS_90_179_F_A]")</f>
        <v>9</v>
      </c>
      <c r="CB95" s="68" vm="15376">
        <f>CUBEVALUE(ConnectionString,ReportMonth,Table1[[#This Row],[Site ID (from DATIM)]],"[Measures].[MMS_90_179_M_A]")</f>
        <v>2</v>
      </c>
      <c r="CC95" s="68" t="str" vm="15515">
        <f>CUBEVALUE(ConnectionString,ReportMonth,Table1[[#This Row],[Site ID (from DATIM)]],"[Measures].[MMS_180+_F_P]")</f>
        <v/>
      </c>
      <c r="CD95" s="68" t="str" vm="15470">
        <f>CUBEVALUE(ConnectionString,ReportMonth,Table1[[#This Row],[Site ID (from DATIM)]],"[Measures].[MMS_180+_M_P]")</f>
        <v/>
      </c>
      <c r="CE95" s="68" t="str" vm="14509">
        <f>CUBEVALUE(ConnectionString,ReportMonth,Table1[[#This Row],[Site ID (from DATIM)]],"[Measures].[MMS_180+_F_A]")</f>
        <v/>
      </c>
      <c r="CF95" s="68" t="str" vm="98">
        <f>CUBEVALUE(ConnectionString,ReportMonth,Table1[[#This Row],[Site ID (from DATIM)]],"[Measures].[MMS_180+_M_A]")</f>
        <v/>
      </c>
      <c r="CG95" s="68" vm="8478">
        <f>CUBEVALUE(ConnectionString,ReportMonth,Table1[[#This Row],[Site ID (from DATIM)]],"[Measures].[MISSEDAPP]")</f>
        <v>8</v>
      </c>
      <c r="CH95" s="68" t="str" vm="12207">
        <f>CUBEVALUE(ConnectionString,ReportMonth,Table1[[#This Row],[Site ID (from DATIM)]],"[Measures].[MMS_180+_P]")</f>
        <v/>
      </c>
      <c r="CI95" s="68" t="str" vm="17437">
        <f>CUBEVALUE(ConnectionString,ReportMonth,Table1[[#This Row],[Site ID (from DATIM)]],"[Measures].[MMS_180+_A]")</f>
        <v/>
      </c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</row>
    <row r="96" spans="1:107" x14ac:dyDescent="0.25">
      <c r="A96" s="66">
        <v>3</v>
      </c>
      <c r="B96" s="67" t="str" vm="4">
        <f t="shared" si="2"/>
        <v>Mar-2021</v>
      </c>
      <c r="C96" s="67"/>
      <c r="D96" s="67" t="s">
        <v>232</v>
      </c>
      <c r="E96" s="67" t="s">
        <v>233</v>
      </c>
      <c r="F96" s="67" t="s">
        <v>437</v>
      </c>
      <c r="G96" s="67"/>
      <c r="H96" s="67" t="s">
        <v>438</v>
      </c>
      <c r="I96" s="67" t="s">
        <v>545</v>
      </c>
      <c r="J96" s="67" t="s">
        <v>546</v>
      </c>
      <c r="K96" s="67" t="s">
        <v>547</v>
      </c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 t="str" vm="3467">
        <f>CUBEVALUE(ConnectionString,ReportMonth,Table1[[#This Row],[Site ID (from DATIM)]],"TX_NEW_2VIS")</f>
        <v/>
      </c>
      <c r="AE96" s="67" t="str" vm="1873">
        <f>CUBEVALUE(ConnectionString,ReportMonth,Table1[[#This Row],[Site ID (from DATIM)]],INDEX(SDI_Measures,1))</f>
        <v/>
      </c>
      <c r="AF96" s="67" t="str" vm="1629">
        <f>CUBEVALUE(ConnectionString,ReportMonth,Table1[[#This Row],[Site ID (from DATIM)]],INDEX(SDI_Measures,2))</f>
        <v/>
      </c>
      <c r="AG96" s="67" t="str" vm="1717">
        <f>CUBEVALUE(ConnectionString,ReportMonth,Table1[[#This Row],[Site ID (from DATIM)]],INDEX(SDI_Measures,3))</f>
        <v/>
      </c>
      <c r="AH96" s="67" t="str" vm="774">
        <f>CUBEVALUE(ConnectionString,ReportMonth,Table1[[#This Row],[Site ID (from DATIM)]],"TX_CURR_PRIOR_MONTH")</f>
        <v/>
      </c>
      <c r="AI96" s="67" t="str" vm="2078">
        <f>CUBEVALUE(ConnectionString,ReportMonth,Table1[[#This Row],[Site ID (from DATIM)]],"TX_CURR")</f>
        <v/>
      </c>
      <c r="AJ96" s="67" t="str" vm="4607">
        <f>CUBEVALUE(ConnectionString,ReportMonth,Table1[[#This Row],[Site ID (from DATIM)]],"[Measures].[TI]")</f>
        <v/>
      </c>
      <c r="AK96" s="67" t="str" vm="1497">
        <f>CUBEVALUE(ConnectionString,ReportMonth,Table1[[#This Row],[Site ID (from DATIM)]],"[Measures].[TO]")</f>
        <v/>
      </c>
      <c r="AL96" s="67" t="str" vm="2797">
        <f>CUBEVALUE(ConnectionString,ReportMonth,Table1[[#This Row],[Site ID (from DATIM)]],"[Measures].[DIED]")</f>
        <v/>
      </c>
      <c r="AM96" s="67" t="str" vm="4399">
        <f>CUBEVALUE(ConnectionString,ReportMonth,Table1[[#This Row],[Site ID (from DATIM)]],"[Measures].[MMS_01_31]")</f>
        <v/>
      </c>
      <c r="AN96" s="67" t="str" vm="6853">
        <f>CUBEVALUE(ConnectionString,ReportMonth,Table1[[#This Row],[Site ID (from DATIM)]],"[Measures].[MMS_32_62]")</f>
        <v/>
      </c>
      <c r="AO96" s="67" t="str" vm="9156">
        <f>CUBEVALUE(ConnectionString,ReportMonth,Table1[[#This Row],[Site ID (from DATIM)]],"[Measures].[MMS_63+]")</f>
        <v/>
      </c>
      <c r="AP96" s="67" t="str" vm="5716">
        <f>CUBEVALUE(ConnectionString,ReportMonth,Table1[[#This Row],[Site ID (from DATIM)]],"[Measures].[TBPREV_D]")</f>
        <v/>
      </c>
      <c r="AQ96" s="67" t="str" vm="5057">
        <f>CUBEVALUE(ConnectionString,ReportMonth,Table1[[#This Row],[Site ID (from DATIM)]],"[Measures].[TBPREV_N]")</f>
        <v/>
      </c>
      <c r="AR96" s="67" t="str" vm="7413">
        <f>CUBEVALUE(ConnectionString,ReportMonth,Table1[[#This Row],[Site ID (from DATIM)]],"[Measures].[TBPREV_NEW]")</f>
        <v/>
      </c>
      <c r="AS96" s="67" t="str" vm="9541">
        <f>CUBEVALUE(ConnectionString,ReportMonth,Table1[[#This Row],[Site ID (from DATIM)]],"[Measures].[HVL_ELIG_P]")</f>
        <v/>
      </c>
      <c r="AT96" s="67" t="str" vm="7135">
        <f>CUBEVALUE(ConnectionString,ReportMonth,Table1[[#This Row],[Site ID (from DATIM)]],"[Measures].[HVL_D_P]")</f>
        <v/>
      </c>
      <c r="AU96" s="67" t="str" vm="10587">
        <f>CUBEVALUE(ConnectionString,ReportMonth,Table1[[#This Row],[Site ID (from DATIM)]],"[Measures].[HVL_N_P]")</f>
        <v/>
      </c>
      <c r="AV96" s="68" t="str" vm="8186">
        <f>CUBEVALUE(ConnectionString,ReportMonth,Table1[[#This Row],[Site ID (from DATIM)]],"[Measures].[HVL_ELIG_A]")</f>
        <v/>
      </c>
      <c r="AW96" s="68" t="str" vm="9800">
        <f>CUBEVALUE(ConnectionString,ReportMonth,Table1[[#This Row],[Site ID (from DATIM)]],"[Measures].[HVL_D_A]")</f>
        <v/>
      </c>
      <c r="AX96" s="68" t="str" vm="8283">
        <f>CUBEVALUE(ConnectionString,ReportMonth,Table1[[#This Row],[Site ID (from DATIM)]],"[Measures].[HVL_N_A]")</f>
        <v/>
      </c>
      <c r="AY96" s="67"/>
      <c r="AZ96" s="67"/>
      <c r="BA96" s="67"/>
      <c r="BB96" s="67"/>
      <c r="BC96" s="67"/>
      <c r="BD96" s="67"/>
      <c r="BE96" s="67"/>
      <c r="BF96" s="67"/>
      <c r="BG96" s="67" t="str" vm="11669">
        <f>CUBEVALUE(ConnectionString,ReportMonth,Table1[[#This Row],[Site ID (from DATIM)]],"[Measures].[TX_NEW_F_A]")</f>
        <v/>
      </c>
      <c r="BH96" s="67" t="str" vm="13251">
        <f>CUBEVALUE(ConnectionString,ReportMonth,Table1[[#This Row],[Site ID (from DATIM)]],"[Measures].[TX_NEW_M_A]")</f>
        <v/>
      </c>
      <c r="BI96" s="67" t="str" vm="16137">
        <f>CUBEVALUE(ConnectionString,ReportMonth,Table1[[#This Row],[Site ID (from DATIM)]],"[Measures].[TX_NEW_F_P]")</f>
        <v/>
      </c>
      <c r="BJ96" s="68" t="str" vm="14240">
        <f>CUBEVALUE(ConnectionString,ReportMonth,Table1[[#This Row],[Site ID (from DATIM)]],"[Measures].[TX_NEW_M_P]")</f>
        <v/>
      </c>
      <c r="BK96" s="68"/>
      <c r="BL96" s="68"/>
      <c r="BM96" s="68"/>
      <c r="BN96" s="68"/>
      <c r="BO96" s="68"/>
      <c r="BP96" s="68"/>
      <c r="BQ96" s="68" t="str" vm="10388">
        <f>CUBEVALUE(ConnectionString,ReportMonth,Table1[[#This Row],[Site ID (from DATIM)]],"[Measures].[TX_CURR_F_P]")</f>
        <v/>
      </c>
      <c r="BR96" s="68" t="str" vm="14369">
        <f>CUBEVALUE(ConnectionString,ReportMonth,Table1[[#This Row],[Site ID (from DATIM)]],"[Measures].[TX_CURR_M_P]")</f>
        <v/>
      </c>
      <c r="BS96" s="68" t="str" vm="10707">
        <f>CUBEVALUE(ConnectionString,ReportMonth,Table1[[#This Row],[Site ID (from DATIM)]],"[Measures].[TX_CURR_F_A]")</f>
        <v/>
      </c>
      <c r="BT96" s="68" t="str" vm="8697">
        <f>CUBEVALUE(ConnectionString,ReportMonth,Table1[[#This Row],[Site ID (from DATIM)]],"[Measures].[TX_CURR_M_A]")</f>
        <v/>
      </c>
      <c r="BU96" s="68" t="str" vm="18328">
        <f>CUBEVALUE(ConnectionString,ReportMonth,Table1[[#This Row],[Site ID (from DATIM)]],"[Measures].[MMS_01_89_F_P]")</f>
        <v/>
      </c>
      <c r="BV96" s="68" t="str" vm="18683">
        <f>CUBEVALUE(ConnectionString,ReportMonth,Table1[[#This Row],[Site ID (from DATIM)]],"[Measures].[MMS_01_89_M_P]")</f>
        <v/>
      </c>
      <c r="BW96" s="68" t="str" vm="19240">
        <f>CUBEVALUE(ConnectionString,ReportMonth,Table1[[#This Row],[Site ID (from DATIM)]],"[Measures].[MMS_01_89_F_A]")</f>
        <v/>
      </c>
      <c r="BX96" s="68" t="str" vm="16099">
        <f>CUBEVALUE(ConnectionString,ReportMonth,Table1[[#This Row],[Site ID (from DATIM)]],"[Measures].[MMS_01_89_M_A]")</f>
        <v/>
      </c>
      <c r="BY96" s="68" t="str" vm="19663">
        <f>CUBEVALUE(ConnectionString,ReportMonth,Table1[[#This Row],[Site ID (from DATIM)]],"[Measures].[MMS_90_179_F_P]")</f>
        <v/>
      </c>
      <c r="BZ96" s="68" t="str" vm="16959">
        <f>CUBEVALUE(ConnectionString,ReportMonth,Table1[[#This Row],[Site ID (from DATIM)]],"[Measures].[MMS_90_179_M_P]")</f>
        <v/>
      </c>
      <c r="CA96" s="68" t="str" vm="16936">
        <f>CUBEVALUE(ConnectionString,ReportMonth,Table1[[#This Row],[Site ID (from DATIM)]],"[Measures].[MMS_90_179_F_A]")</f>
        <v/>
      </c>
      <c r="CB96" s="68" t="str" vm="17316">
        <f>CUBEVALUE(ConnectionString,ReportMonth,Table1[[#This Row],[Site ID (from DATIM)]],"[Measures].[MMS_90_179_M_A]")</f>
        <v/>
      </c>
      <c r="CC96" s="68" t="str" vm="15394">
        <f>CUBEVALUE(ConnectionString,ReportMonth,Table1[[#This Row],[Site ID (from DATIM)]],"[Measures].[MMS_180+_F_P]")</f>
        <v/>
      </c>
      <c r="CD96" s="68" t="str" vm="14587">
        <f>CUBEVALUE(ConnectionString,ReportMonth,Table1[[#This Row],[Site ID (from DATIM)]],"[Measures].[MMS_180+_M_P]")</f>
        <v/>
      </c>
      <c r="CE96" s="68" t="str" vm="15452">
        <f>CUBEVALUE(ConnectionString,ReportMonth,Table1[[#This Row],[Site ID (from DATIM)]],"[Measures].[MMS_180+_F_A]")</f>
        <v/>
      </c>
      <c r="CF96" s="68" t="str" vm="17525">
        <f>CUBEVALUE(ConnectionString,ReportMonth,Table1[[#This Row],[Site ID (from DATIM)]],"[Measures].[MMS_180+_M_A]")</f>
        <v/>
      </c>
      <c r="CG96" s="68" t="str" vm="12080">
        <f>CUBEVALUE(ConnectionString,ReportMonth,Table1[[#This Row],[Site ID (from DATIM)]],"[Measures].[MISSEDAPP]")</f>
        <v/>
      </c>
      <c r="CH96" s="68" t="str" vm="10364">
        <f>CUBEVALUE(ConnectionString,ReportMonth,Table1[[#This Row],[Site ID (from DATIM)]],"[Measures].[MMS_180+_P]")</f>
        <v/>
      </c>
      <c r="CI96" s="68" t="str" vm="16186">
        <f>CUBEVALUE(ConnectionString,ReportMonth,Table1[[#This Row],[Site ID (from DATIM)]],"[Measures].[MMS_180+_A]")</f>
        <v/>
      </c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</row>
    <row r="97" spans="1:107" x14ac:dyDescent="0.25">
      <c r="A97" s="66">
        <v>4</v>
      </c>
      <c r="B97" s="67" t="str" vm="4">
        <f t="shared" si="2"/>
        <v>Mar-2021</v>
      </c>
      <c r="C97" s="67"/>
      <c r="D97" s="67" t="s">
        <v>232</v>
      </c>
      <c r="E97" s="67" t="s">
        <v>233</v>
      </c>
      <c r="F97" s="67" t="s">
        <v>437</v>
      </c>
      <c r="G97" s="67"/>
      <c r="H97" s="67" t="s">
        <v>438</v>
      </c>
      <c r="I97" s="67" t="s">
        <v>545</v>
      </c>
      <c r="J97" s="67" t="s">
        <v>548</v>
      </c>
      <c r="K97" s="67" t="s">
        <v>549</v>
      </c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 t="str" vm="1000">
        <f>CUBEVALUE(ConnectionString,ReportMonth,Table1[[#This Row],[Site ID (from DATIM)]],"TX_NEW_2VIS")</f>
        <v/>
      </c>
      <c r="AE97" s="67" t="str" vm="3721">
        <f>CUBEVALUE(ConnectionString,ReportMonth,Table1[[#This Row],[Site ID (from DATIM)]],INDEX(SDI_Measures,1))</f>
        <v/>
      </c>
      <c r="AF97" s="67" t="str" vm="424">
        <f>CUBEVALUE(ConnectionString,ReportMonth,Table1[[#This Row],[Site ID (from DATIM)]],INDEX(SDI_Measures,2))</f>
        <v/>
      </c>
      <c r="AG97" s="67" t="str" vm="1044">
        <f>CUBEVALUE(ConnectionString,ReportMonth,Table1[[#This Row],[Site ID (from DATIM)]],INDEX(SDI_Measures,3))</f>
        <v/>
      </c>
      <c r="AH97" s="67" vm="5860">
        <f>CUBEVALUE(ConnectionString,ReportMonth,Table1[[#This Row],[Site ID (from DATIM)]],"TX_CURR_PRIOR_MONTH")</f>
        <v>7</v>
      </c>
      <c r="AI97" s="67" vm="1889">
        <f>CUBEVALUE(ConnectionString,ReportMonth,Table1[[#This Row],[Site ID (from DATIM)]],"TX_CURR")</f>
        <v>5</v>
      </c>
      <c r="AJ97" s="67" t="str" vm="2312">
        <f>CUBEVALUE(ConnectionString,ReportMonth,Table1[[#This Row],[Site ID (from DATIM)]],"[Measures].[TI]")</f>
        <v/>
      </c>
      <c r="AK97" s="67" t="str" vm="3450">
        <f>CUBEVALUE(ConnectionString,ReportMonth,Table1[[#This Row],[Site ID (from DATIM)]],"[Measures].[TO]")</f>
        <v/>
      </c>
      <c r="AL97" s="67" t="str" vm="4355">
        <f>CUBEVALUE(ConnectionString,ReportMonth,Table1[[#This Row],[Site ID (from DATIM)]],"[Measures].[DIED]")</f>
        <v/>
      </c>
      <c r="AM97" s="67" vm="5193">
        <f>CUBEVALUE(ConnectionString,ReportMonth,Table1[[#This Row],[Site ID (from DATIM)]],"[Measures].[MMS_01_31]")</f>
        <v>5</v>
      </c>
      <c r="AN97" s="67" t="str" vm="5531">
        <f>CUBEVALUE(ConnectionString,ReportMonth,Table1[[#This Row],[Site ID (from DATIM)]],"[Measures].[MMS_32_62]")</f>
        <v/>
      </c>
      <c r="AO97" s="67" t="str" vm="9813">
        <f>CUBEVALUE(ConnectionString,ReportMonth,Table1[[#This Row],[Site ID (from DATIM)]],"[Measures].[MMS_63+]")</f>
        <v/>
      </c>
      <c r="AP97" s="67" t="str" vm="7542">
        <f>CUBEVALUE(ConnectionString,ReportMonth,Table1[[#This Row],[Site ID (from DATIM)]],"[Measures].[TBPREV_D]")</f>
        <v/>
      </c>
      <c r="AQ97" s="67" t="str" vm="5195">
        <f>CUBEVALUE(ConnectionString,ReportMonth,Table1[[#This Row],[Site ID (from DATIM)]],"[Measures].[TBPREV_N]")</f>
        <v/>
      </c>
      <c r="AR97" s="67" t="str" vm="8875">
        <f>CUBEVALUE(ConnectionString,ReportMonth,Table1[[#This Row],[Site ID (from DATIM)]],"[Measures].[TBPREV_NEW]")</f>
        <v/>
      </c>
      <c r="AS97" s="67" t="str" vm="7003">
        <f>CUBEVALUE(ConnectionString,ReportMonth,Table1[[#This Row],[Site ID (from DATIM)]],"[Measures].[HVL_ELIG_P]")</f>
        <v/>
      </c>
      <c r="AT97" s="67" t="str" vm="9500">
        <f>CUBEVALUE(ConnectionString,ReportMonth,Table1[[#This Row],[Site ID (from DATIM)]],"[Measures].[HVL_D_P]")</f>
        <v/>
      </c>
      <c r="AU97" s="67" t="str" vm="10305">
        <f>CUBEVALUE(ConnectionString,ReportMonth,Table1[[#This Row],[Site ID (from DATIM)]],"[Measures].[HVL_N_P]")</f>
        <v/>
      </c>
      <c r="AV97" s="68" vm="8200">
        <f>CUBEVALUE(ConnectionString,ReportMonth,Table1[[#This Row],[Site ID (from DATIM)]],"[Measures].[HVL_ELIG_A]")</f>
        <v>5</v>
      </c>
      <c r="AW97" s="68" t="str" vm="9431">
        <f>CUBEVALUE(ConnectionString,ReportMonth,Table1[[#This Row],[Site ID (from DATIM)]],"[Measures].[HVL_D_A]")</f>
        <v/>
      </c>
      <c r="AX97" s="68" t="str" vm="6795">
        <f>CUBEVALUE(ConnectionString,ReportMonth,Table1[[#This Row],[Site ID (from DATIM)]],"[Measures].[HVL_N_A]")</f>
        <v/>
      </c>
      <c r="AY97" s="67"/>
      <c r="AZ97" s="67"/>
      <c r="BA97" s="67"/>
      <c r="BB97" s="67"/>
      <c r="BC97" s="67"/>
      <c r="BD97" s="67"/>
      <c r="BE97" s="67"/>
      <c r="BF97" s="67"/>
      <c r="BG97" s="67" t="str" vm="13520">
        <f>CUBEVALUE(ConnectionString,ReportMonth,Table1[[#This Row],[Site ID (from DATIM)]],"[Measures].[TX_NEW_F_A]")</f>
        <v/>
      </c>
      <c r="BH97" s="67" t="str" vm="12708">
        <f>CUBEVALUE(ConnectionString,ReportMonth,Table1[[#This Row],[Site ID (from DATIM)]],"[Measures].[TX_NEW_M_A]")</f>
        <v/>
      </c>
      <c r="BI97" s="67" t="str" vm="14274">
        <f>CUBEVALUE(ConnectionString,ReportMonth,Table1[[#This Row],[Site ID (from DATIM)]],"[Measures].[TX_NEW_F_P]")</f>
        <v/>
      </c>
      <c r="BJ97" s="68" t="str" vm="16178">
        <f>CUBEVALUE(ConnectionString,ReportMonth,Table1[[#This Row],[Site ID (from DATIM)]],"[Measures].[TX_NEW_M_P]")</f>
        <v/>
      </c>
      <c r="BK97" s="68"/>
      <c r="BL97" s="68"/>
      <c r="BM97" s="68"/>
      <c r="BN97" s="68"/>
      <c r="BO97" s="68"/>
      <c r="BP97" s="68"/>
      <c r="BQ97" s="68" t="str" vm="8743">
        <f>CUBEVALUE(ConnectionString,ReportMonth,Table1[[#This Row],[Site ID (from DATIM)]],"[Measures].[TX_CURR_F_P]")</f>
        <v/>
      </c>
      <c r="BR97" s="68" t="str" vm="8380">
        <f>CUBEVALUE(ConnectionString,ReportMonth,Table1[[#This Row],[Site ID (from DATIM)]],"[Measures].[TX_CURR_M_P]")</f>
        <v/>
      </c>
      <c r="BS97" s="68" vm="10335">
        <f>CUBEVALUE(ConnectionString,ReportMonth,Table1[[#This Row],[Site ID (from DATIM)]],"[Measures].[TX_CURR_F_A]")</f>
        <v>5</v>
      </c>
      <c r="BT97" s="68" t="str" vm="12156">
        <f>CUBEVALUE(ConnectionString,ReportMonth,Table1[[#This Row],[Site ID (from DATIM)]],"[Measures].[TX_CURR_M_A]")</f>
        <v/>
      </c>
      <c r="BU97" s="68" t="str" vm="19534">
        <f>CUBEVALUE(ConnectionString,ReportMonth,Table1[[#This Row],[Site ID (from DATIM)]],"[Measures].[MMS_01_89_F_P]")</f>
        <v/>
      </c>
      <c r="BV97" s="68" t="str" vm="19221">
        <f>CUBEVALUE(ConnectionString,ReportMonth,Table1[[#This Row],[Site ID (from DATIM)]],"[Measures].[MMS_01_89_M_P]")</f>
        <v/>
      </c>
      <c r="BW97" s="68" vm="18958">
        <f>CUBEVALUE(ConnectionString,ReportMonth,Table1[[#This Row],[Site ID (from DATIM)]],"[Measures].[MMS_01_89_F_A]")</f>
        <v>5</v>
      </c>
      <c r="BX97" s="68" t="str" vm="19338">
        <f>CUBEVALUE(ConnectionString,ReportMonth,Table1[[#This Row],[Site ID (from DATIM)]],"[Measures].[MMS_01_89_M_A]")</f>
        <v/>
      </c>
      <c r="BY97" s="68" t="str" vm="15216">
        <f>CUBEVALUE(ConnectionString,ReportMonth,Table1[[#This Row],[Site ID (from DATIM)]],"[Measures].[MMS_90_179_F_P]")</f>
        <v/>
      </c>
      <c r="BZ97" s="68" t="str" vm="17889">
        <f>CUBEVALUE(ConnectionString,ReportMonth,Table1[[#This Row],[Site ID (from DATIM)]],"[Measures].[MMS_90_179_M_P]")</f>
        <v/>
      </c>
      <c r="CA97" s="68" t="str" vm="14712">
        <f>CUBEVALUE(ConnectionString,ReportMonth,Table1[[#This Row],[Site ID (from DATIM)]],"[Measures].[MMS_90_179_F_A]")</f>
        <v/>
      </c>
      <c r="CB97" s="68" t="str" vm="14724">
        <f>CUBEVALUE(ConnectionString,ReportMonth,Table1[[#This Row],[Site ID (from DATIM)]],"[Measures].[MMS_90_179_M_A]")</f>
        <v/>
      </c>
      <c r="CC97" s="68" t="str" vm="15014">
        <f>CUBEVALUE(ConnectionString,ReportMonth,Table1[[#This Row],[Site ID (from DATIM)]],"[Measures].[MMS_180+_F_P]")</f>
        <v/>
      </c>
      <c r="CD97" s="68" t="str" vm="17489">
        <f>CUBEVALUE(ConnectionString,ReportMonth,Table1[[#This Row],[Site ID (from DATIM)]],"[Measures].[MMS_180+_M_P]")</f>
        <v/>
      </c>
      <c r="CE97" s="68" t="str" vm="20216">
        <f>CUBEVALUE(ConnectionString,ReportMonth,Table1[[#This Row],[Site ID (from DATIM)]],"[Measures].[MMS_180+_F_A]")</f>
        <v/>
      </c>
      <c r="CF97" s="68" t="str" vm="17495">
        <f>CUBEVALUE(ConnectionString,ReportMonth,Table1[[#This Row],[Site ID (from DATIM)]],"[Measures].[MMS_180+_M_A]")</f>
        <v/>
      </c>
      <c r="CG97" s="68" vm="11369">
        <f>CUBEVALUE(ConnectionString,ReportMonth,Table1[[#This Row],[Site ID (from DATIM)]],"[Measures].[MISSEDAPP]")</f>
        <v>5</v>
      </c>
      <c r="CH97" s="68" t="str" vm="11943">
        <f>CUBEVALUE(ConnectionString,ReportMonth,Table1[[#This Row],[Site ID (from DATIM)]],"[Measures].[MMS_180+_P]")</f>
        <v/>
      </c>
      <c r="CI97" s="68" t="str" vm="10358">
        <f>CUBEVALUE(ConnectionString,ReportMonth,Table1[[#This Row],[Site ID (from DATIM)]],"[Measures].[MMS_180+_A]")</f>
        <v/>
      </c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</row>
    <row r="98" spans="1:107" x14ac:dyDescent="0.25">
      <c r="A98" s="66">
        <v>2</v>
      </c>
      <c r="B98" s="67" t="str" vm="4">
        <f t="shared" si="2"/>
        <v>Mar-2021</v>
      </c>
      <c r="C98" s="67"/>
      <c r="D98" s="67" t="s">
        <v>232</v>
      </c>
      <c r="E98" s="67" t="s">
        <v>233</v>
      </c>
      <c r="F98" s="67" t="s">
        <v>831</v>
      </c>
      <c r="G98" s="67"/>
      <c r="H98" s="67" t="s">
        <v>867</v>
      </c>
      <c r="I98" s="67" t="s">
        <v>871</v>
      </c>
      <c r="J98" s="67" t="s">
        <v>872</v>
      </c>
      <c r="K98" s="67" t="s">
        <v>873</v>
      </c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 vm="1180">
        <f>CUBEVALUE(ConnectionString,ReportMonth,Table1[[#This Row],[Site ID (from DATIM)]],"TX_NEW_2VIS")</f>
        <v>2</v>
      </c>
      <c r="AE98" s="67" vm="10124">
        <f>CUBEVALUE(ConnectionString,ReportMonth,Table1[[#This Row],[Site ID (from DATIM)]],INDEX(SDI_Measures,1))</f>
        <v>1</v>
      </c>
      <c r="AF98" s="67" t="str" vm="7390">
        <f>CUBEVALUE(ConnectionString,ReportMonth,Table1[[#This Row],[Site ID (from DATIM)]],INDEX(SDI_Measures,2))</f>
        <v/>
      </c>
      <c r="AG98" s="67" t="str" vm="1761">
        <f>CUBEVALUE(ConnectionString,ReportMonth,Table1[[#This Row],[Site ID (from DATIM)]],INDEX(SDI_Measures,3))</f>
        <v/>
      </c>
      <c r="AH98" s="67" vm="2057">
        <f>CUBEVALUE(ConnectionString,ReportMonth,Table1[[#This Row],[Site ID (from DATIM)]],"TX_CURR_PRIOR_MONTH")</f>
        <v>1003</v>
      </c>
      <c r="AI98" s="67" vm="1017">
        <f>CUBEVALUE(ConnectionString,ReportMonth,Table1[[#This Row],[Site ID (from DATIM)]],"TX_CURR")</f>
        <v>996</v>
      </c>
      <c r="AJ98" s="67" t="str" vm="4327">
        <f>CUBEVALUE(ConnectionString,ReportMonth,Table1[[#This Row],[Site ID (from DATIM)]],"[Measures].[TI]")</f>
        <v/>
      </c>
      <c r="AK98" s="67" vm="3128">
        <f>CUBEVALUE(ConnectionString,ReportMonth,Table1[[#This Row],[Site ID (from DATIM)]],"[Measures].[TO]")</f>
        <v>2</v>
      </c>
      <c r="AL98" s="67" t="str" vm="2716">
        <f>CUBEVALUE(ConnectionString,ReportMonth,Table1[[#This Row],[Site ID (from DATIM)]],"[Measures].[DIED]")</f>
        <v/>
      </c>
      <c r="AM98" s="67" vm="6661">
        <f>CUBEVALUE(ConnectionString,ReportMonth,Table1[[#This Row],[Site ID (from DATIM)]],"[Measures].[MMS_01_31]")</f>
        <v>87</v>
      </c>
      <c r="AN98" s="67" vm="4174">
        <f>CUBEVALUE(ConnectionString,ReportMonth,Table1[[#This Row],[Site ID (from DATIM)]],"[Measures].[MMS_32_62]")</f>
        <v>15</v>
      </c>
      <c r="AO98" s="67" vm="9463">
        <f>CUBEVALUE(ConnectionString,ReportMonth,Table1[[#This Row],[Site ID (from DATIM)]],"[Measures].[MMS_63+]")</f>
        <v>894</v>
      </c>
      <c r="AP98" s="67" vm="5334">
        <f>CUBEVALUE(ConnectionString,ReportMonth,Table1[[#This Row],[Site ID (from DATIM)]],"[Measures].[TBPREV_D]")</f>
        <v>41</v>
      </c>
      <c r="AQ98" s="67" vm="6236">
        <f>CUBEVALUE(ConnectionString,ReportMonth,Table1[[#This Row],[Site ID (from DATIM)]],"[Measures].[TBPREV_N]")</f>
        <v>32</v>
      </c>
      <c r="AR98" s="67" vm="7120">
        <f>CUBEVALUE(ConnectionString,ReportMonth,Table1[[#This Row],[Site ID (from DATIM)]],"[Measures].[TBPREV_NEW]")</f>
        <v>6</v>
      </c>
      <c r="AS98" s="67" vm="9406">
        <f>CUBEVALUE(ConnectionString,ReportMonth,Table1[[#This Row],[Site ID (from DATIM)]],"[Measures].[HVL_ELIG_P]")</f>
        <v>49</v>
      </c>
      <c r="AT98" s="67" vm="10275">
        <f>CUBEVALUE(ConnectionString,ReportMonth,Table1[[#This Row],[Site ID (from DATIM)]],"[Measures].[HVL_D_P]")</f>
        <v>50</v>
      </c>
      <c r="AU98" s="67" vm="7049">
        <f>CUBEVALUE(ConnectionString,ReportMonth,Table1[[#This Row],[Site ID (from DATIM)]],"[Measures].[HVL_N_P]")</f>
        <v>48</v>
      </c>
      <c r="AV98" s="68" vm="9471">
        <f>CUBEVALUE(ConnectionString,ReportMonth,Table1[[#This Row],[Site ID (from DATIM)]],"[Measures].[HVL_ELIG_A]")</f>
        <v>911</v>
      </c>
      <c r="AW98" s="68" vm="9706">
        <f>CUBEVALUE(ConnectionString,ReportMonth,Table1[[#This Row],[Site ID (from DATIM)]],"[Measures].[HVL_D_A]")</f>
        <v>901</v>
      </c>
      <c r="AX98" s="68" vm="8195">
        <f>CUBEVALUE(ConnectionString,ReportMonth,Table1[[#This Row],[Site ID (from DATIM)]],"[Measures].[HVL_N_A]")</f>
        <v>880</v>
      </c>
      <c r="AY98" s="67"/>
      <c r="AZ98" s="67"/>
      <c r="BA98" s="67"/>
      <c r="BB98" s="67"/>
      <c r="BC98" s="67"/>
      <c r="BD98" s="67"/>
      <c r="BE98" s="67"/>
      <c r="BF98" s="67"/>
      <c r="BG98" s="67" t="str" vm="10128">
        <f>CUBEVALUE(ConnectionString,ReportMonth,Table1[[#This Row],[Site ID (from DATIM)]],"[Measures].[TX_NEW_F_A]")</f>
        <v/>
      </c>
      <c r="BH98" s="67" vm="11674">
        <f>CUBEVALUE(ConnectionString,ReportMonth,Table1[[#This Row],[Site ID (from DATIM)]],"[Measures].[TX_NEW_M_A]")</f>
        <v>1</v>
      </c>
      <c r="BI98" s="67" t="str" vm="13068">
        <f>CUBEVALUE(ConnectionString,ReportMonth,Table1[[#This Row],[Site ID (from DATIM)]],"[Measures].[TX_NEW_F_P]")</f>
        <v/>
      </c>
      <c r="BJ98" s="68" t="str" vm="15260">
        <f>CUBEVALUE(ConnectionString,ReportMonth,Table1[[#This Row],[Site ID (from DATIM)]],"[Measures].[TX_NEW_M_P]")</f>
        <v/>
      </c>
      <c r="BK98" s="68"/>
      <c r="BL98" s="68"/>
      <c r="BM98" s="68"/>
      <c r="BN98" s="68"/>
      <c r="BO98" s="68"/>
      <c r="BP98" s="68"/>
      <c r="BQ98" s="68" vm="8100">
        <f>CUBEVALUE(ConnectionString,ReportMonth,Table1[[#This Row],[Site ID (from DATIM)]],"[Measures].[TX_CURR_F_P]")</f>
        <v>23</v>
      </c>
      <c r="BR98" s="68" vm="8651">
        <f>CUBEVALUE(ConnectionString,ReportMonth,Table1[[#This Row],[Site ID (from DATIM)]],"[Measures].[TX_CURR_M_P]")</f>
        <v>28</v>
      </c>
      <c r="BS98" s="68" vm="8519">
        <f>CUBEVALUE(ConnectionString,ReportMonth,Table1[[#This Row],[Site ID (from DATIM)]],"[Measures].[TX_CURR_F_A]")</f>
        <v>647</v>
      </c>
      <c r="BT98" s="68" vm="12111">
        <f>CUBEVALUE(ConnectionString,ReportMonth,Table1[[#This Row],[Site ID (from DATIM)]],"[Measures].[TX_CURR_M_A]")</f>
        <v>302</v>
      </c>
      <c r="BU98" s="68" vm="18337">
        <f>CUBEVALUE(ConnectionString,ReportMonth,Table1[[#This Row],[Site ID (from DATIM)]],"[Measures].[MMS_01_89_F_P]")</f>
        <v>5</v>
      </c>
      <c r="BV98" s="68" vm="18742">
        <f>CUBEVALUE(ConnectionString,ReportMonth,Table1[[#This Row],[Site ID (from DATIM)]],"[Measures].[MMS_01_89_M_P]")</f>
        <v>6</v>
      </c>
      <c r="BW98" s="68" vm="18014">
        <f>CUBEVALUE(ConnectionString,ReportMonth,Table1[[#This Row],[Site ID (from DATIM)]],"[Measures].[MMS_01_89_F_A]")</f>
        <v>64</v>
      </c>
      <c r="BX98" s="68" vm="18233">
        <f>CUBEVALUE(ConnectionString,ReportMonth,Table1[[#This Row],[Site ID (from DATIM)]],"[Measures].[MMS_01_89_M_A]")</f>
        <v>27</v>
      </c>
      <c r="BY98" s="68" vm="19881">
        <f>CUBEVALUE(ConnectionString,ReportMonth,Table1[[#This Row],[Site ID (from DATIM)]],"[Measures].[MMS_90_179_F_P]")</f>
        <v>18</v>
      </c>
      <c r="BZ98" s="68" vm="14733">
        <f>CUBEVALUE(ConnectionString,ReportMonth,Table1[[#This Row],[Site ID (from DATIM)]],"[Measures].[MMS_90_179_M_P]")</f>
        <v>22</v>
      </c>
      <c r="CA98" s="68" vm="14695">
        <f>CUBEVALUE(ConnectionString,ReportMonth,Table1[[#This Row],[Site ID (from DATIM)]],"[Measures].[MMS_90_179_F_A]")</f>
        <v>582</v>
      </c>
      <c r="CB98" s="68" vm="16503">
        <f>CUBEVALUE(ConnectionString,ReportMonth,Table1[[#This Row],[Site ID (from DATIM)]],"[Measures].[MMS_90_179_M_A]")</f>
        <v>275</v>
      </c>
      <c r="CC98" s="68" t="str" vm="17492">
        <f>CUBEVALUE(ConnectionString,ReportMonth,Table1[[#This Row],[Site ID (from DATIM)]],"[Measures].[MMS_180+_F_P]")</f>
        <v/>
      </c>
      <c r="CD98" s="68" t="str" vm="14569">
        <f>CUBEVALUE(ConnectionString,ReportMonth,Table1[[#This Row],[Site ID (from DATIM)]],"[Measures].[MMS_180+_M_P]")</f>
        <v/>
      </c>
      <c r="CE98" s="68" vm="20177">
        <f>CUBEVALUE(ConnectionString,ReportMonth,Table1[[#This Row],[Site ID (from DATIM)]],"[Measures].[MMS_180+_F_A]")</f>
        <v>1</v>
      </c>
      <c r="CF98" s="68" t="str" vm="14952">
        <f>CUBEVALUE(ConnectionString,ReportMonth,Table1[[#This Row],[Site ID (from DATIM)]],"[Measures].[MMS_180+_M_A]")</f>
        <v/>
      </c>
      <c r="CG98" s="68" vm="6228">
        <f>CUBEVALUE(ConnectionString,ReportMonth,Table1[[#This Row],[Site ID (from DATIM)]],"[Measures].[MISSEDAPP]")</f>
        <v>192</v>
      </c>
      <c r="CH98" s="68" t="str" vm="12630">
        <f>CUBEVALUE(ConnectionString,ReportMonth,Table1[[#This Row],[Site ID (from DATIM)]],"[Measures].[MMS_180+_P]")</f>
        <v/>
      </c>
      <c r="CI98" s="68" vm="11896">
        <f>CUBEVALUE(ConnectionString,ReportMonth,Table1[[#This Row],[Site ID (from DATIM)]],"[Measures].[MMS_180+_A]")</f>
        <v>1</v>
      </c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</row>
    <row r="99" spans="1:107" x14ac:dyDescent="0.25">
      <c r="A99" s="66">
        <v>2</v>
      </c>
      <c r="B99" s="67" t="str" vm="4">
        <f t="shared" si="2"/>
        <v>Mar-2021</v>
      </c>
      <c r="C99" s="67"/>
      <c r="D99" s="67" t="s">
        <v>232</v>
      </c>
      <c r="E99" s="67" t="s">
        <v>233</v>
      </c>
      <c r="F99" s="67" t="s">
        <v>1083</v>
      </c>
      <c r="G99" s="67"/>
      <c r="H99" s="67" t="s">
        <v>1095</v>
      </c>
      <c r="I99" s="67" t="s">
        <v>1157</v>
      </c>
      <c r="J99" s="67" t="s">
        <v>1158</v>
      </c>
      <c r="K99" s="67" t="s">
        <v>1159</v>
      </c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 vm="256">
        <f>CUBEVALUE(ConnectionString,ReportMonth,Table1[[#This Row],[Site ID (from DATIM)]],"TX_NEW_2VIS")</f>
        <v>2</v>
      </c>
      <c r="AE99" s="67" vm="4374">
        <f>CUBEVALUE(ConnectionString,ReportMonth,Table1[[#This Row],[Site ID (from DATIM)]],INDEX(SDI_Measures,1))</f>
        <v>1</v>
      </c>
      <c r="AF99" s="67" t="str" vm="5412">
        <f>CUBEVALUE(ConnectionString,ReportMonth,Table1[[#This Row],[Site ID (from DATIM)]],INDEX(SDI_Measures,2))</f>
        <v/>
      </c>
      <c r="AG99" s="67" t="str" vm="1680">
        <f>CUBEVALUE(ConnectionString,ReportMonth,Table1[[#This Row],[Site ID (from DATIM)]],INDEX(SDI_Measures,3))</f>
        <v/>
      </c>
      <c r="AH99" s="67" vm="2781">
        <f>CUBEVALUE(ConnectionString,ReportMonth,Table1[[#This Row],[Site ID (from DATIM)]],"TX_CURR_PRIOR_MONTH")</f>
        <v>1013</v>
      </c>
      <c r="AI99" s="67" vm="1775">
        <f>CUBEVALUE(ConnectionString,ReportMonth,Table1[[#This Row],[Site ID (from DATIM)]],"TX_CURR")</f>
        <v>980</v>
      </c>
      <c r="AJ99" s="67" t="str" vm="1781">
        <f>CUBEVALUE(ConnectionString,ReportMonth,Table1[[#This Row],[Site ID (from DATIM)]],"[Measures].[TI]")</f>
        <v/>
      </c>
      <c r="AK99" s="67" vm="3581">
        <f>CUBEVALUE(ConnectionString,ReportMonth,Table1[[#This Row],[Site ID (from DATIM)]],"[Measures].[TO]")</f>
        <v>4</v>
      </c>
      <c r="AL99" s="67" vm="1524">
        <f>CUBEVALUE(ConnectionString,ReportMonth,Table1[[#This Row],[Site ID (from DATIM)]],"[Measures].[DIED]")</f>
        <v>1</v>
      </c>
      <c r="AM99" s="67" vm="4166">
        <f>CUBEVALUE(ConnectionString,ReportMonth,Table1[[#This Row],[Site ID (from DATIM)]],"[Measures].[MMS_01_31]")</f>
        <v>157</v>
      </c>
      <c r="AN99" s="67" vm="6472">
        <f>CUBEVALUE(ConnectionString,ReportMonth,Table1[[#This Row],[Site ID (from DATIM)]],"[Measures].[MMS_32_62]")</f>
        <v>99</v>
      </c>
      <c r="AO99" s="67" vm="6559">
        <f>CUBEVALUE(ConnectionString,ReportMonth,Table1[[#This Row],[Site ID (from DATIM)]],"[Measures].[MMS_63+]")</f>
        <v>724</v>
      </c>
      <c r="AP99" s="67" vm="5395">
        <f>CUBEVALUE(ConnectionString,ReportMonth,Table1[[#This Row],[Site ID (from DATIM)]],"[Measures].[TBPREV_D]")</f>
        <v>28</v>
      </c>
      <c r="AQ99" s="67" vm="6467">
        <f>CUBEVALUE(ConnectionString,ReportMonth,Table1[[#This Row],[Site ID (from DATIM)]],"[Measures].[TBPREV_N]")</f>
        <v>24</v>
      </c>
      <c r="AR99" s="67" vm="5724">
        <f>CUBEVALUE(ConnectionString,ReportMonth,Table1[[#This Row],[Site ID (from DATIM)]],"[Measures].[TBPREV_NEW]")</f>
        <v>1</v>
      </c>
      <c r="AS99" s="67" vm="11577">
        <f>CUBEVALUE(ConnectionString,ReportMonth,Table1[[#This Row],[Site ID (from DATIM)]],"[Measures].[HVL_ELIG_P]")</f>
        <v>38</v>
      </c>
      <c r="AT99" s="67" vm="4688">
        <f>CUBEVALUE(ConnectionString,ReportMonth,Table1[[#This Row],[Site ID (from DATIM)]],"[Measures].[HVL_D_P]")</f>
        <v>31</v>
      </c>
      <c r="AU99" s="67" vm="8131">
        <f>CUBEVALUE(ConnectionString,ReportMonth,Table1[[#This Row],[Site ID (from DATIM)]],"[Measures].[HVL_N_P]")</f>
        <v>24</v>
      </c>
      <c r="AV99" s="68" vm="9247">
        <f>CUBEVALUE(ConnectionString,ReportMonth,Table1[[#This Row],[Site ID (from DATIM)]],"[Measures].[HVL_ELIG_A]")</f>
        <v>862</v>
      </c>
      <c r="AW99" s="68" vm="9606">
        <f>CUBEVALUE(ConnectionString,ReportMonth,Table1[[#This Row],[Site ID (from DATIM)]],"[Measures].[HVL_D_A]")</f>
        <v>558</v>
      </c>
      <c r="AX99" s="68" vm="8693">
        <f>CUBEVALUE(ConnectionString,ReportMonth,Table1[[#This Row],[Site ID (from DATIM)]],"[Measures].[HVL_N_A]")</f>
        <v>509</v>
      </c>
      <c r="AY99" s="67"/>
      <c r="AZ99" s="67"/>
      <c r="BA99" s="67"/>
      <c r="BB99" s="67"/>
      <c r="BC99" s="67"/>
      <c r="BD99" s="67"/>
      <c r="BE99" s="67"/>
      <c r="BF99" s="67"/>
      <c r="BG99" s="67" vm="12273">
        <f>CUBEVALUE(ConnectionString,ReportMonth,Table1[[#This Row],[Site ID (from DATIM)]],"[Measures].[TX_NEW_F_A]")</f>
        <v>1</v>
      </c>
      <c r="BH99" s="67" t="str" vm="12341">
        <f>CUBEVALUE(ConnectionString,ReportMonth,Table1[[#This Row],[Site ID (from DATIM)]],"[Measures].[TX_NEW_M_A]")</f>
        <v/>
      </c>
      <c r="BI99" s="67" t="str" vm="17014">
        <f>CUBEVALUE(ConnectionString,ReportMonth,Table1[[#This Row],[Site ID (from DATIM)]],"[Measures].[TX_NEW_F_P]")</f>
        <v/>
      </c>
      <c r="BJ99" s="68" t="str" vm="17378">
        <f>CUBEVALUE(ConnectionString,ReportMonth,Table1[[#This Row],[Site ID (from DATIM)]],"[Measures].[TX_NEW_M_P]")</f>
        <v/>
      </c>
      <c r="BK99" s="68"/>
      <c r="BL99" s="68"/>
      <c r="BM99" s="68"/>
      <c r="BN99" s="68"/>
      <c r="BO99" s="68"/>
      <c r="BP99" s="68"/>
      <c r="BQ99" s="68" vm="13661">
        <f>CUBEVALUE(ConnectionString,ReportMonth,Table1[[#This Row],[Site ID (from DATIM)]],"[Measures].[TX_CURR_F_P]")</f>
        <v>17</v>
      </c>
      <c r="BR99" s="68" vm="11503">
        <f>CUBEVALUE(ConnectionString,ReportMonth,Table1[[#This Row],[Site ID (from DATIM)]],"[Measures].[TX_CURR_M_P]")</f>
        <v>22</v>
      </c>
      <c r="BS99" s="68" vm="11621">
        <f>CUBEVALUE(ConnectionString,ReportMonth,Table1[[#This Row],[Site ID (from DATIM)]],"[Measures].[TX_CURR_F_A]")</f>
        <v>641</v>
      </c>
      <c r="BT99" s="68" vm="10406">
        <f>CUBEVALUE(ConnectionString,ReportMonth,Table1[[#This Row],[Site ID (from DATIM)]],"[Measures].[TX_CURR_M_A]")</f>
        <v>300</v>
      </c>
      <c r="BU99" s="68" vm="18283">
        <f>CUBEVALUE(ConnectionString,ReportMonth,Table1[[#This Row],[Site ID (from DATIM)]],"[Measures].[MMS_01_89_F_P]")</f>
        <v>5</v>
      </c>
      <c r="BV99" s="68" vm="19452">
        <f>CUBEVALUE(ConnectionString,ReportMonth,Table1[[#This Row],[Site ID (from DATIM)]],"[Measures].[MMS_01_89_M_P]")</f>
        <v>8</v>
      </c>
      <c r="BW99" s="68" vm="18013">
        <f>CUBEVALUE(ConnectionString,ReportMonth,Table1[[#This Row],[Site ID (from DATIM)]],"[Measures].[MMS_01_89_F_A]")</f>
        <v>160</v>
      </c>
      <c r="BX99" s="68" vm="18275">
        <f>CUBEVALUE(ConnectionString,ReportMonth,Table1[[#This Row],[Site ID (from DATIM)]],"[Measures].[MMS_01_89_M_A]")</f>
        <v>86</v>
      </c>
      <c r="BY99" s="68" vm="16945">
        <f>CUBEVALUE(ConnectionString,ReportMonth,Table1[[#This Row],[Site ID (from DATIM)]],"[Measures].[MMS_90_179_F_P]")</f>
        <v>12</v>
      </c>
      <c r="BZ99" s="68" vm="15210">
        <f>CUBEVALUE(ConnectionString,ReportMonth,Table1[[#This Row],[Site ID (from DATIM)]],"[Measures].[MMS_90_179_M_P]")</f>
        <v>14</v>
      </c>
      <c r="CA99" s="68" vm="15997">
        <f>CUBEVALUE(ConnectionString,ReportMonth,Table1[[#This Row],[Site ID (from DATIM)]],"[Measures].[MMS_90_179_F_A]")</f>
        <v>481</v>
      </c>
      <c r="CB99" s="68" vm="15891">
        <f>CUBEVALUE(ConnectionString,ReportMonth,Table1[[#This Row],[Site ID (from DATIM)]],"[Measures].[MMS_90_179_M_A]")</f>
        <v>214</v>
      </c>
      <c r="CC99" s="68" t="str" vm="15769">
        <f>CUBEVALUE(ConnectionString,ReportMonth,Table1[[#This Row],[Site ID (from DATIM)]],"[Measures].[MMS_180+_F_P]")</f>
        <v/>
      </c>
      <c r="CD99" s="68" t="str" vm="14568">
        <f>CUBEVALUE(ConnectionString,ReportMonth,Table1[[#This Row],[Site ID (from DATIM)]],"[Measures].[MMS_180+_M_P]")</f>
        <v/>
      </c>
      <c r="CE99" s="68" t="str" vm="15726">
        <f>CUBEVALUE(ConnectionString,ReportMonth,Table1[[#This Row],[Site ID (from DATIM)]],"[Measures].[MMS_180+_F_A]")</f>
        <v/>
      </c>
      <c r="CF99" s="68" t="str" vm="15785">
        <f>CUBEVALUE(ConnectionString,ReportMonth,Table1[[#This Row],[Site ID (from DATIM)]],"[Measures].[MMS_180+_M_A]")</f>
        <v/>
      </c>
      <c r="CG99" s="68" vm="7674">
        <f>CUBEVALUE(ConnectionString,ReportMonth,Table1[[#This Row],[Site ID (from DATIM)]],"[Measures].[MISSEDAPP]")</f>
        <v>275</v>
      </c>
      <c r="CH99" s="68" t="str" vm="10222">
        <f>CUBEVALUE(ConnectionString,ReportMonth,Table1[[#This Row],[Site ID (from DATIM)]],"[Measures].[MMS_180+_P]")</f>
        <v/>
      </c>
      <c r="CI99" s="68" t="str" vm="16132">
        <f>CUBEVALUE(ConnectionString,ReportMonth,Table1[[#This Row],[Site ID (from DATIM)]],"[Measures].[MMS_180+_A]")</f>
        <v/>
      </c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  <c r="CW99" s="68"/>
      <c r="CX99" s="68"/>
      <c r="CY99" s="68"/>
      <c r="CZ99" s="68"/>
      <c r="DA99" s="68"/>
      <c r="DB99" s="68"/>
      <c r="DC99" s="68"/>
    </row>
    <row r="100" spans="1:107" x14ac:dyDescent="0.25">
      <c r="A100" s="66">
        <v>2</v>
      </c>
      <c r="B100" s="67" t="str" vm="4">
        <f t="shared" si="2"/>
        <v>Mar-2021</v>
      </c>
      <c r="C100" s="67"/>
      <c r="D100" s="67" t="s">
        <v>232</v>
      </c>
      <c r="E100" s="67" t="s">
        <v>233</v>
      </c>
      <c r="F100" s="67" t="s">
        <v>1286</v>
      </c>
      <c r="G100" s="67"/>
      <c r="H100" s="67" t="s">
        <v>1296</v>
      </c>
      <c r="I100" s="67" t="s">
        <v>1317</v>
      </c>
      <c r="J100" s="67" t="s">
        <v>1318</v>
      </c>
      <c r="K100" s="67" t="s">
        <v>1319</v>
      </c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 t="str" vm="2387">
        <f>CUBEVALUE(ConnectionString,ReportMonth,Table1[[#This Row],[Site ID (from DATIM)]],"TX_NEW_2VIS")</f>
        <v/>
      </c>
      <c r="AE100" s="67" t="str" vm="2461">
        <f>CUBEVALUE(ConnectionString,ReportMonth,Table1[[#This Row],[Site ID (from DATIM)]],INDEX(SDI_Measures,1))</f>
        <v/>
      </c>
      <c r="AF100" s="67" t="str" vm="1924">
        <f>CUBEVALUE(ConnectionString,ReportMonth,Table1[[#This Row],[Site ID (from DATIM)]],INDEX(SDI_Measures,2))</f>
        <v/>
      </c>
      <c r="AG100" s="67" t="str" vm="2511">
        <f>CUBEVALUE(ConnectionString,ReportMonth,Table1[[#This Row],[Site ID (from DATIM)]],INDEX(SDI_Measures,3))</f>
        <v/>
      </c>
      <c r="AH100" s="67" t="str" vm="1148">
        <f>CUBEVALUE(ConnectionString,ReportMonth,Table1[[#This Row],[Site ID (from DATIM)]],"TX_CURR_PRIOR_MONTH")</f>
        <v/>
      </c>
      <c r="AI100" s="67" t="str" vm="3492">
        <f>CUBEVALUE(ConnectionString,ReportMonth,Table1[[#This Row],[Site ID (from DATIM)]],"TX_CURR")</f>
        <v/>
      </c>
      <c r="AJ100" s="67" t="str" vm="1946">
        <f>CUBEVALUE(ConnectionString,ReportMonth,Table1[[#This Row],[Site ID (from DATIM)]],"[Measures].[TI]")</f>
        <v/>
      </c>
      <c r="AK100" s="67" t="str" vm="2644">
        <f>CUBEVALUE(ConnectionString,ReportMonth,Table1[[#This Row],[Site ID (from DATIM)]],"[Measures].[TO]")</f>
        <v/>
      </c>
      <c r="AL100" s="67" t="str" vm="2777">
        <f>CUBEVALUE(ConnectionString,ReportMonth,Table1[[#This Row],[Site ID (from DATIM)]],"[Measures].[DIED]")</f>
        <v/>
      </c>
      <c r="AM100" s="67" t="str" vm="4282">
        <f>CUBEVALUE(ConnectionString,ReportMonth,Table1[[#This Row],[Site ID (from DATIM)]],"[Measures].[MMS_01_31]")</f>
        <v/>
      </c>
      <c r="AN100" s="67" t="str" vm="5629">
        <f>CUBEVALUE(ConnectionString,ReportMonth,Table1[[#This Row],[Site ID (from DATIM)]],"[Measures].[MMS_32_62]")</f>
        <v/>
      </c>
      <c r="AO100" s="67" t="str" vm="8714">
        <f>CUBEVALUE(ConnectionString,ReportMonth,Table1[[#This Row],[Site ID (from DATIM)]],"[Measures].[MMS_63+]")</f>
        <v/>
      </c>
      <c r="AP100" s="67" t="str" vm="6134">
        <f>CUBEVALUE(ConnectionString,ReportMonth,Table1[[#This Row],[Site ID (from DATIM)]],"[Measures].[TBPREV_D]")</f>
        <v/>
      </c>
      <c r="AQ100" s="67" t="str" vm="6536">
        <f>CUBEVALUE(ConnectionString,ReportMonth,Table1[[#This Row],[Site ID (from DATIM)]],"[Measures].[TBPREV_N]")</f>
        <v/>
      </c>
      <c r="AR100" s="67" t="str" vm="6488">
        <f>CUBEVALUE(ConnectionString,ReportMonth,Table1[[#This Row],[Site ID (from DATIM)]],"[Measures].[TBPREV_NEW]")</f>
        <v/>
      </c>
      <c r="AS100" s="67" t="str" vm="10312">
        <f>CUBEVALUE(ConnectionString,ReportMonth,Table1[[#This Row],[Site ID (from DATIM)]],"[Measures].[HVL_ELIG_P]")</f>
        <v/>
      </c>
      <c r="AT100" s="67" t="str" vm="10551">
        <f>CUBEVALUE(ConnectionString,ReportMonth,Table1[[#This Row],[Site ID (from DATIM)]],"[Measures].[HVL_D_P]")</f>
        <v/>
      </c>
      <c r="AU100" s="67" t="str" vm="15690">
        <f>CUBEVALUE(ConnectionString,ReportMonth,Table1[[#This Row],[Site ID (from DATIM)]],"[Measures].[HVL_N_P]")</f>
        <v/>
      </c>
      <c r="AV100" s="68" t="str" vm="9096">
        <f>CUBEVALUE(ConnectionString,ReportMonth,Table1[[#This Row],[Site ID (from DATIM)]],"[Measures].[HVL_ELIG_A]")</f>
        <v/>
      </c>
      <c r="AW100" s="68" t="str" vm="11793">
        <f>CUBEVALUE(ConnectionString,ReportMonth,Table1[[#This Row],[Site ID (from DATIM)]],"[Measures].[HVL_D_A]")</f>
        <v/>
      </c>
      <c r="AX100" s="68" t="str" vm="9696">
        <f>CUBEVALUE(ConnectionString,ReportMonth,Table1[[#This Row],[Site ID (from DATIM)]],"[Measures].[HVL_N_A]")</f>
        <v/>
      </c>
      <c r="AY100" s="67"/>
      <c r="AZ100" s="67"/>
      <c r="BA100" s="67"/>
      <c r="BB100" s="67"/>
      <c r="BC100" s="67"/>
      <c r="BD100" s="67"/>
      <c r="BE100" s="67"/>
      <c r="BF100" s="67"/>
      <c r="BG100" s="67" t="str" vm="13941">
        <f>CUBEVALUE(ConnectionString,ReportMonth,Table1[[#This Row],[Site ID (from DATIM)]],"[Measures].[TX_NEW_F_A]")</f>
        <v/>
      </c>
      <c r="BH100" s="67" t="str" vm="12396">
        <f>CUBEVALUE(ConnectionString,ReportMonth,Table1[[#This Row],[Site ID (from DATIM)]],"[Measures].[TX_NEW_M_A]")</f>
        <v/>
      </c>
      <c r="BI100" s="67" t="str" vm="14342">
        <f>CUBEVALUE(ConnectionString,ReportMonth,Table1[[#This Row],[Site ID (from DATIM)]],"[Measures].[TX_NEW_F_P]")</f>
        <v/>
      </c>
      <c r="BJ100" s="68" t="str" vm="15703">
        <f>CUBEVALUE(ConnectionString,ReportMonth,Table1[[#This Row],[Site ID (from DATIM)]],"[Measures].[TX_NEW_M_P]")</f>
        <v/>
      </c>
      <c r="BK100" s="68"/>
      <c r="BL100" s="68"/>
      <c r="BM100" s="68"/>
      <c r="BN100" s="68"/>
      <c r="BO100" s="68"/>
      <c r="BP100" s="68"/>
      <c r="BQ100" s="68" t="str" vm="11859">
        <f>CUBEVALUE(ConnectionString,ReportMonth,Table1[[#This Row],[Site ID (from DATIM)]],"[Measures].[TX_CURR_F_P]")</f>
        <v/>
      </c>
      <c r="BR100" s="68" t="str" vm="7492">
        <f>CUBEVALUE(ConnectionString,ReportMonth,Table1[[#This Row],[Site ID (from DATIM)]],"[Measures].[TX_CURR_M_P]")</f>
        <v/>
      </c>
      <c r="BS100" s="68" t="str" vm="10792">
        <f>CUBEVALUE(ConnectionString,ReportMonth,Table1[[#This Row],[Site ID (from DATIM)]],"[Measures].[TX_CURR_F_A]")</f>
        <v/>
      </c>
      <c r="BT100" s="68" t="str" vm="12365">
        <f>CUBEVALUE(ConnectionString,ReportMonth,Table1[[#This Row],[Site ID (from DATIM)]],"[Measures].[TX_CURR_M_A]")</f>
        <v/>
      </c>
      <c r="BU100" s="68" t="str" vm="19796">
        <f>CUBEVALUE(ConnectionString,ReportMonth,Table1[[#This Row],[Site ID (from DATIM)]],"[Measures].[MMS_01_89_F_P]")</f>
        <v/>
      </c>
      <c r="BV100" s="68" t="str" vm="18295">
        <f>CUBEVALUE(ConnectionString,ReportMonth,Table1[[#This Row],[Site ID (from DATIM)]],"[Measures].[MMS_01_89_M_P]")</f>
        <v/>
      </c>
      <c r="BW100" s="68" t="str" vm="19175">
        <f>CUBEVALUE(ConnectionString,ReportMonth,Table1[[#This Row],[Site ID (from DATIM)]],"[Measures].[MMS_01_89_F_A]")</f>
        <v/>
      </c>
      <c r="BX100" s="68" t="str" vm="19141">
        <f>CUBEVALUE(ConnectionString,ReportMonth,Table1[[#This Row],[Site ID (from DATIM)]],"[Measures].[MMS_01_89_M_A]")</f>
        <v/>
      </c>
      <c r="BY100" s="68" t="str" vm="19918">
        <f>CUBEVALUE(ConnectionString,ReportMonth,Table1[[#This Row],[Site ID (from DATIM)]],"[Measures].[MMS_90_179_F_P]")</f>
        <v/>
      </c>
      <c r="BZ100" s="68" t="str" vm="19866">
        <f>CUBEVALUE(ConnectionString,ReportMonth,Table1[[#This Row],[Site ID (from DATIM)]],"[Measures].[MMS_90_179_M_P]")</f>
        <v/>
      </c>
      <c r="CA100" s="68" t="str" vm="15949">
        <f>CUBEVALUE(ConnectionString,ReportMonth,Table1[[#This Row],[Site ID (from DATIM)]],"[Measures].[MMS_90_179_F_A]")</f>
        <v/>
      </c>
      <c r="CB100" s="68" t="str" vm="15057">
        <f>CUBEVALUE(ConnectionString,ReportMonth,Table1[[#This Row],[Site ID (from DATIM)]],"[Measures].[MMS_90_179_M_A]")</f>
        <v/>
      </c>
      <c r="CC100" s="68" t="str" vm="15027">
        <f>CUBEVALUE(ConnectionString,ReportMonth,Table1[[#This Row],[Site ID (from DATIM)]],"[Measures].[MMS_180+_F_P]")</f>
        <v/>
      </c>
      <c r="CD100" s="68" t="str" vm="15467">
        <f>CUBEVALUE(ConnectionString,ReportMonth,Table1[[#This Row],[Site ID (from DATIM)]],"[Measures].[MMS_180+_M_P]")</f>
        <v/>
      </c>
      <c r="CE100" s="68" t="str" vm="16301">
        <f>CUBEVALUE(ConnectionString,ReportMonth,Table1[[#This Row],[Site ID (from DATIM)]],"[Measures].[MMS_180+_F_A]")</f>
        <v/>
      </c>
      <c r="CF100" s="68" t="str" vm="15722">
        <f>CUBEVALUE(ConnectionString,ReportMonth,Table1[[#This Row],[Site ID (from DATIM)]],"[Measures].[MMS_180+_M_A]")</f>
        <v/>
      </c>
      <c r="CG100" s="68" t="str" vm="8924">
        <f>CUBEVALUE(ConnectionString,ReportMonth,Table1[[#This Row],[Site ID (from DATIM)]],"[Measures].[MISSEDAPP]")</f>
        <v/>
      </c>
      <c r="CH100" s="68" t="str" vm="10204">
        <f>CUBEVALUE(ConnectionString,ReportMonth,Table1[[#This Row],[Site ID (from DATIM)]],"[Measures].[MMS_180+_P]")</f>
        <v/>
      </c>
      <c r="CI100" s="68" t="str" vm="12029">
        <f>CUBEVALUE(ConnectionString,ReportMonth,Table1[[#This Row],[Site ID (from DATIM)]],"[Measures].[MMS_180+_A]")</f>
        <v/>
      </c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</row>
    <row r="101" spans="1:107" x14ac:dyDescent="0.25">
      <c r="A101" s="66">
        <v>4</v>
      </c>
      <c r="B101" s="67" t="str" vm="4">
        <f t="shared" si="2"/>
        <v>Mar-2021</v>
      </c>
      <c r="C101" s="67"/>
      <c r="D101" s="67" t="s">
        <v>232</v>
      </c>
      <c r="E101" s="67" t="s">
        <v>233</v>
      </c>
      <c r="F101" s="67" t="s">
        <v>437</v>
      </c>
      <c r="G101" s="67"/>
      <c r="H101" s="67" t="s">
        <v>442</v>
      </c>
      <c r="I101" s="67" t="s">
        <v>550</v>
      </c>
      <c r="J101" s="67" t="s">
        <v>551</v>
      </c>
      <c r="K101" s="67" t="s">
        <v>552</v>
      </c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 t="str" vm="1622">
        <f>CUBEVALUE(ConnectionString,ReportMonth,Table1[[#This Row],[Site ID (from DATIM)]],"TX_NEW_2VIS")</f>
        <v/>
      </c>
      <c r="AE101" s="67" t="str" vm="1895">
        <f>CUBEVALUE(ConnectionString,ReportMonth,Table1[[#This Row],[Site ID (from DATIM)]],INDEX(SDI_Measures,1))</f>
        <v/>
      </c>
      <c r="AF101" s="67" t="str" vm="4530">
        <f>CUBEVALUE(ConnectionString,ReportMonth,Table1[[#This Row],[Site ID (from DATIM)]],INDEX(SDI_Measures,2))</f>
        <v/>
      </c>
      <c r="AG101" s="67" t="str" vm="1442">
        <f>CUBEVALUE(ConnectionString,ReportMonth,Table1[[#This Row],[Site ID (from DATIM)]],INDEX(SDI_Measures,3))</f>
        <v/>
      </c>
      <c r="AH101" s="67" vm="2608">
        <f>CUBEVALUE(ConnectionString,ReportMonth,Table1[[#This Row],[Site ID (from DATIM)]],"TX_CURR_PRIOR_MONTH")</f>
        <v>96</v>
      </c>
      <c r="AI101" s="67" vm="4492">
        <f>CUBEVALUE(ConnectionString,ReportMonth,Table1[[#This Row],[Site ID (from DATIM)]],"TX_CURR")</f>
        <v>77</v>
      </c>
      <c r="AJ101" s="67" t="str" vm="2286">
        <f>CUBEVALUE(ConnectionString,ReportMonth,Table1[[#This Row],[Site ID (from DATIM)]],"[Measures].[TI]")</f>
        <v/>
      </c>
      <c r="AK101" s="67" t="str" vm="817">
        <f>CUBEVALUE(ConnectionString,ReportMonth,Table1[[#This Row],[Site ID (from DATIM)]],"[Measures].[TO]")</f>
        <v/>
      </c>
      <c r="AL101" s="67" t="str" vm="1728">
        <f>CUBEVALUE(ConnectionString,ReportMonth,Table1[[#This Row],[Site ID (from DATIM)]],"[Measures].[DIED]")</f>
        <v/>
      </c>
      <c r="AM101" s="67" vm="4304">
        <f>CUBEVALUE(ConnectionString,ReportMonth,Table1[[#This Row],[Site ID (from DATIM)]],"[Measures].[MMS_01_31]")</f>
        <v>40</v>
      </c>
      <c r="AN101" s="67" t="str" vm="4441">
        <f>CUBEVALUE(ConnectionString,ReportMonth,Table1[[#This Row],[Site ID (from DATIM)]],"[Measures].[MMS_32_62]")</f>
        <v/>
      </c>
      <c r="AO101" s="67" vm="4736">
        <f>CUBEVALUE(ConnectionString,ReportMonth,Table1[[#This Row],[Site ID (from DATIM)]],"[Measures].[MMS_63+]")</f>
        <v>37</v>
      </c>
      <c r="AP101" s="67" vm="5022">
        <f>CUBEVALUE(ConnectionString,ReportMonth,Table1[[#This Row],[Site ID (from DATIM)]],"[Measures].[TBPREV_D]")</f>
        <v>8</v>
      </c>
      <c r="AQ101" s="67" vm="7660">
        <f>CUBEVALUE(ConnectionString,ReportMonth,Table1[[#This Row],[Site ID (from DATIM)]],"[Measures].[TBPREV_N]")</f>
        <v>4</v>
      </c>
      <c r="AR101" s="67" t="str" vm="5297">
        <f>CUBEVALUE(ConnectionString,ReportMonth,Table1[[#This Row],[Site ID (from DATIM)]],"[Measures].[TBPREV_NEW]")</f>
        <v/>
      </c>
      <c r="AS101" s="67" t="str" vm="5222">
        <f>CUBEVALUE(ConnectionString,ReportMonth,Table1[[#This Row],[Site ID (from DATIM)]],"[Measures].[HVL_ELIG_P]")</f>
        <v/>
      </c>
      <c r="AT101" s="67" vm="5176">
        <f>CUBEVALUE(ConnectionString,ReportMonth,Table1[[#This Row],[Site ID (from DATIM)]],"[Measures].[HVL_D_P]")</f>
        <v>1</v>
      </c>
      <c r="AU101" s="67" vm="6374">
        <f>CUBEVALUE(ConnectionString,ReportMonth,Table1[[#This Row],[Site ID (from DATIM)]],"[Measures].[HVL_N_P]")</f>
        <v>1</v>
      </c>
      <c r="AV101" s="68" vm="8097">
        <f>CUBEVALUE(ConnectionString,ReportMonth,Table1[[#This Row],[Site ID (from DATIM)]],"[Measures].[HVL_ELIG_A]")</f>
        <v>42</v>
      </c>
      <c r="AW101" s="68" vm="8511">
        <f>CUBEVALUE(ConnectionString,ReportMonth,Table1[[#This Row],[Site ID (from DATIM)]],"[Measures].[HVL_D_A]")</f>
        <v>12</v>
      </c>
      <c r="AX101" s="68" vm="9717">
        <f>CUBEVALUE(ConnectionString,ReportMonth,Table1[[#This Row],[Site ID (from DATIM)]],"[Measures].[HVL_N_A]")</f>
        <v>10</v>
      </c>
      <c r="AY101" s="67"/>
      <c r="AZ101" s="67"/>
      <c r="BA101" s="67"/>
      <c r="BB101" s="67"/>
      <c r="BC101" s="67"/>
      <c r="BD101" s="67"/>
      <c r="BE101" s="67"/>
      <c r="BF101" s="67"/>
      <c r="BG101" s="67" t="str" vm="12698">
        <f>CUBEVALUE(ConnectionString,ReportMonth,Table1[[#This Row],[Site ID (from DATIM)]],"[Measures].[TX_NEW_F_A]")</f>
        <v/>
      </c>
      <c r="BH101" s="67" t="str" vm="13470">
        <f>CUBEVALUE(ConnectionString,ReportMonth,Table1[[#This Row],[Site ID (from DATIM)]],"[Measures].[TX_NEW_M_A]")</f>
        <v/>
      </c>
      <c r="BI101" s="67" t="str" vm="13692">
        <f>CUBEVALUE(ConnectionString,ReportMonth,Table1[[#This Row],[Site ID (from DATIM)]],"[Measures].[TX_NEW_F_P]")</f>
        <v/>
      </c>
      <c r="BJ101" s="68" t="str" vm="13087">
        <f>CUBEVALUE(ConnectionString,ReportMonth,Table1[[#This Row],[Site ID (from DATIM)]],"[Measures].[TX_NEW_M_P]")</f>
        <v/>
      </c>
      <c r="BK101" s="68"/>
      <c r="BL101" s="68"/>
      <c r="BM101" s="68"/>
      <c r="BN101" s="68"/>
      <c r="BO101" s="68"/>
      <c r="BP101" s="68"/>
      <c r="BQ101" s="68" vm="10243">
        <f>CUBEVALUE(ConnectionString,ReportMonth,Table1[[#This Row],[Site ID (from DATIM)]],"[Measures].[TX_CURR_F_P]")</f>
        <v>3</v>
      </c>
      <c r="BR101" s="68" t="str" vm="8533">
        <f>CUBEVALUE(ConnectionString,ReportMonth,Table1[[#This Row],[Site ID (from DATIM)]],"[Measures].[TX_CURR_M_P]")</f>
        <v/>
      </c>
      <c r="BS101" s="68" vm="13208">
        <f>CUBEVALUE(ConnectionString,ReportMonth,Table1[[#This Row],[Site ID (from DATIM)]],"[Measures].[TX_CURR_F_A]")</f>
        <v>55</v>
      </c>
      <c r="BT101" s="68" vm="13343">
        <f>CUBEVALUE(ConnectionString,ReportMonth,Table1[[#This Row],[Site ID (from DATIM)]],"[Measures].[TX_CURR_M_A]")</f>
        <v>19</v>
      </c>
      <c r="BU101" s="68" vm="20128">
        <f>CUBEVALUE(ConnectionString,ReportMonth,Table1[[#This Row],[Site ID (from DATIM)]],"[Measures].[MMS_01_89_F_P]")</f>
        <v>3</v>
      </c>
      <c r="BV101" s="68" t="str" vm="19438">
        <f>CUBEVALUE(ConnectionString,ReportMonth,Table1[[#This Row],[Site ID (from DATIM)]],"[Measures].[MMS_01_89_M_P]")</f>
        <v/>
      </c>
      <c r="BW101" s="68" vm="18639">
        <f>CUBEVALUE(ConnectionString,ReportMonth,Table1[[#This Row],[Site ID (from DATIM)]],"[Measures].[MMS_01_89_F_A]")</f>
        <v>29</v>
      </c>
      <c r="BX101" s="68" vm="17966">
        <f>CUBEVALUE(ConnectionString,ReportMonth,Table1[[#This Row],[Site ID (from DATIM)]],"[Measures].[MMS_01_89_M_A]")</f>
        <v>9</v>
      </c>
      <c r="BY101" s="68" t="str" vm="19902">
        <f>CUBEVALUE(ConnectionString,ReportMonth,Table1[[#This Row],[Site ID (from DATIM)]],"[Measures].[MMS_90_179_F_P]")</f>
        <v/>
      </c>
      <c r="BZ101" s="68" t="str" vm="15100">
        <f>CUBEVALUE(ConnectionString,ReportMonth,Table1[[#This Row],[Site ID (from DATIM)]],"[Measures].[MMS_90_179_M_P]")</f>
        <v/>
      </c>
      <c r="CA101" s="68" vm="17722">
        <f>CUBEVALUE(ConnectionString,ReportMonth,Table1[[#This Row],[Site ID (from DATIM)]],"[Measures].[MMS_90_179_F_A]")</f>
        <v>26</v>
      </c>
      <c r="CB101" s="68" vm="16733">
        <f>CUBEVALUE(ConnectionString,ReportMonth,Table1[[#This Row],[Site ID (from DATIM)]],"[Measures].[MMS_90_179_M_A]")</f>
        <v>10</v>
      </c>
      <c r="CC101" s="68" t="str" vm="17231">
        <f>CUBEVALUE(ConnectionString,ReportMonth,Table1[[#This Row],[Site ID (from DATIM)]],"[Measures].[MMS_180+_F_P]")</f>
        <v/>
      </c>
      <c r="CD101" s="68" t="str" vm="184">
        <f>CUBEVALUE(ConnectionString,ReportMonth,Table1[[#This Row],[Site ID (from DATIM)]],"[Measures].[MMS_180+_M_P]")</f>
        <v/>
      </c>
      <c r="CE101" s="68" t="str" vm="16230">
        <f>CUBEVALUE(ConnectionString,ReportMonth,Table1[[#This Row],[Site ID (from DATIM)]],"[Measures].[MMS_180+_F_A]")</f>
        <v/>
      </c>
      <c r="CF101" s="68" t="str" vm="20196">
        <f>CUBEVALUE(ConnectionString,ReportMonth,Table1[[#This Row],[Site ID (from DATIM)]],"[Measures].[MMS_180+_M_A]")</f>
        <v/>
      </c>
      <c r="CG101" s="68" vm="5186">
        <f>CUBEVALUE(ConnectionString,ReportMonth,Table1[[#This Row],[Site ID (from DATIM)]],"[Measures].[MISSEDAPP]")</f>
        <v>34</v>
      </c>
      <c r="CH101" s="68" t="str" vm="11213">
        <f>CUBEVALUE(ConnectionString,ReportMonth,Table1[[#This Row],[Site ID (from DATIM)]],"[Measures].[MMS_180+_P]")</f>
        <v/>
      </c>
      <c r="CI101" s="68" t="str" vm="10615">
        <f>CUBEVALUE(ConnectionString,ReportMonth,Table1[[#This Row],[Site ID (from DATIM)]],"[Measures].[MMS_180+_A]")</f>
        <v/>
      </c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</row>
    <row r="102" spans="1:107" x14ac:dyDescent="0.25">
      <c r="A102" s="66">
        <v>4</v>
      </c>
      <c r="B102" s="67" t="str" vm="4">
        <f t="shared" si="2"/>
        <v>Mar-2021</v>
      </c>
      <c r="C102" s="67"/>
      <c r="D102" s="67" t="s">
        <v>232</v>
      </c>
      <c r="E102" s="67" t="s">
        <v>233</v>
      </c>
      <c r="F102" s="67" t="s">
        <v>437</v>
      </c>
      <c r="G102" s="67"/>
      <c r="H102" s="67" t="s">
        <v>442</v>
      </c>
      <c r="I102" s="67" t="s">
        <v>553</v>
      </c>
      <c r="J102" s="67" t="s">
        <v>554</v>
      </c>
      <c r="K102" s="67" t="s">
        <v>555</v>
      </c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 t="str" vm="3094">
        <f>CUBEVALUE(ConnectionString,ReportMonth,Table1[[#This Row],[Site ID (from DATIM)]],"TX_NEW_2VIS")</f>
        <v/>
      </c>
      <c r="AE102" s="67" t="str" vm="4348">
        <f>CUBEVALUE(ConnectionString,ReportMonth,Table1[[#This Row],[Site ID (from DATIM)]],INDEX(SDI_Measures,1))</f>
        <v/>
      </c>
      <c r="AF102" s="67" t="str" vm="3671">
        <f>CUBEVALUE(ConnectionString,ReportMonth,Table1[[#This Row],[Site ID (from DATIM)]],INDEX(SDI_Measures,2))</f>
        <v/>
      </c>
      <c r="AG102" s="67" t="str" vm="804">
        <f>CUBEVALUE(ConnectionString,ReportMonth,Table1[[#This Row],[Site ID (from DATIM)]],INDEX(SDI_Measures,3))</f>
        <v/>
      </c>
      <c r="AH102" s="67" vm="2619">
        <f>CUBEVALUE(ConnectionString,ReportMonth,Table1[[#This Row],[Site ID (from DATIM)]],"TX_CURR_PRIOR_MONTH")</f>
        <v>8</v>
      </c>
      <c r="AI102" s="67" vm="1107">
        <f>CUBEVALUE(ConnectionString,ReportMonth,Table1[[#This Row],[Site ID (from DATIM)]],"TX_CURR")</f>
        <v>8</v>
      </c>
      <c r="AJ102" s="67" t="str" vm="1505">
        <f>CUBEVALUE(ConnectionString,ReportMonth,Table1[[#This Row],[Site ID (from DATIM)]],"[Measures].[TI]")</f>
        <v/>
      </c>
      <c r="AK102" s="67" t="str" vm="2780">
        <f>CUBEVALUE(ConnectionString,ReportMonth,Table1[[#This Row],[Site ID (from DATIM)]],"[Measures].[TO]")</f>
        <v/>
      </c>
      <c r="AL102" s="67" t="str" vm="3204">
        <f>CUBEVALUE(ConnectionString,ReportMonth,Table1[[#This Row],[Site ID (from DATIM)]],"[Measures].[DIED]")</f>
        <v/>
      </c>
      <c r="AM102" s="67" vm="4215">
        <f>CUBEVALUE(ConnectionString,ReportMonth,Table1[[#This Row],[Site ID (from DATIM)]],"[Measures].[MMS_01_31]")</f>
        <v>8</v>
      </c>
      <c r="AN102" s="67" t="str" vm="5661">
        <f>CUBEVALUE(ConnectionString,ReportMonth,Table1[[#This Row],[Site ID (from DATIM)]],"[Measures].[MMS_32_62]")</f>
        <v/>
      </c>
      <c r="AO102" s="67" t="str" vm="6038">
        <f>CUBEVALUE(ConnectionString,ReportMonth,Table1[[#This Row],[Site ID (from DATIM)]],"[Measures].[MMS_63+]")</f>
        <v/>
      </c>
      <c r="AP102" s="67" t="str" vm="7367">
        <f>CUBEVALUE(ConnectionString,ReportMonth,Table1[[#This Row],[Site ID (from DATIM)]],"[Measures].[TBPREV_D]")</f>
        <v/>
      </c>
      <c r="AQ102" s="67" t="str" vm="5359">
        <f>CUBEVALUE(ConnectionString,ReportMonth,Table1[[#This Row],[Site ID (from DATIM)]],"[Measures].[TBPREV_N]")</f>
        <v/>
      </c>
      <c r="AR102" s="67" t="str" vm="5786">
        <f>CUBEVALUE(ConnectionString,ReportMonth,Table1[[#This Row],[Site ID (from DATIM)]],"[Measures].[TBPREV_NEW]")</f>
        <v/>
      </c>
      <c r="AS102" s="67" t="str" vm="6047">
        <f>CUBEVALUE(ConnectionString,ReportMonth,Table1[[#This Row],[Site ID (from DATIM)]],"[Measures].[HVL_ELIG_P]")</f>
        <v/>
      </c>
      <c r="AT102" s="67" t="str" vm="8794">
        <f>CUBEVALUE(ConnectionString,ReportMonth,Table1[[#This Row],[Site ID (from DATIM)]],"[Measures].[HVL_D_P]")</f>
        <v/>
      </c>
      <c r="AU102" s="67" t="str" vm="8308">
        <f>CUBEVALUE(ConnectionString,ReportMonth,Table1[[#This Row],[Site ID (from DATIM)]],"[Measures].[HVL_N_P]")</f>
        <v/>
      </c>
      <c r="AV102" s="68" vm="9970">
        <f>CUBEVALUE(ConnectionString,ReportMonth,Table1[[#This Row],[Site ID (from DATIM)]],"[Measures].[HVL_ELIG_A]")</f>
        <v>6</v>
      </c>
      <c r="AW102" s="68" t="str" vm="9819">
        <f>CUBEVALUE(ConnectionString,ReportMonth,Table1[[#This Row],[Site ID (from DATIM)]],"[Measures].[HVL_D_A]")</f>
        <v/>
      </c>
      <c r="AX102" s="68" t="str" vm="7037">
        <f>CUBEVALUE(ConnectionString,ReportMonth,Table1[[#This Row],[Site ID (from DATIM)]],"[Measures].[HVL_N_A]")</f>
        <v/>
      </c>
      <c r="AY102" s="67"/>
      <c r="AZ102" s="67"/>
      <c r="BA102" s="67"/>
      <c r="BB102" s="67"/>
      <c r="BC102" s="67"/>
      <c r="BD102" s="67"/>
      <c r="BE102" s="67"/>
      <c r="BF102" s="67"/>
      <c r="BG102" s="67" t="str" vm="12220">
        <f>CUBEVALUE(ConnectionString,ReportMonth,Table1[[#This Row],[Site ID (from DATIM)]],"[Measures].[TX_NEW_F_A]")</f>
        <v/>
      </c>
      <c r="BH102" s="67" t="str" vm="13581">
        <f>CUBEVALUE(ConnectionString,ReportMonth,Table1[[#This Row],[Site ID (from DATIM)]],"[Measures].[TX_NEW_M_A]")</f>
        <v/>
      </c>
      <c r="BI102" s="67" t="str" vm="12835">
        <f>CUBEVALUE(ConnectionString,ReportMonth,Table1[[#This Row],[Site ID (from DATIM)]],"[Measures].[TX_NEW_F_P]")</f>
        <v/>
      </c>
      <c r="BJ102" s="68" t="str" vm="13464">
        <f>CUBEVALUE(ConnectionString,ReportMonth,Table1[[#This Row],[Site ID (from DATIM)]],"[Measures].[TX_NEW_M_P]")</f>
        <v/>
      </c>
      <c r="BK102" s="68"/>
      <c r="BL102" s="68"/>
      <c r="BM102" s="68"/>
      <c r="BN102" s="68"/>
      <c r="BO102" s="68"/>
      <c r="BP102" s="68"/>
      <c r="BQ102" s="68" t="str" vm="10288">
        <f>CUBEVALUE(ConnectionString,ReportMonth,Table1[[#This Row],[Site ID (from DATIM)]],"[Measures].[TX_CURR_F_P]")</f>
        <v/>
      </c>
      <c r="BR102" s="68" t="str" vm="8862">
        <f>CUBEVALUE(ConnectionString,ReportMonth,Table1[[#This Row],[Site ID (from DATIM)]],"[Measures].[TX_CURR_M_P]")</f>
        <v/>
      </c>
      <c r="BS102" s="68" vm="9709">
        <f>CUBEVALUE(ConnectionString,ReportMonth,Table1[[#This Row],[Site ID (from DATIM)]],"[Measures].[TX_CURR_F_A]")</f>
        <v>8</v>
      </c>
      <c r="BT102" s="68" t="str" vm="14176">
        <f>CUBEVALUE(ConnectionString,ReportMonth,Table1[[#This Row],[Site ID (from DATIM)]],"[Measures].[TX_CURR_M_A]")</f>
        <v/>
      </c>
      <c r="BU102" s="68" t="str" vm="18927">
        <f>CUBEVALUE(ConnectionString,ReportMonth,Table1[[#This Row],[Site ID (from DATIM)]],"[Measures].[MMS_01_89_F_P]")</f>
        <v/>
      </c>
      <c r="BV102" s="68" t="str" vm="20081">
        <f>CUBEVALUE(ConnectionString,ReportMonth,Table1[[#This Row],[Site ID (from DATIM)]],"[Measures].[MMS_01_89_M_P]")</f>
        <v/>
      </c>
      <c r="BW102" s="68" vm="18307">
        <f>CUBEVALUE(ConnectionString,ReportMonth,Table1[[#This Row],[Site ID (from DATIM)]],"[Measures].[MMS_01_89_F_A]")</f>
        <v>8</v>
      </c>
      <c r="BX102" s="68" t="str" vm="17865">
        <f>CUBEVALUE(ConnectionString,ReportMonth,Table1[[#This Row],[Site ID (from DATIM)]],"[Measures].[MMS_01_89_M_A]")</f>
        <v/>
      </c>
      <c r="BY102" s="68" t="str" vm="19681">
        <f>CUBEVALUE(ConnectionString,ReportMonth,Table1[[#This Row],[Site ID (from DATIM)]],"[Measures].[MMS_90_179_F_P]")</f>
        <v/>
      </c>
      <c r="BZ102" s="68" t="str" vm="17823">
        <f>CUBEVALUE(ConnectionString,ReportMonth,Table1[[#This Row],[Site ID (from DATIM)]],"[Measures].[MMS_90_179_M_P]")</f>
        <v/>
      </c>
      <c r="CA102" s="68" t="str" vm="14713">
        <f>CUBEVALUE(ConnectionString,ReportMonth,Table1[[#This Row],[Site ID (from DATIM)]],"[Measures].[MMS_90_179_F_A]")</f>
        <v/>
      </c>
      <c r="CB102" s="68" t="str" vm="15160">
        <f>CUBEVALUE(ConnectionString,ReportMonth,Table1[[#This Row],[Site ID (from DATIM)]],"[Measures].[MMS_90_179_M_A]")</f>
        <v/>
      </c>
      <c r="CC102" s="68" t="str" vm="17270">
        <f>CUBEVALUE(ConnectionString,ReportMonth,Table1[[#This Row],[Site ID (from DATIM)]],"[Measures].[MMS_180+_F_P]")</f>
        <v/>
      </c>
      <c r="CD102" s="68" t="str" vm="14946">
        <f>CUBEVALUE(ConnectionString,ReportMonth,Table1[[#This Row],[Site ID (from DATIM)]],"[Measures].[MMS_180+_M_P]")</f>
        <v/>
      </c>
      <c r="CE102" s="68" t="str" vm="15774">
        <f>CUBEVALUE(ConnectionString,ReportMonth,Table1[[#This Row],[Site ID (from DATIM)]],"[Measures].[MMS_180+_F_A]")</f>
        <v/>
      </c>
      <c r="CF102" s="68" t="str" vm="15351">
        <f>CUBEVALUE(ConnectionString,ReportMonth,Table1[[#This Row],[Site ID (from DATIM)]],"[Measures].[MMS_180+_M_A]")</f>
        <v/>
      </c>
      <c r="CG102" s="68" vm="7836">
        <f>CUBEVALUE(ConnectionString,ReportMonth,Table1[[#This Row],[Site ID (from DATIM)]],"[Measures].[MISSEDAPP]")</f>
        <v>7</v>
      </c>
      <c r="CH102" s="68" t="str" vm="14860">
        <f>CUBEVALUE(ConnectionString,ReportMonth,Table1[[#This Row],[Site ID (from DATIM)]],"[Measures].[MMS_180+_P]")</f>
        <v/>
      </c>
      <c r="CI102" s="68" t="str" vm="11695">
        <f>CUBEVALUE(ConnectionString,ReportMonth,Table1[[#This Row],[Site ID (from DATIM)]],"[Measures].[MMS_180+_A]")</f>
        <v/>
      </c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</row>
    <row r="103" spans="1:107" x14ac:dyDescent="0.25">
      <c r="A103" s="66">
        <v>4</v>
      </c>
      <c r="B103" s="67" t="str" vm="4">
        <f t="shared" si="2"/>
        <v>Mar-2021</v>
      </c>
      <c r="C103" s="67"/>
      <c r="D103" s="67" t="s">
        <v>232</v>
      </c>
      <c r="E103" s="67" t="s">
        <v>233</v>
      </c>
      <c r="F103" s="67" t="s">
        <v>437</v>
      </c>
      <c r="G103" s="67"/>
      <c r="H103" s="67" t="s">
        <v>454</v>
      </c>
      <c r="I103" s="67" t="s">
        <v>556</v>
      </c>
      <c r="J103" s="67" t="s">
        <v>557</v>
      </c>
      <c r="K103" s="67" t="s">
        <v>558</v>
      </c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 t="str" vm="3190">
        <f>CUBEVALUE(ConnectionString,ReportMonth,Table1[[#This Row],[Site ID (from DATIM)]],"TX_NEW_2VIS")</f>
        <v/>
      </c>
      <c r="AE103" s="67" t="str" vm="5378">
        <f>CUBEVALUE(ConnectionString,ReportMonth,Table1[[#This Row],[Site ID (from DATIM)]],INDEX(SDI_Measures,1))</f>
        <v/>
      </c>
      <c r="AF103" s="67" t="str" vm="1457">
        <f>CUBEVALUE(ConnectionString,ReportMonth,Table1[[#This Row],[Site ID (from DATIM)]],INDEX(SDI_Measures,2))</f>
        <v/>
      </c>
      <c r="AG103" s="67" t="str" vm="2190">
        <f>CUBEVALUE(ConnectionString,ReportMonth,Table1[[#This Row],[Site ID (from DATIM)]],INDEX(SDI_Measures,3))</f>
        <v/>
      </c>
      <c r="AH103" s="67" vm="1164">
        <f>CUBEVALUE(ConnectionString,ReportMonth,Table1[[#This Row],[Site ID (from DATIM)]],"TX_CURR_PRIOR_MONTH")</f>
        <v>17</v>
      </c>
      <c r="AI103" s="67" vm="1644">
        <f>CUBEVALUE(ConnectionString,ReportMonth,Table1[[#This Row],[Site ID (from DATIM)]],"TX_CURR")</f>
        <v>16</v>
      </c>
      <c r="AJ103" s="67" t="str" vm="926">
        <f>CUBEVALUE(ConnectionString,ReportMonth,Table1[[#This Row],[Site ID (from DATIM)]],"[Measures].[TI]")</f>
        <v/>
      </c>
      <c r="AK103" s="67" t="str" vm="1802">
        <f>CUBEVALUE(ConnectionString,ReportMonth,Table1[[#This Row],[Site ID (from DATIM)]],"[Measures].[TO]")</f>
        <v/>
      </c>
      <c r="AL103" s="67" t="str" vm="2684">
        <f>CUBEVALUE(ConnectionString,ReportMonth,Table1[[#This Row],[Site ID (from DATIM)]],"[Measures].[DIED]")</f>
        <v/>
      </c>
      <c r="AM103" s="67" vm="6423">
        <f>CUBEVALUE(ConnectionString,ReportMonth,Table1[[#This Row],[Site ID (from DATIM)]],"[Measures].[MMS_01_31]")</f>
        <v>6</v>
      </c>
      <c r="AN103" s="67" vm="5923">
        <f>CUBEVALUE(ConnectionString,ReportMonth,Table1[[#This Row],[Site ID (from DATIM)]],"[Measures].[MMS_32_62]")</f>
        <v>3</v>
      </c>
      <c r="AO103" s="67" vm="5600">
        <f>CUBEVALUE(ConnectionString,ReportMonth,Table1[[#This Row],[Site ID (from DATIM)]],"[Measures].[MMS_63+]")</f>
        <v>7</v>
      </c>
      <c r="AP103" s="67" vm="4655">
        <f>CUBEVALUE(ConnectionString,ReportMonth,Table1[[#This Row],[Site ID (from DATIM)]],"[Measures].[TBPREV_D]")</f>
        <v>1</v>
      </c>
      <c r="AQ103" s="67" t="str" vm="6421">
        <f>CUBEVALUE(ConnectionString,ReportMonth,Table1[[#This Row],[Site ID (from DATIM)]],"[Measures].[TBPREV_N]")</f>
        <v/>
      </c>
      <c r="AR103" s="67" t="str" vm="9281">
        <f>CUBEVALUE(ConnectionString,ReportMonth,Table1[[#This Row],[Site ID (from DATIM)]],"[Measures].[TBPREV_NEW]")</f>
        <v/>
      </c>
      <c r="AS103" s="67" t="str" vm="6036">
        <f>CUBEVALUE(ConnectionString,ReportMonth,Table1[[#This Row],[Site ID (from DATIM)]],"[Measures].[HVL_ELIG_P]")</f>
        <v/>
      </c>
      <c r="AT103" s="67" t="str" vm="9477">
        <f>CUBEVALUE(ConnectionString,ReportMonth,Table1[[#This Row],[Site ID (from DATIM)]],"[Measures].[HVL_D_P]")</f>
        <v/>
      </c>
      <c r="AU103" s="67" t="str" vm="12734">
        <f>CUBEVALUE(ConnectionString,ReportMonth,Table1[[#This Row],[Site ID (from DATIM)]],"[Measures].[HVL_N_P]")</f>
        <v/>
      </c>
      <c r="AV103" s="68" vm="9906">
        <f>CUBEVALUE(ConnectionString,ReportMonth,Table1[[#This Row],[Site ID (from DATIM)]],"[Measures].[HVL_ELIG_A]")</f>
        <v>8</v>
      </c>
      <c r="AW103" s="68" vm="9492">
        <f>CUBEVALUE(ConnectionString,ReportMonth,Table1[[#This Row],[Site ID (from DATIM)]],"[Measures].[HVL_D_A]")</f>
        <v>2</v>
      </c>
      <c r="AX103" s="68" vm="6824">
        <f>CUBEVALUE(ConnectionString,ReportMonth,Table1[[#This Row],[Site ID (from DATIM)]],"[Measures].[HVL_N_A]")</f>
        <v>2</v>
      </c>
      <c r="AY103" s="67"/>
      <c r="AZ103" s="67"/>
      <c r="BA103" s="67"/>
      <c r="BB103" s="67"/>
      <c r="BC103" s="67"/>
      <c r="BD103" s="67"/>
      <c r="BE103" s="67"/>
      <c r="BF103" s="67"/>
      <c r="BG103" s="67" t="str" vm="10673">
        <f>CUBEVALUE(ConnectionString,ReportMonth,Table1[[#This Row],[Site ID (from DATIM)]],"[Measures].[TX_NEW_F_A]")</f>
        <v/>
      </c>
      <c r="BH103" s="67" t="str" vm="11483">
        <f>CUBEVALUE(ConnectionString,ReportMonth,Table1[[#This Row],[Site ID (from DATIM)]],"[Measures].[TX_NEW_M_A]")</f>
        <v/>
      </c>
      <c r="BI103" s="67" t="str" vm="14199">
        <f>CUBEVALUE(ConnectionString,ReportMonth,Table1[[#This Row],[Site ID (from DATIM)]],"[Measures].[TX_NEW_F_P]")</f>
        <v/>
      </c>
      <c r="BJ103" s="68" t="str" vm="13176">
        <f>CUBEVALUE(ConnectionString,ReportMonth,Table1[[#This Row],[Site ID (from DATIM)]],"[Measures].[TX_NEW_M_P]")</f>
        <v/>
      </c>
      <c r="BK103" s="68"/>
      <c r="BL103" s="68"/>
      <c r="BM103" s="68"/>
      <c r="BN103" s="68"/>
      <c r="BO103" s="68"/>
      <c r="BP103" s="68"/>
      <c r="BQ103" s="68" t="str" vm="11734">
        <f>CUBEVALUE(ConnectionString,ReportMonth,Table1[[#This Row],[Site ID (from DATIM)]],"[Measures].[TX_CURR_F_P]")</f>
        <v/>
      </c>
      <c r="BR103" s="68" t="str" vm="7486">
        <f>CUBEVALUE(ConnectionString,ReportMonth,Table1[[#This Row],[Site ID (from DATIM)]],"[Measures].[TX_CURR_M_P]")</f>
        <v/>
      </c>
      <c r="BS103" s="68" vm="11632">
        <f>CUBEVALUE(ConnectionString,ReportMonth,Table1[[#This Row],[Site ID (from DATIM)]],"[Measures].[TX_CURR_F_A]")</f>
        <v>16</v>
      </c>
      <c r="BT103" s="68" t="str" vm="12890">
        <f>CUBEVALUE(ConnectionString,ReportMonth,Table1[[#This Row],[Site ID (from DATIM)]],"[Measures].[TX_CURR_M_A]")</f>
        <v/>
      </c>
      <c r="BU103" s="68" t="str" vm="18659">
        <f>CUBEVALUE(ConnectionString,ReportMonth,Table1[[#This Row],[Site ID (from DATIM)]],"[Measures].[MMS_01_89_F_P]")</f>
        <v/>
      </c>
      <c r="BV103" s="68" t="str" vm="18954">
        <f>CUBEVALUE(ConnectionString,ReportMonth,Table1[[#This Row],[Site ID (from DATIM)]],"[Measures].[MMS_01_89_M_P]")</f>
        <v/>
      </c>
      <c r="BW103" s="68" vm="20057">
        <f>CUBEVALUE(ConnectionString,ReportMonth,Table1[[#This Row],[Site ID (from DATIM)]],"[Measures].[MMS_01_89_F_A]")</f>
        <v>9</v>
      </c>
      <c r="BX103" s="68" t="str" vm="18061">
        <f>CUBEVALUE(ConnectionString,ReportMonth,Table1[[#This Row],[Site ID (from DATIM)]],"[Measures].[MMS_01_89_M_A]")</f>
        <v/>
      </c>
      <c r="BY103" s="68" t="str" vm="17900">
        <f>CUBEVALUE(ConnectionString,ReportMonth,Table1[[#This Row],[Site ID (from DATIM)]],"[Measures].[MMS_90_179_F_P]")</f>
        <v/>
      </c>
      <c r="BZ103" s="68" t="str" vm="17153">
        <f>CUBEVALUE(ConnectionString,ReportMonth,Table1[[#This Row],[Site ID (from DATIM)]],"[Measures].[MMS_90_179_M_P]")</f>
        <v/>
      </c>
      <c r="CA103" s="68" vm="15559">
        <f>CUBEVALUE(ConnectionString,ReportMonth,Table1[[#This Row],[Site ID (from DATIM)]],"[Measures].[MMS_90_179_F_A]")</f>
        <v>7</v>
      </c>
      <c r="CB103" s="68" t="str" vm="15131">
        <f>CUBEVALUE(ConnectionString,ReportMonth,Table1[[#This Row],[Site ID (from DATIM)]],"[Measures].[MMS_90_179_M_A]")</f>
        <v/>
      </c>
      <c r="CC103" s="68" t="str" vm="16870">
        <f>CUBEVALUE(ConnectionString,ReportMonth,Table1[[#This Row],[Site ID (from DATIM)]],"[Measures].[MMS_180+_F_P]")</f>
        <v/>
      </c>
      <c r="CD103" s="68" t="str" vm="16752">
        <f>CUBEVALUE(ConnectionString,ReportMonth,Table1[[#This Row],[Site ID (from DATIM)]],"[Measures].[MMS_180+_M_P]")</f>
        <v/>
      </c>
      <c r="CE103" s="68" t="str" vm="16267">
        <f>CUBEVALUE(ConnectionString,ReportMonth,Table1[[#This Row],[Site ID (from DATIM)]],"[Measures].[MMS_180+_F_A]")</f>
        <v/>
      </c>
      <c r="CF103" s="68" t="str" vm="254">
        <f>CUBEVALUE(ConnectionString,ReportMonth,Table1[[#This Row],[Site ID (from DATIM)]],"[Measures].[MMS_180+_M_A]")</f>
        <v/>
      </c>
      <c r="CG103" s="68" vm="6162">
        <f>CUBEVALUE(ConnectionString,ReportMonth,Table1[[#This Row],[Site ID (from DATIM)]],"[Measures].[MISSEDAPP]")</f>
        <v>15</v>
      </c>
      <c r="CH103" s="68" t="str" vm="12638">
        <f>CUBEVALUE(ConnectionString,ReportMonth,Table1[[#This Row],[Site ID (from DATIM)]],"[Measures].[MMS_180+_P]")</f>
        <v/>
      </c>
      <c r="CI103" s="68" t="str" vm="14170">
        <f>CUBEVALUE(ConnectionString,ReportMonth,Table1[[#This Row],[Site ID (from DATIM)]],"[Measures].[MMS_180+_A]")</f>
        <v/>
      </c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</row>
    <row r="104" spans="1:107" x14ac:dyDescent="0.25">
      <c r="A104" s="66">
        <v>4</v>
      </c>
      <c r="B104" s="67" t="str" vm="4">
        <f t="shared" si="2"/>
        <v>Mar-2021</v>
      </c>
      <c r="C104" s="67"/>
      <c r="D104" s="67" t="s">
        <v>232</v>
      </c>
      <c r="E104" s="67" t="s">
        <v>233</v>
      </c>
      <c r="F104" s="67" t="s">
        <v>1286</v>
      </c>
      <c r="G104" s="67"/>
      <c r="H104" s="67" t="s">
        <v>1303</v>
      </c>
      <c r="I104" s="67" t="s">
        <v>1320</v>
      </c>
      <c r="J104" s="67" t="s">
        <v>1321</v>
      </c>
      <c r="K104" s="67" t="s">
        <v>1322</v>
      </c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 t="str" vm="973">
        <f>CUBEVALUE(ConnectionString,ReportMonth,Table1[[#This Row],[Site ID (from DATIM)]],"TX_NEW_2VIS")</f>
        <v/>
      </c>
      <c r="AE104" s="67" t="str" vm="1054">
        <f>CUBEVALUE(ConnectionString,ReportMonth,Table1[[#This Row],[Site ID (from DATIM)]],INDEX(SDI_Measures,1))</f>
        <v/>
      </c>
      <c r="AF104" s="67" t="str" vm="54">
        <f>CUBEVALUE(ConnectionString,ReportMonth,Table1[[#This Row],[Site ID (from DATIM)]],INDEX(SDI_Measures,2))</f>
        <v/>
      </c>
      <c r="AG104" s="67" t="str" vm="10477">
        <f>CUBEVALUE(ConnectionString,ReportMonth,Table1[[#This Row],[Site ID (from DATIM)]],INDEX(SDI_Measures,3))</f>
        <v/>
      </c>
      <c r="AH104" s="67" t="str" vm="2657">
        <f>CUBEVALUE(ConnectionString,ReportMonth,Table1[[#This Row],[Site ID (from DATIM)]],"TX_CURR_PRIOR_MONTH")</f>
        <v/>
      </c>
      <c r="AI104" s="67" t="str" vm="6169">
        <f>CUBEVALUE(ConnectionString,ReportMonth,Table1[[#This Row],[Site ID (from DATIM)]],"TX_CURR")</f>
        <v/>
      </c>
      <c r="AJ104" s="67" t="str" vm="4253">
        <f>CUBEVALUE(ConnectionString,ReportMonth,Table1[[#This Row],[Site ID (from DATIM)]],"[Measures].[TI]")</f>
        <v/>
      </c>
      <c r="AK104" s="67" t="str" vm="3310">
        <f>CUBEVALUE(ConnectionString,ReportMonth,Table1[[#This Row],[Site ID (from DATIM)]],"[Measures].[TO]")</f>
        <v/>
      </c>
      <c r="AL104" s="67" t="str" vm="4273">
        <f>CUBEVALUE(ConnectionString,ReportMonth,Table1[[#This Row],[Site ID (from DATIM)]],"[Measures].[DIED]")</f>
        <v/>
      </c>
      <c r="AM104" s="67" t="str" vm="4696">
        <f>CUBEVALUE(ConnectionString,ReportMonth,Table1[[#This Row],[Site ID (from DATIM)]],"[Measures].[MMS_01_31]")</f>
        <v/>
      </c>
      <c r="AN104" s="67" t="str" vm="4909">
        <f>CUBEVALUE(ConnectionString,ReportMonth,Table1[[#This Row],[Site ID (from DATIM)]],"[Measures].[MMS_32_62]")</f>
        <v/>
      </c>
      <c r="AO104" s="67" t="str" vm="7948">
        <f>CUBEVALUE(ConnectionString,ReportMonth,Table1[[#This Row],[Site ID (from DATIM)]],"[Measures].[MMS_63+]")</f>
        <v/>
      </c>
      <c r="AP104" s="67" t="str" vm="7830">
        <f>CUBEVALUE(ConnectionString,ReportMonth,Table1[[#This Row],[Site ID (from DATIM)]],"[Measures].[TBPREV_D]")</f>
        <v/>
      </c>
      <c r="AQ104" s="67" t="str" vm="7263">
        <f>CUBEVALUE(ConnectionString,ReportMonth,Table1[[#This Row],[Site ID (from DATIM)]],"[Measures].[TBPREV_N]")</f>
        <v/>
      </c>
      <c r="AR104" s="67" t="str" vm="8942">
        <f>CUBEVALUE(ConnectionString,ReportMonth,Table1[[#This Row],[Site ID (from DATIM)]],"[Measures].[TBPREV_NEW]")</f>
        <v/>
      </c>
      <c r="AS104" s="67" t="str" vm="10282">
        <f>CUBEVALUE(ConnectionString,ReportMonth,Table1[[#This Row],[Site ID (from DATIM)]],"[Measures].[HVL_ELIG_P]")</f>
        <v/>
      </c>
      <c r="AT104" s="67" t="str" vm="9761">
        <f>CUBEVALUE(ConnectionString,ReportMonth,Table1[[#This Row],[Site ID (from DATIM)]],"[Measures].[HVL_D_P]")</f>
        <v/>
      </c>
      <c r="AU104" s="67" t="str" vm="11616">
        <f>CUBEVALUE(ConnectionString,ReportMonth,Table1[[#This Row],[Site ID (from DATIM)]],"[Measures].[HVL_N_P]")</f>
        <v/>
      </c>
      <c r="AV104" s="68" t="str" vm="10169">
        <f>CUBEVALUE(ConnectionString,ReportMonth,Table1[[#This Row],[Site ID (from DATIM)]],"[Measures].[HVL_ELIG_A]")</f>
        <v/>
      </c>
      <c r="AW104" s="68" t="str" vm="17044">
        <f>CUBEVALUE(ConnectionString,ReportMonth,Table1[[#This Row],[Site ID (from DATIM)]],"[Measures].[HVL_D_A]")</f>
        <v/>
      </c>
      <c r="AX104" s="68" t="str" vm="9440">
        <f>CUBEVALUE(ConnectionString,ReportMonth,Table1[[#This Row],[Site ID (from DATIM)]],"[Measures].[HVL_N_A]")</f>
        <v/>
      </c>
      <c r="AY104" s="67"/>
      <c r="AZ104" s="67"/>
      <c r="BA104" s="67"/>
      <c r="BB104" s="67"/>
      <c r="BC104" s="67"/>
      <c r="BD104" s="67"/>
      <c r="BE104" s="67"/>
      <c r="BF104" s="67"/>
      <c r="BG104" s="67" t="str" vm="14309">
        <f>CUBEVALUE(ConnectionString,ReportMonth,Table1[[#This Row],[Site ID (from DATIM)]],"[Measures].[TX_NEW_F_A]")</f>
        <v/>
      </c>
      <c r="BH104" s="67" t="str" vm="12575">
        <f>CUBEVALUE(ConnectionString,ReportMonth,Table1[[#This Row],[Site ID (from DATIM)]],"[Measures].[TX_NEW_M_A]")</f>
        <v/>
      </c>
      <c r="BI104" s="67" t="str" vm="11020">
        <f>CUBEVALUE(ConnectionString,ReportMonth,Table1[[#This Row],[Site ID (from DATIM)]],"[Measures].[TX_NEW_F_P]")</f>
        <v/>
      </c>
      <c r="BJ104" s="68" t="str" vm="13718">
        <f>CUBEVALUE(ConnectionString,ReportMonth,Table1[[#This Row],[Site ID (from DATIM)]],"[Measures].[TX_NEW_M_P]")</f>
        <v/>
      </c>
      <c r="BK104" s="68"/>
      <c r="BL104" s="68"/>
      <c r="BM104" s="68"/>
      <c r="BN104" s="68"/>
      <c r="BO104" s="68"/>
      <c r="BP104" s="68"/>
      <c r="BQ104" s="68" t="str" vm="7023">
        <f>CUBEVALUE(ConnectionString,ReportMonth,Table1[[#This Row],[Site ID (from DATIM)]],"[Measures].[TX_CURR_F_P]")</f>
        <v/>
      </c>
      <c r="BR104" s="68" t="str" vm="13372">
        <f>CUBEVALUE(ConnectionString,ReportMonth,Table1[[#This Row],[Site ID (from DATIM)]],"[Measures].[TX_CURR_M_P]")</f>
        <v/>
      </c>
      <c r="BS104" s="68" t="str" vm="8957">
        <f>CUBEVALUE(ConnectionString,ReportMonth,Table1[[#This Row],[Site ID (from DATIM)]],"[Measures].[TX_CURR_F_A]")</f>
        <v/>
      </c>
      <c r="BT104" s="68" t="str" vm="11993">
        <f>CUBEVALUE(ConnectionString,ReportMonth,Table1[[#This Row],[Site ID (from DATIM)]],"[Measures].[TX_CURR_M_A]")</f>
        <v/>
      </c>
      <c r="BU104" s="68" t="str" vm="18130">
        <f>CUBEVALUE(ConnectionString,ReportMonth,Table1[[#This Row],[Site ID (from DATIM)]],"[Measures].[MMS_01_89_F_P]")</f>
        <v/>
      </c>
      <c r="BV104" s="68" t="str" vm="18996">
        <f>CUBEVALUE(ConnectionString,ReportMonth,Table1[[#This Row],[Site ID (from DATIM)]],"[Measures].[MMS_01_89_M_P]")</f>
        <v/>
      </c>
      <c r="BW104" s="68" t="str" vm="18054">
        <f>CUBEVALUE(ConnectionString,ReportMonth,Table1[[#This Row],[Site ID (from DATIM)]],"[Measures].[MMS_01_89_F_A]")</f>
        <v/>
      </c>
      <c r="BX104" s="68" t="str" vm="17958">
        <f>CUBEVALUE(ConnectionString,ReportMonth,Table1[[#This Row],[Site ID (from DATIM)]],"[Measures].[MMS_01_89_M_A]")</f>
        <v/>
      </c>
      <c r="BY104" s="68" t="str" vm="18454">
        <f>CUBEVALUE(ConnectionString,ReportMonth,Table1[[#This Row],[Site ID (from DATIM)]],"[Measures].[MMS_90_179_F_P]")</f>
        <v/>
      </c>
      <c r="BZ104" s="68" t="str" vm="17873">
        <f>CUBEVALUE(ConnectionString,ReportMonth,Table1[[#This Row],[Site ID (from DATIM)]],"[Measures].[MMS_90_179_M_P]")</f>
        <v/>
      </c>
      <c r="CA104" s="68" t="str" vm="17303">
        <f>CUBEVALUE(ConnectionString,ReportMonth,Table1[[#This Row],[Site ID (from DATIM)]],"[Measures].[MMS_90_179_F_A]")</f>
        <v/>
      </c>
      <c r="CB104" s="68" t="str" vm="16805">
        <f>CUBEVALUE(ConnectionString,ReportMonth,Table1[[#This Row],[Site ID (from DATIM)]],"[Measures].[MMS_90_179_M_A]")</f>
        <v/>
      </c>
      <c r="CC104" s="68" t="str" vm="15820">
        <f>CUBEVALUE(ConnectionString,ReportMonth,Table1[[#This Row],[Site ID (from DATIM)]],"[Measures].[MMS_180+_F_P]")</f>
        <v/>
      </c>
      <c r="CD104" s="68" t="str" vm="14571">
        <f>CUBEVALUE(ConnectionString,ReportMonth,Table1[[#This Row],[Site ID (from DATIM)]],"[Measures].[MMS_180+_M_P]")</f>
        <v/>
      </c>
      <c r="CE104" s="68" t="str" vm="14977">
        <f>CUBEVALUE(ConnectionString,ReportMonth,Table1[[#This Row],[Site ID (from DATIM)]],"[Measures].[MMS_180+_F_A]")</f>
        <v/>
      </c>
      <c r="CF104" s="68" t="str" vm="196">
        <f>CUBEVALUE(ConnectionString,ReportMonth,Table1[[#This Row],[Site ID (from DATIM)]],"[Measures].[MMS_180+_M_A]")</f>
        <v/>
      </c>
      <c r="CG104" s="68" t="str" vm="8182">
        <f>CUBEVALUE(ConnectionString,ReportMonth,Table1[[#This Row],[Site ID (from DATIM)]],"[Measures].[MISSEDAPP]")</f>
        <v/>
      </c>
      <c r="CH104" s="68" t="str" vm="14061">
        <f>CUBEVALUE(ConnectionString,ReportMonth,Table1[[#This Row],[Site ID (from DATIM)]],"[Measures].[MMS_180+_P]")</f>
        <v/>
      </c>
      <c r="CI104" s="68" t="str" vm="11402">
        <f>CUBEVALUE(ConnectionString,ReportMonth,Table1[[#This Row],[Site ID (from DATIM)]],"[Measures].[MMS_180+_A]")</f>
        <v/>
      </c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</row>
    <row r="105" spans="1:107" x14ac:dyDescent="0.25">
      <c r="A105" s="66">
        <v>4</v>
      </c>
      <c r="B105" s="67" t="str" vm="4">
        <f t="shared" si="2"/>
        <v>Mar-2021</v>
      </c>
      <c r="C105" s="67"/>
      <c r="D105" s="67" t="s">
        <v>232</v>
      </c>
      <c r="E105" s="67" t="s">
        <v>233</v>
      </c>
      <c r="F105" s="67" t="s">
        <v>437</v>
      </c>
      <c r="G105" s="67"/>
      <c r="H105" s="67" t="s">
        <v>454</v>
      </c>
      <c r="I105" s="67" t="s">
        <v>559</v>
      </c>
      <c r="J105" s="67" t="s">
        <v>560</v>
      </c>
      <c r="K105" s="67" t="s">
        <v>561</v>
      </c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 t="str" vm="3863">
        <f>CUBEVALUE(ConnectionString,ReportMonth,Table1[[#This Row],[Site ID (from DATIM)]],"TX_NEW_2VIS")</f>
        <v/>
      </c>
      <c r="AE105" s="67" t="str" vm="2499">
        <f>CUBEVALUE(ConnectionString,ReportMonth,Table1[[#This Row],[Site ID (from DATIM)]],INDEX(SDI_Measures,1))</f>
        <v/>
      </c>
      <c r="AF105" s="67" t="str" vm="4356">
        <f>CUBEVALUE(ConnectionString,ReportMonth,Table1[[#This Row],[Site ID (from DATIM)]],INDEX(SDI_Measures,2))</f>
        <v/>
      </c>
      <c r="AG105" s="67" t="str" vm="1523">
        <f>CUBEVALUE(ConnectionString,ReportMonth,Table1[[#This Row],[Site ID (from DATIM)]],INDEX(SDI_Measures,3))</f>
        <v/>
      </c>
      <c r="AH105" s="67" vm="837">
        <f>CUBEVALUE(ConnectionString,ReportMonth,Table1[[#This Row],[Site ID (from DATIM)]],"TX_CURR_PRIOR_MONTH")</f>
        <v>18</v>
      </c>
      <c r="AI105" s="67" vm="3719">
        <f>CUBEVALUE(ConnectionString,ReportMonth,Table1[[#This Row],[Site ID (from DATIM)]],"TX_CURR")</f>
        <v>17</v>
      </c>
      <c r="AJ105" s="67" t="str" vm="2570">
        <f>CUBEVALUE(ConnectionString,ReportMonth,Table1[[#This Row],[Site ID (from DATIM)]],"[Measures].[TI]")</f>
        <v/>
      </c>
      <c r="AK105" s="67" t="str" vm="6231">
        <f>CUBEVALUE(ConnectionString,ReportMonth,Table1[[#This Row],[Site ID (from DATIM)]],"[Measures].[TO]")</f>
        <v/>
      </c>
      <c r="AL105" s="67" t="str" vm="2950">
        <f>CUBEVALUE(ConnectionString,ReportMonth,Table1[[#This Row],[Site ID (from DATIM)]],"[Measures].[DIED]")</f>
        <v/>
      </c>
      <c r="AM105" s="67" vm="3750">
        <f>CUBEVALUE(ConnectionString,ReportMonth,Table1[[#This Row],[Site ID (from DATIM)]],"[Measures].[MMS_01_31]")</f>
        <v>15</v>
      </c>
      <c r="AN105" s="67" t="str" vm="4916">
        <f>CUBEVALUE(ConnectionString,ReportMonth,Table1[[#This Row],[Site ID (from DATIM)]],"[Measures].[MMS_32_62]")</f>
        <v/>
      </c>
      <c r="AO105" s="67" vm="8546">
        <f>CUBEVALUE(ConnectionString,ReportMonth,Table1[[#This Row],[Site ID (from DATIM)]],"[Measures].[MMS_63+]")</f>
        <v>2</v>
      </c>
      <c r="AP105" s="67" t="str" vm="6676">
        <f>CUBEVALUE(ConnectionString,ReportMonth,Table1[[#This Row],[Site ID (from DATIM)]],"[Measures].[TBPREV_D]")</f>
        <v/>
      </c>
      <c r="AQ105" s="67" t="str" vm="9436">
        <f>CUBEVALUE(ConnectionString,ReportMonth,Table1[[#This Row],[Site ID (from DATIM)]],"[Measures].[TBPREV_N]")</f>
        <v/>
      </c>
      <c r="AR105" s="67" t="str" vm="11326">
        <f>CUBEVALUE(ConnectionString,ReportMonth,Table1[[#This Row],[Site ID (from DATIM)]],"[Measures].[TBPREV_NEW]")</f>
        <v/>
      </c>
      <c r="AS105" s="67" t="str" vm="9233">
        <f>CUBEVALUE(ConnectionString,ReportMonth,Table1[[#This Row],[Site ID (from DATIM)]],"[Measures].[HVL_ELIG_P]")</f>
        <v/>
      </c>
      <c r="AT105" s="67" t="str" vm="6791">
        <f>CUBEVALUE(ConnectionString,ReportMonth,Table1[[#This Row],[Site ID (from DATIM)]],"[Measures].[HVL_D_P]")</f>
        <v/>
      </c>
      <c r="AU105" s="67" t="str" vm="14145">
        <f>CUBEVALUE(ConnectionString,ReportMonth,Table1[[#This Row],[Site ID (from DATIM)]],"[Measures].[HVL_N_P]")</f>
        <v/>
      </c>
      <c r="AV105" s="68" vm="9060">
        <f>CUBEVALUE(ConnectionString,ReportMonth,Table1[[#This Row],[Site ID (from DATIM)]],"[Measures].[HVL_ELIG_A]")</f>
        <v>3</v>
      </c>
      <c r="AW105" s="68" t="str" vm="10247">
        <f>CUBEVALUE(ConnectionString,ReportMonth,Table1[[#This Row],[Site ID (from DATIM)]],"[Measures].[HVL_D_A]")</f>
        <v/>
      </c>
      <c r="AX105" s="68" t="str" vm="14383">
        <f>CUBEVALUE(ConnectionString,ReportMonth,Table1[[#This Row],[Site ID (from DATIM)]],"[Measures].[HVL_N_A]")</f>
        <v/>
      </c>
      <c r="AY105" s="67"/>
      <c r="AZ105" s="67"/>
      <c r="BA105" s="67"/>
      <c r="BB105" s="67"/>
      <c r="BC105" s="67"/>
      <c r="BD105" s="67"/>
      <c r="BE105" s="67"/>
      <c r="BF105" s="67"/>
      <c r="BG105" s="67" t="str" vm="13746">
        <f>CUBEVALUE(ConnectionString,ReportMonth,Table1[[#This Row],[Site ID (from DATIM)]],"[Measures].[TX_NEW_F_A]")</f>
        <v/>
      </c>
      <c r="BH105" s="67" t="str" vm="12121">
        <f>CUBEVALUE(ConnectionString,ReportMonth,Table1[[#This Row],[Site ID (from DATIM)]],"[Measures].[TX_NEW_M_A]")</f>
        <v/>
      </c>
      <c r="BI105" s="67" t="str" vm="11019">
        <f>CUBEVALUE(ConnectionString,ReportMonth,Table1[[#This Row],[Site ID (from DATIM)]],"[Measures].[TX_NEW_F_P]")</f>
        <v/>
      </c>
      <c r="BJ105" s="68" t="str" vm="15292">
        <f>CUBEVALUE(ConnectionString,ReportMonth,Table1[[#This Row],[Site ID (from DATIM)]],"[Measures].[TX_NEW_M_P]")</f>
        <v/>
      </c>
      <c r="BK105" s="68"/>
      <c r="BL105" s="68"/>
      <c r="BM105" s="68"/>
      <c r="BN105" s="68"/>
      <c r="BO105" s="68"/>
      <c r="BP105" s="68"/>
      <c r="BQ105" s="68" t="str" vm="9310">
        <f>CUBEVALUE(ConnectionString,ReportMonth,Table1[[#This Row],[Site ID (from DATIM)]],"[Measures].[TX_CURR_F_P]")</f>
        <v/>
      </c>
      <c r="BR105" s="68" t="str" vm="8727">
        <f>CUBEVALUE(ConnectionString,ReportMonth,Table1[[#This Row],[Site ID (from DATIM)]],"[Measures].[TX_CURR_M_P]")</f>
        <v/>
      </c>
      <c r="BS105" s="68" vm="17009">
        <f>CUBEVALUE(ConnectionString,ReportMonth,Table1[[#This Row],[Site ID (from DATIM)]],"[Measures].[TX_CURR_F_A]")</f>
        <v>16</v>
      </c>
      <c r="BT105" s="68" vm="10848">
        <f>CUBEVALUE(ConnectionString,ReportMonth,Table1[[#This Row],[Site ID (from DATIM)]],"[Measures].[TX_CURR_M_A]")</f>
        <v>1</v>
      </c>
      <c r="BU105" s="68" t="str" vm="19783">
        <f>CUBEVALUE(ConnectionString,ReportMonth,Table1[[#This Row],[Site ID (from DATIM)]],"[Measures].[MMS_01_89_F_P]")</f>
        <v/>
      </c>
      <c r="BV105" s="68" t="str" vm="19205">
        <f>CUBEVALUE(ConnectionString,ReportMonth,Table1[[#This Row],[Site ID (from DATIM)]],"[Measures].[MMS_01_89_M_P]")</f>
        <v/>
      </c>
      <c r="BW105" s="68" vm="18044">
        <f>CUBEVALUE(ConnectionString,ReportMonth,Table1[[#This Row],[Site ID (from DATIM)]],"[Measures].[MMS_01_89_F_A]")</f>
        <v>14</v>
      </c>
      <c r="BX105" s="68" vm="18314">
        <f>CUBEVALUE(ConnectionString,ReportMonth,Table1[[#This Row],[Site ID (from DATIM)]],"[Measures].[MMS_01_89_M_A]")</f>
        <v>1</v>
      </c>
      <c r="BY105" s="68" t="str" vm="18226">
        <f>CUBEVALUE(ConnectionString,ReportMonth,Table1[[#This Row],[Site ID (from DATIM)]],"[Measures].[MMS_90_179_F_P]")</f>
        <v/>
      </c>
      <c r="BZ105" s="68" t="str" vm="15228">
        <f>CUBEVALUE(ConnectionString,ReportMonth,Table1[[#This Row],[Site ID (from DATIM)]],"[Measures].[MMS_90_179_M_P]")</f>
        <v/>
      </c>
      <c r="CA105" s="68" vm="15149">
        <f>CUBEVALUE(ConnectionString,ReportMonth,Table1[[#This Row],[Site ID (from DATIM)]],"[Measures].[MMS_90_179_F_A]")</f>
        <v>2</v>
      </c>
      <c r="CB105" s="68" t="str" vm="15158">
        <f>CUBEVALUE(ConnectionString,ReportMonth,Table1[[#This Row],[Site ID (from DATIM)]],"[Measures].[MMS_90_179_M_A]")</f>
        <v/>
      </c>
      <c r="CC105" s="68" t="str" vm="16497">
        <f>CUBEVALUE(ConnectionString,ReportMonth,Table1[[#This Row],[Site ID (from DATIM)]],"[Measures].[MMS_180+_F_P]")</f>
        <v/>
      </c>
      <c r="CD105" s="68" t="str" vm="281">
        <f>CUBEVALUE(ConnectionString,ReportMonth,Table1[[#This Row],[Site ID (from DATIM)]],"[Measures].[MMS_180+_M_P]")</f>
        <v/>
      </c>
      <c r="CE105" s="68" t="str" vm="17207">
        <f>CUBEVALUE(ConnectionString,ReportMonth,Table1[[#This Row],[Site ID (from DATIM)]],"[Measures].[MMS_180+_F_A]")</f>
        <v/>
      </c>
      <c r="CF105" s="68" t="str" vm="14446">
        <f>CUBEVALUE(ConnectionString,ReportMonth,Table1[[#This Row],[Site ID (from DATIM)]],"[Measures].[MMS_180+_M_A]")</f>
        <v/>
      </c>
      <c r="CG105" s="68" vm="8057">
        <f>CUBEVALUE(ConnectionString,ReportMonth,Table1[[#This Row],[Site ID (from DATIM)]],"[Measures].[MISSEDAPP]")</f>
        <v>13</v>
      </c>
      <c r="CH105" s="68" t="str" vm="11749">
        <f>CUBEVALUE(ConnectionString,ReportMonth,Table1[[#This Row],[Site ID (from DATIM)]],"[Measures].[MMS_180+_P]")</f>
        <v/>
      </c>
      <c r="CI105" s="68" t="str" vm="10176">
        <f>CUBEVALUE(ConnectionString,ReportMonth,Table1[[#This Row],[Site ID (from DATIM)]],"[Measures].[MMS_180+_A]")</f>
        <v/>
      </c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</row>
    <row r="106" spans="1:107" x14ac:dyDescent="0.25">
      <c r="A106" s="66">
        <v>4</v>
      </c>
      <c r="B106" s="67" t="str" vm="4">
        <f t="shared" si="2"/>
        <v>Mar-2021</v>
      </c>
      <c r="C106" s="67"/>
      <c r="D106" s="67" t="s">
        <v>232</v>
      </c>
      <c r="E106" s="67" t="s">
        <v>233</v>
      </c>
      <c r="F106" s="67" t="s">
        <v>1286</v>
      </c>
      <c r="G106" s="67"/>
      <c r="H106" s="67" t="s">
        <v>1323</v>
      </c>
      <c r="I106" s="67" t="s">
        <v>1324</v>
      </c>
      <c r="J106" s="67" t="s">
        <v>1325</v>
      </c>
      <c r="K106" s="67" t="s">
        <v>1326</v>
      </c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 t="str" vm="947">
        <f>CUBEVALUE(ConnectionString,ReportMonth,Table1[[#This Row],[Site ID (from DATIM)]],"TX_NEW_2VIS")</f>
        <v/>
      </c>
      <c r="AE106" s="67" t="str" vm="4318">
        <f>CUBEVALUE(ConnectionString,ReportMonth,Table1[[#This Row],[Site ID (from DATIM)]],INDEX(SDI_Measures,1))</f>
        <v/>
      </c>
      <c r="AF106" s="67" t="str" vm="7406">
        <f>CUBEVALUE(ConnectionString,ReportMonth,Table1[[#This Row],[Site ID (from DATIM)]],INDEX(SDI_Measures,2))</f>
        <v/>
      </c>
      <c r="AG106" s="67" t="str" vm="3247">
        <f>CUBEVALUE(ConnectionString,ReportMonth,Table1[[#This Row],[Site ID (from DATIM)]],INDEX(SDI_Measures,3))</f>
        <v/>
      </c>
      <c r="AH106" s="67" t="str" vm="552">
        <f>CUBEVALUE(ConnectionString,ReportMonth,Table1[[#This Row],[Site ID (from DATIM)]],"TX_CURR_PRIOR_MONTH")</f>
        <v/>
      </c>
      <c r="AI106" s="67" t="str" vm="4313">
        <f>CUBEVALUE(ConnectionString,ReportMonth,Table1[[#This Row],[Site ID (from DATIM)]],"TX_CURR")</f>
        <v/>
      </c>
      <c r="AJ106" s="67" t="str" vm="4345">
        <f>CUBEVALUE(ConnectionString,ReportMonth,Table1[[#This Row],[Site ID (from DATIM)]],"[Measures].[TI]")</f>
        <v/>
      </c>
      <c r="AK106" s="67" t="str" vm="2633">
        <f>CUBEVALUE(ConnectionString,ReportMonth,Table1[[#This Row],[Site ID (from DATIM)]],"[Measures].[TO]")</f>
        <v/>
      </c>
      <c r="AL106" s="67" t="str" vm="1268">
        <f>CUBEVALUE(ConnectionString,ReportMonth,Table1[[#This Row],[Site ID (from DATIM)]],"[Measures].[DIED]")</f>
        <v/>
      </c>
      <c r="AM106" s="67" t="str" vm="3961">
        <f>CUBEVALUE(ConnectionString,ReportMonth,Table1[[#This Row],[Site ID (from DATIM)]],"[Measures].[MMS_01_31]")</f>
        <v/>
      </c>
      <c r="AN106" s="67" t="str" vm="6007">
        <f>CUBEVALUE(ConnectionString,ReportMonth,Table1[[#This Row],[Site ID (from DATIM)]],"[Measures].[MMS_32_62]")</f>
        <v/>
      </c>
      <c r="AO106" s="67" t="str" vm="9650">
        <f>CUBEVALUE(ConnectionString,ReportMonth,Table1[[#This Row],[Site ID (from DATIM)]],"[Measures].[MMS_63+]")</f>
        <v/>
      </c>
      <c r="AP106" s="67" t="str" vm="4735">
        <f>CUBEVALUE(ConnectionString,ReportMonth,Table1[[#This Row],[Site ID (from DATIM)]],"[Measures].[TBPREV_D]")</f>
        <v/>
      </c>
      <c r="AQ106" s="67" t="str" vm="9451">
        <f>CUBEVALUE(ConnectionString,ReportMonth,Table1[[#This Row],[Site ID (from DATIM)]],"[Measures].[TBPREV_N]")</f>
        <v/>
      </c>
      <c r="AR106" s="67" t="str" vm="5160">
        <f>CUBEVALUE(ConnectionString,ReportMonth,Table1[[#This Row],[Site ID (from DATIM)]],"[Measures].[TBPREV_NEW]")</f>
        <v/>
      </c>
      <c r="AS106" s="67" t="str" vm="5560">
        <f>CUBEVALUE(ConnectionString,ReportMonth,Table1[[#This Row],[Site ID (from DATIM)]],"[Measures].[HVL_ELIG_P]")</f>
        <v/>
      </c>
      <c r="AT106" s="67" t="str" vm="7676">
        <f>CUBEVALUE(ConnectionString,ReportMonth,Table1[[#This Row],[Site ID (from DATIM)]],"[Measures].[HVL_D_P]")</f>
        <v/>
      </c>
      <c r="AU106" s="67" t="str" vm="11069">
        <f>CUBEVALUE(ConnectionString,ReportMonth,Table1[[#This Row],[Site ID (from DATIM)]],"[Measures].[HVL_N_P]")</f>
        <v/>
      </c>
      <c r="AV106" s="68" t="str" vm="13882">
        <f>CUBEVALUE(ConnectionString,ReportMonth,Table1[[#This Row],[Site ID (from DATIM)]],"[Measures].[HVL_ELIG_A]")</f>
        <v/>
      </c>
      <c r="AW106" s="68" t="str" vm="10699">
        <f>CUBEVALUE(ConnectionString,ReportMonth,Table1[[#This Row],[Site ID (from DATIM)]],"[Measures].[HVL_D_A]")</f>
        <v/>
      </c>
      <c r="AX106" s="68" t="str" vm="6581">
        <f>CUBEVALUE(ConnectionString,ReportMonth,Table1[[#This Row],[Site ID (from DATIM)]],"[Measures].[HVL_N_A]")</f>
        <v/>
      </c>
      <c r="AY106" s="67"/>
      <c r="AZ106" s="67"/>
      <c r="BA106" s="67"/>
      <c r="BB106" s="67"/>
      <c r="BC106" s="67"/>
      <c r="BD106" s="67"/>
      <c r="BE106" s="67"/>
      <c r="BF106" s="67"/>
      <c r="BG106" s="67" t="str" vm="11475">
        <f>CUBEVALUE(ConnectionString,ReportMonth,Table1[[#This Row],[Site ID (from DATIM)]],"[Measures].[TX_NEW_F_A]")</f>
        <v/>
      </c>
      <c r="BH106" s="67" t="str" vm="13154">
        <f>CUBEVALUE(ConnectionString,ReportMonth,Table1[[#This Row],[Site ID (from DATIM)]],"[Measures].[TX_NEW_M_A]")</f>
        <v/>
      </c>
      <c r="BI106" s="67" t="str" vm="17405">
        <f>CUBEVALUE(ConnectionString,ReportMonth,Table1[[#This Row],[Site ID (from DATIM)]],"[Measures].[TX_NEW_F_P]")</f>
        <v/>
      </c>
      <c r="BJ106" s="68" t="str" vm="14238">
        <f>CUBEVALUE(ConnectionString,ReportMonth,Table1[[#This Row],[Site ID (from DATIM)]],"[Measures].[TX_NEW_M_P]")</f>
        <v/>
      </c>
      <c r="BK106" s="68"/>
      <c r="BL106" s="68"/>
      <c r="BM106" s="68"/>
      <c r="BN106" s="68"/>
      <c r="BO106" s="68"/>
      <c r="BP106" s="68"/>
      <c r="BQ106" s="68" t="str" vm="10747">
        <f>CUBEVALUE(ConnectionString,ReportMonth,Table1[[#This Row],[Site ID (from DATIM)]],"[Measures].[TX_CURR_F_P]")</f>
        <v/>
      </c>
      <c r="BR106" s="68" t="str" vm="10317">
        <f>CUBEVALUE(ConnectionString,ReportMonth,Table1[[#This Row],[Site ID (from DATIM)]],"[Measures].[TX_CURR_M_P]")</f>
        <v/>
      </c>
      <c r="BS106" s="68" t="str" vm="9071">
        <f>CUBEVALUE(ConnectionString,ReportMonth,Table1[[#This Row],[Site ID (from DATIM)]],"[Measures].[TX_CURR_F_A]")</f>
        <v/>
      </c>
      <c r="BT106" s="68" t="str" vm="11740">
        <f>CUBEVALUE(ConnectionString,ReportMonth,Table1[[#This Row],[Site ID (from DATIM)]],"[Measures].[TX_CURR_M_A]")</f>
        <v/>
      </c>
      <c r="BU106" s="68" t="str" vm="19736">
        <f>CUBEVALUE(ConnectionString,ReportMonth,Table1[[#This Row],[Site ID (from DATIM)]],"[Measures].[MMS_01_89_F_P]")</f>
        <v/>
      </c>
      <c r="BV106" s="68" t="str" vm="20043">
        <f>CUBEVALUE(ConnectionString,ReportMonth,Table1[[#This Row],[Site ID (from DATIM)]],"[Measures].[MMS_01_89_M_P]")</f>
        <v/>
      </c>
      <c r="BW106" s="68" t="str" vm="18548">
        <f>CUBEVALUE(ConnectionString,ReportMonth,Table1[[#This Row],[Site ID (from DATIM)]],"[Measures].[MMS_01_89_F_A]")</f>
        <v/>
      </c>
      <c r="BX106" s="68" t="str" vm="20008">
        <f>CUBEVALUE(ConnectionString,ReportMonth,Table1[[#This Row],[Site ID (from DATIM)]],"[Measures].[MMS_01_89_M_A]")</f>
        <v/>
      </c>
      <c r="BY106" s="68" t="str" vm="17991">
        <f>CUBEVALUE(ConnectionString,ReportMonth,Table1[[#This Row],[Site ID (from DATIM)]],"[Measures].[MMS_90_179_F_P]")</f>
        <v/>
      </c>
      <c r="BZ106" s="68" t="str" vm="18481">
        <f>CUBEVALUE(ConnectionString,ReportMonth,Table1[[#This Row],[Site ID (from DATIM)]],"[Measures].[MMS_90_179_M_P]")</f>
        <v/>
      </c>
      <c r="CA106" s="68" t="str" vm="17340">
        <f>CUBEVALUE(ConnectionString,ReportMonth,Table1[[#This Row],[Site ID (from DATIM)]],"[Measures].[MMS_90_179_F_A]")</f>
        <v/>
      </c>
      <c r="CB106" s="68" t="str" vm="16903">
        <f>CUBEVALUE(ConnectionString,ReportMonth,Table1[[#This Row],[Site ID (from DATIM)]],"[Measures].[MMS_90_179_M_A]")</f>
        <v/>
      </c>
      <c r="CC106" s="68" t="str" vm="14632">
        <f>CUBEVALUE(ConnectionString,ReportMonth,Table1[[#This Row],[Site ID (from DATIM)]],"[Measures].[MMS_180+_F_P]")</f>
        <v/>
      </c>
      <c r="CD106" s="68" t="str" vm="15426">
        <f>CUBEVALUE(ConnectionString,ReportMonth,Table1[[#This Row],[Site ID (from DATIM)]],"[Measures].[MMS_180+_M_P]")</f>
        <v/>
      </c>
      <c r="CE106" s="68" t="str" vm="208">
        <f>CUBEVALUE(ConnectionString,ReportMonth,Table1[[#This Row],[Site ID (from DATIM)]],"[Measures].[MMS_180+_F_A]")</f>
        <v/>
      </c>
      <c r="CF106" s="68" t="str" vm="194">
        <f>CUBEVALUE(ConnectionString,ReportMonth,Table1[[#This Row],[Site ID (from DATIM)]],"[Measures].[MMS_180+_M_A]")</f>
        <v/>
      </c>
      <c r="CG106" s="68" t="str" vm="6713">
        <f>CUBEVALUE(ConnectionString,ReportMonth,Table1[[#This Row],[Site ID (from DATIM)]],"[Measures].[MISSEDAPP]")</f>
        <v/>
      </c>
      <c r="CH106" s="68" t="str" vm="14124">
        <f>CUBEVALUE(ConnectionString,ReportMonth,Table1[[#This Row],[Site ID (from DATIM)]],"[Measures].[MMS_180+_P]")</f>
        <v/>
      </c>
      <c r="CI106" s="68" t="str" vm="13927">
        <f>CUBEVALUE(ConnectionString,ReportMonth,Table1[[#This Row],[Site ID (from DATIM)]],"[Measures].[MMS_180+_A]")</f>
        <v/>
      </c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</row>
    <row r="107" spans="1:107" x14ac:dyDescent="0.25">
      <c r="A107" s="66">
        <v>4</v>
      </c>
      <c r="B107" s="67" t="str" vm="4">
        <f t="shared" si="2"/>
        <v>Mar-2021</v>
      </c>
      <c r="C107" s="67"/>
      <c r="D107" s="67" t="s">
        <v>232</v>
      </c>
      <c r="E107" s="67" t="s">
        <v>233</v>
      </c>
      <c r="F107" s="67" t="s">
        <v>1286</v>
      </c>
      <c r="G107" s="67"/>
      <c r="H107" s="67" t="s">
        <v>1323</v>
      </c>
      <c r="I107" s="67" t="s">
        <v>1327</v>
      </c>
      <c r="J107" s="67" t="s">
        <v>1328</v>
      </c>
      <c r="K107" s="67" t="s">
        <v>1329</v>
      </c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 t="str" vm="1520">
        <f>CUBEVALUE(ConnectionString,ReportMonth,Table1[[#This Row],[Site ID (from DATIM)]],"TX_NEW_2VIS")</f>
        <v/>
      </c>
      <c r="AE107" s="67" t="str" vm="1325">
        <f>CUBEVALUE(ConnectionString,ReportMonth,Table1[[#This Row],[Site ID (from DATIM)]],INDEX(SDI_Measures,1))</f>
        <v/>
      </c>
      <c r="AF107" s="67" t="str" vm="4060">
        <f>CUBEVALUE(ConnectionString,ReportMonth,Table1[[#This Row],[Site ID (from DATIM)]],INDEX(SDI_Measures,2))</f>
        <v/>
      </c>
      <c r="AG107" s="67" t="str" vm="487">
        <f>CUBEVALUE(ConnectionString,ReportMonth,Table1[[#This Row],[Site ID (from DATIM)]],INDEX(SDI_Measures,3))</f>
        <v/>
      </c>
      <c r="AH107" s="67" t="str" vm="4456">
        <f>CUBEVALUE(ConnectionString,ReportMonth,Table1[[#This Row],[Site ID (from DATIM)]],"TX_CURR_PRIOR_MONTH")</f>
        <v/>
      </c>
      <c r="AI107" s="67" t="str" vm="2202">
        <f>CUBEVALUE(ConnectionString,ReportMonth,Table1[[#This Row],[Site ID (from DATIM)]],"TX_CURR")</f>
        <v/>
      </c>
      <c r="AJ107" s="67" t="str" vm="4358">
        <f>CUBEVALUE(ConnectionString,ReportMonth,Table1[[#This Row],[Site ID (from DATIM)]],"[Measures].[TI]")</f>
        <v/>
      </c>
      <c r="AK107" s="67" t="str" vm="3636">
        <f>CUBEVALUE(ConnectionString,ReportMonth,Table1[[#This Row],[Site ID (from DATIM)]],"[Measures].[TO]")</f>
        <v/>
      </c>
      <c r="AL107" s="67" t="str" vm="2244">
        <f>CUBEVALUE(ConnectionString,ReportMonth,Table1[[#This Row],[Site ID (from DATIM)]],"[Measures].[DIED]")</f>
        <v/>
      </c>
      <c r="AM107" s="67" t="str" vm="4333">
        <f>CUBEVALUE(ConnectionString,ReportMonth,Table1[[#This Row],[Site ID (from DATIM)]],"[Measures].[MMS_01_31]")</f>
        <v/>
      </c>
      <c r="AN107" s="67" t="str" vm="6126">
        <f>CUBEVALUE(ConnectionString,ReportMonth,Table1[[#This Row],[Site ID (from DATIM)]],"[Measures].[MMS_32_62]")</f>
        <v/>
      </c>
      <c r="AO107" s="67" t="str" vm="7399">
        <f>CUBEVALUE(ConnectionString,ReportMonth,Table1[[#This Row],[Site ID (from DATIM)]],"[Measures].[MMS_63+]")</f>
        <v/>
      </c>
      <c r="AP107" s="67" t="str" vm="6027">
        <f>CUBEVALUE(ConnectionString,ReportMonth,Table1[[#This Row],[Site ID (from DATIM)]],"[Measures].[TBPREV_D]")</f>
        <v/>
      </c>
      <c r="AQ107" s="67" t="str" vm="5149">
        <f>CUBEVALUE(ConnectionString,ReportMonth,Table1[[#This Row],[Site ID (from DATIM)]],"[Measures].[TBPREV_N]")</f>
        <v/>
      </c>
      <c r="AR107" s="67" t="str" vm="6733">
        <f>CUBEVALUE(ConnectionString,ReportMonth,Table1[[#This Row],[Site ID (from DATIM)]],"[Measures].[TBPREV_NEW]")</f>
        <v/>
      </c>
      <c r="AS107" s="67" t="str" vm="8822">
        <f>CUBEVALUE(ConnectionString,ReportMonth,Table1[[#This Row],[Site ID (from DATIM)]],"[Measures].[HVL_ELIG_P]")</f>
        <v/>
      </c>
      <c r="AT107" s="67" t="str" vm="7790">
        <f>CUBEVALUE(ConnectionString,ReportMonth,Table1[[#This Row],[Site ID (from DATIM)]],"[Measures].[HVL_D_P]")</f>
        <v/>
      </c>
      <c r="AU107" s="67" t="str" vm="9134">
        <f>CUBEVALUE(ConnectionString,ReportMonth,Table1[[#This Row],[Site ID (from DATIM)]],"[Measures].[HVL_N_P]")</f>
        <v/>
      </c>
      <c r="AV107" s="68" t="str" vm="12458">
        <f>CUBEVALUE(ConnectionString,ReportMonth,Table1[[#This Row],[Site ID (from DATIM)]],"[Measures].[HVL_ELIG_A]")</f>
        <v/>
      </c>
      <c r="AW107" s="68" t="str" vm="10632">
        <f>CUBEVALUE(ConnectionString,ReportMonth,Table1[[#This Row],[Site ID (from DATIM)]],"[Measures].[HVL_D_A]")</f>
        <v/>
      </c>
      <c r="AX107" s="68" t="str" vm="8968">
        <f>CUBEVALUE(ConnectionString,ReportMonth,Table1[[#This Row],[Site ID (from DATIM)]],"[Measures].[HVL_N_A]")</f>
        <v/>
      </c>
      <c r="AY107" s="67"/>
      <c r="AZ107" s="67"/>
      <c r="BA107" s="67"/>
      <c r="BB107" s="67"/>
      <c r="BC107" s="67"/>
      <c r="BD107" s="67"/>
      <c r="BE107" s="67"/>
      <c r="BF107" s="67"/>
      <c r="BG107" s="67" t="str" vm="12219">
        <f>CUBEVALUE(ConnectionString,ReportMonth,Table1[[#This Row],[Site ID (from DATIM)]],"[Measures].[TX_NEW_F_A]")</f>
        <v/>
      </c>
      <c r="BH107" s="67" t="str" vm="11238">
        <f>CUBEVALUE(ConnectionString,ReportMonth,Table1[[#This Row],[Site ID (from DATIM)]],"[Measures].[TX_NEW_M_A]")</f>
        <v/>
      </c>
      <c r="BI107" s="67" t="str" vm="15257">
        <f>CUBEVALUE(ConnectionString,ReportMonth,Table1[[#This Row],[Site ID (from DATIM)]],"[Measures].[TX_NEW_F_P]")</f>
        <v/>
      </c>
      <c r="BJ107" s="68" t="str" vm="12328">
        <f>CUBEVALUE(ConnectionString,ReportMonth,Table1[[#This Row],[Site ID (from DATIM)]],"[Measures].[TX_NEW_M_P]")</f>
        <v/>
      </c>
      <c r="BK107" s="68"/>
      <c r="BL107" s="68"/>
      <c r="BM107" s="68"/>
      <c r="BN107" s="68"/>
      <c r="BO107" s="68"/>
      <c r="BP107" s="68"/>
      <c r="BQ107" s="68" t="str" vm="10079">
        <f>CUBEVALUE(ConnectionString,ReportMonth,Table1[[#This Row],[Site ID (from DATIM)]],"[Measures].[TX_CURR_F_P]")</f>
        <v/>
      </c>
      <c r="BR107" s="68" t="str" vm="9901">
        <f>CUBEVALUE(ConnectionString,ReportMonth,Table1[[#This Row],[Site ID (from DATIM)]],"[Measures].[TX_CURR_M_P]")</f>
        <v/>
      </c>
      <c r="BS107" s="68" t="str" vm="9732">
        <f>CUBEVALUE(ConnectionString,ReportMonth,Table1[[#This Row],[Site ID (from DATIM)]],"[Measures].[TX_CURR_F_A]")</f>
        <v/>
      </c>
      <c r="BT107" s="68" t="str" vm="10606">
        <f>CUBEVALUE(ConnectionString,ReportMonth,Table1[[#This Row],[Site ID (from DATIM)]],"[Measures].[TX_CURR_M_A]")</f>
        <v/>
      </c>
      <c r="BU107" s="68" t="str" vm="18425">
        <f>CUBEVALUE(ConnectionString,ReportMonth,Table1[[#This Row],[Site ID (from DATIM)]],"[Measures].[MMS_01_89_F_P]")</f>
        <v/>
      </c>
      <c r="BV107" s="68" t="str" vm="18717">
        <f>CUBEVALUE(ConnectionString,ReportMonth,Table1[[#This Row],[Site ID (from DATIM)]],"[Measures].[MMS_01_89_M_P]")</f>
        <v/>
      </c>
      <c r="BW107" s="68" t="str" vm="19944">
        <f>CUBEVALUE(ConnectionString,ReportMonth,Table1[[#This Row],[Site ID (from DATIM)]],"[Measures].[MMS_01_89_F_A]")</f>
        <v/>
      </c>
      <c r="BX107" s="68" t="str" vm="18558">
        <f>CUBEVALUE(ConnectionString,ReportMonth,Table1[[#This Row],[Site ID (from DATIM)]],"[Measures].[MMS_01_89_M_A]")</f>
        <v/>
      </c>
      <c r="BY107" s="68" t="str" vm="15248">
        <f>CUBEVALUE(ConnectionString,ReportMonth,Table1[[#This Row],[Site ID (from DATIM)]],"[Measures].[MMS_90_179_F_P]")</f>
        <v/>
      </c>
      <c r="BZ107" s="68" t="str" vm="15211">
        <f>CUBEVALUE(ConnectionString,ReportMonth,Table1[[#This Row],[Site ID (from DATIM)]],"[Measures].[MMS_90_179_M_P]")</f>
        <v/>
      </c>
      <c r="CA107" s="68" t="str" vm="17339">
        <f>CUBEVALUE(ConnectionString,ReportMonth,Table1[[#This Row],[Site ID (from DATIM)]],"[Measures].[MMS_90_179_F_A]")</f>
        <v/>
      </c>
      <c r="CB107" s="68" t="str" vm="17253">
        <f>CUBEVALUE(ConnectionString,ReportMonth,Table1[[#This Row],[Site ID (from DATIM)]],"[Measures].[MMS_90_179_M_A]")</f>
        <v/>
      </c>
      <c r="CC107" s="68" t="str" vm="15075">
        <f>CUBEVALUE(ConnectionString,ReportMonth,Table1[[#This Row],[Site ID (from DATIM)]],"[Measures].[MMS_180+_F_P]")</f>
        <v/>
      </c>
      <c r="CD107" s="68" t="str" vm="16293">
        <f>CUBEVALUE(ConnectionString,ReportMonth,Table1[[#This Row],[Site ID (from DATIM)]],"[Measures].[MMS_180+_M_P]")</f>
        <v/>
      </c>
      <c r="CE107" s="68" t="str" vm="17500">
        <f>CUBEVALUE(ConnectionString,ReportMonth,Table1[[#This Row],[Site ID (from DATIM)]],"[Measures].[MMS_180+_F_A]")</f>
        <v/>
      </c>
      <c r="CF107" s="68" t="str" vm="15358">
        <f>CUBEVALUE(ConnectionString,ReportMonth,Table1[[#This Row],[Site ID (from DATIM)]],"[Measures].[MMS_180+_M_A]")</f>
        <v/>
      </c>
      <c r="CG107" s="68" t="str" vm="6916">
        <f>CUBEVALUE(ConnectionString,ReportMonth,Table1[[#This Row],[Site ID (from DATIM)]],"[Measures].[MISSEDAPP]")</f>
        <v/>
      </c>
      <c r="CH107" s="68" t="str" vm="13390">
        <f>CUBEVALUE(ConnectionString,ReportMonth,Table1[[#This Row],[Site ID (from DATIM)]],"[Measures].[MMS_180+_P]")</f>
        <v/>
      </c>
      <c r="CI107" s="68" t="str" vm="10600">
        <f>CUBEVALUE(ConnectionString,ReportMonth,Table1[[#This Row],[Site ID (from DATIM)]],"[Measures].[MMS_180+_A]")</f>
        <v/>
      </c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</row>
    <row r="108" spans="1:107" x14ac:dyDescent="0.25">
      <c r="A108" s="66">
        <v>4</v>
      </c>
      <c r="B108" s="67" t="str" vm="4">
        <f t="shared" si="2"/>
        <v>Mar-2021</v>
      </c>
      <c r="C108" s="67"/>
      <c r="D108" s="67" t="s">
        <v>232</v>
      </c>
      <c r="E108" s="67" t="s">
        <v>233</v>
      </c>
      <c r="F108" s="67" t="s">
        <v>1286</v>
      </c>
      <c r="G108" s="67"/>
      <c r="H108" s="67" t="s">
        <v>1296</v>
      </c>
      <c r="I108" s="67" t="s">
        <v>1330</v>
      </c>
      <c r="J108" s="67" t="s">
        <v>1331</v>
      </c>
      <c r="K108" s="67" t="s">
        <v>1332</v>
      </c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 t="str" vm="1784">
        <f>CUBEVALUE(ConnectionString,ReportMonth,Table1[[#This Row],[Site ID (from DATIM)]],"TX_NEW_2VIS")</f>
        <v/>
      </c>
      <c r="AE108" s="67" t="str" vm="20">
        <f>CUBEVALUE(ConnectionString,ReportMonth,Table1[[#This Row],[Site ID (from DATIM)]],INDEX(SDI_Measures,1))</f>
        <v/>
      </c>
      <c r="AF108" s="67" t="str" vm="1490">
        <f>CUBEVALUE(ConnectionString,ReportMonth,Table1[[#This Row],[Site ID (from DATIM)]],INDEX(SDI_Measures,2))</f>
        <v/>
      </c>
      <c r="AG108" s="67" t="str" vm="910">
        <f>CUBEVALUE(ConnectionString,ReportMonth,Table1[[#This Row],[Site ID (from DATIM)]],INDEX(SDI_Measures,3))</f>
        <v/>
      </c>
      <c r="AH108" s="67" t="str" vm="1519">
        <f>CUBEVALUE(ConnectionString,ReportMonth,Table1[[#This Row],[Site ID (from DATIM)]],"TX_CURR_PRIOR_MONTH")</f>
        <v/>
      </c>
      <c r="AI108" s="67" t="str" vm="2031">
        <f>CUBEVALUE(ConnectionString,ReportMonth,Table1[[#This Row],[Site ID (from DATIM)]],"TX_CURR")</f>
        <v/>
      </c>
      <c r="AJ108" s="67" t="str" vm="2775">
        <f>CUBEVALUE(ConnectionString,ReportMonth,Table1[[#This Row],[Site ID (from DATIM)]],"[Measures].[TI]")</f>
        <v/>
      </c>
      <c r="AK108" s="67" t="str" vm="3623">
        <f>CUBEVALUE(ConnectionString,ReportMonth,Table1[[#This Row],[Site ID (from DATIM)]],"[Measures].[TO]")</f>
        <v/>
      </c>
      <c r="AL108" s="67" t="str" vm="3133">
        <f>CUBEVALUE(ConnectionString,ReportMonth,Table1[[#This Row],[Site ID (from DATIM)]],"[Measures].[DIED]")</f>
        <v/>
      </c>
      <c r="AM108" s="67" t="str" vm="4261">
        <f>CUBEVALUE(ConnectionString,ReportMonth,Table1[[#This Row],[Site ID (from DATIM)]],"[Measures].[MMS_01_31]")</f>
        <v/>
      </c>
      <c r="AN108" s="67" t="str" vm="8876">
        <f>CUBEVALUE(ConnectionString,ReportMonth,Table1[[#This Row],[Site ID (from DATIM)]],"[Measures].[MMS_32_62]")</f>
        <v/>
      </c>
      <c r="AO108" s="67" t="str" vm="6555">
        <f>CUBEVALUE(ConnectionString,ReportMonth,Table1[[#This Row],[Site ID (from DATIM)]],"[Measures].[MMS_63+]")</f>
        <v/>
      </c>
      <c r="AP108" s="67" t="str" vm="7072">
        <f>CUBEVALUE(ConnectionString,ReportMonth,Table1[[#This Row],[Site ID (from DATIM)]],"[Measures].[TBPREV_D]")</f>
        <v/>
      </c>
      <c r="AQ108" s="67" t="str" vm="6906">
        <f>CUBEVALUE(ConnectionString,ReportMonth,Table1[[#This Row],[Site ID (from DATIM)]],"[Measures].[TBPREV_N]")</f>
        <v/>
      </c>
      <c r="AR108" s="67" t="str" vm="5989">
        <f>CUBEVALUE(ConnectionString,ReportMonth,Table1[[#This Row],[Site ID (from DATIM)]],"[Measures].[TBPREV_NEW]")</f>
        <v/>
      </c>
      <c r="AS108" s="67" t="str" vm="9002">
        <f>CUBEVALUE(ConnectionString,ReportMonth,Table1[[#This Row],[Site ID (from DATIM)]],"[Measures].[HVL_ELIG_P]")</f>
        <v/>
      </c>
      <c r="AT108" s="67" t="str" vm="7911">
        <f>CUBEVALUE(ConnectionString,ReportMonth,Table1[[#This Row],[Site ID (from DATIM)]],"[Measures].[HVL_D_P]")</f>
        <v/>
      </c>
      <c r="AU108" s="67" t="str" vm="8040">
        <f>CUBEVALUE(ConnectionString,ReportMonth,Table1[[#This Row],[Site ID (from DATIM)]],"[Measures].[HVL_N_P]")</f>
        <v/>
      </c>
      <c r="AV108" s="68" t="str" vm="12410">
        <f>CUBEVALUE(ConnectionString,ReportMonth,Table1[[#This Row],[Site ID (from DATIM)]],"[Measures].[HVL_ELIG_A]")</f>
        <v/>
      </c>
      <c r="AW108" s="68" t="str" vm="11114">
        <f>CUBEVALUE(ConnectionString,ReportMonth,Table1[[#This Row],[Site ID (from DATIM)]],"[Measures].[HVL_D_A]")</f>
        <v/>
      </c>
      <c r="AX108" s="68" t="str" vm="12239">
        <f>CUBEVALUE(ConnectionString,ReportMonth,Table1[[#This Row],[Site ID (from DATIM)]],"[Measures].[HVL_N_A]")</f>
        <v/>
      </c>
      <c r="AY108" s="67"/>
      <c r="AZ108" s="67"/>
      <c r="BA108" s="67"/>
      <c r="BB108" s="67"/>
      <c r="BC108" s="67"/>
      <c r="BD108" s="67"/>
      <c r="BE108" s="67"/>
      <c r="BF108" s="67"/>
      <c r="BG108" s="67" t="str" vm="13887">
        <f>CUBEVALUE(ConnectionString,ReportMonth,Table1[[#This Row],[Site ID (from DATIM)]],"[Measures].[TX_NEW_F_A]")</f>
        <v/>
      </c>
      <c r="BH108" s="67" t="str" vm="13164">
        <f>CUBEVALUE(ConnectionString,ReportMonth,Table1[[#This Row],[Site ID (from DATIM)]],"[Measures].[TX_NEW_M_A]")</f>
        <v/>
      </c>
      <c r="BI108" s="67" t="str" vm="13693">
        <f>CUBEVALUE(ConnectionString,ReportMonth,Table1[[#This Row],[Site ID (from DATIM)]],"[Measures].[TX_NEW_F_P]")</f>
        <v/>
      </c>
      <c r="BJ108" s="68" t="str" vm="15682">
        <f>CUBEVALUE(ConnectionString,ReportMonth,Table1[[#This Row],[Site ID (from DATIM)]],"[Measures].[TX_NEW_M_P]")</f>
        <v/>
      </c>
      <c r="BK108" s="68"/>
      <c r="BL108" s="68"/>
      <c r="BM108" s="68"/>
      <c r="BN108" s="68"/>
      <c r="BO108" s="68"/>
      <c r="BP108" s="68"/>
      <c r="BQ108" s="68" t="str" vm="8036">
        <f>CUBEVALUE(ConnectionString,ReportMonth,Table1[[#This Row],[Site ID (from DATIM)]],"[Measures].[TX_CURR_F_P]")</f>
        <v/>
      </c>
      <c r="BR108" s="68" t="str" vm="11345">
        <f>CUBEVALUE(ConnectionString,ReportMonth,Table1[[#This Row],[Site ID (from DATIM)]],"[Measures].[TX_CURR_M_P]")</f>
        <v/>
      </c>
      <c r="BS108" s="68" t="str" vm="9186">
        <f>CUBEVALUE(ConnectionString,ReportMonth,Table1[[#This Row],[Site ID (from DATIM)]],"[Measures].[TX_CURR_F_A]")</f>
        <v/>
      </c>
      <c r="BT108" s="68" t="str" vm="14114">
        <f>CUBEVALUE(ConnectionString,ReportMonth,Table1[[#This Row],[Site ID (from DATIM)]],"[Measures].[TX_CURR_M_A]")</f>
        <v/>
      </c>
      <c r="BU108" s="68" t="str" vm="20067">
        <f>CUBEVALUE(ConnectionString,ReportMonth,Table1[[#This Row],[Site ID (from DATIM)]],"[Measures].[MMS_01_89_F_P]")</f>
        <v/>
      </c>
      <c r="BV108" s="68" t="str" vm="19095">
        <f>CUBEVALUE(ConnectionString,ReportMonth,Table1[[#This Row],[Site ID (from DATIM)]],"[Measures].[MMS_01_89_M_P]")</f>
        <v/>
      </c>
      <c r="BW108" s="68" t="str" vm="18012">
        <f>CUBEVALUE(ConnectionString,ReportMonth,Table1[[#This Row],[Site ID (from DATIM)]],"[Measures].[MMS_01_89_F_A]")</f>
        <v/>
      </c>
      <c r="BX108" s="68" t="str" vm="18872">
        <f>CUBEVALUE(ConnectionString,ReportMonth,Table1[[#This Row],[Site ID (from DATIM)]],"[Measures].[MMS_01_89_M_A]")</f>
        <v/>
      </c>
      <c r="BY108" s="68" t="str" vm="19575">
        <f>CUBEVALUE(ConnectionString,ReportMonth,Table1[[#This Row],[Site ID (from DATIM)]],"[Measures].[MMS_90_179_F_P]")</f>
        <v/>
      </c>
      <c r="BZ108" s="68" t="str" vm="16076">
        <f>CUBEVALUE(ConnectionString,ReportMonth,Table1[[#This Row],[Site ID (from DATIM)]],"[Measures].[MMS_90_179_M_P]")</f>
        <v/>
      </c>
      <c r="CA108" s="68" t="str" vm="15019">
        <f>CUBEVALUE(ConnectionString,ReportMonth,Table1[[#This Row],[Site ID (from DATIM)]],"[Measures].[MMS_90_179_F_A]")</f>
        <v/>
      </c>
      <c r="CB108" s="68" t="str" vm="16376">
        <f>CUBEVALUE(ConnectionString,ReportMonth,Table1[[#This Row],[Site ID (from DATIM)]],"[Measures].[MMS_90_179_M_A]")</f>
        <v/>
      </c>
      <c r="CC108" s="68" t="str" vm="16716">
        <f>CUBEVALUE(ConnectionString,ReportMonth,Table1[[#This Row],[Site ID (from DATIM)]],"[Measures].[MMS_180+_F_P]")</f>
        <v/>
      </c>
      <c r="CD108" s="68" t="str" vm="14543">
        <f>CUBEVALUE(ConnectionString,ReportMonth,Table1[[#This Row],[Site ID (from DATIM)]],"[Measures].[MMS_180+_M_P]")</f>
        <v/>
      </c>
      <c r="CE108" s="68" t="str" vm="16704">
        <f>CUBEVALUE(ConnectionString,ReportMonth,Table1[[#This Row],[Site ID (from DATIM)]],"[Measures].[MMS_180+_F_A]")</f>
        <v/>
      </c>
      <c r="CF108" s="68" t="str" vm="17092">
        <f>CUBEVALUE(ConnectionString,ReportMonth,Table1[[#This Row],[Site ID (from DATIM)]],"[Measures].[MMS_180+_M_A]")</f>
        <v/>
      </c>
      <c r="CG108" s="68" t="str" vm="10530">
        <f>CUBEVALUE(ConnectionString,ReportMonth,Table1[[#This Row],[Site ID (from DATIM)]],"[Measures].[MISSEDAPP]")</f>
        <v/>
      </c>
      <c r="CH108" s="68" t="str" vm="10157">
        <f>CUBEVALUE(ConnectionString,ReportMonth,Table1[[#This Row],[Site ID (from DATIM)]],"[Measures].[MMS_180+_P]")</f>
        <v/>
      </c>
      <c r="CI108" s="68" t="str" vm="11156">
        <f>CUBEVALUE(ConnectionString,ReportMonth,Table1[[#This Row],[Site ID (from DATIM)]],"[Measures].[MMS_180+_A]")</f>
        <v/>
      </c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</row>
    <row r="109" spans="1:107" x14ac:dyDescent="0.25">
      <c r="A109" s="66">
        <v>4</v>
      </c>
      <c r="B109" s="67" t="str" vm="4">
        <f t="shared" si="2"/>
        <v>Mar-2021</v>
      </c>
      <c r="C109" s="67"/>
      <c r="D109" s="67" t="s">
        <v>232</v>
      </c>
      <c r="E109" s="67" t="s">
        <v>233</v>
      </c>
      <c r="F109" s="67" t="s">
        <v>1286</v>
      </c>
      <c r="G109" s="67"/>
      <c r="H109" s="67" t="s">
        <v>1296</v>
      </c>
      <c r="I109" s="67" t="s">
        <v>1330</v>
      </c>
      <c r="J109" s="67" t="s">
        <v>1333</v>
      </c>
      <c r="K109" s="67" t="s">
        <v>1334</v>
      </c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 t="str" vm="1367">
        <f>CUBEVALUE(ConnectionString,ReportMonth,Table1[[#This Row],[Site ID (from DATIM)]],"TX_NEW_2VIS")</f>
        <v/>
      </c>
      <c r="AE109" s="67" t="str" vm="2335">
        <f>CUBEVALUE(ConnectionString,ReportMonth,Table1[[#This Row],[Site ID (from DATIM)]],INDEX(SDI_Measures,1))</f>
        <v/>
      </c>
      <c r="AF109" s="67" t="str" vm="1499">
        <f>CUBEVALUE(ConnectionString,ReportMonth,Table1[[#This Row],[Site ID (from DATIM)]],INDEX(SDI_Measures,2))</f>
        <v/>
      </c>
      <c r="AG109" s="67" t="str" vm="876">
        <f>CUBEVALUE(ConnectionString,ReportMonth,Table1[[#This Row],[Site ID (from DATIM)]],INDEX(SDI_Measures,3))</f>
        <v/>
      </c>
      <c r="AH109" s="67" t="str" vm="4494">
        <f>CUBEVALUE(ConnectionString,ReportMonth,Table1[[#This Row],[Site ID (from DATIM)]],"TX_CURR_PRIOR_MONTH")</f>
        <v/>
      </c>
      <c r="AI109" s="67" t="str" vm="1463">
        <f>CUBEVALUE(ConnectionString,ReportMonth,Table1[[#This Row],[Site ID (from DATIM)]],"TX_CURR")</f>
        <v/>
      </c>
      <c r="AJ109" s="67" t="str" vm="1966">
        <f>CUBEVALUE(ConnectionString,ReportMonth,Table1[[#This Row],[Site ID (from DATIM)]],"[Measures].[TI]")</f>
        <v/>
      </c>
      <c r="AK109" s="67" t="str" vm="4119">
        <f>CUBEVALUE(ConnectionString,ReportMonth,Table1[[#This Row],[Site ID (from DATIM)]],"[Measures].[TO]")</f>
        <v/>
      </c>
      <c r="AL109" s="67" t="str" vm="3471">
        <f>CUBEVALUE(ConnectionString,ReportMonth,Table1[[#This Row],[Site ID (from DATIM)]],"[Measures].[DIED]")</f>
        <v/>
      </c>
      <c r="AM109" s="67" t="str" vm="4075">
        <f>CUBEVALUE(ConnectionString,ReportMonth,Table1[[#This Row],[Site ID (from DATIM)]],"[Measures].[MMS_01_31]")</f>
        <v/>
      </c>
      <c r="AN109" s="67" t="str" vm="6244">
        <f>CUBEVALUE(ConnectionString,ReportMonth,Table1[[#This Row],[Site ID (from DATIM)]],"[Measures].[MMS_32_62]")</f>
        <v/>
      </c>
      <c r="AO109" s="67" t="str" vm="6042">
        <f>CUBEVALUE(ConnectionString,ReportMonth,Table1[[#This Row],[Site ID (from DATIM)]],"[Measures].[MMS_63+]")</f>
        <v/>
      </c>
      <c r="AP109" s="67" t="str" vm="6952">
        <f>CUBEVALUE(ConnectionString,ReportMonth,Table1[[#This Row],[Site ID (from DATIM)]],"[Measures].[TBPREV_D]")</f>
        <v/>
      </c>
      <c r="AQ109" s="67" t="str" vm="7064">
        <f>CUBEVALUE(ConnectionString,ReportMonth,Table1[[#This Row],[Site ID (from DATIM)]],"[Measures].[TBPREV_N]")</f>
        <v/>
      </c>
      <c r="AR109" s="67" t="str" vm="4569">
        <f>CUBEVALUE(ConnectionString,ReportMonth,Table1[[#This Row],[Site ID (from DATIM)]],"[Measures].[TBPREV_NEW]")</f>
        <v/>
      </c>
      <c r="AS109" s="67" t="str" vm="5369">
        <f>CUBEVALUE(ConnectionString,ReportMonth,Table1[[#This Row],[Site ID (from DATIM)]],"[Measures].[HVL_ELIG_P]")</f>
        <v/>
      </c>
      <c r="AT109" s="67" t="str" vm="4680">
        <f>CUBEVALUE(ConnectionString,ReportMonth,Table1[[#This Row],[Site ID (from DATIM)]],"[Measures].[HVL_D_P]")</f>
        <v/>
      </c>
      <c r="AU109" s="67" t="str" vm="8026">
        <f>CUBEVALUE(ConnectionString,ReportMonth,Table1[[#This Row],[Site ID (from DATIM)]],"[Measures].[HVL_N_P]")</f>
        <v/>
      </c>
      <c r="AV109" s="68" t="str" vm="10257">
        <f>CUBEVALUE(ConnectionString,ReportMonth,Table1[[#This Row],[Site ID (from DATIM)]],"[Measures].[HVL_ELIG_A]")</f>
        <v/>
      </c>
      <c r="AW109" s="68" t="str" vm="13216">
        <f>CUBEVALUE(ConnectionString,ReportMonth,Table1[[#This Row],[Site ID (from DATIM)]],"[Measures].[HVL_D_A]")</f>
        <v/>
      </c>
      <c r="AX109" s="68" t="str" vm="11973">
        <f>CUBEVALUE(ConnectionString,ReportMonth,Table1[[#This Row],[Site ID (from DATIM)]],"[Measures].[HVL_N_A]")</f>
        <v/>
      </c>
      <c r="AY109" s="67"/>
      <c r="AZ109" s="67"/>
      <c r="BA109" s="67"/>
      <c r="BB109" s="67"/>
      <c r="BC109" s="67"/>
      <c r="BD109" s="67"/>
      <c r="BE109" s="67"/>
      <c r="BF109" s="67"/>
      <c r="BG109" s="67" t="str" vm="11957">
        <f>CUBEVALUE(ConnectionString,ReportMonth,Table1[[#This Row],[Site ID (from DATIM)]],"[Measures].[TX_NEW_F_A]")</f>
        <v/>
      </c>
      <c r="BH109" s="67" t="str" vm="11236">
        <f>CUBEVALUE(ConnectionString,ReportMonth,Table1[[#This Row],[Site ID (from DATIM)]],"[Measures].[TX_NEW_M_A]")</f>
        <v/>
      </c>
      <c r="BI109" s="67" t="str" vm="13637">
        <f>CUBEVALUE(ConnectionString,ReportMonth,Table1[[#This Row],[Site ID (from DATIM)]],"[Measures].[TX_NEW_F_P]")</f>
        <v/>
      </c>
      <c r="BJ109" s="68" t="str" vm="17081">
        <f>CUBEVALUE(ConnectionString,ReportMonth,Table1[[#This Row],[Site ID (from DATIM)]],"[Measures].[TX_NEW_M_P]")</f>
        <v/>
      </c>
      <c r="BK109" s="68"/>
      <c r="BL109" s="68"/>
      <c r="BM109" s="68"/>
      <c r="BN109" s="68"/>
      <c r="BO109" s="68"/>
      <c r="BP109" s="68"/>
      <c r="BQ109" s="68" t="str" vm="7279">
        <f>CUBEVALUE(ConnectionString,ReportMonth,Table1[[#This Row],[Site ID (from DATIM)]],"[Measures].[TX_CURR_F_P]")</f>
        <v/>
      </c>
      <c r="BR109" s="68" t="str" vm="10239">
        <f>CUBEVALUE(ConnectionString,ReportMonth,Table1[[#This Row],[Site ID (from DATIM)]],"[Measures].[TX_CURR_M_P]")</f>
        <v/>
      </c>
      <c r="BS109" s="68" t="str" vm="8403">
        <f>CUBEVALUE(ConnectionString,ReportMonth,Table1[[#This Row],[Site ID (from DATIM)]],"[Measures].[TX_CURR_F_A]")</f>
        <v/>
      </c>
      <c r="BT109" s="68" t="str" vm="11253">
        <f>CUBEVALUE(ConnectionString,ReportMonth,Table1[[#This Row],[Site ID (from DATIM)]],"[Measures].[TX_CURR_M_A]")</f>
        <v/>
      </c>
      <c r="BU109" s="68" t="str" vm="18109">
        <f>CUBEVALUE(ConnectionString,ReportMonth,Table1[[#This Row],[Site ID (from DATIM)]],"[Measures].[MMS_01_89_F_P]")</f>
        <v/>
      </c>
      <c r="BV109" s="68" t="str" vm="19134">
        <f>CUBEVALUE(ConnectionString,ReportMonth,Table1[[#This Row],[Site ID (from DATIM)]],"[Measures].[MMS_01_89_M_P]")</f>
        <v/>
      </c>
      <c r="BW109" s="68" t="str" vm="19605">
        <f>CUBEVALUE(ConnectionString,ReportMonth,Table1[[#This Row],[Site ID (from DATIM)]],"[Measures].[MMS_01_89_F_A]")</f>
        <v/>
      </c>
      <c r="BX109" s="68" t="str" vm="19926">
        <f>CUBEVALUE(ConnectionString,ReportMonth,Table1[[#This Row],[Site ID (from DATIM)]],"[Measures].[MMS_01_89_M_A]")</f>
        <v/>
      </c>
      <c r="BY109" s="68" t="str" vm="18225">
        <f>CUBEVALUE(ConnectionString,ReportMonth,Table1[[#This Row],[Site ID (from DATIM)]],"[Measures].[MMS_90_179_F_P]")</f>
        <v/>
      </c>
      <c r="BZ109" s="68" t="str" vm="19876">
        <f>CUBEVALUE(ConnectionString,ReportMonth,Table1[[#This Row],[Site ID (from DATIM)]],"[Measures].[MMS_90_179_M_P]")</f>
        <v/>
      </c>
      <c r="CA109" s="68" t="str" vm="16880">
        <f>CUBEVALUE(ConnectionString,ReportMonth,Table1[[#This Row],[Site ID (from DATIM)]],"[Measures].[MMS_90_179_F_A]")</f>
        <v/>
      </c>
      <c r="CB109" s="68" t="str" vm="15088">
        <f>CUBEVALUE(ConnectionString,ReportMonth,Table1[[#This Row],[Site ID (from DATIM)]],"[Measures].[MMS_90_179_M_A]")</f>
        <v/>
      </c>
      <c r="CC109" s="68" t="str" vm="16758">
        <f>CUBEVALUE(ConnectionString,ReportMonth,Table1[[#This Row],[Site ID (from DATIM)]],"[Measures].[MMS_180+_F_P]")</f>
        <v/>
      </c>
      <c r="CD109" s="68" t="str" vm="16753">
        <f>CUBEVALUE(ConnectionString,ReportMonth,Table1[[#This Row],[Site ID (from DATIM)]],"[Measures].[MMS_180+_M_P]")</f>
        <v/>
      </c>
      <c r="CE109" s="68" t="str" vm="20176">
        <f>CUBEVALUE(ConnectionString,ReportMonth,Table1[[#This Row],[Site ID (from DATIM)]],"[Measures].[MMS_180+_F_A]")</f>
        <v/>
      </c>
      <c r="CF109" s="68" t="str" vm="17526">
        <f>CUBEVALUE(ConnectionString,ReportMonth,Table1[[#This Row],[Site ID (from DATIM)]],"[Measures].[MMS_180+_M_A]")</f>
        <v/>
      </c>
      <c r="CG109" s="68" t="str" vm="7446">
        <f>CUBEVALUE(ConnectionString,ReportMonth,Table1[[#This Row],[Site ID (from DATIM)]],"[Measures].[MISSEDAPP]")</f>
        <v/>
      </c>
      <c r="CH109" s="68" t="str" vm="10944">
        <f>CUBEVALUE(ConnectionString,ReportMonth,Table1[[#This Row],[Site ID (from DATIM)]],"[Measures].[MMS_180+_P]")</f>
        <v/>
      </c>
      <c r="CI109" s="68" t="str" vm="11761">
        <f>CUBEVALUE(ConnectionString,ReportMonth,Table1[[#This Row],[Site ID (from DATIM)]],"[Measures].[MMS_180+_A]")</f>
        <v/>
      </c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  <c r="CW109" s="68"/>
      <c r="CX109" s="68"/>
      <c r="CY109" s="68"/>
      <c r="CZ109" s="68"/>
      <c r="DA109" s="68"/>
      <c r="DB109" s="68"/>
      <c r="DC109" s="68"/>
    </row>
    <row r="110" spans="1:107" x14ac:dyDescent="0.25">
      <c r="A110" s="66">
        <v>4</v>
      </c>
      <c r="B110" s="67" t="str" vm="4">
        <f t="shared" si="2"/>
        <v>Mar-2021</v>
      </c>
      <c r="C110" s="67"/>
      <c r="D110" s="67" t="s">
        <v>232</v>
      </c>
      <c r="E110" s="67" t="s">
        <v>233</v>
      </c>
      <c r="F110" s="67" t="s">
        <v>437</v>
      </c>
      <c r="G110" s="67"/>
      <c r="H110" s="67" t="s">
        <v>478</v>
      </c>
      <c r="I110" s="67" t="s">
        <v>562</v>
      </c>
      <c r="J110" s="67" t="s">
        <v>563</v>
      </c>
      <c r="K110" s="67" t="s">
        <v>564</v>
      </c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 t="str" vm="2946">
        <f>CUBEVALUE(ConnectionString,ReportMonth,Table1[[#This Row],[Site ID (from DATIM)]],"TX_NEW_2VIS")</f>
        <v/>
      </c>
      <c r="AE110" s="67" t="str" vm="3749">
        <f>CUBEVALUE(ConnectionString,ReportMonth,Table1[[#This Row],[Site ID (from DATIM)]],INDEX(SDI_Measures,1))</f>
        <v/>
      </c>
      <c r="AF110" s="67" t="str" vm="2454">
        <f>CUBEVALUE(ConnectionString,ReportMonth,Table1[[#This Row],[Site ID (from DATIM)]],INDEX(SDI_Measures,2))</f>
        <v/>
      </c>
      <c r="AG110" s="67" t="str" vm="697">
        <f>CUBEVALUE(ConnectionString,ReportMonth,Table1[[#This Row],[Site ID (from DATIM)]],INDEX(SDI_Measures,3))</f>
        <v/>
      </c>
      <c r="AH110" s="67" t="str" vm="3017">
        <f>CUBEVALUE(ConnectionString,ReportMonth,Table1[[#This Row],[Site ID (from DATIM)]],"TX_CURR_PRIOR_MONTH")</f>
        <v/>
      </c>
      <c r="AI110" s="67" t="str" vm="2054">
        <f>CUBEVALUE(ConnectionString,ReportMonth,Table1[[#This Row],[Site ID (from DATIM)]],"TX_CURR")</f>
        <v/>
      </c>
      <c r="AJ110" s="67" t="str" vm="4035">
        <f>CUBEVALUE(ConnectionString,ReportMonth,Table1[[#This Row],[Site ID (from DATIM)]],"[Measures].[TI]")</f>
        <v/>
      </c>
      <c r="AK110" s="67" t="str" vm="2556">
        <f>CUBEVALUE(ConnectionString,ReportMonth,Table1[[#This Row],[Site ID (from DATIM)]],"[Measures].[TO]")</f>
        <v/>
      </c>
      <c r="AL110" s="67" t="str" vm="6112">
        <f>CUBEVALUE(ConnectionString,ReportMonth,Table1[[#This Row],[Site ID (from DATIM)]],"[Measures].[DIED]")</f>
        <v/>
      </c>
      <c r="AM110" s="67" t="str" vm="7641">
        <f>CUBEVALUE(ConnectionString,ReportMonth,Table1[[#This Row],[Site ID (from DATIM)]],"[Measures].[MMS_01_31]")</f>
        <v/>
      </c>
      <c r="AN110" s="67" t="str" vm="7124">
        <f>CUBEVALUE(ConnectionString,ReportMonth,Table1[[#This Row],[Site ID (from DATIM)]],"[Measures].[MMS_32_62]")</f>
        <v/>
      </c>
      <c r="AO110" s="67" t="str" vm="5401">
        <f>CUBEVALUE(ConnectionString,ReportMonth,Table1[[#This Row],[Site ID (from DATIM)]],"[Measures].[MMS_63+]")</f>
        <v/>
      </c>
      <c r="AP110" s="67" t="str" vm="5341">
        <f>CUBEVALUE(ConnectionString,ReportMonth,Table1[[#This Row],[Site ID (from DATIM)]],"[Measures].[TBPREV_D]")</f>
        <v/>
      </c>
      <c r="AQ110" s="67" t="str" vm="5598">
        <f>CUBEVALUE(ConnectionString,ReportMonth,Table1[[#This Row],[Site ID (from DATIM)]],"[Measures].[TBPREV_N]")</f>
        <v/>
      </c>
      <c r="AR110" s="67" t="str" vm="9347">
        <f>CUBEVALUE(ConnectionString,ReportMonth,Table1[[#This Row],[Site ID (from DATIM)]],"[Measures].[TBPREV_NEW]")</f>
        <v/>
      </c>
      <c r="AS110" s="67" t="str" vm="7571">
        <f>CUBEVALUE(ConnectionString,ReportMonth,Table1[[#This Row],[Site ID (from DATIM)]],"[Measures].[HVL_ELIG_P]")</f>
        <v/>
      </c>
      <c r="AT110" s="67" t="str" vm="8144">
        <f>CUBEVALUE(ConnectionString,ReportMonth,Table1[[#This Row],[Site ID (from DATIM)]],"[Measures].[HVL_D_P]")</f>
        <v/>
      </c>
      <c r="AU110" s="67" t="str" vm="9266">
        <f>CUBEVALUE(ConnectionString,ReportMonth,Table1[[#This Row],[Site ID (from DATIM)]],"[Measures].[HVL_N_P]")</f>
        <v/>
      </c>
      <c r="AV110" s="68" t="str" vm="10553">
        <f>CUBEVALUE(ConnectionString,ReportMonth,Table1[[#This Row],[Site ID (from DATIM)]],"[Measures].[HVL_ELIG_A]")</f>
        <v/>
      </c>
      <c r="AW110" s="68" t="str" vm="12790">
        <f>CUBEVALUE(ConnectionString,ReportMonth,Table1[[#This Row],[Site ID (from DATIM)]],"[Measures].[HVL_D_A]")</f>
        <v/>
      </c>
      <c r="AX110" s="68" t="str" vm="9021">
        <f>CUBEVALUE(ConnectionString,ReportMonth,Table1[[#This Row],[Site ID (from DATIM)]],"[Measures].[HVL_N_A]")</f>
        <v/>
      </c>
      <c r="AY110" s="67"/>
      <c r="AZ110" s="67"/>
      <c r="BA110" s="67"/>
      <c r="BB110" s="67"/>
      <c r="BC110" s="67"/>
      <c r="BD110" s="67"/>
      <c r="BE110" s="67"/>
      <c r="BF110" s="67"/>
      <c r="BG110" s="67" t="str" vm="13677">
        <f>CUBEVALUE(ConnectionString,ReportMonth,Table1[[#This Row],[Site ID (from DATIM)]],"[Measures].[TX_NEW_F_A]")</f>
        <v/>
      </c>
      <c r="BH110" s="67" t="str" vm="13792">
        <f>CUBEVALUE(ConnectionString,ReportMonth,Table1[[#This Row],[Site ID (from DATIM)]],"[Measures].[TX_NEW_M_A]")</f>
        <v/>
      </c>
      <c r="BI110" s="67" t="str" vm="14837">
        <f>CUBEVALUE(ConnectionString,ReportMonth,Table1[[#This Row],[Site ID (from DATIM)]],"[Measures].[TX_NEW_F_P]")</f>
        <v/>
      </c>
      <c r="BJ110" s="68" t="str" vm="16599">
        <f>CUBEVALUE(ConnectionString,ReportMonth,Table1[[#This Row],[Site ID (from DATIM)]],"[Measures].[TX_NEW_M_P]")</f>
        <v/>
      </c>
      <c r="BK110" s="68"/>
      <c r="BL110" s="68"/>
      <c r="BM110" s="68"/>
      <c r="BN110" s="68"/>
      <c r="BO110" s="68"/>
      <c r="BP110" s="68"/>
      <c r="BQ110" s="68" t="str" vm="10597">
        <f>CUBEVALUE(ConnectionString,ReportMonth,Table1[[#This Row],[Site ID (from DATIM)]],"[Measures].[TX_CURR_F_P]")</f>
        <v/>
      </c>
      <c r="BR110" s="68" t="str" vm="9434">
        <f>CUBEVALUE(ConnectionString,ReportMonth,Table1[[#This Row],[Site ID (from DATIM)]],"[Measures].[TX_CURR_M_P]")</f>
        <v/>
      </c>
      <c r="BS110" s="68" t="str" vm="10172">
        <f>CUBEVALUE(ConnectionString,ReportMonth,Table1[[#This Row],[Site ID (from DATIM)]],"[Measures].[TX_CURR_F_A]")</f>
        <v/>
      </c>
      <c r="BT110" s="68" t="str" vm="11873">
        <f>CUBEVALUE(ConnectionString,ReportMonth,Table1[[#This Row],[Site ID (from DATIM)]],"[Measures].[TX_CURR_M_A]")</f>
        <v/>
      </c>
      <c r="BU110" s="68" t="str" vm="19838">
        <f>CUBEVALUE(ConnectionString,ReportMonth,Table1[[#This Row],[Site ID (from DATIM)]],"[Measures].[MMS_01_89_F_P]")</f>
        <v/>
      </c>
      <c r="BV110" s="68" t="str" vm="18093">
        <f>CUBEVALUE(ConnectionString,ReportMonth,Table1[[#This Row],[Site ID (from DATIM)]],"[Measures].[MMS_01_89_M_P]")</f>
        <v/>
      </c>
      <c r="BW110" s="68" t="str" vm="18749">
        <f>CUBEVALUE(ConnectionString,ReportMonth,Table1[[#This Row],[Site ID (from DATIM)]],"[Measures].[MMS_01_89_F_A]")</f>
        <v/>
      </c>
      <c r="BX110" s="68" t="str" vm="18944">
        <f>CUBEVALUE(ConnectionString,ReportMonth,Table1[[#This Row],[Site ID (from DATIM)]],"[Measures].[MMS_01_89_M_A]")</f>
        <v/>
      </c>
      <c r="BY110" s="68" t="str" vm="19952">
        <f>CUBEVALUE(ConnectionString,ReportMonth,Table1[[#This Row],[Site ID (from DATIM)]],"[Measures].[MMS_90_179_F_P]")</f>
        <v/>
      </c>
      <c r="BZ110" s="68" t="str" vm="17883">
        <f>CUBEVALUE(ConnectionString,ReportMonth,Table1[[#This Row],[Site ID (from DATIM)]],"[Measures].[MMS_90_179_M_P]")</f>
        <v/>
      </c>
      <c r="CA110" s="68" t="str" vm="15240">
        <f>CUBEVALUE(ConnectionString,ReportMonth,Table1[[#This Row],[Site ID (from DATIM)]],"[Measures].[MMS_90_179_F_A]")</f>
        <v/>
      </c>
      <c r="CB110" s="68" t="str" vm="15604">
        <f>CUBEVALUE(ConnectionString,ReportMonth,Table1[[#This Row],[Site ID (from DATIM)]],"[Measures].[MMS_90_179_M_A]")</f>
        <v/>
      </c>
      <c r="CC110" s="68" t="str" vm="14603">
        <f>CUBEVALUE(ConnectionString,ReportMonth,Table1[[#This Row],[Site ID (from DATIM)]],"[Measures].[MMS_180+_F_P]")</f>
        <v/>
      </c>
      <c r="CD110" s="68" t="str" vm="17277">
        <f>CUBEVALUE(ConnectionString,ReportMonth,Table1[[#This Row],[Site ID (from DATIM)]],"[Measures].[MMS_180+_M_P]")</f>
        <v/>
      </c>
      <c r="CE110" s="68" t="str" vm="15388">
        <f>CUBEVALUE(ConnectionString,ReportMonth,Table1[[#This Row],[Site ID (from DATIM)]],"[Measures].[MMS_180+_F_A]")</f>
        <v/>
      </c>
      <c r="CF110" s="68" t="str" vm="14430">
        <f>CUBEVALUE(ConnectionString,ReportMonth,Table1[[#This Row],[Site ID (from DATIM)]],"[Measures].[MMS_180+_M_A]")</f>
        <v/>
      </c>
      <c r="CG110" s="68" t="str" vm="7563">
        <f>CUBEVALUE(ConnectionString,ReportMonth,Table1[[#This Row],[Site ID (from DATIM)]],"[Measures].[MISSEDAPP]")</f>
        <v/>
      </c>
      <c r="CH110" s="68" t="str" vm="12382">
        <f>CUBEVALUE(ConnectionString,ReportMonth,Table1[[#This Row],[Site ID (from DATIM)]],"[Measures].[MMS_180+_P]")</f>
        <v/>
      </c>
      <c r="CI110" s="68" t="str" vm="15708">
        <f>CUBEVALUE(ConnectionString,ReportMonth,Table1[[#This Row],[Site ID (from DATIM)]],"[Measures].[MMS_180+_A]")</f>
        <v/>
      </c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</row>
    <row r="111" spans="1:107" x14ac:dyDescent="0.25">
      <c r="A111" s="66">
        <v>4</v>
      </c>
      <c r="B111" s="67" t="str" vm="4">
        <f t="shared" si="2"/>
        <v>Mar-2021</v>
      </c>
      <c r="C111" s="67"/>
      <c r="D111" s="67" t="s">
        <v>232</v>
      </c>
      <c r="E111" s="67" t="s">
        <v>233</v>
      </c>
      <c r="F111" s="67" t="s">
        <v>1286</v>
      </c>
      <c r="G111" s="67"/>
      <c r="H111" s="67" t="s">
        <v>1291</v>
      </c>
      <c r="I111" s="67" t="s">
        <v>1335</v>
      </c>
      <c r="J111" s="67" t="s">
        <v>1336</v>
      </c>
      <c r="K111" s="67" t="s">
        <v>1337</v>
      </c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 t="str" vm="477">
        <f>CUBEVALUE(ConnectionString,ReportMonth,Table1[[#This Row],[Site ID (from DATIM)]],"TX_NEW_2VIS")</f>
        <v/>
      </c>
      <c r="AE111" s="67" t="str" vm="4646">
        <f>CUBEVALUE(ConnectionString,ReportMonth,Table1[[#This Row],[Site ID (from DATIM)]],INDEX(SDI_Measures,1))</f>
        <v/>
      </c>
      <c r="AF111" s="67" t="str" vm="3365">
        <f>CUBEVALUE(ConnectionString,ReportMonth,Table1[[#This Row],[Site ID (from DATIM)]],INDEX(SDI_Measures,2))</f>
        <v/>
      </c>
      <c r="AG111" s="67" t="str" vm="2807">
        <f>CUBEVALUE(ConnectionString,ReportMonth,Table1[[#This Row],[Site ID (from DATIM)]],INDEX(SDI_Measures,3))</f>
        <v/>
      </c>
      <c r="AH111" s="67" t="str" vm="3261">
        <f>CUBEVALUE(ConnectionString,ReportMonth,Table1[[#This Row],[Site ID (from DATIM)]],"TX_CURR_PRIOR_MONTH")</f>
        <v/>
      </c>
      <c r="AI111" s="67" t="str" vm="1560">
        <f>CUBEVALUE(ConnectionString,ReportMonth,Table1[[#This Row],[Site ID (from DATIM)]],"TX_CURR")</f>
        <v/>
      </c>
      <c r="AJ111" s="67" t="str" vm="3646">
        <f>CUBEVALUE(ConnectionString,ReportMonth,Table1[[#This Row],[Site ID (from DATIM)]],"[Measures].[TI]")</f>
        <v/>
      </c>
      <c r="AK111" s="67" t="str" vm="643">
        <f>CUBEVALUE(ConnectionString,ReportMonth,Table1[[#This Row],[Site ID (from DATIM)]],"[Measures].[TO]")</f>
        <v/>
      </c>
      <c r="AL111" s="67" t="str" vm="1731">
        <f>CUBEVALUE(ConnectionString,ReportMonth,Table1[[#This Row],[Site ID (from DATIM)]],"[Measures].[DIED]")</f>
        <v/>
      </c>
      <c r="AM111" s="67" t="str" vm="3308">
        <f>CUBEVALUE(ConnectionString,ReportMonth,Table1[[#This Row],[Site ID (from DATIM)]],"[Measures].[MMS_01_31]")</f>
        <v/>
      </c>
      <c r="AN111" s="67" t="str" vm="5767">
        <f>CUBEVALUE(ConnectionString,ReportMonth,Table1[[#This Row],[Site ID (from DATIM)]],"[Measures].[MMS_32_62]")</f>
        <v/>
      </c>
      <c r="AO111" s="67" t="str" vm="8818">
        <f>CUBEVALUE(ConnectionString,ReportMonth,Table1[[#This Row],[Site ID (from DATIM)]],"[Measures].[MMS_63+]")</f>
        <v/>
      </c>
      <c r="AP111" s="67" t="str" vm="5569">
        <f>CUBEVALUE(ConnectionString,ReportMonth,Table1[[#This Row],[Site ID (from DATIM)]],"[Measures].[TBPREV_D]")</f>
        <v/>
      </c>
      <c r="AQ111" s="67" t="str" vm="4709">
        <f>CUBEVALUE(ConnectionString,ReportMonth,Table1[[#This Row],[Site ID (from DATIM)]],"[Measures].[TBPREV_N]")</f>
        <v/>
      </c>
      <c r="AR111" s="67" t="str" vm="6338">
        <f>CUBEVALUE(ConnectionString,ReportMonth,Table1[[#This Row],[Site ID (from DATIM)]],"[Measures].[TBPREV_NEW]")</f>
        <v/>
      </c>
      <c r="AS111" s="67" t="str" vm="8343">
        <f>CUBEVALUE(ConnectionString,ReportMonth,Table1[[#This Row],[Site ID (from DATIM)]],"[Measures].[HVL_ELIG_P]")</f>
        <v/>
      </c>
      <c r="AT111" s="67" t="str" vm="7535">
        <f>CUBEVALUE(ConnectionString,ReportMonth,Table1[[#This Row],[Site ID (from DATIM)]],"[Measures].[HVL_D_P]")</f>
        <v/>
      </c>
      <c r="AU111" s="67" t="str" vm="8376">
        <f>CUBEVALUE(ConnectionString,ReportMonth,Table1[[#This Row],[Site ID (from DATIM)]],"[Measures].[HVL_N_P]")</f>
        <v/>
      </c>
      <c r="AV111" s="68" t="str" vm="11303">
        <f>CUBEVALUE(ConnectionString,ReportMonth,Table1[[#This Row],[Site ID (from DATIM)]],"[Measures].[HVL_ELIG_A]")</f>
        <v/>
      </c>
      <c r="AW111" s="68" t="str" vm="9942">
        <f>CUBEVALUE(ConnectionString,ReportMonth,Table1[[#This Row],[Site ID (from DATIM)]],"[Measures].[HVL_D_A]")</f>
        <v/>
      </c>
      <c r="AX111" s="68" t="str" vm="8736">
        <f>CUBEVALUE(ConnectionString,ReportMonth,Table1[[#This Row],[Site ID (from DATIM)]],"[Measures].[HVL_N_A]")</f>
        <v/>
      </c>
      <c r="AY111" s="67"/>
      <c r="AZ111" s="67"/>
      <c r="BA111" s="67"/>
      <c r="BB111" s="67"/>
      <c r="BC111" s="67"/>
      <c r="BD111" s="67"/>
      <c r="BE111" s="67"/>
      <c r="BF111" s="67"/>
      <c r="BG111" s="67" t="str" vm="11424">
        <f>CUBEVALUE(ConnectionString,ReportMonth,Table1[[#This Row],[Site ID (from DATIM)]],"[Measures].[TX_NEW_F_A]")</f>
        <v/>
      </c>
      <c r="BH111" s="67" t="str" vm="10138">
        <f>CUBEVALUE(ConnectionString,ReportMonth,Table1[[#This Row],[Site ID (from DATIM)]],"[Measures].[TX_NEW_M_A]")</f>
        <v/>
      </c>
      <c r="BI111" s="67" t="str" vm="15288">
        <f>CUBEVALUE(ConnectionString,ReportMonth,Table1[[#This Row],[Site ID (from DATIM)]],"[Measures].[TX_NEW_F_P]")</f>
        <v/>
      </c>
      <c r="BJ111" s="68" t="str" vm="17393">
        <f>CUBEVALUE(ConnectionString,ReportMonth,Table1[[#This Row],[Site ID (from DATIM)]],"[Measures].[TX_NEW_M_P]")</f>
        <v/>
      </c>
      <c r="BK111" s="68"/>
      <c r="BL111" s="68"/>
      <c r="BM111" s="68"/>
      <c r="BN111" s="68"/>
      <c r="BO111" s="68"/>
      <c r="BP111" s="68"/>
      <c r="BQ111" s="68" t="str" vm="14106">
        <f>CUBEVALUE(ConnectionString,ReportMonth,Table1[[#This Row],[Site ID (from DATIM)]],"[Measures].[TX_CURR_F_P]")</f>
        <v/>
      </c>
      <c r="BR111" s="68" t="str" vm="9413">
        <f>CUBEVALUE(ConnectionString,ReportMonth,Table1[[#This Row],[Site ID (from DATIM)]],"[Measures].[TX_CURR_M_P]")</f>
        <v/>
      </c>
      <c r="BS111" s="68" t="str" vm="13821">
        <f>CUBEVALUE(ConnectionString,ReportMonth,Table1[[#This Row],[Site ID (from DATIM)]],"[Measures].[TX_CURR_F_A]")</f>
        <v/>
      </c>
      <c r="BT111" s="68" t="str" vm="10359">
        <f>CUBEVALUE(ConnectionString,ReportMonth,Table1[[#This Row],[Site ID (from DATIM)]],"[Measures].[TX_CURR_M_A]")</f>
        <v/>
      </c>
      <c r="BU111" s="68" t="str" vm="20048">
        <f>CUBEVALUE(ConnectionString,ReportMonth,Table1[[#This Row],[Site ID (from DATIM)]],"[Measures].[MMS_01_89_F_P]")</f>
        <v/>
      </c>
      <c r="BV111" s="68" t="str" vm="18938">
        <f>CUBEVALUE(ConnectionString,ReportMonth,Table1[[#This Row],[Site ID (from DATIM)]],"[Measures].[MMS_01_89_M_P]")</f>
        <v/>
      </c>
      <c r="BW111" s="68" t="str" vm="20027">
        <f>CUBEVALUE(ConnectionString,ReportMonth,Table1[[#This Row],[Site ID (from DATIM)]],"[Measures].[MMS_01_89_F_A]")</f>
        <v/>
      </c>
      <c r="BX111" s="68" t="str" vm="18262">
        <f>CUBEVALUE(ConnectionString,ReportMonth,Table1[[#This Row],[Site ID (from DATIM)]],"[Measures].[MMS_01_89_M_A]")</f>
        <v/>
      </c>
      <c r="BY111" s="68" t="str" vm="18796">
        <f>CUBEVALUE(ConnectionString,ReportMonth,Table1[[#This Row],[Site ID (from DATIM)]],"[Measures].[MMS_90_179_F_P]")</f>
        <v/>
      </c>
      <c r="BZ111" s="68" t="str" vm="17849">
        <f>CUBEVALUE(ConnectionString,ReportMonth,Table1[[#This Row],[Site ID (from DATIM)]],"[Measures].[MMS_90_179_M_P]")</f>
        <v/>
      </c>
      <c r="CA111" s="68" t="str" vm="15190">
        <f>CUBEVALUE(ConnectionString,ReportMonth,Table1[[#This Row],[Site ID (from DATIM)]],"[Measures].[MMS_90_179_F_A]")</f>
        <v/>
      </c>
      <c r="CB111" s="68" t="str" vm="16834">
        <f>CUBEVALUE(ConnectionString,ReportMonth,Table1[[#This Row],[Site ID (from DATIM)]],"[Measures].[MMS_90_179_M_A]")</f>
        <v/>
      </c>
      <c r="CC111" s="68" t="str" vm="17309">
        <f>CUBEVALUE(ConnectionString,ReportMonth,Table1[[#This Row],[Site ID (from DATIM)]],"[Measures].[MMS_180+_F_P]")</f>
        <v/>
      </c>
      <c r="CD111" s="68" t="str" vm="14546">
        <f>CUBEVALUE(ConnectionString,ReportMonth,Table1[[#This Row],[Site ID (from DATIM)]],"[Measures].[MMS_180+_M_P]")</f>
        <v/>
      </c>
      <c r="CE111" s="68" t="str" vm="15761">
        <f>CUBEVALUE(ConnectionString,ReportMonth,Table1[[#This Row],[Site ID (from DATIM)]],"[Measures].[MMS_180+_F_A]")</f>
        <v/>
      </c>
      <c r="CF111" s="68" t="str" vm="15788">
        <f>CUBEVALUE(ConnectionString,ReportMonth,Table1[[#This Row],[Site ID (from DATIM)]],"[Measures].[MMS_180+_M_A]")</f>
        <v/>
      </c>
      <c r="CG111" s="68" t="str" vm="6881">
        <f>CUBEVALUE(ConnectionString,ReportMonth,Table1[[#This Row],[Site ID (from DATIM)]],"[Measures].[MISSEDAPP]")</f>
        <v/>
      </c>
      <c r="CH111" s="68" t="str" vm="13275">
        <f>CUBEVALUE(ConnectionString,ReportMonth,Table1[[#This Row],[Site ID (from DATIM)]],"[Measures].[MMS_180+_P]")</f>
        <v/>
      </c>
      <c r="CI111" s="68" t="str" vm="12426">
        <f>CUBEVALUE(ConnectionString,ReportMonth,Table1[[#This Row],[Site ID (from DATIM)]],"[Measures].[MMS_180+_A]")</f>
        <v/>
      </c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</row>
    <row r="112" spans="1:107" x14ac:dyDescent="0.25">
      <c r="A112" s="66">
        <v>3</v>
      </c>
      <c r="B112" s="67" t="str" vm="4">
        <f t="shared" si="2"/>
        <v>Mar-2021</v>
      </c>
      <c r="C112" s="67"/>
      <c r="D112" s="67" t="s">
        <v>232</v>
      </c>
      <c r="E112" s="67" t="s">
        <v>233</v>
      </c>
      <c r="F112" s="67" t="s">
        <v>1286</v>
      </c>
      <c r="G112" s="67"/>
      <c r="H112" s="67" t="s">
        <v>1323</v>
      </c>
      <c r="I112" s="67" t="s">
        <v>1338</v>
      </c>
      <c r="J112" s="67" t="s">
        <v>1339</v>
      </c>
      <c r="K112" s="67" t="s">
        <v>1340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 t="str" vm="878">
        <f>CUBEVALUE(ConnectionString,ReportMonth,Table1[[#This Row],[Site ID (from DATIM)]],"TX_NEW_2VIS")</f>
        <v/>
      </c>
      <c r="AE112" s="67" t="str" vm="616">
        <f>CUBEVALUE(ConnectionString,ReportMonth,Table1[[#This Row],[Site ID (from DATIM)]],INDEX(SDI_Measures,1))</f>
        <v/>
      </c>
      <c r="AF112" s="67" t="str" vm="11227">
        <f>CUBEVALUE(ConnectionString,ReportMonth,Table1[[#This Row],[Site ID (from DATIM)]],INDEX(SDI_Measures,2))</f>
        <v/>
      </c>
      <c r="AG112" s="67" t="str" vm="1284">
        <f>CUBEVALUE(ConnectionString,ReportMonth,Table1[[#This Row],[Site ID (from DATIM)]],INDEX(SDI_Measures,3))</f>
        <v/>
      </c>
      <c r="AH112" s="67" t="str" vm="2592">
        <f>CUBEVALUE(ConnectionString,ReportMonth,Table1[[#This Row],[Site ID (from DATIM)]],"TX_CURR_PRIOR_MONTH")</f>
        <v/>
      </c>
      <c r="AI112" s="67" t="str" vm="794">
        <f>CUBEVALUE(ConnectionString,ReportMonth,Table1[[#This Row],[Site ID (from DATIM)]],"TX_CURR")</f>
        <v/>
      </c>
      <c r="AJ112" s="67" t="str" vm="1708">
        <f>CUBEVALUE(ConnectionString,ReportMonth,Table1[[#This Row],[Site ID (from DATIM)]],"[Measures].[TI]")</f>
        <v/>
      </c>
      <c r="AK112" s="67" t="str" vm="3431">
        <f>CUBEVALUE(ConnectionString,ReportMonth,Table1[[#This Row],[Site ID (from DATIM)]],"[Measures].[TO]")</f>
        <v/>
      </c>
      <c r="AL112" s="67" t="str" vm="6055">
        <f>CUBEVALUE(ConnectionString,ReportMonth,Table1[[#This Row],[Site ID (from DATIM)]],"[Measures].[DIED]")</f>
        <v/>
      </c>
      <c r="AM112" s="67" t="str" vm="6010">
        <f>CUBEVALUE(ConnectionString,ReportMonth,Table1[[#This Row],[Site ID (from DATIM)]],"[Measures].[MMS_01_31]")</f>
        <v/>
      </c>
      <c r="AN112" s="67" t="str" vm="6893">
        <f>CUBEVALUE(ConnectionString,ReportMonth,Table1[[#This Row],[Site ID (from DATIM)]],"[Measures].[MMS_32_62]")</f>
        <v/>
      </c>
      <c r="AO112" s="67" t="str" vm="9141">
        <f>CUBEVALUE(ConnectionString,ReportMonth,Table1[[#This Row],[Site ID (from DATIM)]],"[Measures].[MMS_63+]")</f>
        <v/>
      </c>
      <c r="AP112" s="67" t="str" vm="7864">
        <f>CUBEVALUE(ConnectionString,ReportMonth,Table1[[#This Row],[Site ID (from DATIM)]],"[Measures].[TBPREV_D]")</f>
        <v/>
      </c>
      <c r="AQ112" s="67" t="str" vm="5101">
        <f>CUBEVALUE(ConnectionString,ReportMonth,Table1[[#This Row],[Site ID (from DATIM)]],"[Measures].[TBPREV_N]")</f>
        <v/>
      </c>
      <c r="AR112" s="67" t="str" vm="6259">
        <f>CUBEVALUE(ConnectionString,ReportMonth,Table1[[#This Row],[Site ID (from DATIM)]],"[Measures].[TBPREV_NEW]")</f>
        <v/>
      </c>
      <c r="AS112" s="67" t="str" vm="11023">
        <f>CUBEVALUE(ConnectionString,ReportMonth,Table1[[#This Row],[Site ID (from DATIM)]],"[Measures].[HVL_ELIG_P]")</f>
        <v/>
      </c>
      <c r="AT112" s="67" t="str" vm="11091">
        <f>CUBEVALUE(ConnectionString,ReportMonth,Table1[[#This Row],[Site ID (from DATIM)]],"[Measures].[HVL_D_P]")</f>
        <v/>
      </c>
      <c r="AU112" s="67" t="str" vm="9727">
        <f>CUBEVALUE(ConnectionString,ReportMonth,Table1[[#This Row],[Site ID (from DATIM)]],"[Measures].[HVL_N_P]")</f>
        <v/>
      </c>
      <c r="AV112" s="68" t="str" vm="12463">
        <f>CUBEVALUE(ConnectionString,ReportMonth,Table1[[#This Row],[Site ID (from DATIM)]],"[Measures].[HVL_ELIG_A]")</f>
        <v/>
      </c>
      <c r="AW112" s="68" t="str" vm="9785">
        <f>CUBEVALUE(ConnectionString,ReportMonth,Table1[[#This Row],[Site ID (from DATIM)]],"[Measures].[HVL_D_A]")</f>
        <v/>
      </c>
      <c r="AX112" s="68" t="str" vm="11788">
        <f>CUBEVALUE(ConnectionString,ReportMonth,Table1[[#This Row],[Site ID (from DATIM)]],"[Measures].[HVL_N_A]")</f>
        <v/>
      </c>
      <c r="AY112" s="67"/>
      <c r="AZ112" s="67"/>
      <c r="BA112" s="67"/>
      <c r="BB112" s="67"/>
      <c r="BC112" s="67"/>
      <c r="BD112" s="67"/>
      <c r="BE112" s="67"/>
      <c r="BF112" s="67"/>
      <c r="BG112" s="67" t="str" vm="13056">
        <f>CUBEVALUE(ConnectionString,ReportMonth,Table1[[#This Row],[Site ID (from DATIM)]],"[Measures].[TX_NEW_F_A]")</f>
        <v/>
      </c>
      <c r="BH112" s="67" t="str" vm="11969">
        <f>CUBEVALUE(ConnectionString,ReportMonth,Table1[[#This Row],[Site ID (from DATIM)]],"[Measures].[TX_NEW_M_A]")</f>
        <v/>
      </c>
      <c r="BI112" s="67" t="str" vm="14346">
        <f>CUBEVALUE(ConnectionString,ReportMonth,Table1[[#This Row],[Site ID (from DATIM)]],"[Measures].[TX_NEW_F_P]")</f>
        <v/>
      </c>
      <c r="BJ112" s="68" t="str" vm="17025">
        <f>CUBEVALUE(ConnectionString,ReportMonth,Table1[[#This Row],[Site ID (from DATIM)]],"[Measures].[TX_NEW_M_P]")</f>
        <v/>
      </c>
      <c r="BK112" s="68"/>
      <c r="BL112" s="68"/>
      <c r="BM112" s="68"/>
      <c r="BN112" s="68"/>
      <c r="BO112" s="68"/>
      <c r="BP112" s="68"/>
      <c r="BQ112" s="68" t="str" vm="10784">
        <f>CUBEVALUE(ConnectionString,ReportMonth,Table1[[#This Row],[Site ID (from DATIM)]],"[Measures].[TX_CURR_F_P]")</f>
        <v/>
      </c>
      <c r="BR112" s="68" t="str" vm="8101">
        <f>CUBEVALUE(ConnectionString,ReportMonth,Table1[[#This Row],[Site ID (from DATIM)]],"[Measures].[TX_CURR_M_P]")</f>
        <v/>
      </c>
      <c r="BS112" s="68" t="str" vm="10602">
        <f>CUBEVALUE(ConnectionString,ReportMonth,Table1[[#This Row],[Site ID (from DATIM)]],"[Measures].[TX_CURR_F_A]")</f>
        <v/>
      </c>
      <c r="BT112" s="68" t="str" vm="13767">
        <f>CUBEVALUE(ConnectionString,ReportMonth,Table1[[#This Row],[Site ID (from DATIM)]],"[Measures].[TX_CURR_M_A]")</f>
        <v/>
      </c>
      <c r="BU112" s="68" t="str" vm="18711">
        <f>CUBEVALUE(ConnectionString,ReportMonth,Table1[[#This Row],[Site ID (from DATIM)]],"[Measures].[MMS_01_89_F_P]")</f>
        <v/>
      </c>
      <c r="BV112" s="68" t="str" vm="19992">
        <f>CUBEVALUE(ConnectionString,ReportMonth,Table1[[#This Row],[Site ID (from DATIM)]],"[Measures].[MMS_01_89_M_P]")</f>
        <v/>
      </c>
      <c r="BW112" s="68" t="str" vm="19465">
        <f>CUBEVALUE(ConnectionString,ReportMonth,Table1[[#This Row],[Site ID (from DATIM)]],"[Measures].[MMS_01_89_F_A]")</f>
        <v/>
      </c>
      <c r="BX112" s="68" t="str" vm="18556">
        <f>CUBEVALUE(ConnectionString,ReportMonth,Table1[[#This Row],[Site ID (from DATIM)]],"[Measures].[MMS_01_89_M_A]")</f>
        <v/>
      </c>
      <c r="BY112" s="68" t="str" vm="18855">
        <f>CUBEVALUE(ConnectionString,ReportMonth,Table1[[#This Row],[Site ID (from DATIM)]],"[Measures].[MMS_90_179_F_P]")</f>
        <v/>
      </c>
      <c r="BZ112" s="68" t="str" vm="18829">
        <f>CUBEVALUE(ConnectionString,ReportMonth,Table1[[#This Row],[Site ID (from DATIM)]],"[Measures].[MMS_90_179_M_P]")</f>
        <v/>
      </c>
      <c r="CA112" s="68" t="str" vm="17121">
        <f>CUBEVALUE(ConnectionString,ReportMonth,Table1[[#This Row],[Site ID (from DATIM)]],"[Measures].[MMS_90_179_F_A]")</f>
        <v/>
      </c>
      <c r="CB112" s="68" t="str" vm="14597">
        <f>CUBEVALUE(ConnectionString,ReportMonth,Table1[[#This Row],[Site ID (from DATIM)]],"[Measures].[MMS_90_179_M_A]")</f>
        <v/>
      </c>
      <c r="CC112" s="68" t="str" vm="17746">
        <f>CUBEVALUE(ConnectionString,ReportMonth,Table1[[#This Row],[Site ID (from DATIM)]],"[Measures].[MMS_180+_F_P]")</f>
        <v/>
      </c>
      <c r="CD112" s="68" t="str" vm="15373">
        <f>CUBEVALUE(ConnectionString,ReportMonth,Table1[[#This Row],[Site ID (from DATIM)]],"[Measures].[MMS_180+_M_P]")</f>
        <v/>
      </c>
      <c r="CE112" s="68" t="str" vm="15421">
        <f>CUBEVALUE(ConnectionString,ReportMonth,Table1[[#This Row],[Site ID (from DATIM)]],"[Measures].[MMS_180+_F_A]")</f>
        <v/>
      </c>
      <c r="CF112" s="68" t="str" vm="14890">
        <f>CUBEVALUE(ConnectionString,ReportMonth,Table1[[#This Row],[Site ID (from DATIM)]],"[Measures].[MMS_180+_M_A]")</f>
        <v/>
      </c>
      <c r="CG112" s="68" t="str" vm="6332">
        <f>CUBEVALUE(ConnectionString,ReportMonth,Table1[[#This Row],[Site ID (from DATIM)]],"[Measures].[MISSEDAPP]")</f>
        <v/>
      </c>
      <c r="CH112" s="68" t="str" vm="11508">
        <f>CUBEVALUE(ConnectionString,ReportMonth,Table1[[#This Row],[Site ID (from DATIM)]],"[Measures].[MMS_180+_P]")</f>
        <v/>
      </c>
      <c r="CI112" s="68" t="str" vm="13601">
        <f>CUBEVALUE(ConnectionString,ReportMonth,Table1[[#This Row],[Site ID (from DATIM)]],"[Measures].[MMS_180+_A]")</f>
        <v/>
      </c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</row>
    <row r="113" spans="1:107" x14ac:dyDescent="0.25">
      <c r="A113" s="66">
        <v>4</v>
      </c>
      <c r="B113" s="67" t="str" vm="4">
        <f t="shared" si="2"/>
        <v>Mar-2021</v>
      </c>
      <c r="C113" s="67"/>
      <c r="D113" s="67" t="s">
        <v>232</v>
      </c>
      <c r="E113" s="67" t="s">
        <v>233</v>
      </c>
      <c r="F113" s="67" t="s">
        <v>437</v>
      </c>
      <c r="G113" s="67"/>
      <c r="H113" s="67" t="s">
        <v>438</v>
      </c>
      <c r="I113" s="67" t="s">
        <v>565</v>
      </c>
      <c r="J113" s="67" t="s">
        <v>566</v>
      </c>
      <c r="K113" s="67" t="s">
        <v>567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 t="str" vm="2060">
        <f>CUBEVALUE(ConnectionString,ReportMonth,Table1[[#This Row],[Site ID (from DATIM)]],"TX_NEW_2VIS")</f>
        <v/>
      </c>
      <c r="AE113" s="67" t="str" vm="2532">
        <f>CUBEVALUE(ConnectionString,ReportMonth,Table1[[#This Row],[Site ID (from DATIM)]],INDEX(SDI_Measures,1))</f>
        <v/>
      </c>
      <c r="AF113" s="67" t="str" vm="1152">
        <f>CUBEVALUE(ConnectionString,ReportMonth,Table1[[#This Row],[Site ID (from DATIM)]],INDEX(SDI_Measures,2))</f>
        <v/>
      </c>
      <c r="AG113" s="67" t="str" vm="3435">
        <f>CUBEVALUE(ConnectionString,ReportMonth,Table1[[#This Row],[Site ID (from DATIM)]],INDEX(SDI_Measures,3))</f>
        <v/>
      </c>
      <c r="AH113" s="67" vm="823">
        <f>CUBEVALUE(ConnectionString,ReportMonth,Table1[[#This Row],[Site ID (from DATIM)]],"TX_CURR_PRIOR_MONTH")</f>
        <v>13</v>
      </c>
      <c r="AI113" s="67" vm="2494">
        <f>CUBEVALUE(ConnectionString,ReportMonth,Table1[[#This Row],[Site ID (from DATIM)]],"TX_CURR")</f>
        <v>8</v>
      </c>
      <c r="AJ113" s="67" t="str" vm="4038">
        <f>CUBEVALUE(ConnectionString,ReportMonth,Table1[[#This Row],[Site ID (from DATIM)]],"[Measures].[TI]")</f>
        <v/>
      </c>
      <c r="AK113" s="67" t="str" vm="812">
        <f>CUBEVALUE(ConnectionString,ReportMonth,Table1[[#This Row],[Site ID (from DATIM)]],"[Measures].[TO]")</f>
        <v/>
      </c>
      <c r="AL113" s="67" t="str" vm="761">
        <f>CUBEVALUE(ConnectionString,ReportMonth,Table1[[#This Row],[Site ID (from DATIM)]],"[Measures].[DIED]")</f>
        <v/>
      </c>
      <c r="AM113" s="67" vm="5226">
        <f>CUBEVALUE(ConnectionString,ReportMonth,Table1[[#This Row],[Site ID (from DATIM)]],"[Measures].[MMS_01_31]")</f>
        <v>6</v>
      </c>
      <c r="AN113" s="67" vm="5386">
        <f>CUBEVALUE(ConnectionString,ReportMonth,Table1[[#This Row],[Site ID (from DATIM)]],"[Measures].[MMS_32_62]")</f>
        <v>2</v>
      </c>
      <c r="AO113" s="67" t="str" vm="9703">
        <f>CUBEVALUE(ConnectionString,ReportMonth,Table1[[#This Row],[Site ID (from DATIM)]],"[Measures].[MMS_63+]")</f>
        <v/>
      </c>
      <c r="AP113" s="67" t="str" vm="8999">
        <f>CUBEVALUE(ConnectionString,ReportMonth,Table1[[#This Row],[Site ID (from DATIM)]],"[Measures].[TBPREV_D]")</f>
        <v/>
      </c>
      <c r="AQ113" s="67" t="str" vm="8757">
        <f>CUBEVALUE(ConnectionString,ReportMonth,Table1[[#This Row],[Site ID (from DATIM)]],"[Measures].[TBPREV_N]")</f>
        <v/>
      </c>
      <c r="AR113" s="67" t="str" vm="6967">
        <f>CUBEVALUE(ConnectionString,ReportMonth,Table1[[#This Row],[Site ID (from DATIM)]],"[Measures].[TBPREV_NEW]")</f>
        <v/>
      </c>
      <c r="AS113" s="67" t="str" vm="5758">
        <f>CUBEVALUE(ConnectionString,ReportMonth,Table1[[#This Row],[Site ID (from DATIM)]],"[Measures].[HVL_ELIG_P]")</f>
        <v/>
      </c>
      <c r="AT113" s="67" t="str" vm="6403">
        <f>CUBEVALUE(ConnectionString,ReportMonth,Table1[[#This Row],[Site ID (from DATIM)]],"[Measures].[HVL_D_P]")</f>
        <v/>
      </c>
      <c r="AU113" s="67" t="str" vm="8959">
        <f>CUBEVALUE(ConnectionString,ReportMonth,Table1[[#This Row],[Site ID (from DATIM)]],"[Measures].[HVL_N_P]")</f>
        <v/>
      </c>
      <c r="AV113" s="68" vm="10285">
        <f>CUBEVALUE(ConnectionString,ReportMonth,Table1[[#This Row],[Site ID (from DATIM)]],"[Measures].[HVL_ELIG_A]")</f>
        <v>6</v>
      </c>
      <c r="AW113" s="68" t="str" vm="8133">
        <f>CUBEVALUE(ConnectionString,ReportMonth,Table1[[#This Row],[Site ID (from DATIM)]],"[Measures].[HVL_D_A]")</f>
        <v/>
      </c>
      <c r="AX113" s="68" t="str" vm="8657">
        <f>CUBEVALUE(ConnectionString,ReportMonth,Table1[[#This Row],[Site ID (from DATIM)]],"[Measures].[HVL_N_A]")</f>
        <v/>
      </c>
      <c r="AY113" s="67"/>
      <c r="AZ113" s="67"/>
      <c r="BA113" s="67"/>
      <c r="BB113" s="67"/>
      <c r="BC113" s="67"/>
      <c r="BD113" s="67"/>
      <c r="BE113" s="67"/>
      <c r="BF113" s="67"/>
      <c r="BG113" s="67" t="str" vm="10181">
        <f>CUBEVALUE(ConnectionString,ReportMonth,Table1[[#This Row],[Site ID (from DATIM)]],"[Measures].[TX_NEW_F_A]")</f>
        <v/>
      </c>
      <c r="BH113" s="67" t="str" vm="17030">
        <f>CUBEVALUE(ConnectionString,ReportMonth,Table1[[#This Row],[Site ID (from DATIM)]],"[Measures].[TX_NEW_M_A]")</f>
        <v/>
      </c>
      <c r="BI113" s="67" t="str" vm="14254">
        <f>CUBEVALUE(ConnectionString,ReportMonth,Table1[[#This Row],[Site ID (from DATIM)]],"[Measures].[TX_NEW_F_P]")</f>
        <v/>
      </c>
      <c r="BJ113" s="68" t="str" vm="13150">
        <f>CUBEVALUE(ConnectionString,ReportMonth,Table1[[#This Row],[Site ID (from DATIM)]],"[Measures].[TX_NEW_M_P]")</f>
        <v/>
      </c>
      <c r="BK113" s="68"/>
      <c r="BL113" s="68"/>
      <c r="BM113" s="68"/>
      <c r="BN113" s="68"/>
      <c r="BO113" s="68"/>
      <c r="BP113" s="68"/>
      <c r="BQ113" s="68" t="str" vm="9131">
        <f>CUBEVALUE(ConnectionString,ReportMonth,Table1[[#This Row],[Site ID (from DATIM)]],"[Measures].[TX_CURR_F_P]")</f>
        <v/>
      </c>
      <c r="BR113" s="68" t="str" vm="8489">
        <f>CUBEVALUE(ConnectionString,ReportMonth,Table1[[#This Row],[Site ID (from DATIM)]],"[Measures].[TX_CURR_M_P]")</f>
        <v/>
      </c>
      <c r="BS113" s="68" vm="14000">
        <f>CUBEVALUE(ConnectionString,ReportMonth,Table1[[#This Row],[Site ID (from DATIM)]],"[Measures].[TX_CURR_F_A]")</f>
        <v>8</v>
      </c>
      <c r="BT113" s="68" t="str" vm="12787">
        <f>CUBEVALUE(ConnectionString,ReportMonth,Table1[[#This Row],[Site ID (from DATIM)]],"[Measures].[TX_CURR_M_A]")</f>
        <v/>
      </c>
      <c r="BU113" s="68" t="str" vm="20054">
        <f>CUBEVALUE(ConnectionString,ReportMonth,Table1[[#This Row],[Site ID (from DATIM)]],"[Measures].[MMS_01_89_F_P]")</f>
        <v/>
      </c>
      <c r="BV113" s="68" t="str" vm="20142">
        <f>CUBEVALUE(ConnectionString,ReportMonth,Table1[[#This Row],[Site ID (from DATIM)]],"[Measures].[MMS_01_89_M_P]")</f>
        <v/>
      </c>
      <c r="BW113" s="68" vm="18028">
        <f>CUBEVALUE(ConnectionString,ReportMonth,Table1[[#This Row],[Site ID (from DATIM)]],"[Measures].[MMS_01_89_F_A]")</f>
        <v>8</v>
      </c>
      <c r="BX113" s="68" t="str" vm="18576">
        <f>CUBEVALUE(ConnectionString,ReportMonth,Table1[[#This Row],[Site ID (from DATIM)]],"[Measures].[MMS_01_89_M_A]")</f>
        <v/>
      </c>
      <c r="BY113" s="68" t="str" vm="19846">
        <f>CUBEVALUE(ConnectionString,ReportMonth,Table1[[#This Row],[Site ID (from DATIM)]],"[Measures].[MMS_90_179_F_P]")</f>
        <v/>
      </c>
      <c r="BZ113" s="68" t="str" vm="19849">
        <f>CUBEVALUE(ConnectionString,ReportMonth,Table1[[#This Row],[Site ID (from DATIM)]],"[Measures].[MMS_90_179_M_P]")</f>
        <v/>
      </c>
      <c r="CA113" s="68" t="str" vm="17713">
        <f>CUBEVALUE(ConnectionString,ReportMonth,Table1[[#This Row],[Site ID (from DATIM)]],"[Measures].[MMS_90_179_F_A]")</f>
        <v/>
      </c>
      <c r="CB113" s="68" t="str" vm="15602">
        <f>CUBEVALUE(ConnectionString,ReportMonth,Table1[[#This Row],[Site ID (from DATIM)]],"[Measures].[MMS_90_179_M_A]")</f>
        <v/>
      </c>
      <c r="CC113" s="68" t="str" vm="14495">
        <f>CUBEVALUE(ConnectionString,ReportMonth,Table1[[#This Row],[Site ID (from DATIM)]],"[Measures].[MMS_180+_F_P]")</f>
        <v/>
      </c>
      <c r="CD113" s="68" t="str" vm="16337">
        <f>CUBEVALUE(ConnectionString,ReportMonth,Table1[[#This Row],[Site ID (from DATIM)]],"[Measures].[MMS_180+_M_P]")</f>
        <v/>
      </c>
      <c r="CE113" s="68" t="str" vm="16319">
        <f>CUBEVALUE(ConnectionString,ReportMonth,Table1[[#This Row],[Site ID (from DATIM)]],"[Measures].[MMS_180+_F_A]")</f>
        <v/>
      </c>
      <c r="CF113" s="68" t="str" vm="226">
        <f>CUBEVALUE(ConnectionString,ReportMonth,Table1[[#This Row],[Site ID (from DATIM)]],"[Measures].[MMS_180+_M_A]")</f>
        <v/>
      </c>
      <c r="CG113" s="68" vm="8416">
        <f>CUBEVALUE(ConnectionString,ReportMonth,Table1[[#This Row],[Site ID (from DATIM)]],"[Measures].[MISSEDAPP]")</f>
        <v>8</v>
      </c>
      <c r="CH113" s="68" t="str" vm="13743">
        <f>CUBEVALUE(ConnectionString,ReportMonth,Table1[[#This Row],[Site ID (from DATIM)]],"[Measures].[MMS_180+_P]")</f>
        <v/>
      </c>
      <c r="CI113" s="68" t="str" vm="12944">
        <f>CUBEVALUE(ConnectionString,ReportMonth,Table1[[#This Row],[Site ID (from DATIM)]],"[Measures].[MMS_180+_A]")</f>
        <v/>
      </c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</row>
    <row r="114" spans="1:107" x14ac:dyDescent="0.25">
      <c r="A114" s="66">
        <v>2</v>
      </c>
      <c r="B114" s="67" t="str" vm="4">
        <f t="shared" si="2"/>
        <v>Mar-2021</v>
      </c>
      <c r="C114" s="67"/>
      <c r="D114" s="67" t="s">
        <v>232</v>
      </c>
      <c r="E114" s="67" t="s">
        <v>233</v>
      </c>
      <c r="F114" s="67" t="s">
        <v>1286</v>
      </c>
      <c r="G114" s="67"/>
      <c r="H114" s="67" t="s">
        <v>1323</v>
      </c>
      <c r="I114" s="67" t="s">
        <v>1341</v>
      </c>
      <c r="J114" s="67" t="s">
        <v>1342</v>
      </c>
      <c r="K114" s="67" t="s">
        <v>1343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 t="str" vm="927">
        <f>CUBEVALUE(ConnectionString,ReportMonth,Table1[[#This Row],[Site ID (from DATIM)]],"TX_NEW_2VIS")</f>
        <v/>
      </c>
      <c r="AE114" s="67" t="str" vm="6117">
        <f>CUBEVALUE(ConnectionString,ReportMonth,Table1[[#This Row],[Site ID (from DATIM)]],INDEX(SDI_Measures,1))</f>
        <v/>
      </c>
      <c r="AF114" s="67" t="str" vm="2308">
        <f>CUBEVALUE(ConnectionString,ReportMonth,Table1[[#This Row],[Site ID (from DATIM)]],INDEX(SDI_Measures,2))</f>
        <v/>
      </c>
      <c r="AG114" s="67" t="str" vm="2717">
        <f>CUBEVALUE(ConnectionString,ReportMonth,Table1[[#This Row],[Site ID (from DATIM)]],INDEX(SDI_Measures,3))</f>
        <v/>
      </c>
      <c r="AH114" s="67" t="str" vm="3765">
        <f>CUBEVALUE(ConnectionString,ReportMonth,Table1[[#This Row],[Site ID (from DATIM)]],"TX_CURR_PRIOR_MONTH")</f>
        <v/>
      </c>
      <c r="AI114" s="67" t="str" vm="1923">
        <f>CUBEVALUE(ConnectionString,ReportMonth,Table1[[#This Row],[Site ID (from DATIM)]],"TX_CURR")</f>
        <v/>
      </c>
      <c r="AJ114" s="67" t="str" vm="2372">
        <f>CUBEVALUE(ConnectionString,ReportMonth,Table1[[#This Row],[Site ID (from DATIM)]],"[Measures].[TI]")</f>
        <v/>
      </c>
      <c r="AK114" s="67" t="str" vm="2384">
        <f>CUBEVALUE(ConnectionString,ReportMonth,Table1[[#This Row],[Site ID (from DATIM)]],"[Measures].[TO]")</f>
        <v/>
      </c>
      <c r="AL114" s="67" t="str" vm="2148">
        <f>CUBEVALUE(ConnectionString,ReportMonth,Table1[[#This Row],[Site ID (from DATIM)]],"[Measures].[DIED]")</f>
        <v/>
      </c>
      <c r="AM114" s="67" t="str" vm="3301">
        <f>CUBEVALUE(ConnectionString,ReportMonth,Table1[[#This Row],[Site ID (from DATIM)]],"[Measures].[MMS_01_31]")</f>
        <v/>
      </c>
      <c r="AN114" s="67" t="str" vm="6033">
        <f>CUBEVALUE(ConnectionString,ReportMonth,Table1[[#This Row],[Site ID (from DATIM)]],"[Measures].[MMS_32_62]")</f>
        <v/>
      </c>
      <c r="AO114" s="67" t="str" vm="6165">
        <f>CUBEVALUE(ConnectionString,ReportMonth,Table1[[#This Row],[Site ID (from DATIM)]],"[Measures].[MMS_63+]")</f>
        <v/>
      </c>
      <c r="AP114" s="67" t="str" vm="4925">
        <f>CUBEVALUE(ConnectionString,ReportMonth,Table1[[#This Row],[Site ID (from DATIM)]],"[Measures].[TBPREV_D]")</f>
        <v/>
      </c>
      <c r="AQ114" s="67" t="str" vm="6012">
        <f>CUBEVALUE(ConnectionString,ReportMonth,Table1[[#This Row],[Site ID (from DATIM)]],"[Measures].[TBPREV_N]")</f>
        <v/>
      </c>
      <c r="AR114" s="67" t="str" vm="4634">
        <f>CUBEVALUE(ConnectionString,ReportMonth,Table1[[#This Row],[Site ID (from DATIM)]],"[Measures].[TBPREV_NEW]")</f>
        <v/>
      </c>
      <c r="AS114" s="67" t="str" vm="6229">
        <f>CUBEVALUE(ConnectionString,ReportMonth,Table1[[#This Row],[Site ID (from DATIM)]],"[Measures].[HVL_ELIG_P]")</f>
        <v/>
      </c>
      <c r="AT114" s="67" t="str" vm="6918">
        <f>CUBEVALUE(ConnectionString,ReportMonth,Table1[[#This Row],[Site ID (from DATIM)]],"[Measures].[HVL_D_P]")</f>
        <v/>
      </c>
      <c r="AU114" s="67" t="str" vm="7034">
        <f>CUBEVALUE(ConnectionString,ReportMonth,Table1[[#This Row],[Site ID (from DATIM)]],"[Measures].[HVL_N_P]")</f>
        <v/>
      </c>
      <c r="AV114" s="68" t="str" vm="6622">
        <f>CUBEVALUE(ConnectionString,ReportMonth,Table1[[#This Row],[Site ID (from DATIM)]],"[Measures].[HVL_ELIG_A]")</f>
        <v/>
      </c>
      <c r="AW114" s="68" t="str" vm="9218">
        <f>CUBEVALUE(ConnectionString,ReportMonth,Table1[[#This Row],[Site ID (from DATIM)]],"[Measures].[HVL_D_A]")</f>
        <v/>
      </c>
      <c r="AX114" s="68" t="str" vm="12524">
        <f>CUBEVALUE(ConnectionString,ReportMonth,Table1[[#This Row],[Site ID (from DATIM)]],"[Measures].[HVL_N_A]")</f>
        <v/>
      </c>
      <c r="AY114" s="67"/>
      <c r="AZ114" s="67"/>
      <c r="BA114" s="67"/>
      <c r="BB114" s="67"/>
      <c r="BC114" s="67"/>
      <c r="BD114" s="67"/>
      <c r="BE114" s="67"/>
      <c r="BF114" s="67"/>
      <c r="BG114" s="67" t="str" vm="17383">
        <f>CUBEVALUE(ConnectionString,ReportMonth,Table1[[#This Row],[Site ID (from DATIM)]],"[Measures].[TX_NEW_F_A]")</f>
        <v/>
      </c>
      <c r="BH114" s="67" t="str" vm="13061">
        <f>CUBEVALUE(ConnectionString,ReportMonth,Table1[[#This Row],[Site ID (from DATIM)]],"[Measures].[TX_NEW_M_A]")</f>
        <v/>
      </c>
      <c r="BI114" s="67" t="str" vm="15642">
        <f>CUBEVALUE(ConnectionString,ReportMonth,Table1[[#This Row],[Site ID (from DATIM)]],"[Measures].[TX_NEW_F_P]")</f>
        <v/>
      </c>
      <c r="BJ114" s="68" t="str" vm="13716">
        <f>CUBEVALUE(ConnectionString,ReportMonth,Table1[[#This Row],[Site ID (from DATIM)]],"[Measures].[TX_NEW_M_P]")</f>
        <v/>
      </c>
      <c r="BK114" s="68"/>
      <c r="BL114" s="68"/>
      <c r="BM114" s="68"/>
      <c r="BN114" s="68"/>
      <c r="BO114" s="68"/>
      <c r="BP114" s="68"/>
      <c r="BQ114" s="68" t="str" vm="11116">
        <f>CUBEVALUE(ConnectionString,ReportMonth,Table1[[#This Row],[Site ID (from DATIM)]],"[Measures].[TX_CURR_F_P]")</f>
        <v/>
      </c>
      <c r="BR114" s="68" t="str" vm="12133">
        <f>CUBEVALUE(ConnectionString,ReportMonth,Table1[[#This Row],[Site ID (from DATIM)]],"[Measures].[TX_CURR_M_P]")</f>
        <v/>
      </c>
      <c r="BS114" s="68" t="str" vm="6805">
        <f>CUBEVALUE(ConnectionString,ReportMonth,Table1[[#This Row],[Site ID (from DATIM)]],"[Measures].[TX_CURR_F_A]")</f>
        <v/>
      </c>
      <c r="BT114" s="68" t="str" vm="11622">
        <f>CUBEVALUE(ConnectionString,ReportMonth,Table1[[#This Row],[Site ID (from DATIM)]],"[Measures].[TX_CURR_M_A]")</f>
        <v/>
      </c>
      <c r="BU114" s="68" t="str" vm="18725">
        <f>CUBEVALUE(ConnectionString,ReportMonth,Table1[[#This Row],[Site ID (from DATIM)]],"[Measures].[MMS_01_89_F_P]")</f>
        <v/>
      </c>
      <c r="BV114" s="68" t="str" vm="19009">
        <f>CUBEVALUE(ConnectionString,ReportMonth,Table1[[#This Row],[Site ID (from DATIM)]],"[Measures].[MMS_01_89_M_P]")</f>
        <v/>
      </c>
      <c r="BW114" s="68" t="str" vm="18237">
        <f>CUBEVALUE(ConnectionString,ReportMonth,Table1[[#This Row],[Site ID (from DATIM)]],"[Measures].[MMS_01_89_F_A]")</f>
        <v/>
      </c>
      <c r="BX114" s="68" t="str" vm="15203">
        <f>CUBEVALUE(ConnectionString,ReportMonth,Table1[[#This Row],[Site ID (from DATIM)]],"[Measures].[MMS_01_89_M_A]")</f>
        <v/>
      </c>
      <c r="BY114" s="68" t="str" vm="19319">
        <f>CUBEVALUE(ConnectionString,ReportMonth,Table1[[#This Row],[Site ID (from DATIM)]],"[Measures].[MMS_90_179_F_P]")</f>
        <v/>
      </c>
      <c r="BZ114" s="68" t="str" vm="16090">
        <f>CUBEVALUE(ConnectionString,ReportMonth,Table1[[#This Row],[Site ID (from DATIM)]],"[Measures].[MMS_90_179_M_P]")</f>
        <v/>
      </c>
      <c r="CA114" s="68" t="str" vm="17693">
        <f>CUBEVALUE(ConnectionString,ReportMonth,Table1[[#This Row],[Site ID (from DATIM)]],"[Measures].[MMS_90_179_F_A]")</f>
        <v/>
      </c>
      <c r="CB114" s="68" t="str" vm="17345">
        <f>CUBEVALUE(ConnectionString,ReportMonth,Table1[[#This Row],[Site ID (from DATIM)]],"[Measures].[MMS_90_179_M_A]")</f>
        <v/>
      </c>
      <c r="CC114" s="68" t="str" vm="15910">
        <f>CUBEVALUE(ConnectionString,ReportMonth,Table1[[#This Row],[Site ID (from DATIM)]],"[Measures].[MMS_180+_F_P]")</f>
        <v/>
      </c>
      <c r="CD114" s="68" t="str" vm="17148">
        <f>CUBEVALUE(ConnectionString,ReportMonth,Table1[[#This Row],[Site ID (from DATIM)]],"[Measures].[MMS_180+_M_P]")</f>
        <v/>
      </c>
      <c r="CE114" s="68" t="str" vm="17195">
        <f>CUBEVALUE(ConnectionString,ReportMonth,Table1[[#This Row],[Site ID (from DATIM)]],"[Measures].[MMS_180+_F_A]")</f>
        <v/>
      </c>
      <c r="CF114" s="68" t="str" vm="16245">
        <f>CUBEVALUE(ConnectionString,ReportMonth,Table1[[#This Row],[Site ID (from DATIM)]],"[Measures].[MMS_180+_M_A]")</f>
        <v/>
      </c>
      <c r="CG114" s="68" t="str" vm="4638">
        <f>CUBEVALUE(ConnectionString,ReportMonth,Table1[[#This Row],[Site ID (from DATIM)]],"[Measures].[MISSEDAPP]")</f>
        <v/>
      </c>
      <c r="CH114" s="68" t="str" vm="12799">
        <f>CUBEVALUE(ConnectionString,ReportMonth,Table1[[#This Row],[Site ID (from DATIM)]],"[Measures].[MMS_180+_P]")</f>
        <v/>
      </c>
      <c r="CI114" s="68" t="str" vm="14859">
        <f>CUBEVALUE(ConnectionString,ReportMonth,Table1[[#This Row],[Site ID (from DATIM)]],"[Measures].[MMS_180+_A]")</f>
        <v/>
      </c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</row>
    <row r="115" spans="1:107" x14ac:dyDescent="0.25">
      <c r="A115" s="66">
        <v>4</v>
      </c>
      <c r="B115" s="67" t="str" vm="4">
        <f t="shared" si="2"/>
        <v>Mar-2021</v>
      </c>
      <c r="C115" s="67"/>
      <c r="D115" s="67" t="s">
        <v>232</v>
      </c>
      <c r="E115" s="67" t="s">
        <v>233</v>
      </c>
      <c r="F115" s="67" t="s">
        <v>1286</v>
      </c>
      <c r="G115" s="67"/>
      <c r="H115" s="67" t="s">
        <v>1344</v>
      </c>
      <c r="I115" s="67" t="s">
        <v>1345</v>
      </c>
      <c r="J115" s="67" t="s">
        <v>1346</v>
      </c>
      <c r="K115" s="67" t="s">
        <v>1347</v>
      </c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 t="str" vm="1514">
        <f>CUBEVALUE(ConnectionString,ReportMonth,Table1[[#This Row],[Site ID (from DATIM)]],"TX_NEW_2VIS")</f>
        <v/>
      </c>
      <c r="AE115" s="67" t="str" vm="2992">
        <f>CUBEVALUE(ConnectionString,ReportMonth,Table1[[#This Row],[Site ID (from DATIM)]],INDEX(SDI_Measures,1))</f>
        <v/>
      </c>
      <c r="AF115" s="67" t="str" vm="6468">
        <f>CUBEVALUE(ConnectionString,ReportMonth,Table1[[#This Row],[Site ID (from DATIM)]],INDEX(SDI_Measures,2))</f>
        <v/>
      </c>
      <c r="AG115" s="67" t="str" vm="3919">
        <f>CUBEVALUE(ConnectionString,ReportMonth,Table1[[#This Row],[Site ID (from DATIM)]],INDEX(SDI_Measures,3))</f>
        <v/>
      </c>
      <c r="AH115" s="67" t="str" vm="813">
        <f>CUBEVALUE(ConnectionString,ReportMonth,Table1[[#This Row],[Site ID (from DATIM)]],"TX_CURR_PRIOR_MONTH")</f>
        <v/>
      </c>
      <c r="AI115" s="67" t="str" vm="2839">
        <f>CUBEVALUE(ConnectionString,ReportMonth,Table1[[#This Row],[Site ID (from DATIM)]],"TX_CURR")</f>
        <v/>
      </c>
      <c r="AJ115" s="67" t="str" vm="1003">
        <f>CUBEVALUE(ConnectionString,ReportMonth,Table1[[#This Row],[Site ID (from DATIM)]],"[Measures].[TI]")</f>
        <v/>
      </c>
      <c r="AK115" s="67" t="str" vm="2773">
        <f>CUBEVALUE(ConnectionString,ReportMonth,Table1[[#This Row],[Site ID (from DATIM)]],"[Measures].[TO]")</f>
        <v/>
      </c>
      <c r="AL115" s="67" t="str" vm="2113">
        <f>CUBEVALUE(ConnectionString,ReportMonth,Table1[[#This Row],[Site ID (from DATIM)]],"[Measures].[DIED]")</f>
        <v/>
      </c>
      <c r="AM115" s="67" t="str" vm="4334">
        <f>CUBEVALUE(ConnectionString,ReportMonth,Table1[[#This Row],[Site ID (from DATIM)]],"[Measures].[MMS_01_31]")</f>
        <v/>
      </c>
      <c r="AN115" s="67" t="str" vm="7156">
        <f>CUBEVALUE(ConnectionString,ReportMonth,Table1[[#This Row],[Site ID (from DATIM)]],"[Measures].[MMS_32_62]")</f>
        <v/>
      </c>
      <c r="AO115" s="67" t="str" vm="6884">
        <f>CUBEVALUE(ConnectionString,ReportMonth,Table1[[#This Row],[Site ID (from DATIM)]],"[Measures].[MMS_63+]")</f>
        <v/>
      </c>
      <c r="AP115" s="67" t="str" vm="5205">
        <f>CUBEVALUE(ConnectionString,ReportMonth,Table1[[#This Row],[Site ID (from DATIM)]],"[Measures].[TBPREV_D]")</f>
        <v/>
      </c>
      <c r="AQ115" s="67" t="str" vm="6953">
        <f>CUBEVALUE(ConnectionString,ReportMonth,Table1[[#This Row],[Site ID (from DATIM)]],"[Measures].[TBPREV_N]")</f>
        <v/>
      </c>
      <c r="AR115" s="67" t="str" vm="9038">
        <f>CUBEVALUE(ConnectionString,ReportMonth,Table1[[#This Row],[Site ID (from DATIM)]],"[Measures].[TBPREV_NEW]")</f>
        <v/>
      </c>
      <c r="AS115" s="67" t="str" vm="4893">
        <f>CUBEVALUE(ConnectionString,ReportMonth,Table1[[#This Row],[Site ID (from DATIM)]],"[Measures].[HVL_ELIG_P]")</f>
        <v/>
      </c>
      <c r="AT115" s="67" t="str" vm="7192">
        <f>CUBEVALUE(ConnectionString,ReportMonth,Table1[[#This Row],[Site ID (from DATIM)]],"[Measures].[HVL_D_P]")</f>
        <v/>
      </c>
      <c r="AU115" s="67" t="str" vm="13490">
        <f>CUBEVALUE(ConnectionString,ReportMonth,Table1[[#This Row],[Site ID (from DATIM)]],"[Measures].[HVL_N_P]")</f>
        <v/>
      </c>
      <c r="AV115" s="68" t="str" vm="8829">
        <f>CUBEVALUE(ConnectionString,ReportMonth,Table1[[#This Row],[Site ID (from DATIM)]],"[Measures].[HVL_ELIG_A]")</f>
        <v/>
      </c>
      <c r="AW115" s="68" t="str" vm="11151">
        <f>CUBEVALUE(ConnectionString,ReportMonth,Table1[[#This Row],[Site ID (from DATIM)]],"[Measures].[HVL_D_A]")</f>
        <v/>
      </c>
      <c r="AX115" s="68" t="str" vm="9358">
        <f>CUBEVALUE(ConnectionString,ReportMonth,Table1[[#This Row],[Site ID (from DATIM)]],"[Measures].[HVL_N_A]")</f>
        <v/>
      </c>
      <c r="AY115" s="67"/>
      <c r="AZ115" s="67"/>
      <c r="BA115" s="67"/>
      <c r="BB115" s="67"/>
      <c r="BC115" s="67"/>
      <c r="BD115" s="67"/>
      <c r="BE115" s="67"/>
      <c r="BF115" s="67"/>
      <c r="BG115" s="67" t="str" vm="12165">
        <f>CUBEVALUE(ConnectionString,ReportMonth,Table1[[#This Row],[Site ID (from DATIM)]],"[Measures].[TX_NEW_F_A]")</f>
        <v/>
      </c>
      <c r="BH115" s="67" t="str" vm="11915">
        <f>CUBEVALUE(ConnectionString,ReportMonth,Table1[[#This Row],[Site ID (from DATIM)]],"[Measures].[TX_NEW_M_A]")</f>
        <v/>
      </c>
      <c r="BI115" s="67" t="str" vm="12322">
        <f>CUBEVALUE(ConnectionString,ReportMonth,Table1[[#This Row],[Site ID (from DATIM)]],"[Measures].[TX_NEW_F_P]")</f>
        <v/>
      </c>
      <c r="BJ115" s="68" t="str" vm="13977">
        <f>CUBEVALUE(ConnectionString,ReportMonth,Table1[[#This Row],[Site ID (from DATIM)]],"[Measures].[TX_NEW_M_P]")</f>
        <v/>
      </c>
      <c r="BK115" s="68"/>
      <c r="BL115" s="68"/>
      <c r="BM115" s="68"/>
      <c r="BN115" s="68"/>
      <c r="BO115" s="68"/>
      <c r="BP115" s="68"/>
      <c r="BQ115" s="68" t="str" vm="12077">
        <f>CUBEVALUE(ConnectionString,ReportMonth,Table1[[#This Row],[Site ID (from DATIM)]],"[Measures].[TX_CURR_F_P]")</f>
        <v/>
      </c>
      <c r="BR115" s="68" t="str" vm="9077">
        <f>CUBEVALUE(ConnectionString,ReportMonth,Table1[[#This Row],[Site ID (from DATIM)]],"[Measures].[TX_CURR_M_P]")</f>
        <v/>
      </c>
      <c r="BS115" s="68" t="str" vm="8327">
        <f>CUBEVALUE(ConnectionString,ReportMonth,Table1[[#This Row],[Site ID (from DATIM)]],"[Measures].[TX_CURR_F_A]")</f>
        <v/>
      </c>
      <c r="BT115" s="68" t="str" vm="13939">
        <f>CUBEVALUE(ConnectionString,ReportMonth,Table1[[#This Row],[Site ID (from DATIM)]],"[Measures].[TX_CURR_M_A]")</f>
        <v/>
      </c>
      <c r="BU115" s="68" t="str" vm="18746">
        <f>CUBEVALUE(ConnectionString,ReportMonth,Table1[[#This Row],[Site ID (from DATIM)]],"[Measures].[MMS_01_89_F_P]")</f>
        <v/>
      </c>
      <c r="BV115" s="68" t="str" vm="19031">
        <f>CUBEVALUE(ConnectionString,ReportMonth,Table1[[#This Row],[Site ID (from DATIM)]],"[Measures].[MMS_01_89_M_P]")</f>
        <v/>
      </c>
      <c r="BW115" s="68" t="str" vm="19645">
        <f>CUBEVALUE(ConnectionString,ReportMonth,Table1[[#This Row],[Site ID (from DATIM)]],"[Measures].[MMS_01_89_F_A]")</f>
        <v/>
      </c>
      <c r="BX115" s="68" t="str" vm="17967">
        <f>CUBEVALUE(ConnectionString,ReportMonth,Table1[[#This Row],[Site ID (from DATIM)]],"[Measures].[MMS_01_89_M_A]")</f>
        <v/>
      </c>
      <c r="BY115" s="68" t="str" vm="19899">
        <f>CUBEVALUE(ConnectionString,ReportMonth,Table1[[#This Row],[Site ID (from DATIM)]],"[Measures].[MMS_90_179_F_P]")</f>
        <v/>
      </c>
      <c r="BZ115" s="68" t="str" vm="18777">
        <f>CUBEVALUE(ConnectionString,ReportMonth,Table1[[#This Row],[Site ID (from DATIM)]],"[Measures].[MMS_90_179_M_P]")</f>
        <v/>
      </c>
      <c r="CA115" s="68" t="str" vm="17692">
        <f>CUBEVALUE(ConnectionString,ReportMonth,Table1[[#This Row],[Site ID (from DATIM)]],"[Measures].[MMS_90_179_F_A]")</f>
        <v/>
      </c>
      <c r="CB115" s="68" t="str" vm="16804">
        <f>CUBEVALUE(ConnectionString,ReportMonth,Table1[[#This Row],[Site ID (from DATIM)]],"[Measures].[MMS_90_179_M_A]")</f>
        <v/>
      </c>
      <c r="CC115" s="68" t="str" vm="15062">
        <f>CUBEVALUE(ConnectionString,ReportMonth,Table1[[#This Row],[Site ID (from DATIM)]],"[Measures].[MMS_180+_F_P]")</f>
        <v/>
      </c>
      <c r="CD115" s="68" t="str" vm="14944">
        <f>CUBEVALUE(ConnectionString,ReportMonth,Table1[[#This Row],[Site ID (from DATIM)]],"[Measures].[MMS_180+_M_P]")</f>
        <v/>
      </c>
      <c r="CE115" s="68" t="str" vm="14451">
        <f>CUBEVALUE(ConnectionString,ReportMonth,Table1[[#This Row],[Site ID (from DATIM)]],"[Measures].[MMS_180+_F_A]")</f>
        <v/>
      </c>
      <c r="CF115" s="68" t="str" vm="20203">
        <f>CUBEVALUE(ConnectionString,ReportMonth,Table1[[#This Row],[Site ID (from DATIM)]],"[Measures].[MMS_180+_M_A]")</f>
        <v/>
      </c>
      <c r="CG115" s="68" t="str" vm="9013">
        <f>CUBEVALUE(ConnectionString,ReportMonth,Table1[[#This Row],[Site ID (from DATIM)]],"[Measures].[MISSEDAPP]")</f>
        <v/>
      </c>
      <c r="CH115" s="68" t="str" vm="13818">
        <f>CUBEVALUE(ConnectionString,ReportMonth,Table1[[#This Row],[Site ID (from DATIM)]],"[Measures].[MMS_180+_P]")</f>
        <v/>
      </c>
      <c r="CI115" s="68" t="str" vm="12729">
        <f>CUBEVALUE(ConnectionString,ReportMonth,Table1[[#This Row],[Site ID (from DATIM)]],"[Measures].[MMS_180+_A]")</f>
        <v/>
      </c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</row>
    <row r="116" spans="1:107" x14ac:dyDescent="0.25">
      <c r="A116" s="66">
        <v>4</v>
      </c>
      <c r="B116" s="67" t="str" vm="4">
        <f t="shared" si="2"/>
        <v>Mar-2021</v>
      </c>
      <c r="C116" s="67"/>
      <c r="D116" s="67" t="s">
        <v>232</v>
      </c>
      <c r="E116" s="67" t="s">
        <v>233</v>
      </c>
      <c r="F116" s="67" t="s">
        <v>831</v>
      </c>
      <c r="G116" s="67"/>
      <c r="H116" s="67" t="s">
        <v>856</v>
      </c>
      <c r="I116" s="67" t="s">
        <v>857</v>
      </c>
      <c r="J116" s="67" t="s">
        <v>874</v>
      </c>
      <c r="K116" s="67" t="s">
        <v>875</v>
      </c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 t="str" vm="3167">
        <f>CUBEVALUE(ConnectionString,ReportMonth,Table1[[#This Row],[Site ID (from DATIM)]],"TX_NEW_2VIS")</f>
        <v/>
      </c>
      <c r="AE116" s="67" t="str" vm="587">
        <f>CUBEVALUE(ConnectionString,ReportMonth,Table1[[#This Row],[Site ID (from DATIM)]],INDEX(SDI_Measures,1))</f>
        <v/>
      </c>
      <c r="AF116" s="67" t="str" vm="3660">
        <f>CUBEVALUE(ConnectionString,ReportMonth,Table1[[#This Row],[Site ID (from DATIM)]],INDEX(SDI_Measures,2))</f>
        <v/>
      </c>
      <c r="AG116" s="67" t="str" vm="6005">
        <f>CUBEVALUE(ConnectionString,ReportMonth,Table1[[#This Row],[Site ID (from DATIM)]],INDEX(SDI_Measures,3))</f>
        <v/>
      </c>
      <c r="AH116" s="67" t="str" vm="1867">
        <f>CUBEVALUE(ConnectionString,ReportMonth,Table1[[#This Row],[Site ID (from DATIM)]],"TX_CURR_PRIOR_MONTH")</f>
        <v/>
      </c>
      <c r="AI116" s="67" t="str" vm="3413">
        <f>CUBEVALUE(ConnectionString,ReportMonth,Table1[[#This Row],[Site ID (from DATIM)]],"TX_CURR")</f>
        <v/>
      </c>
      <c r="AJ116" s="67" t="str" vm="1421">
        <f>CUBEVALUE(ConnectionString,ReportMonth,Table1[[#This Row],[Site ID (from DATIM)]],"[Measures].[TI]")</f>
        <v/>
      </c>
      <c r="AK116" s="67" t="str" vm="3107">
        <f>CUBEVALUE(ConnectionString,ReportMonth,Table1[[#This Row],[Site ID (from DATIM)]],"[Measures].[TO]")</f>
        <v/>
      </c>
      <c r="AL116" s="67" t="str" vm="1994">
        <f>CUBEVALUE(ConnectionString,ReportMonth,Table1[[#This Row],[Site ID (from DATIM)]],"[Measures].[DIED]")</f>
        <v/>
      </c>
      <c r="AM116" s="67" t="str" vm="4086">
        <f>CUBEVALUE(ConnectionString,ReportMonth,Table1[[#This Row],[Site ID (from DATIM)]],"[Measures].[MMS_01_31]")</f>
        <v/>
      </c>
      <c r="AN116" s="67" t="str" vm="7110">
        <f>CUBEVALUE(ConnectionString,ReportMonth,Table1[[#This Row],[Site ID (from DATIM)]],"[Measures].[MMS_32_62]")</f>
        <v/>
      </c>
      <c r="AO116" s="67" t="str" vm="7395">
        <f>CUBEVALUE(ConnectionString,ReportMonth,Table1[[#This Row],[Site ID (from DATIM)]],"[Measures].[MMS_63+]")</f>
        <v/>
      </c>
      <c r="AP116" s="67" t="str" vm="7807">
        <f>CUBEVALUE(ConnectionString,ReportMonth,Table1[[#This Row],[Site ID (from DATIM)]],"[Measures].[TBPREV_D]")</f>
        <v/>
      </c>
      <c r="AQ116" s="67" t="str" vm="4968">
        <f>CUBEVALUE(ConnectionString,ReportMonth,Table1[[#This Row],[Site ID (from DATIM)]],"[Measures].[TBPREV_N]")</f>
        <v/>
      </c>
      <c r="AR116" s="67" t="str" vm="5636">
        <f>CUBEVALUE(ConnectionString,ReportMonth,Table1[[#This Row],[Site ID (from DATIM)]],"[Measures].[TBPREV_NEW]")</f>
        <v/>
      </c>
      <c r="AS116" s="67" t="str" vm="7537">
        <f>CUBEVALUE(ConnectionString,ReportMonth,Table1[[#This Row],[Site ID (from DATIM)]],"[Measures].[HVL_ELIG_P]")</f>
        <v/>
      </c>
      <c r="AT116" s="67" t="str" vm="7530">
        <f>CUBEVALUE(ConnectionString,ReportMonth,Table1[[#This Row],[Site ID (from DATIM)]],"[Measures].[HVL_D_P]")</f>
        <v/>
      </c>
      <c r="AU116" s="67" t="str" vm="11685">
        <f>CUBEVALUE(ConnectionString,ReportMonth,Table1[[#This Row],[Site ID (from DATIM)]],"[Measures].[HVL_N_P]")</f>
        <v/>
      </c>
      <c r="AV116" s="68" t="str" vm="9081">
        <f>CUBEVALUE(ConnectionString,ReportMonth,Table1[[#This Row],[Site ID (from DATIM)]],"[Measures].[HVL_ELIG_A]")</f>
        <v/>
      </c>
      <c r="AW116" s="68" t="str" vm="10143">
        <f>CUBEVALUE(ConnectionString,ReportMonth,Table1[[#This Row],[Site ID (from DATIM)]],"[Measures].[HVL_D_A]")</f>
        <v/>
      </c>
      <c r="AX116" s="68" t="str" vm="7729">
        <f>CUBEVALUE(ConnectionString,ReportMonth,Table1[[#This Row],[Site ID (from DATIM)]],"[Measures].[HVL_N_A]")</f>
        <v/>
      </c>
      <c r="AY116" s="67"/>
      <c r="AZ116" s="67"/>
      <c r="BA116" s="67"/>
      <c r="BB116" s="67"/>
      <c r="BC116" s="67"/>
      <c r="BD116" s="67"/>
      <c r="BE116" s="67"/>
      <c r="BF116" s="67"/>
      <c r="BG116" s="67" t="str" vm="13833">
        <f>CUBEVALUE(ConnectionString,ReportMonth,Table1[[#This Row],[Site ID (from DATIM)]],"[Measures].[TX_NEW_F_A]")</f>
        <v/>
      </c>
      <c r="BH116" s="67" t="str" vm="11479">
        <f>CUBEVALUE(ConnectionString,ReportMonth,Table1[[#This Row],[Site ID (from DATIM)]],"[Measures].[TX_NEW_M_A]")</f>
        <v/>
      </c>
      <c r="BI116" s="67" t="str" vm="13638">
        <f>CUBEVALUE(ConnectionString,ReportMonth,Table1[[#This Row],[Site ID (from DATIM)]],"[Measures].[TX_NEW_F_P]")</f>
        <v/>
      </c>
      <c r="BJ116" s="68" t="str" vm="14830">
        <f>CUBEVALUE(ConnectionString,ReportMonth,Table1[[#This Row],[Site ID (from DATIM)]],"[Measures].[TX_NEW_M_P]")</f>
        <v/>
      </c>
      <c r="BK116" s="68"/>
      <c r="BL116" s="68"/>
      <c r="BM116" s="68"/>
      <c r="BN116" s="68"/>
      <c r="BO116" s="68"/>
      <c r="BP116" s="68"/>
      <c r="BQ116" s="68" t="str" vm="8573">
        <f>CUBEVALUE(ConnectionString,ReportMonth,Table1[[#This Row],[Site ID (from DATIM)]],"[Measures].[TX_CURR_F_P]")</f>
        <v/>
      </c>
      <c r="BR116" s="68" t="str" vm="11631">
        <f>CUBEVALUE(ConnectionString,ReportMonth,Table1[[#This Row],[Site ID (from DATIM)]],"[Measures].[TX_CURR_M_P]")</f>
        <v/>
      </c>
      <c r="BS116" s="68" t="str" vm="7479">
        <f>CUBEVALUE(ConnectionString,ReportMonth,Table1[[#This Row],[Site ID (from DATIM)]],"[Measures].[TX_CURR_F_A]")</f>
        <v/>
      </c>
      <c r="BT116" s="68" t="str" vm="12884">
        <f>CUBEVALUE(ConnectionString,ReportMonth,Table1[[#This Row],[Site ID (from DATIM)]],"[Measures].[TX_CURR_M_A]")</f>
        <v/>
      </c>
      <c r="BU116" s="68" t="str" vm="18079">
        <f>CUBEVALUE(ConnectionString,ReportMonth,Table1[[#This Row],[Site ID (from DATIM)]],"[Measures].[MMS_01_89_F_P]")</f>
        <v/>
      </c>
      <c r="BV116" s="68" t="str" vm="19977">
        <f>CUBEVALUE(ConnectionString,ReportMonth,Table1[[#This Row],[Site ID (from DATIM)]],"[Measures].[MMS_01_89_M_P]")</f>
        <v/>
      </c>
      <c r="BW116" s="68" t="str" vm="19407">
        <f>CUBEVALUE(ConnectionString,ReportMonth,Table1[[#This Row],[Site ID (from DATIM)]],"[Measures].[MMS_01_89_F_A]")</f>
        <v/>
      </c>
      <c r="BX116" s="68" t="str" vm="19375">
        <f>CUBEVALUE(ConnectionString,ReportMonth,Table1[[#This Row],[Site ID (from DATIM)]],"[Measures].[MMS_01_89_M_A]")</f>
        <v/>
      </c>
      <c r="BY116" s="68" t="str" vm="17806">
        <f>CUBEVALUE(ConnectionString,ReportMonth,Table1[[#This Row],[Site ID (from DATIM)]],"[Measures].[MMS_90_179_F_P]")</f>
        <v/>
      </c>
      <c r="BZ116" s="68" t="str" vm="14772">
        <f>CUBEVALUE(ConnectionString,ReportMonth,Table1[[#This Row],[Site ID (from DATIM)]],"[Measures].[MMS_90_179_M_P]")</f>
        <v/>
      </c>
      <c r="CA116" s="68" t="str" vm="17300">
        <f>CUBEVALUE(ConnectionString,ReportMonth,Table1[[#This Row],[Site ID (from DATIM)]],"[Measures].[MMS_90_179_F_A]")</f>
        <v/>
      </c>
      <c r="CB116" s="68" t="str" vm="14721">
        <f>CUBEVALUE(ConnectionString,ReportMonth,Table1[[#This Row],[Site ID (from DATIM)]],"[Measures].[MMS_90_179_M_A]")</f>
        <v/>
      </c>
      <c r="CC116" s="68" t="str" vm="14601">
        <f>CUBEVALUE(ConnectionString,ReportMonth,Table1[[#This Row],[Site ID (from DATIM)]],"[Measures].[MMS_180+_F_P]")</f>
        <v/>
      </c>
      <c r="CD116" s="68" t="str" vm="17557">
        <f>CUBEVALUE(ConnectionString,ReportMonth,Table1[[#This Row],[Site ID (from DATIM)]],"[Measures].[MMS_180+_M_P]")</f>
        <v/>
      </c>
      <c r="CE116" s="68" t="str" vm="269">
        <f>CUBEVALUE(ConnectionString,ReportMonth,Table1[[#This Row],[Site ID (from DATIM)]],"[Measures].[MMS_180+_F_A]")</f>
        <v/>
      </c>
      <c r="CF116" s="68" t="str" vm="14445">
        <f>CUBEVALUE(ConnectionString,ReportMonth,Table1[[#This Row],[Site ID (from DATIM)]],"[Measures].[MMS_180+_M_A]")</f>
        <v/>
      </c>
      <c r="CG116" s="68" t="str" vm="6000">
        <f>CUBEVALUE(ConnectionString,ReportMonth,Table1[[#This Row],[Site ID (from DATIM)]],"[Measures].[MISSEDAPP]")</f>
        <v/>
      </c>
      <c r="CH116" s="68" t="str" vm="12490">
        <f>CUBEVALUE(ConnectionString,ReportMonth,Table1[[#This Row],[Site ID (from DATIM)]],"[Measures].[MMS_180+_P]")</f>
        <v/>
      </c>
      <c r="CI116" s="68" t="str" vm="11984">
        <f>CUBEVALUE(ConnectionString,ReportMonth,Table1[[#This Row],[Site ID (from DATIM)]],"[Measures].[MMS_180+_A]")</f>
        <v/>
      </c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</row>
    <row r="117" spans="1:107" x14ac:dyDescent="0.25">
      <c r="A117" s="66">
        <v>4</v>
      </c>
      <c r="B117" s="67" t="str" vm="4">
        <f t="shared" si="2"/>
        <v>Mar-2021</v>
      </c>
      <c r="C117" s="67"/>
      <c r="D117" s="67" t="s">
        <v>232</v>
      </c>
      <c r="E117" s="67" t="s">
        <v>233</v>
      </c>
      <c r="F117" s="67" t="s">
        <v>437</v>
      </c>
      <c r="G117" s="67"/>
      <c r="H117" s="67" t="s">
        <v>513</v>
      </c>
      <c r="I117" s="67" t="s">
        <v>568</v>
      </c>
      <c r="J117" s="67" t="s">
        <v>569</v>
      </c>
      <c r="K117" s="67" t="s">
        <v>570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 t="str" vm="1291">
        <f>CUBEVALUE(ConnectionString,ReportMonth,Table1[[#This Row],[Site ID (from DATIM)]],"TX_NEW_2VIS")</f>
        <v/>
      </c>
      <c r="AE117" s="67" t="str" vm="242">
        <f>CUBEVALUE(ConnectionString,ReportMonth,Table1[[#This Row],[Site ID (from DATIM)]],INDEX(SDI_Measures,1))</f>
        <v/>
      </c>
      <c r="AF117" s="67" t="str" vm="1020">
        <f>CUBEVALUE(ConnectionString,ReportMonth,Table1[[#This Row],[Site ID (from DATIM)]],INDEX(SDI_Measures,2))</f>
        <v/>
      </c>
      <c r="AG117" s="67" t="str" vm="5683">
        <f>CUBEVALUE(ConnectionString,ReportMonth,Table1[[#This Row],[Site ID (from DATIM)]],INDEX(SDI_Measures,3))</f>
        <v/>
      </c>
      <c r="AH117" s="67" vm="4471">
        <f>CUBEVALUE(ConnectionString,ReportMonth,Table1[[#This Row],[Site ID (from DATIM)]],"TX_CURR_PRIOR_MONTH")</f>
        <v>36</v>
      </c>
      <c r="AI117" s="67" vm="2718">
        <f>CUBEVALUE(ConnectionString,ReportMonth,Table1[[#This Row],[Site ID (from DATIM)]],"TX_CURR")</f>
        <v>28</v>
      </c>
      <c r="AJ117" s="67" t="str" vm="3480">
        <f>CUBEVALUE(ConnectionString,ReportMonth,Table1[[#This Row],[Site ID (from DATIM)]],"[Measures].[TI]")</f>
        <v/>
      </c>
      <c r="AK117" s="67" t="str" vm="3075">
        <f>CUBEVALUE(ConnectionString,ReportMonth,Table1[[#This Row],[Site ID (from DATIM)]],"[Measures].[TO]")</f>
        <v/>
      </c>
      <c r="AL117" s="67" t="str" vm="3708">
        <f>CUBEVALUE(ConnectionString,ReportMonth,Table1[[#This Row],[Site ID (from DATIM)]],"[Measures].[DIED]")</f>
        <v/>
      </c>
      <c r="AM117" s="67" vm="9889">
        <f>CUBEVALUE(ConnectionString,ReportMonth,Table1[[#This Row],[Site ID (from DATIM)]],"[Measures].[MMS_01_31]")</f>
        <v>28</v>
      </c>
      <c r="AN117" s="67" t="str" vm="4140">
        <f>CUBEVALUE(ConnectionString,ReportMonth,Table1[[#This Row],[Site ID (from DATIM)]],"[Measures].[MMS_32_62]")</f>
        <v/>
      </c>
      <c r="AO117" s="67" t="str" vm="5404">
        <f>CUBEVALUE(ConnectionString,ReportMonth,Table1[[#This Row],[Site ID (from DATIM)]],"[Measures].[MMS_63+]")</f>
        <v/>
      </c>
      <c r="AP117" s="67" t="str" vm="5572">
        <f>CUBEVALUE(ConnectionString,ReportMonth,Table1[[#This Row],[Site ID (from DATIM)]],"[Measures].[TBPREV_D]")</f>
        <v/>
      </c>
      <c r="AQ117" s="67" t="str" vm="5288">
        <f>CUBEVALUE(ConnectionString,ReportMonth,Table1[[#This Row],[Site ID (from DATIM)]],"[Measures].[TBPREV_N]")</f>
        <v/>
      </c>
      <c r="AR117" s="67" t="str" vm="7420">
        <f>CUBEVALUE(ConnectionString,ReportMonth,Table1[[#This Row],[Site ID (from DATIM)]],"[Measures].[TBPREV_NEW]")</f>
        <v/>
      </c>
      <c r="AS117" s="67" t="str" vm="5127">
        <f>CUBEVALUE(ConnectionString,ReportMonth,Table1[[#This Row],[Site ID (from DATIM)]],"[Measures].[HVL_ELIG_P]")</f>
        <v/>
      </c>
      <c r="AT117" s="67" t="str" vm="7705">
        <f>CUBEVALUE(ConnectionString,ReportMonth,Table1[[#This Row],[Site ID (from DATIM)]],"[Measures].[HVL_D_P]")</f>
        <v/>
      </c>
      <c r="AU117" s="67" t="str" vm="9768">
        <f>CUBEVALUE(ConnectionString,ReportMonth,Table1[[#This Row],[Site ID (from DATIM)]],"[Measures].[HVL_N_P]")</f>
        <v/>
      </c>
      <c r="AV117" s="68" vm="11113">
        <f>CUBEVALUE(ConnectionString,ReportMonth,Table1[[#This Row],[Site ID (from DATIM)]],"[Measures].[HVL_ELIG_A]")</f>
        <v>15</v>
      </c>
      <c r="AW117" s="68" t="str" vm="8363">
        <f>CUBEVALUE(ConnectionString,ReportMonth,Table1[[#This Row],[Site ID (from DATIM)]],"[Measures].[HVL_D_A]")</f>
        <v/>
      </c>
      <c r="AX117" s="68" t="str" vm="8126">
        <f>CUBEVALUE(ConnectionString,ReportMonth,Table1[[#This Row],[Site ID (from DATIM)]],"[Measures].[HVL_N_A]")</f>
        <v/>
      </c>
      <c r="AY117" s="67"/>
      <c r="AZ117" s="67"/>
      <c r="BA117" s="67"/>
      <c r="BB117" s="67"/>
      <c r="BC117" s="67"/>
      <c r="BD117" s="67"/>
      <c r="BE117" s="67"/>
      <c r="BF117" s="67"/>
      <c r="BG117" s="67" t="str" vm="10617">
        <f>CUBEVALUE(ConnectionString,ReportMonth,Table1[[#This Row],[Site ID (from DATIM)]],"[Measures].[TX_NEW_F_A]")</f>
        <v/>
      </c>
      <c r="BH117" s="67" t="str" vm="11913">
        <f>CUBEVALUE(ConnectionString,ReportMonth,Table1[[#This Row],[Site ID (from DATIM)]],"[Measures].[TX_NEW_M_A]")</f>
        <v/>
      </c>
      <c r="BI117" s="67" t="str" vm="13582">
        <f>CUBEVALUE(ConnectionString,ReportMonth,Table1[[#This Row],[Site ID (from DATIM)]],"[Measures].[TX_NEW_F_P]")</f>
        <v/>
      </c>
      <c r="BJ117" s="68" t="str" vm="16615">
        <f>CUBEVALUE(ConnectionString,ReportMonth,Table1[[#This Row],[Site ID (from DATIM)]],"[Measures].[TX_NEW_M_P]")</f>
        <v/>
      </c>
      <c r="BK117" s="68"/>
      <c r="BL117" s="68"/>
      <c r="BM117" s="68"/>
      <c r="BN117" s="68"/>
      <c r="BO117" s="68"/>
      <c r="BP117" s="68"/>
      <c r="BQ117" s="68" vm="14160">
        <f>CUBEVALUE(ConnectionString,ReportMonth,Table1[[#This Row],[Site ID (from DATIM)]],"[Measures].[TX_CURR_F_P]")</f>
        <v>1</v>
      </c>
      <c r="BR117" s="68" vm="7917">
        <f>CUBEVALUE(ConnectionString,ReportMonth,Table1[[#This Row],[Site ID (from DATIM)]],"[Measures].[TX_CURR_M_P]")</f>
        <v>1</v>
      </c>
      <c r="BS117" s="68" vm="10073">
        <f>CUBEVALUE(ConnectionString,ReportMonth,Table1[[#This Row],[Site ID (from DATIM)]],"[Measures].[TX_CURR_F_A]")</f>
        <v>23</v>
      </c>
      <c r="BT117" s="68" vm="11134">
        <f>CUBEVALUE(ConnectionString,ReportMonth,Table1[[#This Row],[Site ID (from DATIM)]],"[Measures].[TX_CURR_M_A]")</f>
        <v>3</v>
      </c>
      <c r="BU117" s="68" vm="18371">
        <f>CUBEVALUE(ConnectionString,ReportMonth,Table1[[#This Row],[Site ID (from DATIM)]],"[Measures].[MMS_01_89_F_P]")</f>
        <v>1</v>
      </c>
      <c r="BV117" s="68" vm="16100">
        <f>CUBEVALUE(ConnectionString,ReportMonth,Table1[[#This Row],[Site ID (from DATIM)]],"[Measures].[MMS_01_89_M_P]")</f>
        <v>1</v>
      </c>
      <c r="BW117" s="68" vm="18945">
        <f>CUBEVALUE(ConnectionString,ReportMonth,Table1[[#This Row],[Site ID (from DATIM)]],"[Measures].[MMS_01_89_F_A]")</f>
        <v>23</v>
      </c>
      <c r="BX117" s="68" vm="14781">
        <f>CUBEVALUE(ConnectionString,ReportMonth,Table1[[#This Row],[Site ID (from DATIM)]],"[Measures].[MMS_01_89_M_A]")</f>
        <v>3</v>
      </c>
      <c r="BY117" s="68" t="str" vm="15230">
        <f>CUBEVALUE(ConnectionString,ReportMonth,Table1[[#This Row],[Site ID (from DATIM)]],"[Measures].[MMS_90_179_F_P]")</f>
        <v/>
      </c>
      <c r="BZ117" s="68" t="str" vm="19066">
        <f>CUBEVALUE(ConnectionString,ReportMonth,Table1[[#This Row],[Site ID (from DATIM)]],"[Measures].[MMS_90_179_M_P]")</f>
        <v/>
      </c>
      <c r="CA117" s="68" t="str" vm="17319">
        <f>CUBEVALUE(ConnectionString,ReportMonth,Table1[[#This Row],[Site ID (from DATIM)]],"[Measures].[MMS_90_179_F_A]")</f>
        <v/>
      </c>
      <c r="CB117" s="68" t="str" vm="16007">
        <f>CUBEVALUE(ConnectionString,ReportMonth,Table1[[#This Row],[Site ID (from DATIM)]],"[Measures].[MMS_90_179_M_A]")</f>
        <v/>
      </c>
      <c r="CC117" s="68" t="str" vm="15834">
        <f>CUBEVALUE(ConnectionString,ReportMonth,Table1[[#This Row],[Site ID (from DATIM)]],"[Measures].[MMS_180+_F_P]")</f>
        <v/>
      </c>
      <c r="CD117" s="68" t="str" vm="15829">
        <f>CUBEVALUE(ConnectionString,ReportMonth,Table1[[#This Row],[Site ID (from DATIM)]],"[Measures].[MMS_180+_M_P]")</f>
        <v/>
      </c>
      <c r="CE117" s="68" t="str" vm="252">
        <f>CUBEVALUE(ConnectionString,ReportMonth,Table1[[#This Row],[Site ID (from DATIM)]],"[Measures].[MMS_180+_F_A]")</f>
        <v/>
      </c>
      <c r="CF117" s="68" t="str" vm="165">
        <f>CUBEVALUE(ConnectionString,ReportMonth,Table1[[#This Row],[Site ID (from DATIM)]],"[Measures].[MMS_180+_M_A]")</f>
        <v/>
      </c>
      <c r="CG117" s="68" vm="6493">
        <f>CUBEVALUE(ConnectionString,ReportMonth,Table1[[#This Row],[Site ID (from DATIM)]],"[Measures].[MISSEDAPP]")</f>
        <v>28</v>
      </c>
      <c r="CH117" s="68" t="str" vm="14854">
        <f>CUBEVALUE(ConnectionString,ReportMonth,Table1[[#This Row],[Site ID (from DATIM)]],"[Measures].[MMS_180+_P]")</f>
        <v/>
      </c>
      <c r="CI117" s="68" t="str" vm="12792">
        <f>CUBEVALUE(ConnectionString,ReportMonth,Table1[[#This Row],[Site ID (from DATIM)]],"[Measures].[MMS_180+_A]")</f>
        <v/>
      </c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</row>
    <row r="118" spans="1:107" x14ac:dyDescent="0.25">
      <c r="A118" s="66">
        <v>4</v>
      </c>
      <c r="B118" s="67" t="str" vm="4">
        <f t="shared" si="2"/>
        <v>Mar-2021</v>
      </c>
      <c r="C118" s="67"/>
      <c r="D118" s="67" t="s">
        <v>232</v>
      </c>
      <c r="E118" s="67" t="s">
        <v>233</v>
      </c>
      <c r="F118" s="67" t="s">
        <v>437</v>
      </c>
      <c r="G118" s="67"/>
      <c r="H118" s="67" t="s">
        <v>438</v>
      </c>
      <c r="I118" s="67" t="s">
        <v>571</v>
      </c>
      <c r="J118" s="67" t="s">
        <v>572</v>
      </c>
      <c r="K118" s="67" t="s">
        <v>573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 t="str" vm="4251">
        <f>CUBEVALUE(ConnectionString,ReportMonth,Table1[[#This Row],[Site ID (from DATIM)]],"TX_NEW_2VIS")</f>
        <v/>
      </c>
      <c r="AE118" s="67" t="str" vm="1415">
        <f>CUBEVALUE(ConnectionString,ReportMonth,Table1[[#This Row],[Site ID (from DATIM)]],INDEX(SDI_Measures,1))</f>
        <v/>
      </c>
      <c r="AF118" s="67" t="str" vm="518">
        <f>CUBEVALUE(ConnectionString,ReportMonth,Table1[[#This Row],[Site ID (from DATIM)]],INDEX(SDI_Measures,2))</f>
        <v/>
      </c>
      <c r="AG118" s="67" t="str" vm="3357">
        <f>CUBEVALUE(ConnectionString,ReportMonth,Table1[[#This Row],[Site ID (from DATIM)]],INDEX(SDI_Measures,3))</f>
        <v/>
      </c>
      <c r="AH118" s="67" vm="1694">
        <f>CUBEVALUE(ConnectionString,ReportMonth,Table1[[#This Row],[Site ID (from DATIM)]],"TX_CURR_PRIOR_MONTH")</f>
        <v>6</v>
      </c>
      <c r="AI118" s="67" vm="3448">
        <f>CUBEVALUE(ConnectionString,ReportMonth,Table1[[#This Row],[Site ID (from DATIM)]],"TX_CURR")</f>
        <v>4</v>
      </c>
      <c r="AJ118" s="67" t="str" vm="1109">
        <f>CUBEVALUE(ConnectionString,ReportMonth,Table1[[#This Row],[Site ID (from DATIM)]],"[Measures].[TI]")</f>
        <v/>
      </c>
      <c r="AK118" s="67" t="str" vm="4024">
        <f>CUBEVALUE(ConnectionString,ReportMonth,Table1[[#This Row],[Site ID (from DATIM)]],"[Measures].[TO]")</f>
        <v/>
      </c>
      <c r="AL118" s="67" t="str" vm="4536">
        <f>CUBEVALUE(ConnectionString,ReportMonth,Table1[[#This Row],[Site ID (from DATIM)]],"[Measures].[DIED]")</f>
        <v/>
      </c>
      <c r="AM118" s="67" vm="4778">
        <f>CUBEVALUE(ConnectionString,ReportMonth,Table1[[#This Row],[Site ID (from DATIM)]],"[Measures].[MMS_01_31]")</f>
        <v>4</v>
      </c>
      <c r="AN118" s="67" t="str" vm="6305">
        <f>CUBEVALUE(ConnectionString,ReportMonth,Table1[[#This Row],[Site ID (from DATIM)]],"[Measures].[MMS_32_62]")</f>
        <v/>
      </c>
      <c r="AO118" s="67" t="str" vm="8540">
        <f>CUBEVALUE(ConnectionString,ReportMonth,Table1[[#This Row],[Site ID (from DATIM)]],"[Measures].[MMS_63+]")</f>
        <v/>
      </c>
      <c r="AP118" s="67" t="str" vm="6292">
        <f>CUBEVALUE(ConnectionString,ReportMonth,Table1[[#This Row],[Site ID (from DATIM)]],"[Measures].[TBPREV_D]")</f>
        <v/>
      </c>
      <c r="AQ118" s="67" t="str" vm="5249">
        <f>CUBEVALUE(ConnectionString,ReportMonth,Table1[[#This Row],[Site ID (from DATIM)]],"[Measures].[TBPREV_N]")</f>
        <v/>
      </c>
      <c r="AR118" s="67" t="str" vm="8947">
        <f>CUBEVALUE(ConnectionString,ReportMonth,Table1[[#This Row],[Site ID (from DATIM)]],"[Measures].[TBPREV_NEW]")</f>
        <v/>
      </c>
      <c r="AS118" s="67" t="str" vm="9625">
        <f>CUBEVALUE(ConnectionString,ReportMonth,Table1[[#This Row],[Site ID (from DATIM)]],"[Measures].[HVL_ELIG_P]")</f>
        <v/>
      </c>
      <c r="AT118" s="67" t="str" vm="9187">
        <f>CUBEVALUE(ConnectionString,ReportMonth,Table1[[#This Row],[Site ID (from DATIM)]],"[Measures].[HVL_D_P]")</f>
        <v/>
      </c>
      <c r="AU118" s="67" t="str" vm="11579">
        <f>CUBEVALUE(ConnectionString,ReportMonth,Table1[[#This Row],[Site ID (from DATIM)]],"[Measures].[HVL_N_P]")</f>
        <v/>
      </c>
      <c r="AV118" s="68" vm="16184">
        <f>CUBEVALUE(ConnectionString,ReportMonth,Table1[[#This Row],[Site ID (from DATIM)]],"[Measures].[HVL_ELIG_A]")</f>
        <v>1</v>
      </c>
      <c r="AW118" s="68" vm="10330">
        <f>CUBEVALUE(ConnectionString,ReportMonth,Table1[[#This Row],[Site ID (from DATIM)]],"[Measures].[HVL_D_A]")</f>
        <v>2</v>
      </c>
      <c r="AX118" s="68" vm="8566">
        <f>CUBEVALUE(ConnectionString,ReportMonth,Table1[[#This Row],[Site ID (from DATIM)]],"[Measures].[HVL_N_A]")</f>
        <v>2</v>
      </c>
      <c r="AY118" s="67"/>
      <c r="AZ118" s="67"/>
      <c r="BA118" s="67"/>
      <c r="BB118" s="67"/>
      <c r="BC118" s="67"/>
      <c r="BD118" s="67"/>
      <c r="BE118" s="67"/>
      <c r="BF118" s="67"/>
      <c r="BG118" s="67" t="str" vm="10669">
        <f>CUBEVALUE(ConnectionString,ReportMonth,Table1[[#This Row],[Site ID (from DATIM)]],"[Measures].[TX_NEW_F_A]")</f>
        <v/>
      </c>
      <c r="BH118" s="67" t="str" vm="12342">
        <f>CUBEVALUE(ConnectionString,ReportMonth,Table1[[#This Row],[Site ID (from DATIM)]],"[Measures].[TX_NEW_M_A]")</f>
        <v/>
      </c>
      <c r="BI118" s="67" t="str" vm="13961">
        <f>CUBEVALUE(ConnectionString,ReportMonth,Table1[[#This Row],[Site ID (from DATIM)]],"[Measures].[TX_NEW_F_P]")</f>
        <v/>
      </c>
      <c r="BJ118" s="68" t="str" vm="14853">
        <f>CUBEVALUE(ConnectionString,ReportMonth,Table1[[#This Row],[Site ID (from DATIM)]],"[Measures].[TX_NEW_M_P]")</f>
        <v/>
      </c>
      <c r="BK118" s="68"/>
      <c r="BL118" s="68"/>
      <c r="BM118" s="68"/>
      <c r="BN118" s="68"/>
      <c r="BO118" s="68"/>
      <c r="BP118" s="68"/>
      <c r="BQ118" s="68" t="str" vm="12518">
        <f>CUBEVALUE(ConnectionString,ReportMonth,Table1[[#This Row],[Site ID (from DATIM)]],"[Measures].[TX_CURR_F_P]")</f>
        <v/>
      </c>
      <c r="BR118" s="68" t="str" vm="10737">
        <f>CUBEVALUE(ConnectionString,ReportMonth,Table1[[#This Row],[Site ID (from DATIM)]],"[Measures].[TX_CURR_M_P]")</f>
        <v/>
      </c>
      <c r="BS118" s="68" vm="13859">
        <f>CUBEVALUE(ConnectionString,ReportMonth,Table1[[#This Row],[Site ID (from DATIM)]],"[Measures].[TX_CURR_F_A]")</f>
        <v>4</v>
      </c>
      <c r="BT118" s="68" t="str" vm="11170">
        <f>CUBEVALUE(ConnectionString,ReportMonth,Table1[[#This Row],[Site ID (from DATIM)]],"[Measures].[TX_CURR_M_A]")</f>
        <v/>
      </c>
      <c r="BU118" s="68" t="str" vm="20139">
        <f>CUBEVALUE(ConnectionString,ReportMonth,Table1[[#This Row],[Site ID (from DATIM)]],"[Measures].[MMS_01_89_F_P]")</f>
        <v/>
      </c>
      <c r="BV118" s="68" t="str" vm="18336">
        <f>CUBEVALUE(ConnectionString,ReportMonth,Table1[[#This Row],[Site ID (from DATIM)]],"[Measures].[MMS_01_89_M_P]")</f>
        <v/>
      </c>
      <c r="BW118" s="68" vm="19409">
        <f>CUBEVALUE(ConnectionString,ReportMonth,Table1[[#This Row],[Site ID (from DATIM)]],"[Measures].[MMS_01_89_F_A]")</f>
        <v>4</v>
      </c>
      <c r="BX118" s="68" t="str" vm="18928">
        <f>CUBEVALUE(ConnectionString,ReportMonth,Table1[[#This Row],[Site ID (from DATIM)]],"[Measures].[MMS_01_89_M_A]")</f>
        <v/>
      </c>
      <c r="BY118" s="68" t="str" vm="19385">
        <f>CUBEVALUE(ConnectionString,ReportMonth,Table1[[#This Row],[Site ID (from DATIM)]],"[Measures].[MMS_90_179_F_P]")</f>
        <v/>
      </c>
      <c r="BZ118" s="68" t="str" vm="19611">
        <f>CUBEVALUE(ConnectionString,ReportMonth,Table1[[#This Row],[Site ID (from DATIM)]],"[Measures].[MMS_90_179_M_P]")</f>
        <v/>
      </c>
      <c r="CA118" s="68" t="str" vm="19053">
        <f>CUBEVALUE(ConnectionString,ReportMonth,Table1[[#This Row],[Site ID (from DATIM)]],"[Measures].[MMS_90_179_F_A]")</f>
        <v/>
      </c>
      <c r="CB118" s="68" t="str" vm="14679">
        <f>CUBEVALUE(ConnectionString,ReportMonth,Table1[[#This Row],[Site ID (from DATIM)]],"[Measures].[MMS_90_179_M_A]")</f>
        <v/>
      </c>
      <c r="CC118" s="68" t="str" vm="15881">
        <f>CUBEVALUE(ConnectionString,ReportMonth,Table1[[#This Row],[Site ID (from DATIM)]],"[Measures].[MMS_180+_F_P]")</f>
        <v/>
      </c>
      <c r="CD118" s="68" t="str" vm="14481">
        <f>CUBEVALUE(ConnectionString,ReportMonth,Table1[[#This Row],[Site ID (from DATIM)]],"[Measures].[MMS_180+_M_P]")</f>
        <v/>
      </c>
      <c r="CE118" s="68" t="str" vm="15742">
        <f>CUBEVALUE(ConnectionString,ReportMonth,Table1[[#This Row],[Site ID (from DATIM)]],"[Measures].[MMS_180+_F_A]")</f>
        <v/>
      </c>
      <c r="CF118" s="68" t="str" vm="16299">
        <f>CUBEVALUE(ConnectionString,ReportMonth,Table1[[#This Row],[Site ID (from DATIM)]],"[Measures].[MMS_180+_M_A]")</f>
        <v/>
      </c>
      <c r="CG118" s="68" vm="9180">
        <f>CUBEVALUE(ConnectionString,ReportMonth,Table1[[#This Row],[Site ID (from DATIM)]],"[Measures].[MISSEDAPP]")</f>
        <v>4</v>
      </c>
      <c r="CH118" s="68" t="str" vm="10654">
        <f>CUBEVALUE(ConnectionString,ReportMonth,Table1[[#This Row],[Site ID (from DATIM)]],"[Measures].[MMS_180+_P]")</f>
        <v/>
      </c>
      <c r="CI118" s="68" t="str" vm="13160">
        <f>CUBEVALUE(ConnectionString,ReportMonth,Table1[[#This Row],[Site ID (from DATIM)]],"[Measures].[MMS_180+_A]")</f>
        <v/>
      </c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</row>
    <row r="119" spans="1:107" x14ac:dyDescent="0.25">
      <c r="A119" s="66">
        <v>4</v>
      </c>
      <c r="B119" s="67" t="str" vm="4">
        <f t="shared" si="2"/>
        <v>Mar-2021</v>
      </c>
      <c r="C119" s="67"/>
      <c r="D119" s="67" t="s">
        <v>232</v>
      </c>
      <c r="E119" s="67" t="s">
        <v>233</v>
      </c>
      <c r="F119" s="67" t="s">
        <v>437</v>
      </c>
      <c r="G119" s="67"/>
      <c r="H119" s="67" t="s">
        <v>513</v>
      </c>
      <c r="I119" s="67" t="s">
        <v>574</v>
      </c>
      <c r="J119" s="67" t="s">
        <v>575</v>
      </c>
      <c r="K119" s="67" t="s">
        <v>576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 t="str" vm="397">
        <f>CUBEVALUE(ConnectionString,ReportMonth,Table1[[#This Row],[Site ID (from DATIM)]],"TX_NEW_2VIS")</f>
        <v/>
      </c>
      <c r="AE119" s="67" t="str" vm="872">
        <f>CUBEVALUE(ConnectionString,ReportMonth,Table1[[#This Row],[Site ID (from DATIM)]],INDEX(SDI_Measures,1))</f>
        <v/>
      </c>
      <c r="AF119" s="67" t="str" vm="339">
        <f>CUBEVALUE(ConnectionString,ReportMonth,Table1[[#This Row],[Site ID (from DATIM)]],INDEX(SDI_Measures,2))</f>
        <v/>
      </c>
      <c r="AG119" s="67" t="str" vm="3493">
        <f>CUBEVALUE(ConnectionString,ReportMonth,Table1[[#This Row],[Site ID (from DATIM)]],INDEX(SDI_Measures,3))</f>
        <v/>
      </c>
      <c r="AH119" s="67" t="str" vm="1862">
        <f>CUBEVALUE(ConnectionString,ReportMonth,Table1[[#This Row],[Site ID (from DATIM)]],"TX_CURR_PRIOR_MONTH")</f>
        <v/>
      </c>
      <c r="AI119" s="67" t="str" vm="3884">
        <f>CUBEVALUE(ConnectionString,ReportMonth,Table1[[#This Row],[Site ID (from DATIM)]],"TX_CURR")</f>
        <v/>
      </c>
      <c r="AJ119" s="67" t="str" vm="4087">
        <f>CUBEVALUE(ConnectionString,ReportMonth,Table1[[#This Row],[Site ID (from DATIM)]],"[Measures].[TI]")</f>
        <v/>
      </c>
      <c r="AK119" s="67" t="str" vm="5967">
        <f>CUBEVALUE(ConnectionString,ReportMonth,Table1[[#This Row],[Site ID (from DATIM)]],"[Measures].[TO]")</f>
        <v/>
      </c>
      <c r="AL119" s="67" t="str" vm="1494">
        <f>CUBEVALUE(ConnectionString,ReportMonth,Table1[[#This Row],[Site ID (from DATIM)]],"[Measures].[DIED]")</f>
        <v/>
      </c>
      <c r="AM119" s="67" t="str" vm="6951">
        <f>CUBEVALUE(ConnectionString,ReportMonth,Table1[[#This Row],[Site ID (from DATIM)]],"[Measures].[MMS_01_31]")</f>
        <v/>
      </c>
      <c r="AN119" s="67" t="str" vm="5906">
        <f>CUBEVALUE(ConnectionString,ReportMonth,Table1[[#This Row],[Site ID (from DATIM)]],"[Measures].[MMS_32_62]")</f>
        <v/>
      </c>
      <c r="AO119" s="67" t="str" vm="6969">
        <f>CUBEVALUE(ConnectionString,ReportMonth,Table1[[#This Row],[Site ID (from DATIM)]],"[Measures].[MMS_63+]")</f>
        <v/>
      </c>
      <c r="AP119" s="67" t="str" vm="5251">
        <f>CUBEVALUE(ConnectionString,ReportMonth,Table1[[#This Row],[Site ID (from DATIM)]],"[Measures].[TBPREV_D]")</f>
        <v/>
      </c>
      <c r="AQ119" s="67" t="str" vm="6681">
        <f>CUBEVALUE(ConnectionString,ReportMonth,Table1[[#This Row],[Site ID (from DATIM)]],"[Measures].[TBPREV_N]")</f>
        <v/>
      </c>
      <c r="AR119" s="67" t="str" vm="6629">
        <f>CUBEVALUE(ConnectionString,ReportMonth,Table1[[#This Row],[Site ID (from DATIM)]],"[Measures].[TBPREV_NEW]")</f>
        <v/>
      </c>
      <c r="AS119" s="67" t="str" vm="9595">
        <f>CUBEVALUE(ConnectionString,ReportMonth,Table1[[#This Row],[Site ID (from DATIM)]],"[Measures].[HVL_ELIG_P]")</f>
        <v/>
      </c>
      <c r="AT119" s="67" t="str" vm="13723">
        <f>CUBEVALUE(ConnectionString,ReportMonth,Table1[[#This Row],[Site ID (from DATIM)]],"[Measures].[HVL_D_P]")</f>
        <v/>
      </c>
      <c r="AU119" s="67" t="str" vm="11135">
        <f>CUBEVALUE(ConnectionString,ReportMonth,Table1[[#This Row],[Site ID (from DATIM)]],"[Measures].[HVL_N_P]")</f>
        <v/>
      </c>
      <c r="AV119" s="68" t="str" vm="10788">
        <f>CUBEVALUE(ConnectionString,ReportMonth,Table1[[#This Row],[Site ID (from DATIM)]],"[Measures].[HVL_ELIG_A]")</f>
        <v/>
      </c>
      <c r="AW119" s="68" t="str" vm="15301">
        <f>CUBEVALUE(ConnectionString,ReportMonth,Table1[[#This Row],[Site ID (from DATIM)]],"[Measures].[HVL_D_A]")</f>
        <v/>
      </c>
      <c r="AX119" s="68" t="str" vm="8318">
        <f>CUBEVALUE(ConnectionString,ReportMonth,Table1[[#This Row],[Site ID (from DATIM)]],"[Measures].[HVL_N_A]")</f>
        <v/>
      </c>
      <c r="AY119" s="67"/>
      <c r="AZ119" s="67"/>
      <c r="BA119" s="67"/>
      <c r="BB119" s="67"/>
      <c r="BC119" s="67"/>
      <c r="BD119" s="67"/>
      <c r="BE119" s="67"/>
      <c r="BF119" s="67"/>
      <c r="BG119" s="67" t="str" vm="13188">
        <f>CUBEVALUE(ConnectionString,ReportMonth,Table1[[#This Row],[Site ID (from DATIM)]],"[Measures].[TX_NEW_F_A]")</f>
        <v/>
      </c>
      <c r="BH119" s="67" t="str" vm="16555">
        <f>CUBEVALUE(ConnectionString,ReportMonth,Table1[[#This Row],[Site ID (from DATIM)]],"[Measures].[TX_NEW_M_A]")</f>
        <v/>
      </c>
      <c r="BI119" s="67" t="str" vm="17016">
        <f>CUBEVALUE(ConnectionString,ReportMonth,Table1[[#This Row],[Site ID (from DATIM)]],"[Measures].[TX_NEW_F_P]")</f>
        <v/>
      </c>
      <c r="BJ119" s="68" t="str" vm="16550">
        <f>CUBEVALUE(ConnectionString,ReportMonth,Table1[[#This Row],[Site ID (from DATIM)]],"[Measures].[TX_NEW_M_P]")</f>
        <v/>
      </c>
      <c r="BK119" s="68"/>
      <c r="BL119" s="68"/>
      <c r="BM119" s="68"/>
      <c r="BN119" s="68"/>
      <c r="BO119" s="68"/>
      <c r="BP119" s="68"/>
      <c r="BQ119" s="68" t="str" vm="8853">
        <f>CUBEVALUE(ConnectionString,ReportMonth,Table1[[#This Row],[Site ID (from DATIM)]],"[Measures].[TX_CURR_F_P]")</f>
        <v/>
      </c>
      <c r="BR119" s="68" t="str" vm="13393">
        <f>CUBEVALUE(ConnectionString,ReportMonth,Table1[[#This Row],[Site ID (from DATIM)]],"[Measures].[TX_CURR_M_P]")</f>
        <v/>
      </c>
      <c r="BS119" s="68" t="str" vm="11265">
        <f>CUBEVALUE(ConnectionString,ReportMonth,Table1[[#This Row],[Site ID (from DATIM)]],"[Measures].[TX_CURR_F_A]")</f>
        <v/>
      </c>
      <c r="BT119" s="68" t="str" vm="8916">
        <f>CUBEVALUE(ConnectionString,ReportMonth,Table1[[#This Row],[Site ID (from DATIM)]],"[Measures].[TX_CURR_M_A]")</f>
        <v/>
      </c>
      <c r="BU119" s="68" t="str" vm="18299">
        <f>CUBEVALUE(ConnectionString,ReportMonth,Table1[[#This Row],[Site ID (from DATIM)]],"[Measures].[MMS_01_89_F_P]")</f>
        <v/>
      </c>
      <c r="BV119" s="68" t="str" vm="19830">
        <f>CUBEVALUE(ConnectionString,ReportMonth,Table1[[#This Row],[Site ID (from DATIM)]],"[Measures].[MMS_01_89_M_P]")</f>
        <v/>
      </c>
      <c r="BW119" s="68" t="str" vm="19218">
        <f>CUBEVALUE(ConnectionString,ReportMonth,Table1[[#This Row],[Site ID (from DATIM)]],"[Measures].[MMS_01_89_F_A]")</f>
        <v/>
      </c>
      <c r="BX119" s="68" t="str" vm="18315">
        <f>CUBEVALUE(ConnectionString,ReportMonth,Table1[[#This Row],[Site ID (from DATIM)]],"[Measures].[MMS_01_89_M_A]")</f>
        <v/>
      </c>
      <c r="BY119" s="68" t="str" vm="17932">
        <f>CUBEVALUE(ConnectionString,ReportMonth,Table1[[#This Row],[Site ID (from DATIM)]],"[Measures].[MMS_90_179_F_P]")</f>
        <v/>
      </c>
      <c r="BZ119" s="68" t="str" vm="18463">
        <f>CUBEVALUE(ConnectionString,ReportMonth,Table1[[#This Row],[Site ID (from DATIM)]],"[Measures].[MMS_90_179_M_P]")</f>
        <v/>
      </c>
      <c r="CA119" s="68" t="str" vm="16879">
        <f>CUBEVALUE(ConnectionString,ReportMonth,Table1[[#This Row],[Site ID (from DATIM)]],"[Measures].[MMS_90_179_F_A]")</f>
        <v/>
      </c>
      <c r="CB119" s="68" t="str" vm="16828">
        <f>CUBEVALUE(ConnectionString,ReportMonth,Table1[[#This Row],[Site ID (from DATIM)]],"[Measures].[MMS_90_179_M_A]")</f>
        <v/>
      </c>
      <c r="CC119" s="68" t="str" vm="16793">
        <f>CUBEVALUE(ConnectionString,ReportMonth,Table1[[#This Row],[Site ID (from DATIM)]],"[Measures].[MMS_180+_F_P]")</f>
        <v/>
      </c>
      <c r="CD119" s="68" t="str" vm="17138">
        <f>CUBEVALUE(ConnectionString,ReportMonth,Table1[[#This Row],[Site ID (from DATIM)]],"[Measures].[MMS_180+_M_P]")</f>
        <v/>
      </c>
      <c r="CE119" s="68" t="str" vm="16235">
        <f>CUBEVALUE(ConnectionString,ReportMonth,Table1[[#This Row],[Site ID (from DATIM)]],"[Measures].[MMS_180+_F_A]")</f>
        <v/>
      </c>
      <c r="CF119" s="68" t="str" vm="20175">
        <f>CUBEVALUE(ConnectionString,ReportMonth,Table1[[#This Row],[Site ID (from DATIM)]],"[Measures].[MMS_180+_M_A]")</f>
        <v/>
      </c>
      <c r="CG119" s="68" t="str" vm="9745">
        <f>CUBEVALUE(ConnectionString,ReportMonth,Table1[[#This Row],[Site ID (from DATIM)]],"[Measures].[MISSEDAPP]")</f>
        <v/>
      </c>
      <c r="CH119" s="68" t="str" vm="11694">
        <f>CUBEVALUE(ConnectionString,ReportMonth,Table1[[#This Row],[Site ID (from DATIM)]],"[Measures].[MMS_180+_P]")</f>
        <v/>
      </c>
      <c r="CI119" s="68" t="str" vm="12982">
        <f>CUBEVALUE(ConnectionString,ReportMonth,Table1[[#This Row],[Site ID (from DATIM)]],"[Measures].[MMS_180+_A]")</f>
        <v/>
      </c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  <c r="CW119" s="68"/>
      <c r="CX119" s="68"/>
      <c r="CY119" s="68"/>
      <c r="CZ119" s="68"/>
      <c r="DA119" s="68"/>
      <c r="DB119" s="68"/>
      <c r="DC119" s="68"/>
    </row>
    <row r="120" spans="1:107" x14ac:dyDescent="0.25">
      <c r="A120" s="66">
        <v>4</v>
      </c>
      <c r="B120" s="67" t="str" vm="4">
        <f t="shared" si="2"/>
        <v>Mar-2021</v>
      </c>
      <c r="C120" s="67"/>
      <c r="D120" s="67" t="s">
        <v>232</v>
      </c>
      <c r="E120" s="67" t="s">
        <v>233</v>
      </c>
      <c r="F120" s="67" t="s">
        <v>1286</v>
      </c>
      <c r="G120" s="67"/>
      <c r="H120" s="67" t="s">
        <v>1303</v>
      </c>
      <c r="I120" s="67" t="s">
        <v>1348</v>
      </c>
      <c r="J120" s="67" t="s">
        <v>1349</v>
      </c>
      <c r="K120" s="67" t="s">
        <v>1350</v>
      </c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 t="str" vm="858">
        <f>CUBEVALUE(ConnectionString,ReportMonth,Table1[[#This Row],[Site ID (from DATIM)]],"TX_NEW_2VIS")</f>
        <v/>
      </c>
      <c r="AE120" s="67" t="str" vm="3148">
        <f>CUBEVALUE(ConnectionString,ReportMonth,Table1[[#This Row],[Site ID (from DATIM)]],INDEX(SDI_Measures,1))</f>
        <v/>
      </c>
      <c r="AF120" s="67" t="str" vm="759">
        <f>CUBEVALUE(ConnectionString,ReportMonth,Table1[[#This Row],[Site ID (from DATIM)]],INDEX(SDI_Measures,2))</f>
        <v/>
      </c>
      <c r="AG120" s="67" t="str" vm="870">
        <f>CUBEVALUE(ConnectionString,ReportMonth,Table1[[#This Row],[Site ID (from DATIM)]],INDEX(SDI_Measures,3))</f>
        <v/>
      </c>
      <c r="AH120" s="67" t="str" vm="2068">
        <f>CUBEVALUE(ConnectionString,ReportMonth,Table1[[#This Row],[Site ID (from DATIM)]],"TX_CURR_PRIOR_MONTH")</f>
        <v/>
      </c>
      <c r="AI120" s="67" t="str" vm="4405">
        <f>CUBEVALUE(ConnectionString,ReportMonth,Table1[[#This Row],[Site ID (from DATIM)]],"TX_CURR")</f>
        <v/>
      </c>
      <c r="AJ120" s="67" t="str" vm="3540">
        <f>CUBEVALUE(ConnectionString,ReportMonth,Table1[[#This Row],[Site ID (from DATIM)]],"[Measures].[TI]")</f>
        <v/>
      </c>
      <c r="AK120" s="67" t="str" vm="1739">
        <f>CUBEVALUE(ConnectionString,ReportMonth,Table1[[#This Row],[Site ID (from DATIM)]],"[Measures].[TO]")</f>
        <v/>
      </c>
      <c r="AL120" s="67" t="str" vm="2453">
        <f>CUBEVALUE(ConnectionString,ReportMonth,Table1[[#This Row],[Site ID (from DATIM)]],"[Measures].[DIED]")</f>
        <v/>
      </c>
      <c r="AM120" s="67" t="str" vm="6889">
        <f>CUBEVALUE(ConnectionString,ReportMonth,Table1[[#This Row],[Site ID (from DATIM)]],"[Measures].[MMS_01_31]")</f>
        <v/>
      </c>
      <c r="AN120" s="67" t="str" vm="7854">
        <f>CUBEVALUE(ConnectionString,ReportMonth,Table1[[#This Row],[Site ID (from DATIM)]],"[Measures].[MMS_32_62]")</f>
        <v/>
      </c>
      <c r="AO120" s="67" t="str" vm="9677">
        <f>CUBEVALUE(ConnectionString,ReportMonth,Table1[[#This Row],[Site ID (from DATIM)]],"[Measures].[MMS_63+]")</f>
        <v/>
      </c>
      <c r="AP120" s="67" t="str" vm="4611">
        <f>CUBEVALUE(ConnectionString,ReportMonth,Table1[[#This Row],[Site ID (from DATIM)]],"[Measures].[TBPREV_D]")</f>
        <v/>
      </c>
      <c r="AQ120" s="67" t="str" vm="5335">
        <f>CUBEVALUE(ConnectionString,ReportMonth,Table1[[#This Row],[Site ID (from DATIM)]],"[Measures].[TBPREV_N]")</f>
        <v/>
      </c>
      <c r="AR120" s="67" t="str" vm="7172">
        <f>CUBEVALUE(ConnectionString,ReportMonth,Table1[[#This Row],[Site ID (from DATIM)]],"[Measures].[TBPREV_NEW]")</f>
        <v/>
      </c>
      <c r="AS120" s="67" t="str" vm="5456">
        <f>CUBEVALUE(ConnectionString,ReportMonth,Table1[[#This Row],[Site ID (from DATIM)]],"[Measures].[HVL_ELIG_P]")</f>
        <v/>
      </c>
      <c r="AT120" s="67" t="str" vm="14875">
        <f>CUBEVALUE(ConnectionString,ReportMonth,Table1[[#This Row],[Site ID (from DATIM)]],"[Measures].[HVL_D_P]")</f>
        <v/>
      </c>
      <c r="AU120" s="67" t="str" vm="8322">
        <f>CUBEVALUE(ConnectionString,ReportMonth,Table1[[#This Row],[Site ID (from DATIM)]],"[Measures].[HVL_N_P]")</f>
        <v/>
      </c>
      <c r="AV120" s="68" t="str" vm="8926">
        <f>CUBEVALUE(ConnectionString,ReportMonth,Table1[[#This Row],[Site ID (from DATIM)]],"[Measures].[HVL_ELIG_A]")</f>
        <v/>
      </c>
      <c r="AW120" s="68" t="str" vm="9136">
        <f>CUBEVALUE(ConnectionString,ReportMonth,Table1[[#This Row],[Site ID (from DATIM)]],"[Measures].[HVL_D_A]")</f>
        <v/>
      </c>
      <c r="AX120" s="68" t="str" vm="10301">
        <f>CUBEVALUE(ConnectionString,ReportMonth,Table1[[#This Row],[Site ID (from DATIM)]],"[Measures].[HVL_N_A]")</f>
        <v/>
      </c>
      <c r="AY120" s="67"/>
      <c r="AZ120" s="67"/>
      <c r="BA120" s="67"/>
      <c r="BB120" s="67"/>
      <c r="BC120" s="67"/>
      <c r="BD120" s="67"/>
      <c r="BE120" s="67"/>
      <c r="BF120" s="67"/>
      <c r="BG120" s="67" t="str" vm="13003">
        <f>CUBEVALUE(ConnectionString,ReportMonth,Table1[[#This Row],[Site ID (from DATIM)]],"[Measures].[TX_NEW_F_A]")</f>
        <v/>
      </c>
      <c r="BH120" s="67" t="str" vm="10629">
        <f>CUBEVALUE(ConnectionString,ReportMonth,Table1[[#This Row],[Site ID (from DATIM)]],"[Measures].[TX_NEW_M_A]")</f>
        <v/>
      </c>
      <c r="BI120" s="67" t="str" vm="13105">
        <f>CUBEVALUE(ConnectionString,ReportMonth,Table1[[#This Row],[Site ID (from DATIM)]],"[Measures].[TX_NEW_F_P]")</f>
        <v/>
      </c>
      <c r="BJ120" s="68" t="str" vm="13177">
        <f>CUBEVALUE(ConnectionString,ReportMonth,Table1[[#This Row],[Site ID (from DATIM)]],"[Measures].[TX_NEW_M_P]")</f>
        <v/>
      </c>
      <c r="BK120" s="68"/>
      <c r="BL120" s="68"/>
      <c r="BM120" s="68"/>
      <c r="BN120" s="68"/>
      <c r="BO120" s="68"/>
      <c r="BP120" s="68"/>
      <c r="BQ120" s="68" t="str" vm="9758">
        <f>CUBEVALUE(ConnectionString,ReportMonth,Table1[[#This Row],[Site ID (from DATIM)]],"[Measures].[TX_CURR_F_P]")</f>
        <v/>
      </c>
      <c r="BR120" s="68" t="str" vm="10260">
        <f>CUBEVALUE(ConnectionString,ReportMonth,Table1[[#This Row],[Site ID (from DATIM)]],"[Measures].[TX_CURR_M_P]")</f>
        <v/>
      </c>
      <c r="BS120" s="68" t="str" vm="11200">
        <f>CUBEVALUE(ConnectionString,ReportMonth,Table1[[#This Row],[Site ID (from DATIM)]],"[Measures].[TX_CURR_F_A]")</f>
        <v/>
      </c>
      <c r="BT120" s="68" t="str" vm="10595">
        <f>CUBEVALUE(ConnectionString,ReportMonth,Table1[[#This Row],[Site ID (from DATIM)]],"[Measures].[TX_CURR_M_A]")</f>
        <v/>
      </c>
      <c r="BU120" s="68" t="str" vm="18697">
        <f>CUBEVALUE(ConnectionString,ReportMonth,Table1[[#This Row],[Site ID (from DATIM)]],"[Measures].[MMS_01_89_F_P]")</f>
        <v/>
      </c>
      <c r="BV120" s="68" t="str" vm="19565">
        <f>CUBEVALUE(ConnectionString,ReportMonth,Table1[[#This Row],[Site ID (from DATIM)]],"[Measures].[MMS_01_89_M_P]")</f>
        <v/>
      </c>
      <c r="BW120" s="68" t="str" vm="19449">
        <f>CUBEVALUE(ConnectionString,ReportMonth,Table1[[#This Row],[Site ID (from DATIM)]],"[Measures].[MMS_01_89_F_A]")</f>
        <v/>
      </c>
      <c r="BX120" s="68" t="str" vm="19884">
        <f>CUBEVALUE(ConnectionString,ReportMonth,Table1[[#This Row],[Site ID (from DATIM)]],"[Measures].[MMS_01_89_M_A]")</f>
        <v/>
      </c>
      <c r="BY120" s="68" t="str" vm="17777">
        <f>CUBEVALUE(ConnectionString,ReportMonth,Table1[[#This Row],[Site ID (from DATIM)]],"[Measures].[MMS_90_179_F_P]")</f>
        <v/>
      </c>
      <c r="BZ120" s="68" t="str" vm="16830">
        <f>CUBEVALUE(ConnectionString,ReportMonth,Table1[[#This Row],[Site ID (from DATIM)]],"[Measures].[MMS_90_179_M_P]")</f>
        <v/>
      </c>
      <c r="CA120" s="68" t="str" vm="15184">
        <f>CUBEVALUE(ConnectionString,ReportMonth,Table1[[#This Row],[Site ID (from DATIM)]],"[Measures].[MMS_90_179_F_A]")</f>
        <v/>
      </c>
      <c r="CB120" s="68" t="str" vm="14581">
        <f>CUBEVALUE(ConnectionString,ReportMonth,Table1[[#This Row],[Site ID (from DATIM)]],"[Measures].[MMS_90_179_M_A]")</f>
        <v/>
      </c>
      <c r="CC120" s="68" t="str" vm="15086">
        <f>CUBEVALUE(ConnectionString,ReportMonth,Table1[[#This Row],[Site ID (from DATIM)]],"[Measures].[MMS_180+_F_P]")</f>
        <v/>
      </c>
      <c r="CD120" s="68" t="str" vm="95">
        <f>CUBEVALUE(ConnectionString,ReportMonth,Table1[[#This Row],[Site ID (from DATIM)]],"[Measures].[MMS_180+_M_P]")</f>
        <v/>
      </c>
      <c r="CE120" s="68" t="str" vm="17143">
        <f>CUBEVALUE(ConnectionString,ReportMonth,Table1[[#This Row],[Site ID (from DATIM)]],"[Measures].[MMS_180+_F_A]")</f>
        <v/>
      </c>
      <c r="CF120" s="68" t="str" vm="94">
        <f>CUBEVALUE(ConnectionString,ReportMonth,Table1[[#This Row],[Site ID (from DATIM)]],"[Measures].[MMS_180+_M_A]")</f>
        <v/>
      </c>
      <c r="CG120" s="68" t="str" vm="10032">
        <f>CUBEVALUE(ConnectionString,ReportMonth,Table1[[#This Row],[Site ID (from DATIM)]],"[Measures].[MISSEDAPP]")</f>
        <v/>
      </c>
      <c r="CH120" s="68" t="str" vm="10984">
        <f>CUBEVALUE(ConnectionString,ReportMonth,Table1[[#This Row],[Site ID (from DATIM)]],"[Measures].[MMS_180+_P]")</f>
        <v/>
      </c>
      <c r="CI120" s="68" t="str" vm="13653">
        <f>CUBEVALUE(ConnectionString,ReportMonth,Table1[[#This Row],[Site ID (from DATIM)]],"[Measures].[MMS_180+_A]")</f>
        <v/>
      </c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</row>
    <row r="121" spans="1:107" x14ac:dyDescent="0.25">
      <c r="A121" s="66">
        <v>4</v>
      </c>
      <c r="B121" s="67" t="str" vm="4">
        <f t="shared" si="2"/>
        <v>Mar-2021</v>
      </c>
      <c r="C121" s="67"/>
      <c r="D121" s="67" t="s">
        <v>232</v>
      </c>
      <c r="E121" s="67" t="s">
        <v>233</v>
      </c>
      <c r="F121" s="67" t="s">
        <v>1286</v>
      </c>
      <c r="G121" s="67"/>
      <c r="H121" s="67" t="s">
        <v>1344</v>
      </c>
      <c r="I121" s="67" t="s">
        <v>1351</v>
      </c>
      <c r="J121" s="67" t="s">
        <v>1352</v>
      </c>
      <c r="K121" s="67" t="s">
        <v>1353</v>
      </c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 t="str" vm="1047">
        <f>CUBEVALUE(ConnectionString,ReportMonth,Table1[[#This Row],[Site ID (from DATIM)]],"TX_NEW_2VIS")</f>
        <v/>
      </c>
      <c r="AE121" s="67" t="str" vm="333">
        <f>CUBEVALUE(ConnectionString,ReportMonth,Table1[[#This Row],[Site ID (from DATIM)]],INDEX(SDI_Measures,1))</f>
        <v/>
      </c>
      <c r="AF121" s="67" t="str" vm="952">
        <f>CUBEVALUE(ConnectionString,ReportMonth,Table1[[#This Row],[Site ID (from DATIM)]],INDEX(SDI_Measures,2))</f>
        <v/>
      </c>
      <c r="AG121" s="67" t="str" vm="1062">
        <f>CUBEVALUE(ConnectionString,ReportMonth,Table1[[#This Row],[Site ID (from DATIM)]],INDEX(SDI_Measures,3))</f>
        <v/>
      </c>
      <c r="AH121" s="67" t="str" vm="4112">
        <f>CUBEVALUE(ConnectionString,ReportMonth,Table1[[#This Row],[Site ID (from DATIM)]],"TX_CURR_PRIOR_MONTH")</f>
        <v/>
      </c>
      <c r="AI121" s="67" t="str" vm="2178">
        <f>CUBEVALUE(ConnectionString,ReportMonth,Table1[[#This Row],[Site ID (from DATIM)]],"TX_CURR")</f>
        <v/>
      </c>
      <c r="AJ121" s="67" t="str" vm="3142">
        <f>CUBEVALUE(ConnectionString,ReportMonth,Table1[[#This Row],[Site ID (from DATIM)]],"[Measures].[TI]")</f>
        <v/>
      </c>
      <c r="AK121" s="67" t="str" vm="2444">
        <f>CUBEVALUE(ConnectionString,ReportMonth,Table1[[#This Row],[Site ID (from DATIM)]],"[Measures].[TO]")</f>
        <v/>
      </c>
      <c r="AL121" s="67" t="str" vm="2015">
        <f>CUBEVALUE(ConnectionString,ReportMonth,Table1[[#This Row],[Site ID (from DATIM)]],"[Measures].[DIED]")</f>
        <v/>
      </c>
      <c r="AM121" s="67" t="str" vm="4000">
        <f>CUBEVALUE(ConnectionString,ReportMonth,Table1[[#This Row],[Site ID (from DATIM)]],"[Measures].[MMS_01_31]")</f>
        <v/>
      </c>
      <c r="AN121" s="67" t="str" vm="6948">
        <f>CUBEVALUE(ConnectionString,ReportMonth,Table1[[#This Row],[Site ID (from DATIM)]],"[Measures].[MMS_32_62]")</f>
        <v/>
      </c>
      <c r="AO121" s="67" t="str" vm="7470">
        <f>CUBEVALUE(ConnectionString,ReportMonth,Table1[[#This Row],[Site ID (from DATIM)]],"[Measures].[MMS_63+]")</f>
        <v/>
      </c>
      <c r="AP121" s="67" t="str" vm="7776">
        <f>CUBEVALUE(ConnectionString,ReportMonth,Table1[[#This Row],[Site ID (from DATIM)]],"[Measures].[TBPREV_D]")</f>
        <v/>
      </c>
      <c r="AQ121" s="67" t="str" vm="5026">
        <f>CUBEVALUE(ConnectionString,ReportMonth,Table1[[#This Row],[Site ID (from DATIM)]],"[Measures].[TBPREV_N]")</f>
        <v/>
      </c>
      <c r="AR121" s="67" t="str" vm="9337">
        <f>CUBEVALUE(ConnectionString,ReportMonth,Table1[[#This Row],[Site ID (from DATIM)]],"[Measures].[TBPREV_NEW]")</f>
        <v/>
      </c>
      <c r="AS121" s="67" t="str" vm="6449">
        <f>CUBEVALUE(ConnectionString,ReportMonth,Table1[[#This Row],[Site ID (from DATIM)]],"[Measures].[HVL_ELIG_P]")</f>
        <v/>
      </c>
      <c r="AT121" s="67" t="str" vm="5557">
        <f>CUBEVALUE(ConnectionString,ReportMonth,Table1[[#This Row],[Site ID (from DATIM)]],"[Measures].[HVL_D_P]")</f>
        <v/>
      </c>
      <c r="AU121" s="67" t="str" vm="9705">
        <f>CUBEVALUE(ConnectionString,ReportMonth,Table1[[#This Row],[Site ID (from DATIM)]],"[Measures].[HVL_N_P]")</f>
        <v/>
      </c>
      <c r="AV121" s="68" t="str" vm="11275">
        <f>CUBEVALUE(ConnectionString,ReportMonth,Table1[[#This Row],[Site ID (from DATIM)]],"[Measures].[HVL_ELIG_A]")</f>
        <v/>
      </c>
      <c r="AW121" s="68" t="str" vm="10966">
        <f>CUBEVALUE(ConnectionString,ReportMonth,Table1[[#This Row],[Site ID (from DATIM)]],"[Measures].[HVL_D_A]")</f>
        <v/>
      </c>
      <c r="AX121" s="68" t="str" vm="7513">
        <f>CUBEVALUE(ConnectionString,ReportMonth,Table1[[#This Row],[Site ID (from DATIM)]],"[Measures].[HVL_N_A]")</f>
        <v/>
      </c>
      <c r="AY121" s="67"/>
      <c r="AZ121" s="67"/>
      <c r="BA121" s="67"/>
      <c r="BB121" s="67"/>
      <c r="BC121" s="67"/>
      <c r="BD121" s="67"/>
      <c r="BE121" s="67"/>
      <c r="BF121" s="67"/>
      <c r="BG121" s="67" t="str" vm="10863">
        <f>CUBEVALUE(ConnectionString,ReportMonth,Table1[[#This Row],[Site ID (from DATIM)]],"[Measures].[TX_NEW_F_A]")</f>
        <v/>
      </c>
      <c r="BH121" s="67" t="str" vm="10431">
        <f>CUBEVALUE(ConnectionString,ReportMonth,Table1[[#This Row],[Site ID (from DATIM)]],"[Measures].[TX_NEW_M_A]")</f>
        <v/>
      </c>
      <c r="BI121" s="67" t="str" vm="13732">
        <f>CUBEVALUE(ConnectionString,ReportMonth,Table1[[#This Row],[Site ID (from DATIM)]],"[Measures].[TX_NEW_F_P]")</f>
        <v/>
      </c>
      <c r="BJ121" s="68" t="str" vm="13131">
        <f>CUBEVALUE(ConnectionString,ReportMonth,Table1[[#This Row],[Site ID (from DATIM)]],"[Measures].[TX_NEW_M_P]")</f>
        <v/>
      </c>
      <c r="BK121" s="68"/>
      <c r="BL121" s="68"/>
      <c r="BM121" s="68"/>
      <c r="BN121" s="68"/>
      <c r="BO121" s="68"/>
      <c r="BP121" s="68"/>
      <c r="BQ121" s="68" t="str" vm="8019">
        <f>CUBEVALUE(ConnectionString,ReportMonth,Table1[[#This Row],[Site ID (from DATIM)]],"[Measures].[TX_CURR_F_P]")</f>
        <v/>
      </c>
      <c r="BR121" s="68" t="str" vm="10417">
        <f>CUBEVALUE(ConnectionString,ReportMonth,Table1[[#This Row],[Site ID (from DATIM)]],"[Measures].[TX_CURR_M_P]")</f>
        <v/>
      </c>
      <c r="BS121" s="68" t="str" vm="12968">
        <f>CUBEVALUE(ConnectionString,ReportMonth,Table1[[#This Row],[Site ID (from DATIM)]],"[Measures].[TX_CURR_F_A]")</f>
        <v/>
      </c>
      <c r="BT121" s="68" t="str" vm="13025">
        <f>CUBEVALUE(ConnectionString,ReportMonth,Table1[[#This Row],[Site ID (from DATIM)]],"[Measures].[TX_CURR_M_A]")</f>
        <v/>
      </c>
      <c r="BU121" s="68" t="str" vm="18965">
        <f>CUBEVALUE(ConnectionString,ReportMonth,Table1[[#This Row],[Site ID (from DATIM)]],"[Measures].[MMS_01_89_F_P]")</f>
        <v/>
      </c>
      <c r="BV121" s="68" t="str" vm="18703">
        <f>CUBEVALUE(ConnectionString,ReportMonth,Table1[[#This Row],[Site ID (from DATIM)]],"[Measures].[MMS_01_89_M_P]")</f>
        <v/>
      </c>
      <c r="BW121" s="68" t="str" vm="18478">
        <f>CUBEVALUE(ConnectionString,ReportMonth,Table1[[#This Row],[Site ID (from DATIM)]],"[Measures].[MMS_01_89_F_A]")</f>
        <v/>
      </c>
      <c r="BX121" s="68" t="str" vm="18889">
        <f>CUBEVALUE(ConnectionString,ReportMonth,Table1[[#This Row],[Site ID (from DATIM)]],"[Measures].[MMS_01_89_M_A]")</f>
        <v/>
      </c>
      <c r="BY121" s="68" t="str" vm="16848">
        <f>CUBEVALUE(ConnectionString,ReportMonth,Table1[[#This Row],[Site ID (from DATIM)]],"[Measures].[MMS_90_179_F_P]")</f>
        <v/>
      </c>
      <c r="BZ121" s="68" t="str" vm="16030">
        <f>CUBEVALUE(ConnectionString,ReportMonth,Table1[[#This Row],[Site ID (from DATIM)]],"[Measures].[MMS_90_179_M_P]")</f>
        <v/>
      </c>
      <c r="CA121" s="68" t="str" vm="15238">
        <f>CUBEVALUE(ConnectionString,ReportMonth,Table1[[#This Row],[Site ID (from DATIM)]],"[Measures].[MMS_90_179_F_A]")</f>
        <v/>
      </c>
      <c r="CB121" s="68" t="str" vm="14677">
        <f>CUBEVALUE(ConnectionString,ReportMonth,Table1[[#This Row],[Site ID (from DATIM)]],"[Measures].[MMS_90_179_M_A]")</f>
        <v/>
      </c>
      <c r="CC121" s="68" t="str" vm="17662">
        <f>CUBEVALUE(ConnectionString,ReportMonth,Table1[[#This Row],[Site ID (from DATIM)]],"[Measures].[MMS_180+_F_P]")</f>
        <v/>
      </c>
      <c r="CD121" s="68" t="str" vm="15873">
        <f>CUBEVALUE(ConnectionString,ReportMonth,Table1[[#This Row],[Site ID (from DATIM)]],"[Measures].[MMS_180+_M_P]")</f>
        <v/>
      </c>
      <c r="CE121" s="68" t="str" vm="15810">
        <f>CUBEVALUE(ConnectionString,ReportMonth,Table1[[#This Row],[Site ID (from DATIM)]],"[Measures].[MMS_180+_F_A]")</f>
        <v/>
      </c>
      <c r="CF121" s="68" t="str" vm="17466">
        <f>CUBEVALUE(ConnectionString,ReportMonth,Table1[[#This Row],[Site ID (from DATIM)]],"[Measures].[MMS_180+_M_A]")</f>
        <v/>
      </c>
      <c r="CG121" s="68" t="str" vm="6932">
        <f>CUBEVALUE(ConnectionString,ReportMonth,Table1[[#This Row],[Site ID (from DATIM)]],"[Measures].[MISSEDAPP]")</f>
        <v/>
      </c>
      <c r="CH121" s="68" t="str" vm="11445">
        <f>CUBEVALUE(ConnectionString,ReportMonth,Table1[[#This Row],[Site ID (from DATIM)]],"[Measures].[MMS_180+_P]")</f>
        <v/>
      </c>
      <c r="CI121" s="68" t="str" vm="13671">
        <f>CUBEVALUE(ConnectionString,ReportMonth,Table1[[#This Row],[Site ID (from DATIM)]],"[Measures].[MMS_180+_A]")</f>
        <v/>
      </c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</row>
    <row r="122" spans="1:107" x14ac:dyDescent="0.25">
      <c r="A122" s="66">
        <v>2</v>
      </c>
      <c r="B122" s="67" t="str" vm="4">
        <f t="shared" si="2"/>
        <v>Mar-2021</v>
      </c>
      <c r="C122" s="67"/>
      <c r="D122" s="67" t="s">
        <v>232</v>
      </c>
      <c r="E122" s="67" t="s">
        <v>233</v>
      </c>
      <c r="F122" s="67" t="s">
        <v>234</v>
      </c>
      <c r="G122" s="67"/>
      <c r="H122" s="67" t="s">
        <v>239</v>
      </c>
      <c r="I122" s="67" t="s">
        <v>243</v>
      </c>
      <c r="J122" s="67" t="s">
        <v>276</v>
      </c>
      <c r="K122" s="67" t="s">
        <v>277</v>
      </c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 vm="3343">
        <f>CUBEVALUE(ConnectionString,ReportMonth,Table1[[#This Row],[Site ID (from DATIM)]],"TX_NEW_2VIS")</f>
        <v>1</v>
      </c>
      <c r="AE122" s="67" t="str" vm="4148">
        <f>CUBEVALUE(ConnectionString,ReportMonth,Table1[[#This Row],[Site ID (from DATIM)]],INDEX(SDI_Measures,1))</f>
        <v/>
      </c>
      <c r="AF122" s="67" t="str" vm="6888">
        <f>CUBEVALUE(ConnectionString,ReportMonth,Table1[[#This Row],[Site ID (from DATIM)]],INDEX(SDI_Measures,2))</f>
        <v/>
      </c>
      <c r="AG122" s="67" t="str" vm="1301">
        <f>CUBEVALUE(ConnectionString,ReportMonth,Table1[[#This Row],[Site ID (from DATIM)]],INDEX(SDI_Measures,3))</f>
        <v/>
      </c>
      <c r="AH122" s="67" vm="3502">
        <f>CUBEVALUE(ConnectionString,ReportMonth,Table1[[#This Row],[Site ID (from DATIM)]],"TX_CURR_PRIOR_MONTH")</f>
        <v>607</v>
      </c>
      <c r="AI122" s="67" vm="2743">
        <f>CUBEVALUE(ConnectionString,ReportMonth,Table1[[#This Row],[Site ID (from DATIM)]],"TX_CURR")</f>
        <v>600</v>
      </c>
      <c r="AJ122" s="67" t="str" vm="2568">
        <f>CUBEVALUE(ConnectionString,ReportMonth,Table1[[#This Row],[Site ID (from DATIM)]],"[Measures].[TI]")</f>
        <v/>
      </c>
      <c r="AK122" s="67" t="str" vm="758">
        <f>CUBEVALUE(ConnectionString,ReportMonth,Table1[[#This Row],[Site ID (from DATIM)]],"[Measures].[TO]")</f>
        <v/>
      </c>
      <c r="AL122" s="67" t="str" vm="3693">
        <f>CUBEVALUE(ConnectionString,ReportMonth,Table1[[#This Row],[Site ID (from DATIM)]],"[Measures].[DIED]")</f>
        <v/>
      </c>
      <c r="AM122" s="67" vm="4755">
        <f>CUBEVALUE(ConnectionString,ReportMonth,Table1[[#This Row],[Site ID (from DATIM)]],"[Measures].[MMS_01_31]")</f>
        <v>84</v>
      </c>
      <c r="AN122" s="67" vm="4628">
        <f>CUBEVALUE(ConnectionString,ReportMonth,Table1[[#This Row],[Site ID (from DATIM)]],"[Measures].[MMS_32_62]")</f>
        <v>3</v>
      </c>
      <c r="AO122" s="67" vm="5915">
        <f>CUBEVALUE(ConnectionString,ReportMonth,Table1[[#This Row],[Site ID (from DATIM)]],"[Measures].[MMS_63+]")</f>
        <v>513</v>
      </c>
      <c r="AP122" s="67" vm="5166">
        <f>CUBEVALUE(ConnectionString,ReportMonth,Table1[[#This Row],[Site ID (from DATIM)]],"[Measures].[TBPREV_D]")</f>
        <v>4</v>
      </c>
      <c r="AQ122" s="67" vm="7634">
        <f>CUBEVALUE(ConnectionString,ReportMonth,Table1[[#This Row],[Site ID (from DATIM)]],"[Measures].[TBPREV_N]")</f>
        <v>4</v>
      </c>
      <c r="AR122" s="67" vm="8941">
        <f>CUBEVALUE(ConnectionString,ReportMonth,Table1[[#This Row],[Site ID (from DATIM)]],"[Measures].[TBPREV_NEW]")</f>
        <v>5</v>
      </c>
      <c r="AS122" s="67" vm="7459">
        <f>CUBEVALUE(ConnectionString,ReportMonth,Table1[[#This Row],[Site ID (from DATIM)]],"[Measures].[HVL_ELIG_P]")</f>
        <v>18</v>
      </c>
      <c r="AT122" s="67" vm="9246">
        <f>CUBEVALUE(ConnectionString,ReportMonth,Table1[[#This Row],[Site ID (from DATIM)]],"[Measures].[HVL_D_P]")</f>
        <v>17</v>
      </c>
      <c r="AU122" s="67" vm="8515">
        <f>CUBEVALUE(ConnectionString,ReportMonth,Table1[[#This Row],[Site ID (from DATIM)]],"[Measures].[HVL_N_P]")</f>
        <v>17</v>
      </c>
      <c r="AV122" s="68" vm="10018">
        <f>CUBEVALUE(ConnectionString,ReportMonth,Table1[[#This Row],[Site ID (from DATIM)]],"[Measures].[HVL_ELIG_A]")</f>
        <v>554</v>
      </c>
      <c r="AW122" s="68" vm="8042">
        <f>CUBEVALUE(ConnectionString,ReportMonth,Table1[[#This Row],[Site ID (from DATIM)]],"[Measures].[HVL_D_A]")</f>
        <v>434</v>
      </c>
      <c r="AX122" s="68" vm="8408">
        <f>CUBEVALUE(ConnectionString,ReportMonth,Table1[[#This Row],[Site ID (from DATIM)]],"[Measures].[HVL_N_A]")</f>
        <v>422</v>
      </c>
      <c r="AY122" s="67"/>
      <c r="AZ122" s="67"/>
      <c r="BA122" s="67"/>
      <c r="BB122" s="67"/>
      <c r="BC122" s="67"/>
      <c r="BD122" s="67"/>
      <c r="BE122" s="67"/>
      <c r="BF122" s="67"/>
      <c r="BG122" s="67" t="str" vm="11004">
        <f>CUBEVALUE(ConnectionString,ReportMonth,Table1[[#This Row],[Site ID (from DATIM)]],"[Measures].[TX_NEW_F_A]")</f>
        <v/>
      </c>
      <c r="BH122" s="67" t="str" vm="13008">
        <f>CUBEVALUE(ConnectionString,ReportMonth,Table1[[#This Row],[Site ID (from DATIM)]],"[Measures].[TX_NEW_M_A]")</f>
        <v/>
      </c>
      <c r="BI122" s="67" t="str" vm="11018">
        <f>CUBEVALUE(ConnectionString,ReportMonth,Table1[[#This Row],[Site ID (from DATIM)]],"[Measures].[TX_NEW_F_P]")</f>
        <v/>
      </c>
      <c r="BJ122" s="68" t="str" vm="15338">
        <f>CUBEVALUE(ConnectionString,ReportMonth,Table1[[#This Row],[Site ID (from DATIM)]],"[Measures].[TX_NEW_M_P]")</f>
        <v/>
      </c>
      <c r="BK122" s="68"/>
      <c r="BL122" s="68"/>
      <c r="BM122" s="68"/>
      <c r="BN122" s="68"/>
      <c r="BO122" s="68"/>
      <c r="BP122" s="68"/>
      <c r="BQ122" s="68" vm="10634">
        <f>CUBEVALUE(ConnectionString,ReportMonth,Table1[[#This Row],[Site ID (from DATIM)]],"[Measures].[TX_CURR_F_P]")</f>
        <v>13</v>
      </c>
      <c r="BR122" s="68" vm="7724">
        <f>CUBEVALUE(ConnectionString,ReportMonth,Table1[[#This Row],[Site ID (from DATIM)]],"[Measures].[TX_CURR_M_P]")</f>
        <v>5</v>
      </c>
      <c r="BS122" s="68" vm="8675">
        <f>CUBEVALUE(ConnectionString,ReportMonth,Table1[[#This Row],[Site ID (from DATIM)]],"[Measures].[TX_CURR_F_A]")</f>
        <v>399</v>
      </c>
      <c r="BT122" s="68" vm="9733">
        <f>CUBEVALUE(ConnectionString,ReportMonth,Table1[[#This Row],[Site ID (from DATIM)]],"[Measures].[TX_CURR_M_A]")</f>
        <v>183</v>
      </c>
      <c r="BU122" s="68" vm="19032">
        <f>CUBEVALUE(ConnectionString,ReportMonth,Table1[[#This Row],[Site ID (from DATIM)]],"[Measures].[MMS_01_89_F_P]")</f>
        <v>2</v>
      </c>
      <c r="BV122" s="68" vm="19262">
        <f>CUBEVALUE(ConnectionString,ReportMonth,Table1[[#This Row],[Site ID (from DATIM)]],"[Measures].[MMS_01_89_M_P]")</f>
        <v>1</v>
      </c>
      <c r="BW122" s="68" vm="20038">
        <f>CUBEVALUE(ConnectionString,ReportMonth,Table1[[#This Row],[Site ID (from DATIM)]],"[Measures].[MMS_01_89_F_A]")</f>
        <v>63</v>
      </c>
      <c r="BX122" s="68" vm="15061">
        <f>CUBEVALUE(ConnectionString,ReportMonth,Table1[[#This Row],[Site ID (from DATIM)]],"[Measures].[MMS_01_89_M_A]")</f>
        <v>22</v>
      </c>
      <c r="BY122" s="68" vm="16995">
        <f>CUBEVALUE(ConnectionString,ReportMonth,Table1[[#This Row],[Site ID (from DATIM)]],"[Measures].[MMS_90_179_F_P]")</f>
        <v>11</v>
      </c>
      <c r="BZ122" s="68" vm="18793">
        <f>CUBEVALUE(ConnectionString,ReportMonth,Table1[[#This Row],[Site ID (from DATIM)]],"[Measures].[MMS_90_179_M_P]")</f>
        <v>4</v>
      </c>
      <c r="CA122" s="68" vm="16347">
        <f>CUBEVALUE(ConnectionString,ReportMonth,Table1[[#This Row],[Site ID (from DATIM)]],"[Measures].[MMS_90_179_F_A]")</f>
        <v>334</v>
      </c>
      <c r="CB122" s="68" vm="16456">
        <f>CUBEVALUE(ConnectionString,ReportMonth,Table1[[#This Row],[Site ID (from DATIM)]],"[Measures].[MMS_90_179_M_A]")</f>
        <v>161</v>
      </c>
      <c r="CC122" s="68" t="str" vm="15897">
        <f>CUBEVALUE(ConnectionString,ReportMonth,Table1[[#This Row],[Site ID (from DATIM)]],"[Measures].[MMS_180+_F_P]")</f>
        <v/>
      </c>
      <c r="CD122" s="68" t="str" vm="16678">
        <f>CUBEVALUE(ConnectionString,ReportMonth,Table1[[#This Row],[Site ID (from DATIM)]],"[Measures].[MMS_180+_M_P]")</f>
        <v/>
      </c>
      <c r="CE122" s="68" vm="16722">
        <f>CUBEVALUE(ConnectionString,ReportMonth,Table1[[#This Row],[Site ID (from DATIM)]],"[Measures].[MMS_180+_F_A]")</f>
        <v>2</v>
      </c>
      <c r="CF122" s="68" t="str" vm="16644">
        <f>CUBEVALUE(ConnectionString,ReportMonth,Table1[[#This Row],[Site ID (from DATIM)]],"[Measures].[MMS_180+_M_A]")</f>
        <v/>
      </c>
      <c r="CG122" s="68" vm="14142">
        <f>CUBEVALUE(ConnectionString,ReportMonth,Table1[[#This Row],[Site ID (from DATIM)]],"[Measures].[MISSEDAPP]")</f>
        <v>130</v>
      </c>
      <c r="CH122" s="68" t="str" vm="11899">
        <f>CUBEVALUE(ConnectionString,ReportMonth,Table1[[#This Row],[Site ID (from DATIM)]],"[Measures].[MMS_180+_P]")</f>
        <v/>
      </c>
      <c r="CI122" s="68" vm="12925">
        <f>CUBEVALUE(ConnectionString,ReportMonth,Table1[[#This Row],[Site ID (from DATIM)]],"[Measures].[MMS_180+_A]")</f>
        <v>2</v>
      </c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68"/>
      <c r="DA122" s="68"/>
      <c r="DB122" s="68"/>
      <c r="DC122" s="68"/>
    </row>
    <row r="123" spans="1:107" x14ac:dyDescent="0.25">
      <c r="A123" s="66">
        <v>2</v>
      </c>
      <c r="B123" s="67" t="str" vm="4">
        <f t="shared" si="2"/>
        <v>Mar-2021</v>
      </c>
      <c r="C123" s="67"/>
      <c r="D123" s="67" t="s">
        <v>232</v>
      </c>
      <c r="E123" s="67" t="s">
        <v>233</v>
      </c>
      <c r="F123" s="67" t="s">
        <v>1286</v>
      </c>
      <c r="G123" s="67"/>
      <c r="H123" s="67" t="s">
        <v>1303</v>
      </c>
      <c r="I123" s="67" t="s">
        <v>1354</v>
      </c>
      <c r="J123" s="67" t="s">
        <v>1355</v>
      </c>
      <c r="K123" s="67" t="s">
        <v>1356</v>
      </c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 t="str" vm="1323">
        <f>CUBEVALUE(ConnectionString,ReportMonth,Table1[[#This Row],[Site ID (from DATIM)]],"TX_NEW_2VIS")</f>
        <v/>
      </c>
      <c r="AE123" s="67" t="str" vm="3302">
        <f>CUBEVALUE(ConnectionString,ReportMonth,Table1[[#This Row],[Site ID (from DATIM)]],INDEX(SDI_Measures,1))</f>
        <v/>
      </c>
      <c r="AF123" s="67" t="str" vm="844">
        <f>CUBEVALUE(ConnectionString,ReportMonth,Table1[[#This Row],[Site ID (from DATIM)]],INDEX(SDI_Measures,2))</f>
        <v/>
      </c>
      <c r="AG123" s="67" t="str" vm="704">
        <f>CUBEVALUE(ConnectionString,ReportMonth,Table1[[#This Row],[Site ID (from DATIM)]],INDEX(SDI_Measures,3))</f>
        <v/>
      </c>
      <c r="AH123" s="67" t="str" vm="3048">
        <f>CUBEVALUE(ConnectionString,ReportMonth,Table1[[#This Row],[Site ID (from DATIM)]],"TX_CURR_PRIOR_MONTH")</f>
        <v/>
      </c>
      <c r="AI123" s="67" t="str" vm="2077">
        <f>CUBEVALUE(ConnectionString,ReportMonth,Table1[[#This Row],[Site ID (from DATIM)]],"TX_CURR")</f>
        <v/>
      </c>
      <c r="AJ123" s="67" t="str" vm="2033">
        <f>CUBEVALUE(ConnectionString,ReportMonth,Table1[[#This Row],[Site ID (from DATIM)]],"[Measures].[TI]")</f>
        <v/>
      </c>
      <c r="AK123" s="67" t="str" vm="1422">
        <f>CUBEVALUE(ConnectionString,ReportMonth,Table1[[#This Row],[Site ID (from DATIM)]],"[Measures].[TO]")</f>
        <v/>
      </c>
      <c r="AL123" s="67" t="str" vm="2581">
        <f>CUBEVALUE(ConnectionString,ReportMonth,Table1[[#This Row],[Site ID (from DATIM)]],"[Measures].[DIED]")</f>
        <v/>
      </c>
      <c r="AM123" s="67" t="str" vm="7354">
        <f>CUBEVALUE(ConnectionString,ReportMonth,Table1[[#This Row],[Site ID (from DATIM)]],"[Measures].[MMS_01_31]")</f>
        <v/>
      </c>
      <c r="AN123" s="67" t="str" vm="8171">
        <f>CUBEVALUE(ConnectionString,ReportMonth,Table1[[#This Row],[Site ID (from DATIM)]],"[Measures].[MMS_32_62]")</f>
        <v/>
      </c>
      <c r="AO123" s="67" t="str" vm="6161">
        <f>CUBEVALUE(ConnectionString,ReportMonth,Table1[[#This Row],[Site ID (from DATIM)]],"[Measures].[MMS_63+]")</f>
        <v/>
      </c>
      <c r="AP123" s="67" t="str" vm="7163">
        <f>CUBEVALUE(ConnectionString,ReportMonth,Table1[[#This Row],[Site ID (from DATIM)]],"[Measures].[TBPREV_D]")</f>
        <v/>
      </c>
      <c r="AQ123" s="67" t="str" vm="10434">
        <f>CUBEVALUE(ConnectionString,ReportMonth,Table1[[#This Row],[Site ID (from DATIM)]],"[Measures].[TBPREV_N]")</f>
        <v/>
      </c>
      <c r="AR123" s="67" t="str" vm="7908">
        <f>CUBEVALUE(ConnectionString,ReportMonth,Table1[[#This Row],[Site ID (from DATIM)]],"[Measures].[TBPREV_NEW]")</f>
        <v/>
      </c>
      <c r="AS123" s="67" t="str" vm="5135">
        <f>CUBEVALUE(ConnectionString,ReportMonth,Table1[[#This Row],[Site ID (from DATIM)]],"[Measures].[HVL_ELIG_P]")</f>
        <v/>
      </c>
      <c r="AT123" s="67" t="str" vm="5081">
        <f>CUBEVALUE(ConnectionString,ReportMonth,Table1[[#This Row],[Site ID (from DATIM)]],"[Measures].[HVL_D_P]")</f>
        <v/>
      </c>
      <c r="AU123" s="67" t="str" vm="8199">
        <f>CUBEVALUE(ConnectionString,ReportMonth,Table1[[#This Row],[Site ID (from DATIM)]],"[Measures].[HVL_N_P]")</f>
        <v/>
      </c>
      <c r="AV123" s="68" t="str" vm="11510">
        <f>CUBEVALUE(ConnectionString,ReportMonth,Table1[[#This Row],[Site ID (from DATIM)]],"[Measures].[HVL_ELIG_A]")</f>
        <v/>
      </c>
      <c r="AW123" s="68" t="str" vm="9097">
        <f>CUBEVALUE(ConnectionString,ReportMonth,Table1[[#This Row],[Site ID (from DATIM)]],"[Measures].[HVL_D_A]")</f>
        <v/>
      </c>
      <c r="AX123" s="68" t="str" vm="16603">
        <f>CUBEVALUE(ConnectionString,ReportMonth,Table1[[#This Row],[Site ID (from DATIM)]],"[Measures].[HVL_N_A]")</f>
        <v/>
      </c>
      <c r="AY123" s="67"/>
      <c r="AZ123" s="67"/>
      <c r="BA123" s="67"/>
      <c r="BB123" s="67"/>
      <c r="BC123" s="67"/>
      <c r="BD123" s="67"/>
      <c r="BE123" s="67"/>
      <c r="BF123" s="67"/>
      <c r="BG123" s="67" t="str" vm="12114">
        <f>CUBEVALUE(ConnectionString,ReportMonth,Table1[[#This Row],[Site ID (from DATIM)]],"[Measures].[TX_NEW_F_A]")</f>
        <v/>
      </c>
      <c r="BH123" s="67" t="str" vm="13990">
        <f>CUBEVALUE(ConnectionString,ReportMonth,Table1[[#This Row],[Site ID (from DATIM)]],"[Measures].[TX_NEW_M_A]")</f>
        <v/>
      </c>
      <c r="BI123" s="67" t="str" vm="12563">
        <f>CUBEVALUE(ConnectionString,ReportMonth,Table1[[#This Row],[Site ID (from DATIM)]],"[Measures].[TX_NEW_F_P]")</f>
        <v/>
      </c>
      <c r="BJ123" s="68" t="str" vm="13156">
        <f>CUBEVALUE(ConnectionString,ReportMonth,Table1[[#This Row],[Site ID (from DATIM)]],"[Measures].[TX_NEW_M_P]")</f>
        <v/>
      </c>
      <c r="BK123" s="68"/>
      <c r="BL123" s="68"/>
      <c r="BM123" s="68"/>
      <c r="BN123" s="68"/>
      <c r="BO123" s="68"/>
      <c r="BP123" s="68"/>
      <c r="BQ123" s="68" t="str" vm="8276">
        <f>CUBEVALUE(ConnectionString,ReportMonth,Table1[[#This Row],[Site ID (from DATIM)]],"[Measures].[TX_CURR_F_P]")</f>
        <v/>
      </c>
      <c r="BR123" s="68" t="str" vm="13641">
        <f>CUBEVALUE(ConnectionString,ReportMonth,Table1[[#This Row],[Site ID (from DATIM)]],"[Measures].[TX_CURR_M_P]")</f>
        <v/>
      </c>
      <c r="BS123" s="68" t="str" vm="8143">
        <f>CUBEVALUE(ConnectionString,ReportMonth,Table1[[#This Row],[Site ID (from DATIM)]],"[Measures].[TX_CURR_F_A]")</f>
        <v/>
      </c>
      <c r="BT123" s="68" t="str" vm="12532">
        <f>CUBEVALUE(ConnectionString,ReportMonth,Table1[[#This Row],[Site ID (from DATIM)]],"[Measures].[TX_CURR_M_A]")</f>
        <v/>
      </c>
      <c r="BU123" s="68" t="str" vm="19014">
        <f>CUBEVALUE(ConnectionString,ReportMonth,Table1[[#This Row],[Site ID (from DATIM)]],"[Measures].[MMS_01_89_F_P]")</f>
        <v/>
      </c>
      <c r="BV123" s="68" t="str" vm="16967">
        <f>CUBEVALUE(ConnectionString,ReportMonth,Table1[[#This Row],[Site ID (from DATIM)]],"[Measures].[MMS_01_89_M_P]")</f>
        <v/>
      </c>
      <c r="BW123" s="68" t="str" vm="20037">
        <f>CUBEVALUE(ConnectionString,ReportMonth,Table1[[#This Row],[Site ID (from DATIM)]],"[Measures].[MMS_01_89_F_A]")</f>
        <v/>
      </c>
      <c r="BX123" s="68" t="str" vm="19927">
        <f>CUBEVALUE(ConnectionString,ReportMonth,Table1[[#This Row],[Site ID (from DATIM)]],"[Measures].[MMS_01_89_M_A]")</f>
        <v/>
      </c>
      <c r="BY123" s="68" t="str" vm="19661">
        <f>CUBEVALUE(ConnectionString,ReportMonth,Table1[[#This Row],[Site ID (from DATIM)]],"[Measures].[MMS_90_179_F_P]")</f>
        <v/>
      </c>
      <c r="BZ123" s="68" t="str" vm="19293">
        <f>CUBEVALUE(ConnectionString,ReportMonth,Table1[[#This Row],[Site ID (from DATIM)]],"[Measures].[MMS_90_179_M_P]")</f>
        <v/>
      </c>
      <c r="CA123" s="68" t="str" vm="16475">
        <f>CUBEVALUE(ConnectionString,ReportMonth,Table1[[#This Row],[Site ID (from DATIM)]],"[Measures].[MMS_90_179_F_A]")</f>
        <v/>
      </c>
      <c r="CB123" s="68" t="str" vm="15601">
        <f>CUBEVALUE(ConnectionString,ReportMonth,Table1[[#This Row],[Site ID (from DATIM)]],"[Measures].[MMS_90_179_M_A]")</f>
        <v/>
      </c>
      <c r="CC123" s="68" t="str" vm="16243">
        <f>CUBEVALUE(ConnectionString,ReportMonth,Table1[[#This Row],[Site ID (from DATIM)]],"[Measures].[MMS_180+_F_P]")</f>
        <v/>
      </c>
      <c r="CD123" s="68" t="str" vm="14490">
        <f>CUBEVALUE(ConnectionString,ReportMonth,Table1[[#This Row],[Site ID (from DATIM)]],"[Measures].[MMS_180+_M_P]")</f>
        <v/>
      </c>
      <c r="CE123" s="68" t="str" vm="14884">
        <f>CUBEVALUE(ConnectionString,ReportMonth,Table1[[#This Row],[Site ID (from DATIM)]],"[Measures].[MMS_180+_F_A]")</f>
        <v/>
      </c>
      <c r="CF123" s="68" t="str" vm="123">
        <f>CUBEVALUE(ConnectionString,ReportMonth,Table1[[#This Row],[Site ID (from DATIM)]],"[Measures].[MMS_180+_M_A]")</f>
        <v/>
      </c>
      <c r="CG123" s="68" t="str" vm="11433">
        <f>CUBEVALUE(ConnectionString,ReportMonth,Table1[[#This Row],[Site ID (from DATIM)]],"[Measures].[MISSEDAPP]")</f>
        <v/>
      </c>
      <c r="CH123" s="68" t="str" vm="12199">
        <f>CUBEVALUE(ConnectionString,ReportMonth,Table1[[#This Row],[Site ID (from DATIM)]],"[Measures].[MMS_180+_P]")</f>
        <v/>
      </c>
      <c r="CI123" s="68" t="str" vm="12590">
        <f>CUBEVALUE(ConnectionString,ReportMonth,Table1[[#This Row],[Site ID (from DATIM)]],"[Measures].[MMS_180+_A]")</f>
        <v/>
      </c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68"/>
      <c r="CZ123" s="68"/>
      <c r="DA123" s="68"/>
      <c r="DB123" s="68"/>
      <c r="DC123" s="68"/>
    </row>
    <row r="124" spans="1:107" x14ac:dyDescent="0.25">
      <c r="A124" s="66">
        <v>4</v>
      </c>
      <c r="B124" s="67" t="str" vm="4">
        <f t="shared" si="2"/>
        <v>Mar-2021</v>
      </c>
      <c r="C124" s="67"/>
      <c r="D124" s="67" t="s">
        <v>232</v>
      </c>
      <c r="E124" s="67" t="s">
        <v>233</v>
      </c>
      <c r="F124" s="67" t="s">
        <v>437</v>
      </c>
      <c r="G124" s="67"/>
      <c r="H124" s="67" t="s">
        <v>478</v>
      </c>
      <c r="I124" s="67" t="s">
        <v>577</v>
      </c>
      <c r="J124" s="67" t="s">
        <v>578</v>
      </c>
      <c r="K124" s="67" t="s">
        <v>579</v>
      </c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 t="str" vm="3562">
        <f>CUBEVALUE(ConnectionString,ReportMonth,Table1[[#This Row],[Site ID (from DATIM)]],"TX_NEW_2VIS")</f>
        <v/>
      </c>
      <c r="AE124" s="67" t="str" vm="1727">
        <f>CUBEVALUE(ConnectionString,ReportMonth,Table1[[#This Row],[Site ID (from DATIM)]],INDEX(SDI_Measures,1))</f>
        <v/>
      </c>
      <c r="AF124" s="67" t="str" vm="3092">
        <f>CUBEVALUE(ConnectionString,ReportMonth,Table1[[#This Row],[Site ID (from DATIM)]],INDEX(SDI_Measures,2))</f>
        <v/>
      </c>
      <c r="AG124" s="67" t="str" vm="4071">
        <f>CUBEVALUE(ConnectionString,ReportMonth,Table1[[#This Row],[Site ID (from DATIM)]],INDEX(SDI_Measures,3))</f>
        <v/>
      </c>
      <c r="AH124" s="67" vm="3732">
        <f>CUBEVALUE(ConnectionString,ReportMonth,Table1[[#This Row],[Site ID (from DATIM)]],"TX_CURR_PRIOR_MONTH")</f>
        <v>50</v>
      </c>
      <c r="AI124" s="67" vm="3274">
        <f>CUBEVALUE(ConnectionString,ReportMonth,Table1[[#This Row],[Site ID (from DATIM)]],"TX_CURR")</f>
        <v>49</v>
      </c>
      <c r="AJ124" s="67" t="str" vm="3256">
        <f>CUBEVALUE(ConnectionString,ReportMonth,Table1[[#This Row],[Site ID (from DATIM)]],"[Measures].[TI]")</f>
        <v/>
      </c>
      <c r="AK124" s="67" t="str" vm="2894">
        <f>CUBEVALUE(ConnectionString,ReportMonth,Table1[[#This Row],[Site ID (from DATIM)]],"[Measures].[TO]")</f>
        <v/>
      </c>
      <c r="AL124" s="67" t="str" vm="4531">
        <f>CUBEVALUE(ConnectionString,ReportMonth,Table1[[#This Row],[Site ID (from DATIM)]],"[Measures].[DIED]")</f>
        <v/>
      </c>
      <c r="AM124" s="67" vm="7867">
        <f>CUBEVALUE(ConnectionString,ReportMonth,Table1[[#This Row],[Site ID (from DATIM)]],"[Measures].[MMS_01_31]")</f>
        <v>18</v>
      </c>
      <c r="AN124" s="67" vm="3727">
        <f>CUBEVALUE(ConnectionString,ReportMonth,Table1[[#This Row],[Site ID (from DATIM)]],"[Measures].[MMS_32_62]")</f>
        <v>3</v>
      </c>
      <c r="AO124" s="67" vm="6880">
        <f>CUBEVALUE(ConnectionString,ReportMonth,Table1[[#This Row],[Site ID (from DATIM)]],"[Measures].[MMS_63+]")</f>
        <v>28</v>
      </c>
      <c r="AP124" s="67" vm="5934">
        <f>CUBEVALUE(ConnectionString,ReportMonth,Table1[[#This Row],[Site ID (from DATIM)]],"[Measures].[TBPREV_D]")</f>
        <v>2</v>
      </c>
      <c r="AQ124" s="67" t="str" vm="5236">
        <f>CUBEVALUE(ConnectionString,ReportMonth,Table1[[#This Row],[Site ID (from DATIM)]],"[Measures].[TBPREV_N]")</f>
        <v/>
      </c>
      <c r="AR124" s="67" t="str" vm="5592">
        <f>CUBEVALUE(ConnectionString,ReportMonth,Table1[[#This Row],[Site ID (from DATIM)]],"[Measures].[TBPREV_NEW]")</f>
        <v/>
      </c>
      <c r="AS124" s="67" t="str" vm="7579">
        <f>CUBEVALUE(ConnectionString,ReportMonth,Table1[[#This Row],[Site ID (from DATIM)]],"[Measures].[HVL_ELIG_P]")</f>
        <v/>
      </c>
      <c r="AT124" s="67" t="str" vm="5002">
        <f>CUBEVALUE(ConnectionString,ReportMonth,Table1[[#This Row],[Site ID (from DATIM)]],"[Measures].[HVL_D_P]")</f>
        <v/>
      </c>
      <c r="AU124" s="67" t="str" vm="9348">
        <f>CUBEVALUE(ConnectionString,ReportMonth,Table1[[#This Row],[Site ID (from DATIM)]],"[Measures].[HVL_N_P]")</f>
        <v/>
      </c>
      <c r="AV124" s="68" vm="8383">
        <f>CUBEVALUE(ConnectionString,ReportMonth,Table1[[#This Row],[Site ID (from DATIM)]],"[Measures].[HVL_ELIG_A]")</f>
        <v>35</v>
      </c>
      <c r="AW124" s="68" vm="11777">
        <f>CUBEVALUE(ConnectionString,ReportMonth,Table1[[#This Row],[Site ID (from DATIM)]],"[Measures].[HVL_D_A]")</f>
        <v>20</v>
      </c>
      <c r="AX124" s="68" vm="8023">
        <f>CUBEVALUE(ConnectionString,ReportMonth,Table1[[#This Row],[Site ID (from DATIM)]],"[Measures].[HVL_N_A]")</f>
        <v>18</v>
      </c>
      <c r="AY124" s="67"/>
      <c r="AZ124" s="67"/>
      <c r="BA124" s="67"/>
      <c r="BB124" s="67"/>
      <c r="BC124" s="67"/>
      <c r="BD124" s="67"/>
      <c r="BE124" s="67"/>
      <c r="BF124" s="67"/>
      <c r="BG124" s="67" t="str" vm="12390">
        <f>CUBEVALUE(ConnectionString,ReportMonth,Table1[[#This Row],[Site ID (from DATIM)]],"[Measures].[TX_NEW_F_A]")</f>
        <v/>
      </c>
      <c r="BH124" s="67" t="str" vm="10134">
        <f>CUBEVALUE(ConnectionString,ReportMonth,Table1[[#This Row],[Site ID (from DATIM)]],"[Measures].[TX_NEW_M_A]")</f>
        <v/>
      </c>
      <c r="BI124" s="67" t="str" vm="13583">
        <f>CUBEVALUE(ConnectionString,ReportMonth,Table1[[#This Row],[Site ID (from DATIM)]],"[Measures].[TX_NEW_F_P]")</f>
        <v/>
      </c>
      <c r="BJ124" s="68" t="str" vm="16560">
        <f>CUBEVALUE(ConnectionString,ReportMonth,Table1[[#This Row],[Site ID (from DATIM)]],"[Measures].[TX_NEW_M_P]")</f>
        <v/>
      </c>
      <c r="BK124" s="68"/>
      <c r="BL124" s="68"/>
      <c r="BM124" s="68"/>
      <c r="BN124" s="68"/>
      <c r="BO124" s="68"/>
      <c r="BP124" s="68"/>
      <c r="BQ124" s="68" t="str" vm="8379">
        <f>CUBEVALUE(ConnectionString,ReportMonth,Table1[[#This Row],[Site ID (from DATIM)]],"[Measures].[TX_CURR_F_P]")</f>
        <v/>
      </c>
      <c r="BR124" s="68" t="str" vm="9546">
        <f>CUBEVALUE(ConnectionString,ReportMonth,Table1[[#This Row],[Site ID (from DATIM)]],"[Measures].[TX_CURR_M_P]")</f>
        <v/>
      </c>
      <c r="BS124" s="68" vm="10206">
        <f>CUBEVALUE(ConnectionString,ReportMonth,Table1[[#This Row],[Site ID (from DATIM)]],"[Measures].[TX_CURR_F_A]")</f>
        <v>36</v>
      </c>
      <c r="BT124" s="68" vm="8307">
        <f>CUBEVALUE(ConnectionString,ReportMonth,Table1[[#This Row],[Site ID (from DATIM)]],"[Measures].[TX_CURR_M_A]")</f>
        <v>13</v>
      </c>
      <c r="BU124" s="68" t="str" vm="17797">
        <f>CUBEVALUE(ConnectionString,ReportMonth,Table1[[#This Row],[Site ID (from DATIM)]],"[Measures].[MMS_01_89_F_P]")</f>
        <v/>
      </c>
      <c r="BV124" s="68" t="str" vm="19023">
        <f>CUBEVALUE(ConnectionString,ReportMonth,Table1[[#This Row],[Site ID (from DATIM)]],"[Measures].[MMS_01_89_M_P]")</f>
        <v/>
      </c>
      <c r="BW124" s="68" vm="18876">
        <f>CUBEVALUE(ConnectionString,ReportMonth,Table1[[#This Row],[Site ID (from DATIM)]],"[Measures].[MMS_01_89_F_A]")</f>
        <v>14</v>
      </c>
      <c r="BX124" s="68" vm="19170">
        <f>CUBEVALUE(ConnectionString,ReportMonth,Table1[[#This Row],[Site ID (from DATIM)]],"[Measures].[MMS_01_89_M_A]")</f>
        <v>7</v>
      </c>
      <c r="BY124" s="68" t="str" vm="18502">
        <f>CUBEVALUE(ConnectionString,ReportMonth,Table1[[#This Row],[Site ID (from DATIM)]],"[Measures].[MMS_90_179_F_P]")</f>
        <v/>
      </c>
      <c r="BZ124" s="68" t="str" vm="15209">
        <f>CUBEVALUE(ConnectionString,ReportMonth,Table1[[#This Row],[Site ID (from DATIM)]],"[Measures].[MMS_90_179_M_P]")</f>
        <v/>
      </c>
      <c r="CA124" s="68" vm="16695">
        <f>CUBEVALUE(ConnectionString,ReportMonth,Table1[[#This Row],[Site ID (from DATIM)]],"[Measures].[MMS_90_179_F_A]")</f>
        <v>22</v>
      </c>
      <c r="CB124" s="68" vm="15155">
        <f>CUBEVALUE(ConnectionString,ReportMonth,Table1[[#This Row],[Site ID (from DATIM)]],"[Measures].[MMS_90_179_M_A]")</f>
        <v>6</v>
      </c>
      <c r="CC124" s="68" t="str" vm="14947">
        <f>CUBEVALUE(ConnectionString,ReportMonth,Table1[[#This Row],[Site ID (from DATIM)]],"[Measures].[MMS_180+_F_P]")</f>
        <v/>
      </c>
      <c r="CD124" s="68" t="str" vm="14512">
        <f>CUBEVALUE(ConnectionString,ReportMonth,Table1[[#This Row],[Site ID (from DATIM)]],"[Measures].[MMS_180+_M_P]")</f>
        <v/>
      </c>
      <c r="CE124" s="68" t="str" vm="14470">
        <f>CUBEVALUE(ConnectionString,ReportMonth,Table1[[#This Row],[Site ID (from DATIM)]],"[Measures].[MMS_180+_F_A]")</f>
        <v/>
      </c>
      <c r="CF124" s="68" t="str" vm="116">
        <f>CUBEVALUE(ConnectionString,ReportMonth,Table1[[#This Row],[Site ID (from DATIM)]],"[Measures].[MMS_180+_M_A]")</f>
        <v/>
      </c>
      <c r="CG124" s="68" vm="5079">
        <f>CUBEVALUE(ConnectionString,ReportMonth,Table1[[#This Row],[Site ID (from DATIM)]],"[Measures].[MISSEDAPP]")</f>
        <v>24</v>
      </c>
      <c r="CH124" s="68" t="str" vm="12847">
        <f>CUBEVALUE(ConnectionString,ReportMonth,Table1[[#This Row],[Site ID (from DATIM)]],"[Measures].[MMS_180+_P]")</f>
        <v/>
      </c>
      <c r="CI124" s="68" t="str" vm="12216">
        <f>CUBEVALUE(ConnectionString,ReportMonth,Table1[[#This Row],[Site ID (from DATIM)]],"[Measures].[MMS_180+_A]")</f>
        <v/>
      </c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68"/>
      <c r="CY124" s="68"/>
      <c r="CZ124" s="68"/>
      <c r="DA124" s="68"/>
      <c r="DB124" s="68"/>
      <c r="DC124" s="68"/>
    </row>
    <row r="125" spans="1:107" x14ac:dyDescent="0.25">
      <c r="A125" s="66">
        <v>4</v>
      </c>
      <c r="B125" s="67" t="str" vm="4">
        <f t="shared" si="2"/>
        <v>Mar-2021</v>
      </c>
      <c r="C125" s="67"/>
      <c r="D125" s="67" t="s">
        <v>232</v>
      </c>
      <c r="E125" s="67" t="s">
        <v>233</v>
      </c>
      <c r="F125" s="67" t="s">
        <v>831</v>
      </c>
      <c r="G125" s="67"/>
      <c r="H125" s="67" t="s">
        <v>876</v>
      </c>
      <c r="I125" s="67" t="s">
        <v>877</v>
      </c>
      <c r="J125" s="67" t="s">
        <v>878</v>
      </c>
      <c r="K125" s="67" t="s">
        <v>879</v>
      </c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 t="str" vm="3182">
        <f>CUBEVALUE(ConnectionString,ReportMonth,Table1[[#This Row],[Site ID (from DATIM)]],"TX_NEW_2VIS")</f>
        <v/>
      </c>
      <c r="AE125" s="67" t="str" vm="1296">
        <f>CUBEVALUE(ConnectionString,ReportMonth,Table1[[#This Row],[Site ID (from DATIM)]],INDEX(SDI_Measures,1))</f>
        <v/>
      </c>
      <c r="AF125" s="67" t="str" vm="2771">
        <f>CUBEVALUE(ConnectionString,ReportMonth,Table1[[#This Row],[Site ID (from DATIM)]],INDEX(SDI_Measures,2))</f>
        <v/>
      </c>
      <c r="AG125" s="67" t="str" vm="4426">
        <f>CUBEVALUE(ConnectionString,ReportMonth,Table1[[#This Row],[Site ID (from DATIM)]],INDEX(SDI_Measures,3))</f>
        <v/>
      </c>
      <c r="AH125" s="67" vm="1878">
        <f>CUBEVALUE(ConnectionString,ReportMonth,Table1[[#This Row],[Site ID (from DATIM)]],"TX_CURR_PRIOR_MONTH")</f>
        <v>181</v>
      </c>
      <c r="AI125" s="67" vm="3205">
        <f>CUBEVALUE(ConnectionString,ReportMonth,Table1[[#This Row],[Site ID (from DATIM)]],"TX_CURR")</f>
        <v>175</v>
      </c>
      <c r="AJ125" s="67" t="str" vm="3351">
        <f>CUBEVALUE(ConnectionString,ReportMonth,Table1[[#This Row],[Site ID (from DATIM)]],"[Measures].[TI]")</f>
        <v/>
      </c>
      <c r="AK125" s="67" t="str" vm="879">
        <f>CUBEVALUE(ConnectionString,ReportMonth,Table1[[#This Row],[Site ID (from DATIM)]],"[Measures].[TO]")</f>
        <v/>
      </c>
      <c r="AL125" s="67" t="str" vm="3866">
        <f>CUBEVALUE(ConnectionString,ReportMonth,Table1[[#This Row],[Site ID (from DATIM)]],"[Measures].[DIED]")</f>
        <v/>
      </c>
      <c r="AM125" s="67" vm="4161">
        <f>CUBEVALUE(ConnectionString,ReportMonth,Table1[[#This Row],[Site ID (from DATIM)]],"[Measures].[MMS_01_31]")</f>
        <v>33</v>
      </c>
      <c r="AN125" s="67" t="str" vm="5926">
        <f>CUBEVALUE(ConnectionString,ReportMonth,Table1[[#This Row],[Site ID (from DATIM)]],"[Measures].[MMS_32_62]")</f>
        <v/>
      </c>
      <c r="AO125" s="67" vm="9525">
        <f>CUBEVALUE(ConnectionString,ReportMonth,Table1[[#This Row],[Site ID (from DATIM)]],"[Measures].[MMS_63+]")</f>
        <v>142</v>
      </c>
      <c r="AP125" s="67" t="str" vm="9521">
        <f>CUBEVALUE(ConnectionString,ReportMonth,Table1[[#This Row],[Site ID (from DATIM)]],"[Measures].[TBPREV_D]")</f>
        <v/>
      </c>
      <c r="AQ125" s="67" t="str" vm="7361">
        <f>CUBEVALUE(ConnectionString,ReportMonth,Table1[[#This Row],[Site ID (from DATIM)]],"[Measures].[TBPREV_N]")</f>
        <v/>
      </c>
      <c r="AR125" s="67" t="str" vm="5621">
        <f>CUBEVALUE(ConnectionString,ReportMonth,Table1[[#This Row],[Site ID (from DATIM)]],"[Measures].[TBPREV_NEW]")</f>
        <v/>
      </c>
      <c r="AS125" s="67" vm="5072">
        <f>CUBEVALUE(ConnectionString,ReportMonth,Table1[[#This Row],[Site ID (from DATIM)]],"[Measures].[HVL_ELIG_P]")</f>
        <v>12</v>
      </c>
      <c r="AT125" s="67" vm="10236">
        <f>CUBEVALUE(ConnectionString,ReportMonth,Table1[[#This Row],[Site ID (from DATIM)]],"[Measures].[HVL_D_P]")</f>
        <v>11</v>
      </c>
      <c r="AU125" s="67" vm="7481">
        <f>CUBEVALUE(ConnectionString,ReportMonth,Table1[[#This Row],[Site ID (from DATIM)]],"[Measures].[HVL_N_P]")</f>
        <v>10</v>
      </c>
      <c r="AV125" s="68" vm="11923">
        <f>CUBEVALUE(ConnectionString,ReportMonth,Table1[[#This Row],[Site ID (from DATIM)]],"[Measures].[HVL_ELIG_A]")</f>
        <v>154</v>
      </c>
      <c r="AW125" s="68" vm="11165">
        <f>CUBEVALUE(ConnectionString,ReportMonth,Table1[[#This Row],[Site ID (from DATIM)]],"[Measures].[HVL_D_A]")</f>
        <v>125</v>
      </c>
      <c r="AX125" s="68" vm="13076">
        <f>CUBEVALUE(ConnectionString,ReportMonth,Table1[[#This Row],[Site ID (from DATIM)]],"[Measures].[HVL_N_A]")</f>
        <v>119</v>
      </c>
      <c r="AY125" s="67"/>
      <c r="AZ125" s="67"/>
      <c r="BA125" s="67"/>
      <c r="BB125" s="67"/>
      <c r="BC125" s="67"/>
      <c r="BD125" s="67"/>
      <c r="BE125" s="67"/>
      <c r="BF125" s="67"/>
      <c r="BG125" s="67" t="str" vm="14390">
        <f>CUBEVALUE(ConnectionString,ReportMonth,Table1[[#This Row],[Site ID (from DATIM)]],"[Measures].[TX_NEW_F_A]")</f>
        <v/>
      </c>
      <c r="BH125" s="67" t="str" vm="12849">
        <f>CUBEVALUE(ConnectionString,ReportMonth,Table1[[#This Row],[Site ID (from DATIM)]],"[Measures].[TX_NEW_M_A]")</f>
        <v/>
      </c>
      <c r="BI125" s="67" t="str" vm="13253">
        <f>CUBEVALUE(ConnectionString,ReportMonth,Table1[[#This Row],[Site ID (from DATIM)]],"[Measures].[TX_NEW_F_P]")</f>
        <v/>
      </c>
      <c r="BJ125" s="68" t="str" vm="17053">
        <f>CUBEVALUE(ConnectionString,ReportMonth,Table1[[#This Row],[Site ID (from DATIM)]],"[Measures].[TX_NEW_M_P]")</f>
        <v/>
      </c>
      <c r="BK125" s="68"/>
      <c r="BL125" s="68"/>
      <c r="BM125" s="68"/>
      <c r="BN125" s="68"/>
      <c r="BO125" s="68"/>
      <c r="BP125" s="68"/>
      <c r="BQ125" s="68" vm="8232">
        <f>CUBEVALUE(ConnectionString,ReportMonth,Table1[[#This Row],[Site ID (from DATIM)]],"[Measures].[TX_CURR_F_P]")</f>
        <v>6</v>
      </c>
      <c r="BR125" s="68" vm="16162">
        <f>CUBEVALUE(ConnectionString,ReportMonth,Table1[[#This Row],[Site ID (from DATIM)]],"[Measures].[TX_CURR_M_P]")</f>
        <v>8</v>
      </c>
      <c r="BS125" s="68" vm="10969">
        <f>CUBEVALUE(ConnectionString,ReportMonth,Table1[[#This Row],[Site ID (from DATIM)]],"[Measures].[TX_CURR_F_A]")</f>
        <v>120</v>
      </c>
      <c r="BT125" s="68" vm="9264">
        <f>CUBEVALUE(ConnectionString,ReportMonth,Table1[[#This Row],[Site ID (from DATIM)]],"[Measures].[TX_CURR_M_A]")</f>
        <v>41</v>
      </c>
      <c r="BU125" s="68" vm="18654">
        <f>CUBEVALUE(ConnectionString,ReportMonth,Table1[[#This Row],[Site ID (from DATIM)]],"[Measures].[MMS_01_89_F_P]")</f>
        <v>4</v>
      </c>
      <c r="BV125" s="68" vm="18750">
        <f>CUBEVALUE(ConnectionString,ReportMonth,Table1[[#This Row],[Site ID (from DATIM)]],"[Measures].[MMS_01_89_M_P]")</f>
        <v>6</v>
      </c>
      <c r="BW125" s="68" vm="18929">
        <f>CUBEVALUE(ConnectionString,ReportMonth,Table1[[#This Row],[Site ID (from DATIM)]],"[Measures].[MMS_01_89_F_A]")</f>
        <v>24</v>
      </c>
      <c r="BX125" s="68" vm="15218">
        <f>CUBEVALUE(ConnectionString,ReportMonth,Table1[[#This Row],[Site ID (from DATIM)]],"[Measures].[MMS_01_89_M_A]")</f>
        <v>5</v>
      </c>
      <c r="BY125" s="68" vm="17898">
        <f>CUBEVALUE(ConnectionString,ReportMonth,Table1[[#This Row],[Site ID (from DATIM)]],"[Measures].[MMS_90_179_F_P]")</f>
        <v>2</v>
      </c>
      <c r="BZ125" s="68" vm="17818">
        <f>CUBEVALUE(ConnectionString,ReportMonth,Table1[[#This Row],[Site ID (from DATIM)]],"[Measures].[MMS_90_179_M_P]")</f>
        <v>2</v>
      </c>
      <c r="CA125" s="68" vm="17295">
        <f>CUBEVALUE(ConnectionString,ReportMonth,Table1[[#This Row],[Site ID (from DATIM)]],"[Measures].[MMS_90_179_F_A]")</f>
        <v>96</v>
      </c>
      <c r="CB125" s="68" vm="16482">
        <f>CUBEVALUE(ConnectionString,ReportMonth,Table1[[#This Row],[Site ID (from DATIM)]],"[Measures].[MMS_90_179_M_A]")</f>
        <v>36</v>
      </c>
      <c r="CC125" s="68" t="str" vm="15445">
        <f>CUBEVALUE(ConnectionString,ReportMonth,Table1[[#This Row],[Site ID (from DATIM)]],"[Measures].[MMS_180+_F_P]")</f>
        <v/>
      </c>
      <c r="CD125" s="68" t="str" vm="15440">
        <f>CUBEVALUE(ConnectionString,ReportMonth,Table1[[#This Row],[Site ID (from DATIM)]],"[Measures].[MMS_180+_M_P]")</f>
        <v/>
      </c>
      <c r="CE125" s="68" t="str" vm="17564">
        <f>CUBEVALUE(ConnectionString,ReportMonth,Table1[[#This Row],[Site ID (from DATIM)]],"[Measures].[MMS_180+_F_A]")</f>
        <v/>
      </c>
      <c r="CF125" s="68" t="str" vm="206">
        <f>CUBEVALUE(ConnectionString,ReportMonth,Table1[[#This Row],[Site ID (from DATIM)]],"[Measures].[MMS_180+_M_A]")</f>
        <v/>
      </c>
      <c r="CG125" s="68" vm="6212">
        <f>CUBEVALUE(ConnectionString,ReportMonth,Table1[[#This Row],[Site ID (from DATIM)]],"[Measures].[MISSEDAPP]")</f>
        <v>31</v>
      </c>
      <c r="CH125" s="68" t="str" vm="10643">
        <f>CUBEVALUE(ConnectionString,ReportMonth,Table1[[#This Row],[Site ID (from DATIM)]],"[Measures].[MMS_180+_P]")</f>
        <v/>
      </c>
      <c r="CI125" s="68" t="str" vm="13279">
        <f>CUBEVALUE(ConnectionString,ReportMonth,Table1[[#This Row],[Site ID (from DATIM)]],"[Measures].[MMS_180+_A]")</f>
        <v/>
      </c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68"/>
      <c r="CX125" s="68"/>
      <c r="CY125" s="68"/>
      <c r="CZ125" s="68"/>
      <c r="DA125" s="68"/>
      <c r="DB125" s="68"/>
      <c r="DC125" s="68"/>
    </row>
    <row r="126" spans="1:107" x14ac:dyDescent="0.25">
      <c r="A126" s="66">
        <v>4</v>
      </c>
      <c r="B126" s="67" t="str" vm="4">
        <f t="shared" si="2"/>
        <v>Mar-2021</v>
      </c>
      <c r="C126" s="67"/>
      <c r="D126" s="67" t="s">
        <v>232</v>
      </c>
      <c r="E126" s="67" t="s">
        <v>233</v>
      </c>
      <c r="F126" s="67" t="s">
        <v>831</v>
      </c>
      <c r="G126" s="67"/>
      <c r="H126" s="67" t="s">
        <v>867</v>
      </c>
      <c r="I126" s="67" t="s">
        <v>880</v>
      </c>
      <c r="J126" s="67" t="s">
        <v>881</v>
      </c>
      <c r="K126" s="67" t="s">
        <v>882</v>
      </c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 t="str" vm="4309">
        <f>CUBEVALUE(ConnectionString,ReportMonth,Table1[[#This Row],[Site ID (from DATIM)]],"TX_NEW_2VIS")</f>
        <v/>
      </c>
      <c r="AE126" s="67" t="str" vm="5918">
        <f>CUBEVALUE(ConnectionString,ReportMonth,Table1[[#This Row],[Site ID (from DATIM)]],INDEX(SDI_Measures,1))</f>
        <v/>
      </c>
      <c r="AF126" s="67" t="str" vm="1174">
        <f>CUBEVALUE(ConnectionString,ReportMonth,Table1[[#This Row],[Site ID (from DATIM)]],INDEX(SDI_Measures,2))</f>
        <v/>
      </c>
      <c r="AG126" s="67" t="str" vm="3577">
        <f>CUBEVALUE(ConnectionString,ReportMonth,Table1[[#This Row],[Site ID (from DATIM)]],INDEX(SDI_Measures,3))</f>
        <v/>
      </c>
      <c r="AH126" s="67" t="str" vm="1202">
        <f>CUBEVALUE(ConnectionString,ReportMonth,Table1[[#This Row],[Site ID (from DATIM)]],"TX_CURR_PRIOR_MONTH")</f>
        <v/>
      </c>
      <c r="AI126" s="67" t="str" vm="2208">
        <f>CUBEVALUE(ConnectionString,ReportMonth,Table1[[#This Row],[Site ID (from DATIM)]],"TX_CURR")</f>
        <v/>
      </c>
      <c r="AJ126" s="67" t="str" vm="2803">
        <f>CUBEVALUE(ConnectionString,ReportMonth,Table1[[#This Row],[Site ID (from DATIM)]],"[Measures].[TI]")</f>
        <v/>
      </c>
      <c r="AK126" s="67" t="str" vm="1916">
        <f>CUBEVALUE(ConnectionString,ReportMonth,Table1[[#This Row],[Site ID (from DATIM)]],"[Measures].[TO]")</f>
        <v/>
      </c>
      <c r="AL126" s="67" t="str" vm="1660">
        <f>CUBEVALUE(ConnectionString,ReportMonth,Table1[[#This Row],[Site ID (from DATIM)]],"[Measures].[DIED]")</f>
        <v/>
      </c>
      <c r="AM126" s="67" t="str" vm="5596">
        <f>CUBEVALUE(ConnectionString,ReportMonth,Table1[[#This Row],[Site ID (from DATIM)]],"[Measures].[MMS_01_31]")</f>
        <v/>
      </c>
      <c r="AN126" s="67" t="str" vm="6690">
        <f>CUBEVALUE(ConnectionString,ReportMonth,Table1[[#This Row],[Site ID (from DATIM)]],"[Measures].[MMS_32_62]")</f>
        <v/>
      </c>
      <c r="AO126" s="67" t="str" vm="6759">
        <f>CUBEVALUE(ConnectionString,ReportMonth,Table1[[#This Row],[Site ID (from DATIM)]],"[Measures].[MMS_63+]")</f>
        <v/>
      </c>
      <c r="AP126" s="67" t="str" vm="7692">
        <f>CUBEVALUE(ConnectionString,ReportMonth,Table1[[#This Row],[Site ID (from DATIM)]],"[Measures].[TBPREV_D]")</f>
        <v/>
      </c>
      <c r="AQ126" s="67" t="str" vm="5391">
        <f>CUBEVALUE(ConnectionString,ReportMonth,Table1[[#This Row],[Site ID (from DATIM)]],"[Measures].[TBPREV_N]")</f>
        <v/>
      </c>
      <c r="AR126" s="67" t="str" vm="9278">
        <f>CUBEVALUE(ConnectionString,ReportMonth,Table1[[#This Row],[Site ID (from DATIM)]],"[Measures].[TBPREV_NEW]")</f>
        <v/>
      </c>
      <c r="AS126" s="67" t="str" vm="5179">
        <f>CUBEVALUE(ConnectionString,ReportMonth,Table1[[#This Row],[Site ID (from DATIM)]],"[Measures].[HVL_ELIG_P]")</f>
        <v/>
      </c>
      <c r="AT126" s="67" t="str" vm="8067">
        <f>CUBEVALUE(ConnectionString,ReportMonth,Table1[[#This Row],[Site ID (from DATIM)]],"[Measures].[HVL_D_P]")</f>
        <v/>
      </c>
      <c r="AU126" s="67" t="str" vm="8452">
        <f>CUBEVALUE(ConnectionString,ReportMonth,Table1[[#This Row],[Site ID (from DATIM)]],"[Measures].[HVL_N_P]")</f>
        <v/>
      </c>
      <c r="AV126" s="68" t="str" vm="11293">
        <f>CUBEVALUE(ConnectionString,ReportMonth,Table1[[#This Row],[Site ID (from DATIM)]],"[Measures].[HVL_ELIG_A]")</f>
        <v/>
      </c>
      <c r="AW126" s="68" t="str" vm="8649">
        <f>CUBEVALUE(ConnectionString,ReportMonth,Table1[[#This Row],[Site ID (from DATIM)]],"[Measures].[HVL_D_A]")</f>
        <v/>
      </c>
      <c r="AX126" s="68" t="str" vm="6356">
        <f>CUBEVALUE(ConnectionString,ReportMonth,Table1[[#This Row],[Site ID (from DATIM)]],"[Measures].[HVL_N_A]")</f>
        <v/>
      </c>
      <c r="AY126" s="67"/>
      <c r="AZ126" s="67"/>
      <c r="BA126" s="67"/>
      <c r="BB126" s="67"/>
      <c r="BC126" s="67"/>
      <c r="BD126" s="67"/>
      <c r="BE126" s="67"/>
      <c r="BF126" s="67"/>
      <c r="BG126" s="67" t="str" vm="12166">
        <f>CUBEVALUE(ConnectionString,ReportMonth,Table1[[#This Row],[Site ID (from DATIM)]],"[Measures].[TX_NEW_F_A]")</f>
        <v/>
      </c>
      <c r="BH126" s="67" t="str" vm="11242">
        <f>CUBEVALUE(ConnectionString,ReportMonth,Table1[[#This Row],[Site ID (from DATIM)]],"[Measures].[TX_NEW_M_A]")</f>
        <v/>
      </c>
      <c r="BI126" s="67" t="str" vm="16195">
        <f>CUBEVALUE(ConnectionString,ReportMonth,Table1[[#This Row],[Site ID (from DATIM)]],"[Measures].[TX_NEW_F_P]")</f>
        <v/>
      </c>
      <c r="BJ126" s="68" t="str" vm="17412">
        <f>CUBEVALUE(ConnectionString,ReportMonth,Table1[[#This Row],[Site ID (from DATIM)]],"[Measures].[TX_NEW_M_P]")</f>
        <v/>
      </c>
      <c r="BK126" s="68"/>
      <c r="BL126" s="68"/>
      <c r="BM126" s="68"/>
      <c r="BN126" s="68"/>
      <c r="BO126" s="68"/>
      <c r="BP126" s="68"/>
      <c r="BQ126" s="68" t="str" vm="11132">
        <f>CUBEVALUE(ConnectionString,ReportMonth,Table1[[#This Row],[Site ID (from DATIM)]],"[Measures].[TX_CURR_F_P]")</f>
        <v/>
      </c>
      <c r="BR126" s="68" t="str" vm="8136">
        <f>CUBEVALUE(ConnectionString,ReportMonth,Table1[[#This Row],[Site ID (from DATIM)]],"[Measures].[TX_CURR_M_P]")</f>
        <v/>
      </c>
      <c r="BS126" s="68" t="str" vm="10198">
        <f>CUBEVALUE(ConnectionString,ReportMonth,Table1[[#This Row],[Site ID (from DATIM)]],"[Measures].[TX_CURR_F_A]")</f>
        <v/>
      </c>
      <c r="BT126" s="68" t="str" vm="13879">
        <f>CUBEVALUE(ConnectionString,ReportMonth,Table1[[#This Row],[Site ID (from DATIM)]],"[Measures].[TX_CURR_M_A]")</f>
        <v/>
      </c>
      <c r="BU126" s="68" t="str" vm="20131">
        <f>CUBEVALUE(ConnectionString,ReportMonth,Table1[[#This Row],[Site ID (from DATIM)]],"[Measures].[MMS_01_89_F_P]")</f>
        <v/>
      </c>
      <c r="BV126" s="68" t="str" vm="19735">
        <f>CUBEVALUE(ConnectionString,ReportMonth,Table1[[#This Row],[Site ID (from DATIM)]],"[Measures].[MMS_01_89_M_P]")</f>
        <v/>
      </c>
      <c r="BW126" s="68" t="str" vm="18017">
        <f>CUBEVALUE(ConnectionString,ReportMonth,Table1[[#This Row],[Site ID (from DATIM)]],"[Measures].[MMS_01_89_F_A]")</f>
        <v/>
      </c>
      <c r="BX126" s="68" t="str" vm="19422">
        <f>CUBEVALUE(ConnectionString,ReportMonth,Table1[[#This Row],[Site ID (from DATIM)]],"[Measures].[MMS_01_89_M_A]")</f>
        <v/>
      </c>
      <c r="BY126" s="68" t="str" vm="19125">
        <f>CUBEVALUE(ConnectionString,ReportMonth,Table1[[#This Row],[Site ID (from DATIM)]],"[Measures].[MMS_90_179_F_P]")</f>
        <v/>
      </c>
      <c r="BZ126" s="68" t="str" vm="16960">
        <f>CUBEVALUE(ConnectionString,ReportMonth,Table1[[#This Row],[Site ID (from DATIM)]],"[Measures].[MMS_90_179_M_P]")</f>
        <v/>
      </c>
      <c r="CA126" s="68" t="str" vm="17783">
        <f>CUBEVALUE(ConnectionString,ReportMonth,Table1[[#This Row],[Site ID (from DATIM)]],"[Measures].[MMS_90_179_F_A]")</f>
        <v/>
      </c>
      <c r="CB126" s="68" t="str" vm="15113">
        <f>CUBEVALUE(ConnectionString,ReportMonth,Table1[[#This Row],[Site ID (from DATIM)]],"[Measures].[MMS_90_179_M_A]")</f>
        <v/>
      </c>
      <c r="CC126" s="68" t="str" vm="19552">
        <f>CUBEVALUE(ConnectionString,ReportMonth,Table1[[#This Row],[Site ID (from DATIM)]],"[Measures].[MMS_180+_F_P]")</f>
        <v/>
      </c>
      <c r="CD126" s="68" t="str" vm="14914">
        <f>CUBEVALUE(ConnectionString,ReportMonth,Table1[[#This Row],[Site ID (from DATIM)]],"[Measures].[MMS_180+_M_P]")</f>
        <v/>
      </c>
      <c r="CE126" s="68" t="str" vm="20234">
        <f>CUBEVALUE(ConnectionString,ReportMonth,Table1[[#This Row],[Site ID (from DATIM)]],"[Measures].[MMS_180+_F_A]")</f>
        <v/>
      </c>
      <c r="CF126" s="68" t="str" vm="16702">
        <f>CUBEVALUE(ConnectionString,ReportMonth,Table1[[#This Row],[Site ID (from DATIM)]],"[Measures].[MMS_180+_M_A]")</f>
        <v/>
      </c>
      <c r="CG126" s="68" t="str" vm="10770">
        <f>CUBEVALUE(ConnectionString,ReportMonth,Table1[[#This Row],[Site ID (from DATIM)]],"[Measures].[MISSEDAPP]")</f>
        <v/>
      </c>
      <c r="CH126" s="68" t="str" vm="10454">
        <f>CUBEVALUE(ConnectionString,ReportMonth,Table1[[#This Row],[Site ID (from DATIM)]],"[Measures].[MMS_180+_P]")</f>
        <v/>
      </c>
      <c r="CI126" s="68" t="str" vm="12538">
        <f>CUBEVALUE(ConnectionString,ReportMonth,Table1[[#This Row],[Site ID (from DATIM)]],"[Measures].[MMS_180+_A]")</f>
        <v/>
      </c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  <c r="CW126" s="68"/>
      <c r="CX126" s="68"/>
      <c r="CY126" s="68"/>
      <c r="CZ126" s="68"/>
      <c r="DA126" s="68"/>
      <c r="DB126" s="68"/>
      <c r="DC126" s="68"/>
    </row>
    <row r="127" spans="1:107" x14ac:dyDescent="0.25">
      <c r="A127" s="66">
        <v>4</v>
      </c>
      <c r="B127" s="67" t="str" vm="4">
        <f t="shared" si="2"/>
        <v>Mar-2021</v>
      </c>
      <c r="C127" s="67"/>
      <c r="D127" s="67" t="s">
        <v>232</v>
      </c>
      <c r="E127" s="67" t="s">
        <v>233</v>
      </c>
      <c r="F127" s="67" t="s">
        <v>831</v>
      </c>
      <c r="G127" s="67"/>
      <c r="H127" s="67" t="s">
        <v>847</v>
      </c>
      <c r="I127" s="67" t="s">
        <v>883</v>
      </c>
      <c r="J127" s="67" t="s">
        <v>881</v>
      </c>
      <c r="K127" s="67" t="s">
        <v>884</v>
      </c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 t="str" vm="2990">
        <f>CUBEVALUE(ConnectionString,ReportMonth,Table1[[#This Row],[Site ID (from DATIM)]],"TX_NEW_2VIS")</f>
        <v/>
      </c>
      <c r="AE127" s="67" t="str" vm="363">
        <f>CUBEVALUE(ConnectionString,ReportMonth,Table1[[#This Row],[Site ID (from DATIM)]],INDEX(SDI_Measures,1))</f>
        <v/>
      </c>
      <c r="AF127" s="67" t="str" vm="3530">
        <f>CUBEVALUE(ConnectionString,ReportMonth,Table1[[#This Row],[Site ID (from DATIM)]],INDEX(SDI_Measures,2))</f>
        <v/>
      </c>
      <c r="AG127" s="67" t="str" vm="867">
        <f>CUBEVALUE(ConnectionString,ReportMonth,Table1[[#This Row],[Site ID (from DATIM)]],INDEX(SDI_Measures,3))</f>
        <v/>
      </c>
      <c r="AH127" s="67" t="str" vm="1241">
        <f>CUBEVALUE(ConnectionString,ReportMonth,Table1[[#This Row],[Site ID (from DATIM)]],"TX_CURR_PRIOR_MONTH")</f>
        <v/>
      </c>
      <c r="AI127" s="67" t="str" vm="1078">
        <f>CUBEVALUE(ConnectionString,ReportMonth,Table1[[#This Row],[Site ID (from DATIM)]],"TX_CURR")</f>
        <v/>
      </c>
      <c r="AJ127" s="67" t="str" vm="780">
        <f>CUBEVALUE(ConnectionString,ReportMonth,Table1[[#This Row],[Site ID (from DATIM)]],"[Measures].[TI]")</f>
        <v/>
      </c>
      <c r="AK127" s="67" t="str" vm="4397">
        <f>CUBEVALUE(ConnectionString,ReportMonth,Table1[[#This Row],[Site ID (from DATIM)]],"[Measures].[TO]")</f>
        <v/>
      </c>
      <c r="AL127" s="67" t="str" vm="2253">
        <f>CUBEVALUE(ConnectionString,ReportMonth,Table1[[#This Row],[Site ID (from DATIM)]],"[Measures].[DIED]")</f>
        <v/>
      </c>
      <c r="AM127" s="67" t="str" vm="6844">
        <f>CUBEVALUE(ConnectionString,ReportMonth,Table1[[#This Row],[Site ID (from DATIM)]],"[Measures].[MMS_01_31]")</f>
        <v/>
      </c>
      <c r="AN127" s="67" t="str" vm="5736">
        <f>CUBEVALUE(ConnectionString,ReportMonth,Table1[[#This Row],[Site ID (from DATIM)]],"[Measures].[MMS_32_62]")</f>
        <v/>
      </c>
      <c r="AO127" s="67" t="str" vm="7831">
        <f>CUBEVALUE(ConnectionString,ReportMonth,Table1[[#This Row],[Site ID (from DATIM)]],"[Measures].[MMS_63+]")</f>
        <v/>
      </c>
      <c r="AP127" s="67" t="str" vm="6891">
        <f>CUBEVALUE(ConnectionString,ReportMonth,Table1[[#This Row],[Site ID (from DATIM)]],"[Measures].[TBPREV_D]")</f>
        <v/>
      </c>
      <c r="AQ127" s="67" t="str" vm="7646">
        <f>CUBEVALUE(ConnectionString,ReportMonth,Table1[[#This Row],[Site ID (from DATIM)]],"[Measures].[TBPREV_N]")</f>
        <v/>
      </c>
      <c r="AR127" s="67" t="str" vm="6276">
        <f>CUBEVALUE(ConnectionString,ReportMonth,Table1[[#This Row],[Site ID (from DATIM)]],"[Measures].[TBPREV_NEW]")</f>
        <v/>
      </c>
      <c r="AS127" s="67" t="str" vm="8179">
        <f>CUBEVALUE(ConnectionString,ReportMonth,Table1[[#This Row],[Site ID (from DATIM)]],"[Measures].[HVL_ELIG_P]")</f>
        <v/>
      </c>
      <c r="AT127" s="67" t="str" vm="8466">
        <f>CUBEVALUE(ConnectionString,ReportMonth,Table1[[#This Row],[Site ID (from DATIM)]],"[Measures].[HVL_D_P]")</f>
        <v/>
      </c>
      <c r="AU127" s="67" t="str" vm="9984">
        <f>CUBEVALUE(ConnectionString,ReportMonth,Table1[[#This Row],[Site ID (from DATIM)]],"[Measures].[HVL_N_P]")</f>
        <v/>
      </c>
      <c r="AV127" s="68" t="str" vm="9182">
        <f>CUBEVALUE(ConnectionString,ReportMonth,Table1[[#This Row],[Site ID (from DATIM)]],"[Measures].[HVL_ELIG_A]")</f>
        <v/>
      </c>
      <c r="AW127" s="68" t="str" vm="7051">
        <f>CUBEVALUE(ConnectionString,ReportMonth,Table1[[#This Row],[Site ID (from DATIM)]],"[Measures].[HVL_D_A]")</f>
        <v/>
      </c>
      <c r="AX127" s="68" t="str" vm="7923">
        <f>CUBEVALUE(ConnectionString,ReportMonth,Table1[[#This Row],[Site ID (from DATIM)]],"[Measures].[HVL_N_A]")</f>
        <v/>
      </c>
      <c r="AY127" s="67"/>
      <c r="AZ127" s="67"/>
      <c r="BA127" s="67"/>
      <c r="BB127" s="67"/>
      <c r="BC127" s="67"/>
      <c r="BD127" s="67"/>
      <c r="BE127" s="67"/>
      <c r="BF127" s="67"/>
      <c r="BG127" s="67" t="str" vm="12807">
        <f>CUBEVALUE(ConnectionString,ReportMonth,Table1[[#This Row],[Site ID (from DATIM)]],"[Measures].[TX_NEW_F_A]")</f>
        <v/>
      </c>
      <c r="BH127" s="67" t="str" vm="13690">
        <f>CUBEVALUE(ConnectionString,ReportMonth,Table1[[#This Row],[Site ID (from DATIM)]],"[Measures].[TX_NEW_M_A]")</f>
        <v/>
      </c>
      <c r="BI127" s="67" t="str" vm="12066">
        <f>CUBEVALUE(ConnectionString,ReportMonth,Table1[[#This Row],[Site ID (from DATIM)]],"[Measures].[TX_NEW_F_P]")</f>
        <v/>
      </c>
      <c r="BJ127" s="68" t="str" vm="13462">
        <f>CUBEVALUE(ConnectionString,ReportMonth,Table1[[#This Row],[Site ID (from DATIM)]],"[Measures].[TX_NEW_M_P]")</f>
        <v/>
      </c>
      <c r="BK127" s="68"/>
      <c r="BL127" s="68"/>
      <c r="BM127" s="68"/>
      <c r="BN127" s="68"/>
      <c r="BO127" s="68"/>
      <c r="BP127" s="68"/>
      <c r="BQ127" s="68" t="str" vm="7231">
        <f>CUBEVALUE(ConnectionString,ReportMonth,Table1[[#This Row],[Site ID (from DATIM)]],"[Measures].[TX_CURR_F_P]")</f>
        <v/>
      </c>
      <c r="BR127" s="68" t="str" vm="10096">
        <f>CUBEVALUE(ConnectionString,ReportMonth,Table1[[#This Row],[Site ID (from DATIM)]],"[Measures].[TX_CURR_M_P]")</f>
        <v/>
      </c>
      <c r="BS127" s="68" t="str" vm="9540">
        <f>CUBEVALUE(ConnectionString,ReportMonth,Table1[[#This Row],[Site ID (from DATIM)]],"[Measures].[TX_CURR_F_A]")</f>
        <v/>
      </c>
      <c r="BT127" s="68" t="str" vm="13153">
        <f>CUBEVALUE(ConnectionString,ReportMonth,Table1[[#This Row],[Site ID (from DATIM)]],"[Measures].[TX_CURR_M_A]")</f>
        <v/>
      </c>
      <c r="BU127" s="68" t="str" vm="18770">
        <f>CUBEVALUE(ConnectionString,ReportMonth,Table1[[#This Row],[Site ID (from DATIM)]],"[Measures].[MMS_01_89_F_P]")</f>
        <v/>
      </c>
      <c r="BV127" s="68" t="str" vm="18120">
        <f>CUBEVALUE(ConnectionString,ReportMonth,Table1[[#This Row],[Site ID (from DATIM)]],"[Measures].[MMS_01_89_M_P]")</f>
        <v/>
      </c>
      <c r="BW127" s="68" t="str" vm="19202">
        <f>CUBEVALUE(ConnectionString,ReportMonth,Table1[[#This Row],[Site ID (from DATIM)]],"[Measures].[MMS_01_89_F_A]")</f>
        <v/>
      </c>
      <c r="BX127" s="68" t="str" vm="19942">
        <f>CUBEVALUE(ConnectionString,ReportMonth,Table1[[#This Row],[Site ID (from DATIM)]],"[Measures].[MMS_01_89_M_A]")</f>
        <v/>
      </c>
      <c r="BY127" s="68" t="str" vm="15233">
        <f>CUBEVALUE(ConnectionString,ReportMonth,Table1[[#This Row],[Site ID (from DATIM)]],"[Measures].[MMS_90_179_F_P]")</f>
        <v/>
      </c>
      <c r="BZ127" s="68" t="str" vm="17897">
        <f>CUBEVALUE(ConnectionString,ReportMonth,Table1[[#This Row],[Site ID (from DATIM)]],"[Measures].[MMS_90_179_M_P]")</f>
        <v/>
      </c>
      <c r="CA127" s="68" t="str" vm="16683">
        <f>CUBEVALUE(ConnectionString,ReportMonth,Table1[[#This Row],[Site ID (from DATIM)]],"[Measures].[MMS_90_179_F_A]")</f>
        <v/>
      </c>
      <c r="CB127" s="68" t="str" vm="15572">
        <f>CUBEVALUE(ConnectionString,ReportMonth,Table1[[#This Row],[Site ID (from DATIM)]],"[Measures].[MMS_90_179_M_A]")</f>
        <v/>
      </c>
      <c r="CC127" s="68" t="str" vm="16777">
        <f>CUBEVALUE(ConnectionString,ReportMonth,Table1[[#This Row],[Site ID (from DATIM)]],"[Measures].[MMS_180+_F_P]")</f>
        <v/>
      </c>
      <c r="CD127" s="68" t="str" vm="16368">
        <f>CUBEVALUE(ConnectionString,ReportMonth,Table1[[#This Row],[Site ID (from DATIM)]],"[Measures].[MMS_180+_M_P]")</f>
        <v/>
      </c>
      <c r="CE127" s="68" t="str" vm="80">
        <f>CUBEVALUE(ConnectionString,ReportMonth,Table1[[#This Row],[Site ID (from DATIM)]],"[Measures].[MMS_180+_F_A]")</f>
        <v/>
      </c>
      <c r="CF127" s="68" t="str" vm="14949">
        <f>CUBEVALUE(ConnectionString,ReportMonth,Table1[[#This Row],[Site ID (from DATIM)]],"[Measures].[MMS_180+_M_A]")</f>
        <v/>
      </c>
      <c r="CG127" s="68" t="str" vm="6760">
        <f>CUBEVALUE(ConnectionString,ReportMonth,Table1[[#This Row],[Site ID (from DATIM)]],"[Measures].[MISSEDAPP]")</f>
        <v/>
      </c>
      <c r="CH127" s="68" t="str" vm="13224">
        <f>CUBEVALUE(ConnectionString,ReportMonth,Table1[[#This Row],[Site ID (from DATIM)]],"[Measures].[MMS_180+_P]")</f>
        <v/>
      </c>
      <c r="CI127" s="68" t="str" vm="10698">
        <f>CUBEVALUE(ConnectionString,ReportMonth,Table1[[#This Row],[Site ID (from DATIM)]],"[Measures].[MMS_180+_A]")</f>
        <v/>
      </c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  <c r="CW127" s="68"/>
      <c r="CX127" s="68"/>
      <c r="CY127" s="68"/>
      <c r="CZ127" s="68"/>
      <c r="DA127" s="68"/>
      <c r="DB127" s="68"/>
      <c r="DC127" s="68"/>
    </row>
    <row r="128" spans="1:107" x14ac:dyDescent="0.25">
      <c r="A128" s="66">
        <v>4</v>
      </c>
      <c r="B128" s="67" t="str" vm="4">
        <f t="shared" si="2"/>
        <v>Mar-2021</v>
      </c>
      <c r="C128" s="67"/>
      <c r="D128" s="67" t="s">
        <v>232</v>
      </c>
      <c r="E128" s="67" t="s">
        <v>233</v>
      </c>
      <c r="F128" s="67" t="s">
        <v>1083</v>
      </c>
      <c r="G128" s="67"/>
      <c r="H128" s="67" t="s">
        <v>1160</v>
      </c>
      <c r="I128" s="67" t="s">
        <v>1161</v>
      </c>
      <c r="J128" s="67" t="s">
        <v>1162</v>
      </c>
      <c r="K128" s="67" t="s">
        <v>1163</v>
      </c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 t="str" vm="1483">
        <f>CUBEVALUE(ConnectionString,ReportMonth,Table1[[#This Row],[Site ID (from DATIM)]],"TX_NEW_2VIS")</f>
        <v/>
      </c>
      <c r="AE128" s="67" t="str" vm="951">
        <f>CUBEVALUE(ConnectionString,ReportMonth,Table1[[#This Row],[Site ID (from DATIM)]],INDEX(SDI_Measures,1))</f>
        <v/>
      </c>
      <c r="AF128" s="67" t="str" vm="1594">
        <f>CUBEVALUE(ConnectionString,ReportMonth,Table1[[#This Row],[Site ID (from DATIM)]],INDEX(SDI_Measures,2))</f>
        <v/>
      </c>
      <c r="AG128" s="67" t="str" vm="1251">
        <f>CUBEVALUE(ConnectionString,ReportMonth,Table1[[#This Row],[Site ID (from DATIM)]],INDEX(SDI_Measures,3))</f>
        <v/>
      </c>
      <c r="AH128" s="67" vm="4487">
        <f>CUBEVALUE(ConnectionString,ReportMonth,Table1[[#This Row],[Site ID (from DATIM)]],"TX_CURR_PRIOR_MONTH")</f>
        <v>3</v>
      </c>
      <c r="AI128" s="67" vm="2880">
        <f>CUBEVALUE(ConnectionString,ReportMonth,Table1[[#This Row],[Site ID (from DATIM)]],"TX_CURR")</f>
        <v>1</v>
      </c>
      <c r="AJ128" s="67" t="str" vm="4537">
        <f>CUBEVALUE(ConnectionString,ReportMonth,Table1[[#This Row],[Site ID (from DATIM)]],"[Measures].[TI]")</f>
        <v/>
      </c>
      <c r="AK128" s="67" t="str" vm="3740">
        <f>CUBEVALUE(ConnectionString,ReportMonth,Table1[[#This Row],[Site ID (from DATIM)]],"[Measures].[TO]")</f>
        <v/>
      </c>
      <c r="AL128" s="67" t="str" vm="387">
        <f>CUBEVALUE(ConnectionString,ReportMonth,Table1[[#This Row],[Site ID (from DATIM)]],"[Measures].[DIED]")</f>
        <v/>
      </c>
      <c r="AM128" s="67" t="str" vm="5917">
        <f>CUBEVALUE(ConnectionString,ReportMonth,Table1[[#This Row],[Site ID (from DATIM)]],"[Measures].[MMS_01_31]")</f>
        <v/>
      </c>
      <c r="AN128" s="67" vm="11084">
        <f>CUBEVALUE(ConnectionString,ReportMonth,Table1[[#This Row],[Site ID (from DATIM)]],"[Measures].[MMS_32_62]")</f>
        <v>1</v>
      </c>
      <c r="AO128" s="67" t="str" vm="9953">
        <f>CUBEVALUE(ConnectionString,ReportMonth,Table1[[#This Row],[Site ID (from DATIM)]],"[Measures].[MMS_63+]")</f>
        <v/>
      </c>
      <c r="AP128" s="67" t="str" vm="6851">
        <f>CUBEVALUE(ConnectionString,ReportMonth,Table1[[#This Row],[Site ID (from DATIM)]],"[Measures].[TBPREV_D]")</f>
        <v/>
      </c>
      <c r="AQ128" s="67" t="str" vm="4936">
        <f>CUBEVALUE(ConnectionString,ReportMonth,Table1[[#This Row],[Site ID (from DATIM)]],"[Measures].[TBPREV_N]")</f>
        <v/>
      </c>
      <c r="AR128" s="67" t="str" vm="7609">
        <f>CUBEVALUE(ConnectionString,ReportMonth,Table1[[#This Row],[Site ID (from DATIM)]],"[Measures].[TBPREV_NEW]")</f>
        <v/>
      </c>
      <c r="AS128" s="67" vm="5705">
        <f>CUBEVALUE(ConnectionString,ReportMonth,Table1[[#This Row],[Site ID (from DATIM)]],"[Measures].[HVL_ELIG_P]")</f>
        <v>1</v>
      </c>
      <c r="AT128" s="67" t="str" vm="12362">
        <f>CUBEVALUE(ConnectionString,ReportMonth,Table1[[#This Row],[Site ID (from DATIM)]],"[Measures].[HVL_D_P]")</f>
        <v/>
      </c>
      <c r="AU128" s="67" t="str" vm="8138">
        <f>CUBEVALUE(ConnectionString,ReportMonth,Table1[[#This Row],[Site ID (from DATIM)]],"[Measures].[HVL_N_P]")</f>
        <v/>
      </c>
      <c r="AV128" s="68" t="str" vm="12014">
        <f>CUBEVALUE(ConnectionString,ReportMonth,Table1[[#This Row],[Site ID (from DATIM)]],"[Measures].[HVL_ELIG_A]")</f>
        <v/>
      </c>
      <c r="AW128" s="68" t="str" vm="8201">
        <f>CUBEVALUE(ConnectionString,ReportMonth,Table1[[#This Row],[Site ID (from DATIM)]],"[Measures].[HVL_D_A]")</f>
        <v/>
      </c>
      <c r="AX128" s="68" t="str" vm="8680">
        <f>CUBEVALUE(ConnectionString,ReportMonth,Table1[[#This Row],[Site ID (from DATIM)]],"[Measures].[HVL_N_A]")</f>
        <v/>
      </c>
      <c r="AY128" s="67"/>
      <c r="AZ128" s="67"/>
      <c r="BA128" s="67"/>
      <c r="BB128" s="67"/>
      <c r="BC128" s="67"/>
      <c r="BD128" s="67"/>
      <c r="BE128" s="67"/>
      <c r="BF128" s="67"/>
      <c r="BG128" s="67" t="str" vm="12950">
        <f>CUBEVALUE(ConnectionString,ReportMonth,Table1[[#This Row],[Site ID (from DATIM)]],"[Measures].[TX_NEW_F_A]")</f>
        <v/>
      </c>
      <c r="BH128" s="67" t="str" vm="15315">
        <f>CUBEVALUE(ConnectionString,ReportMonth,Table1[[#This Row],[Site ID (from DATIM)]],"[Measures].[TX_NEW_M_A]")</f>
        <v/>
      </c>
      <c r="BI128" s="67" t="str" vm="12579">
        <f>CUBEVALUE(ConnectionString,ReportMonth,Table1[[#This Row],[Site ID (from DATIM)]],"[Measures].[TX_NEW_F_P]")</f>
        <v/>
      </c>
      <c r="BJ128" s="68" t="str" vm="14400">
        <f>CUBEVALUE(ConnectionString,ReportMonth,Table1[[#This Row],[Site ID (from DATIM)]],"[Measures].[TX_NEW_M_P]")</f>
        <v/>
      </c>
      <c r="BK128" s="68"/>
      <c r="BL128" s="68"/>
      <c r="BM128" s="68"/>
      <c r="BN128" s="68"/>
      <c r="BO128" s="68"/>
      <c r="BP128" s="68"/>
      <c r="BQ128" s="68" t="str" vm="11454">
        <f>CUBEVALUE(ConnectionString,ReportMonth,Table1[[#This Row],[Site ID (from DATIM)]],"[Measures].[TX_CURR_F_P]")</f>
        <v/>
      </c>
      <c r="BR128" s="68" vm="11117">
        <f>CUBEVALUE(ConnectionString,ReportMonth,Table1[[#This Row],[Site ID (from DATIM)]],"[Measures].[TX_CURR_M_P]")</f>
        <v>1</v>
      </c>
      <c r="BS128" s="68" t="str" vm="11318">
        <f>CUBEVALUE(ConnectionString,ReportMonth,Table1[[#This Row],[Site ID (from DATIM)]],"[Measures].[TX_CURR_F_A]")</f>
        <v/>
      </c>
      <c r="BT128" s="68" t="str" vm="11497">
        <f>CUBEVALUE(ConnectionString,ReportMonth,Table1[[#This Row],[Site ID (from DATIM)]],"[Measures].[TX_CURR_M_A]")</f>
        <v/>
      </c>
      <c r="BU128" s="68" t="str" vm="18690">
        <f>CUBEVALUE(ConnectionString,ReportMonth,Table1[[#This Row],[Site ID (from DATIM)]],"[Measures].[MMS_01_89_F_P]")</f>
        <v/>
      </c>
      <c r="BV128" s="68" vm="19628">
        <f>CUBEVALUE(ConnectionString,ReportMonth,Table1[[#This Row],[Site ID (from DATIM)]],"[Measures].[MMS_01_89_M_P]")</f>
        <v>1</v>
      </c>
      <c r="BW128" s="68" t="str" vm="17326">
        <f>CUBEVALUE(ConnectionString,ReportMonth,Table1[[#This Row],[Site ID (from DATIM)]],"[Measures].[MMS_01_89_F_A]")</f>
        <v/>
      </c>
      <c r="BX128" s="68" t="str" vm="19210">
        <f>CUBEVALUE(ConnectionString,ReportMonth,Table1[[#This Row],[Site ID (from DATIM)]],"[Measures].[MMS_01_89_M_A]")</f>
        <v/>
      </c>
      <c r="BY128" s="68" t="str" vm="15628">
        <f>CUBEVALUE(ConnectionString,ReportMonth,Table1[[#This Row],[Site ID (from DATIM)]],"[Measures].[MMS_90_179_F_P]")</f>
        <v/>
      </c>
      <c r="BZ128" s="68" t="str" vm="16514">
        <f>CUBEVALUE(ConnectionString,ReportMonth,Table1[[#This Row],[Site ID (from DATIM)]],"[Measures].[MMS_90_179_M_P]")</f>
        <v/>
      </c>
      <c r="CA128" s="68" t="str" vm="15625">
        <f>CUBEVALUE(ConnectionString,ReportMonth,Table1[[#This Row],[Site ID (from DATIM)]],"[Measures].[MMS_90_179_F_A]")</f>
        <v/>
      </c>
      <c r="CB128" s="68" t="str" vm="16505">
        <f>CUBEVALUE(ConnectionString,ReportMonth,Table1[[#This Row],[Site ID (from DATIM)]],"[Measures].[MMS_90_179_M_A]")</f>
        <v/>
      </c>
      <c r="CC128" s="68" t="str" vm="16405">
        <f>CUBEVALUE(ConnectionString,ReportMonth,Table1[[#This Row],[Site ID (from DATIM)]],"[Measures].[MMS_180+_F_P]")</f>
        <v/>
      </c>
      <c r="CD128" s="68" t="str" vm="17586">
        <f>CUBEVALUE(ConnectionString,ReportMonth,Table1[[#This Row],[Site ID (from DATIM)]],"[Measures].[MMS_180+_M_P]")</f>
        <v/>
      </c>
      <c r="CE128" s="68" t="str" vm="16673">
        <f>CUBEVALUE(ConnectionString,ReportMonth,Table1[[#This Row],[Site ID (from DATIM)]],"[Measures].[MMS_180+_F_A]")</f>
        <v/>
      </c>
      <c r="CF128" s="68" t="str" vm="140">
        <f>CUBEVALUE(ConnectionString,ReportMonth,Table1[[#This Row],[Site ID (from DATIM)]],"[Measures].[MMS_180+_M_A]")</f>
        <v/>
      </c>
      <c r="CG128" s="68" vm="4844">
        <f>CUBEVALUE(ConnectionString,ReportMonth,Table1[[#This Row],[Site ID (from DATIM)]],"[Measures].[MISSEDAPP]")</f>
        <v>1</v>
      </c>
      <c r="CH128" s="68" t="str" vm="10103">
        <f>CUBEVALUE(ConnectionString,ReportMonth,Table1[[#This Row],[Site ID (from DATIM)]],"[Measures].[MMS_180+_P]")</f>
        <v/>
      </c>
      <c r="CI128" s="68" t="str" vm="11461">
        <f>CUBEVALUE(ConnectionString,ReportMonth,Table1[[#This Row],[Site ID (from DATIM)]],"[Measures].[MMS_180+_A]")</f>
        <v/>
      </c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  <c r="CW128" s="68"/>
      <c r="CX128" s="68"/>
      <c r="CY128" s="68"/>
      <c r="CZ128" s="68"/>
      <c r="DA128" s="68"/>
      <c r="DB128" s="68"/>
      <c r="DC128" s="68"/>
    </row>
    <row r="129" spans="1:107" x14ac:dyDescent="0.25">
      <c r="A129" s="66">
        <v>1</v>
      </c>
      <c r="B129" s="67" t="str" vm="4">
        <f t="shared" si="2"/>
        <v>Mar-2021</v>
      </c>
      <c r="C129" s="67"/>
      <c r="D129" s="67" t="s">
        <v>232</v>
      </c>
      <c r="E129" s="67" t="s">
        <v>233</v>
      </c>
      <c r="F129" s="67" t="s">
        <v>234</v>
      </c>
      <c r="G129" s="67"/>
      <c r="H129" s="67" t="s">
        <v>239</v>
      </c>
      <c r="I129" s="67" t="s">
        <v>278</v>
      </c>
      <c r="J129" s="67" t="s">
        <v>279</v>
      </c>
      <c r="K129" s="67" t="s">
        <v>280</v>
      </c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 vm="2168">
        <f>CUBEVALUE(ConnectionString,ReportMonth,Table1[[#This Row],[Site ID (from DATIM)]],"TX_NEW_2VIS")</f>
        <v>6</v>
      </c>
      <c r="AE129" s="67" vm="3069">
        <f>CUBEVALUE(ConnectionString,ReportMonth,Table1[[#This Row],[Site ID (from DATIM)]],INDEX(SDI_Measures,1))</f>
        <v>12</v>
      </c>
      <c r="AF129" s="67" t="str" vm="1292">
        <f>CUBEVALUE(ConnectionString,ReportMonth,Table1[[#This Row],[Site ID (from DATIM)]],INDEX(SDI_Measures,2))</f>
        <v/>
      </c>
      <c r="AG129" s="67" t="str" vm="2420">
        <f>CUBEVALUE(ConnectionString,ReportMonth,Table1[[#This Row],[Site ID (from DATIM)]],INDEX(SDI_Measures,3))</f>
        <v/>
      </c>
      <c r="AH129" s="67" vm="2256">
        <f>CUBEVALUE(ConnectionString,ReportMonth,Table1[[#This Row],[Site ID (from DATIM)]],"TX_CURR_PRIOR_MONTH")</f>
        <v>1619</v>
      </c>
      <c r="AI129" s="67" vm="885">
        <f>CUBEVALUE(ConnectionString,ReportMonth,Table1[[#This Row],[Site ID (from DATIM)]],"TX_CURR")</f>
        <v>1560</v>
      </c>
      <c r="AJ129" s="67" vm="1710">
        <f>CUBEVALUE(ConnectionString,ReportMonth,Table1[[#This Row],[Site ID (from DATIM)]],"[Measures].[TI]")</f>
        <v>2</v>
      </c>
      <c r="AK129" s="67" t="str" vm="2555">
        <f>CUBEVALUE(ConnectionString,ReportMonth,Table1[[#This Row],[Site ID (from DATIM)]],"[Measures].[TO]")</f>
        <v/>
      </c>
      <c r="AL129" s="67" t="str" vm="1428">
        <f>CUBEVALUE(ConnectionString,ReportMonth,Table1[[#This Row],[Site ID (from DATIM)]],"[Measures].[DIED]")</f>
        <v/>
      </c>
      <c r="AM129" s="67" vm="4047">
        <f>CUBEVALUE(ConnectionString,ReportMonth,Table1[[#This Row],[Site ID (from DATIM)]],"[Measures].[MMS_01_31]")</f>
        <v>222</v>
      </c>
      <c r="AN129" s="67" vm="5231">
        <f>CUBEVALUE(ConnectionString,ReportMonth,Table1[[#This Row],[Site ID (from DATIM)]],"[Measures].[MMS_32_62]")</f>
        <v>251</v>
      </c>
      <c r="AO129" s="67" vm="13585">
        <f>CUBEVALUE(ConnectionString,ReportMonth,Table1[[#This Row],[Site ID (from DATIM)]],"[Measures].[MMS_63+]")</f>
        <v>1087</v>
      </c>
      <c r="AP129" s="67" vm="6481">
        <f>CUBEVALUE(ConnectionString,ReportMonth,Table1[[#This Row],[Site ID (from DATIM)]],"[Measures].[TBPREV_D]")</f>
        <v>27</v>
      </c>
      <c r="AQ129" s="67" vm="7694">
        <f>CUBEVALUE(ConnectionString,ReportMonth,Table1[[#This Row],[Site ID (from DATIM)]],"[Measures].[TBPREV_N]")</f>
        <v>17</v>
      </c>
      <c r="AR129" s="67" vm="6533">
        <f>CUBEVALUE(ConnectionString,ReportMonth,Table1[[#This Row],[Site ID (from DATIM)]],"[Measures].[TBPREV_NEW]")</f>
        <v>6</v>
      </c>
      <c r="AS129" s="67" vm="6996">
        <f>CUBEVALUE(ConnectionString,ReportMonth,Table1[[#This Row],[Site ID (from DATIM)]],"[Measures].[HVL_ELIG_P]")</f>
        <v>42</v>
      </c>
      <c r="AT129" s="67" vm="6226">
        <f>CUBEVALUE(ConnectionString,ReportMonth,Table1[[#This Row],[Site ID (from DATIM)]],"[Measures].[HVL_D_P]")</f>
        <v>31</v>
      </c>
      <c r="AU129" s="67" vm="13327">
        <f>CUBEVALUE(ConnectionString,ReportMonth,Table1[[#This Row],[Site ID (from DATIM)]],"[Measures].[HVL_N_P]")</f>
        <v>31</v>
      </c>
      <c r="AV129" s="68" vm="12411">
        <f>CUBEVALUE(ConnectionString,ReportMonth,Table1[[#This Row],[Site ID (from DATIM)]],"[Measures].[HVL_ELIG_A]")</f>
        <v>1367</v>
      </c>
      <c r="AW129" s="68" vm="11741">
        <f>CUBEVALUE(ConnectionString,ReportMonth,Table1[[#This Row],[Site ID (from DATIM)]],"[Measures].[HVL_D_A]")</f>
        <v>771</v>
      </c>
      <c r="AX129" s="68" vm="8642">
        <f>CUBEVALUE(ConnectionString,ReportMonth,Table1[[#This Row],[Site ID (from DATIM)]],"[Measures].[HVL_N_A]")</f>
        <v>754</v>
      </c>
      <c r="AY129" s="67"/>
      <c r="AZ129" s="67"/>
      <c r="BA129" s="67"/>
      <c r="BB129" s="67"/>
      <c r="BC129" s="67"/>
      <c r="BD129" s="67"/>
      <c r="BE129" s="67"/>
      <c r="BF129" s="67"/>
      <c r="BG129" s="67" vm="13099">
        <f>CUBEVALUE(ConnectionString,ReportMonth,Table1[[#This Row],[Site ID (from DATIM)]],"[Measures].[TX_NEW_F_A]")</f>
        <v>8</v>
      </c>
      <c r="BH129" s="67" vm="11187">
        <f>CUBEVALUE(ConnectionString,ReportMonth,Table1[[#This Row],[Site ID (from DATIM)]],"[Measures].[TX_NEW_M_A]")</f>
        <v>4</v>
      </c>
      <c r="BI129" s="67" t="str" vm="13084">
        <f>CUBEVALUE(ConnectionString,ReportMonth,Table1[[#This Row],[Site ID (from DATIM)]],"[Measures].[TX_NEW_F_P]")</f>
        <v/>
      </c>
      <c r="BJ129" s="68" t="str" vm="12605">
        <f>CUBEVALUE(ConnectionString,ReportMonth,Table1[[#This Row],[Site ID (from DATIM)]],"[Measures].[TX_NEW_M_P]")</f>
        <v/>
      </c>
      <c r="BK129" s="68"/>
      <c r="BL129" s="68"/>
      <c r="BM129" s="68"/>
      <c r="BN129" s="68"/>
      <c r="BO129" s="68"/>
      <c r="BP129" s="68"/>
      <c r="BQ129" s="68" vm="11774">
        <f>CUBEVALUE(ConnectionString,ReportMonth,Table1[[#This Row],[Site ID (from DATIM)]],"[Measures].[TX_CURR_F_P]")</f>
        <v>22</v>
      </c>
      <c r="BR129" s="68" vm="10973">
        <f>CUBEVALUE(ConnectionString,ReportMonth,Table1[[#This Row],[Site ID (from DATIM)]],"[Measures].[TX_CURR_M_P]")</f>
        <v>21</v>
      </c>
      <c r="BS129" s="68" vm="8800">
        <f>CUBEVALUE(ConnectionString,ReportMonth,Table1[[#This Row],[Site ID (from DATIM)]],"[Measures].[TX_CURR_F_A]")</f>
        <v>1138</v>
      </c>
      <c r="BT129" s="68" vm="12336">
        <f>CUBEVALUE(ConnectionString,ReportMonth,Table1[[#This Row],[Site ID (from DATIM)]],"[Measures].[TX_CURR_M_A]")</f>
        <v>379</v>
      </c>
      <c r="BU129" s="68" vm="18051">
        <f>CUBEVALUE(ConnectionString,ReportMonth,Table1[[#This Row],[Site ID (from DATIM)]],"[Measures].[MMS_01_89_F_P]")</f>
        <v>5</v>
      </c>
      <c r="BV129" s="68" vm="18910">
        <f>CUBEVALUE(ConnectionString,ReportMonth,Table1[[#This Row],[Site ID (from DATIM)]],"[Measures].[MMS_01_89_M_P]")</f>
        <v>4</v>
      </c>
      <c r="BW129" s="68" vm="19987">
        <f>CUBEVALUE(ConnectionString,ReportMonth,Table1[[#This Row],[Site ID (from DATIM)]],"[Measures].[MMS_01_89_F_A]")</f>
        <v>371</v>
      </c>
      <c r="BX129" s="68" vm="18008">
        <f>CUBEVALUE(ConnectionString,ReportMonth,Table1[[#This Row],[Site ID (from DATIM)]],"[Measures].[MMS_01_89_M_A]")</f>
        <v>98</v>
      </c>
      <c r="BY129" s="68" vm="19102">
        <f>CUBEVALUE(ConnectionString,ReportMonth,Table1[[#This Row],[Site ID (from DATIM)]],"[Measures].[MMS_90_179_F_P]")</f>
        <v>17</v>
      </c>
      <c r="BZ129" s="68" vm="16817">
        <f>CUBEVALUE(ConnectionString,ReportMonth,Table1[[#This Row],[Site ID (from DATIM)]],"[Measures].[MMS_90_179_M_P]")</f>
        <v>17</v>
      </c>
      <c r="CA129" s="68" vm="14665">
        <f>CUBEVALUE(ConnectionString,ReportMonth,Table1[[#This Row],[Site ID (from DATIM)]],"[Measures].[MMS_90_179_F_A]")</f>
        <v>766</v>
      </c>
      <c r="CB129" s="68" vm="15111">
        <f>CUBEVALUE(ConnectionString,ReportMonth,Table1[[#This Row],[Site ID (from DATIM)]],"[Measures].[MMS_90_179_M_A]")</f>
        <v>281</v>
      </c>
      <c r="CC129" s="68" t="str" vm="16450">
        <f>CUBEVALUE(ConnectionString,ReportMonth,Table1[[#This Row],[Site ID (from DATIM)]],"[Measures].[MMS_180+_F_P]")</f>
        <v/>
      </c>
      <c r="CD129" s="68" t="str" vm="15857">
        <f>CUBEVALUE(ConnectionString,ReportMonth,Table1[[#This Row],[Site ID (from DATIM)]],"[Measures].[MMS_180+_M_P]")</f>
        <v/>
      </c>
      <c r="CE129" s="68" vm="16288">
        <f>CUBEVALUE(ConnectionString,ReportMonth,Table1[[#This Row],[Site ID (from DATIM)]],"[Measures].[MMS_180+_F_A]")</f>
        <v>1</v>
      </c>
      <c r="CF129" s="68" t="str" vm="16628">
        <f>CUBEVALUE(ConnectionString,ReportMonth,Table1[[#This Row],[Site ID (from DATIM)]],"[Measures].[MMS_180+_M_A]")</f>
        <v/>
      </c>
      <c r="CG129" s="68" vm="7891">
        <f>CUBEVALUE(ConnectionString,ReportMonth,Table1[[#This Row],[Site ID (from DATIM)]],"[Measures].[MISSEDAPP]")</f>
        <v>559</v>
      </c>
      <c r="CH129" s="68" t="str" vm="14178">
        <f>CUBEVALUE(ConnectionString,ReportMonth,Table1[[#This Row],[Site ID (from DATIM)]],"[Measures].[MMS_180+_P]")</f>
        <v/>
      </c>
      <c r="CI129" s="68" vm="10709">
        <f>CUBEVALUE(ConnectionString,ReportMonth,Table1[[#This Row],[Site ID (from DATIM)]],"[Measures].[MMS_180+_A]")</f>
        <v>1</v>
      </c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  <c r="CW129" s="68"/>
      <c r="CX129" s="68"/>
      <c r="CY129" s="68"/>
      <c r="CZ129" s="68"/>
      <c r="DA129" s="68"/>
      <c r="DB129" s="68"/>
      <c r="DC129" s="68"/>
    </row>
    <row r="130" spans="1:107" x14ac:dyDescent="0.25">
      <c r="A130" s="66">
        <v>4</v>
      </c>
      <c r="B130" s="67" t="str" vm="4">
        <f t="shared" si="2"/>
        <v>Mar-2021</v>
      </c>
      <c r="C130" s="67"/>
      <c r="D130" s="67" t="s">
        <v>232</v>
      </c>
      <c r="E130" s="67" t="s">
        <v>233</v>
      </c>
      <c r="F130" s="67" t="s">
        <v>234</v>
      </c>
      <c r="G130" s="67"/>
      <c r="H130" s="67" t="s">
        <v>239</v>
      </c>
      <c r="I130" s="67" t="s">
        <v>281</v>
      </c>
      <c r="J130" s="67" t="s">
        <v>282</v>
      </c>
      <c r="K130" s="67" t="s">
        <v>283</v>
      </c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 t="str" vm="650">
        <f>CUBEVALUE(ConnectionString,ReportMonth,Table1[[#This Row],[Site ID (from DATIM)]],"TX_NEW_2VIS")</f>
        <v/>
      </c>
      <c r="AE130" s="67" t="str" vm="654">
        <f>CUBEVALUE(ConnectionString,ReportMonth,Table1[[#This Row],[Site ID (from DATIM)]],INDEX(SDI_Measures,1))</f>
        <v/>
      </c>
      <c r="AF130" s="67" t="str" vm="166">
        <f>CUBEVALUE(ConnectionString,ReportMonth,Table1[[#This Row],[Site ID (from DATIM)]],INDEX(SDI_Measures,2))</f>
        <v/>
      </c>
      <c r="AG130" s="67" t="str" vm="649">
        <f>CUBEVALUE(ConnectionString,ReportMonth,Table1[[#This Row],[Site ID (from DATIM)]],INDEX(SDI_Measures,3))</f>
        <v/>
      </c>
      <c r="AH130" s="67" vm="659">
        <f>CUBEVALUE(ConnectionString,ReportMonth,Table1[[#This Row],[Site ID (from DATIM)]],"TX_CURR_PRIOR_MONTH")</f>
        <v>24</v>
      </c>
      <c r="AI130" s="67" vm="661">
        <f>CUBEVALUE(ConnectionString,ReportMonth,Table1[[#This Row],[Site ID (from DATIM)]],"TX_CURR")</f>
        <v>17</v>
      </c>
      <c r="AJ130" s="67" t="str" vm="655">
        <f>CUBEVALUE(ConnectionString,ReportMonth,Table1[[#This Row],[Site ID (from DATIM)]],"[Measures].[TI]")</f>
        <v/>
      </c>
      <c r="AK130" s="67" t="str" vm="664">
        <f>CUBEVALUE(ConnectionString,ReportMonth,Table1[[#This Row],[Site ID (from DATIM)]],"[Measures].[TO]")</f>
        <v/>
      </c>
      <c r="AL130" s="67" t="str" vm="648">
        <f>CUBEVALUE(ConnectionString,ReportMonth,Table1[[#This Row],[Site ID (from DATIM)]],"[Measures].[DIED]")</f>
        <v/>
      </c>
      <c r="AM130" s="67" t="str" vm="665">
        <f>CUBEVALUE(ConnectionString,ReportMonth,Table1[[#This Row],[Site ID (from DATIM)]],"[Measures].[MMS_01_31]")</f>
        <v/>
      </c>
      <c r="AN130" s="67" t="str" vm="666">
        <f>CUBEVALUE(ConnectionString,ReportMonth,Table1[[#This Row],[Site ID (from DATIM)]],"[Measures].[MMS_32_62]")</f>
        <v/>
      </c>
      <c r="AO130" s="67" vm="667">
        <f>CUBEVALUE(ConnectionString,ReportMonth,Table1[[#This Row],[Site ID (from DATIM)]],"[Measures].[MMS_63+]")</f>
        <v>17</v>
      </c>
      <c r="AP130" s="67" vm="670">
        <f>CUBEVALUE(ConnectionString,ReportMonth,Table1[[#This Row],[Site ID (from DATIM)]],"[Measures].[TBPREV_D]")</f>
        <v>4</v>
      </c>
      <c r="AQ130" s="67" t="str" vm="682">
        <f>CUBEVALUE(ConnectionString,ReportMonth,Table1[[#This Row],[Site ID (from DATIM)]],"[Measures].[TBPREV_N]")</f>
        <v/>
      </c>
      <c r="AR130" s="67" t="str" vm="678">
        <f>CUBEVALUE(ConnectionString,ReportMonth,Table1[[#This Row],[Site ID (from DATIM)]],"[Measures].[TBPREV_NEW]")</f>
        <v/>
      </c>
      <c r="AS130" s="67" t="str" vm="674">
        <f>CUBEVALUE(ConnectionString,ReportMonth,Table1[[#This Row],[Site ID (from DATIM)]],"[Measures].[HVL_ELIG_P]")</f>
        <v/>
      </c>
      <c r="AT130" s="67" t="str" vm="11921">
        <f>CUBEVALUE(ConnectionString,ReportMonth,Table1[[#This Row],[Site ID (from DATIM)]],"[Measures].[HVL_D_P]")</f>
        <v/>
      </c>
      <c r="AU130" s="67" t="str" vm="680">
        <f>CUBEVALUE(ConnectionString,ReportMonth,Table1[[#This Row],[Site ID (from DATIM)]],"[Measures].[HVL_N_P]")</f>
        <v/>
      </c>
      <c r="AV130" s="68" vm="673">
        <f>CUBEVALUE(ConnectionString,ReportMonth,Table1[[#This Row],[Site ID (from DATIM)]],"[Measures].[HVL_ELIG_A]")</f>
        <v>17</v>
      </c>
      <c r="AW130" s="68" vm="687">
        <f>CUBEVALUE(ConnectionString,ReportMonth,Table1[[#This Row],[Site ID (from DATIM)]],"[Measures].[HVL_D_A]")</f>
        <v>12</v>
      </c>
      <c r="AX130" s="68" vm="677">
        <f>CUBEVALUE(ConnectionString,ReportMonth,Table1[[#This Row],[Site ID (from DATIM)]],"[Measures].[HVL_N_A]")</f>
        <v>12</v>
      </c>
      <c r="AY130" s="67"/>
      <c r="AZ130" s="67"/>
      <c r="BA130" s="67"/>
      <c r="BB130" s="67"/>
      <c r="BC130" s="67"/>
      <c r="BD130" s="67"/>
      <c r="BE130" s="67"/>
      <c r="BF130" s="67"/>
      <c r="BG130" s="67" t="str" vm="13680">
        <f>CUBEVALUE(ConnectionString,ReportMonth,Table1[[#This Row],[Site ID (from DATIM)]],"[Measures].[TX_NEW_F_A]")</f>
        <v/>
      </c>
      <c r="BH130" s="67" t="str" vm="12955">
        <f>CUBEVALUE(ConnectionString,ReportMonth,Table1[[#This Row],[Site ID (from DATIM)]],"[Measures].[TX_NEW_M_A]")</f>
        <v/>
      </c>
      <c r="BI130" s="67" t="str" vm="12619">
        <f>CUBEVALUE(ConnectionString,ReportMonth,Table1[[#This Row],[Site ID (from DATIM)]],"[Measures].[TX_NEW_F_P]")</f>
        <v/>
      </c>
      <c r="BJ130" s="68" t="str" vm="17448">
        <f>CUBEVALUE(ConnectionString,ReportMonth,Table1[[#This Row],[Site ID (from DATIM)]],"[Measures].[TX_NEW_M_P]")</f>
        <v/>
      </c>
      <c r="BK130" s="68"/>
      <c r="BL130" s="68"/>
      <c r="BM130" s="68"/>
      <c r="BN130" s="68"/>
      <c r="BO130" s="68"/>
      <c r="BP130" s="68"/>
      <c r="BQ130" s="68" t="str" vm="10731">
        <f>CUBEVALUE(ConnectionString,ReportMonth,Table1[[#This Row],[Site ID (from DATIM)]],"[Measures].[TX_CURR_F_P]")</f>
        <v/>
      </c>
      <c r="BR130" s="68" t="str" vm="11591">
        <f>CUBEVALUE(ConnectionString,ReportMonth,Table1[[#This Row],[Site ID (from DATIM)]],"[Measures].[TX_CURR_M_P]")</f>
        <v/>
      </c>
      <c r="BS130" s="68" vm="12108">
        <f>CUBEVALUE(ConnectionString,ReportMonth,Table1[[#This Row],[Site ID (from DATIM)]],"[Measures].[TX_CURR_F_A]")</f>
        <v>10</v>
      </c>
      <c r="BT130" s="68" vm="679">
        <f>CUBEVALUE(ConnectionString,ReportMonth,Table1[[#This Row],[Site ID (from DATIM)]],"[Measures].[TX_CURR_M_A]")</f>
        <v>7</v>
      </c>
      <c r="BU130" s="68" t="str" vm="19030">
        <f>CUBEVALUE(ConnectionString,ReportMonth,Table1[[#This Row],[Site ID (from DATIM)]],"[Measures].[MMS_01_89_F_P]")</f>
        <v/>
      </c>
      <c r="BV130" s="68" t="str" vm="18962">
        <f>CUBEVALUE(ConnectionString,ReportMonth,Table1[[#This Row],[Site ID (from DATIM)]],"[Measures].[MMS_01_89_M_P]")</f>
        <v/>
      </c>
      <c r="BW130" s="68" t="str" vm="18957">
        <f>CUBEVALUE(ConnectionString,ReportMonth,Table1[[#This Row],[Site ID (from DATIM)]],"[Measures].[MMS_01_89_F_A]")</f>
        <v/>
      </c>
      <c r="BX130" s="68" t="str" vm="19692">
        <f>CUBEVALUE(ConnectionString,ReportMonth,Table1[[#This Row],[Site ID (from DATIM)]],"[Measures].[MMS_01_89_M_A]")</f>
        <v/>
      </c>
      <c r="BY130" s="68" t="str" vm="19633">
        <f>CUBEVALUE(ConnectionString,ReportMonth,Table1[[#This Row],[Site ID (from DATIM)]],"[Measures].[MMS_90_179_F_P]")</f>
        <v/>
      </c>
      <c r="BZ130" s="68" t="str" vm="16060">
        <f>CUBEVALUE(ConnectionString,ReportMonth,Table1[[#This Row],[Site ID (from DATIM)]],"[Measures].[MMS_90_179_M_P]")</f>
        <v/>
      </c>
      <c r="CA130" s="68" vm="15557">
        <f>CUBEVALUE(ConnectionString,ReportMonth,Table1[[#This Row],[Site ID (from DATIM)]],"[Measures].[MMS_90_179_F_A]")</f>
        <v>10</v>
      </c>
      <c r="CB130" s="68" vm="16856">
        <f>CUBEVALUE(ConnectionString,ReportMonth,Table1[[#This Row],[Site ID (from DATIM)]],"[Measures].[MMS_90_179_M_A]")</f>
        <v>7</v>
      </c>
      <c r="CC130" s="68" t="str" vm="16800">
        <f>CUBEVALUE(ConnectionString,ReportMonth,Table1[[#This Row],[Site ID (from DATIM)]],"[Measures].[MMS_180+_F_P]")</f>
        <v/>
      </c>
      <c r="CD130" s="68" t="str" vm="17116">
        <f>CUBEVALUE(ConnectionString,ReportMonth,Table1[[#This Row],[Site ID (from DATIM)]],"[Measures].[MMS_180+_M_P]")</f>
        <v/>
      </c>
      <c r="CE130" s="68" t="str" vm="17164">
        <f>CUBEVALUE(ConnectionString,ReportMonth,Table1[[#This Row],[Site ID (from DATIM)]],"[Measures].[MMS_180+_F_A]")</f>
        <v/>
      </c>
      <c r="CF130" s="68" t="str" vm="20164">
        <f>CUBEVALUE(ConnectionString,ReportMonth,Table1[[#This Row],[Site ID (from DATIM)]],"[Measures].[MMS_180+_M_A]")</f>
        <v/>
      </c>
      <c r="CG130" s="68" vm="671">
        <f>CUBEVALUE(ConnectionString,ReportMonth,Table1[[#This Row],[Site ID (from DATIM)]],"[Measures].[MISSEDAPP]")</f>
        <v>6</v>
      </c>
      <c r="CH130" s="68" t="str" vm="13556">
        <f>CUBEVALUE(ConnectionString,ReportMonth,Table1[[#This Row],[Site ID (from DATIM)]],"[Measures].[MMS_180+_P]")</f>
        <v/>
      </c>
      <c r="CI130" s="68" t="str" vm="13377">
        <f>CUBEVALUE(ConnectionString,ReportMonth,Table1[[#This Row],[Site ID (from DATIM)]],"[Measures].[MMS_180+_A]")</f>
        <v/>
      </c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  <c r="CW130" s="68"/>
      <c r="CX130" s="68"/>
      <c r="CY130" s="68"/>
      <c r="CZ130" s="68"/>
      <c r="DA130" s="68"/>
      <c r="DB130" s="68"/>
      <c r="DC130" s="68"/>
    </row>
    <row r="131" spans="1:107" x14ac:dyDescent="0.25">
      <c r="A131" s="66">
        <v>3</v>
      </c>
      <c r="B131" s="67" t="str" vm="4">
        <f t="shared" si="2"/>
        <v>Mar-2021</v>
      </c>
      <c r="C131" s="67"/>
      <c r="D131" s="67" t="s">
        <v>232</v>
      </c>
      <c r="E131" s="67" t="s">
        <v>233</v>
      </c>
      <c r="F131" s="67" t="s">
        <v>234</v>
      </c>
      <c r="G131" s="67"/>
      <c r="H131" s="67" t="s">
        <v>263</v>
      </c>
      <c r="I131" s="67" t="s">
        <v>284</v>
      </c>
      <c r="J131" s="67" t="s">
        <v>285</v>
      </c>
      <c r="K131" s="67" t="s">
        <v>286</v>
      </c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 t="str" vm="1528">
        <f>CUBEVALUE(ConnectionString,ReportMonth,Table1[[#This Row],[Site ID (from DATIM)]],"TX_NEW_2VIS")</f>
        <v/>
      </c>
      <c r="AE131" s="67" t="str" vm="1066">
        <f>CUBEVALUE(ConnectionString,ReportMonth,Table1[[#This Row],[Site ID (from DATIM)]],INDEX(SDI_Measures,1))</f>
        <v/>
      </c>
      <c r="AF131" s="67" t="str" vm="1610">
        <f>CUBEVALUE(ConnectionString,ReportMonth,Table1[[#This Row],[Site ID (from DATIM)]],INDEX(SDI_Measures,2))</f>
        <v/>
      </c>
      <c r="AG131" s="67" t="str" vm="1397">
        <f>CUBEVALUE(ConnectionString,ReportMonth,Table1[[#This Row],[Site ID (from DATIM)]],INDEX(SDI_Measures,3))</f>
        <v/>
      </c>
      <c r="AH131" s="67" vm="1841">
        <f>CUBEVALUE(ConnectionString,ReportMonth,Table1[[#This Row],[Site ID (from DATIM)]],"TX_CURR_PRIOR_MONTH")</f>
        <v>81</v>
      </c>
      <c r="AI131" s="67" vm="2728">
        <f>CUBEVALUE(ConnectionString,ReportMonth,Table1[[#This Row],[Site ID (from DATIM)]],"TX_CURR")</f>
        <v>74</v>
      </c>
      <c r="AJ131" s="67" t="str" vm="1663">
        <f>CUBEVALUE(ConnectionString,ReportMonth,Table1[[#This Row],[Site ID (from DATIM)]],"[Measures].[TI]")</f>
        <v/>
      </c>
      <c r="AK131" s="67" t="str" vm="816">
        <f>CUBEVALUE(ConnectionString,ReportMonth,Table1[[#This Row],[Site ID (from DATIM)]],"[Measures].[TO]")</f>
        <v/>
      </c>
      <c r="AL131" s="67" t="str" vm="4092">
        <f>CUBEVALUE(ConnectionString,ReportMonth,Table1[[#This Row],[Site ID (from DATIM)]],"[Measures].[DIED]")</f>
        <v/>
      </c>
      <c r="AM131" s="67" vm="3946">
        <f>CUBEVALUE(ConnectionString,ReportMonth,Table1[[#This Row],[Site ID (from DATIM)]],"[Measures].[MMS_01_31]")</f>
        <v>26</v>
      </c>
      <c r="AN131" s="67" vm="8296">
        <f>CUBEVALUE(ConnectionString,ReportMonth,Table1[[#This Row],[Site ID (from DATIM)]],"[Measures].[MMS_32_62]")</f>
        <v>1</v>
      </c>
      <c r="AO131" s="67" vm="5911">
        <f>CUBEVALUE(ConnectionString,ReportMonth,Table1[[#This Row],[Site ID (from DATIM)]],"[Measures].[MMS_63+]")</f>
        <v>47</v>
      </c>
      <c r="AP131" s="67" vm="6417">
        <f>CUBEVALUE(ConnectionString,ReportMonth,Table1[[#This Row],[Site ID (from DATIM)]],"[Measures].[TBPREV_D]")</f>
        <v>1</v>
      </c>
      <c r="AQ131" s="67" t="str" vm="7412">
        <f>CUBEVALUE(ConnectionString,ReportMonth,Table1[[#This Row],[Site ID (from DATIM)]],"[Measures].[TBPREV_N]")</f>
        <v/>
      </c>
      <c r="AR131" s="67" t="str" vm="6541">
        <f>CUBEVALUE(ConnectionString,ReportMonth,Table1[[#This Row],[Site ID (from DATIM)]],"[Measures].[TBPREV_NEW]")</f>
        <v/>
      </c>
      <c r="AS131" s="67" vm="6710">
        <f>CUBEVALUE(ConnectionString,ReportMonth,Table1[[#This Row],[Site ID (from DATIM)]],"[Measures].[HVL_ELIG_P]")</f>
        <v>4</v>
      </c>
      <c r="AT131" s="67" vm="5366">
        <f>CUBEVALUE(ConnectionString,ReportMonth,Table1[[#This Row],[Site ID (from DATIM)]],"[Measures].[HVL_D_P]")</f>
        <v>5</v>
      </c>
      <c r="AU131" s="67" vm="11254">
        <f>CUBEVALUE(ConnectionString,ReportMonth,Table1[[#This Row],[Site ID (from DATIM)]],"[Measures].[HVL_N_P]")</f>
        <v>5</v>
      </c>
      <c r="AV131" s="68" vm="10491">
        <f>CUBEVALUE(ConnectionString,ReportMonth,Table1[[#This Row],[Site ID (from DATIM)]],"[Measures].[HVL_ELIG_A]")</f>
        <v>60</v>
      </c>
      <c r="AW131" s="68" vm="12075">
        <f>CUBEVALUE(ConnectionString,ReportMonth,Table1[[#This Row],[Site ID (from DATIM)]],"[Measures].[HVL_D_A]")</f>
        <v>38</v>
      </c>
      <c r="AX131" s="68" vm="11629">
        <f>CUBEVALUE(ConnectionString,ReportMonth,Table1[[#This Row],[Site ID (from DATIM)]],"[Measures].[HVL_N_A]")</f>
        <v>37</v>
      </c>
      <c r="AY131" s="67"/>
      <c r="AZ131" s="67"/>
      <c r="BA131" s="67"/>
      <c r="BB131" s="67"/>
      <c r="BC131" s="67"/>
      <c r="BD131" s="67"/>
      <c r="BE131" s="67"/>
      <c r="BF131" s="67"/>
      <c r="BG131" s="67" t="str" vm="13705">
        <f>CUBEVALUE(ConnectionString,ReportMonth,Table1[[#This Row],[Site ID (from DATIM)]],"[Measures].[TX_NEW_F_A]")</f>
        <v/>
      </c>
      <c r="BH131" s="67" t="str" vm="13410">
        <f>CUBEVALUE(ConnectionString,ReportMonth,Table1[[#This Row],[Site ID (from DATIM)]],"[Measures].[TX_NEW_M_A]")</f>
        <v/>
      </c>
      <c r="BI131" s="67" t="str" vm="12509">
        <f>CUBEVALUE(ConnectionString,ReportMonth,Table1[[#This Row],[Site ID (from DATIM)]],"[Measures].[TX_NEW_F_P]")</f>
        <v/>
      </c>
      <c r="BJ131" s="68" t="str" vm="14418">
        <f>CUBEVALUE(ConnectionString,ReportMonth,Table1[[#This Row],[Site ID (from DATIM)]],"[Measures].[TX_NEW_M_P]")</f>
        <v/>
      </c>
      <c r="BK131" s="68"/>
      <c r="BL131" s="68"/>
      <c r="BM131" s="68"/>
      <c r="BN131" s="68"/>
      <c r="BO131" s="68"/>
      <c r="BP131" s="68"/>
      <c r="BQ131" s="68" vm="9794">
        <f>CUBEVALUE(ConnectionString,ReportMonth,Table1[[#This Row],[Site ID (from DATIM)]],"[Measures].[TX_CURR_F_P]")</f>
        <v>4</v>
      </c>
      <c r="BR131" s="68" vm="12769">
        <f>CUBEVALUE(ConnectionString,ReportMonth,Table1[[#This Row],[Site ID (from DATIM)]],"[Measures].[TX_CURR_M_P]")</f>
        <v>2</v>
      </c>
      <c r="BS131" s="68" vm="7988">
        <f>CUBEVALUE(ConnectionString,ReportMonth,Table1[[#This Row],[Site ID (from DATIM)]],"[Measures].[TX_CURR_F_A]")</f>
        <v>50</v>
      </c>
      <c r="BT131" s="68" vm="12775">
        <f>CUBEVALUE(ConnectionString,ReportMonth,Table1[[#This Row],[Site ID (from DATIM)]],"[Measures].[TX_CURR_M_A]")</f>
        <v>18</v>
      </c>
      <c r="BU131" s="68" vm="18733">
        <f>CUBEVALUE(ConnectionString,ReportMonth,Table1[[#This Row],[Site ID (from DATIM)]],"[Measures].[MMS_01_89_F_P]")</f>
        <v>2</v>
      </c>
      <c r="BV131" s="68" vm="19275">
        <f>CUBEVALUE(ConnectionString,ReportMonth,Table1[[#This Row],[Site ID (from DATIM)]],"[Measures].[MMS_01_89_M_P]")</f>
        <v>1</v>
      </c>
      <c r="BW131" s="68" vm="18956">
        <f>CUBEVALUE(ConnectionString,ReportMonth,Table1[[#This Row],[Site ID (from DATIM)]],"[Measures].[MMS_01_89_F_A]")</f>
        <v>18</v>
      </c>
      <c r="BX131" s="68" vm="19388">
        <f>CUBEVALUE(ConnectionString,ReportMonth,Table1[[#This Row],[Site ID (from DATIM)]],"[Measures].[MMS_01_89_M_A]")</f>
        <v>6</v>
      </c>
      <c r="BY131" s="68" vm="19056">
        <f>CUBEVALUE(ConnectionString,ReportMonth,Table1[[#This Row],[Site ID (from DATIM)]],"[Measures].[MMS_90_179_F_P]")</f>
        <v>2</v>
      </c>
      <c r="BZ131" s="68" vm="17265">
        <f>CUBEVALUE(ConnectionString,ReportMonth,Table1[[#This Row],[Site ID (from DATIM)]],"[Measures].[MMS_90_179_M_P]")</f>
        <v>1</v>
      </c>
      <c r="CA131" s="68" vm="15624">
        <f>CUBEVALUE(ConnectionString,ReportMonth,Table1[[#This Row],[Site ID (from DATIM)]],"[Measures].[MMS_90_179_F_A]")</f>
        <v>32</v>
      </c>
      <c r="CB131" s="68" vm="16502">
        <f>CUBEVALUE(ConnectionString,ReportMonth,Table1[[#This Row],[Site ID (from DATIM)]],"[Measures].[MMS_90_179_M_A]")</f>
        <v>12</v>
      </c>
      <c r="CC131" s="68" t="str" vm="17248">
        <f>CUBEVALUE(ConnectionString,ReportMonth,Table1[[#This Row],[Site ID (from DATIM)]],"[Measures].[MMS_180+_F_P]")</f>
        <v/>
      </c>
      <c r="CD131" s="68" t="str" vm="16365">
        <f>CUBEVALUE(ConnectionString,ReportMonth,Table1[[#This Row],[Site ID (from DATIM)]],"[Measures].[MMS_180+_M_P]")</f>
        <v/>
      </c>
      <c r="CE131" s="68" t="str" vm="6">
        <f>CUBEVALUE(ConnectionString,ReportMonth,Table1[[#This Row],[Site ID (from DATIM)]],"[Measures].[MMS_180+_F_A]")</f>
        <v/>
      </c>
      <c r="CF131" s="68" t="str" vm="108">
        <f>CUBEVALUE(ConnectionString,ReportMonth,Table1[[#This Row],[Site ID (from DATIM)]],"[Measures].[MMS_180+_M_A]")</f>
        <v/>
      </c>
      <c r="CG131" s="68" vm="4896">
        <f>CUBEVALUE(ConnectionString,ReportMonth,Table1[[#This Row],[Site ID (from DATIM)]],"[Measures].[MISSEDAPP]")</f>
        <v>45</v>
      </c>
      <c r="CH131" s="68" t="str" vm="11463">
        <f>CUBEVALUE(ConnectionString,ReportMonth,Table1[[#This Row],[Site ID (from DATIM)]],"[Measures].[MMS_180+_P]")</f>
        <v/>
      </c>
      <c r="CI131" s="68" t="str" vm="12270">
        <f>CUBEVALUE(ConnectionString,ReportMonth,Table1[[#This Row],[Site ID (from DATIM)]],"[Measures].[MMS_180+_A]")</f>
        <v/>
      </c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  <c r="CW131" s="68"/>
      <c r="CX131" s="68"/>
      <c r="CY131" s="68"/>
      <c r="CZ131" s="68"/>
      <c r="DA131" s="68"/>
      <c r="DB131" s="68"/>
      <c r="DC131" s="68"/>
    </row>
    <row r="132" spans="1:107" x14ac:dyDescent="0.25">
      <c r="A132" s="66">
        <v>2</v>
      </c>
      <c r="B132" s="67" t="str" vm="4">
        <f t="shared" si="2"/>
        <v>Mar-2021</v>
      </c>
      <c r="C132" s="67"/>
      <c r="D132" s="67" t="s">
        <v>232</v>
      </c>
      <c r="E132" s="67" t="s">
        <v>233</v>
      </c>
      <c r="F132" s="67" t="s">
        <v>234</v>
      </c>
      <c r="G132" s="67"/>
      <c r="H132" s="67" t="s">
        <v>256</v>
      </c>
      <c r="I132" s="67" t="s">
        <v>287</v>
      </c>
      <c r="J132" s="67" t="s">
        <v>288</v>
      </c>
      <c r="K132" s="67" t="s">
        <v>289</v>
      </c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 vm="1381">
        <f>CUBEVALUE(ConnectionString,ReportMonth,Table1[[#This Row],[Site ID (from DATIM)]],"TX_NEW_2VIS")</f>
        <v>5</v>
      </c>
      <c r="AE132" s="67" vm="1693">
        <f>CUBEVALUE(ConnectionString,ReportMonth,Table1[[#This Row],[Site ID (from DATIM)]],INDEX(SDI_Measures,1))</f>
        <v>4</v>
      </c>
      <c r="AF132" s="67" t="str" vm="915">
        <f>CUBEVALUE(ConnectionString,ReportMonth,Table1[[#This Row],[Site ID (from DATIM)]],INDEX(SDI_Measures,2))</f>
        <v/>
      </c>
      <c r="AG132" s="67" t="str" vm="594">
        <f>CUBEVALUE(ConnectionString,ReportMonth,Table1[[#This Row],[Site ID (from DATIM)]],INDEX(SDI_Measures,3))</f>
        <v/>
      </c>
      <c r="AH132" s="67" vm="1618">
        <f>CUBEVALUE(ConnectionString,ReportMonth,Table1[[#This Row],[Site ID (from DATIM)]],"TX_CURR_PRIOR_MONTH")</f>
        <v>818</v>
      </c>
      <c r="AI132" s="67" vm="4445">
        <f>CUBEVALUE(ConnectionString,ReportMonth,Table1[[#This Row],[Site ID (from DATIM)]],"TX_CURR")</f>
        <v>814</v>
      </c>
      <c r="AJ132" s="67" vm="2663">
        <f>CUBEVALUE(ConnectionString,ReportMonth,Table1[[#This Row],[Site ID (from DATIM)]],"[Measures].[TI]")</f>
        <v>3</v>
      </c>
      <c r="AK132" s="67" vm="4444">
        <f>CUBEVALUE(ConnectionString,ReportMonth,Table1[[#This Row],[Site ID (from DATIM)]],"[Measures].[TO]")</f>
        <v>2</v>
      </c>
      <c r="AL132" s="67" t="str" vm="2783">
        <f>CUBEVALUE(ConnectionString,ReportMonth,Table1[[#This Row],[Site ID (from DATIM)]],"[Measures].[DIED]")</f>
        <v/>
      </c>
      <c r="AM132" s="67" vm="5383">
        <f>CUBEVALUE(ConnectionString,ReportMonth,Table1[[#This Row],[Site ID (from DATIM)]],"[Measures].[MMS_01_31]")</f>
        <v>236</v>
      </c>
      <c r="AN132" s="67" vm="5095">
        <f>CUBEVALUE(ConnectionString,ReportMonth,Table1[[#This Row],[Site ID (from DATIM)]],"[Measures].[MMS_32_62]")</f>
        <v>16</v>
      </c>
      <c r="AO132" s="67" vm="6157">
        <f>CUBEVALUE(ConnectionString,ReportMonth,Table1[[#This Row],[Site ID (from DATIM)]],"[Measures].[MMS_63+]")</f>
        <v>562</v>
      </c>
      <c r="AP132" s="67" vm="4658">
        <f>CUBEVALUE(ConnectionString,ReportMonth,Table1[[#This Row],[Site ID (from DATIM)]],"[Measures].[TBPREV_D]")</f>
        <v>10</v>
      </c>
      <c r="AQ132" s="67" vm="6183">
        <f>CUBEVALUE(ConnectionString,ReportMonth,Table1[[#This Row],[Site ID (from DATIM)]],"[Measures].[TBPREV_N]")</f>
        <v>10</v>
      </c>
      <c r="AR132" s="67" vm="6740">
        <f>CUBEVALUE(ConnectionString,ReportMonth,Table1[[#This Row],[Site ID (from DATIM)]],"[Measures].[TBPREV_NEW]")</f>
        <v>1</v>
      </c>
      <c r="AS132" s="67" vm="6274">
        <f>CUBEVALUE(ConnectionString,ReportMonth,Table1[[#This Row],[Site ID (from DATIM)]],"[Measures].[HVL_ELIG_P]")</f>
        <v>33</v>
      </c>
      <c r="AT132" s="67" vm="7345">
        <f>CUBEVALUE(ConnectionString,ReportMonth,Table1[[#This Row],[Site ID (from DATIM)]],"[Measures].[HVL_D_P]")</f>
        <v>30</v>
      </c>
      <c r="AU132" s="67" vm="8459">
        <f>CUBEVALUE(ConnectionString,ReportMonth,Table1[[#This Row],[Site ID (from DATIM)]],"[Measures].[HVL_N_P]")</f>
        <v>26</v>
      </c>
      <c r="AV132" s="68" vm="9423">
        <f>CUBEVALUE(ConnectionString,ReportMonth,Table1[[#This Row],[Site ID (from DATIM)]],"[Measures].[HVL_ELIG_A]")</f>
        <v>674</v>
      </c>
      <c r="AW132" s="68" vm="9486">
        <f>CUBEVALUE(ConnectionString,ReportMonth,Table1[[#This Row],[Site ID (from DATIM)]],"[Measures].[HVL_D_A]")</f>
        <v>510</v>
      </c>
      <c r="AX132" s="68" vm="10967">
        <f>CUBEVALUE(ConnectionString,ReportMonth,Table1[[#This Row],[Site ID (from DATIM)]],"[Measures].[HVL_N_A]")</f>
        <v>485</v>
      </c>
      <c r="AY132" s="67"/>
      <c r="AZ132" s="67"/>
      <c r="BA132" s="67"/>
      <c r="BB132" s="67"/>
      <c r="BC132" s="67"/>
      <c r="BD132" s="67"/>
      <c r="BE132" s="67"/>
      <c r="BF132" s="67"/>
      <c r="BG132" s="67" vm="12085">
        <f>CUBEVALUE(ConnectionString,ReportMonth,Table1[[#This Row],[Site ID (from DATIM)]],"[Measures].[TX_NEW_F_A]")</f>
        <v>3</v>
      </c>
      <c r="BH132" s="67" vm="17384">
        <f>CUBEVALUE(ConnectionString,ReportMonth,Table1[[#This Row],[Site ID (from DATIM)]],"[Measures].[TX_NEW_M_A]")</f>
        <v>1</v>
      </c>
      <c r="BI132" s="67" t="str" vm="12660">
        <f>CUBEVALUE(ConnectionString,ReportMonth,Table1[[#This Row],[Site ID (from DATIM)]],"[Measures].[TX_NEW_F_P]")</f>
        <v/>
      </c>
      <c r="BJ132" s="68" t="str" vm="13478">
        <f>CUBEVALUE(ConnectionString,ReportMonth,Table1[[#This Row],[Site ID (from DATIM)]],"[Measures].[TX_NEW_M_P]")</f>
        <v/>
      </c>
      <c r="BK132" s="68"/>
      <c r="BL132" s="68"/>
      <c r="BM132" s="68"/>
      <c r="BN132" s="68"/>
      <c r="BO132" s="68"/>
      <c r="BP132" s="68"/>
      <c r="BQ132" s="68" vm="9244">
        <f>CUBEVALUE(ConnectionString,ReportMonth,Table1[[#This Row],[Site ID (from DATIM)]],"[Measures].[TX_CURR_F_P]")</f>
        <v>18</v>
      </c>
      <c r="BR132" s="68" vm="7515">
        <f>CUBEVALUE(ConnectionString,ReportMonth,Table1[[#This Row],[Site ID (from DATIM)]],"[Measures].[TX_CURR_M_P]")</f>
        <v>18</v>
      </c>
      <c r="BS132" s="68" vm="13540">
        <f>CUBEVALUE(ConnectionString,ReportMonth,Table1[[#This Row],[Site ID (from DATIM)]],"[Measures].[TX_CURR_F_A]")</f>
        <v>573</v>
      </c>
      <c r="BT132" s="68" vm="12927">
        <f>CUBEVALUE(ConnectionString,ReportMonth,Table1[[#This Row],[Site ID (from DATIM)]],"[Measures].[TX_CURR_M_A]")</f>
        <v>206</v>
      </c>
      <c r="BU132" s="68" vm="18350">
        <f>CUBEVALUE(ConnectionString,ReportMonth,Table1[[#This Row],[Site ID (from DATIM)]],"[Measures].[MMS_01_89_F_P]")</f>
        <v>8</v>
      </c>
      <c r="BV132" s="68" vm="19545">
        <f>CUBEVALUE(ConnectionString,ReportMonth,Table1[[#This Row],[Site ID (from DATIM)]],"[Measures].[MMS_01_89_M_P]")</f>
        <v>6</v>
      </c>
      <c r="BW132" s="68" vm="20036">
        <f>CUBEVALUE(ConnectionString,ReportMonth,Table1[[#This Row],[Site ID (from DATIM)]],"[Measures].[MMS_01_89_F_A]")</f>
        <v>187</v>
      </c>
      <c r="BX132" s="68" vm="19402">
        <f>CUBEVALUE(ConnectionString,ReportMonth,Table1[[#This Row],[Site ID (from DATIM)]],"[Measures].[MMS_01_89_M_A]")</f>
        <v>56</v>
      </c>
      <c r="BY132" s="68" vm="14761">
        <f>CUBEVALUE(ConnectionString,ReportMonth,Table1[[#This Row],[Site ID (from DATIM)]],"[Measures].[MMS_90_179_F_P]")</f>
        <v>10</v>
      </c>
      <c r="BZ132" s="68" vm="18149">
        <f>CUBEVALUE(ConnectionString,ReportMonth,Table1[[#This Row],[Site ID (from DATIM)]],"[Measures].[MMS_90_179_M_P]")</f>
        <v>12</v>
      </c>
      <c r="CA132" s="68" vm="15181">
        <f>CUBEVALUE(ConnectionString,ReportMonth,Table1[[#This Row],[Site ID (from DATIM)]],"[Measures].[MMS_90_179_F_A]")</f>
        <v>374</v>
      </c>
      <c r="CB132" s="68" vm="16360">
        <f>CUBEVALUE(ConnectionString,ReportMonth,Table1[[#This Row],[Site ID (from DATIM)]],"[Measures].[MMS_90_179_M_A]")</f>
        <v>146</v>
      </c>
      <c r="CC132" s="68" t="str" vm="16403">
        <f>CUBEVALUE(ConnectionString,ReportMonth,Table1[[#This Row],[Site ID (from DATIM)]],"[Measures].[MMS_180+_F_P]")</f>
        <v/>
      </c>
      <c r="CD132" s="68" t="str" vm="16270">
        <f>CUBEVALUE(ConnectionString,ReportMonth,Table1[[#This Row],[Site ID (from DATIM)]],"[Measures].[MMS_180+_M_P]")</f>
        <v/>
      </c>
      <c r="CE132" s="68" vm="14903">
        <f>CUBEVALUE(ConnectionString,ReportMonth,Table1[[#This Row],[Site ID (from DATIM)]],"[Measures].[MMS_180+_F_A]")</f>
        <v>12</v>
      </c>
      <c r="CF132" s="68" vm="15410">
        <f>CUBEVALUE(ConnectionString,ReportMonth,Table1[[#This Row],[Site ID (from DATIM)]],"[Measures].[MMS_180+_M_A]")</f>
        <v>4</v>
      </c>
      <c r="CG132" s="68" vm="4200">
        <f>CUBEVALUE(ConnectionString,ReportMonth,Table1[[#This Row],[Site ID (from DATIM)]],"[Measures].[MISSEDAPP]")</f>
        <v>295</v>
      </c>
      <c r="CH132" s="68" t="str" vm="13509">
        <f>CUBEVALUE(ConnectionString,ReportMonth,Table1[[#This Row],[Site ID (from DATIM)]],"[Measures].[MMS_180+_P]")</f>
        <v/>
      </c>
      <c r="CI132" s="68" vm="12215">
        <f>CUBEVALUE(ConnectionString,ReportMonth,Table1[[#This Row],[Site ID (from DATIM)]],"[Measures].[MMS_180+_A]")</f>
        <v>16</v>
      </c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  <c r="CW132" s="68"/>
      <c r="CX132" s="68"/>
      <c r="CY132" s="68"/>
      <c r="CZ132" s="68"/>
      <c r="DA132" s="68"/>
      <c r="DB132" s="68"/>
      <c r="DC132" s="68"/>
    </row>
    <row r="133" spans="1:107" x14ac:dyDescent="0.25">
      <c r="A133" s="66">
        <v>4</v>
      </c>
      <c r="B133" s="67" t="str" vm="4">
        <f t="shared" si="2"/>
        <v>Mar-2021</v>
      </c>
      <c r="C133" s="67"/>
      <c r="D133" s="67" t="s">
        <v>232</v>
      </c>
      <c r="E133" s="67" t="s">
        <v>233</v>
      </c>
      <c r="F133" s="67" t="s">
        <v>234</v>
      </c>
      <c r="G133" s="67"/>
      <c r="H133" s="67" t="s">
        <v>256</v>
      </c>
      <c r="I133" s="67" t="s">
        <v>290</v>
      </c>
      <c r="J133" s="67" t="s">
        <v>291</v>
      </c>
      <c r="K133" s="67" t="s">
        <v>292</v>
      </c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 t="str" vm="3151">
        <f>CUBEVALUE(ConnectionString,ReportMonth,Table1[[#This Row],[Site ID (from DATIM)]],"TX_NEW_2VIS")</f>
        <v/>
      </c>
      <c r="AE133" s="67" vm="3850">
        <f>CUBEVALUE(ConnectionString,ReportMonth,Table1[[#This Row],[Site ID (from DATIM)]],INDEX(SDI_Measures,1))</f>
        <v>2</v>
      </c>
      <c r="AF133" s="67" t="str" vm="1149">
        <f>CUBEVALUE(ConnectionString,ReportMonth,Table1[[#This Row],[Site ID (from DATIM)]],INDEX(SDI_Measures,2))</f>
        <v/>
      </c>
      <c r="AG133" s="67" t="str" vm="1111">
        <f>CUBEVALUE(ConnectionString,ReportMonth,Table1[[#This Row],[Site ID (from DATIM)]],INDEX(SDI_Measures,3))</f>
        <v/>
      </c>
      <c r="AH133" s="67" vm="2155">
        <f>CUBEVALUE(ConnectionString,ReportMonth,Table1[[#This Row],[Site ID (from DATIM)]],"TX_CURR_PRIOR_MONTH")</f>
        <v>355</v>
      </c>
      <c r="AI133" s="67" vm="2303">
        <f>CUBEVALUE(ConnectionString,ReportMonth,Table1[[#This Row],[Site ID (from DATIM)]],"TX_CURR")</f>
        <v>345</v>
      </c>
      <c r="AJ133" s="67" t="str" vm="1354">
        <f>CUBEVALUE(ConnectionString,ReportMonth,Table1[[#This Row],[Site ID (from DATIM)]],"[Measures].[TI]")</f>
        <v/>
      </c>
      <c r="AK133" s="67" t="str" vm="1899">
        <f>CUBEVALUE(ConnectionString,ReportMonth,Table1[[#This Row],[Site ID (from DATIM)]],"[Measures].[TO]")</f>
        <v/>
      </c>
      <c r="AL133" s="67" t="str" vm="965">
        <f>CUBEVALUE(ConnectionString,ReportMonth,Table1[[#This Row],[Site ID (from DATIM)]],"[Measures].[DIED]")</f>
        <v/>
      </c>
      <c r="AM133" s="67" vm="6754">
        <f>CUBEVALUE(ConnectionString,ReportMonth,Table1[[#This Row],[Site ID (from DATIM)]],"[Measures].[MMS_01_31]")</f>
        <v>98</v>
      </c>
      <c r="AN133" s="67" vm="6674">
        <f>CUBEVALUE(ConnectionString,ReportMonth,Table1[[#This Row],[Site ID (from DATIM)]],"[Measures].[MMS_32_62]")</f>
        <v>3</v>
      </c>
      <c r="AO133" s="67" vm="6763">
        <f>CUBEVALUE(ConnectionString,ReportMonth,Table1[[#This Row],[Site ID (from DATIM)]],"[Measures].[MMS_63+]")</f>
        <v>244</v>
      </c>
      <c r="AP133" s="67" vm="5379">
        <f>CUBEVALUE(ConnectionString,ReportMonth,Table1[[#This Row],[Site ID (from DATIM)]],"[Measures].[TBPREV_D]")</f>
        <v>10</v>
      </c>
      <c r="AQ133" s="67" vm="6517">
        <f>CUBEVALUE(ConnectionString,ReportMonth,Table1[[#This Row],[Site ID (from DATIM)]],"[Measures].[TBPREV_N]")</f>
        <v>9</v>
      </c>
      <c r="AR133" s="67" vm="5870">
        <f>CUBEVALUE(ConnectionString,ReportMonth,Table1[[#This Row],[Site ID (from DATIM)]],"[Measures].[TBPREV_NEW]")</f>
        <v>5</v>
      </c>
      <c r="AS133" s="67" vm="10755">
        <f>CUBEVALUE(ConnectionString,ReportMonth,Table1[[#This Row],[Site ID (from DATIM)]],"[Measures].[HVL_ELIG_P]")</f>
        <v>14</v>
      </c>
      <c r="AT133" s="67" vm="10767">
        <f>CUBEVALUE(ConnectionString,ReportMonth,Table1[[#This Row],[Site ID (from DATIM)]],"[Measures].[HVL_D_P]")</f>
        <v>9</v>
      </c>
      <c r="AU133" s="67" vm="9408">
        <f>CUBEVALUE(ConnectionString,ReportMonth,Table1[[#This Row],[Site ID (from DATIM)]],"[Measures].[HVL_N_P]")</f>
        <v>7</v>
      </c>
      <c r="AV133" s="68" vm="10241">
        <f>CUBEVALUE(ConnectionString,ReportMonth,Table1[[#This Row],[Site ID (from DATIM)]],"[Measures].[HVL_ELIG_A]")</f>
        <v>304</v>
      </c>
      <c r="AW133" s="68" vm="10818">
        <f>CUBEVALUE(ConnectionString,ReportMonth,Table1[[#This Row],[Site ID (from DATIM)]],"[Measures].[HVL_D_A]")</f>
        <v>220</v>
      </c>
      <c r="AX133" s="68" vm="10577">
        <f>CUBEVALUE(ConnectionString,ReportMonth,Table1[[#This Row],[Site ID (from DATIM)]],"[Measures].[HVL_N_A]")</f>
        <v>209</v>
      </c>
      <c r="AY133" s="67"/>
      <c r="AZ133" s="67"/>
      <c r="BA133" s="67"/>
      <c r="BB133" s="67"/>
      <c r="BC133" s="67"/>
      <c r="BD133" s="67"/>
      <c r="BE133" s="67"/>
      <c r="BF133" s="67"/>
      <c r="BG133" s="67" vm="14179">
        <f>CUBEVALUE(ConnectionString,ReportMonth,Table1[[#This Row],[Site ID (from DATIM)]],"[Measures].[TX_NEW_F_A]")</f>
        <v>1</v>
      </c>
      <c r="BH133" s="67" vm="13408">
        <f>CUBEVALUE(ConnectionString,ReportMonth,Table1[[#This Row],[Site ID (from DATIM)]],"[Measures].[TX_NEW_M_A]")</f>
        <v>1</v>
      </c>
      <c r="BI133" s="67" t="str" vm="12301">
        <f>CUBEVALUE(ConnectionString,ReportMonth,Table1[[#This Row],[Site ID (from DATIM)]],"[Measures].[TX_NEW_F_P]")</f>
        <v/>
      </c>
      <c r="BJ133" s="68" t="str" vm="13171">
        <f>CUBEVALUE(ConnectionString,ReportMonth,Table1[[#This Row],[Site ID (from DATIM)]],"[Measures].[TX_NEW_M_P]")</f>
        <v/>
      </c>
      <c r="BK133" s="68"/>
      <c r="BL133" s="68"/>
      <c r="BM133" s="68"/>
      <c r="BN133" s="68"/>
      <c r="BO133" s="68"/>
      <c r="BP133" s="68"/>
      <c r="BQ133" s="68" vm="9036">
        <f>CUBEVALUE(ConnectionString,ReportMonth,Table1[[#This Row],[Site ID (from DATIM)]],"[Measures].[TX_CURR_F_P]")</f>
        <v>8</v>
      </c>
      <c r="BR133" s="68" vm="12719">
        <f>CUBEVALUE(ConnectionString,ReportMonth,Table1[[#This Row],[Site ID (from DATIM)]],"[Measures].[TX_CURR_M_P]")</f>
        <v>6</v>
      </c>
      <c r="BS133" s="68" vm="7493">
        <f>CUBEVALUE(ConnectionString,ReportMonth,Table1[[#This Row],[Site ID (from DATIM)]],"[Measures].[TX_CURR_F_A]")</f>
        <v>224</v>
      </c>
      <c r="BT133" s="68" vm="9781">
        <f>CUBEVALUE(ConnectionString,ReportMonth,Table1[[#This Row],[Site ID (from DATIM)]],"[Measures].[TX_CURR_M_A]")</f>
        <v>107</v>
      </c>
      <c r="BU133" s="68" vm="18311">
        <f>CUBEVALUE(ConnectionString,ReportMonth,Table1[[#This Row],[Site ID (from DATIM)]],"[Measures].[MMS_01_89_F_P]")</f>
        <v>3</v>
      </c>
      <c r="BV133" s="68" vm="19544">
        <f>CUBEVALUE(ConnectionString,ReportMonth,Table1[[#This Row],[Site ID (from DATIM)]],"[Measures].[MMS_01_89_M_P]")</f>
        <v>4</v>
      </c>
      <c r="BW133" s="68" vm="18279">
        <f>CUBEVALUE(ConnectionString,ReportMonth,Table1[[#This Row],[Site ID (from DATIM)]],"[Measures].[MMS_01_89_F_A]")</f>
        <v>75</v>
      </c>
      <c r="BX133" s="68" vm="18510">
        <f>CUBEVALUE(ConnectionString,ReportMonth,Table1[[#This Row],[Site ID (from DATIM)]],"[Measures].[MMS_01_89_M_A]")</f>
        <v>19</v>
      </c>
      <c r="BY133" s="68" vm="15250">
        <f>CUBEVALUE(ConnectionString,ReportMonth,Table1[[#This Row],[Site ID (from DATIM)]],"[Measures].[MMS_90_179_F_P]")</f>
        <v>5</v>
      </c>
      <c r="BZ133" s="68" vm="18158">
        <f>CUBEVALUE(ConnectionString,ReportMonth,Table1[[#This Row],[Site ID (from DATIM)]],"[Measures].[MMS_90_179_M_P]")</f>
        <v>2</v>
      </c>
      <c r="CA133" s="68" vm="15095">
        <f>CUBEVALUE(ConnectionString,ReportMonth,Table1[[#This Row],[Site ID (from DATIM)]],"[Measures].[MMS_90_179_F_A]")</f>
        <v>149</v>
      </c>
      <c r="CB133" s="68" vm="16407">
        <f>CUBEVALUE(ConnectionString,ReportMonth,Table1[[#This Row],[Site ID (from DATIM)]],"[Measures].[MMS_90_179_M_A]")</f>
        <v>88</v>
      </c>
      <c r="CC133" s="68" t="str" vm="14621">
        <f>CUBEVALUE(ConnectionString,ReportMonth,Table1[[#This Row],[Site ID (from DATIM)]],"[Measures].[MMS_180+_F_P]")</f>
        <v/>
      </c>
      <c r="CD133" s="68" t="str" vm="15798">
        <f>CUBEVALUE(ConnectionString,ReportMonth,Table1[[#This Row],[Site ID (from DATIM)]],"[Measures].[MMS_180+_M_P]")</f>
        <v/>
      </c>
      <c r="CE133" s="68" t="str" vm="17177">
        <f>CUBEVALUE(ConnectionString,ReportMonth,Table1[[#This Row],[Site ID (from DATIM)]],"[Measures].[MMS_180+_F_A]")</f>
        <v/>
      </c>
      <c r="CF133" s="68" t="str" vm="15729">
        <f>CUBEVALUE(ConnectionString,ReportMonth,Table1[[#This Row],[Site ID (from DATIM)]],"[Measures].[MMS_180+_M_A]")</f>
        <v/>
      </c>
      <c r="CG133" s="68" vm="11340">
        <f>CUBEVALUE(ConnectionString,ReportMonth,Table1[[#This Row],[Site ID (from DATIM)]],"[Measures].[MISSEDAPP]")</f>
        <v>111</v>
      </c>
      <c r="CH133" s="68" t="str" vm="14368">
        <f>CUBEVALUE(ConnectionString,ReportMonth,Table1[[#This Row],[Site ID (from DATIM)]],"[Measures].[MMS_180+_P]")</f>
        <v/>
      </c>
      <c r="CI133" s="68" t="str" vm="13869">
        <f>CUBEVALUE(ConnectionString,ReportMonth,Table1[[#This Row],[Site ID (from DATIM)]],"[Measures].[MMS_180+_A]")</f>
        <v/>
      </c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</row>
    <row r="134" spans="1:107" x14ac:dyDescent="0.25">
      <c r="A134" s="66">
        <v>2</v>
      </c>
      <c r="B134" s="67" t="str" vm="4">
        <f t="shared" ref="B134:B197" si="3">ReportMonth</f>
        <v>Mar-2021</v>
      </c>
      <c r="C134" s="67"/>
      <c r="D134" s="67" t="s">
        <v>232</v>
      </c>
      <c r="E134" s="67" t="s">
        <v>233</v>
      </c>
      <c r="F134" s="67" t="s">
        <v>831</v>
      </c>
      <c r="G134" s="67"/>
      <c r="H134" s="67" t="s">
        <v>867</v>
      </c>
      <c r="I134" s="67" t="s">
        <v>885</v>
      </c>
      <c r="J134" s="67" t="s">
        <v>886</v>
      </c>
      <c r="K134" s="67" t="s">
        <v>887</v>
      </c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 vm="4812">
        <f>CUBEVALUE(ConnectionString,ReportMonth,Table1[[#This Row],[Site ID (from DATIM)]],"TX_NEW_2VIS")</f>
        <v>2</v>
      </c>
      <c r="AE134" s="67" vm="401">
        <f>CUBEVALUE(ConnectionString,ReportMonth,Table1[[#This Row],[Site ID (from DATIM)]],INDEX(SDI_Measures,1))</f>
        <v>8</v>
      </c>
      <c r="AF134" s="67" t="str" vm="103">
        <f>CUBEVALUE(ConnectionString,ReportMonth,Table1[[#This Row],[Site ID (from DATIM)]],INDEX(SDI_Measures,2))</f>
        <v/>
      </c>
      <c r="AG134" s="67" t="str" vm="2041">
        <f>CUBEVALUE(ConnectionString,ReportMonth,Table1[[#This Row],[Site ID (from DATIM)]],INDEX(SDI_Measures,3))</f>
        <v/>
      </c>
      <c r="AH134" s="67" vm="1053">
        <f>CUBEVALUE(ConnectionString,ReportMonth,Table1[[#This Row],[Site ID (from DATIM)]],"TX_CURR_PRIOR_MONTH")</f>
        <v>565</v>
      </c>
      <c r="AI134" s="67" vm="2005">
        <f>CUBEVALUE(ConnectionString,ReportMonth,Table1[[#This Row],[Site ID (from DATIM)]],"TX_CURR")</f>
        <v>535</v>
      </c>
      <c r="AJ134" s="67" t="str" vm="3333">
        <f>CUBEVALUE(ConnectionString,ReportMonth,Table1[[#This Row],[Site ID (from DATIM)]],"[Measures].[TI]")</f>
        <v/>
      </c>
      <c r="AK134" s="67" t="str" vm="2643">
        <f>CUBEVALUE(ConnectionString,ReportMonth,Table1[[#This Row],[Site ID (from DATIM)]],"[Measures].[TO]")</f>
        <v/>
      </c>
      <c r="AL134" s="67" vm="3246">
        <f>CUBEVALUE(ConnectionString,ReportMonth,Table1[[#This Row],[Site ID (from DATIM)]],"[Measures].[DIED]")</f>
        <v>1</v>
      </c>
      <c r="AM134" s="67" vm="4807">
        <f>CUBEVALUE(ConnectionString,ReportMonth,Table1[[#This Row],[Site ID (from DATIM)]],"[Measures].[MMS_01_31]")</f>
        <v>90</v>
      </c>
      <c r="AN134" s="67" vm="4766">
        <f>CUBEVALUE(ConnectionString,ReportMonth,Table1[[#This Row],[Site ID (from DATIM)]],"[Measures].[MMS_32_62]")</f>
        <v>9</v>
      </c>
      <c r="AO134" s="67" vm="7623">
        <f>CUBEVALUE(ConnectionString,ReportMonth,Table1[[#This Row],[Site ID (from DATIM)]],"[Measures].[MMS_63+]")</f>
        <v>436</v>
      </c>
      <c r="AP134" s="67" vm="10768">
        <f>CUBEVALUE(ConnectionString,ReportMonth,Table1[[#This Row],[Site ID (from DATIM)]],"[Measures].[TBPREV_D]")</f>
        <v>17</v>
      </c>
      <c r="AQ134" s="67" vm="6299">
        <f>CUBEVALUE(ConnectionString,ReportMonth,Table1[[#This Row],[Site ID (from DATIM)]],"[Measures].[TBPREV_N]")</f>
        <v>13</v>
      </c>
      <c r="AR134" s="67" vm="4643">
        <f>CUBEVALUE(ConnectionString,ReportMonth,Table1[[#This Row],[Site ID (from DATIM)]],"[Measures].[TBPREV_NEW]")</f>
        <v>4</v>
      </c>
      <c r="AS134" s="67" vm="9704">
        <f>CUBEVALUE(ConnectionString,ReportMonth,Table1[[#This Row],[Site ID (from DATIM)]],"[Measures].[HVL_ELIG_P]")</f>
        <v>31</v>
      </c>
      <c r="AT134" s="67" vm="11333">
        <f>CUBEVALUE(ConnectionString,ReportMonth,Table1[[#This Row],[Site ID (from DATIM)]],"[Measures].[HVL_D_P]")</f>
        <v>29</v>
      </c>
      <c r="AU134" s="67" vm="12026">
        <f>CUBEVALUE(ConnectionString,ReportMonth,Table1[[#This Row],[Site ID (from DATIM)]],"[Measures].[HVL_N_P]")</f>
        <v>28</v>
      </c>
      <c r="AV134" s="68" vm="7277">
        <f>CUBEVALUE(ConnectionString,ReportMonth,Table1[[#This Row],[Site ID (from DATIM)]],"[Measures].[HVL_ELIG_A]")</f>
        <v>452</v>
      </c>
      <c r="AW134" s="68" vm="10315">
        <f>CUBEVALUE(ConnectionString,ReportMonth,Table1[[#This Row],[Site ID (from DATIM)]],"[Measures].[HVL_D_A]")</f>
        <v>404</v>
      </c>
      <c r="AX134" s="68" vm="8188">
        <f>CUBEVALUE(ConnectionString,ReportMonth,Table1[[#This Row],[Site ID (from DATIM)]],"[Measures].[HVL_N_A]")</f>
        <v>393</v>
      </c>
      <c r="AY134" s="67"/>
      <c r="AZ134" s="67"/>
      <c r="BA134" s="67"/>
      <c r="BB134" s="67"/>
      <c r="BC134" s="67"/>
      <c r="BD134" s="67"/>
      <c r="BE134" s="67"/>
      <c r="BF134" s="67"/>
      <c r="BG134" s="67" vm="13622">
        <f>CUBEVALUE(ConnectionString,ReportMonth,Table1[[#This Row],[Site ID (from DATIM)]],"[Measures].[TX_NEW_F_A]")</f>
        <v>5</v>
      </c>
      <c r="BH134" s="67" vm="11919">
        <f>CUBEVALUE(ConnectionString,ReportMonth,Table1[[#This Row],[Site ID (from DATIM)]],"[Measures].[TX_NEW_M_A]")</f>
        <v>3</v>
      </c>
      <c r="BI134" s="67" t="str" vm="14324">
        <f>CUBEVALUE(ConnectionString,ReportMonth,Table1[[#This Row],[Site ID (from DATIM)]],"[Measures].[TX_NEW_F_P]")</f>
        <v/>
      </c>
      <c r="BJ134" s="68" t="str" vm="15649">
        <f>CUBEVALUE(ConnectionString,ReportMonth,Table1[[#This Row],[Site ID (from DATIM)]],"[Measures].[TX_NEW_M_P]")</f>
        <v/>
      </c>
      <c r="BK134" s="68"/>
      <c r="BL134" s="68"/>
      <c r="BM134" s="68"/>
      <c r="BN134" s="68"/>
      <c r="BO134" s="68"/>
      <c r="BP134" s="68"/>
      <c r="BQ134" s="68" vm="9262">
        <f>CUBEVALUE(ConnectionString,ReportMonth,Table1[[#This Row],[Site ID (from DATIM)]],"[Measures].[TX_CURR_F_P]")</f>
        <v>15</v>
      </c>
      <c r="BR134" s="68" vm="12363">
        <f>CUBEVALUE(ConnectionString,ReportMonth,Table1[[#This Row],[Site ID (from DATIM)]],"[Measures].[TX_CURR_M_P]")</f>
        <v>17</v>
      </c>
      <c r="BS134" s="68" vm="9207">
        <f>CUBEVALUE(ConnectionString,ReportMonth,Table1[[#This Row],[Site ID (from DATIM)]],"[Measures].[TX_CURR_F_A]")</f>
        <v>352</v>
      </c>
      <c r="BT134" s="68" vm="12687">
        <f>CUBEVALUE(ConnectionString,ReportMonth,Table1[[#This Row],[Site ID (from DATIM)]],"[Measures].[TX_CURR_M_A]")</f>
        <v>151</v>
      </c>
      <c r="BU134" s="68" vm="18114">
        <f>CUBEVALUE(ConnectionString,ReportMonth,Table1[[#This Row],[Site ID (from DATIM)]],"[Measures].[MMS_01_89_F_P]")</f>
        <v>5</v>
      </c>
      <c r="BV134" s="68" vm="19719">
        <f>CUBEVALUE(ConnectionString,ReportMonth,Table1[[#This Row],[Site ID (from DATIM)]],"[Measures].[MMS_01_89_M_P]")</f>
        <v>3</v>
      </c>
      <c r="BW134" s="68" vm="19522">
        <f>CUBEVALUE(ConnectionString,ReportMonth,Table1[[#This Row],[Site ID (from DATIM)]],"[Measures].[MMS_01_89_F_A]")</f>
        <v>71</v>
      </c>
      <c r="BX134" s="68" vm="18586">
        <f>CUBEVALUE(ConnectionString,ReportMonth,Table1[[#This Row],[Site ID (from DATIM)]],"[Measures].[MMS_01_89_M_A]")</f>
        <v>20</v>
      </c>
      <c r="BY134" s="68" vm="16964">
        <f>CUBEVALUE(ConnectionString,ReportMonth,Table1[[#This Row],[Site ID (from DATIM)]],"[Measures].[MMS_90_179_F_P]")</f>
        <v>10</v>
      </c>
      <c r="BZ134" s="68" vm="15192">
        <f>CUBEVALUE(ConnectionString,ReportMonth,Table1[[#This Row],[Site ID (from DATIM)]],"[Measures].[MMS_90_179_M_P]")</f>
        <v>14</v>
      </c>
      <c r="CA134" s="68" vm="14738">
        <f>CUBEVALUE(ConnectionString,ReportMonth,Table1[[#This Row],[Site ID (from DATIM)]],"[Measures].[MMS_90_179_F_A]")</f>
        <v>280</v>
      </c>
      <c r="CB134" s="68" vm="17273">
        <f>CUBEVALUE(ConnectionString,ReportMonth,Table1[[#This Row],[Site ID (from DATIM)]],"[Measures].[MMS_90_179_M_A]")</f>
        <v>131</v>
      </c>
      <c r="CC134" s="68" t="str" vm="15865">
        <f>CUBEVALUE(ConnectionString,ReportMonth,Table1[[#This Row],[Site ID (from DATIM)]],"[Measures].[MMS_180+_F_P]")</f>
        <v/>
      </c>
      <c r="CD134" s="68" t="str" vm="15875">
        <f>CUBEVALUE(ConnectionString,ReportMonth,Table1[[#This Row],[Site ID (from DATIM)]],"[Measures].[MMS_180+_M_P]")</f>
        <v/>
      </c>
      <c r="CE134" s="68" vm="14552">
        <f>CUBEVALUE(ConnectionString,ReportMonth,Table1[[#This Row],[Site ID (from DATIM)]],"[Measures].[MMS_180+_F_A]")</f>
        <v>1</v>
      </c>
      <c r="CF134" s="68" t="str" vm="49">
        <f>CUBEVALUE(ConnectionString,ReportMonth,Table1[[#This Row],[Site ID (from DATIM)]],"[Measures].[MMS_180+_M_A]")</f>
        <v/>
      </c>
      <c r="CG134" s="68" vm="7529">
        <f>CUBEVALUE(ConnectionString,ReportMonth,Table1[[#This Row],[Site ID (from DATIM)]],"[Measures].[MISSEDAPP]")</f>
        <v>147</v>
      </c>
      <c r="CH134" s="68" t="str" vm="14314">
        <f>CUBEVALUE(ConnectionString,ReportMonth,Table1[[#This Row],[Site ID (from DATIM)]],"[Measures].[MMS_180+_P]")</f>
        <v/>
      </c>
      <c r="CI134" s="68" vm="11513">
        <f>CUBEVALUE(ConnectionString,ReportMonth,Table1[[#This Row],[Site ID (from DATIM)]],"[Measures].[MMS_180+_A]")</f>
        <v>1</v>
      </c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  <c r="CW134" s="68"/>
      <c r="CX134" s="68"/>
      <c r="CY134" s="68"/>
      <c r="CZ134" s="68"/>
      <c r="DA134" s="68"/>
      <c r="DB134" s="68"/>
      <c r="DC134" s="68"/>
    </row>
    <row r="135" spans="1:107" x14ac:dyDescent="0.25">
      <c r="A135" s="66">
        <v>4</v>
      </c>
      <c r="B135" s="67" t="str" vm="4">
        <f t="shared" si="3"/>
        <v>Mar-2021</v>
      </c>
      <c r="C135" s="67"/>
      <c r="D135" s="67" t="s">
        <v>232</v>
      </c>
      <c r="E135" s="67" t="s">
        <v>233</v>
      </c>
      <c r="F135" s="67" t="s">
        <v>1286</v>
      </c>
      <c r="G135" s="67"/>
      <c r="H135" s="67" t="s">
        <v>1287</v>
      </c>
      <c r="I135" s="67" t="s">
        <v>1357</v>
      </c>
      <c r="J135" s="67" t="s">
        <v>1358</v>
      </c>
      <c r="K135" s="67" t="s">
        <v>1359</v>
      </c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 t="str" vm="1347">
        <f>CUBEVALUE(ConnectionString,ReportMonth,Table1[[#This Row],[Site ID (from DATIM)]],"TX_NEW_2VIS")</f>
        <v/>
      </c>
      <c r="AE135" s="67" t="str" vm="3350">
        <f>CUBEVALUE(ConnectionString,ReportMonth,Table1[[#This Row],[Site ID (from DATIM)]],INDEX(SDI_Measures,1))</f>
        <v/>
      </c>
      <c r="AF135" s="67" t="str" vm="622">
        <f>CUBEVALUE(ConnectionString,ReportMonth,Table1[[#This Row],[Site ID (from DATIM)]],INDEX(SDI_Measures,2))</f>
        <v/>
      </c>
      <c r="AG135" s="67" t="str" vm="1935">
        <f>CUBEVALUE(ConnectionString,ReportMonth,Table1[[#This Row],[Site ID (from DATIM)]],INDEX(SDI_Measures,3))</f>
        <v/>
      </c>
      <c r="AH135" s="67" t="str" vm="2496">
        <f>CUBEVALUE(ConnectionString,ReportMonth,Table1[[#This Row],[Site ID (from DATIM)]],"TX_CURR_PRIOR_MONTH")</f>
        <v/>
      </c>
      <c r="AI135" s="67" t="str" vm="537">
        <f>CUBEVALUE(ConnectionString,ReportMonth,Table1[[#This Row],[Site ID (from DATIM)]],"TX_CURR")</f>
        <v/>
      </c>
      <c r="AJ135" s="67" t="str" vm="2567">
        <f>CUBEVALUE(ConnectionString,ReportMonth,Table1[[#This Row],[Site ID (from DATIM)]],"[Measures].[TI]")</f>
        <v/>
      </c>
      <c r="AK135" s="67" t="str" vm="3681">
        <f>CUBEVALUE(ConnectionString,ReportMonth,Table1[[#This Row],[Site ID (from DATIM)]],"[Measures].[TO]")</f>
        <v/>
      </c>
      <c r="AL135" s="67" t="str" vm="4069">
        <f>CUBEVALUE(ConnectionString,ReportMonth,Table1[[#This Row],[Site ID (from DATIM)]],"[Measures].[DIED]")</f>
        <v/>
      </c>
      <c r="AM135" s="67" t="str" vm="4550">
        <f>CUBEVALUE(ConnectionString,ReportMonth,Table1[[#This Row],[Site ID (from DATIM)]],"[Measures].[MMS_01_31]")</f>
        <v/>
      </c>
      <c r="AN135" s="67" t="str" vm="6427">
        <f>CUBEVALUE(ConnectionString,ReportMonth,Table1[[#This Row],[Site ID (from DATIM)]],"[Measures].[MMS_32_62]")</f>
        <v/>
      </c>
      <c r="AO135" s="67" t="str" vm="7331">
        <f>CUBEVALUE(ConnectionString,ReportMonth,Table1[[#This Row],[Site ID (from DATIM)]],"[Measures].[MMS_63+]")</f>
        <v/>
      </c>
      <c r="AP135" s="67" t="str" vm="6138">
        <f>CUBEVALUE(ConnectionString,ReportMonth,Table1[[#This Row],[Site ID (from DATIM)]],"[Measures].[TBPREV_D]")</f>
        <v/>
      </c>
      <c r="AQ135" s="67" t="str" vm="6774">
        <f>CUBEVALUE(ConnectionString,ReportMonth,Table1[[#This Row],[Site ID (from DATIM)]],"[Measures].[TBPREV_N]")</f>
        <v/>
      </c>
      <c r="AR135" s="67" t="str" vm="5358">
        <f>CUBEVALUE(ConnectionString,ReportMonth,Table1[[#This Row],[Site ID (from DATIM)]],"[Measures].[TBPREV_NEW]")</f>
        <v/>
      </c>
      <c r="AS135" s="67" t="str" vm="6329">
        <f>CUBEVALUE(ConnectionString,ReportMonth,Table1[[#This Row],[Site ID (from DATIM)]],"[Measures].[HVL_ELIG_P]")</f>
        <v/>
      </c>
      <c r="AT135" s="67" t="str" vm="5902">
        <f>CUBEVALUE(ConnectionString,ReportMonth,Table1[[#This Row],[Site ID (from DATIM)]],"[Measures].[HVL_D_P]")</f>
        <v/>
      </c>
      <c r="AU135" s="67" t="str" vm="8724">
        <f>CUBEVALUE(ConnectionString,ReportMonth,Table1[[#This Row],[Site ID (from DATIM)]],"[Measures].[HVL_N_P]")</f>
        <v/>
      </c>
      <c r="AV135" s="68" t="str" vm="7475">
        <f>CUBEVALUE(ConnectionString,ReportMonth,Table1[[#This Row],[Site ID (from DATIM)]],"[Measures].[HVL_ELIG_A]")</f>
        <v/>
      </c>
      <c r="AW135" s="68" t="str" vm="10019">
        <f>CUBEVALUE(ConnectionString,ReportMonth,Table1[[#This Row],[Site ID (from DATIM)]],"[Measures].[HVL_D_A]")</f>
        <v/>
      </c>
      <c r="AX135" s="68" t="str" vm="9879">
        <f>CUBEVALUE(ConnectionString,ReportMonth,Table1[[#This Row],[Site ID (from DATIM)]],"[Measures].[HVL_N_A]")</f>
        <v/>
      </c>
      <c r="AY135" s="67"/>
      <c r="AZ135" s="67"/>
      <c r="BA135" s="67"/>
      <c r="BB135" s="67"/>
      <c r="BC135" s="67"/>
      <c r="BD135" s="67"/>
      <c r="BE135" s="67"/>
      <c r="BF135" s="67"/>
      <c r="BG135" s="67" t="str" vm="12755">
        <f>CUBEVALUE(ConnectionString,ReportMonth,Table1[[#This Row],[Site ID (from DATIM)]],"[Measures].[TX_NEW_F_A]")</f>
        <v/>
      </c>
      <c r="BH135" s="67" t="str" vm="13635">
        <f>CUBEVALUE(ConnectionString,ReportMonth,Table1[[#This Row],[Site ID (from DATIM)]],"[Measures].[TX_NEW_M_A]")</f>
        <v/>
      </c>
      <c r="BI135" s="67" t="str" vm="12346">
        <f>CUBEVALUE(ConnectionString,ReportMonth,Table1[[#This Row],[Site ID (from DATIM)]],"[Measures].[TX_NEW_F_P]")</f>
        <v/>
      </c>
      <c r="BJ135" s="68" t="str" vm="12841">
        <f>CUBEVALUE(ConnectionString,ReportMonth,Table1[[#This Row],[Site ID (from DATIM)]],"[Measures].[TX_NEW_M_P]")</f>
        <v/>
      </c>
      <c r="BK135" s="68"/>
      <c r="BL135" s="68"/>
      <c r="BM135" s="68"/>
      <c r="BN135" s="68"/>
      <c r="BO135" s="68"/>
      <c r="BP135" s="68"/>
      <c r="BQ135" s="68" t="str" vm="9923">
        <f>CUBEVALUE(ConnectionString,ReportMonth,Table1[[#This Row],[Site ID (from DATIM)]],"[Measures].[TX_CURR_F_P]")</f>
        <v/>
      </c>
      <c r="BR135" s="68" t="str" vm="8226">
        <f>CUBEVALUE(ConnectionString,ReportMonth,Table1[[#This Row],[Site ID (from DATIM)]],"[Measures].[TX_CURR_M_P]")</f>
        <v/>
      </c>
      <c r="BS135" s="68" t="str" vm="13228">
        <f>CUBEVALUE(ConnectionString,ReportMonth,Table1[[#This Row],[Site ID (from DATIM)]],"[Measures].[TX_CURR_F_A]")</f>
        <v/>
      </c>
      <c r="BT135" s="68" t="str" vm="9476">
        <f>CUBEVALUE(ConnectionString,ReportMonth,Table1[[#This Row],[Site ID (from DATIM)]],"[Measures].[TX_CURR_M_A]")</f>
        <v/>
      </c>
      <c r="BU135" s="68" t="str" vm="20108">
        <f>CUBEVALUE(ConnectionString,ReportMonth,Table1[[#This Row],[Site ID (from DATIM)]],"[Measures].[MMS_01_89_F_P]")</f>
        <v/>
      </c>
      <c r="BV135" s="68" t="str" vm="19135">
        <f>CUBEVALUE(ConnectionString,ReportMonth,Table1[[#This Row],[Site ID (from DATIM)]],"[Measures].[MMS_01_89_M_P]")</f>
        <v/>
      </c>
      <c r="BW135" s="68" t="str" vm="19022">
        <f>CUBEVALUE(ConnectionString,ReportMonth,Table1[[#This Row],[Site ID (from DATIM)]],"[Measures].[MMS_01_89_F_A]")</f>
        <v/>
      </c>
      <c r="BX135" s="68" t="str" vm="19153">
        <f>CUBEVALUE(ConnectionString,ReportMonth,Table1[[#This Row],[Site ID (from DATIM)]],"[Measures].[MMS_01_89_M_A]")</f>
        <v/>
      </c>
      <c r="BY135" s="68" t="str" vm="19680">
        <f>CUBEVALUE(ConnectionString,ReportMonth,Table1[[#This Row],[Site ID (from DATIM)]],"[Measures].[MMS_90_179_F_P]")</f>
        <v/>
      </c>
      <c r="BZ135" s="68" t="str" vm="17805">
        <f>CUBEVALUE(ConnectionString,ReportMonth,Table1[[#This Row],[Site ID (from DATIM)]],"[Measures].[MMS_90_179_M_P]")</f>
        <v/>
      </c>
      <c r="CA135" s="68" t="str" vm="14646">
        <f>CUBEVALUE(ConnectionString,ReportMonth,Table1[[#This Row],[Site ID (from DATIM)]],"[Measures].[MMS_90_179_F_A]")</f>
        <v/>
      </c>
      <c r="CB135" s="68" t="str" vm="16006">
        <f>CUBEVALUE(ConnectionString,ReportMonth,Table1[[#This Row],[Site ID (from DATIM)]],"[Measures].[MMS_90_179_M_A]")</f>
        <v/>
      </c>
      <c r="CC135" s="68" t="str" vm="17219">
        <f>CUBEVALUE(ConnectionString,ReportMonth,Table1[[#This Row],[Site ID (from DATIM)]],"[Measures].[MMS_180+_F_P]")</f>
        <v/>
      </c>
      <c r="CD135" s="68" t="str" vm="15828">
        <f>CUBEVALUE(ConnectionString,ReportMonth,Table1[[#This Row],[Site ID (from DATIM)]],"[Measures].[MMS_180+_M_P]")</f>
        <v/>
      </c>
      <c r="CE135" s="68" t="str" vm="15004">
        <f>CUBEVALUE(ConnectionString,ReportMonth,Table1[[#This Row],[Site ID (from DATIM)]],"[Measures].[MMS_180+_F_A]")</f>
        <v/>
      </c>
      <c r="CF135" s="68" t="str" vm="162">
        <f>CUBEVALUE(ConnectionString,ReportMonth,Table1[[#This Row],[Site ID (from DATIM)]],"[Measures].[MMS_180+_M_A]")</f>
        <v/>
      </c>
      <c r="CG135" s="68" t="str" vm="7832">
        <f>CUBEVALUE(ConnectionString,ReportMonth,Table1[[#This Row],[Site ID (from DATIM)]],"[Measures].[MISSEDAPP]")</f>
        <v/>
      </c>
      <c r="CH135" s="68" t="str" vm="12827">
        <f>CUBEVALUE(ConnectionString,ReportMonth,Table1[[#This Row],[Site ID (from DATIM)]],"[Measures].[MMS_180+_P]")</f>
        <v/>
      </c>
      <c r="CI135" s="68" t="str" vm="13932">
        <f>CUBEVALUE(ConnectionString,ReportMonth,Table1[[#This Row],[Site ID (from DATIM)]],"[Measures].[MMS_180+_A]")</f>
        <v/>
      </c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  <c r="CW135" s="68"/>
      <c r="CX135" s="68"/>
      <c r="CY135" s="68"/>
      <c r="CZ135" s="68"/>
      <c r="DA135" s="68"/>
      <c r="DB135" s="68"/>
      <c r="DC135" s="68"/>
    </row>
    <row r="136" spans="1:107" x14ac:dyDescent="0.25">
      <c r="A136" s="66">
        <v>4</v>
      </c>
      <c r="B136" s="67" t="str" vm="4">
        <f t="shared" si="3"/>
        <v>Mar-2021</v>
      </c>
      <c r="C136" s="67"/>
      <c r="D136" s="67" t="s">
        <v>232</v>
      </c>
      <c r="E136" s="67" t="s">
        <v>233</v>
      </c>
      <c r="F136" s="67" t="s">
        <v>1083</v>
      </c>
      <c r="G136" s="67"/>
      <c r="H136" s="67" t="s">
        <v>1103</v>
      </c>
      <c r="I136" s="67" t="s">
        <v>1164</v>
      </c>
      <c r="J136" s="67" t="s">
        <v>1165</v>
      </c>
      <c r="K136" s="67" t="s">
        <v>1166</v>
      </c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 t="str" vm="1205">
        <f>CUBEVALUE(ConnectionString,ReportMonth,Table1[[#This Row],[Site ID (from DATIM)]],"TX_NEW_2VIS")</f>
        <v/>
      </c>
      <c r="AE136" s="67" t="str" vm="1383">
        <f>CUBEVALUE(ConnectionString,ReportMonth,Table1[[#This Row],[Site ID (from DATIM)]],INDEX(SDI_Measures,1))</f>
        <v/>
      </c>
      <c r="AF136" s="67" t="str" vm="4370">
        <f>CUBEVALUE(ConnectionString,ReportMonth,Table1[[#This Row],[Site ID (from DATIM)]],INDEX(SDI_Measures,2))</f>
        <v/>
      </c>
      <c r="AG136" s="67" t="str" vm="2459">
        <f>CUBEVALUE(ConnectionString,ReportMonth,Table1[[#This Row],[Site ID (from DATIM)]],INDEX(SDI_Measures,3))</f>
        <v/>
      </c>
      <c r="AH136" s="67" vm="2665">
        <f>CUBEVALUE(ConnectionString,ReportMonth,Table1[[#This Row],[Site ID (from DATIM)]],"TX_CURR_PRIOR_MONTH")</f>
        <v>112</v>
      </c>
      <c r="AI136" s="67" vm="1976">
        <f>CUBEVALUE(ConnectionString,ReportMonth,Table1[[#This Row],[Site ID (from DATIM)]],"TX_CURR")</f>
        <v>99</v>
      </c>
      <c r="AJ136" s="67" t="str" vm="3314">
        <f>CUBEVALUE(ConnectionString,ReportMonth,Table1[[#This Row],[Site ID (from DATIM)]],"[Measures].[TI]")</f>
        <v/>
      </c>
      <c r="AK136" s="67" t="str" vm="2365">
        <f>CUBEVALUE(ConnectionString,ReportMonth,Table1[[#This Row],[Site ID (from DATIM)]],"[Measures].[TO]")</f>
        <v/>
      </c>
      <c r="AL136" s="67" t="str" vm="4032">
        <f>CUBEVALUE(ConnectionString,ReportMonth,Table1[[#This Row],[Site ID (from DATIM)]],"[Measures].[DIED]")</f>
        <v/>
      </c>
      <c r="AM136" s="67" vm="5679">
        <f>CUBEVALUE(ConnectionString,ReportMonth,Table1[[#This Row],[Site ID (from DATIM)]],"[Measures].[MMS_01_31]")</f>
        <v>55</v>
      </c>
      <c r="AN136" s="67" vm="6696">
        <f>CUBEVALUE(ConnectionString,ReportMonth,Table1[[#This Row],[Site ID (from DATIM)]],"[Measures].[MMS_32_62]")</f>
        <v>1</v>
      </c>
      <c r="AO136" s="67" vm="8368">
        <f>CUBEVALUE(ConnectionString,ReportMonth,Table1[[#This Row],[Site ID (from DATIM)]],"[Measures].[MMS_63+]")</f>
        <v>43</v>
      </c>
      <c r="AP136" s="67" vm="11806">
        <f>CUBEVALUE(ConnectionString,ReportMonth,Table1[[#This Row],[Site ID (from DATIM)]],"[Measures].[TBPREV_D]")</f>
        <v>3</v>
      </c>
      <c r="AQ136" s="67" vm="4926">
        <f>CUBEVALUE(ConnectionString,ReportMonth,Table1[[#This Row],[Site ID (from DATIM)]],"[Measures].[TBPREV_N]")</f>
        <v>2</v>
      </c>
      <c r="AR136" s="67" t="str" vm="5526">
        <f>CUBEVALUE(ConnectionString,ReportMonth,Table1[[#This Row],[Site ID (from DATIM)]],"[Measures].[TBPREV_NEW]")</f>
        <v/>
      </c>
      <c r="AS136" s="67" t="str" vm="7393">
        <f>CUBEVALUE(ConnectionString,ReportMonth,Table1[[#This Row],[Site ID (from DATIM)]],"[Measures].[HVL_ELIG_P]")</f>
        <v/>
      </c>
      <c r="AT136" s="67" t="str" vm="5273">
        <f>CUBEVALUE(ConnectionString,ReportMonth,Table1[[#This Row],[Site ID (from DATIM)]],"[Measures].[HVL_D_P]")</f>
        <v/>
      </c>
      <c r="AU136" s="67" t="str" vm="7983">
        <f>CUBEVALUE(ConnectionString,ReportMonth,Table1[[#This Row],[Site ID (from DATIM)]],"[Measures].[HVL_N_P]")</f>
        <v/>
      </c>
      <c r="AV136" s="68" vm="7027">
        <f>CUBEVALUE(ConnectionString,ReportMonth,Table1[[#This Row],[Site ID (from DATIM)]],"[Measures].[HVL_ELIG_A]")</f>
        <v>80</v>
      </c>
      <c r="AW136" s="68" vm="9061">
        <f>CUBEVALUE(ConnectionString,ReportMonth,Table1[[#This Row],[Site ID (from DATIM)]],"[Measures].[HVL_D_A]")</f>
        <v>31</v>
      </c>
      <c r="AX136" s="68" vm="7008">
        <f>CUBEVALUE(ConnectionString,ReportMonth,Table1[[#This Row],[Site ID (from DATIM)]],"[Measures].[HVL_N_A]")</f>
        <v>26</v>
      </c>
      <c r="AY136" s="67"/>
      <c r="AZ136" s="67"/>
      <c r="BA136" s="67"/>
      <c r="BB136" s="67"/>
      <c r="BC136" s="67"/>
      <c r="BD136" s="67"/>
      <c r="BE136" s="67"/>
      <c r="BF136" s="67"/>
      <c r="BG136" s="67" t="str" vm="11006">
        <f>CUBEVALUE(ConnectionString,ReportMonth,Table1[[#This Row],[Site ID (from DATIM)]],"[Measures].[TX_NEW_F_A]")</f>
        <v/>
      </c>
      <c r="BH136" s="67" t="str" vm="14191">
        <f>CUBEVALUE(ConnectionString,ReportMonth,Table1[[#This Row],[Site ID (from DATIM)]],"[Measures].[TX_NEW_M_A]")</f>
        <v/>
      </c>
      <c r="BI136" s="67" t="str" vm="14385">
        <f>CUBEVALUE(ConnectionString,ReportMonth,Table1[[#This Row],[Site ID (from DATIM)]],"[Measures].[TX_NEW_F_P]")</f>
        <v/>
      </c>
      <c r="BJ136" s="68" t="str" vm="17038">
        <f>CUBEVALUE(ConnectionString,ReportMonth,Table1[[#This Row],[Site ID (from DATIM)]],"[Measures].[TX_NEW_M_P]")</f>
        <v/>
      </c>
      <c r="BK136" s="68"/>
      <c r="BL136" s="68"/>
      <c r="BM136" s="68"/>
      <c r="BN136" s="68"/>
      <c r="BO136" s="68"/>
      <c r="BP136" s="68"/>
      <c r="BQ136" s="68" t="str" vm="10830">
        <f>CUBEVALUE(ConnectionString,ReportMonth,Table1[[#This Row],[Site ID (from DATIM)]],"[Measures].[TX_CURR_F_P]")</f>
        <v/>
      </c>
      <c r="BR136" s="68" t="str" vm="10877">
        <f>CUBEVALUE(ConnectionString,ReportMonth,Table1[[#This Row],[Site ID (from DATIM)]],"[Measures].[TX_CURR_M_P]")</f>
        <v/>
      </c>
      <c r="BS136" s="68" vm="7947">
        <f>CUBEVALUE(ConnectionString,ReportMonth,Table1[[#This Row],[Site ID (from DATIM)]],"[Measures].[TX_CURR_F_A]")</f>
        <v>78</v>
      </c>
      <c r="BT136" s="68" vm="13497">
        <f>CUBEVALUE(ConnectionString,ReportMonth,Table1[[#This Row],[Site ID (from DATIM)]],"[Measures].[TX_CURR_M_A]")</f>
        <v>21</v>
      </c>
      <c r="BU136" s="68" t="str" vm="18729">
        <f>CUBEVALUE(ConnectionString,ReportMonth,Table1[[#This Row],[Site ID (from DATIM)]],"[Measures].[MMS_01_89_F_P]")</f>
        <v/>
      </c>
      <c r="BV136" s="68" t="str" vm="20116">
        <f>CUBEVALUE(ConnectionString,ReportMonth,Table1[[#This Row],[Site ID (from DATIM)]],"[Measures].[MMS_01_89_M_P]")</f>
        <v/>
      </c>
      <c r="BW136" s="68" vm="19188">
        <f>CUBEVALUE(ConnectionString,ReportMonth,Table1[[#This Row],[Site ID (from DATIM)]],"[Measures].[MMS_01_89_F_A]")</f>
        <v>45</v>
      </c>
      <c r="BX136" s="68" vm="19623">
        <f>CUBEVALUE(ConnectionString,ReportMonth,Table1[[#This Row],[Site ID (from DATIM)]],"[Measures].[MMS_01_89_M_A]")</f>
        <v>12</v>
      </c>
      <c r="BY136" s="68" t="str" vm="19616">
        <f>CUBEVALUE(ConnectionString,ReportMonth,Table1[[#This Row],[Site ID (from DATIM)]],"[Measures].[MMS_90_179_F_P]")</f>
        <v/>
      </c>
      <c r="BZ136" s="68" t="str" vm="19592">
        <f>CUBEVALUE(ConnectionString,ReportMonth,Table1[[#This Row],[Site ID (from DATIM)]],"[Measures].[MMS_90_179_M_P]")</f>
        <v/>
      </c>
      <c r="CA136" s="68" vm="16985">
        <f>CUBEVALUE(ConnectionString,ReportMonth,Table1[[#This Row],[Site ID (from DATIM)]],"[Measures].[MMS_90_179_F_A]")</f>
        <v>33</v>
      </c>
      <c r="CB136" s="68" vm="16905">
        <f>CUBEVALUE(ConnectionString,ReportMonth,Table1[[#This Row],[Site ID (from DATIM)]],"[Measures].[MMS_90_179_M_A]")</f>
        <v>9</v>
      </c>
      <c r="CC136" s="68" t="str" vm="17607">
        <f>CUBEVALUE(ConnectionString,ReportMonth,Table1[[#This Row],[Site ID (from DATIM)]],"[Measures].[MMS_180+_F_P]")</f>
        <v/>
      </c>
      <c r="CD136" s="68" t="str" vm="15531">
        <f>CUBEVALUE(ConnectionString,ReportMonth,Table1[[#This Row],[Site ID (from DATIM)]],"[Measures].[MMS_180+_M_P]")</f>
        <v/>
      </c>
      <c r="CE136" s="68" t="str" vm="17111">
        <f>CUBEVALUE(ConnectionString,ReportMonth,Table1[[#This Row],[Site ID (from DATIM)]],"[Measures].[MMS_180+_F_A]")</f>
        <v/>
      </c>
      <c r="CF136" s="68" t="str" vm="134">
        <f>CUBEVALUE(ConnectionString,ReportMonth,Table1[[#This Row],[Site ID (from DATIM)]],"[Measures].[MMS_180+_M_A]")</f>
        <v/>
      </c>
      <c r="CG136" s="68" vm="4791">
        <f>CUBEVALUE(ConnectionString,ReportMonth,Table1[[#This Row],[Site ID (from DATIM)]],"[Measures].[MISSEDAPP]")</f>
        <v>65</v>
      </c>
      <c r="CH136" s="68" t="str" vm="10938">
        <f>CUBEVALUE(ConnectionString,ReportMonth,Table1[[#This Row],[Site ID (from DATIM)]],"[Measures].[MMS_180+_P]")</f>
        <v/>
      </c>
      <c r="CI136" s="68" t="str" vm="10227">
        <f>CUBEVALUE(ConnectionString,ReportMonth,Table1[[#This Row],[Site ID (from DATIM)]],"[Measures].[MMS_180+_A]")</f>
        <v/>
      </c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</row>
    <row r="137" spans="1:107" x14ac:dyDescent="0.25">
      <c r="A137" s="66">
        <v>1</v>
      </c>
      <c r="B137" s="67" t="str" vm="4">
        <f t="shared" si="3"/>
        <v>Mar-2021</v>
      </c>
      <c r="C137" s="67"/>
      <c r="D137" s="67" t="s">
        <v>232</v>
      </c>
      <c r="E137" s="67" t="s">
        <v>233</v>
      </c>
      <c r="F137" s="67" t="s">
        <v>831</v>
      </c>
      <c r="G137" s="67"/>
      <c r="H137" s="67" t="s">
        <v>836</v>
      </c>
      <c r="I137" s="67" t="s">
        <v>888</v>
      </c>
      <c r="J137" s="67" t="s">
        <v>889</v>
      </c>
      <c r="K137" s="67" t="s">
        <v>890</v>
      </c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 vm="3068">
        <f>CUBEVALUE(ConnectionString,ReportMonth,Table1[[#This Row],[Site ID (from DATIM)]],"TX_NEW_2VIS")</f>
        <v>3</v>
      </c>
      <c r="AE137" s="67" vm="866">
        <f>CUBEVALUE(ConnectionString,ReportMonth,Table1[[#This Row],[Site ID (from DATIM)]],INDEX(SDI_Measures,1))</f>
        <v>1</v>
      </c>
      <c r="AF137" s="67" vm="470">
        <f>CUBEVALUE(ConnectionString,ReportMonth,Table1[[#This Row],[Site ID (from DATIM)]],INDEX(SDI_Measures,2))</f>
        <v>1</v>
      </c>
      <c r="AG137" s="67" t="str" vm="3598">
        <f>CUBEVALUE(ConnectionString,ReportMonth,Table1[[#This Row],[Site ID (from DATIM)]],INDEX(SDI_Measures,3))</f>
        <v/>
      </c>
      <c r="AH137" s="67" vm="2805">
        <f>CUBEVALUE(ConnectionString,ReportMonth,Table1[[#This Row],[Site ID (from DATIM)]],"TX_CURR_PRIOR_MONTH")</f>
        <v>2630</v>
      </c>
      <c r="AI137" s="67" vm="3378">
        <f>CUBEVALUE(ConnectionString,ReportMonth,Table1[[#This Row],[Site ID (from DATIM)]],"TX_CURR")</f>
        <v>2548</v>
      </c>
      <c r="AJ137" s="67" t="str" vm="3011">
        <f>CUBEVALUE(ConnectionString,ReportMonth,Table1[[#This Row],[Site ID (from DATIM)]],"[Measures].[TI]")</f>
        <v/>
      </c>
      <c r="AK137" s="67" t="str" vm="3717">
        <f>CUBEVALUE(ConnectionString,ReportMonth,Table1[[#This Row],[Site ID (from DATIM)]],"[Measures].[TO]")</f>
        <v/>
      </c>
      <c r="AL137" s="67" t="str" vm="3470">
        <f>CUBEVALUE(ConnectionString,ReportMonth,Table1[[#This Row],[Site ID (from DATIM)]],"[Measures].[DIED]")</f>
        <v/>
      </c>
      <c r="AM137" s="67" vm="4123">
        <f>CUBEVALUE(ConnectionString,ReportMonth,Table1[[#This Row],[Site ID (from DATIM)]],"[Measures].[MMS_01_31]")</f>
        <v>315</v>
      </c>
      <c r="AN137" s="67" vm="5461">
        <f>CUBEVALUE(ConnectionString,ReportMonth,Table1[[#This Row],[Site ID (from DATIM)]],"[Measures].[MMS_32_62]")</f>
        <v>50</v>
      </c>
      <c r="AO137" s="67" vm="10527">
        <f>CUBEVALUE(ConnectionString,ReportMonth,Table1[[#This Row],[Site ID (from DATIM)]],"[Measures].[MMS_63+]")</f>
        <v>2183</v>
      </c>
      <c r="AP137" s="67" vm="7319">
        <f>CUBEVALUE(ConnectionString,ReportMonth,Table1[[#This Row],[Site ID (from DATIM)]],"[Measures].[TBPREV_D]")</f>
        <v>18</v>
      </c>
      <c r="AQ137" s="67" vm="6246">
        <f>CUBEVALUE(ConnectionString,ReportMonth,Table1[[#This Row],[Site ID (from DATIM)]],"[Measures].[TBPREV_N]")</f>
        <v>12</v>
      </c>
      <c r="AR137" s="67" vm="7766">
        <f>CUBEVALUE(ConnectionString,ReportMonth,Table1[[#This Row],[Site ID (from DATIM)]],"[Measures].[TBPREV_NEW]")</f>
        <v>6</v>
      </c>
      <c r="AS137" s="67" vm="6317">
        <f>CUBEVALUE(ConnectionString,ReportMonth,Table1[[#This Row],[Site ID (from DATIM)]],"[Measures].[HVL_ELIG_P]")</f>
        <v>151</v>
      </c>
      <c r="AT137" s="67" vm="13799">
        <f>CUBEVALUE(ConnectionString,ReportMonth,Table1[[#This Row],[Site ID (from DATIM)]],"[Measures].[HVL_D_P]")</f>
        <v>153</v>
      </c>
      <c r="AU137" s="67" vm="9920">
        <f>CUBEVALUE(ConnectionString,ReportMonth,Table1[[#This Row],[Site ID (from DATIM)]],"[Measures].[HVL_N_P]")</f>
        <v>141</v>
      </c>
      <c r="AV137" s="68" vm="11129">
        <f>CUBEVALUE(ConnectionString,ReportMonth,Table1[[#This Row],[Site ID (from DATIM)]],"[Measures].[HVL_ELIG_A]")</f>
        <v>2345</v>
      </c>
      <c r="AW137" s="68" vm="9580">
        <f>CUBEVALUE(ConnectionString,ReportMonth,Table1[[#This Row],[Site ID (from DATIM)]],"[Measures].[HVL_D_A]")</f>
        <v>2113</v>
      </c>
      <c r="AX137" s="68" vm="9197">
        <f>CUBEVALUE(ConnectionString,ReportMonth,Table1[[#This Row],[Site ID (from DATIM)]],"[Measures].[HVL_N_A]")</f>
        <v>2060</v>
      </c>
      <c r="AY137" s="67"/>
      <c r="AZ137" s="67"/>
      <c r="BA137" s="67"/>
      <c r="BB137" s="67"/>
      <c r="BC137" s="67"/>
      <c r="BD137" s="67"/>
      <c r="BE137" s="67"/>
      <c r="BF137" s="67"/>
      <c r="BG137" s="67" vm="12275">
        <f>CUBEVALUE(ConnectionString,ReportMonth,Table1[[#This Row],[Site ID (from DATIM)]],"[Measures].[TX_NEW_F_A]")</f>
        <v>2</v>
      </c>
      <c r="BH137" s="67" t="str" vm="13140">
        <f>CUBEVALUE(ConnectionString,ReportMonth,Table1[[#This Row],[Site ID (from DATIM)]],"[Measures].[TX_NEW_M_A]")</f>
        <v/>
      </c>
      <c r="BI137" s="67" t="str" vm="14424">
        <f>CUBEVALUE(ConnectionString,ReportMonth,Table1[[#This Row],[Site ID (from DATIM)]],"[Measures].[TX_NEW_F_P]")</f>
        <v/>
      </c>
      <c r="BJ137" s="68" t="str" vm="14218">
        <f>CUBEVALUE(ConnectionString,ReportMonth,Table1[[#This Row],[Site ID (from DATIM)]],"[Measures].[TX_NEW_M_P]")</f>
        <v/>
      </c>
      <c r="BK137" s="68"/>
      <c r="BL137" s="68"/>
      <c r="BM137" s="68"/>
      <c r="BN137" s="68"/>
      <c r="BO137" s="68"/>
      <c r="BP137" s="68"/>
      <c r="BQ137" s="68" vm="12435">
        <f>CUBEVALUE(ConnectionString,ReportMonth,Table1[[#This Row],[Site ID (from DATIM)]],"[Measures].[TX_CURR_F_P]")</f>
        <v>85</v>
      </c>
      <c r="BR137" s="68" vm="11317">
        <f>CUBEVALUE(ConnectionString,ReportMonth,Table1[[#This Row],[Site ID (from DATIM)]],"[Measures].[TX_CURR_M_P]")</f>
        <v>70</v>
      </c>
      <c r="BS137" s="68" vm="8150">
        <f>CUBEVALUE(ConnectionString,ReportMonth,Table1[[#This Row],[Site ID (from DATIM)]],"[Measures].[TX_CURR_F_A]")</f>
        <v>1666</v>
      </c>
      <c r="BT137" s="68" vm="11068">
        <f>CUBEVALUE(ConnectionString,ReportMonth,Table1[[#This Row],[Site ID (from DATIM)]],"[Measures].[TX_CURR_M_A]")</f>
        <v>727</v>
      </c>
      <c r="BU137" s="68" vm="18726">
        <f>CUBEVALUE(ConnectionString,ReportMonth,Table1[[#This Row],[Site ID (from DATIM)]],"[Measures].[MMS_01_89_F_P]")</f>
        <v>23</v>
      </c>
      <c r="BV137" s="68" vm="18682">
        <f>CUBEVALUE(ConnectionString,ReportMonth,Table1[[#This Row],[Site ID (from DATIM)]],"[Measures].[MMS_01_89_M_P]")</f>
        <v>21</v>
      </c>
      <c r="BW137" s="68" vm="19865">
        <f>CUBEVALUE(ConnectionString,ReportMonth,Table1[[#This Row],[Site ID (from DATIM)]],"[Measures].[MMS_01_89_F_A]")</f>
        <v>240</v>
      </c>
      <c r="BX137" s="68" vm="18246">
        <f>CUBEVALUE(ConnectionString,ReportMonth,Table1[[#This Row],[Site ID (from DATIM)]],"[Measures].[MMS_01_89_M_A]")</f>
        <v>90</v>
      </c>
      <c r="BY137" s="68" vm="16117">
        <f>CUBEVALUE(ConnectionString,ReportMonth,Table1[[#This Row],[Site ID (from DATIM)]],"[Measures].[MMS_90_179_F_P]")</f>
        <v>62</v>
      </c>
      <c r="BZ137" s="68" vm="14648">
        <f>CUBEVALUE(ConnectionString,ReportMonth,Table1[[#This Row],[Site ID (from DATIM)]],"[Measures].[MMS_90_179_M_P]")</f>
        <v>49</v>
      </c>
      <c r="CA137" s="68" vm="16798">
        <f>CUBEVALUE(ConnectionString,ReportMonth,Table1[[#This Row],[Site ID (from DATIM)]],"[Measures].[MMS_90_179_F_A]")</f>
        <v>1426</v>
      </c>
      <c r="CB137" s="68" vm="15068">
        <f>CUBEVALUE(ConnectionString,ReportMonth,Table1[[#This Row],[Site ID (from DATIM)]],"[Measures].[MMS_90_179_M_A]")</f>
        <v>637</v>
      </c>
      <c r="CC137" s="68" t="str" vm="16850">
        <f>CUBEVALUE(ConnectionString,ReportMonth,Table1[[#This Row],[Site ID (from DATIM)]],"[Measures].[MMS_180+_F_P]")</f>
        <v/>
      </c>
      <c r="CD137" s="68" t="str" vm="15458">
        <f>CUBEVALUE(ConnectionString,ReportMonth,Table1[[#This Row],[Site ID (from DATIM)]],"[Measures].[MMS_180+_M_P]")</f>
        <v/>
      </c>
      <c r="CE137" s="68" t="str" vm="14485">
        <f>CUBEVALUE(ConnectionString,ReportMonth,Table1[[#This Row],[Site ID (from DATIM)]],"[Measures].[MMS_180+_F_A]")</f>
        <v/>
      </c>
      <c r="CF137" s="68" t="str" vm="155">
        <f>CUBEVALUE(ConnectionString,ReportMonth,Table1[[#This Row],[Site ID (from DATIM)]],"[Measures].[MMS_180+_M_A]")</f>
        <v/>
      </c>
      <c r="CG137" s="68" vm="5651">
        <f>CUBEVALUE(ConnectionString,ReportMonth,Table1[[#This Row],[Site ID (from DATIM)]],"[Measures].[MISSEDAPP]")</f>
        <v>760</v>
      </c>
      <c r="CH137" s="68" t="str" vm="12943">
        <f>CUBEVALUE(ConnectionString,ReportMonth,Table1[[#This Row],[Site ID (from DATIM)]],"[Measures].[MMS_180+_P]")</f>
        <v/>
      </c>
      <c r="CI137" s="68" t="str" vm="10604">
        <f>CUBEVALUE(ConnectionString,ReportMonth,Table1[[#This Row],[Site ID (from DATIM)]],"[Measures].[MMS_180+_A]")</f>
        <v/>
      </c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  <c r="CW137" s="68"/>
      <c r="CX137" s="68"/>
      <c r="CY137" s="68"/>
      <c r="CZ137" s="68"/>
      <c r="DA137" s="68"/>
      <c r="DB137" s="68"/>
      <c r="DC137" s="68"/>
    </row>
    <row r="138" spans="1:107" x14ac:dyDescent="0.25">
      <c r="A138" s="66">
        <v>4</v>
      </c>
      <c r="B138" s="67" t="str" vm="4">
        <f t="shared" si="3"/>
        <v>Mar-2021</v>
      </c>
      <c r="C138" s="67"/>
      <c r="D138" s="67" t="s">
        <v>232</v>
      </c>
      <c r="E138" s="67" t="s">
        <v>233</v>
      </c>
      <c r="F138" s="67" t="s">
        <v>437</v>
      </c>
      <c r="G138" s="67"/>
      <c r="H138" s="67" t="s">
        <v>478</v>
      </c>
      <c r="I138" s="67" t="s">
        <v>580</v>
      </c>
      <c r="J138" s="67" t="s">
        <v>581</v>
      </c>
      <c r="K138" s="67" t="s">
        <v>582</v>
      </c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 t="str" vm="2125">
        <f>CUBEVALUE(ConnectionString,ReportMonth,Table1[[#This Row],[Site ID (from DATIM)]],"TX_NEW_2VIS")</f>
        <v/>
      </c>
      <c r="AE138" s="67" t="str" vm="504">
        <f>CUBEVALUE(ConnectionString,ReportMonth,Table1[[#This Row],[Site ID (from DATIM)]],INDEX(SDI_Measures,1))</f>
        <v/>
      </c>
      <c r="AF138" s="67" t="str" vm="957">
        <f>CUBEVALUE(ConnectionString,ReportMonth,Table1[[#This Row],[Site ID (from DATIM)]],INDEX(SDI_Measures,2))</f>
        <v/>
      </c>
      <c r="AG138" s="67" t="str" vm="1218">
        <f>CUBEVALUE(ConnectionString,ReportMonth,Table1[[#This Row],[Site ID (from DATIM)]],INDEX(SDI_Measures,3))</f>
        <v/>
      </c>
      <c r="AH138" s="67" vm="3840">
        <f>CUBEVALUE(ConnectionString,ReportMonth,Table1[[#This Row],[Site ID (from DATIM)]],"TX_CURR_PRIOR_MONTH")</f>
        <v>57</v>
      </c>
      <c r="AI138" s="67" vm="1971">
        <f>CUBEVALUE(ConnectionString,ReportMonth,Table1[[#This Row],[Site ID (from DATIM)]],"TX_CURR")</f>
        <v>54</v>
      </c>
      <c r="AJ138" s="67" vm="2388">
        <f>CUBEVALUE(ConnectionString,ReportMonth,Table1[[#This Row],[Site ID (from DATIM)]],"[Measures].[TI]")</f>
        <v>1</v>
      </c>
      <c r="AK138" s="67" t="str" vm="3109">
        <f>CUBEVALUE(ConnectionString,ReportMonth,Table1[[#This Row],[Site ID (from DATIM)]],"[Measures].[TO]")</f>
        <v/>
      </c>
      <c r="AL138" s="67" t="str" vm="4063">
        <f>CUBEVALUE(ConnectionString,ReportMonth,Table1[[#This Row],[Site ID (from DATIM)]],"[Measures].[DIED]")</f>
        <v/>
      </c>
      <c r="AM138" s="67" vm="3795">
        <f>CUBEVALUE(ConnectionString,ReportMonth,Table1[[#This Row],[Site ID (from DATIM)]],"[Measures].[MMS_01_31]")</f>
        <v>28</v>
      </c>
      <c r="AN138" s="67" vm="5787">
        <f>CUBEVALUE(ConnectionString,ReportMonth,Table1[[#This Row],[Site ID (from DATIM)]],"[Measures].[MMS_32_62]")</f>
        <v>2</v>
      </c>
      <c r="AO138" s="67" vm="9106">
        <f>CUBEVALUE(ConnectionString,ReportMonth,Table1[[#This Row],[Site ID (from DATIM)]],"[Measures].[MMS_63+]")</f>
        <v>24</v>
      </c>
      <c r="AP138" s="67" vm="4181">
        <f>CUBEVALUE(ConnectionString,ReportMonth,Table1[[#This Row],[Site ID (from DATIM)]],"[Measures].[TBPREV_D]")</f>
        <v>2</v>
      </c>
      <c r="AQ138" s="67" vm="7328">
        <f>CUBEVALUE(ConnectionString,ReportMonth,Table1[[#This Row],[Site ID (from DATIM)]],"[Measures].[TBPREV_N]")</f>
        <v>1</v>
      </c>
      <c r="AR138" s="67" t="str" vm="11791">
        <f>CUBEVALUE(ConnectionString,ReportMonth,Table1[[#This Row],[Site ID (from DATIM)]],"[Measures].[TBPREV_NEW]")</f>
        <v/>
      </c>
      <c r="AS138" s="67" vm="7205">
        <f>CUBEVALUE(ConnectionString,ReportMonth,Table1[[#This Row],[Site ID (from DATIM)]],"[Measures].[HVL_ELIG_P]")</f>
        <v>2</v>
      </c>
      <c r="AT138" s="67" vm="6573">
        <f>CUBEVALUE(ConnectionString,ReportMonth,Table1[[#This Row],[Site ID (from DATIM)]],"[Measures].[HVL_D_P]")</f>
        <v>3</v>
      </c>
      <c r="AU138" s="67" vm="6353">
        <f>CUBEVALUE(ConnectionString,ReportMonth,Table1[[#This Row],[Site ID (from DATIM)]],"[Measures].[HVL_N_P]")</f>
        <v>2</v>
      </c>
      <c r="AV138" s="68" vm="7997">
        <f>CUBEVALUE(ConnectionString,ReportMonth,Table1[[#This Row],[Site ID (from DATIM)]],"[Measures].[HVL_ELIG_A]")</f>
        <v>18</v>
      </c>
      <c r="AW138" s="68" vm="8974">
        <f>CUBEVALUE(ConnectionString,ReportMonth,Table1[[#This Row],[Site ID (from DATIM)]],"[Measures].[HVL_D_A]")</f>
        <v>30</v>
      </c>
      <c r="AX138" s="68" vm="8393">
        <f>CUBEVALUE(ConnectionString,ReportMonth,Table1[[#This Row],[Site ID (from DATIM)]],"[Measures].[HVL_N_A]")</f>
        <v>30</v>
      </c>
      <c r="AY138" s="67"/>
      <c r="AZ138" s="67"/>
      <c r="BA138" s="67"/>
      <c r="BB138" s="67"/>
      <c r="BC138" s="67"/>
      <c r="BD138" s="67"/>
      <c r="BE138" s="67"/>
      <c r="BF138" s="67"/>
      <c r="BG138" s="67" t="str" vm="16188">
        <f>CUBEVALUE(ConnectionString,ReportMonth,Table1[[#This Row],[Site ID (from DATIM)]],"[Measures].[TX_NEW_F_A]")</f>
        <v/>
      </c>
      <c r="BH138" s="67" t="str" vm="11011">
        <f>CUBEVALUE(ConnectionString,ReportMonth,Table1[[#This Row],[Site ID (from DATIM)]],"[Measures].[TX_NEW_M_A]")</f>
        <v/>
      </c>
      <c r="BI138" s="67" t="str" vm="14232">
        <f>CUBEVALUE(ConnectionString,ReportMonth,Table1[[#This Row],[Site ID (from DATIM)]],"[Measures].[TX_NEW_F_P]")</f>
        <v/>
      </c>
      <c r="BJ138" s="68" t="str" vm="16177">
        <f>CUBEVALUE(ConnectionString,ReportMonth,Table1[[#This Row],[Site ID (from DATIM)]],"[Measures].[TX_NEW_M_P]")</f>
        <v/>
      </c>
      <c r="BK138" s="68"/>
      <c r="BL138" s="68"/>
      <c r="BM138" s="68"/>
      <c r="BN138" s="68"/>
      <c r="BO138" s="68"/>
      <c r="BP138" s="68"/>
      <c r="BQ138" s="68" vm="8502">
        <f>CUBEVALUE(ConnectionString,ReportMonth,Table1[[#This Row],[Site ID (from DATIM)]],"[Measures].[TX_CURR_F_P]")</f>
        <v>3</v>
      </c>
      <c r="BR138" s="68" vm="8554">
        <f>CUBEVALUE(ConnectionString,ReportMonth,Table1[[#This Row],[Site ID (from DATIM)]],"[Measures].[TX_CURR_M_P]")</f>
        <v>3</v>
      </c>
      <c r="BS138" s="68" vm="11391">
        <f>CUBEVALUE(ConnectionString,ReportMonth,Table1[[#This Row],[Site ID (from DATIM)]],"[Measures].[TX_CURR_F_A]")</f>
        <v>38</v>
      </c>
      <c r="BT138" s="68" vm="14118">
        <f>CUBEVALUE(ConnectionString,ReportMonth,Table1[[#This Row],[Site ID (from DATIM)]],"[Measures].[TX_CURR_M_A]")</f>
        <v>10</v>
      </c>
      <c r="BU138" s="68" vm="19029">
        <f>CUBEVALUE(ConnectionString,ReportMonth,Table1[[#This Row],[Site ID (from DATIM)]],"[Measures].[MMS_01_89_F_P]")</f>
        <v>1</v>
      </c>
      <c r="BV138" s="68" vm="18048">
        <f>CUBEVALUE(ConnectionString,ReportMonth,Table1[[#This Row],[Site ID (from DATIM)]],"[Measures].[MMS_01_89_M_P]")</f>
        <v>3</v>
      </c>
      <c r="BW138" s="68" vm="18043">
        <f>CUBEVALUE(ConnectionString,ReportMonth,Table1[[#This Row],[Site ID (from DATIM)]],"[Measures].[MMS_01_89_F_A]")</f>
        <v>19</v>
      </c>
      <c r="BX138" s="68" vm="19109">
        <f>CUBEVALUE(ConnectionString,ReportMonth,Table1[[#This Row],[Site ID (from DATIM)]],"[Measures].[MMS_01_89_M_A]")</f>
        <v>7</v>
      </c>
      <c r="BY138" s="68" vm="19304">
        <f>CUBEVALUE(ConnectionString,ReportMonth,Table1[[#This Row],[Site ID (from DATIM)]],"[Measures].[MMS_90_179_F_P]")</f>
        <v>2</v>
      </c>
      <c r="BZ138" s="68" t="str" vm="16538">
        <f>CUBEVALUE(ConnectionString,ReportMonth,Table1[[#This Row],[Site ID (from DATIM)]],"[Measures].[MMS_90_179_M_P]")</f>
        <v/>
      </c>
      <c r="CA138" s="68" vm="15002">
        <f>CUBEVALUE(ConnectionString,ReportMonth,Table1[[#This Row],[Site ID (from DATIM)]],"[Measures].[MMS_90_179_F_A]")</f>
        <v>19</v>
      </c>
      <c r="CB138" s="68" vm="15851">
        <f>CUBEVALUE(ConnectionString,ReportMonth,Table1[[#This Row],[Site ID (from DATIM)]],"[Measures].[MMS_90_179_M_A]")</f>
        <v>3</v>
      </c>
      <c r="CC138" s="68" t="str" vm="14592">
        <f>CUBEVALUE(ConnectionString,ReportMonth,Table1[[#This Row],[Site ID (from DATIM)]],"[Measures].[MMS_180+_F_P]")</f>
        <v/>
      </c>
      <c r="CD138" s="68" t="str" vm="16640">
        <f>CUBEVALUE(ConnectionString,ReportMonth,Table1[[#This Row],[Site ID (from DATIM)]],"[Measures].[MMS_180+_M_P]")</f>
        <v/>
      </c>
      <c r="CE138" s="68" t="str" vm="15397">
        <f>CUBEVALUE(ConnectionString,ReportMonth,Table1[[#This Row],[Site ID (from DATIM)]],"[Measures].[MMS_180+_F_A]")</f>
        <v/>
      </c>
      <c r="CF138" s="68" t="str" vm="213">
        <f>CUBEVALUE(ConnectionString,ReportMonth,Table1[[#This Row],[Site ID (from DATIM)]],"[Measures].[MMS_180+_M_A]")</f>
        <v/>
      </c>
      <c r="CG138" s="68" vm="9018">
        <f>CUBEVALUE(ConnectionString,ReportMonth,Table1[[#This Row],[Site ID (from DATIM)]],"[Measures].[MISSEDAPP]")</f>
        <v>43</v>
      </c>
      <c r="CH138" s="68" t="str" vm="10948">
        <f>CUBEVALUE(ConnectionString,ReportMonth,Table1[[#This Row],[Site ID (from DATIM)]],"[Measures].[MMS_180+_P]")</f>
        <v/>
      </c>
      <c r="CI138" s="68" t="str" vm="13668">
        <f>CUBEVALUE(ConnectionString,ReportMonth,Table1[[#This Row],[Site ID (from DATIM)]],"[Measures].[MMS_180+_A]")</f>
        <v/>
      </c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  <c r="CW138" s="68"/>
      <c r="CX138" s="68"/>
      <c r="CY138" s="68"/>
      <c r="CZ138" s="68"/>
      <c r="DA138" s="68"/>
      <c r="DB138" s="68"/>
      <c r="DC138" s="68"/>
    </row>
    <row r="139" spans="1:107" x14ac:dyDescent="0.25">
      <c r="A139" s="66">
        <v>2</v>
      </c>
      <c r="B139" s="67" t="str" vm="4">
        <f t="shared" si="3"/>
        <v>Mar-2021</v>
      </c>
      <c r="C139" s="67"/>
      <c r="D139" s="67" t="s">
        <v>232</v>
      </c>
      <c r="E139" s="67" t="s">
        <v>233</v>
      </c>
      <c r="F139" s="67" t="s">
        <v>831</v>
      </c>
      <c r="G139" s="67"/>
      <c r="H139" s="67" t="s">
        <v>867</v>
      </c>
      <c r="I139" s="67" t="s">
        <v>891</v>
      </c>
      <c r="J139" s="67" t="s">
        <v>892</v>
      </c>
      <c r="K139" s="67" t="s">
        <v>893</v>
      </c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 t="str" vm="1120">
        <f>CUBEVALUE(ConnectionString,ReportMonth,Table1[[#This Row],[Site ID (from DATIM)]],"TX_NEW_2VIS")</f>
        <v/>
      </c>
      <c r="AE139" s="67" t="str" vm="1625">
        <f>CUBEVALUE(ConnectionString,ReportMonth,Table1[[#This Row],[Site ID (from DATIM)]],INDEX(SDI_Measures,1))</f>
        <v/>
      </c>
      <c r="AF139" s="67" t="str" vm="1364">
        <f>CUBEVALUE(ConnectionString,ReportMonth,Table1[[#This Row],[Site ID (from DATIM)]],INDEX(SDI_Measures,2))</f>
        <v/>
      </c>
      <c r="AG139" s="67" t="str" vm="7852">
        <f>CUBEVALUE(ConnectionString,ReportMonth,Table1[[#This Row],[Site ID (from DATIM)]],INDEX(SDI_Measures,3))</f>
        <v/>
      </c>
      <c r="AH139" s="67" vm="1809">
        <f>CUBEVALUE(ConnectionString,ReportMonth,Table1[[#This Row],[Site ID (from DATIM)]],"TX_CURR_PRIOR_MONTH")</f>
        <v>533</v>
      </c>
      <c r="AI139" s="67" vm="3358">
        <f>CUBEVALUE(ConnectionString,ReportMonth,Table1[[#This Row],[Site ID (from DATIM)]],"TX_CURR")</f>
        <v>521</v>
      </c>
      <c r="AJ139" s="67" t="str" vm="2073">
        <f>CUBEVALUE(ConnectionString,ReportMonth,Table1[[#This Row],[Site ID (from DATIM)]],"[Measures].[TI]")</f>
        <v/>
      </c>
      <c r="AK139" s="67" t="str" vm="3095">
        <f>CUBEVALUE(ConnectionString,ReportMonth,Table1[[#This Row],[Site ID (from DATIM)]],"[Measures].[TO]")</f>
        <v/>
      </c>
      <c r="AL139" s="67" t="str" vm="2961">
        <f>CUBEVALUE(ConnectionString,ReportMonth,Table1[[#This Row],[Site ID (from DATIM)]],"[Measures].[DIED]")</f>
        <v/>
      </c>
      <c r="AM139" s="67" vm="7587">
        <f>CUBEVALUE(ConnectionString,ReportMonth,Table1[[#This Row],[Site ID (from DATIM)]],"[Measures].[MMS_01_31]")</f>
        <v>66</v>
      </c>
      <c r="AN139" s="67" vm="6964">
        <f>CUBEVALUE(ConnectionString,ReportMonth,Table1[[#This Row],[Site ID (from DATIM)]],"[Measures].[MMS_32_62]")</f>
        <v>7</v>
      </c>
      <c r="AO139" s="67" vm="5658">
        <f>CUBEVALUE(ConnectionString,ReportMonth,Table1[[#This Row],[Site ID (from DATIM)]],"[Measures].[MMS_63+]")</f>
        <v>448</v>
      </c>
      <c r="AP139" s="67" vm="5623">
        <f>CUBEVALUE(ConnectionString,ReportMonth,Table1[[#This Row],[Site ID (from DATIM)]],"[Measures].[TBPREV_D]")</f>
        <v>10</v>
      </c>
      <c r="AQ139" s="67" vm="4681">
        <f>CUBEVALUE(ConnectionString,ReportMonth,Table1[[#This Row],[Site ID (from DATIM)]],"[Measures].[TBPREV_N]")</f>
        <v>10</v>
      </c>
      <c r="AR139" s="67" t="str" vm="8245">
        <f>CUBEVALUE(ConnectionString,ReportMonth,Table1[[#This Row],[Site ID (from DATIM)]],"[Measures].[TBPREV_NEW]")</f>
        <v/>
      </c>
      <c r="AS139" s="67" vm="6217">
        <f>CUBEVALUE(ConnectionString,ReportMonth,Table1[[#This Row],[Site ID (from DATIM)]],"[Measures].[HVL_ELIG_P]")</f>
        <v>23</v>
      </c>
      <c r="AT139" s="67" vm="4202">
        <f>CUBEVALUE(ConnectionString,ReportMonth,Table1[[#This Row],[Site ID (from DATIM)]],"[Measures].[HVL_D_P]")</f>
        <v>23</v>
      </c>
      <c r="AU139" s="67" vm="9059">
        <f>CUBEVALUE(ConnectionString,ReportMonth,Table1[[#This Row],[Site ID (from DATIM)]],"[Measures].[HVL_N_P]")</f>
        <v>22</v>
      </c>
      <c r="AV139" s="68" vm="11378">
        <f>CUBEVALUE(ConnectionString,ReportMonth,Table1[[#This Row],[Site ID (from DATIM)]],"[Measures].[HVL_ELIG_A]")</f>
        <v>450</v>
      </c>
      <c r="AW139" s="68" vm="9082">
        <f>CUBEVALUE(ConnectionString,ReportMonth,Table1[[#This Row],[Site ID (from DATIM)]],"[Measures].[HVL_D_A]")</f>
        <v>416</v>
      </c>
      <c r="AX139" s="68" vm="13701">
        <f>CUBEVALUE(ConnectionString,ReportMonth,Table1[[#This Row],[Site ID (from DATIM)]],"[Measures].[HVL_N_A]")</f>
        <v>402</v>
      </c>
      <c r="AY139" s="67"/>
      <c r="AZ139" s="67"/>
      <c r="BA139" s="67"/>
      <c r="BB139" s="67"/>
      <c r="BC139" s="67"/>
      <c r="BD139" s="67"/>
      <c r="BE139" s="67"/>
      <c r="BF139" s="67"/>
      <c r="BG139" s="67" t="str" vm="11959">
        <f>CUBEVALUE(ConnectionString,ReportMonth,Table1[[#This Row],[Site ID (from DATIM)]],"[Measures].[TX_NEW_F_A]")</f>
        <v/>
      </c>
      <c r="BH139" s="67" t="str" vm="13356">
        <f>CUBEVALUE(ConnectionString,ReportMonth,Table1[[#This Row],[Site ID (from DATIM)]],"[Measures].[TX_NEW_M_A]")</f>
        <v/>
      </c>
      <c r="BI139" s="67" t="str" vm="12455">
        <f>CUBEVALUE(ConnectionString,ReportMonth,Table1[[#This Row],[Site ID (from DATIM)]],"[Measures].[TX_NEW_F_P]")</f>
        <v/>
      </c>
      <c r="BJ139" s="68" t="str" vm="13197">
        <f>CUBEVALUE(ConnectionString,ReportMonth,Table1[[#This Row],[Site ID (from DATIM)]],"[Measures].[TX_NEW_M_P]")</f>
        <v/>
      </c>
      <c r="BK139" s="68"/>
      <c r="BL139" s="68"/>
      <c r="BM139" s="68"/>
      <c r="BN139" s="68"/>
      <c r="BO139" s="68"/>
      <c r="BP139" s="68"/>
      <c r="BQ139" s="68" vm="8790">
        <f>CUBEVALUE(ConnectionString,ReportMonth,Table1[[#This Row],[Site ID (from DATIM)]],"[Measures].[TX_CURR_F_P]")</f>
        <v>13</v>
      </c>
      <c r="BR139" s="68" vm="13858">
        <f>CUBEVALUE(ConnectionString,ReportMonth,Table1[[#This Row],[Site ID (from DATIM)]],"[Measures].[TX_CURR_M_P]")</f>
        <v>12</v>
      </c>
      <c r="BS139" s="68" vm="11291">
        <f>CUBEVALUE(ConnectionString,ReportMonth,Table1[[#This Row],[Site ID (from DATIM)]],"[Measures].[TX_CURR_F_A]")</f>
        <v>334</v>
      </c>
      <c r="BT139" s="68" vm="8556">
        <f>CUBEVALUE(ConnectionString,ReportMonth,Table1[[#This Row],[Site ID (from DATIM)]],"[Measures].[TX_CURR_M_A]")</f>
        <v>162</v>
      </c>
      <c r="BU139" s="68" vm="19268">
        <f>CUBEVALUE(ConnectionString,ReportMonth,Table1[[#This Row],[Site ID (from DATIM)]],"[Measures].[MMS_01_89_F_P]")</f>
        <v>4</v>
      </c>
      <c r="BV139" s="68" vm="19509">
        <f>CUBEVALUE(ConnectionString,ReportMonth,Table1[[#This Row],[Site ID (from DATIM)]],"[Measures].[MMS_01_89_M_P]")</f>
        <v>1</v>
      </c>
      <c r="BW139" s="68" vm="18042">
        <f>CUBEVALUE(ConnectionString,ReportMonth,Table1[[#This Row],[Site ID (from DATIM)]],"[Measures].[MMS_01_89_F_A]")</f>
        <v>52</v>
      </c>
      <c r="BX139" s="68" vm="16068">
        <f>CUBEVALUE(ConnectionString,ReportMonth,Table1[[#This Row],[Site ID (from DATIM)]],"[Measures].[MMS_01_89_M_A]")</f>
        <v>20</v>
      </c>
      <c r="BY139" s="68" vm="19965">
        <f>CUBEVALUE(ConnectionString,ReportMonth,Table1[[#This Row],[Site ID (from DATIM)]],"[Measures].[MMS_90_179_F_P]")</f>
        <v>9</v>
      </c>
      <c r="BZ139" s="68" vm="15934">
        <f>CUBEVALUE(ConnectionString,ReportMonth,Table1[[#This Row],[Site ID (from DATIM)]],"[Measures].[MMS_90_179_M_P]")</f>
        <v>11</v>
      </c>
      <c r="CA139" s="68" vm="15479">
        <f>CUBEVALUE(ConnectionString,ReportMonth,Table1[[#This Row],[Site ID (from DATIM)]],"[Measures].[MMS_90_179_F_A]")</f>
        <v>282</v>
      </c>
      <c r="CB139" s="68" vm="14676">
        <f>CUBEVALUE(ConnectionString,ReportMonth,Table1[[#This Row],[Site ID (from DATIM)]],"[Measures].[MMS_90_179_M_A]")</f>
        <v>142</v>
      </c>
      <c r="CC139" s="68" t="str" vm="17232">
        <f>CUBEVALUE(ConnectionString,ReportMonth,Table1[[#This Row],[Site ID (from DATIM)]],"[Measures].[MMS_180+_F_P]")</f>
        <v/>
      </c>
      <c r="CD139" s="68" t="str" vm="17507">
        <f>CUBEVALUE(ConnectionString,ReportMonth,Table1[[#This Row],[Site ID (from DATIM)]],"[Measures].[MMS_180+_M_P]")</f>
        <v/>
      </c>
      <c r="CE139" s="68" t="str" vm="15823">
        <f>CUBEVALUE(ConnectionString,ReportMonth,Table1[[#This Row],[Site ID (from DATIM)]],"[Measures].[MMS_180+_F_A]")</f>
        <v/>
      </c>
      <c r="CF139" s="68" t="str" vm="274">
        <f>CUBEVALUE(ConnectionString,ReportMonth,Table1[[#This Row],[Site ID (from DATIM)]],"[Measures].[MMS_180+_M_A]")</f>
        <v/>
      </c>
      <c r="CG139" s="68" vm="5138">
        <f>CUBEVALUE(ConnectionString,ReportMonth,Table1[[#This Row],[Site ID (from DATIM)]],"[Measures].[MISSEDAPP]")</f>
        <v>210</v>
      </c>
      <c r="CH139" s="68" t="str" vm="11443">
        <f>CUBEVALUE(ConnectionString,ReportMonth,Table1[[#This Row],[Site ID (from DATIM)]],"[Measures].[MMS_180+_P]")</f>
        <v/>
      </c>
      <c r="CI139" s="68" t="str" vm="11520">
        <f>CUBEVALUE(ConnectionString,ReportMonth,Table1[[#This Row],[Site ID (from DATIM)]],"[Measures].[MMS_180+_A]")</f>
        <v/>
      </c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  <c r="CW139" s="68"/>
      <c r="CX139" s="68"/>
      <c r="CY139" s="68"/>
      <c r="CZ139" s="68"/>
      <c r="DA139" s="68"/>
      <c r="DB139" s="68"/>
      <c r="DC139" s="68"/>
    </row>
    <row r="140" spans="1:107" x14ac:dyDescent="0.25">
      <c r="A140" s="66">
        <v>4</v>
      </c>
      <c r="B140" s="67" t="str" vm="4">
        <f t="shared" si="3"/>
        <v>Mar-2021</v>
      </c>
      <c r="C140" s="67"/>
      <c r="D140" s="67" t="s">
        <v>232</v>
      </c>
      <c r="E140" s="67" t="s">
        <v>233</v>
      </c>
      <c r="F140" s="67" t="s">
        <v>234</v>
      </c>
      <c r="G140" s="67"/>
      <c r="H140" s="67" t="s">
        <v>263</v>
      </c>
      <c r="I140" s="67" t="s">
        <v>293</v>
      </c>
      <c r="J140" s="67" t="s">
        <v>294</v>
      </c>
      <c r="K140" s="67" t="s">
        <v>295</v>
      </c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 t="str" vm="996">
        <f>CUBEVALUE(ConnectionString,ReportMonth,Table1[[#This Row],[Site ID (from DATIM)]],"TX_NEW_2VIS")</f>
        <v/>
      </c>
      <c r="AE140" s="67" t="str" vm="3230">
        <f>CUBEVALUE(ConnectionString,ReportMonth,Table1[[#This Row],[Site ID (from DATIM)]],INDEX(SDI_Measures,1))</f>
        <v/>
      </c>
      <c r="AF140" s="67" t="str" vm="2819">
        <f>CUBEVALUE(ConnectionString,ReportMonth,Table1[[#This Row],[Site ID (from DATIM)]],INDEX(SDI_Measures,2))</f>
        <v/>
      </c>
      <c r="AG140" s="67" t="str" vm="2830">
        <f>CUBEVALUE(ConnectionString,ReportMonth,Table1[[#This Row],[Site ID (from DATIM)]],INDEX(SDI_Measures,3))</f>
        <v/>
      </c>
      <c r="AH140" s="67" vm="2821">
        <f>CUBEVALUE(ConnectionString,ReportMonth,Table1[[#This Row],[Site ID (from DATIM)]],"TX_CURR_PRIOR_MONTH")</f>
        <v>59</v>
      </c>
      <c r="AI140" s="67" vm="3346">
        <f>CUBEVALUE(ConnectionString,ReportMonth,Table1[[#This Row],[Site ID (from DATIM)]],"TX_CURR")</f>
        <v>56</v>
      </c>
      <c r="AJ140" s="67" t="str" vm="2759">
        <f>CUBEVALUE(ConnectionString,ReportMonth,Table1[[#This Row],[Site ID (from DATIM)]],"[Measures].[TI]")</f>
        <v/>
      </c>
      <c r="AK140" s="67" t="str" vm="2911">
        <f>CUBEVALUE(ConnectionString,ReportMonth,Table1[[#This Row],[Site ID (from DATIM)]],"[Measures].[TO]")</f>
        <v/>
      </c>
      <c r="AL140" s="67" t="str" vm="459">
        <f>CUBEVALUE(ConnectionString,ReportMonth,Table1[[#This Row],[Site ID (from DATIM)]],"[Measures].[DIED]")</f>
        <v/>
      </c>
      <c r="AM140" s="67" vm="8287">
        <f>CUBEVALUE(ConnectionString,ReportMonth,Table1[[#This Row],[Site ID (from DATIM)]],"[Measures].[MMS_01_31]")</f>
        <v>38</v>
      </c>
      <c r="AN140" s="67" vm="6847">
        <f>CUBEVALUE(ConnectionString,ReportMonth,Table1[[#This Row],[Site ID (from DATIM)]],"[Measures].[MMS_32_62]")</f>
        <v>1</v>
      </c>
      <c r="AO140" s="67" vm="5907">
        <f>CUBEVALUE(ConnectionString,ReportMonth,Table1[[#This Row],[Site ID (from DATIM)]],"[Measures].[MMS_63+]")</f>
        <v>17</v>
      </c>
      <c r="AP140" s="67" vm="6257">
        <f>CUBEVALUE(ConnectionString,ReportMonth,Table1[[#This Row],[Site ID (from DATIM)]],"[Measures].[TBPREV_D]")</f>
        <v>4</v>
      </c>
      <c r="AQ140" s="67" t="str" vm="7592">
        <f>CUBEVALUE(ConnectionString,ReportMonth,Table1[[#This Row],[Site ID (from DATIM)]],"[Measures].[TBPREV_N]")</f>
        <v/>
      </c>
      <c r="AR140" s="67" t="str" vm="7062">
        <f>CUBEVALUE(ConnectionString,ReportMonth,Table1[[#This Row],[Site ID (from DATIM)]],"[Measures].[TBPREV_NEW]")</f>
        <v/>
      </c>
      <c r="AS140" s="67" vm="4205">
        <f>CUBEVALUE(ConnectionString,ReportMonth,Table1[[#This Row],[Site ID (from DATIM)]],"[Measures].[HVL_ELIG_P]")</f>
        <v>2</v>
      </c>
      <c r="AT140" s="67" vm="9867">
        <f>CUBEVALUE(ConnectionString,ReportMonth,Table1[[#This Row],[Site ID (from DATIM)]],"[Measures].[HVL_D_P]")</f>
        <v>4</v>
      </c>
      <c r="AU140" s="67" vm="9202">
        <f>CUBEVALUE(ConnectionString,ReportMonth,Table1[[#This Row],[Site ID (from DATIM)]],"[Measures].[HVL_N_P]")</f>
        <v>2</v>
      </c>
      <c r="AV140" s="68" vm="8309">
        <f>CUBEVALUE(ConnectionString,ReportMonth,Table1[[#This Row],[Site ID (from DATIM)]],"[Measures].[HVL_ELIG_A]")</f>
        <v>45</v>
      </c>
      <c r="AW140" s="68" vm="10105">
        <f>CUBEVALUE(ConnectionString,ReportMonth,Table1[[#This Row],[Site ID (from DATIM)]],"[Measures].[HVL_D_A]")</f>
        <v>34</v>
      </c>
      <c r="AX140" s="68" vm="8364">
        <f>CUBEVALUE(ConnectionString,ReportMonth,Table1[[#This Row],[Site ID (from DATIM)]],"[Measures].[HVL_N_A]")</f>
        <v>21</v>
      </c>
      <c r="AY140" s="67"/>
      <c r="AZ140" s="67"/>
      <c r="BA140" s="67"/>
      <c r="BB140" s="67"/>
      <c r="BC140" s="67"/>
      <c r="BD140" s="67"/>
      <c r="BE140" s="67"/>
      <c r="BF140" s="67"/>
      <c r="BG140" s="67" t="str" vm="11471">
        <f>CUBEVALUE(ConnectionString,ReportMonth,Table1[[#This Row],[Site ID (from DATIM)]],"[Measures].[TX_NEW_F_A]")</f>
        <v/>
      </c>
      <c r="BH140" s="67" t="str" vm="13686">
        <f>CUBEVALUE(ConnectionString,ReportMonth,Table1[[#This Row],[Site ID (from DATIM)]],"[Measures].[TX_NEW_M_A]")</f>
        <v/>
      </c>
      <c r="BI140" s="67" t="str" vm="13432">
        <f>CUBEVALUE(ConnectionString,ReportMonth,Table1[[#This Row],[Site ID (from DATIM)]],"[Measures].[TX_NEW_F_P]")</f>
        <v/>
      </c>
      <c r="BJ140" s="68" t="str" vm="12857">
        <f>CUBEVALUE(ConnectionString,ReportMonth,Table1[[#This Row],[Site ID (from DATIM)]],"[Measures].[TX_NEW_M_P]")</f>
        <v/>
      </c>
      <c r="BK140" s="68"/>
      <c r="BL140" s="68"/>
      <c r="BM140" s="68"/>
      <c r="BN140" s="68"/>
      <c r="BO140" s="68"/>
      <c r="BP140" s="68"/>
      <c r="BQ140" s="68" vm="8488">
        <f>CUBEVALUE(ConnectionString,ReportMonth,Table1[[#This Row],[Site ID (from DATIM)]],"[Measures].[TX_CURR_F_P]")</f>
        <v>2</v>
      </c>
      <c r="BR140" s="68" vm="9553">
        <f>CUBEVALUE(ConnectionString,ReportMonth,Table1[[#This Row],[Site ID (from DATIM)]],"[Measures].[TX_CURR_M_P]")</f>
        <v>3</v>
      </c>
      <c r="BS140" s="68" vm="6387">
        <f>CUBEVALUE(ConnectionString,ReportMonth,Table1[[#This Row],[Site ID (from DATIM)]],"[Measures].[TX_CURR_F_A]")</f>
        <v>41</v>
      </c>
      <c r="BT140" s="68" vm="12244">
        <f>CUBEVALUE(ConnectionString,ReportMonth,Table1[[#This Row],[Site ID (from DATIM)]],"[Measures].[TX_CURR_M_A]")</f>
        <v>10</v>
      </c>
      <c r="BU140" s="68" vm="18755">
        <f>CUBEVALUE(ConnectionString,ReportMonth,Table1[[#This Row],[Site ID (from DATIM)]],"[Measures].[MMS_01_89_F_P]")</f>
        <v>2</v>
      </c>
      <c r="BV140" s="68" vm="18070">
        <f>CUBEVALUE(ConnectionString,ReportMonth,Table1[[#This Row],[Site ID (from DATIM)]],"[Measures].[MMS_01_89_M_P]")</f>
        <v>3</v>
      </c>
      <c r="BW140" s="68" vm="18535">
        <f>CUBEVALUE(ConnectionString,ReportMonth,Table1[[#This Row],[Site ID (from DATIM)]],"[Measures].[MMS_01_89_F_A]")</f>
        <v>27</v>
      </c>
      <c r="BX140" s="68" vm="18871">
        <f>CUBEVALUE(ConnectionString,ReportMonth,Table1[[#This Row],[Site ID (from DATIM)]],"[Measures].[MMS_01_89_M_A]")</f>
        <v>7</v>
      </c>
      <c r="BY140" s="68" t="str" vm="15198">
        <f>CUBEVALUE(ConnectionString,ReportMonth,Table1[[#This Row],[Site ID (from DATIM)]],"[Measures].[MMS_90_179_F_P]")</f>
        <v/>
      </c>
      <c r="BZ140" s="68" t="str" vm="15431">
        <f>CUBEVALUE(ConnectionString,ReportMonth,Table1[[#This Row],[Site ID (from DATIM)]],"[Measures].[MMS_90_179_M_P]")</f>
        <v/>
      </c>
      <c r="CA140" s="68" vm="15622">
        <f>CUBEVALUE(ConnectionString,ReportMonth,Table1[[#This Row],[Site ID (from DATIM)]],"[Measures].[MMS_90_179_F_A]")</f>
        <v>14</v>
      </c>
      <c r="CB140" s="68" vm="14674">
        <f>CUBEVALUE(ConnectionString,ReportMonth,Table1[[#This Row],[Site ID (from DATIM)]],"[Measures].[MMS_90_179_M_A]")</f>
        <v>3</v>
      </c>
      <c r="CC140" s="68" t="str" vm="17266">
        <f>CUBEVALUE(ConnectionString,ReportMonth,Table1[[#This Row],[Site ID (from DATIM)]],"[Measures].[MMS_180+_F_P]")</f>
        <v/>
      </c>
      <c r="CD140" s="68" t="str" vm="15764">
        <f>CUBEVALUE(ConnectionString,ReportMonth,Table1[[#This Row],[Site ID (from DATIM)]],"[Measures].[MMS_180+_M_P]")</f>
        <v/>
      </c>
      <c r="CE140" s="68" t="str" vm="20167">
        <f>CUBEVALUE(ConnectionString,ReportMonth,Table1[[#This Row],[Site ID (from DATIM)]],"[Measures].[MMS_180+_F_A]")</f>
        <v/>
      </c>
      <c r="CF140" s="68" t="str" vm="16643">
        <f>CUBEVALUE(ConnectionString,ReportMonth,Table1[[#This Row],[Site ID (from DATIM)]],"[Measures].[MMS_180+_M_A]")</f>
        <v/>
      </c>
      <c r="CG140" s="68" vm="11809">
        <f>CUBEVALUE(ConnectionString,ReportMonth,Table1[[#This Row],[Site ID (from DATIM)]],"[Measures].[MISSEDAPP]")</f>
        <v>40</v>
      </c>
      <c r="CH140" s="68" t="str" vm="11455">
        <f>CUBEVALUE(ConnectionString,ReportMonth,Table1[[#This Row],[Site ID (from DATIM)]],"[Measures].[MMS_180+_P]")</f>
        <v/>
      </c>
      <c r="CI140" s="68" t="str" vm="12572">
        <f>CUBEVALUE(ConnectionString,ReportMonth,Table1[[#This Row],[Site ID (from DATIM)]],"[Measures].[MMS_180+_A]")</f>
        <v/>
      </c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  <c r="CW140" s="68"/>
      <c r="CX140" s="68"/>
      <c r="CY140" s="68"/>
      <c r="CZ140" s="68"/>
      <c r="DA140" s="68"/>
      <c r="DB140" s="68"/>
      <c r="DC140" s="68"/>
    </row>
    <row r="141" spans="1:107" x14ac:dyDescent="0.25">
      <c r="A141" s="66">
        <v>3</v>
      </c>
      <c r="B141" s="67" t="str" vm="4">
        <f t="shared" si="3"/>
        <v>Mar-2021</v>
      </c>
      <c r="C141" s="67"/>
      <c r="D141" s="67" t="s">
        <v>232</v>
      </c>
      <c r="E141" s="67" t="s">
        <v>233</v>
      </c>
      <c r="F141" s="67" t="s">
        <v>831</v>
      </c>
      <c r="G141" s="67"/>
      <c r="H141" s="67" t="s">
        <v>856</v>
      </c>
      <c r="I141" s="67" t="s">
        <v>894</v>
      </c>
      <c r="J141" s="67" t="s">
        <v>895</v>
      </c>
      <c r="K141" s="67" t="s">
        <v>896</v>
      </c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 t="str" vm="2442">
        <f>CUBEVALUE(ConnectionString,ReportMonth,Table1[[#This Row],[Site ID (from DATIM)]],"TX_NEW_2VIS")</f>
        <v/>
      </c>
      <c r="AE141" s="67" t="str" vm="394">
        <f>CUBEVALUE(ConnectionString,ReportMonth,Table1[[#This Row],[Site ID (from DATIM)]],INDEX(SDI_Measures,1))</f>
        <v/>
      </c>
      <c r="AF141" s="67" t="str" vm="1115">
        <f>CUBEVALUE(ConnectionString,ReportMonth,Table1[[#This Row],[Site ID (from DATIM)]],INDEX(SDI_Measures,2))</f>
        <v/>
      </c>
      <c r="AG141" s="67" t="str" vm="489">
        <f>CUBEVALUE(ConnectionString,ReportMonth,Table1[[#This Row],[Site ID (from DATIM)]],INDEX(SDI_Measures,3))</f>
        <v/>
      </c>
      <c r="AH141" s="67" t="str" vm="2425">
        <f>CUBEVALUE(ConnectionString,ReportMonth,Table1[[#This Row],[Site ID (from DATIM)]],"TX_CURR_PRIOR_MONTH")</f>
        <v/>
      </c>
      <c r="AI141" s="67" t="str" vm="520">
        <f>CUBEVALUE(ConnectionString,ReportMonth,Table1[[#This Row],[Site ID (from DATIM)]],"TX_CURR")</f>
        <v/>
      </c>
      <c r="AJ141" s="67" t="str" vm="2198">
        <f>CUBEVALUE(ConnectionString,ReportMonth,Table1[[#This Row],[Site ID (from DATIM)]],"[Measures].[TI]")</f>
        <v/>
      </c>
      <c r="AK141" s="67" t="str" vm="2290">
        <f>CUBEVALUE(ConnectionString,ReportMonth,Table1[[#This Row],[Site ID (from DATIM)]],"[Measures].[TO]")</f>
        <v/>
      </c>
      <c r="AL141" s="67" t="str" vm="3793">
        <f>CUBEVALUE(ConnectionString,ReportMonth,Table1[[#This Row],[Site ID (from DATIM)]],"[Measures].[DIED]")</f>
        <v/>
      </c>
      <c r="AM141" s="67" t="str" vm="4371">
        <f>CUBEVALUE(ConnectionString,ReportMonth,Table1[[#This Row],[Site ID (from DATIM)]],"[Measures].[MMS_01_31]")</f>
        <v/>
      </c>
      <c r="AN141" s="67" t="str" vm="4164">
        <f>CUBEVALUE(ConnectionString,ReportMonth,Table1[[#This Row],[Site ID (from DATIM)]],"[Measures].[MMS_32_62]")</f>
        <v/>
      </c>
      <c r="AO141" s="67" t="str" vm="7627">
        <f>CUBEVALUE(ConnectionString,ReportMonth,Table1[[#This Row],[Site ID (from DATIM)]],"[Measures].[MMS_63+]")</f>
        <v/>
      </c>
      <c r="AP141" s="67" t="str" vm="9428">
        <f>CUBEVALUE(ConnectionString,ReportMonth,Table1[[#This Row],[Site ID (from DATIM)]],"[Measures].[TBPREV_D]")</f>
        <v/>
      </c>
      <c r="AQ141" s="67" t="str" vm="5857">
        <f>CUBEVALUE(ConnectionString,ReportMonth,Table1[[#This Row],[Site ID (from DATIM)]],"[Measures].[TBPREV_N]")</f>
        <v/>
      </c>
      <c r="AR141" s="67" t="str" vm="6264">
        <f>CUBEVALUE(ConnectionString,ReportMonth,Table1[[#This Row],[Site ID (from DATIM)]],"[Measures].[TBPREV_NEW]")</f>
        <v/>
      </c>
      <c r="AS141" s="67" t="str" vm="8359">
        <f>CUBEVALUE(ConnectionString,ReportMonth,Table1[[#This Row],[Site ID (from DATIM)]],"[Measures].[HVL_ELIG_P]")</f>
        <v/>
      </c>
      <c r="AT141" s="67" t="str" vm="9701">
        <f>CUBEVALUE(ConnectionString,ReportMonth,Table1[[#This Row],[Site ID (from DATIM)]],"[Measures].[HVL_D_P]")</f>
        <v/>
      </c>
      <c r="AU141" s="67" t="str" vm="14171">
        <f>CUBEVALUE(ConnectionString,ReportMonth,Table1[[#This Row],[Site ID (from DATIM)]],"[Measures].[HVL_N_P]")</f>
        <v/>
      </c>
      <c r="AV141" s="68" t="str" vm="8011">
        <f>CUBEVALUE(ConnectionString,ReportMonth,Table1[[#This Row],[Site ID (from DATIM)]],"[Measures].[HVL_ELIG_A]")</f>
        <v/>
      </c>
      <c r="AW141" s="68" vm="9151">
        <f>CUBEVALUE(ConnectionString,ReportMonth,Table1[[#This Row],[Site ID (from DATIM)]],"[Measures].[HVL_D_A]")</f>
        <v>13</v>
      </c>
      <c r="AX141" s="68" vm="8867">
        <f>CUBEVALUE(ConnectionString,ReportMonth,Table1[[#This Row],[Site ID (from DATIM)]],"[Measures].[HVL_N_A]")</f>
        <v>12</v>
      </c>
      <c r="AY141" s="67"/>
      <c r="AZ141" s="67"/>
      <c r="BA141" s="67"/>
      <c r="BB141" s="67"/>
      <c r="BC141" s="67"/>
      <c r="BD141" s="67"/>
      <c r="BE141" s="67"/>
      <c r="BF141" s="67"/>
      <c r="BG141" s="67" t="str" vm="14125">
        <f>CUBEVALUE(ConnectionString,ReportMonth,Table1[[#This Row],[Site ID (from DATIM)]],"[Measures].[TX_NEW_F_A]")</f>
        <v/>
      </c>
      <c r="BH141" s="67" t="str" vm="13354">
        <f>CUBEVALUE(ConnectionString,ReportMonth,Table1[[#This Row],[Site ID (from DATIM)]],"[Measures].[TX_NEW_M_A]")</f>
        <v/>
      </c>
      <c r="BI141" s="67" t="str" vm="14817">
        <f>CUBEVALUE(ConnectionString,ReportMonth,Table1[[#This Row],[Site ID (from DATIM)]],"[Measures].[TX_NEW_F_P]")</f>
        <v/>
      </c>
      <c r="BJ141" s="68" t="str" vm="14811">
        <f>CUBEVALUE(ConnectionString,ReportMonth,Table1[[#This Row],[Site ID (from DATIM)]],"[Measures].[TX_NEW_M_P]")</f>
        <v/>
      </c>
      <c r="BK141" s="68"/>
      <c r="BL141" s="68"/>
      <c r="BM141" s="68"/>
      <c r="BN141" s="68"/>
      <c r="BO141" s="68"/>
      <c r="BP141" s="68"/>
      <c r="BQ141" s="68" t="str" vm="8217">
        <f>CUBEVALUE(ConnectionString,ReportMonth,Table1[[#This Row],[Site ID (from DATIM)]],"[Measures].[TX_CURR_F_P]")</f>
        <v/>
      </c>
      <c r="BR141" s="68" t="str" vm="11037">
        <f>CUBEVALUE(ConnectionString,ReportMonth,Table1[[#This Row],[Site ID (from DATIM)]],"[Measures].[TX_CURR_M_P]")</f>
        <v/>
      </c>
      <c r="BS141" s="68" t="str" vm="11346">
        <f>CUBEVALUE(ConnectionString,ReportMonth,Table1[[#This Row],[Site ID (from DATIM)]],"[Measures].[TX_CURR_F_A]")</f>
        <v/>
      </c>
      <c r="BT141" s="68" t="str" vm="17028">
        <f>CUBEVALUE(ConnectionString,ReportMonth,Table1[[#This Row],[Site ID (from DATIM)]],"[Measures].[TX_CURR_M_A]")</f>
        <v/>
      </c>
      <c r="BU141" s="68" t="str" vm="18267">
        <f>CUBEVALUE(ConnectionString,ReportMonth,Table1[[#This Row],[Site ID (from DATIM)]],"[Measures].[MMS_01_89_F_P]")</f>
        <v/>
      </c>
      <c r="BV141" s="68" t="str" vm="19242">
        <f>CUBEVALUE(ConnectionString,ReportMonth,Table1[[#This Row],[Site ID (from DATIM)]],"[Measures].[MMS_01_89_M_P]")</f>
        <v/>
      </c>
      <c r="BW141" s="68" t="str" vm="18587">
        <f>CUBEVALUE(ConnectionString,ReportMonth,Table1[[#This Row],[Site ID (from DATIM)]],"[Measures].[MMS_01_89_F_A]")</f>
        <v/>
      </c>
      <c r="BX141" s="68" t="str" vm="18779">
        <f>CUBEVALUE(ConnectionString,ReportMonth,Table1[[#This Row],[Site ID (from DATIM)]],"[Measures].[MMS_01_89_M_A]")</f>
        <v/>
      </c>
      <c r="BY141" s="68" t="str" vm="15232">
        <f>CUBEVALUE(ConnectionString,ReportMonth,Table1[[#This Row],[Site ID (from DATIM)]],"[Measures].[MMS_90_179_F_P]")</f>
        <v/>
      </c>
      <c r="BZ141" s="68" t="str" vm="16955">
        <f>CUBEVALUE(ConnectionString,ReportMonth,Table1[[#This Row],[Site ID (from DATIM)]],"[Measures].[MMS_90_179_M_P]")</f>
        <v/>
      </c>
      <c r="CA141" s="68" t="str" vm="15082">
        <f>CUBEVALUE(ConnectionString,ReportMonth,Table1[[#This Row],[Site ID (from DATIM)]],"[Measures].[MMS_90_179_F_A]")</f>
        <v/>
      </c>
      <c r="CB141" s="68" t="str" vm="15960">
        <f>CUBEVALUE(ConnectionString,ReportMonth,Table1[[#This Row],[Site ID (from DATIM)]],"[Measures].[MMS_90_179_M_A]")</f>
        <v/>
      </c>
      <c r="CC141" s="68" t="str" vm="15803">
        <f>CUBEVALUE(ConnectionString,ReportMonth,Table1[[#This Row],[Site ID (from DATIM)]],"[Measures].[MMS_180+_F_P]")</f>
        <v/>
      </c>
      <c r="CD141" s="68" t="str" vm="17518">
        <f>CUBEVALUE(ConnectionString,ReportMonth,Table1[[#This Row],[Site ID (from DATIM)]],"[Measures].[MMS_180+_M_P]")</f>
        <v/>
      </c>
      <c r="CE141" s="68" t="str" vm="17533">
        <f>CUBEVALUE(ConnectionString,ReportMonth,Table1[[#This Row],[Site ID (from DATIM)]],"[Measures].[MMS_180+_F_A]")</f>
        <v/>
      </c>
      <c r="CF141" s="68" t="str" vm="233">
        <f>CUBEVALUE(ConnectionString,ReportMonth,Table1[[#This Row],[Site ID (from DATIM)]],"[Measures].[MMS_180+_M_A]")</f>
        <v/>
      </c>
      <c r="CG141" s="68" t="str" vm="11330">
        <f>CUBEVALUE(ConnectionString,ReportMonth,Table1[[#This Row],[Site ID (from DATIM)]],"[Measures].[MISSEDAPP]")</f>
        <v/>
      </c>
      <c r="CH141" s="68" t="str" vm="10961">
        <f>CUBEVALUE(ConnectionString,ReportMonth,Table1[[#This Row],[Site ID (from DATIM)]],"[Measures].[MMS_180+_P]")</f>
        <v/>
      </c>
      <c r="CI141" s="68" t="str" vm="11501">
        <f>CUBEVALUE(ConnectionString,ReportMonth,Table1[[#This Row],[Site ID (from DATIM)]],"[Measures].[MMS_180+_A]")</f>
        <v/>
      </c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  <c r="CW141" s="68"/>
      <c r="CX141" s="68"/>
      <c r="CY141" s="68"/>
      <c r="CZ141" s="68"/>
      <c r="DA141" s="68"/>
      <c r="DB141" s="68"/>
      <c r="DC141" s="68"/>
    </row>
    <row r="142" spans="1:107" x14ac:dyDescent="0.25">
      <c r="A142" s="66">
        <v>2</v>
      </c>
      <c r="B142" s="67" t="str" vm="4">
        <f t="shared" si="3"/>
        <v>Mar-2021</v>
      </c>
      <c r="C142" s="67"/>
      <c r="D142" s="67" t="s">
        <v>232</v>
      </c>
      <c r="E142" s="67" t="s">
        <v>233</v>
      </c>
      <c r="F142" s="67" t="s">
        <v>437</v>
      </c>
      <c r="G142" s="67"/>
      <c r="H142" s="67" t="s">
        <v>454</v>
      </c>
      <c r="I142" s="67" t="s">
        <v>583</v>
      </c>
      <c r="J142" s="67" t="s">
        <v>584</v>
      </c>
      <c r="K142" s="67" t="s">
        <v>585</v>
      </c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 t="str" vm="1630">
        <f>CUBEVALUE(ConnectionString,ReportMonth,Table1[[#This Row],[Site ID (from DATIM)]],"TX_NEW_2VIS")</f>
        <v/>
      </c>
      <c r="AE142" s="67" t="str" vm="647">
        <f>CUBEVALUE(ConnectionString,ReportMonth,Table1[[#This Row],[Site ID (from DATIM)]],INDEX(SDI_Measures,1))</f>
        <v/>
      </c>
      <c r="AF142" s="67" t="str" vm="3704">
        <f>CUBEVALUE(ConnectionString,ReportMonth,Table1[[#This Row],[Site ID (from DATIM)]],INDEX(SDI_Measures,2))</f>
        <v/>
      </c>
      <c r="AG142" s="67" t="str" vm="2251">
        <f>CUBEVALUE(ConnectionString,ReportMonth,Table1[[#This Row],[Site ID (from DATIM)]],INDEX(SDI_Measures,3))</f>
        <v/>
      </c>
      <c r="AH142" s="67" t="str" vm="1705">
        <f>CUBEVALUE(ConnectionString,ReportMonth,Table1[[#This Row],[Site ID (from DATIM)]],"TX_CURR_PRIOR_MONTH")</f>
        <v/>
      </c>
      <c r="AI142" s="67" t="str" vm="2416">
        <f>CUBEVALUE(ConnectionString,ReportMonth,Table1[[#This Row],[Site ID (from DATIM)]],"TX_CURR")</f>
        <v/>
      </c>
      <c r="AJ142" s="67" t="str" vm="3374">
        <f>CUBEVALUE(ConnectionString,ReportMonth,Table1[[#This Row],[Site ID (from DATIM)]],"[Measures].[TI]")</f>
        <v/>
      </c>
      <c r="AK142" s="67" t="str" vm="3315">
        <f>CUBEVALUE(ConnectionString,ReportMonth,Table1[[#This Row],[Site ID (from DATIM)]],"[Measures].[TO]")</f>
        <v/>
      </c>
      <c r="AL142" s="67" t="str" vm="1998">
        <f>CUBEVALUE(ConnectionString,ReportMonth,Table1[[#This Row],[Site ID (from DATIM)]],"[Measures].[DIED]")</f>
        <v/>
      </c>
      <c r="AM142" s="67" t="str" vm="3544">
        <f>CUBEVALUE(ConnectionString,ReportMonth,Table1[[#This Row],[Site ID (from DATIM)]],"[Measures].[MMS_01_31]")</f>
        <v/>
      </c>
      <c r="AN142" s="67" t="str" vm="5052">
        <f>CUBEVALUE(ConnectionString,ReportMonth,Table1[[#This Row],[Site ID (from DATIM)]],"[Measures].[MMS_32_62]")</f>
        <v/>
      </c>
      <c r="AO142" s="67" t="str" vm="7084">
        <f>CUBEVALUE(ConnectionString,ReportMonth,Table1[[#This Row],[Site ID (from DATIM)]],"[Measures].[MMS_63+]")</f>
        <v/>
      </c>
      <c r="AP142" s="67" t="str" vm="7875">
        <f>CUBEVALUE(ConnectionString,ReportMonth,Table1[[#This Row],[Site ID (from DATIM)]],"[Measures].[TBPREV_D]")</f>
        <v/>
      </c>
      <c r="AQ142" s="67" t="str" vm="6634">
        <f>CUBEVALUE(ConnectionString,ReportMonth,Table1[[#This Row],[Site ID (from DATIM)]],"[Measures].[TBPREV_N]")</f>
        <v/>
      </c>
      <c r="AR142" s="67" t="str" vm="5069">
        <f>CUBEVALUE(ConnectionString,ReportMonth,Table1[[#This Row],[Site ID (from DATIM)]],"[Measures].[TBPREV_NEW]")</f>
        <v/>
      </c>
      <c r="AS142" s="67" t="str" vm="5123">
        <f>CUBEVALUE(ConnectionString,ReportMonth,Table1[[#This Row],[Site ID (from DATIM)]],"[Measures].[HVL_ELIG_P]")</f>
        <v/>
      </c>
      <c r="AT142" s="67" t="str" vm="10470">
        <f>CUBEVALUE(ConnectionString,ReportMonth,Table1[[#This Row],[Site ID (from DATIM)]],"[Measures].[HVL_D_P]")</f>
        <v/>
      </c>
      <c r="AU142" s="67" t="str" vm="10006">
        <f>CUBEVALUE(ConnectionString,ReportMonth,Table1[[#This Row],[Site ID (from DATIM)]],"[Measures].[HVL_N_P]")</f>
        <v/>
      </c>
      <c r="AV142" s="68" t="str" vm="13657">
        <f>CUBEVALUE(ConnectionString,ReportMonth,Table1[[#This Row],[Site ID (from DATIM)]],"[Measures].[HVL_ELIG_A]")</f>
        <v/>
      </c>
      <c r="AW142" s="68" t="str" vm="13802">
        <f>CUBEVALUE(ConnectionString,ReportMonth,Table1[[#This Row],[Site ID (from DATIM)]],"[Measures].[HVL_D_A]")</f>
        <v/>
      </c>
      <c r="AX142" s="68" t="str" vm="10660">
        <f>CUBEVALUE(ConnectionString,ReportMonth,Table1[[#This Row],[Site ID (from DATIM)]],"[Measures].[HVL_N_A]")</f>
        <v/>
      </c>
      <c r="AY142" s="67"/>
      <c r="AZ142" s="67"/>
      <c r="BA142" s="67"/>
      <c r="BB142" s="67"/>
      <c r="BC142" s="67"/>
      <c r="BD142" s="67"/>
      <c r="BE142" s="67"/>
      <c r="BF142" s="67"/>
      <c r="BG142" s="67" t="str" vm="13002">
        <f>CUBEVALUE(ConnectionString,ReportMonth,Table1[[#This Row],[Site ID (from DATIM)]],"[Measures].[TX_NEW_F_A]")</f>
        <v/>
      </c>
      <c r="BH142" s="67" t="str" vm="13991">
        <f>CUBEVALUE(ConnectionString,ReportMonth,Table1[[#This Row],[Site ID (from DATIM)]],"[Measures].[TX_NEW_M_A]")</f>
        <v/>
      </c>
      <c r="BI142" s="67" t="str" vm="12405">
        <f>CUBEVALUE(ConnectionString,ReportMonth,Table1[[#This Row],[Site ID (from DATIM)]],"[Measures].[TX_NEW_F_P]")</f>
        <v/>
      </c>
      <c r="BJ142" s="68" t="str" vm="13483">
        <f>CUBEVALUE(ConnectionString,ReportMonth,Table1[[#This Row],[Site ID (from DATIM)]],"[Measures].[TX_NEW_M_P]")</f>
        <v/>
      </c>
      <c r="BK142" s="68"/>
      <c r="BL142" s="68"/>
      <c r="BM142" s="68"/>
      <c r="BN142" s="68"/>
      <c r="BO142" s="68"/>
      <c r="BP142" s="68"/>
      <c r="BQ142" s="68" t="str" vm="9779">
        <f>CUBEVALUE(ConnectionString,ReportMonth,Table1[[#This Row],[Site ID (from DATIM)]],"[Measures].[TX_CURR_F_P]")</f>
        <v/>
      </c>
      <c r="BR142" s="68" t="str" vm="10446">
        <f>CUBEVALUE(ConnectionString,ReportMonth,Table1[[#This Row],[Site ID (from DATIM)]],"[Measures].[TX_CURR_M_P]")</f>
        <v/>
      </c>
      <c r="BS142" s="68" t="str" vm="8978">
        <f>CUBEVALUE(ConnectionString,ReportMonth,Table1[[#This Row],[Site ID (from DATIM)]],"[Measures].[TX_CURR_F_A]")</f>
        <v/>
      </c>
      <c r="BT142" s="68" t="str" vm="10214">
        <f>CUBEVALUE(ConnectionString,ReportMonth,Table1[[#This Row],[Site ID (from DATIM)]],"[Measures].[TX_CURR_M_A]")</f>
        <v/>
      </c>
      <c r="BU142" s="68" t="str" vm="18377">
        <f>CUBEVALUE(ConnectionString,ReportMonth,Table1[[#This Row],[Site ID (from DATIM)]],"[Measures].[MMS_01_89_F_P]")</f>
        <v/>
      </c>
      <c r="BV142" s="68" t="str" vm="18137">
        <f>CUBEVALUE(ConnectionString,ReportMonth,Table1[[#This Row],[Site ID (from DATIM)]],"[Measures].[MMS_01_89_M_P]")</f>
        <v/>
      </c>
      <c r="BW142" s="68" t="str" vm="19771">
        <f>CUBEVALUE(ConnectionString,ReportMonth,Table1[[#This Row],[Site ID (from DATIM)]],"[Measures].[MMS_01_89_F_A]")</f>
        <v/>
      </c>
      <c r="BX142" s="68" t="str" vm="19671">
        <f>CUBEVALUE(ConnectionString,ReportMonth,Table1[[#This Row],[Site ID (from DATIM)]],"[Measures].[MMS_01_89_M_A]")</f>
        <v/>
      </c>
      <c r="BY142" s="68" t="str" vm="18450">
        <f>CUBEVALUE(ConnectionString,ReportMonth,Table1[[#This Row],[Site ID (from DATIM)]],"[Measures].[MMS_90_179_F_P]")</f>
        <v/>
      </c>
      <c r="BZ142" s="68" t="str" vm="18449">
        <f>CUBEVALUE(ConnectionString,ReportMonth,Table1[[#This Row],[Site ID (from DATIM)]],"[Measures].[MMS_90_179_M_P]")</f>
        <v/>
      </c>
      <c r="CA142" s="68" t="str" vm="15150">
        <f>CUBEVALUE(ConnectionString,ReportMonth,Table1[[#This Row],[Site ID (from DATIM)]],"[Measures].[MMS_90_179_F_A]")</f>
        <v/>
      </c>
      <c r="CB142" s="68" t="str" vm="16421">
        <f>CUBEVALUE(ConnectionString,ReportMonth,Table1[[#This Row],[Site ID (from DATIM)]],"[Measures].[MMS_90_179_M_A]")</f>
        <v/>
      </c>
      <c r="CC142" s="68" t="str" vm="16343">
        <f>CUBEVALUE(ConnectionString,ReportMonth,Table1[[#This Row],[Site ID (from DATIM)]],"[Measures].[MMS_180+_F_P]")</f>
        <v/>
      </c>
      <c r="CD142" s="68" t="str" vm="15859">
        <f>CUBEVALUE(ConnectionString,ReportMonth,Table1[[#This Row],[Site ID (from DATIM)]],"[Measures].[MMS_180+_M_P]")</f>
        <v/>
      </c>
      <c r="CE142" s="68" t="str" vm="17198">
        <f>CUBEVALUE(ConnectionString,ReportMonth,Table1[[#This Row],[Site ID (from DATIM)]],"[Measures].[MMS_180+_F_A]")</f>
        <v/>
      </c>
      <c r="CF142" s="68" t="str" vm="14468">
        <f>CUBEVALUE(ConnectionString,ReportMonth,Table1[[#This Row],[Site ID (from DATIM)]],"[Measures].[MMS_180+_M_A]")</f>
        <v/>
      </c>
      <c r="CG142" s="68" t="str" vm="5855">
        <f>CUBEVALUE(ConnectionString,ReportMonth,Table1[[#This Row],[Site ID (from DATIM)]],"[Measures].[MISSEDAPP]")</f>
        <v/>
      </c>
      <c r="CH142" s="68" t="str" vm="10153">
        <f>CUBEVALUE(ConnectionString,ReportMonth,Table1[[#This Row],[Site ID (from DATIM)]],"[Measures].[MMS_180+_P]")</f>
        <v/>
      </c>
      <c r="CI142" s="68" t="str" vm="12154">
        <f>CUBEVALUE(ConnectionString,ReportMonth,Table1[[#This Row],[Site ID (from DATIM)]],"[Measures].[MMS_180+_A]")</f>
        <v/>
      </c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  <c r="CW142" s="68"/>
      <c r="CX142" s="68"/>
      <c r="CY142" s="68"/>
      <c r="CZ142" s="68"/>
      <c r="DA142" s="68"/>
      <c r="DB142" s="68"/>
      <c r="DC142" s="68"/>
    </row>
    <row r="143" spans="1:107" x14ac:dyDescent="0.25">
      <c r="A143" s="66">
        <v>3</v>
      </c>
      <c r="B143" s="67" t="str" vm="4">
        <f t="shared" si="3"/>
        <v>Mar-2021</v>
      </c>
      <c r="C143" s="67"/>
      <c r="D143" s="67" t="s">
        <v>232</v>
      </c>
      <c r="E143" s="67" t="s">
        <v>233</v>
      </c>
      <c r="F143" s="67" t="s">
        <v>437</v>
      </c>
      <c r="G143" s="67"/>
      <c r="H143" s="67" t="s">
        <v>454</v>
      </c>
      <c r="I143" s="67" t="s">
        <v>583</v>
      </c>
      <c r="J143" s="67" t="s">
        <v>586</v>
      </c>
      <c r="K143" s="67" t="s">
        <v>587</v>
      </c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 vm="1511">
        <f>CUBEVALUE(ConnectionString,ReportMonth,Table1[[#This Row],[Site ID (from DATIM)]],"TX_NEW_2VIS")</f>
        <v>4</v>
      </c>
      <c r="AE143" s="67" vm="2102">
        <f>CUBEVALUE(ConnectionString,ReportMonth,Table1[[#This Row],[Site ID (from DATIM)]],INDEX(SDI_Measures,1))</f>
        <v>7</v>
      </c>
      <c r="AF143" s="67" t="str" vm="4373">
        <f>CUBEVALUE(ConnectionString,ReportMonth,Table1[[#This Row],[Site ID (from DATIM)]],INDEX(SDI_Measures,2))</f>
        <v/>
      </c>
      <c r="AG143" s="67" t="str" vm="369">
        <f>CUBEVALUE(ConnectionString,ReportMonth,Table1[[#This Row],[Site ID (from DATIM)]],INDEX(SDI_Measures,3))</f>
        <v/>
      </c>
      <c r="AH143" s="67" vm="2223">
        <f>CUBEVALUE(ConnectionString,ReportMonth,Table1[[#This Row],[Site ID (from DATIM)]],"TX_CURR_PRIOR_MONTH")</f>
        <v>532</v>
      </c>
      <c r="AI143" s="67" vm="1563">
        <f>CUBEVALUE(ConnectionString,ReportMonth,Table1[[#This Row],[Site ID (from DATIM)]],"TX_CURR")</f>
        <v>499</v>
      </c>
      <c r="AJ143" s="67" t="str" vm="4321">
        <f>CUBEVALUE(ConnectionString,ReportMonth,Table1[[#This Row],[Site ID (from DATIM)]],"[Measures].[TI]")</f>
        <v/>
      </c>
      <c r="AK143" s="67" t="str" vm="3567">
        <f>CUBEVALUE(ConnectionString,ReportMonth,Table1[[#This Row],[Site ID (from DATIM)]],"[Measures].[TO]")</f>
        <v/>
      </c>
      <c r="AL143" s="67" t="str" vm="3914">
        <f>CUBEVALUE(ConnectionString,ReportMonth,Table1[[#This Row],[Site ID (from DATIM)]],"[Measures].[DIED]")</f>
        <v/>
      </c>
      <c r="AM143" s="67" vm="3454">
        <f>CUBEVALUE(ConnectionString,ReportMonth,Table1[[#This Row],[Site ID (from DATIM)]],"[Measures].[MMS_01_31]")</f>
        <v>191</v>
      </c>
      <c r="AN143" s="67" vm="5347">
        <f>CUBEVALUE(ConnectionString,ReportMonth,Table1[[#This Row],[Site ID (from DATIM)]],"[Measures].[MMS_32_62]")</f>
        <v>36</v>
      </c>
      <c r="AO143" s="67" vm="4984">
        <f>CUBEVALUE(ConnectionString,ReportMonth,Table1[[#This Row],[Site ID (from DATIM)]],"[Measures].[MMS_63+]")</f>
        <v>272</v>
      </c>
      <c r="AP143" s="67" vm="4599">
        <f>CUBEVALUE(ConnectionString,ReportMonth,Table1[[#This Row],[Site ID (from DATIM)]],"[Measures].[TBPREV_D]")</f>
        <v>38</v>
      </c>
      <c r="AQ143" s="67" vm="6486">
        <f>CUBEVALUE(ConnectionString,ReportMonth,Table1[[#This Row],[Site ID (from DATIM)]],"[Measures].[TBPREV_N]")</f>
        <v>25</v>
      </c>
      <c r="AR143" s="67" vm="7774">
        <f>CUBEVALUE(ConnectionString,ReportMonth,Table1[[#This Row],[Site ID (from DATIM)]],"[Measures].[TBPREV_NEW]")</f>
        <v>3</v>
      </c>
      <c r="AS143" s="67" vm="7904">
        <f>CUBEVALUE(ConnectionString,ReportMonth,Table1[[#This Row],[Site ID (from DATIM)]],"[Measures].[HVL_ELIG_P]")</f>
        <v>15</v>
      </c>
      <c r="AT143" s="67" vm="9265">
        <f>CUBEVALUE(ConnectionString,ReportMonth,Table1[[#This Row],[Site ID (from DATIM)]],"[Measures].[HVL_D_P]")</f>
        <v>12</v>
      </c>
      <c r="AU143" s="67" vm="9384">
        <f>CUBEVALUE(ConnectionString,ReportMonth,Table1[[#This Row],[Site ID (from DATIM)]],"[Measures].[HVL_N_P]")</f>
        <v>10</v>
      </c>
      <c r="AV143" s="68" vm="11257">
        <f>CUBEVALUE(ConnectionString,ReportMonth,Table1[[#This Row],[Site ID (from DATIM)]],"[Measures].[HVL_ELIG_A]")</f>
        <v>355</v>
      </c>
      <c r="AW143" s="68" vm="7036">
        <f>CUBEVALUE(ConnectionString,ReportMonth,Table1[[#This Row],[Site ID (from DATIM)]],"[Measures].[HVL_D_A]")</f>
        <v>275</v>
      </c>
      <c r="AX143" s="68" vm="11411">
        <f>CUBEVALUE(ConnectionString,ReportMonth,Table1[[#This Row],[Site ID (from DATIM)]],"[Measures].[HVL_N_A]")</f>
        <v>261</v>
      </c>
      <c r="AY143" s="67"/>
      <c r="AZ143" s="67"/>
      <c r="BA143" s="67"/>
      <c r="BB143" s="67"/>
      <c r="BC143" s="67"/>
      <c r="BD143" s="67"/>
      <c r="BE143" s="67"/>
      <c r="BF143" s="67"/>
      <c r="BG143" s="67" vm="12703">
        <f>CUBEVALUE(ConnectionString,ReportMonth,Table1[[#This Row],[Site ID (from DATIM)]],"[Measures].[TX_NEW_F_A]")</f>
        <v>4</v>
      </c>
      <c r="BH143" s="67" vm="13580">
        <f>CUBEVALUE(ConnectionString,ReportMonth,Table1[[#This Row],[Site ID (from DATIM)]],"[Measures].[TX_NEW_M_A]")</f>
        <v>2</v>
      </c>
      <c r="BI143" s="67" vm="15629">
        <f>CUBEVALUE(ConnectionString,ReportMonth,Table1[[#This Row],[Site ID (from DATIM)]],"[Measures].[TX_NEW_F_P]")</f>
        <v>1</v>
      </c>
      <c r="BJ143" s="68" t="str" vm="12313">
        <f>CUBEVALUE(ConnectionString,ReportMonth,Table1[[#This Row],[Site ID (from DATIM)]],"[Measures].[TX_NEW_M_P]")</f>
        <v/>
      </c>
      <c r="BK143" s="68"/>
      <c r="BL143" s="68"/>
      <c r="BM143" s="68"/>
      <c r="BN143" s="68"/>
      <c r="BO143" s="68"/>
      <c r="BP143" s="68"/>
      <c r="BQ143" s="68" vm="9894">
        <f>CUBEVALUE(ConnectionString,ReportMonth,Table1[[#This Row],[Site ID (from DATIM)]],"[Measures].[TX_CURR_F_P]")</f>
        <v>12</v>
      </c>
      <c r="BR143" s="68" vm="11387">
        <f>CUBEVALUE(ConnectionString,ReportMonth,Table1[[#This Row],[Site ID (from DATIM)]],"[Measures].[TX_CURR_M_P]")</f>
        <v>10</v>
      </c>
      <c r="BS143" s="68" vm="13649">
        <f>CUBEVALUE(ConnectionString,ReportMonth,Table1[[#This Row],[Site ID (from DATIM)]],"[Measures].[TX_CURR_F_A]")</f>
        <v>346</v>
      </c>
      <c r="BT143" s="68" vm="7940">
        <f>CUBEVALUE(ConnectionString,ReportMonth,Table1[[#This Row],[Site ID (from DATIM)]],"[Measures].[TX_CURR_M_A]")</f>
        <v>131</v>
      </c>
      <c r="BU143" s="68" vm="20094">
        <f>CUBEVALUE(ConnectionString,ReportMonth,Table1[[#This Row],[Site ID (from DATIM)]],"[Measures].[MMS_01_89_F_P]")</f>
        <v>5</v>
      </c>
      <c r="BV143" s="68" vm="18107">
        <f>CUBEVALUE(ConnectionString,ReportMonth,Table1[[#This Row],[Site ID (from DATIM)]],"[Measures].[MMS_01_89_M_P]")</f>
        <v>5</v>
      </c>
      <c r="BW143" s="68" vm="18580">
        <f>CUBEVALUE(ConnectionString,ReportMonth,Table1[[#This Row],[Site ID (from DATIM)]],"[Measures].[MMS_01_89_F_A]")</f>
        <v>158</v>
      </c>
      <c r="BX143" s="68" vm="18189">
        <f>CUBEVALUE(ConnectionString,ReportMonth,Table1[[#This Row],[Site ID (from DATIM)]],"[Measures].[MMS_01_89_M_A]")</f>
        <v>59</v>
      </c>
      <c r="BY143" s="68" vm="19951">
        <f>CUBEVALUE(ConnectionString,ReportMonth,Table1[[#This Row],[Site ID (from DATIM)]],"[Measures].[MMS_90_179_F_P]")</f>
        <v>7</v>
      </c>
      <c r="BZ143" s="68" vm="16057">
        <f>CUBEVALUE(ConnectionString,ReportMonth,Table1[[#This Row],[Site ID (from DATIM)]],"[Measures].[MMS_90_179_M_P]")</f>
        <v>5</v>
      </c>
      <c r="CA143" s="68" vm="17318">
        <f>CUBEVALUE(ConnectionString,ReportMonth,Table1[[#This Row],[Site ID (from DATIM)]],"[Measures].[MMS_90_179_F_A]")</f>
        <v>188</v>
      </c>
      <c r="CB143" s="68" vm="16506">
        <f>CUBEVALUE(ConnectionString,ReportMonth,Table1[[#This Row],[Site ID (from DATIM)]],"[Measures].[MMS_90_179_M_A]")</f>
        <v>72</v>
      </c>
      <c r="CC143" s="68" t="str" vm="16498">
        <f>CUBEVALUE(ConnectionString,ReportMonth,Table1[[#This Row],[Site ID (from DATIM)]],"[Measures].[MMS_180+_F_P]")</f>
        <v/>
      </c>
      <c r="CD143" s="68" t="str" vm="16352">
        <f>CUBEVALUE(ConnectionString,ReportMonth,Table1[[#This Row],[Site ID (from DATIM)]],"[Measures].[MMS_180+_M_P]")</f>
        <v/>
      </c>
      <c r="CE143" s="68" t="str" vm="17569">
        <f>CUBEVALUE(ConnectionString,ReportMonth,Table1[[#This Row],[Site ID (from DATIM)]],"[Measures].[MMS_180+_F_A]")</f>
        <v/>
      </c>
      <c r="CF143" s="68" t="str" vm="307">
        <f>CUBEVALUE(ConnectionString,ReportMonth,Table1[[#This Row],[Site ID (from DATIM)]],"[Measures].[MMS_180+_M_A]")</f>
        <v/>
      </c>
      <c r="CG143" s="68" vm="10000">
        <f>CUBEVALUE(ConnectionString,ReportMonth,Table1[[#This Row],[Site ID (from DATIM)]],"[Measures].[MISSEDAPP]")</f>
        <v>233</v>
      </c>
      <c r="CH143" s="68" t="str" vm="13674">
        <f>CUBEVALUE(ConnectionString,ReportMonth,Table1[[#This Row],[Site ID (from DATIM)]],"[Measures].[MMS_180+_P]")</f>
        <v/>
      </c>
      <c r="CI143" s="68" t="str" vm="13928">
        <f>CUBEVALUE(ConnectionString,ReportMonth,Table1[[#This Row],[Site ID (from DATIM)]],"[Measures].[MMS_180+_A]")</f>
        <v/>
      </c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  <c r="CW143" s="68"/>
      <c r="CX143" s="68"/>
      <c r="CY143" s="68"/>
      <c r="CZ143" s="68"/>
      <c r="DA143" s="68"/>
      <c r="DB143" s="68"/>
      <c r="DC143" s="68"/>
    </row>
    <row r="144" spans="1:107" x14ac:dyDescent="0.25">
      <c r="A144" s="66">
        <v>3</v>
      </c>
      <c r="B144" s="67" t="str" vm="4">
        <f t="shared" si="3"/>
        <v>Mar-2021</v>
      </c>
      <c r="C144" s="67"/>
      <c r="D144" s="67" t="s">
        <v>232</v>
      </c>
      <c r="E144" s="67" t="s">
        <v>233</v>
      </c>
      <c r="F144" s="67" t="s">
        <v>437</v>
      </c>
      <c r="G144" s="67"/>
      <c r="H144" s="67" t="s">
        <v>513</v>
      </c>
      <c r="I144" s="67" t="s">
        <v>588</v>
      </c>
      <c r="J144" s="67" t="s">
        <v>589</v>
      </c>
      <c r="K144" s="67" t="s">
        <v>590</v>
      </c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 vm="1004">
        <f>CUBEVALUE(ConnectionString,ReportMonth,Table1[[#This Row],[Site ID (from DATIM)]],"TX_NEW_2VIS")</f>
        <v>8</v>
      </c>
      <c r="AE144" s="67" vm="375">
        <f>CUBEVALUE(ConnectionString,ReportMonth,Table1[[#This Row],[Site ID (from DATIM)]],INDEX(SDI_Measures,1))</f>
        <v>2</v>
      </c>
      <c r="AF144" s="67" t="str" vm="215">
        <f>CUBEVALUE(ConnectionString,ReportMonth,Table1[[#This Row],[Site ID (from DATIM)]],INDEX(SDI_Measures,2))</f>
        <v/>
      </c>
      <c r="AG144" s="67" t="str" vm="2627">
        <f>CUBEVALUE(ConnectionString,ReportMonth,Table1[[#This Row],[Site ID (from DATIM)]],INDEX(SDI_Measures,3))</f>
        <v/>
      </c>
      <c r="AH144" s="67" vm="3608">
        <f>CUBEVALUE(ConnectionString,ReportMonth,Table1[[#This Row],[Site ID (from DATIM)]],"TX_CURR_PRIOR_MONTH")</f>
        <v>441</v>
      </c>
      <c r="AI144" s="67" vm="3779">
        <f>CUBEVALUE(ConnectionString,ReportMonth,Table1[[#This Row],[Site ID (from DATIM)]],"TX_CURR")</f>
        <v>440</v>
      </c>
      <c r="AJ144" s="67" t="str" vm="3550">
        <f>CUBEVALUE(ConnectionString,ReportMonth,Table1[[#This Row],[Site ID (from DATIM)]],"[Measures].[TI]")</f>
        <v/>
      </c>
      <c r="AK144" s="67" t="str" vm="7408">
        <f>CUBEVALUE(ConnectionString,ReportMonth,Table1[[#This Row],[Site ID (from DATIM)]],"[Measures].[TO]")</f>
        <v/>
      </c>
      <c r="AL144" s="67" vm="1016">
        <f>CUBEVALUE(ConnectionString,ReportMonth,Table1[[#This Row],[Site ID (from DATIM)]],"[Measures].[DIED]")</f>
        <v>1</v>
      </c>
      <c r="AM144" s="67" vm="4320">
        <f>CUBEVALUE(ConnectionString,ReportMonth,Table1[[#This Row],[Site ID (from DATIM)]],"[Measures].[MMS_01_31]")</f>
        <v>154</v>
      </c>
      <c r="AN144" s="67" vm="7662">
        <f>CUBEVALUE(ConnectionString,ReportMonth,Table1[[#This Row],[Site ID (from DATIM)]],"[Measures].[MMS_32_62]")</f>
        <v>30</v>
      </c>
      <c r="AO144" s="67" vm="13260">
        <f>CUBEVALUE(ConnectionString,ReportMonth,Table1[[#This Row],[Site ID (from DATIM)]],"[Measures].[MMS_63+]")</f>
        <v>256</v>
      </c>
      <c r="AP144" s="67" vm="5209">
        <f>CUBEVALUE(ConnectionString,ReportMonth,Table1[[#This Row],[Site ID (from DATIM)]],"[Measures].[TBPREV_D]")</f>
        <v>19</v>
      </c>
      <c r="AQ144" s="67" vm="5167">
        <f>CUBEVALUE(ConnectionString,ReportMonth,Table1[[#This Row],[Site ID (from DATIM)]],"[Measures].[TBPREV_N]")</f>
        <v>18</v>
      </c>
      <c r="AR144" s="67" vm="7441">
        <f>CUBEVALUE(ConnectionString,ReportMonth,Table1[[#This Row],[Site ID (from DATIM)]],"[Measures].[TBPREV_NEW]")</f>
        <v>2</v>
      </c>
      <c r="AS144" s="67" vm="6875">
        <f>CUBEVALUE(ConnectionString,ReportMonth,Table1[[#This Row],[Site ID (from DATIM)]],"[Measures].[HVL_ELIG_P]")</f>
        <v>23</v>
      </c>
      <c r="AT144" s="67" vm="5501">
        <f>CUBEVALUE(ConnectionString,ReportMonth,Table1[[#This Row],[Site ID (from DATIM)]],"[Measures].[HVL_D_P]")</f>
        <v>11</v>
      </c>
      <c r="AU144" s="67" vm="10237">
        <f>CUBEVALUE(ConnectionString,ReportMonth,Table1[[#This Row],[Site ID (from DATIM)]],"[Measures].[HVL_N_P]")</f>
        <v>10</v>
      </c>
      <c r="AV144" s="68" vm="8022">
        <f>CUBEVALUE(ConnectionString,ReportMonth,Table1[[#This Row],[Site ID (from DATIM)]],"[Measures].[HVL_ELIG_A]")</f>
        <v>350</v>
      </c>
      <c r="AW144" s="68" vm="10286">
        <f>CUBEVALUE(ConnectionString,ReportMonth,Table1[[#This Row],[Site ID (from DATIM)]],"[Measures].[HVL_D_A]")</f>
        <v>245</v>
      </c>
      <c r="AX144" s="68" vm="11154">
        <f>CUBEVALUE(ConnectionString,ReportMonth,Table1[[#This Row],[Site ID (from DATIM)]],"[Measures].[HVL_N_A]")</f>
        <v>235</v>
      </c>
      <c r="AY144" s="67"/>
      <c r="AZ144" s="67"/>
      <c r="BA144" s="67"/>
      <c r="BB144" s="67"/>
      <c r="BC144" s="67"/>
      <c r="BD144" s="67"/>
      <c r="BE144" s="67"/>
      <c r="BF144" s="67"/>
      <c r="BG144" s="67" t="str" vm="17438">
        <f>CUBEVALUE(ConnectionString,ReportMonth,Table1[[#This Row],[Site ID (from DATIM)]],"[Measures].[TX_NEW_F_A]")</f>
        <v/>
      </c>
      <c r="BH144" s="67" vm="14137">
        <f>CUBEVALUE(ConnectionString,ReportMonth,Table1[[#This Row],[Site ID (from DATIM)]],"[Measures].[TX_NEW_M_A]")</f>
        <v>1</v>
      </c>
      <c r="BI144" s="67" vm="12820">
        <f>CUBEVALUE(ConnectionString,ReportMonth,Table1[[#This Row],[Site ID (from DATIM)]],"[Measures].[TX_NEW_F_P]")</f>
        <v>1</v>
      </c>
      <c r="BJ144" s="68" t="str" vm="15274">
        <f>CUBEVALUE(ConnectionString,ReportMonth,Table1[[#This Row],[Site ID (from DATIM)]],"[Measures].[TX_NEW_M_P]")</f>
        <v/>
      </c>
      <c r="BK144" s="68"/>
      <c r="BL144" s="68"/>
      <c r="BM144" s="68"/>
      <c r="BN144" s="68"/>
      <c r="BO144" s="68"/>
      <c r="BP144" s="68"/>
      <c r="BQ144" s="68" vm="8589">
        <f>CUBEVALUE(ConnectionString,ReportMonth,Table1[[#This Row],[Site ID (from DATIM)]],"[Measures].[TX_CURR_F_P]")</f>
        <v>18</v>
      </c>
      <c r="BR144" s="68" vm="10244">
        <f>CUBEVALUE(ConnectionString,ReportMonth,Table1[[#This Row],[Site ID (from DATIM)]],"[Measures].[TX_CURR_M_P]")</f>
        <v>10</v>
      </c>
      <c r="BS144" s="68" vm="8738">
        <f>CUBEVALUE(ConnectionString,ReportMonth,Table1[[#This Row],[Site ID (from DATIM)]],"[Measures].[TX_CURR_F_A]")</f>
        <v>281</v>
      </c>
      <c r="BT144" s="68" vm="10369">
        <f>CUBEVALUE(ConnectionString,ReportMonth,Table1[[#This Row],[Site ID (from DATIM)]],"[Measures].[TX_CURR_M_A]")</f>
        <v>131</v>
      </c>
      <c r="BU144" s="68" vm="19255">
        <f>CUBEVALUE(ConnectionString,ReportMonth,Table1[[#This Row],[Site ID (from DATIM)]],"[Measures].[MMS_01_89_F_P]")</f>
        <v>11</v>
      </c>
      <c r="BV144" s="68" vm="18405">
        <f>CUBEVALUE(ConnectionString,ReportMonth,Table1[[#This Row],[Site ID (from DATIM)]],"[Measures].[MMS_01_89_M_P]")</f>
        <v>5</v>
      </c>
      <c r="BW144" s="68" vm="18218">
        <f>CUBEVALUE(ConnectionString,ReportMonth,Table1[[#This Row],[Site ID (from DATIM)]],"[Measures].[MMS_01_89_F_A]")</f>
        <v>112</v>
      </c>
      <c r="BX144" s="68" vm="19322">
        <f>CUBEVALUE(ConnectionString,ReportMonth,Table1[[#This Row],[Site ID (from DATIM)]],"[Measures].[MMS_01_89_M_A]")</f>
        <v>56</v>
      </c>
      <c r="BY144" s="68" vm="19336">
        <f>CUBEVALUE(ConnectionString,ReportMonth,Table1[[#This Row],[Site ID (from DATIM)]],"[Measures].[MMS_90_179_F_P]")</f>
        <v>7</v>
      </c>
      <c r="BZ144" s="68" vm="17789">
        <f>CUBEVALUE(ConnectionString,ReportMonth,Table1[[#This Row],[Site ID (from DATIM)]],"[Measures].[MMS_90_179_M_P]")</f>
        <v>5</v>
      </c>
      <c r="CA144" s="68" vm="19852">
        <f>CUBEVALUE(ConnectionString,ReportMonth,Table1[[#This Row],[Site ID (from DATIM)]],"[Measures].[MMS_90_179_F_A]")</f>
        <v>169</v>
      </c>
      <c r="CB144" s="68" vm="17347">
        <f>CUBEVALUE(ConnectionString,ReportMonth,Table1[[#This Row],[Site ID (from DATIM)]],"[Measures].[MMS_90_179_M_A]")</f>
        <v>74</v>
      </c>
      <c r="CC144" s="68" t="str" vm="15938">
        <f>CUBEVALUE(ConnectionString,ReportMonth,Table1[[#This Row],[Site ID (from DATIM)]],"[Measures].[MMS_180+_F_P]")</f>
        <v/>
      </c>
      <c r="CD144" s="68" t="str" vm="16745">
        <f>CUBEVALUE(ConnectionString,ReportMonth,Table1[[#This Row],[Site ID (from DATIM)]],"[Measures].[MMS_180+_M_P]")</f>
        <v/>
      </c>
      <c r="CE144" s="68" t="str" vm="14440">
        <f>CUBEVALUE(ConnectionString,ReportMonth,Table1[[#This Row],[Site ID (from DATIM)]],"[Measures].[MMS_180+_F_A]")</f>
        <v/>
      </c>
      <c r="CF144" s="68" vm="17458">
        <f>CUBEVALUE(ConnectionString,ReportMonth,Table1[[#This Row],[Site ID (from DATIM)]],"[Measures].[MMS_180+_M_A]")</f>
        <v>1</v>
      </c>
      <c r="CG144" s="68" vm="6093">
        <f>CUBEVALUE(ConnectionString,ReportMonth,Table1[[#This Row],[Site ID (from DATIM)]],"[Measures].[MISSEDAPP]")</f>
        <v>126</v>
      </c>
      <c r="CH144" s="68" t="str" vm="10946">
        <f>CUBEVALUE(ConnectionString,ReportMonth,Table1[[#This Row],[Site ID (from DATIM)]],"[Measures].[MMS_180+_P]")</f>
        <v/>
      </c>
      <c r="CI144" s="68" vm="13827">
        <f>CUBEVALUE(ConnectionString,ReportMonth,Table1[[#This Row],[Site ID (from DATIM)]],"[Measures].[MMS_180+_A]")</f>
        <v>1</v>
      </c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  <c r="CW144" s="68"/>
      <c r="CX144" s="68"/>
      <c r="CY144" s="68"/>
      <c r="CZ144" s="68"/>
      <c r="DA144" s="68"/>
      <c r="DB144" s="68"/>
      <c r="DC144" s="68"/>
    </row>
    <row r="145" spans="1:107" x14ac:dyDescent="0.25">
      <c r="A145" s="66">
        <v>2</v>
      </c>
      <c r="B145" s="67" t="str" vm="4">
        <f t="shared" si="3"/>
        <v>Mar-2021</v>
      </c>
      <c r="C145" s="67"/>
      <c r="D145" s="67" t="s">
        <v>232</v>
      </c>
      <c r="E145" s="67" t="s">
        <v>233</v>
      </c>
      <c r="F145" s="67" t="s">
        <v>1083</v>
      </c>
      <c r="G145" s="67"/>
      <c r="H145" s="67" t="s">
        <v>1084</v>
      </c>
      <c r="I145" s="67" t="s">
        <v>1167</v>
      </c>
      <c r="J145" s="67" t="s">
        <v>1168</v>
      </c>
      <c r="K145" s="67" t="s">
        <v>1169</v>
      </c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 vm="3925">
        <f>CUBEVALUE(ConnectionString,ReportMonth,Table1[[#This Row],[Site ID (from DATIM)]],"TX_NEW_2VIS")</f>
        <v>4</v>
      </c>
      <c r="AE145" s="67" vm="4088">
        <f>CUBEVALUE(ConnectionString,ReportMonth,Table1[[#This Row],[Site ID (from DATIM)]],INDEX(SDI_Measures,1))</f>
        <v>5</v>
      </c>
      <c r="AF145" s="67" vm="408">
        <f>CUBEVALUE(ConnectionString,ReportMonth,Table1[[#This Row],[Site ID (from DATIM)]],INDEX(SDI_Measures,2))</f>
        <v>3</v>
      </c>
      <c r="AG145" s="67" t="str" vm="7079">
        <f>CUBEVALUE(ConnectionString,ReportMonth,Table1[[#This Row],[Site ID (from DATIM)]],INDEX(SDI_Measures,3))</f>
        <v/>
      </c>
      <c r="AH145" s="67" vm="1887">
        <f>CUBEVALUE(ConnectionString,ReportMonth,Table1[[#This Row],[Site ID (from DATIM)]],"TX_CURR_PRIOR_MONTH")</f>
        <v>1241</v>
      </c>
      <c r="AI145" s="67" vm="3973">
        <f>CUBEVALUE(ConnectionString,ReportMonth,Table1[[#This Row],[Site ID (from DATIM)]],"TX_CURR")</f>
        <v>1141</v>
      </c>
      <c r="AJ145" s="67" vm="2545">
        <f>CUBEVALUE(ConnectionString,ReportMonth,Table1[[#This Row],[Site ID (from DATIM)]],"[Measures].[TI]")</f>
        <v>1</v>
      </c>
      <c r="AK145" s="67" t="str" vm="2582">
        <f>CUBEVALUE(ConnectionString,ReportMonth,Table1[[#This Row],[Site ID (from DATIM)]],"[Measures].[TO]")</f>
        <v/>
      </c>
      <c r="AL145" s="67" vm="1031">
        <f>CUBEVALUE(ConnectionString,ReportMonth,Table1[[#This Row],[Site ID (from DATIM)]],"[Measures].[DIED]")</f>
        <v>1</v>
      </c>
      <c r="AM145" s="67" vm="3508">
        <f>CUBEVALUE(ConnectionString,ReportMonth,Table1[[#This Row],[Site ID (from DATIM)]],"[Measures].[MMS_01_31]")</f>
        <v>393</v>
      </c>
      <c r="AN145" s="67" vm="4785">
        <f>CUBEVALUE(ConnectionString,ReportMonth,Table1[[#This Row],[Site ID (from DATIM)]],"[Measures].[MMS_32_62]")</f>
        <v>37</v>
      </c>
      <c r="AO145" s="67" vm="9936">
        <f>CUBEVALUE(ConnectionString,ReportMonth,Table1[[#This Row],[Site ID (from DATIM)]],"[Measures].[MMS_63+]")</f>
        <v>711</v>
      </c>
      <c r="AP145" s="67" vm="5472">
        <f>CUBEVALUE(ConnectionString,ReportMonth,Table1[[#This Row],[Site ID (from DATIM)]],"[Measures].[TBPREV_D]")</f>
        <v>19</v>
      </c>
      <c r="AQ145" s="67" vm="5928">
        <f>CUBEVALUE(ConnectionString,ReportMonth,Table1[[#This Row],[Site ID (from DATIM)]],"[Measures].[TBPREV_N]")</f>
        <v>17</v>
      </c>
      <c r="AR145" s="67" vm="6002">
        <f>CUBEVALUE(ConnectionString,ReportMonth,Table1[[#This Row],[Site ID (from DATIM)]],"[Measures].[TBPREV_NEW]")</f>
        <v>6</v>
      </c>
      <c r="AS145" s="67" vm="7385">
        <f>CUBEVALUE(ConnectionString,ReportMonth,Table1[[#This Row],[Site ID (from DATIM)]],"[Measures].[HVL_ELIG_P]")</f>
        <v>46</v>
      </c>
      <c r="AT145" s="67" vm="7885">
        <f>CUBEVALUE(ConnectionString,ReportMonth,Table1[[#This Row],[Site ID (from DATIM)]],"[Measures].[HVL_D_P]")</f>
        <v>43</v>
      </c>
      <c r="AU145" s="67" vm="8747">
        <f>CUBEVALUE(ConnectionString,ReportMonth,Table1[[#This Row],[Site ID (from DATIM)]],"[Measures].[HVL_N_P]")</f>
        <v>38</v>
      </c>
      <c r="AV145" s="68" vm="9259">
        <f>CUBEVALUE(ConnectionString,ReportMonth,Table1[[#This Row],[Site ID (from DATIM)]],"[Measures].[HVL_ELIG_A]")</f>
        <v>985</v>
      </c>
      <c r="AW145" s="68" vm="14148">
        <f>CUBEVALUE(ConnectionString,ReportMonth,Table1[[#This Row],[Site ID (from DATIM)]],"[Measures].[HVL_D_A]")</f>
        <v>680</v>
      </c>
      <c r="AX145" s="68" vm="11542">
        <f>CUBEVALUE(ConnectionString,ReportMonth,Table1[[#This Row],[Site ID (from DATIM)]],"[Measures].[HVL_N_A]")</f>
        <v>635</v>
      </c>
      <c r="AY145" s="67"/>
      <c r="AZ145" s="67"/>
      <c r="BA145" s="67"/>
      <c r="BB145" s="67"/>
      <c r="BC145" s="67"/>
      <c r="BD145" s="67"/>
      <c r="BE145" s="67"/>
      <c r="BF145" s="67"/>
      <c r="BG145" s="67" vm="12221">
        <f>CUBEVALUE(ConnectionString,ReportMonth,Table1[[#This Row],[Site ID (from DATIM)]],"[Measures].[TX_NEW_F_A]")</f>
        <v>6</v>
      </c>
      <c r="BH145" s="67" vm="12558">
        <f>CUBEVALUE(ConnectionString,ReportMonth,Table1[[#This Row],[Site ID (from DATIM)]],"[Measures].[TX_NEW_M_A]")</f>
        <v>2</v>
      </c>
      <c r="BI145" s="67" t="str" vm="12819">
        <f>CUBEVALUE(ConnectionString,ReportMonth,Table1[[#This Row],[Site ID (from DATIM)]],"[Measures].[TX_NEW_F_P]")</f>
        <v/>
      </c>
      <c r="BJ145" s="68" t="str" vm="14335">
        <f>CUBEVALUE(ConnectionString,ReportMonth,Table1[[#This Row],[Site ID (from DATIM)]],"[Measures].[TX_NEW_M_P]")</f>
        <v/>
      </c>
      <c r="BK145" s="68"/>
      <c r="BL145" s="68"/>
      <c r="BM145" s="68"/>
      <c r="BN145" s="68"/>
      <c r="BO145" s="68"/>
      <c r="BP145" s="68"/>
      <c r="BQ145" s="68" vm="6393">
        <f>CUBEVALUE(ConnectionString,ReportMonth,Table1[[#This Row],[Site ID (from DATIM)]],"[Measures].[TX_CURR_F_P]")</f>
        <v>22</v>
      </c>
      <c r="BR145" s="68" vm="7507">
        <f>CUBEVALUE(ConnectionString,ReportMonth,Table1[[#This Row],[Site ID (from DATIM)]],"[Measures].[TX_CURR_M_P]")</f>
        <v>29</v>
      </c>
      <c r="BS145" s="68" vm="9193">
        <f>CUBEVALUE(ConnectionString,ReportMonth,Table1[[#This Row],[Site ID (from DATIM)]],"[Measures].[TX_CURR_F_A]")</f>
        <v>775</v>
      </c>
      <c r="BT145" s="68" vm="10800">
        <f>CUBEVALUE(ConnectionString,ReportMonth,Table1[[#This Row],[Site ID (from DATIM)]],"[Measures].[TX_CURR_M_A]")</f>
        <v>315</v>
      </c>
      <c r="BU145" s="68" vm="18434">
        <f>CUBEVALUE(ConnectionString,ReportMonth,Table1[[#This Row],[Site ID (from DATIM)]],"[Measures].[MMS_01_89_F_P]")</f>
        <v>11</v>
      </c>
      <c r="BV145" s="68" vm="18995">
        <f>CUBEVALUE(ConnectionString,ReportMonth,Table1[[#This Row],[Site ID (from DATIM)]],"[Measures].[MMS_01_89_M_P]")</f>
        <v>14</v>
      </c>
      <c r="BW145" s="68" vm="19913">
        <f>CUBEVALUE(ConnectionString,ReportMonth,Table1[[#This Row],[Site ID (from DATIM)]],"[Measures].[MMS_01_89_F_A]")</f>
        <v>297</v>
      </c>
      <c r="BX145" s="68" vm="17957">
        <f>CUBEVALUE(ConnectionString,ReportMonth,Table1[[#This Row],[Site ID (from DATIM)]],"[Measures].[MMS_01_89_M_A]")</f>
        <v>121</v>
      </c>
      <c r="BY145" s="68" vm="18568">
        <f>CUBEVALUE(ConnectionString,ReportMonth,Table1[[#This Row],[Site ID (from DATIM)]],"[Measures].[MMS_90_179_F_P]")</f>
        <v>11</v>
      </c>
      <c r="BZ145" s="68" vm="19079">
        <f>CUBEVALUE(ConnectionString,ReportMonth,Table1[[#This Row],[Site ID (from DATIM)]],"[Measures].[MMS_90_179_M_P]")</f>
        <v>15</v>
      </c>
      <c r="CA145" s="68" vm="14736">
        <f>CUBEVALUE(ConnectionString,ReportMonth,Table1[[#This Row],[Site ID (from DATIM)]],"[Measures].[MMS_90_179_F_A]")</f>
        <v>478</v>
      </c>
      <c r="CB145" s="68" vm="15892">
        <f>CUBEVALUE(ConnectionString,ReportMonth,Table1[[#This Row],[Site ID (from DATIM)]],"[Measures].[MMS_90_179_M_A]")</f>
        <v>194</v>
      </c>
      <c r="CC145" s="68" t="str" vm="15537">
        <f>CUBEVALUE(ConnectionString,ReportMonth,Table1[[#This Row],[Site ID (from DATIM)]],"[Measures].[MMS_180+_F_P]")</f>
        <v/>
      </c>
      <c r="CD145" s="68" t="str" vm="14983">
        <f>CUBEVALUE(ConnectionString,ReportMonth,Table1[[#This Row],[Site ID (from DATIM)]],"[Measures].[MMS_180+_M_P]")</f>
        <v/>
      </c>
      <c r="CE145" s="68" t="str" vm="17502">
        <f>CUBEVALUE(ConnectionString,ReportMonth,Table1[[#This Row],[Site ID (from DATIM)]],"[Measures].[MMS_180+_F_A]")</f>
        <v/>
      </c>
      <c r="CF145" s="68" t="str" vm="15787">
        <f>CUBEVALUE(ConnectionString,ReportMonth,Table1[[#This Row],[Site ID (from DATIM)]],"[Measures].[MMS_180+_M_A]")</f>
        <v/>
      </c>
      <c r="CG145" s="68" vm="4838">
        <f>CUBEVALUE(ConnectionString,ReportMonth,Table1[[#This Row],[Site ID (from DATIM)]],"[Measures].[MISSEDAPP]")</f>
        <v>571</v>
      </c>
      <c r="CH145" s="68" t="str" vm="13670">
        <f>CUBEVALUE(ConnectionString,ReportMonth,Table1[[#This Row],[Site ID (from DATIM)]],"[Measures].[MMS_180+_P]")</f>
        <v/>
      </c>
      <c r="CI145" s="68" t="str" vm="10404">
        <f>CUBEVALUE(ConnectionString,ReportMonth,Table1[[#This Row],[Site ID (from DATIM)]],"[Measures].[MMS_180+_A]")</f>
        <v/>
      </c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  <c r="CW145" s="68"/>
      <c r="CX145" s="68"/>
      <c r="CY145" s="68"/>
      <c r="CZ145" s="68"/>
      <c r="DA145" s="68"/>
      <c r="DB145" s="68"/>
      <c r="DC145" s="68"/>
    </row>
    <row r="146" spans="1:107" x14ac:dyDescent="0.25">
      <c r="A146" s="66">
        <v>4</v>
      </c>
      <c r="B146" s="67" t="str" vm="4">
        <f t="shared" si="3"/>
        <v>Mar-2021</v>
      </c>
      <c r="C146" s="67"/>
      <c r="D146" s="67" t="s">
        <v>232</v>
      </c>
      <c r="E146" s="67" t="s">
        <v>233</v>
      </c>
      <c r="F146" s="67" t="s">
        <v>1286</v>
      </c>
      <c r="G146" s="67"/>
      <c r="H146" s="67" t="s">
        <v>1287</v>
      </c>
      <c r="I146" s="67" t="s">
        <v>1360</v>
      </c>
      <c r="J146" s="67" t="s">
        <v>1361</v>
      </c>
      <c r="K146" s="67" t="s">
        <v>1362</v>
      </c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 t="str" vm="3981">
        <f>CUBEVALUE(ConnectionString,ReportMonth,Table1[[#This Row],[Site ID (from DATIM)]],"TX_NEW_2VIS")</f>
        <v/>
      </c>
      <c r="AE146" s="67" t="str" vm="1762">
        <f>CUBEVALUE(ConnectionString,ReportMonth,Table1[[#This Row],[Site ID (from DATIM)]],INDEX(SDI_Measures,1))</f>
        <v/>
      </c>
      <c r="AF146" s="67" t="str" vm="3116">
        <f>CUBEVALUE(ConnectionString,ReportMonth,Table1[[#This Row],[Site ID (from DATIM)]],INDEX(SDI_Measures,2))</f>
        <v/>
      </c>
      <c r="AG146" s="67" t="str" vm="2250">
        <f>CUBEVALUE(ConnectionString,ReportMonth,Table1[[#This Row],[Site ID (from DATIM)]],INDEX(SDI_Measures,3))</f>
        <v/>
      </c>
      <c r="AH146" s="67" t="str" vm="815">
        <f>CUBEVALUE(ConnectionString,ReportMonth,Table1[[#This Row],[Site ID (from DATIM)]],"TX_CURR_PRIOR_MONTH")</f>
        <v/>
      </c>
      <c r="AI146" s="67" t="str" vm="4404">
        <f>CUBEVALUE(ConnectionString,ReportMonth,Table1[[#This Row],[Site ID (from DATIM)]],"TX_CURR")</f>
        <v/>
      </c>
      <c r="AJ146" s="67" t="str" vm="1553">
        <f>CUBEVALUE(ConnectionString,ReportMonth,Table1[[#This Row],[Site ID (from DATIM)]],"[Measures].[TI]")</f>
        <v/>
      </c>
      <c r="AK146" s="67" t="str" vm="4149">
        <f>CUBEVALUE(ConnectionString,ReportMonth,Table1[[#This Row],[Site ID (from DATIM)]],"[Measures].[TO]")</f>
        <v/>
      </c>
      <c r="AL146" s="67" t="str" vm="1668">
        <f>CUBEVALUE(ConnectionString,ReportMonth,Table1[[#This Row],[Site ID (from DATIM)]],"[Measures].[DIED]")</f>
        <v/>
      </c>
      <c r="AM146" s="67" t="str" vm="4299">
        <f>CUBEVALUE(ConnectionString,ReportMonth,Table1[[#This Row],[Site ID (from DATIM)]],"[Measures].[MMS_01_31]")</f>
        <v/>
      </c>
      <c r="AN146" s="67" t="str" vm="7655">
        <f>CUBEVALUE(ConnectionString,ReportMonth,Table1[[#This Row],[Site ID (from DATIM)]],"[Measures].[MMS_32_62]")</f>
        <v/>
      </c>
      <c r="AO146" s="67" t="str" vm="9747">
        <f>CUBEVALUE(ConnectionString,ReportMonth,Table1[[#This Row],[Site ID (from DATIM)]],"[Measures].[MMS_63+]")</f>
        <v/>
      </c>
      <c r="AP146" s="67" t="str" vm="6524">
        <f>CUBEVALUE(ConnectionString,ReportMonth,Table1[[#This Row],[Site ID (from DATIM)]],"[Measures].[TBPREV_D]")</f>
        <v/>
      </c>
      <c r="AQ146" s="67" t="str" vm="4701">
        <f>CUBEVALUE(ConnectionString,ReportMonth,Table1[[#This Row],[Site ID (from DATIM)]],"[Measures].[TBPREV_N]")</f>
        <v/>
      </c>
      <c r="AR146" s="67" t="str" vm="7078">
        <f>CUBEVALUE(ConnectionString,ReportMonth,Table1[[#This Row],[Site ID (from DATIM)]],"[Measures].[TBPREV_NEW]")</f>
        <v/>
      </c>
      <c r="AS146" s="67" t="str" vm="5804">
        <f>CUBEVALUE(ConnectionString,ReportMonth,Table1[[#This Row],[Site ID (from DATIM)]],"[Measures].[HVL_ELIG_P]")</f>
        <v/>
      </c>
      <c r="AT146" s="67" t="str" vm="5140">
        <f>CUBEVALUE(ConnectionString,ReportMonth,Table1[[#This Row],[Site ID (from DATIM)]],"[Measures].[HVL_D_P]")</f>
        <v/>
      </c>
      <c r="AU146" s="67" t="str" vm="8185">
        <f>CUBEVALUE(ConnectionString,ReportMonth,Table1[[#This Row],[Site ID (from DATIM)]],"[Measures].[HVL_N_P]")</f>
        <v/>
      </c>
      <c r="AV146" s="68" t="str" vm="8075">
        <f>CUBEVALUE(ConnectionString,ReportMonth,Table1[[#This Row],[Site ID (from DATIM)]],"[Measures].[HVL_ELIG_A]")</f>
        <v/>
      </c>
      <c r="AW146" s="68" t="str" vm="10055">
        <f>CUBEVALUE(ConnectionString,ReportMonth,Table1[[#This Row],[Site ID (from DATIM)]],"[Measures].[HVL_D_A]")</f>
        <v/>
      </c>
      <c r="AX146" s="68" t="str" vm="8912">
        <f>CUBEVALUE(ConnectionString,ReportMonth,Table1[[#This Row],[Site ID (from DATIM)]],"[Measures].[HVL_N_A]")</f>
        <v/>
      </c>
      <c r="AY146" s="67"/>
      <c r="AZ146" s="67"/>
      <c r="BA146" s="67"/>
      <c r="BB146" s="67"/>
      <c r="BC146" s="67"/>
      <c r="BD146" s="67"/>
      <c r="BE146" s="67"/>
      <c r="BF146" s="67"/>
      <c r="BG146" s="67" t="str" vm="13625">
        <f>CUBEVALUE(ConnectionString,ReportMonth,Table1[[#This Row],[Site ID (from DATIM)]],"[Measures].[TX_NEW_F_A]")</f>
        <v/>
      </c>
      <c r="BH146" s="67" t="str" vm="14410">
        <f>CUBEVALUE(ConnectionString,ReportMonth,Table1[[#This Row],[Site ID (from DATIM)]],"[Measures].[TX_NEW_M_A]")</f>
        <v/>
      </c>
      <c r="BI146" s="67" t="str" vm="13710">
        <f>CUBEVALUE(ConnectionString,ReportMonth,Table1[[#This Row],[Site ID (from DATIM)]],"[Measures].[TX_NEW_F_P]")</f>
        <v/>
      </c>
      <c r="BJ146" s="68" t="str" vm="15291">
        <f>CUBEVALUE(ConnectionString,ReportMonth,Table1[[#This Row],[Site ID (from DATIM)]],"[Measures].[TX_NEW_M_P]")</f>
        <v/>
      </c>
      <c r="BK146" s="68"/>
      <c r="BL146" s="68"/>
      <c r="BM146" s="68"/>
      <c r="BN146" s="68"/>
      <c r="BO146" s="68"/>
      <c r="BP146" s="68"/>
      <c r="BQ146" s="68" t="str" vm="10598">
        <f>CUBEVALUE(ConnectionString,ReportMonth,Table1[[#This Row],[Site ID (from DATIM)]],"[Measures].[TX_CURR_F_P]")</f>
        <v/>
      </c>
      <c r="BR146" s="68" t="str" vm="13817">
        <f>CUBEVALUE(ConnectionString,ReportMonth,Table1[[#This Row],[Site ID (from DATIM)]],"[Measures].[TX_CURR_M_P]")</f>
        <v/>
      </c>
      <c r="BS146" s="68" t="str" vm="9450">
        <f>CUBEVALUE(ConnectionString,ReportMonth,Table1[[#This Row],[Site ID (from DATIM)]],"[Measures].[TX_CURR_F_A]")</f>
        <v/>
      </c>
      <c r="BT146" s="68" t="str" vm="13762">
        <f>CUBEVALUE(ConnectionString,ReportMonth,Table1[[#This Row],[Site ID (from DATIM)]],"[Measures].[TX_CURR_M_A]")</f>
        <v/>
      </c>
      <c r="BU146" s="68" t="str" vm="19517">
        <f>CUBEVALUE(ConnectionString,ReportMonth,Table1[[#This Row],[Site ID (from DATIM)]],"[Measures].[MMS_01_89_F_P]")</f>
        <v/>
      </c>
      <c r="BV146" s="68" t="str" vm="18032">
        <f>CUBEVALUE(ConnectionString,ReportMonth,Table1[[#This Row],[Site ID (from DATIM)]],"[Measures].[MMS_01_89_M_P]")</f>
        <v/>
      </c>
      <c r="BW146" s="68" t="str" vm="18027">
        <f>CUBEVALUE(ConnectionString,ReportMonth,Table1[[#This Row],[Site ID (from DATIM)]],"[Measures].[MMS_01_89_F_A]")</f>
        <v/>
      </c>
      <c r="BX146" s="68" t="str" vm="18822">
        <f>CUBEVALUE(ConnectionString,ReportMonth,Table1[[#This Row],[Site ID (from DATIM)]],"[Measures].[MMS_01_89_M_A]")</f>
        <v/>
      </c>
      <c r="BY146" s="68" t="str" vm="16049">
        <f>CUBEVALUE(ConnectionString,ReportMonth,Table1[[#This Row],[Site ID (from DATIM)]],"[Measures].[MMS_90_179_F_P]")</f>
        <v/>
      </c>
      <c r="BZ146" s="68" t="str" vm="16091">
        <f>CUBEVALUE(ConnectionString,ReportMonth,Table1[[#This Row],[Site ID (from DATIM)]],"[Measures].[MMS_90_179_M_P]")</f>
        <v/>
      </c>
      <c r="CA146" s="68" t="str" vm="16929">
        <f>CUBEVALUE(ConnectionString,ReportMonth,Table1[[#This Row],[Site ID (from DATIM)]],"[Measures].[MMS_90_179_F_A]")</f>
        <v/>
      </c>
      <c r="CB146" s="68" t="str" vm="17191">
        <f>CUBEVALUE(ConnectionString,ReportMonth,Table1[[#This Row],[Site ID (from DATIM)]],"[Measures].[MMS_90_179_M_A]")</f>
        <v/>
      </c>
      <c r="CC146" s="68" t="str" vm="15936">
        <f>CUBEVALUE(ConnectionString,ReportMonth,Table1[[#This Row],[Site ID (from DATIM)]],"[Measures].[MMS_180+_F_P]")</f>
        <v/>
      </c>
      <c r="CD146" s="68" t="str" vm="15842">
        <f>CUBEVALUE(ConnectionString,ReportMonth,Table1[[#This Row],[Site ID (from DATIM)]],"[Measures].[MMS_180+_M_P]")</f>
        <v/>
      </c>
      <c r="CE146" s="68" t="str" vm="14925">
        <f>CUBEVALUE(ConnectionString,ReportMonth,Table1[[#This Row],[Site ID (from DATIM)]],"[Measures].[MMS_180+_F_A]")</f>
        <v/>
      </c>
      <c r="CF146" s="68" t="str" vm="14436">
        <f>CUBEVALUE(ConnectionString,ReportMonth,Table1[[#This Row],[Site ID (from DATIM)]],"[Measures].[MMS_180+_M_A]")</f>
        <v/>
      </c>
      <c r="CG146" s="68" t="str" vm="6789">
        <f>CUBEVALUE(ConnectionString,ReportMonth,Table1[[#This Row],[Site ID (from DATIM)]],"[Measures].[MISSEDAPP]")</f>
        <v/>
      </c>
      <c r="CH146" s="68" t="str" vm="12376">
        <f>CUBEVALUE(ConnectionString,ReportMonth,Table1[[#This Row],[Site ID (from DATIM)]],"[Measures].[MMS_180+_P]")</f>
        <v/>
      </c>
      <c r="CI146" s="68" t="str" vm="10419">
        <f>CUBEVALUE(ConnectionString,ReportMonth,Table1[[#This Row],[Site ID (from DATIM)]],"[Measures].[MMS_180+_A]")</f>
        <v/>
      </c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  <c r="CW146" s="68"/>
      <c r="CX146" s="68"/>
      <c r="CY146" s="68"/>
      <c r="CZ146" s="68"/>
      <c r="DA146" s="68"/>
      <c r="DB146" s="68"/>
      <c r="DC146" s="68"/>
    </row>
    <row r="147" spans="1:107" x14ac:dyDescent="0.25">
      <c r="A147" s="66">
        <v>2</v>
      </c>
      <c r="B147" s="67" t="str" vm="4">
        <f t="shared" si="3"/>
        <v>Mar-2021</v>
      </c>
      <c r="C147" s="67"/>
      <c r="D147" s="67" t="s">
        <v>232</v>
      </c>
      <c r="E147" s="67" t="s">
        <v>233</v>
      </c>
      <c r="F147" s="67" t="s">
        <v>831</v>
      </c>
      <c r="G147" s="67"/>
      <c r="H147" s="67" t="s">
        <v>832</v>
      </c>
      <c r="I147" s="67" t="s">
        <v>897</v>
      </c>
      <c r="J147" s="67" t="s">
        <v>898</v>
      </c>
      <c r="K147" s="67" t="s">
        <v>899</v>
      </c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 vm="4111">
        <f>CUBEVALUE(ConnectionString,ReportMonth,Table1[[#This Row],[Site ID (from DATIM)]],"TX_NEW_2VIS")</f>
        <v>2</v>
      </c>
      <c r="AE147" s="67" t="str" vm="1403">
        <f>CUBEVALUE(ConnectionString,ReportMonth,Table1[[#This Row],[Site ID (from DATIM)]],INDEX(SDI_Measures,1))</f>
        <v/>
      </c>
      <c r="AF147" s="67" t="str" vm="1583">
        <f>CUBEVALUE(ConnectionString,ReportMonth,Table1[[#This Row],[Site ID (from DATIM)]],INDEX(SDI_Measures,2))</f>
        <v/>
      </c>
      <c r="AG147" s="67" vm="1236">
        <f>CUBEVALUE(ConnectionString,ReportMonth,Table1[[#This Row],[Site ID (from DATIM)]],INDEX(SDI_Measures,3))</f>
        <v>1</v>
      </c>
      <c r="AH147" s="67" vm="2957">
        <f>CUBEVALUE(ConnectionString,ReportMonth,Table1[[#This Row],[Site ID (from DATIM)]],"TX_CURR_PRIOR_MONTH")</f>
        <v>851</v>
      </c>
      <c r="AI147" s="67" vm="1247">
        <f>CUBEVALUE(ConnectionString,ReportMonth,Table1[[#This Row],[Site ID (from DATIM)]],"TX_CURR")</f>
        <v>802</v>
      </c>
      <c r="AJ147" s="67" t="str" vm="3040">
        <f>CUBEVALUE(ConnectionString,ReportMonth,Table1[[#This Row],[Site ID (from DATIM)]],"[Measures].[TI]")</f>
        <v/>
      </c>
      <c r="AK147" s="67" vm="2788">
        <f>CUBEVALUE(ConnectionString,ReportMonth,Table1[[#This Row],[Site ID (from DATIM)]],"[Measures].[TO]")</f>
        <v>1</v>
      </c>
      <c r="AL147" s="67" t="str" vm="3231">
        <f>CUBEVALUE(ConnectionString,ReportMonth,Table1[[#This Row],[Site ID (from DATIM)]],"[Measures].[DIED]")</f>
        <v/>
      </c>
      <c r="AM147" s="67" vm="3600">
        <f>CUBEVALUE(ConnectionString,ReportMonth,Table1[[#This Row],[Site ID (from DATIM)]],"[Measures].[MMS_01_31]")</f>
        <v>66</v>
      </c>
      <c r="AN147" s="67" vm="8599">
        <f>CUBEVALUE(ConnectionString,ReportMonth,Table1[[#This Row],[Site ID (from DATIM)]],"[Measures].[MMS_32_62]")</f>
        <v>4</v>
      </c>
      <c r="AO147" s="67" vm="5224">
        <f>CUBEVALUE(ConnectionString,ReportMonth,Table1[[#This Row],[Site ID (from DATIM)]],"[Measures].[MMS_63+]")</f>
        <v>732</v>
      </c>
      <c r="AP147" s="67" vm="8815">
        <f>CUBEVALUE(ConnectionString,ReportMonth,Table1[[#This Row],[Site ID (from DATIM)]],"[Measures].[TBPREV_D]")</f>
        <v>6</v>
      </c>
      <c r="AQ147" s="67" vm="5573">
        <f>CUBEVALUE(ConnectionString,ReportMonth,Table1[[#This Row],[Site ID (from DATIM)]],"[Measures].[TBPREV_N]")</f>
        <v>6</v>
      </c>
      <c r="AR147" s="67" vm="7870">
        <f>CUBEVALUE(ConnectionString,ReportMonth,Table1[[#This Row],[Site ID (from DATIM)]],"[Measures].[TBPREV_NEW]")</f>
        <v>2</v>
      </c>
      <c r="AS147" s="67" vm="5742">
        <f>CUBEVALUE(ConnectionString,ReportMonth,Table1[[#This Row],[Site ID (from DATIM)]],"[Measures].[HVL_ELIG_P]")</f>
        <v>12</v>
      </c>
      <c r="AT147" s="67" vm="5308">
        <f>CUBEVALUE(ConnectionString,ReportMonth,Table1[[#This Row],[Site ID (from DATIM)]],"[Measures].[HVL_D_P]")</f>
        <v>14</v>
      </c>
      <c r="AU147" s="67" vm="9578">
        <f>CUBEVALUE(ConnectionString,ReportMonth,Table1[[#This Row],[Site ID (from DATIM)]],"[Measures].[HVL_N_P]")</f>
        <v>14</v>
      </c>
      <c r="AV147" s="68" vm="9634">
        <f>CUBEVALUE(ConnectionString,ReportMonth,Table1[[#This Row],[Site ID (from DATIM)]],"[Measures].[HVL_ELIG_A]")</f>
        <v>757</v>
      </c>
      <c r="AW147" s="68" vm="8384">
        <f>CUBEVALUE(ConnectionString,ReportMonth,Table1[[#This Row],[Site ID (from DATIM)]],"[Measures].[HVL_D_A]")</f>
        <v>721</v>
      </c>
      <c r="AX147" s="68" vm="8812">
        <f>CUBEVALUE(ConnectionString,ReportMonth,Table1[[#This Row],[Site ID (from DATIM)]],"[Measures].[HVL_N_A]")</f>
        <v>703</v>
      </c>
      <c r="AY147" s="67"/>
      <c r="AZ147" s="67"/>
      <c r="BA147" s="67"/>
      <c r="BB147" s="67"/>
      <c r="BC147" s="67"/>
      <c r="BD147" s="67"/>
      <c r="BE147" s="67"/>
      <c r="BF147" s="67"/>
      <c r="BG147" s="67" t="str" vm="10619">
        <f>CUBEVALUE(ConnectionString,ReportMonth,Table1[[#This Row],[Site ID (from DATIM)]],"[Measures].[TX_NEW_F_A]")</f>
        <v/>
      </c>
      <c r="BH147" s="67" vm="13302">
        <f>CUBEVALUE(ConnectionString,ReportMonth,Table1[[#This Row],[Site ID (from DATIM)]],"[Measures].[TX_NEW_M_A]")</f>
        <v>1</v>
      </c>
      <c r="BI147" s="67" t="str" vm="13750">
        <f>CUBEVALUE(ConnectionString,ReportMonth,Table1[[#This Row],[Site ID (from DATIM)]],"[Measures].[TX_NEW_F_P]")</f>
        <v/>
      </c>
      <c r="BJ147" s="68" t="str" vm="16578">
        <f>CUBEVALUE(ConnectionString,ReportMonth,Table1[[#This Row],[Site ID (from DATIM)]],"[Measures].[TX_NEW_M_P]")</f>
        <v/>
      </c>
      <c r="BK147" s="68"/>
      <c r="BL147" s="68"/>
      <c r="BM147" s="68"/>
      <c r="BN147" s="68"/>
      <c r="BO147" s="68"/>
      <c r="BP147" s="68"/>
      <c r="BQ147" s="68" vm="10504">
        <f>CUBEVALUE(ConnectionString,ReportMonth,Table1[[#This Row],[Site ID (from DATIM)]],"[Measures].[TX_CURR_F_P]")</f>
        <v>9</v>
      </c>
      <c r="BR147" s="68" vm="11543">
        <f>CUBEVALUE(ConnectionString,ReportMonth,Table1[[#This Row],[Site ID (from DATIM)]],"[Measures].[TX_CURR_M_P]")</f>
        <v>4</v>
      </c>
      <c r="BS147" s="68" vm="11415">
        <f>CUBEVALUE(ConnectionString,ReportMonth,Table1[[#This Row],[Site ID (from DATIM)]],"[Measures].[TX_CURR_F_A]")</f>
        <v>476</v>
      </c>
      <c r="BT147" s="68" vm="10537">
        <f>CUBEVALUE(ConnectionString,ReportMonth,Table1[[#This Row],[Site ID (from DATIM)]],"[Measures].[TX_CURR_M_A]")</f>
        <v>313</v>
      </c>
      <c r="BU147" s="68" vm="19500">
        <f>CUBEVALUE(ConnectionString,ReportMonth,Table1[[#This Row],[Site ID (from DATIM)]],"[Measures].[MMS_01_89_F_P]")</f>
        <v>3</v>
      </c>
      <c r="BV147" s="68" t="str" vm="19191">
        <f>CUBEVALUE(ConnectionString,ReportMonth,Table1[[#This Row],[Site ID (from DATIM)]],"[Measures].[MMS_01_89_M_P]")</f>
        <v/>
      </c>
      <c r="BW147" s="68" vm="18026">
        <f>CUBEVALUE(ConnectionString,ReportMonth,Table1[[#This Row],[Site ID (from DATIM)]],"[Measures].[MMS_01_89_F_A]")</f>
        <v>36</v>
      </c>
      <c r="BX147" s="68" vm="19389">
        <f>CUBEVALUE(ConnectionString,ReportMonth,Table1[[#This Row],[Site ID (from DATIM)]],"[Measures].[MMS_01_89_M_A]")</f>
        <v>31</v>
      </c>
      <c r="BY147" s="68" vm="17716">
        <f>CUBEVALUE(ConnectionString,ReportMonth,Table1[[#This Row],[Site ID (from DATIM)]],"[Measures].[MMS_90_179_F_P]")</f>
        <v>6</v>
      </c>
      <c r="BZ147" s="68" vm="14987">
        <f>CUBEVALUE(ConnectionString,ReportMonth,Table1[[#This Row],[Site ID (from DATIM)]],"[Measures].[MMS_90_179_M_P]")</f>
        <v>4</v>
      </c>
      <c r="CA147" s="68" vm="15595">
        <f>CUBEVALUE(ConnectionString,ReportMonth,Table1[[#This Row],[Site ID (from DATIM)]],"[Measures].[MMS_90_179_F_A]")</f>
        <v>218</v>
      </c>
      <c r="CB147" s="68" vm="14596">
        <f>CUBEVALUE(ConnectionString,ReportMonth,Table1[[#This Row],[Site ID (from DATIM)]],"[Measures].[MMS_90_179_M_A]")</f>
        <v>150</v>
      </c>
      <c r="CC147" s="68" t="str" vm="79">
        <f>CUBEVALUE(ConnectionString,ReportMonth,Table1[[#This Row],[Site ID (from DATIM)]],"[Measures].[MMS_180+_F_P]")</f>
        <v/>
      </c>
      <c r="CD147" s="68" t="str" vm="14458">
        <f>CUBEVALUE(ConnectionString,ReportMonth,Table1[[#This Row],[Site ID (from DATIM)]],"[Measures].[MMS_180+_M_P]")</f>
        <v/>
      </c>
      <c r="CE147" s="68" vm="15434">
        <f>CUBEVALUE(ConnectionString,ReportMonth,Table1[[#This Row],[Site ID (from DATIM)]],"[Measures].[MMS_180+_F_A]")</f>
        <v>222</v>
      </c>
      <c r="CF147" s="68" vm="172">
        <f>CUBEVALUE(ConnectionString,ReportMonth,Table1[[#This Row],[Site ID (from DATIM)]],"[Measures].[MMS_180+_M_A]")</f>
        <v>132</v>
      </c>
      <c r="CG147" s="68" vm="5372">
        <f>CUBEVALUE(ConnectionString,ReportMonth,Table1[[#This Row],[Site ID (from DATIM)]],"[Measures].[MISSEDAPP]")</f>
        <v>227</v>
      </c>
      <c r="CH147" s="68" t="str" vm="11903">
        <f>CUBEVALUE(ConnectionString,ReportMonth,Table1[[#This Row],[Site ID (from DATIM)]],"[Measures].[MMS_180+_P]")</f>
        <v/>
      </c>
      <c r="CI147" s="68" vm="12940">
        <f>CUBEVALUE(ConnectionString,ReportMonth,Table1[[#This Row],[Site ID (from DATIM)]],"[Measures].[MMS_180+_A]")</f>
        <v>354</v>
      </c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  <c r="CW147" s="68"/>
      <c r="CX147" s="68"/>
      <c r="CY147" s="68"/>
      <c r="CZ147" s="68"/>
      <c r="DA147" s="68"/>
      <c r="DB147" s="68"/>
      <c r="DC147" s="68"/>
    </row>
    <row r="148" spans="1:107" x14ac:dyDescent="0.25">
      <c r="A148" s="66">
        <v>4</v>
      </c>
      <c r="B148" s="67" t="str" vm="4">
        <f t="shared" si="3"/>
        <v>Mar-2021</v>
      </c>
      <c r="C148" s="67"/>
      <c r="D148" s="67" t="s">
        <v>232</v>
      </c>
      <c r="E148" s="67" t="s">
        <v>233</v>
      </c>
      <c r="F148" s="67" t="s">
        <v>831</v>
      </c>
      <c r="G148" s="67"/>
      <c r="H148" s="67" t="s">
        <v>836</v>
      </c>
      <c r="I148" s="67" t="s">
        <v>900</v>
      </c>
      <c r="J148" s="67" t="s">
        <v>901</v>
      </c>
      <c r="K148" s="67" t="s">
        <v>902</v>
      </c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 vm="986">
        <f>CUBEVALUE(ConnectionString,ReportMonth,Table1[[#This Row],[Site ID (from DATIM)]],"TX_NEW_2VIS")</f>
        <v>4</v>
      </c>
      <c r="AE148" s="67" vm="1509">
        <f>CUBEVALUE(ConnectionString,ReportMonth,Table1[[#This Row],[Site ID (from DATIM)]],INDEX(SDI_Measures,1))</f>
        <v>6</v>
      </c>
      <c r="AF148" s="67" t="str" vm="5330">
        <f>CUBEVALUE(ConnectionString,ReportMonth,Table1[[#This Row],[Site ID (from DATIM)]],INDEX(SDI_Measures,2))</f>
        <v/>
      </c>
      <c r="AG148" s="67" vm="2710">
        <f>CUBEVALUE(ConnectionString,ReportMonth,Table1[[#This Row],[Site ID (from DATIM)]],INDEX(SDI_Measures,3))</f>
        <v>1</v>
      </c>
      <c r="AH148" s="67" vm="543">
        <f>CUBEVALUE(ConnectionString,ReportMonth,Table1[[#This Row],[Site ID (from DATIM)]],"TX_CURR_PRIOR_MONTH")</f>
        <v>378</v>
      </c>
      <c r="AI148" s="67" vm="2945">
        <f>CUBEVALUE(ConnectionString,ReportMonth,Table1[[#This Row],[Site ID (from DATIM)]],"TX_CURR")</f>
        <v>342</v>
      </c>
      <c r="AJ148" s="67" t="str" vm="1871">
        <f>CUBEVALUE(ConnectionString,ReportMonth,Table1[[#This Row],[Site ID (from DATIM)]],"[Measures].[TI]")</f>
        <v/>
      </c>
      <c r="AK148" s="67" t="str" vm="1245">
        <f>CUBEVALUE(ConnectionString,ReportMonth,Table1[[#This Row],[Site ID (from DATIM)]],"[Measures].[TO]")</f>
        <v/>
      </c>
      <c r="AL148" s="67" t="str" vm="2825">
        <f>CUBEVALUE(ConnectionString,ReportMonth,Table1[[#This Row],[Site ID (from DATIM)]],"[Measures].[DIED]")</f>
        <v/>
      </c>
      <c r="AM148" s="67" vm="5813">
        <f>CUBEVALUE(ConnectionString,ReportMonth,Table1[[#This Row],[Site ID (from DATIM)]],"[Measures].[MMS_01_31]")</f>
        <v>59</v>
      </c>
      <c r="AN148" s="67" vm="5973">
        <f>CUBEVALUE(ConnectionString,ReportMonth,Table1[[#This Row],[Site ID (from DATIM)]],"[Measures].[MMS_32_62]")</f>
        <v>4</v>
      </c>
      <c r="AO148" s="67" vm="5654">
        <f>CUBEVALUE(ConnectionString,ReportMonth,Table1[[#This Row],[Site ID (from DATIM)]],"[Measures].[MMS_63+]")</f>
        <v>279</v>
      </c>
      <c r="AP148" s="67" vm="13309">
        <f>CUBEVALUE(ConnectionString,ReportMonth,Table1[[#This Row],[Site ID (from DATIM)]],"[Measures].[TBPREV_D]")</f>
        <v>3</v>
      </c>
      <c r="AQ148" s="67" vm="4797">
        <f>CUBEVALUE(ConnectionString,ReportMonth,Table1[[#This Row],[Site ID (from DATIM)]],"[Measures].[TBPREV_N]")</f>
        <v>1</v>
      </c>
      <c r="AR148" s="67" vm="8244">
        <f>CUBEVALUE(ConnectionString,ReportMonth,Table1[[#This Row],[Site ID (from DATIM)]],"[Measures].[TBPREV_NEW]")</f>
        <v>8</v>
      </c>
      <c r="AS148" s="67" vm="8476">
        <f>CUBEVALUE(ConnectionString,ReportMonth,Table1[[#This Row],[Site ID (from DATIM)]],"[Measures].[HVL_ELIG_P]")</f>
        <v>12</v>
      </c>
      <c r="AT148" s="67" vm="7184">
        <f>CUBEVALUE(ConnectionString,ReportMonth,Table1[[#This Row],[Site ID (from DATIM)]],"[Measures].[HVL_D_P]")</f>
        <v>14</v>
      </c>
      <c r="AU148" s="67" vm="12151">
        <f>CUBEVALUE(ConnectionString,ReportMonth,Table1[[#This Row],[Site ID (from DATIM)]],"[Measures].[HVL_N_P]")</f>
        <v>13</v>
      </c>
      <c r="AV148" s="68" vm="11580">
        <f>CUBEVALUE(ConnectionString,ReportMonth,Table1[[#This Row],[Site ID (from DATIM)]],"[Measures].[HVL_ELIG_A]")</f>
        <v>296</v>
      </c>
      <c r="AW148" s="68" vm="11766">
        <f>CUBEVALUE(ConnectionString,ReportMonth,Table1[[#This Row],[Site ID (from DATIM)]],"[Measures].[HVL_D_A]")</f>
        <v>255</v>
      </c>
      <c r="AX148" s="68" vm="11407">
        <f>CUBEVALUE(ConnectionString,ReportMonth,Table1[[#This Row],[Site ID (from DATIM)]],"[Measures].[HVL_N_A]")</f>
        <v>249</v>
      </c>
      <c r="AY148" s="67"/>
      <c r="AZ148" s="67"/>
      <c r="BA148" s="67"/>
      <c r="BB148" s="67"/>
      <c r="BC148" s="67"/>
      <c r="BD148" s="67"/>
      <c r="BE148" s="67"/>
      <c r="BF148" s="67"/>
      <c r="BG148" s="67" vm="10126">
        <f>CUBEVALUE(ConnectionString,ReportMonth,Table1[[#This Row],[Site ID (from DATIM)]],"[Measures].[TX_NEW_F_A]")</f>
        <v>4</v>
      </c>
      <c r="BH148" s="67" vm="13631">
        <f>CUBEVALUE(ConnectionString,ReportMonth,Table1[[#This Row],[Site ID (from DATIM)]],"[Measures].[TX_NEW_M_A]")</f>
        <v>3</v>
      </c>
      <c r="BI148" s="67" t="str" vm="14285">
        <f>CUBEVALUE(ConnectionString,ReportMonth,Table1[[#This Row],[Site ID (from DATIM)]],"[Measures].[TX_NEW_F_P]")</f>
        <v/>
      </c>
      <c r="BJ148" s="68" t="str" vm="12307">
        <f>CUBEVALUE(ConnectionString,ReportMonth,Table1[[#This Row],[Site ID (from DATIM)]],"[Measures].[TX_NEW_M_P]")</f>
        <v/>
      </c>
      <c r="BK148" s="68"/>
      <c r="BL148" s="68"/>
      <c r="BM148" s="68"/>
      <c r="BN148" s="68"/>
      <c r="BO148" s="68"/>
      <c r="BP148" s="68"/>
      <c r="BQ148" s="68" vm="10173">
        <f>CUBEVALUE(ConnectionString,ReportMonth,Table1[[#This Row],[Site ID (from DATIM)]],"[Measures].[TX_CURR_F_P]")</f>
        <v>5</v>
      </c>
      <c r="BR148" s="68" vm="8305">
        <f>CUBEVALUE(ConnectionString,ReportMonth,Table1[[#This Row],[Site ID (from DATIM)]],"[Measures].[TX_CURR_M_P]")</f>
        <v>7</v>
      </c>
      <c r="BS148" s="68" vm="9382">
        <f>CUBEVALUE(ConnectionString,ReportMonth,Table1[[#This Row],[Site ID (from DATIM)]],"[Measures].[TX_CURR_F_A]")</f>
        <v>230</v>
      </c>
      <c r="BT148" s="68" vm="9094">
        <f>CUBEVALUE(ConnectionString,ReportMonth,Table1[[#This Row],[Site ID (from DATIM)]],"[Measures].[TX_CURR_M_A]")</f>
        <v>100</v>
      </c>
      <c r="BU148" s="68" t="str" vm="19547">
        <f>CUBEVALUE(ConnectionString,ReportMonth,Table1[[#This Row],[Site ID (from DATIM)]],"[Measures].[MMS_01_89_F_P]")</f>
        <v/>
      </c>
      <c r="BV148" s="68" vm="19524">
        <f>CUBEVALUE(ConnectionString,ReportMonth,Table1[[#This Row],[Site ID (from DATIM)]],"[Measures].[MMS_01_89_M_P]")</f>
        <v>2</v>
      </c>
      <c r="BW148" s="68" vm="18041">
        <f>CUBEVALUE(ConnectionString,ReportMonth,Table1[[#This Row],[Site ID (from DATIM)]],"[Measures].[MMS_01_89_F_A]")</f>
        <v>42</v>
      </c>
      <c r="BX148" s="68" vm="18530">
        <f>CUBEVALUE(ConnectionString,ReportMonth,Table1[[#This Row],[Site ID (from DATIM)]],"[Measures].[MMS_01_89_M_A]")</f>
        <v>20</v>
      </c>
      <c r="BY148" s="68" vm="15870">
        <f>CUBEVALUE(ConnectionString,ReportMonth,Table1[[#This Row],[Site ID (from DATIM)]],"[Measures].[MMS_90_179_F_P]")</f>
        <v>5</v>
      </c>
      <c r="BZ148" s="68" vm="16932">
        <f>CUBEVALUE(ConnectionString,ReportMonth,Table1[[#This Row],[Site ID (from DATIM)]],"[Measures].[MMS_90_179_M_P]")</f>
        <v>5</v>
      </c>
      <c r="CA148" s="68" vm="15980">
        <f>CUBEVALUE(ConnectionString,ReportMonth,Table1[[#This Row],[Site ID (from DATIM)]],"[Measures].[MMS_90_179_F_A]")</f>
        <v>188</v>
      </c>
      <c r="CB148" s="68" vm="15108">
        <f>CUBEVALUE(ConnectionString,ReportMonth,Table1[[#This Row],[Site ID (from DATIM)]],"[Measures].[MMS_90_179_M_A]")</f>
        <v>80</v>
      </c>
      <c r="CC148" s="68" t="str" vm="14482">
        <f>CUBEVALUE(ConnectionString,ReportMonth,Table1[[#This Row],[Site ID (from DATIM)]],"[Measures].[MMS_180+_F_P]")</f>
        <v/>
      </c>
      <c r="CD148" s="68" t="str" vm="16238">
        <f>CUBEVALUE(ConnectionString,ReportMonth,Table1[[#This Row],[Site ID (from DATIM)]],"[Measures].[MMS_180+_M_P]")</f>
        <v/>
      </c>
      <c r="CE148" s="68" t="str" vm="292">
        <f>CUBEVALUE(ConnectionString,ReportMonth,Table1[[#This Row],[Site ID (from DATIM)]],"[Measures].[MMS_180+_F_A]")</f>
        <v/>
      </c>
      <c r="CF148" s="68" t="str" vm="914">
        <f>CUBEVALUE(ConnectionString,ReportMonth,Table1[[#This Row],[Site ID (from DATIM)]],"[Measures].[MMS_180+_M_A]")</f>
        <v/>
      </c>
      <c r="CG148" s="68" vm="14113">
        <f>CUBEVALUE(ConnectionString,ReportMonth,Table1[[#This Row],[Site ID (from DATIM)]],"[Measures].[MISSEDAPP]")</f>
        <v>117</v>
      </c>
      <c r="CH148" s="68" t="str" vm="11262">
        <f>CUBEVALUE(ConnectionString,ReportMonth,Table1[[#This Row],[Site ID (from DATIM)]],"[Measures].[MMS_180+_P]")</f>
        <v/>
      </c>
      <c r="CI148" s="68" t="str" vm="10992">
        <f>CUBEVALUE(ConnectionString,ReportMonth,Table1[[#This Row],[Site ID (from DATIM)]],"[Measures].[MMS_180+_A]")</f>
        <v/>
      </c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  <c r="CW148" s="68"/>
      <c r="CX148" s="68"/>
      <c r="CY148" s="68"/>
      <c r="CZ148" s="68"/>
      <c r="DA148" s="68"/>
      <c r="DB148" s="68"/>
      <c r="DC148" s="68"/>
    </row>
    <row r="149" spans="1:107" x14ac:dyDescent="0.25">
      <c r="A149" s="66">
        <v>2</v>
      </c>
      <c r="B149" s="67" t="str" vm="4">
        <f t="shared" si="3"/>
        <v>Mar-2021</v>
      </c>
      <c r="C149" s="67"/>
      <c r="D149" s="67" t="s">
        <v>232</v>
      </c>
      <c r="E149" s="67" t="s">
        <v>233</v>
      </c>
      <c r="F149" s="67" t="s">
        <v>831</v>
      </c>
      <c r="G149" s="67"/>
      <c r="H149" s="67" t="s">
        <v>847</v>
      </c>
      <c r="I149" s="67" t="s">
        <v>903</v>
      </c>
      <c r="J149" s="67" t="s">
        <v>904</v>
      </c>
      <c r="K149" s="67" t="s">
        <v>905</v>
      </c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 t="str" vm="2628">
        <f>CUBEVALUE(ConnectionString,ReportMonth,Table1[[#This Row],[Site ID (from DATIM)]],"TX_NEW_2VIS")</f>
        <v/>
      </c>
      <c r="AE149" s="67" vm="2872">
        <f>CUBEVALUE(ConnectionString,ReportMonth,Table1[[#This Row],[Site ID (from DATIM)]],INDEX(SDI_Measures,1))</f>
        <v>3</v>
      </c>
      <c r="AF149" s="67" t="str" vm="2145">
        <f>CUBEVALUE(ConnectionString,ReportMonth,Table1[[#This Row],[Site ID (from DATIM)]],INDEX(SDI_Measures,2))</f>
        <v/>
      </c>
      <c r="AG149" s="67" t="str" vm="3203">
        <f>CUBEVALUE(ConnectionString,ReportMonth,Table1[[#This Row],[Site ID (from DATIM)]],INDEX(SDI_Measures,3))</f>
        <v/>
      </c>
      <c r="AH149" s="67" vm="3218">
        <f>CUBEVALUE(ConnectionString,ReportMonth,Table1[[#This Row],[Site ID (from DATIM)]],"TX_CURR_PRIOR_MONTH")</f>
        <v>861</v>
      </c>
      <c r="AI149" s="67" vm="4411">
        <f>CUBEVALUE(ConnectionString,ReportMonth,Table1[[#This Row],[Site ID (from DATIM)]],"TX_CURR")</f>
        <v>830</v>
      </c>
      <c r="AJ149" s="67" vm="645">
        <f>CUBEVALUE(ConnectionString,ReportMonth,Table1[[#This Row],[Site ID (from DATIM)]],"[Measures].[TI]")</f>
        <v>1</v>
      </c>
      <c r="AK149" s="67" vm="2466">
        <f>CUBEVALUE(ConnectionString,ReportMonth,Table1[[#This Row],[Site ID (from DATIM)]],"[Measures].[TO]")</f>
        <v>4</v>
      </c>
      <c r="AL149" s="67" t="str" vm="2180">
        <f>CUBEVALUE(ConnectionString,ReportMonth,Table1[[#This Row],[Site ID (from DATIM)]],"[Measures].[DIED]")</f>
        <v/>
      </c>
      <c r="AM149" s="67" vm="5665">
        <f>CUBEVALUE(ConnectionString,ReportMonth,Table1[[#This Row],[Site ID (from DATIM)]],"[Measures].[MMS_01_31]")</f>
        <v>117</v>
      </c>
      <c r="AN149" s="67" vm="3889">
        <f>CUBEVALUE(ConnectionString,ReportMonth,Table1[[#This Row],[Site ID (from DATIM)]],"[Measures].[MMS_32_62]")</f>
        <v>28</v>
      </c>
      <c r="AO149" s="67" vm="7088">
        <f>CUBEVALUE(ConnectionString,ReportMonth,Table1[[#This Row],[Site ID (from DATIM)]],"[Measures].[MMS_63+]")</f>
        <v>685</v>
      </c>
      <c r="AP149" s="67" vm="8713">
        <f>CUBEVALUE(ConnectionString,ReportMonth,Table1[[#This Row],[Site ID (from DATIM)]],"[Measures].[TBPREV_D]")</f>
        <v>20</v>
      </c>
      <c r="AQ149" s="67" vm="7125">
        <f>CUBEVALUE(ConnectionString,ReportMonth,Table1[[#This Row],[Site ID (from DATIM)]],"[Measures].[TBPREV_N]")</f>
        <v>14</v>
      </c>
      <c r="AR149" s="67" vm="5438">
        <f>CUBEVALUE(ConnectionString,ReportMonth,Table1[[#This Row],[Site ID (from DATIM)]],"[Measures].[TBPREV_NEW]")</f>
        <v>4</v>
      </c>
      <c r="AS149" s="67" vm="8604">
        <f>CUBEVALUE(ConnectionString,ReportMonth,Table1[[#This Row],[Site ID (from DATIM)]],"[Measures].[HVL_ELIG_P]")</f>
        <v>37</v>
      </c>
      <c r="AT149" s="67" vm="5033">
        <f>CUBEVALUE(ConnectionString,ReportMonth,Table1[[#This Row],[Site ID (from DATIM)]],"[Measures].[HVL_D_P]")</f>
        <v>34</v>
      </c>
      <c r="AU149" s="67" vm="16568">
        <f>CUBEVALUE(ConnectionString,ReportMonth,Table1[[#This Row],[Site ID (from DATIM)]],"[Measures].[HVL_N_P]")</f>
        <v>32</v>
      </c>
      <c r="AV149" s="68" vm="11886">
        <f>CUBEVALUE(ConnectionString,ReportMonth,Table1[[#This Row],[Site ID (from DATIM)]],"[Measures].[HVL_ELIG_A]")</f>
        <v>745</v>
      </c>
      <c r="AW149" s="68" vm="10803">
        <f>CUBEVALUE(ConnectionString,ReportMonth,Table1[[#This Row],[Site ID (from DATIM)]],"[Measures].[HVL_D_A]")</f>
        <v>619</v>
      </c>
      <c r="AX149" s="68" vm="10562">
        <f>CUBEVALUE(ConnectionString,ReportMonth,Table1[[#This Row],[Site ID (from DATIM)]],"[Measures].[HVL_N_A]")</f>
        <v>594</v>
      </c>
      <c r="AY149" s="67"/>
      <c r="AZ149" s="67"/>
      <c r="BA149" s="67"/>
      <c r="BB149" s="67"/>
      <c r="BC149" s="67"/>
      <c r="BD149" s="67"/>
      <c r="BE149" s="67"/>
      <c r="BF149" s="67"/>
      <c r="BG149" s="67" vm="14071">
        <f>CUBEVALUE(ConnectionString,ReportMonth,Table1[[#This Row],[Site ID (from DATIM)]],"[Measures].[TX_NEW_F_A]")</f>
        <v>2</v>
      </c>
      <c r="BH149" s="67" vm="13300">
        <f>CUBEVALUE(ConnectionString,ReportMonth,Table1[[#This Row],[Site ID (from DATIM)]],"[Measures].[TX_NEW_M_A]")</f>
        <v>1</v>
      </c>
      <c r="BI149" s="67" t="str" vm="15324">
        <f>CUBEVALUE(ConnectionString,ReportMonth,Table1[[#This Row],[Site ID (from DATIM)]],"[Measures].[TX_NEW_F_P]")</f>
        <v/>
      </c>
      <c r="BJ149" s="68" t="str" vm="14799">
        <f>CUBEVALUE(ConnectionString,ReportMonth,Table1[[#This Row],[Site ID (from DATIM)]],"[Measures].[TX_NEW_M_P]")</f>
        <v/>
      </c>
      <c r="BK149" s="68"/>
      <c r="BL149" s="68"/>
      <c r="BM149" s="68"/>
      <c r="BN149" s="68"/>
      <c r="BO149" s="68"/>
      <c r="BP149" s="68"/>
      <c r="BQ149" s="68" vm="9964">
        <f>CUBEVALUE(ConnectionString,ReportMonth,Table1[[#This Row],[Site ID (from DATIM)]],"[Measures].[TX_CURR_F_P]")</f>
        <v>21</v>
      </c>
      <c r="BR149" s="68" vm="9690">
        <f>CUBEVALUE(ConnectionString,ReportMonth,Table1[[#This Row],[Site ID (from DATIM)]],"[Measures].[TX_CURR_M_P]")</f>
        <v>17</v>
      </c>
      <c r="BS149" s="68" vm="8306">
        <f>CUBEVALUE(ConnectionString,ReportMonth,Table1[[#This Row],[Site ID (from DATIM)]],"[Measures].[TX_CURR_F_A]")</f>
        <v>508</v>
      </c>
      <c r="BT149" s="68" vm="12035">
        <f>CUBEVALUE(ConnectionString,ReportMonth,Table1[[#This Row],[Site ID (from DATIM)]],"[Measures].[TX_CURR_M_A]")</f>
        <v>284</v>
      </c>
      <c r="BU149" s="68" vm="19551">
        <f>CUBEVALUE(ConnectionString,ReportMonth,Table1[[#This Row],[Site ID (from DATIM)]],"[Measures].[MMS_01_89_F_P]")</f>
        <v>5</v>
      </c>
      <c r="BV149" s="68" vm="19523">
        <f>CUBEVALUE(ConnectionString,ReportMonth,Table1[[#This Row],[Site ID (from DATIM)]],"[Measures].[MMS_01_89_M_P]")</f>
        <v>8</v>
      </c>
      <c r="BW149" s="68" vm="18562">
        <f>CUBEVALUE(ConnectionString,ReportMonth,Table1[[#This Row],[Site ID (from DATIM)]],"[Measures].[MMS_01_89_F_A]")</f>
        <v>85</v>
      </c>
      <c r="BX149" s="68" vm="17997">
        <f>CUBEVALUE(ConnectionString,ReportMonth,Table1[[#This Row],[Site ID (from DATIM)]],"[Measures].[MMS_01_89_M_A]")</f>
        <v>60</v>
      </c>
      <c r="BY149" s="68" vm="19559">
        <f>CUBEVALUE(ConnectionString,ReportMonth,Table1[[#This Row],[Site ID (from DATIM)]],"[Measures].[MMS_90_179_F_P]")</f>
        <v>16</v>
      </c>
      <c r="BZ149" s="68" vm="17872">
        <f>CUBEVALUE(ConnectionString,ReportMonth,Table1[[#This Row],[Site ID (from DATIM)]],"[Measures].[MMS_90_179_M_P]")</f>
        <v>9</v>
      </c>
      <c r="CA149" s="68" vm="16508">
        <f>CUBEVALUE(ConnectionString,ReportMonth,Table1[[#This Row],[Site ID (from DATIM)]],"[Measures].[MMS_90_179_F_A]")</f>
        <v>423</v>
      </c>
      <c r="CB149" s="68" vm="16435">
        <f>CUBEVALUE(ConnectionString,ReportMonth,Table1[[#This Row],[Site ID (from DATIM)]],"[Measures].[MMS_90_179_M_A]")</f>
        <v>224</v>
      </c>
      <c r="CC149" s="68" t="str" vm="17523">
        <f>CUBEVALUE(ConnectionString,ReportMonth,Table1[[#This Row],[Site ID (from DATIM)]],"[Measures].[MMS_180+_F_P]")</f>
        <v/>
      </c>
      <c r="CD149" s="68" t="str" vm="17134">
        <f>CUBEVALUE(ConnectionString,ReportMonth,Table1[[#This Row],[Site ID (from DATIM)]],"[Measures].[MMS_180+_M_P]")</f>
        <v/>
      </c>
      <c r="CE149" s="68" t="str" vm="318">
        <f>CUBEVALUE(ConnectionString,ReportMonth,Table1[[#This Row],[Site ID (from DATIM)]],"[Measures].[MMS_180+_F_A]")</f>
        <v/>
      </c>
      <c r="CF149" s="68" t="str" vm="190">
        <f>CUBEVALUE(ConnectionString,ReportMonth,Table1[[#This Row],[Site ID (from DATIM)]],"[Measures].[MMS_180+_M_A]")</f>
        <v/>
      </c>
      <c r="CG149" s="68" vm="12130">
        <f>CUBEVALUE(ConnectionString,ReportMonth,Table1[[#This Row],[Site ID (from DATIM)]],"[Measures].[MISSEDAPP]")</f>
        <v>279</v>
      </c>
      <c r="CH149" s="68" t="str" vm="12160">
        <f>CUBEVALUE(ConnectionString,ReportMonth,Table1[[#This Row],[Site ID (from DATIM)]],"[Measures].[MMS_180+_P]")</f>
        <v/>
      </c>
      <c r="CI149" s="68" t="str" vm="13809">
        <f>CUBEVALUE(ConnectionString,ReportMonth,Table1[[#This Row],[Site ID (from DATIM)]],"[Measures].[MMS_180+_A]")</f>
        <v/>
      </c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  <c r="CW149" s="68"/>
      <c r="CX149" s="68"/>
      <c r="CY149" s="68"/>
      <c r="CZ149" s="68"/>
      <c r="DA149" s="68"/>
      <c r="DB149" s="68"/>
      <c r="DC149" s="68"/>
    </row>
    <row r="150" spans="1:107" x14ac:dyDescent="0.25">
      <c r="A150" s="66">
        <v>4</v>
      </c>
      <c r="B150" s="67" t="str" vm="4">
        <f t="shared" si="3"/>
        <v>Mar-2021</v>
      </c>
      <c r="C150" s="67"/>
      <c r="D150" s="67" t="s">
        <v>232</v>
      </c>
      <c r="E150" s="67" t="s">
        <v>233</v>
      </c>
      <c r="F150" s="67" t="s">
        <v>1286</v>
      </c>
      <c r="G150" s="67"/>
      <c r="H150" s="67" t="s">
        <v>1287</v>
      </c>
      <c r="I150" s="67" t="s">
        <v>1363</v>
      </c>
      <c r="J150" s="67" t="s">
        <v>1364</v>
      </c>
      <c r="K150" s="67" t="s">
        <v>1365</v>
      </c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 t="str" vm="6280">
        <f>CUBEVALUE(ConnectionString,ReportMonth,Table1[[#This Row],[Site ID (from DATIM)]],"TX_NEW_2VIS")</f>
        <v/>
      </c>
      <c r="AE150" s="67" t="str" vm="3286">
        <f>CUBEVALUE(ConnectionString,ReportMonth,Table1[[#This Row],[Site ID (from DATIM)]],INDEX(SDI_Measures,1))</f>
        <v/>
      </c>
      <c r="AF150" s="67" t="str" vm="948">
        <f>CUBEVALUE(ConnectionString,ReportMonth,Table1[[#This Row],[Site ID (from DATIM)]],INDEX(SDI_Measures,2))</f>
        <v/>
      </c>
      <c r="AG150" s="67" t="str" vm="2927">
        <f>CUBEVALUE(ConnectionString,ReportMonth,Table1[[#This Row],[Site ID (from DATIM)]],INDEX(SDI_Measures,3))</f>
        <v/>
      </c>
      <c r="AH150" s="67" t="str" vm="999">
        <f>CUBEVALUE(ConnectionString,ReportMonth,Table1[[#This Row],[Site ID (from DATIM)]],"TX_CURR_PRIOR_MONTH")</f>
        <v/>
      </c>
      <c r="AI150" s="67" t="str" vm="6282">
        <f>CUBEVALUE(ConnectionString,ReportMonth,Table1[[#This Row],[Site ID (from DATIM)]],"TX_CURR")</f>
        <v/>
      </c>
      <c r="AJ150" s="67" t="str" vm="2240">
        <f>CUBEVALUE(ConnectionString,ReportMonth,Table1[[#This Row],[Site ID (from DATIM)]],"[Measures].[TI]")</f>
        <v/>
      </c>
      <c r="AK150" s="67" t="str" vm="2201">
        <f>CUBEVALUE(ConnectionString,ReportMonth,Table1[[#This Row],[Site ID (from DATIM)]],"[Measures].[TO]")</f>
        <v/>
      </c>
      <c r="AL150" s="67" t="str" vm="1805">
        <f>CUBEVALUE(ConnectionString,ReportMonth,Table1[[#This Row],[Site ID (from DATIM)]],"[Measures].[DIED]")</f>
        <v/>
      </c>
      <c r="AM150" s="67" t="str" vm="4695">
        <f>CUBEVALUE(ConnectionString,ReportMonth,Table1[[#This Row],[Site ID (from DATIM)]],"[Measures].[MMS_01_31]")</f>
        <v/>
      </c>
      <c r="AN150" s="67" t="str" vm="6630">
        <f>CUBEVALUE(ConnectionString,ReportMonth,Table1[[#This Row],[Site ID (from DATIM)]],"[Measures].[MMS_32_62]")</f>
        <v/>
      </c>
      <c r="AO150" s="67" t="str" vm="4786">
        <f>CUBEVALUE(ConnectionString,ReportMonth,Table1[[#This Row],[Site ID (from DATIM)]],"[Measures].[MMS_63+]")</f>
        <v/>
      </c>
      <c r="AP150" s="67" t="str" vm="10681">
        <f>CUBEVALUE(ConnectionString,ReportMonth,Table1[[#This Row],[Site ID (from DATIM)]],"[Measures].[TBPREV_D]")</f>
        <v/>
      </c>
      <c r="AQ150" s="67" t="str" vm="13214">
        <f>CUBEVALUE(ConnectionString,ReportMonth,Table1[[#This Row],[Site ID (from DATIM)]],"[Measures].[TBPREV_N]")</f>
        <v/>
      </c>
      <c r="AR150" s="67" t="str" vm="4887">
        <f>CUBEVALUE(ConnectionString,ReportMonth,Table1[[#This Row],[Site ID (from DATIM)]],"[Measures].[TBPREV_NEW]")</f>
        <v/>
      </c>
      <c r="AS150" s="67" t="str" vm="8544">
        <f>CUBEVALUE(ConnectionString,ReportMonth,Table1[[#This Row],[Site ID (from DATIM)]],"[Measures].[HVL_ELIG_P]")</f>
        <v/>
      </c>
      <c r="AT150" s="67" t="str" vm="14043">
        <f>CUBEVALUE(ConnectionString,ReportMonth,Table1[[#This Row],[Site ID (from DATIM)]],"[Measures].[HVL_D_P]")</f>
        <v/>
      </c>
      <c r="AU150" s="67" t="str" vm="13910">
        <f>CUBEVALUE(ConnectionString,ReportMonth,Table1[[#This Row],[Site ID (from DATIM)]],"[Measures].[HVL_N_P]")</f>
        <v/>
      </c>
      <c r="AV150" s="68" t="str" vm="8230">
        <f>CUBEVALUE(ConnectionString,ReportMonth,Table1[[#This Row],[Site ID (from DATIM)]],"[Measures].[HVL_ELIG_A]")</f>
        <v/>
      </c>
      <c r="AW150" s="68" t="str" vm="7722">
        <f>CUBEVALUE(ConnectionString,ReportMonth,Table1[[#This Row],[Site ID (from DATIM)]],"[Measures].[HVL_D_A]")</f>
        <v/>
      </c>
      <c r="AX150" s="68" t="str" vm="11440">
        <f>CUBEVALUE(ConnectionString,ReportMonth,Table1[[#This Row],[Site ID (from DATIM)]],"[Measures].[HVL_N_A]")</f>
        <v/>
      </c>
      <c r="AY150" s="67"/>
      <c r="AZ150" s="67"/>
      <c r="BA150" s="67"/>
      <c r="BB150" s="67"/>
      <c r="BC150" s="67"/>
      <c r="BD150" s="67"/>
      <c r="BE150" s="67"/>
      <c r="BF150" s="67"/>
      <c r="BG150" s="67" t="str" vm="10178">
        <f>CUBEVALUE(ConnectionString,ReportMonth,Table1[[#This Row],[Site ID (from DATIM)]],"[Measures].[TX_NEW_F_A]")</f>
        <v/>
      </c>
      <c r="BH150" s="67" t="str" vm="13414">
        <f>CUBEVALUE(ConnectionString,ReportMonth,Table1[[#This Row],[Site ID (from DATIM)]],"[Measures].[TX_NEW_M_A]")</f>
        <v/>
      </c>
      <c r="BI150" s="67" t="str" vm="17034">
        <f>CUBEVALUE(ConnectionString,ReportMonth,Table1[[#This Row],[Site ID (from DATIM)]],"[Measures].[TX_NEW_F_P]")</f>
        <v/>
      </c>
      <c r="BJ150" s="68" t="str" vm="12862">
        <f>CUBEVALUE(ConnectionString,ReportMonth,Table1[[#This Row],[Site ID (from DATIM)]],"[Measures].[TX_NEW_M_P]")</f>
        <v/>
      </c>
      <c r="BK150" s="68"/>
      <c r="BL150" s="68"/>
      <c r="BM150" s="68"/>
      <c r="BN150" s="68"/>
      <c r="BO150" s="68"/>
      <c r="BP150" s="68"/>
      <c r="BQ150" s="68" t="str" vm="9615">
        <f>CUBEVALUE(ConnectionString,ReportMonth,Table1[[#This Row],[Site ID (from DATIM)]],"[Measures].[TX_CURR_F_P]")</f>
        <v/>
      </c>
      <c r="BR150" s="68" t="str" vm="12018">
        <f>CUBEVALUE(ConnectionString,ReportMonth,Table1[[#This Row],[Site ID (from DATIM)]],"[Measures].[TX_CURR_M_P]")</f>
        <v/>
      </c>
      <c r="BS150" s="68" t="str" vm="11661">
        <f>CUBEVALUE(ConnectionString,ReportMonth,Table1[[#This Row],[Site ID (from DATIM)]],"[Measures].[TX_CURR_F_A]")</f>
        <v/>
      </c>
      <c r="BT150" s="68" t="str" vm="7011">
        <f>CUBEVALUE(ConnectionString,ReportMonth,Table1[[#This Row],[Site ID (from DATIM)]],"[Measures].[TX_CURR_M_A]")</f>
        <v/>
      </c>
      <c r="BU150" s="68" t="str" vm="18660">
        <f>CUBEVALUE(ConnectionString,ReportMonth,Table1[[#This Row],[Site ID (from DATIM)]],"[Measures].[MMS_01_89_F_P]")</f>
        <v/>
      </c>
      <c r="BV150" s="68" t="str" vm="19815">
        <f>CUBEVALUE(ConnectionString,ReportMonth,Table1[[#This Row],[Site ID (from DATIM)]],"[Measures].[MMS_01_89_M_P]")</f>
        <v/>
      </c>
      <c r="BW150" s="68" t="str" vm="18878">
        <f>CUBEVALUE(ConnectionString,ReportMonth,Table1[[#This Row],[Site ID (from DATIM)]],"[Measures].[MMS_01_89_F_A]")</f>
        <v/>
      </c>
      <c r="BX150" s="68" t="str" vm="19143">
        <f>CUBEVALUE(ConnectionString,ReportMonth,Table1[[#This Row],[Site ID (from DATIM)]],"[Measures].[MMS_01_89_M_A]")</f>
        <v/>
      </c>
      <c r="BY150" s="68" t="str" vm="19905">
        <f>CUBEVALUE(ConnectionString,ReportMonth,Table1[[#This Row],[Site ID (from DATIM)]],"[Measures].[MMS_90_179_F_P]")</f>
        <v/>
      </c>
      <c r="BZ150" s="68" t="str" vm="14699">
        <f>CUBEVALUE(ConnectionString,ReportMonth,Table1[[#This Row],[Site ID (from DATIM)]],"[Measures].[MMS_90_179_M_P]")</f>
        <v/>
      </c>
      <c r="CA150" s="68" t="str" vm="17714">
        <f>CUBEVALUE(ConnectionString,ReportMonth,Table1[[#This Row],[Site ID (from DATIM)]],"[Measures].[MMS_90_179_F_A]")</f>
        <v/>
      </c>
      <c r="CB150" s="68" t="str" vm="14606">
        <f>CUBEVALUE(ConnectionString,ReportMonth,Table1[[#This Row],[Site ID (from DATIM)]],"[Measures].[MMS_90_179_M_A]")</f>
        <v/>
      </c>
      <c r="CC150" s="68" t="str" vm="17329">
        <f>CUBEVALUE(ConnectionString,ReportMonth,Table1[[#This Row],[Site ID (from DATIM)]],"[Measures].[MMS_180+_F_P]")</f>
        <v/>
      </c>
      <c r="CD150" s="68" t="str" vm="20217">
        <f>CUBEVALUE(ConnectionString,ReportMonth,Table1[[#This Row],[Site ID (from DATIM)]],"[Measures].[MMS_180+_M_P]")</f>
        <v/>
      </c>
      <c r="CE150" s="68" t="str" vm="16725">
        <f>CUBEVALUE(ConnectionString,ReportMonth,Table1[[#This Row],[Site ID (from DATIM)]],"[Measures].[MMS_180+_F_A]")</f>
        <v/>
      </c>
      <c r="CF150" s="68" t="str" vm="14901">
        <f>CUBEVALUE(ConnectionString,ReportMonth,Table1[[#This Row],[Site ID (from DATIM)]],"[Measures].[MMS_180+_M_A]")</f>
        <v/>
      </c>
      <c r="CG150" s="68" t="str" vm="6101">
        <f>CUBEVALUE(ConnectionString,ReportMonth,Table1[[#This Row],[Site ID (from DATIM)]],"[Measures].[MISSEDAPP]")</f>
        <v/>
      </c>
      <c r="CH150" s="68" t="str" vm="11414">
        <f>CUBEVALUE(ConnectionString,ReportMonth,Table1[[#This Row],[Site ID (from DATIM)]],"[Measures].[MMS_180+_P]")</f>
        <v/>
      </c>
      <c r="CI150" s="68" t="str" vm="11754">
        <f>CUBEVALUE(ConnectionString,ReportMonth,Table1[[#This Row],[Site ID (from DATIM)]],"[Measures].[MMS_180+_A]")</f>
        <v/>
      </c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  <c r="CW150" s="68"/>
      <c r="CX150" s="68"/>
      <c r="CY150" s="68"/>
      <c r="CZ150" s="68"/>
      <c r="DA150" s="68"/>
      <c r="DB150" s="68"/>
      <c r="DC150" s="68"/>
    </row>
    <row r="151" spans="1:107" x14ac:dyDescent="0.25">
      <c r="A151" s="66">
        <v>4</v>
      </c>
      <c r="B151" s="67" t="str" vm="4">
        <f t="shared" si="3"/>
        <v>Mar-2021</v>
      </c>
      <c r="C151" s="67"/>
      <c r="D151" s="67" t="s">
        <v>232</v>
      </c>
      <c r="E151" s="67" t="s">
        <v>233</v>
      </c>
      <c r="F151" s="67" t="s">
        <v>437</v>
      </c>
      <c r="G151" s="67"/>
      <c r="H151" s="67" t="s">
        <v>478</v>
      </c>
      <c r="I151" s="67" t="s">
        <v>479</v>
      </c>
      <c r="J151" s="67" t="s">
        <v>591</v>
      </c>
      <c r="K151" s="67" t="s">
        <v>592</v>
      </c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 t="str" vm="3782">
        <f>CUBEVALUE(ConnectionString,ReportMonth,Table1[[#This Row],[Site ID (from DATIM)]],"TX_NEW_2VIS")</f>
        <v/>
      </c>
      <c r="AE151" s="67" t="str" vm="2697">
        <f>CUBEVALUE(ConnectionString,ReportMonth,Table1[[#This Row],[Site ID (from DATIM)]],INDEX(SDI_Measures,1))</f>
        <v/>
      </c>
      <c r="AF151" s="67" t="str" vm="608">
        <f>CUBEVALUE(ConnectionString,ReportMonth,Table1[[#This Row],[Site ID (from DATIM)]],INDEX(SDI_Measures,2))</f>
        <v/>
      </c>
      <c r="AG151" s="67" t="str" vm="3381">
        <f>CUBEVALUE(ConnectionString,ReportMonth,Table1[[#This Row],[Site ID (from DATIM)]],INDEX(SDI_Measures,3))</f>
        <v/>
      </c>
      <c r="AH151" s="67" vm="2740">
        <f>CUBEVALUE(ConnectionString,ReportMonth,Table1[[#This Row],[Site ID (from DATIM)]],"TX_CURR_PRIOR_MONTH")</f>
        <v>12</v>
      </c>
      <c r="AI151" s="67" vm="1371">
        <f>CUBEVALUE(ConnectionString,ReportMonth,Table1[[#This Row],[Site ID (from DATIM)]],"TX_CURR")</f>
        <v>10</v>
      </c>
      <c r="AJ151" s="67" t="str" vm="2793">
        <f>CUBEVALUE(ConnectionString,ReportMonth,Table1[[#This Row],[Site ID (from DATIM)]],"[Measures].[TI]")</f>
        <v/>
      </c>
      <c r="AK151" s="67" t="str" vm="1987">
        <f>CUBEVALUE(ConnectionString,ReportMonth,Table1[[#This Row],[Site ID (from DATIM)]],"[Measures].[TO]")</f>
        <v/>
      </c>
      <c r="AL151" s="67" t="str" vm="3816">
        <f>CUBEVALUE(ConnectionString,ReportMonth,Table1[[#This Row],[Site ID (from DATIM)]],"[Measures].[DIED]")</f>
        <v/>
      </c>
      <c r="AM151" s="67" vm="5714">
        <f>CUBEVALUE(ConnectionString,ReportMonth,Table1[[#This Row],[Site ID (from DATIM)]],"[Measures].[MMS_01_31]")</f>
        <v>10</v>
      </c>
      <c r="AN151" s="67" t="str" vm="5625">
        <f>CUBEVALUE(ConnectionString,ReportMonth,Table1[[#This Row],[Site ID (from DATIM)]],"[Measures].[MMS_32_62]")</f>
        <v/>
      </c>
      <c r="AO151" s="67" t="str" vm="4728">
        <f>CUBEVALUE(ConnectionString,ReportMonth,Table1[[#This Row],[Site ID (from DATIM)]],"[Measures].[MMS_63+]")</f>
        <v/>
      </c>
      <c r="AP151" s="67" t="str" vm="6208">
        <f>CUBEVALUE(ConnectionString,ReportMonth,Table1[[#This Row],[Site ID (from DATIM)]],"[Measures].[TBPREV_D]")</f>
        <v/>
      </c>
      <c r="AQ151" s="67" t="str" vm="7431">
        <f>CUBEVALUE(ConnectionString,ReportMonth,Table1[[#This Row],[Site ID (from DATIM)]],"[Measures].[TBPREV_N]")</f>
        <v/>
      </c>
      <c r="AR151" s="67" t="str" vm="4974">
        <f>CUBEVALUE(ConnectionString,ReportMonth,Table1[[#This Row],[Site ID (from DATIM)]],"[Measures].[TBPREV_NEW]")</f>
        <v/>
      </c>
      <c r="AS151" s="67" t="str" vm="6098">
        <f>CUBEVALUE(ConnectionString,ReportMonth,Table1[[#This Row],[Site ID (from DATIM)]],"[Measures].[HVL_ELIG_P]")</f>
        <v/>
      </c>
      <c r="AT151" s="67" t="str" vm="8451">
        <f>CUBEVALUE(ConnectionString,ReportMonth,Table1[[#This Row],[Site ID (from DATIM)]],"[Measures].[HVL_D_P]")</f>
        <v/>
      </c>
      <c r="AU151" s="67" t="str" vm="9571">
        <f>CUBEVALUE(ConnectionString,ReportMonth,Table1[[#This Row],[Site ID (from DATIM)]],"[Measures].[HVL_N_P]")</f>
        <v/>
      </c>
      <c r="AV151" s="68" vm="9694">
        <f>CUBEVALUE(ConnectionString,ReportMonth,Table1[[#This Row],[Site ID (from DATIM)]],"[Measures].[HVL_ELIG_A]")</f>
        <v>4</v>
      </c>
      <c r="AW151" s="68" t="str" vm="9502">
        <f>CUBEVALUE(ConnectionString,ReportMonth,Table1[[#This Row],[Site ID (from DATIM)]],"[Measures].[HVL_D_A]")</f>
        <v/>
      </c>
      <c r="AX151" s="68" t="str" vm="13592">
        <f>CUBEVALUE(ConnectionString,ReportMonth,Table1[[#This Row],[Site ID (from DATIM)]],"[Measures].[HVL_N_A]")</f>
        <v/>
      </c>
      <c r="AY151" s="67"/>
      <c r="AZ151" s="67"/>
      <c r="BA151" s="67"/>
      <c r="BB151" s="67"/>
      <c r="BC151" s="67"/>
      <c r="BD151" s="67"/>
      <c r="BE151" s="67"/>
      <c r="BF151" s="67"/>
      <c r="BG151" s="67" t="str" vm="12653">
        <f>CUBEVALUE(ConnectionString,ReportMonth,Table1[[#This Row],[Site ID (from DATIM)]],"[Measures].[TX_NEW_F_A]")</f>
        <v/>
      </c>
      <c r="BH151" s="67" t="str" vm="12122">
        <f>CUBEVALUE(ConnectionString,ReportMonth,Table1[[#This Row],[Site ID (from DATIM)]],"[Measures].[TX_NEW_M_A]")</f>
        <v/>
      </c>
      <c r="BI151" s="67" t="str" vm="13435">
        <f>CUBEVALUE(ConnectionString,ReportMonth,Table1[[#This Row],[Site ID (from DATIM)]],"[Measures].[TX_NEW_F_P]")</f>
        <v/>
      </c>
      <c r="BJ151" s="68" t="str" vm="16180">
        <f>CUBEVALUE(ConnectionString,ReportMonth,Table1[[#This Row],[Site ID (from DATIM)]],"[Measures].[TX_NEW_M_P]")</f>
        <v/>
      </c>
      <c r="BK151" s="68"/>
      <c r="BL151" s="68"/>
      <c r="BM151" s="68"/>
      <c r="BN151" s="68"/>
      <c r="BO151" s="68"/>
      <c r="BP151" s="68"/>
      <c r="BQ151" s="68" t="str" vm="11103">
        <f>CUBEVALUE(ConnectionString,ReportMonth,Table1[[#This Row],[Site ID (from DATIM)]],"[Measures].[TX_CURR_F_P]")</f>
        <v/>
      </c>
      <c r="BR151" s="68" t="str" vm="6371">
        <f>CUBEVALUE(ConnectionString,ReportMonth,Table1[[#This Row],[Site ID (from DATIM)]],"[Measures].[TX_CURR_M_P]")</f>
        <v/>
      </c>
      <c r="BS151" s="68" vm="8342">
        <f>CUBEVALUE(ConnectionString,ReportMonth,Table1[[#This Row],[Site ID (from DATIM)]],"[Measures].[TX_CURR_F_A]")</f>
        <v>10</v>
      </c>
      <c r="BT151" s="68" t="str" vm="11650">
        <f>CUBEVALUE(ConnectionString,ReportMonth,Table1[[#This Row],[Site ID (from DATIM)]],"[Measures].[TX_CURR_M_A]")</f>
        <v/>
      </c>
      <c r="BU151" s="68" t="str" vm="20087">
        <f>CUBEVALUE(ConnectionString,ReportMonth,Table1[[#This Row],[Site ID (from DATIM)]],"[Measures].[MMS_01_89_F_P]")</f>
        <v/>
      </c>
      <c r="BV151" s="68" t="str" vm="18369">
        <f>CUBEVALUE(ConnectionString,ReportMonth,Table1[[#This Row],[Site ID (from DATIM)]],"[Measures].[MMS_01_89_M_P]")</f>
        <v/>
      </c>
      <c r="BW151" s="68" vm="18921">
        <f>CUBEVALUE(ConnectionString,ReportMonth,Table1[[#This Row],[Site ID (from DATIM)]],"[Measures].[MMS_01_89_F_A]")</f>
        <v>10</v>
      </c>
      <c r="BX151" s="68" t="str" vm="19643">
        <f>CUBEVALUE(ConnectionString,ReportMonth,Table1[[#This Row],[Site ID (from DATIM)]],"[Measures].[MMS_01_89_M_A]")</f>
        <v/>
      </c>
      <c r="BY151" s="68" t="str" vm="19384">
        <f>CUBEVALUE(ConnectionString,ReportMonth,Table1[[#This Row],[Site ID (from DATIM)]],"[Measures].[MMS_90_179_F_P]")</f>
        <v/>
      </c>
      <c r="BZ151" s="68" t="str" vm="19917">
        <f>CUBEVALUE(ConnectionString,ReportMonth,Table1[[#This Row],[Site ID (from DATIM)]],"[Measures].[MMS_90_179_M_P]")</f>
        <v/>
      </c>
      <c r="CA151" s="68" t="str" vm="16931">
        <f>CUBEVALUE(ConnectionString,ReportMonth,Table1[[#This Row],[Site ID (from DATIM)]],"[Measures].[MMS_90_179_F_A]")</f>
        <v/>
      </c>
      <c r="CB151" s="68" t="str" vm="16481">
        <f>CUBEVALUE(ConnectionString,ReportMonth,Table1[[#This Row],[Site ID (from DATIM)]],"[Measures].[MMS_90_179_M_A]")</f>
        <v/>
      </c>
      <c r="CC151" s="68" t="str" vm="176">
        <f>CUBEVALUE(ConnectionString,ReportMonth,Table1[[#This Row],[Site ID (from DATIM)]],"[Measures].[MMS_180+_F_P]")</f>
        <v/>
      </c>
      <c r="CD151" s="68" t="str" vm="17560">
        <f>CUBEVALUE(ConnectionString,ReportMonth,Table1[[#This Row],[Site ID (from DATIM)]],"[Measures].[MMS_180+_M_P]")</f>
        <v/>
      </c>
      <c r="CE151" s="68" t="str" vm="17182">
        <f>CUBEVALUE(ConnectionString,ReportMonth,Table1[[#This Row],[Site ID (from DATIM)]],"[Measures].[MMS_180+_F_A]")</f>
        <v/>
      </c>
      <c r="CF151" s="68" t="str" vm="278">
        <f>CUBEVALUE(ConnectionString,ReportMonth,Table1[[#This Row],[Site ID (from DATIM)]],"[Measures].[MMS_180+_M_A]")</f>
        <v/>
      </c>
      <c r="CG151" s="68" vm="13850">
        <f>CUBEVALUE(ConnectionString,ReportMonth,Table1[[#This Row],[Site ID (from DATIM)]],"[Measures].[MISSEDAPP]")</f>
        <v>6</v>
      </c>
      <c r="CH151" s="68" t="str" vm="10611">
        <f>CUBEVALUE(ConnectionString,ReportMonth,Table1[[#This Row],[Site ID (from DATIM)]],"[Measures].[MMS_180+_P]")</f>
        <v/>
      </c>
      <c r="CI151" s="68" t="str" vm="12613">
        <f>CUBEVALUE(ConnectionString,ReportMonth,Table1[[#This Row],[Site ID (from DATIM)]],"[Measures].[MMS_180+_A]")</f>
        <v/>
      </c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  <c r="CW151" s="68"/>
      <c r="CX151" s="68"/>
      <c r="CY151" s="68"/>
      <c r="CZ151" s="68"/>
      <c r="DA151" s="68"/>
      <c r="DB151" s="68"/>
      <c r="DC151" s="68"/>
    </row>
    <row r="152" spans="1:107" x14ac:dyDescent="0.25">
      <c r="A152" s="66">
        <v>4</v>
      </c>
      <c r="B152" s="67" t="str" vm="4">
        <f t="shared" si="3"/>
        <v>Mar-2021</v>
      </c>
      <c r="C152" s="67"/>
      <c r="D152" s="67" t="s">
        <v>232</v>
      </c>
      <c r="E152" s="67" t="s">
        <v>233</v>
      </c>
      <c r="F152" s="67" t="s">
        <v>831</v>
      </c>
      <c r="G152" s="67"/>
      <c r="H152" s="67" t="s">
        <v>876</v>
      </c>
      <c r="I152" s="67" t="s">
        <v>906</v>
      </c>
      <c r="J152" s="67" t="s">
        <v>907</v>
      </c>
      <c r="K152" s="67" t="s">
        <v>908</v>
      </c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 t="str" vm="1911">
        <f>CUBEVALUE(ConnectionString,ReportMonth,Table1[[#This Row],[Site ID (from DATIM)]],"TX_NEW_2VIS")</f>
        <v/>
      </c>
      <c r="AE152" s="67" t="str" vm="3371">
        <f>CUBEVALUE(ConnectionString,ReportMonth,Table1[[#This Row],[Site ID (from DATIM)]],INDEX(SDI_Measures,1))</f>
        <v/>
      </c>
      <c r="AF152" s="67" t="str" vm="327">
        <f>CUBEVALUE(ConnectionString,ReportMonth,Table1[[#This Row],[Site ID (from DATIM)]],INDEX(SDI_Measures,2))</f>
        <v/>
      </c>
      <c r="AG152" s="67" t="str" vm="1030">
        <f>CUBEVALUE(ConnectionString,ReportMonth,Table1[[#This Row],[Site ID (from DATIM)]],INDEX(SDI_Measures,3))</f>
        <v/>
      </c>
      <c r="AH152" s="67" vm="1091">
        <f>CUBEVALUE(ConnectionString,ReportMonth,Table1[[#This Row],[Site ID (from DATIM)]],"TX_CURR_PRIOR_MONTH")</f>
        <v>20</v>
      </c>
      <c r="AI152" s="67" vm="3250">
        <f>CUBEVALUE(ConnectionString,ReportMonth,Table1[[#This Row],[Site ID (from DATIM)]],"TX_CURR")</f>
        <v>20</v>
      </c>
      <c r="AJ152" s="67" t="str" vm="2994">
        <f>CUBEVALUE(ConnectionString,ReportMonth,Table1[[#This Row],[Site ID (from DATIM)]],"[Measures].[TI]")</f>
        <v/>
      </c>
      <c r="AK152" s="67" vm="4100">
        <f>CUBEVALUE(ConnectionString,ReportMonth,Table1[[#This Row],[Site ID (from DATIM)]],"[Measures].[TO]")</f>
        <v>2</v>
      </c>
      <c r="AL152" s="67" t="str" vm="1127">
        <f>CUBEVALUE(ConnectionString,ReportMonth,Table1[[#This Row],[Site ID (from DATIM)]],"[Measures].[DIED]")</f>
        <v/>
      </c>
      <c r="AM152" s="67" vm="3318">
        <f>CUBEVALUE(ConnectionString,ReportMonth,Table1[[#This Row],[Site ID (from DATIM)]],"[Measures].[MMS_01_31]")</f>
        <v>18</v>
      </c>
      <c r="AN152" s="67" vm="6248">
        <f>CUBEVALUE(ConnectionString,ReportMonth,Table1[[#This Row],[Site ID (from DATIM)]],"[Measures].[MMS_32_62]")</f>
        <v>2</v>
      </c>
      <c r="AO152" s="67" t="str" vm="12020">
        <f>CUBEVALUE(ConnectionString,ReportMonth,Table1[[#This Row],[Site ID (from DATIM)]],"[Measures].[MMS_63+]")</f>
        <v/>
      </c>
      <c r="AP152" s="67" vm="5971">
        <f>CUBEVALUE(ConnectionString,ReportMonth,Table1[[#This Row],[Site ID (from DATIM)]],"[Measures].[TBPREV_D]")</f>
        <v>1</v>
      </c>
      <c r="AQ152" s="67" vm="6078">
        <f>CUBEVALUE(ConnectionString,ReportMonth,Table1[[#This Row],[Site ID (from DATIM)]],"[Measures].[TBPREV_N]")</f>
        <v>1</v>
      </c>
      <c r="AR152" s="67" t="str" vm="6700">
        <f>CUBEVALUE(ConnectionString,ReportMonth,Table1[[#This Row],[Site ID (from DATIM)]],"[Measures].[TBPREV_NEW]")</f>
        <v/>
      </c>
      <c r="AS152" s="67" t="str" vm="4784">
        <f>CUBEVALUE(ConnectionString,ReportMonth,Table1[[#This Row],[Site ID (from DATIM)]],"[Measures].[HVL_ELIG_P]")</f>
        <v/>
      </c>
      <c r="AT152" s="67" t="str" vm="10688">
        <f>CUBEVALUE(ConnectionString,ReportMonth,Table1[[#This Row],[Site ID (from DATIM)]],"[Measures].[HVL_D_P]")</f>
        <v/>
      </c>
      <c r="AU152" s="67" t="str" vm="10120">
        <f>CUBEVALUE(ConnectionString,ReportMonth,Table1[[#This Row],[Site ID (from DATIM)]],"[Measures].[HVL_N_P]")</f>
        <v/>
      </c>
      <c r="AV152" s="68" vm="11142">
        <f>CUBEVALUE(ConnectionString,ReportMonth,Table1[[#This Row],[Site ID (from DATIM)]],"[Measures].[HVL_ELIG_A]")</f>
        <v>16</v>
      </c>
      <c r="AW152" s="68" vm="11211">
        <f>CUBEVALUE(ConnectionString,ReportMonth,Table1[[#This Row],[Site ID (from DATIM)]],"[Measures].[HVL_D_A]")</f>
        <v>12</v>
      </c>
      <c r="AX152" s="68" vm="13220">
        <f>CUBEVALUE(ConnectionString,ReportMonth,Table1[[#This Row],[Site ID (from DATIM)]],"[Measures].[HVL_N_A]")</f>
        <v>11</v>
      </c>
      <c r="AY152" s="67"/>
      <c r="AZ152" s="67"/>
      <c r="BA152" s="67"/>
      <c r="BB152" s="67"/>
      <c r="BC152" s="67"/>
      <c r="BD152" s="67"/>
      <c r="BE152" s="67"/>
      <c r="BF152" s="67"/>
      <c r="BG152" s="67" t="str" vm="10672">
        <f>CUBEVALUE(ConnectionString,ReportMonth,Table1[[#This Row],[Site ID (from DATIM)]],"[Measures].[TX_NEW_F_A]")</f>
        <v/>
      </c>
      <c r="BH152" s="67" t="str" vm="14083">
        <f>CUBEVALUE(ConnectionString,ReportMonth,Table1[[#This Row],[Site ID (from DATIM)]],"[Measures].[TX_NEW_M_A]")</f>
        <v/>
      </c>
      <c r="BI152" s="67" t="str" vm="15700">
        <f>CUBEVALUE(ConnectionString,ReportMonth,Table1[[#This Row],[Site ID (from DATIM)]],"[Measures].[TX_NEW_F_P]")</f>
        <v/>
      </c>
      <c r="BJ152" s="68" t="str" vm="12352">
        <f>CUBEVALUE(ConnectionString,ReportMonth,Table1[[#This Row],[Site ID (from DATIM)]],"[Measures].[TX_NEW_M_P]")</f>
        <v/>
      </c>
      <c r="BK152" s="68"/>
      <c r="BL152" s="68"/>
      <c r="BM152" s="68"/>
      <c r="BN152" s="68"/>
      <c r="BO152" s="68"/>
      <c r="BP152" s="68"/>
      <c r="BQ152" s="68" t="str" vm="8983">
        <f>CUBEVALUE(ConnectionString,ReportMonth,Table1[[#This Row],[Site ID (from DATIM)]],"[Measures].[TX_CURR_F_P]")</f>
        <v/>
      </c>
      <c r="BR152" s="68" t="str" vm="8014">
        <f>CUBEVALUE(ConnectionString,ReportMonth,Table1[[#This Row],[Site ID (from DATIM)]],"[Measures].[TX_CURR_M_P]")</f>
        <v/>
      </c>
      <c r="BS152" s="68" vm="9554">
        <f>CUBEVALUE(ConnectionString,ReportMonth,Table1[[#This Row],[Site ID (from DATIM)]],"[Measures].[TX_CURR_F_A]")</f>
        <v>20</v>
      </c>
      <c r="BT152" s="68" t="str" vm="13883">
        <f>CUBEVALUE(ConnectionString,ReportMonth,Table1[[#This Row],[Site ID (from DATIM)]],"[Measures].[TX_CURR_M_A]")</f>
        <v/>
      </c>
      <c r="BU152" s="68" t="str" vm="18352">
        <f>CUBEVALUE(ConnectionString,ReportMonth,Table1[[#This Row],[Site ID (from DATIM)]],"[Measures].[MMS_01_89_F_P]")</f>
        <v/>
      </c>
      <c r="BV152" s="68" t="str" vm="19757">
        <f>CUBEVALUE(ConnectionString,ReportMonth,Table1[[#This Row],[Site ID (from DATIM)]],"[Measures].[MMS_01_89_M_P]")</f>
        <v/>
      </c>
      <c r="BW152" s="68" vm="19094">
        <f>CUBEVALUE(ConnectionString,ReportMonth,Table1[[#This Row],[Site ID (from DATIM)]],"[Measures].[MMS_01_89_F_A]")</f>
        <v>20</v>
      </c>
      <c r="BX152" s="68" t="str" vm="18913">
        <f>CUBEVALUE(ConnectionString,ReportMonth,Table1[[#This Row],[Site ID (from DATIM)]],"[Measures].[MMS_01_89_M_A]")</f>
        <v/>
      </c>
      <c r="BY152" s="68" t="str" vm="19166">
        <f>CUBEVALUE(ConnectionString,ReportMonth,Table1[[#This Row],[Site ID (from DATIM)]],"[Measures].[MMS_90_179_F_P]")</f>
        <v/>
      </c>
      <c r="BZ152" s="68" t="str" vm="14776">
        <f>CUBEVALUE(ConnectionString,ReportMonth,Table1[[#This Row],[Site ID (from DATIM)]],"[Measures].[MMS_90_179_M_P]")</f>
        <v/>
      </c>
      <c r="CA152" s="68" t="str" vm="16039">
        <f>CUBEVALUE(ConnectionString,ReportMonth,Table1[[#This Row],[Site ID (from DATIM)]],"[Measures].[MMS_90_179_F_A]")</f>
        <v/>
      </c>
      <c r="CB152" s="68" t="str" vm="16458">
        <f>CUBEVALUE(ConnectionString,ReportMonth,Table1[[#This Row],[Site ID (from DATIM)]],"[Measures].[MMS_90_179_M_A]")</f>
        <v/>
      </c>
      <c r="CC152" s="68" t="str" vm="15073">
        <f>CUBEVALUE(ConnectionString,ReportMonth,Table1[[#This Row],[Site ID (from DATIM)]],"[Measures].[MMS_180+_F_P]")</f>
        <v/>
      </c>
      <c r="CD152" s="68" t="str" vm="16311">
        <f>CUBEVALUE(ConnectionString,ReportMonth,Table1[[#This Row],[Site ID (from DATIM)]],"[Measures].[MMS_180+_M_P]")</f>
        <v/>
      </c>
      <c r="CE152" s="68" t="str" vm="15837">
        <f>CUBEVALUE(ConnectionString,ReportMonth,Table1[[#This Row],[Site ID (from DATIM)]],"[Measures].[MMS_180+_F_A]")</f>
        <v/>
      </c>
      <c r="CF152" s="68" t="str" vm="348">
        <f>CUBEVALUE(ConnectionString,ReportMonth,Table1[[#This Row],[Site ID (from DATIM)]],"[Measures].[MMS_180+_M_A]")</f>
        <v/>
      </c>
      <c r="CG152" s="68" vm="6035">
        <f>CUBEVALUE(ConnectionString,ReportMonth,Table1[[#This Row],[Site ID (from DATIM)]],"[Measures].[MISSEDAPP]")</f>
        <v>7</v>
      </c>
      <c r="CH152" s="68" t="str" vm="13344">
        <f>CUBEVALUE(ConnectionString,ReportMonth,Table1[[#This Row],[Site ID (from DATIM)]],"[Measures].[MMS_180+_P]")</f>
        <v/>
      </c>
      <c r="CI152" s="68" t="str" vm="10361">
        <f>CUBEVALUE(ConnectionString,ReportMonth,Table1[[#This Row],[Site ID (from DATIM)]],"[Measures].[MMS_180+_A]")</f>
        <v/>
      </c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  <c r="CW152" s="68"/>
      <c r="CX152" s="68"/>
      <c r="CY152" s="68"/>
      <c r="CZ152" s="68"/>
      <c r="DA152" s="68"/>
      <c r="DB152" s="68"/>
      <c r="DC152" s="68"/>
    </row>
    <row r="153" spans="1:107" x14ac:dyDescent="0.25">
      <c r="A153" s="66">
        <v>4</v>
      </c>
      <c r="B153" s="67" t="str" vm="4">
        <f t="shared" si="3"/>
        <v>Mar-2021</v>
      </c>
      <c r="C153" s="67"/>
      <c r="D153" s="67" t="s">
        <v>232</v>
      </c>
      <c r="E153" s="67" t="s">
        <v>233</v>
      </c>
      <c r="F153" s="67" t="s">
        <v>831</v>
      </c>
      <c r="G153" s="67"/>
      <c r="H153" s="67" t="s">
        <v>876</v>
      </c>
      <c r="I153" s="67" t="s">
        <v>909</v>
      </c>
      <c r="J153" s="67" t="s">
        <v>910</v>
      </c>
      <c r="K153" s="67" t="s">
        <v>911</v>
      </c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 t="str" vm="1266">
        <f>CUBEVALUE(ConnectionString,ReportMonth,Table1[[#This Row],[Site ID (from DATIM)]],"TX_NEW_2VIS")</f>
        <v/>
      </c>
      <c r="AE153" s="67" t="str" vm="4046">
        <f>CUBEVALUE(ConnectionString,ReportMonth,Table1[[#This Row],[Site ID (from DATIM)]],INDEX(SDI_Measures,1))</f>
        <v/>
      </c>
      <c r="AF153" s="67" t="str" vm="2035">
        <f>CUBEVALUE(ConnectionString,ReportMonth,Table1[[#This Row],[Site ID (from DATIM)]],INDEX(SDI_Measures,2))</f>
        <v/>
      </c>
      <c r="AG153" s="67" t="str" vm="3462">
        <f>CUBEVALUE(ConnectionString,ReportMonth,Table1[[#This Row],[Site ID (from DATIM)]],INDEX(SDI_Measures,3))</f>
        <v/>
      </c>
      <c r="AH153" s="67" vm="3009">
        <f>CUBEVALUE(ConnectionString,ReportMonth,Table1[[#This Row],[Site ID (from DATIM)]],"TX_CURR_PRIOR_MONTH")</f>
        <v>228</v>
      </c>
      <c r="AI153" s="67" vm="3757">
        <f>CUBEVALUE(ConnectionString,ReportMonth,Table1[[#This Row],[Site ID (from DATIM)]],"TX_CURR")</f>
        <v>154</v>
      </c>
      <c r="AJ153" s="67" t="str" vm="3102">
        <f>CUBEVALUE(ConnectionString,ReportMonth,Table1[[#This Row],[Site ID (from DATIM)]],"[Measures].[TI]")</f>
        <v/>
      </c>
      <c r="AK153" s="67" t="str" vm="3086">
        <f>CUBEVALUE(ConnectionString,ReportMonth,Table1[[#This Row],[Site ID (from DATIM)]],"[Measures].[TO]")</f>
        <v/>
      </c>
      <c r="AL153" s="67" t="str" vm="2947">
        <f>CUBEVALUE(ConnectionString,ReportMonth,Table1[[#This Row],[Site ID (from DATIM)]],"[Measures].[DIED]")</f>
        <v/>
      </c>
      <c r="AM153" s="67" vm="8109">
        <f>CUBEVALUE(ConnectionString,ReportMonth,Table1[[#This Row],[Site ID (from DATIM)]],"[Measures].[MMS_01_31]")</f>
        <v>4</v>
      </c>
      <c r="AN153" s="67" t="str" vm="5066">
        <f>CUBEVALUE(ConnectionString,ReportMonth,Table1[[#This Row],[Site ID (from DATIM)]],"[Measures].[MMS_32_62]")</f>
        <v/>
      </c>
      <c r="AO153" s="67" vm="8181">
        <f>CUBEVALUE(ConnectionString,ReportMonth,Table1[[#This Row],[Site ID (from DATIM)]],"[Measures].[MMS_63+]")</f>
        <v>150</v>
      </c>
      <c r="AP153" s="67" vm="5384">
        <f>CUBEVALUE(ConnectionString,ReportMonth,Table1[[#This Row],[Site ID (from DATIM)]],"[Measures].[TBPREV_D]")</f>
        <v>2</v>
      </c>
      <c r="AQ153" s="67" t="str" vm="6947">
        <f>CUBEVALUE(ConnectionString,ReportMonth,Table1[[#This Row],[Site ID (from DATIM)]],"[Measures].[TBPREV_N]")</f>
        <v/>
      </c>
      <c r="AR153" s="67" t="str" vm="4685">
        <f>CUBEVALUE(ConnectionString,ReportMonth,Table1[[#This Row],[Site ID (from DATIM)]],"[Measures].[TBPREV_NEW]")</f>
        <v/>
      </c>
      <c r="AS153" s="67" vm="8137">
        <f>CUBEVALUE(ConnectionString,ReportMonth,Table1[[#This Row],[Site ID (from DATIM)]],"[Measures].[HVL_ELIG_P]")</f>
        <v>3</v>
      </c>
      <c r="AT153" s="67" vm="7131">
        <f>CUBEVALUE(ConnectionString,ReportMonth,Table1[[#This Row],[Site ID (from DATIM)]],"[Measures].[HVL_D_P]")</f>
        <v>8</v>
      </c>
      <c r="AU153" s="67" vm="9905">
        <f>CUBEVALUE(ConnectionString,ReportMonth,Table1[[#This Row],[Site ID (from DATIM)]],"[Measures].[HVL_N_P]")</f>
        <v>4</v>
      </c>
      <c r="AV153" s="68" vm="9776">
        <f>CUBEVALUE(ConnectionString,ReportMonth,Table1[[#This Row],[Site ID (from DATIM)]],"[Measures].[HVL_ELIG_A]")</f>
        <v>148</v>
      </c>
      <c r="AW153" s="68" vm="9565">
        <f>CUBEVALUE(ConnectionString,ReportMonth,Table1[[#This Row],[Site ID (from DATIM)]],"[Measures].[HVL_D_A]")</f>
        <v>150</v>
      </c>
      <c r="AX153" s="68" vm="9827">
        <f>CUBEVALUE(ConnectionString,ReportMonth,Table1[[#This Row],[Site ID (from DATIM)]],"[Measures].[HVL_N_A]")</f>
        <v>137</v>
      </c>
      <c r="AY153" s="67"/>
      <c r="AZ153" s="67"/>
      <c r="BA153" s="67"/>
      <c r="BB153" s="67"/>
      <c r="BC153" s="67"/>
      <c r="BD153" s="67"/>
      <c r="BE153" s="67"/>
      <c r="BF153" s="67"/>
      <c r="BG153" s="67" t="str" vm="12167">
        <f>CUBEVALUE(ConnectionString,ReportMonth,Table1[[#This Row],[Site ID (from DATIM)]],"[Measures].[TX_NEW_F_A]")</f>
        <v/>
      </c>
      <c r="BH153" s="67" t="str" vm="12504">
        <f>CUBEVALUE(ConnectionString,ReportMonth,Table1[[#This Row],[Site ID (from DATIM)]],"[Measures].[TX_NEW_M_A]")</f>
        <v/>
      </c>
      <c r="BI153" s="67" t="str" vm="16612">
        <f>CUBEVALUE(ConnectionString,ReportMonth,Table1[[#This Row],[Site ID (from DATIM)]],"[Measures].[TX_NEW_F_P]")</f>
        <v/>
      </c>
      <c r="BJ153" s="68" t="str" vm="14873">
        <f>CUBEVALUE(ConnectionString,ReportMonth,Table1[[#This Row],[Site ID (from DATIM)]],"[Measures].[TX_NEW_M_P]")</f>
        <v/>
      </c>
      <c r="BK153" s="68"/>
      <c r="BL153" s="68"/>
      <c r="BM153" s="68"/>
      <c r="BN153" s="68"/>
      <c r="BO153" s="68"/>
      <c r="BP153" s="68"/>
      <c r="BQ153" s="68" vm="9980">
        <f>CUBEVALUE(ConnectionString,ReportMonth,Table1[[#This Row],[Site ID (from DATIM)]],"[Measures].[TX_CURR_F_P]")</f>
        <v>1</v>
      </c>
      <c r="BR153" s="68" vm="9022">
        <f>CUBEVALUE(ConnectionString,ReportMonth,Table1[[#This Row],[Site ID (from DATIM)]],"[Measures].[TX_CURR_M_P]")</f>
        <v>2</v>
      </c>
      <c r="BS153" s="68" vm="8073">
        <f>CUBEVALUE(ConnectionString,ReportMonth,Table1[[#This Row],[Site ID (from DATIM)]],"[Measures].[TX_CURR_F_A]")</f>
        <v>92</v>
      </c>
      <c r="BT153" s="68" vm="12084">
        <f>CUBEVALUE(ConnectionString,ReportMonth,Table1[[#This Row],[Site ID (from DATIM)]],"[Measures].[TX_CURR_M_A]")</f>
        <v>59</v>
      </c>
      <c r="BU153" s="68" vm="19281">
        <f>CUBEVALUE(ConnectionString,ReportMonth,Table1[[#This Row],[Site ID (from DATIM)]],"[Measures].[MMS_01_89_F_P]")</f>
        <v>1</v>
      </c>
      <c r="BV153" s="68" t="str" vm="18924">
        <f>CUBEVALUE(ConnectionString,ReportMonth,Table1[[#This Row],[Site ID (from DATIM)]],"[Measures].[MMS_01_89_M_P]")</f>
        <v/>
      </c>
      <c r="BW153" s="68" vm="19752">
        <f>CUBEVALUE(ConnectionString,ReportMonth,Table1[[#This Row],[Site ID (from DATIM)]],"[Measures].[MMS_01_89_F_A]")</f>
        <v>9</v>
      </c>
      <c r="BX153" s="68" vm="17855">
        <f>CUBEVALUE(ConnectionString,ReportMonth,Table1[[#This Row],[Site ID (from DATIM)]],"[Measures].[MMS_01_89_M_A]")</f>
        <v>9</v>
      </c>
      <c r="BY153" s="68" t="str" vm="18881">
        <f>CUBEVALUE(ConnectionString,ReportMonth,Table1[[#This Row],[Site ID (from DATIM)]],"[Measures].[MMS_90_179_F_P]")</f>
        <v/>
      </c>
      <c r="BZ153" s="68" vm="18173">
        <f>CUBEVALUE(ConnectionString,ReportMonth,Table1[[#This Row],[Site ID (from DATIM)]],"[Measures].[MMS_90_179_M_P]")</f>
        <v>2</v>
      </c>
      <c r="CA153" s="68" vm="15932">
        <f>CUBEVALUE(ConnectionString,ReportMonth,Table1[[#This Row],[Site ID (from DATIM)]],"[Measures].[MMS_90_179_F_A]")</f>
        <v>83</v>
      </c>
      <c r="CB153" s="68" vm="17254">
        <f>CUBEVALUE(ConnectionString,ReportMonth,Table1[[#This Row],[Site ID (from DATIM)]],"[Measures].[MMS_90_179_M_A]")</f>
        <v>50</v>
      </c>
      <c r="CC153" s="68" t="str" vm="15524">
        <f>CUBEVALUE(ConnectionString,ReportMonth,Table1[[#This Row],[Site ID (from DATIM)]],"[Measures].[MMS_180+_F_P]")</f>
        <v/>
      </c>
      <c r="CD153" s="68" t="str" vm="15427">
        <f>CUBEVALUE(ConnectionString,ReportMonth,Table1[[#This Row],[Site ID (from DATIM)]],"[Measures].[MMS_180+_M_P]")</f>
        <v/>
      </c>
      <c r="CE153" s="68" t="str" vm="14453">
        <f>CUBEVALUE(ConnectionString,ReportMonth,Table1[[#This Row],[Site ID (from DATIM)]],"[Measures].[MMS_180+_F_A]")</f>
        <v/>
      </c>
      <c r="CF153" s="68" t="str" vm="59">
        <f>CUBEVALUE(ConnectionString,ReportMonth,Table1[[#This Row],[Site ID (from DATIM)]],"[Measures].[MMS_180+_M_A]")</f>
        <v/>
      </c>
      <c r="CG153" s="68" vm="6398">
        <f>CUBEVALUE(ConnectionString,ReportMonth,Table1[[#This Row],[Site ID (from DATIM)]],"[Measures].[MISSEDAPP]")</f>
        <v>51</v>
      </c>
      <c r="CH153" s="68" t="str" vm="10708">
        <f>CUBEVALUE(ConnectionString,ReportMonth,Table1[[#This Row],[Site ID (from DATIM)]],"[Measures].[MMS_180+_P]")</f>
        <v/>
      </c>
      <c r="CI153" s="68" t="str" vm="13380">
        <f>CUBEVALUE(ConnectionString,ReportMonth,Table1[[#This Row],[Site ID (from DATIM)]],"[Measures].[MMS_180+_A]")</f>
        <v/>
      </c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  <c r="CW153" s="68"/>
      <c r="CX153" s="68"/>
      <c r="CY153" s="68"/>
      <c r="CZ153" s="68"/>
      <c r="DA153" s="68"/>
      <c r="DB153" s="68"/>
      <c r="DC153" s="68"/>
    </row>
    <row r="154" spans="1:107" x14ac:dyDescent="0.25">
      <c r="A154" s="66">
        <v>4</v>
      </c>
      <c r="B154" s="67" t="str" vm="4">
        <f t="shared" si="3"/>
        <v>Mar-2021</v>
      </c>
      <c r="C154" s="67"/>
      <c r="D154" s="67" t="s">
        <v>232</v>
      </c>
      <c r="E154" s="67" t="s">
        <v>233</v>
      </c>
      <c r="F154" s="67" t="s">
        <v>831</v>
      </c>
      <c r="G154" s="67"/>
      <c r="H154" s="67" t="s">
        <v>876</v>
      </c>
      <c r="I154" s="67" t="s">
        <v>912</v>
      </c>
      <c r="J154" s="67" t="s">
        <v>913</v>
      </c>
      <c r="K154" s="67" t="s">
        <v>914</v>
      </c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 t="str" vm="691">
        <f>CUBEVALUE(ConnectionString,ReportMonth,Table1[[#This Row],[Site ID (from DATIM)]],"TX_NEW_2VIS")</f>
        <v/>
      </c>
      <c r="AE154" s="67" vm="485">
        <f>CUBEVALUE(ConnectionString,ReportMonth,Table1[[#This Row],[Site ID (from DATIM)]],INDEX(SDI_Measures,1))</f>
        <v>1</v>
      </c>
      <c r="AF154" s="67" t="str" vm="290">
        <f>CUBEVALUE(ConnectionString,ReportMonth,Table1[[#This Row],[Site ID (from DATIM)]],INDEX(SDI_Measures,2))</f>
        <v/>
      </c>
      <c r="AG154" s="67" t="str" vm="5662">
        <f>CUBEVALUE(ConnectionString,ReportMonth,Table1[[#This Row],[Site ID (from DATIM)]],INDEX(SDI_Measures,3))</f>
        <v/>
      </c>
      <c r="AH154" s="67" vm="4151">
        <f>CUBEVALUE(ConnectionString,ReportMonth,Table1[[#This Row],[Site ID (from DATIM)]],"TX_CURR_PRIOR_MONTH")</f>
        <v>77</v>
      </c>
      <c r="AI154" s="67" vm="1701">
        <f>CUBEVALUE(ConnectionString,ReportMonth,Table1[[#This Row],[Site ID (from DATIM)]],"TX_CURR")</f>
        <v>58</v>
      </c>
      <c r="AJ154" s="67" t="str" vm="4418">
        <f>CUBEVALUE(ConnectionString,ReportMonth,Table1[[#This Row],[Site ID (from DATIM)]],"[Measures].[TI]")</f>
        <v/>
      </c>
      <c r="AK154" s="67" t="str" vm="4275">
        <f>CUBEVALUE(ConnectionString,ReportMonth,Table1[[#This Row],[Site ID (from DATIM)]],"[Measures].[TO]")</f>
        <v/>
      </c>
      <c r="AL154" s="67" t="str" vm="3338">
        <f>CUBEVALUE(ConnectionString,ReportMonth,Table1[[#This Row],[Site ID (from DATIM)]],"[Measures].[DIED]")</f>
        <v/>
      </c>
      <c r="AM154" s="67" vm="4336">
        <f>CUBEVALUE(ConnectionString,ReportMonth,Table1[[#This Row],[Site ID (from DATIM)]],"[Measures].[MMS_01_31]")</f>
        <v>13</v>
      </c>
      <c r="AN154" s="67" t="str" vm="6185">
        <f>CUBEVALUE(ConnectionString,ReportMonth,Table1[[#This Row],[Site ID (from DATIM)]],"[Measures].[MMS_32_62]")</f>
        <v/>
      </c>
      <c r="AO154" s="67" vm="6331">
        <f>CUBEVALUE(ConnectionString,ReportMonth,Table1[[#This Row],[Site ID (from DATIM)]],"[Measures].[MMS_63+]")</f>
        <v>45</v>
      </c>
      <c r="AP154" s="67" vm="4855">
        <f>CUBEVALUE(ConnectionString,ReportMonth,Table1[[#This Row],[Site ID (from DATIM)]],"[Measures].[TBPREV_D]")</f>
        <v>1</v>
      </c>
      <c r="AQ154" s="67" t="str" vm="5394">
        <f>CUBEVALUE(ConnectionString,ReportMonth,Table1[[#This Row],[Site ID (from DATIM)]],"[Measures].[TBPREV_N]")</f>
        <v/>
      </c>
      <c r="AR154" s="67" t="str" vm="7613">
        <f>CUBEVALUE(ConnectionString,ReportMonth,Table1[[#This Row],[Site ID (from DATIM)]],"[Measures].[TBPREV_NEW]")</f>
        <v/>
      </c>
      <c r="AS154" s="67" vm="4209">
        <f>CUBEVALUE(ConnectionString,ReportMonth,Table1[[#This Row],[Site ID (from DATIM)]],"[Measures].[HVL_ELIG_P]")</f>
        <v>5</v>
      </c>
      <c r="AT154" s="67" vm="5374">
        <f>CUBEVALUE(ConnectionString,ReportMonth,Table1[[#This Row],[Site ID (from DATIM)]],"[Measures].[HVL_D_P]")</f>
        <v>5</v>
      </c>
      <c r="AU154" s="67" vm="11949">
        <f>CUBEVALUE(ConnectionString,ReportMonth,Table1[[#This Row],[Site ID (from DATIM)]],"[Measures].[HVL_N_P]")</f>
        <v>3</v>
      </c>
      <c r="AV154" s="68" vm="7714">
        <f>CUBEVALUE(ConnectionString,ReportMonth,Table1[[#This Row],[Site ID (from DATIM)]],"[Measures].[HVL_ELIG_A]")</f>
        <v>50</v>
      </c>
      <c r="AW154" s="68" vm="8432">
        <f>CUBEVALUE(ConnectionString,ReportMonth,Table1[[#This Row],[Site ID (from DATIM)]],"[Measures].[HVL_D_A]")</f>
        <v>39</v>
      </c>
      <c r="AX154" s="68" vm="11299">
        <f>CUBEVALUE(ConnectionString,ReportMonth,Table1[[#This Row],[Site ID (from DATIM)]],"[Measures].[HVL_N_A]")</f>
        <v>35</v>
      </c>
      <c r="AY154" s="67"/>
      <c r="AZ154" s="67"/>
      <c r="BA154" s="67"/>
      <c r="BB154" s="67"/>
      <c r="BC154" s="67"/>
      <c r="BD154" s="67"/>
      <c r="BE154" s="67"/>
      <c r="BF154" s="67"/>
      <c r="BG154" s="67" vm="10130">
        <f>CUBEVALUE(ConnectionString,ReportMonth,Table1[[#This Row],[Site ID (from DATIM)]],"[Measures].[TX_NEW_F_A]")</f>
        <v>1</v>
      </c>
      <c r="BH154" s="67" t="str" vm="10677">
        <f>CUBEVALUE(ConnectionString,ReportMonth,Table1[[#This Row],[Site ID (from DATIM)]],"[Measures].[TX_NEW_M_A]")</f>
        <v/>
      </c>
      <c r="BI154" s="67" t="str" vm="14310">
        <f>CUBEVALUE(ConnectionString,ReportMonth,Table1[[#This Row],[Site ID (from DATIM)]],"[Measures].[TX_NEW_F_P]")</f>
        <v/>
      </c>
      <c r="BJ154" s="68" t="str" vm="17019">
        <f>CUBEVALUE(ConnectionString,ReportMonth,Table1[[#This Row],[Site ID (from DATIM)]],"[Measures].[TX_NEW_M_P]")</f>
        <v/>
      </c>
      <c r="BK154" s="68"/>
      <c r="BL154" s="68"/>
      <c r="BM154" s="68"/>
      <c r="BN154" s="68"/>
      <c r="BO154" s="68"/>
      <c r="BP154" s="68"/>
      <c r="BQ154" s="68" vm="10719">
        <f>CUBEVALUE(ConnectionString,ReportMonth,Table1[[#This Row],[Site ID (from DATIM)]],"[Measures].[TX_CURR_F_P]")</f>
        <v>2</v>
      </c>
      <c r="BR154" s="68" vm="12136">
        <f>CUBEVALUE(ConnectionString,ReportMonth,Table1[[#This Row],[Site ID (from DATIM)]],"[Measures].[TX_CURR_M_P]")</f>
        <v>3</v>
      </c>
      <c r="BS154" s="68" vm="12967">
        <f>CUBEVALUE(ConnectionString,ReportMonth,Table1[[#This Row],[Site ID (from DATIM)]],"[Measures].[TX_CURR_F_A]")</f>
        <v>38</v>
      </c>
      <c r="BT154" s="68" vm="11946">
        <f>CUBEVALUE(ConnectionString,ReportMonth,Table1[[#This Row],[Site ID (from DATIM)]],"[Measures].[TX_CURR_M_A]")</f>
        <v>15</v>
      </c>
      <c r="BU154" s="68" vm="19766">
        <f>CUBEVALUE(ConnectionString,ReportMonth,Table1[[#This Row],[Site ID (from DATIM)]],"[Measures].[MMS_01_89_F_P]")</f>
        <v>2</v>
      </c>
      <c r="BV154" s="68" vm="18126">
        <f>CUBEVALUE(ConnectionString,ReportMonth,Table1[[#This Row],[Site ID (from DATIM)]],"[Measures].[MMS_01_89_M_P]")</f>
        <v>1</v>
      </c>
      <c r="BW154" s="68" vm="18494">
        <f>CUBEVALUE(ConnectionString,ReportMonth,Table1[[#This Row],[Site ID (from DATIM)]],"[Measures].[MMS_01_89_F_A]")</f>
        <v>5</v>
      </c>
      <c r="BX154" s="68" vm="18575">
        <f>CUBEVALUE(ConnectionString,ReportMonth,Table1[[#This Row],[Site ID (from DATIM)]],"[Measures].[MMS_01_89_M_A]")</f>
        <v>5</v>
      </c>
      <c r="BY154" s="68" t="str" vm="18205">
        <f>CUBEVALUE(ConnectionString,ReportMonth,Table1[[#This Row],[Site ID (from DATIM)]],"[Measures].[MMS_90_179_F_P]")</f>
        <v/>
      </c>
      <c r="BZ154" s="68" vm="16941">
        <f>CUBEVALUE(ConnectionString,ReportMonth,Table1[[#This Row],[Site ID (from DATIM)]],"[Measures].[MMS_90_179_M_P]")</f>
        <v>2</v>
      </c>
      <c r="CA154" s="68" vm="17368">
        <f>CUBEVALUE(ConnectionString,ReportMonth,Table1[[#This Row],[Site ID (from DATIM)]],"[Measures].[MMS_90_179_F_A]")</f>
        <v>33</v>
      </c>
      <c r="CB154" s="68" vm="15089">
        <f>CUBEVALUE(ConnectionString,ReportMonth,Table1[[#This Row],[Site ID (from DATIM)]],"[Measures].[MMS_90_179_M_A]")</f>
        <v>10</v>
      </c>
      <c r="CC154" s="68" t="str" vm="14576">
        <f>CUBEVALUE(ConnectionString,ReportMonth,Table1[[#This Row],[Site ID (from DATIM)]],"[Measures].[MMS_180+_F_P]")</f>
        <v/>
      </c>
      <c r="CD154" s="68" t="str" vm="17614">
        <f>CUBEVALUE(ConnectionString,ReportMonth,Table1[[#This Row],[Site ID (from DATIM)]],"[Measures].[MMS_180+_M_P]")</f>
        <v/>
      </c>
      <c r="CE154" s="68" t="str" vm="15365">
        <f>CUBEVALUE(ConnectionString,ReportMonth,Table1[[#This Row],[Site ID (from DATIM)]],"[Measures].[MMS_180+_F_A]")</f>
        <v/>
      </c>
      <c r="CF154" s="68" t="str" vm="17085">
        <f>CUBEVALUE(ConnectionString,ReportMonth,Table1[[#This Row],[Site ID (from DATIM)]],"[Measures].[MMS_180+_M_A]")</f>
        <v/>
      </c>
      <c r="CG154" s="68" vm="5326">
        <f>CUBEVALUE(ConnectionString,ReportMonth,Table1[[#This Row],[Site ID (from DATIM)]],"[Measures].[MISSEDAPP]")</f>
        <v>27</v>
      </c>
      <c r="CH154" s="68" t="str" vm="11643">
        <f>CUBEVALUE(ConnectionString,ReportMonth,Table1[[#This Row],[Site ID (from DATIM)]],"[Measures].[MMS_180+_P]")</f>
        <v/>
      </c>
      <c r="CI154" s="68" t="str" vm="12891">
        <f>CUBEVALUE(ConnectionString,ReportMonth,Table1[[#This Row],[Site ID (from DATIM)]],"[Measures].[MMS_180+_A]")</f>
        <v/>
      </c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  <c r="CW154" s="68"/>
      <c r="CX154" s="68"/>
      <c r="CY154" s="68"/>
      <c r="CZ154" s="68"/>
      <c r="DA154" s="68"/>
      <c r="DB154" s="68"/>
      <c r="DC154" s="68"/>
    </row>
    <row r="155" spans="1:107" x14ac:dyDescent="0.25">
      <c r="A155" s="66">
        <v>3</v>
      </c>
      <c r="B155" s="67" t="str" vm="4">
        <f t="shared" si="3"/>
        <v>Mar-2021</v>
      </c>
      <c r="C155" s="67"/>
      <c r="D155" s="67" t="s">
        <v>232</v>
      </c>
      <c r="E155" s="67" t="s">
        <v>233</v>
      </c>
      <c r="F155" s="67" t="s">
        <v>437</v>
      </c>
      <c r="G155" s="67"/>
      <c r="H155" s="67" t="s">
        <v>442</v>
      </c>
      <c r="I155" s="67" t="s">
        <v>593</v>
      </c>
      <c r="J155" s="67" t="s">
        <v>594</v>
      </c>
      <c r="K155" s="67" t="s">
        <v>595</v>
      </c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 t="str" vm="1069">
        <f>CUBEVALUE(ConnectionString,ReportMonth,Table1[[#This Row],[Site ID (from DATIM)]],"TX_NEW_2VIS")</f>
        <v/>
      </c>
      <c r="AE155" s="67" t="str" vm="5820">
        <f>CUBEVALUE(ConnectionString,ReportMonth,Table1[[#This Row],[Site ID (from DATIM)]],INDEX(SDI_Measures,1))</f>
        <v/>
      </c>
      <c r="AF155" s="67" t="str" vm="3171">
        <f>CUBEVALUE(ConnectionString,ReportMonth,Table1[[#This Row],[Site ID (from DATIM)]],INDEX(SDI_Measures,2))</f>
        <v/>
      </c>
      <c r="AG155" s="67" t="str" vm="555">
        <f>CUBEVALUE(ConnectionString,ReportMonth,Table1[[#This Row],[Site ID (from DATIM)]],INDEX(SDI_Measures,3))</f>
        <v/>
      </c>
      <c r="AH155" s="67" t="str" vm="3085">
        <f>CUBEVALUE(ConnectionString,ReportMonth,Table1[[#This Row],[Site ID (from DATIM)]],"TX_CURR_PRIOR_MONTH")</f>
        <v/>
      </c>
      <c r="AI155" s="67" t="str" vm="3129">
        <f>CUBEVALUE(ConnectionString,ReportMonth,Table1[[#This Row],[Site ID (from DATIM)]],"TX_CURR")</f>
        <v/>
      </c>
      <c r="AJ155" s="67" t="str" vm="2857">
        <f>CUBEVALUE(ConnectionString,ReportMonth,Table1[[#This Row],[Site ID (from DATIM)]],"[Measures].[TI]")</f>
        <v/>
      </c>
      <c r="AK155" s="67" t="str" vm="7581">
        <f>CUBEVALUE(ConnectionString,ReportMonth,Table1[[#This Row],[Site ID (from DATIM)]],"[Measures].[TO]")</f>
        <v/>
      </c>
      <c r="AL155" s="67" t="str" vm="2446">
        <f>CUBEVALUE(ConnectionString,ReportMonth,Table1[[#This Row],[Site ID (from DATIM)]],"[Measures].[DIED]")</f>
        <v/>
      </c>
      <c r="AM155" s="67" t="str" vm="4483">
        <f>CUBEVALUE(ConnectionString,ReportMonth,Table1[[#This Row],[Site ID (from DATIM)]],"[Measures].[MMS_01_31]")</f>
        <v/>
      </c>
      <c r="AN155" s="67" t="str" vm="6530">
        <f>CUBEVALUE(ConnectionString,ReportMonth,Table1[[#This Row],[Site ID (from DATIM)]],"[Measures].[MMS_32_62]")</f>
        <v/>
      </c>
      <c r="AO155" s="67" t="str" vm="6571">
        <f>CUBEVALUE(ConnectionString,ReportMonth,Table1[[#This Row],[Site ID (from DATIM)]],"[Measures].[MMS_63+]")</f>
        <v/>
      </c>
      <c r="AP155" s="67" t="str" vm="5579">
        <f>CUBEVALUE(ConnectionString,ReportMonth,Table1[[#This Row],[Site ID (from DATIM)]],"[Measures].[TBPREV_D]")</f>
        <v/>
      </c>
      <c r="AQ155" s="67" t="str" vm="7812">
        <f>CUBEVALUE(ConnectionString,ReportMonth,Table1[[#This Row],[Site ID (from DATIM)]],"[Measures].[TBPREV_N]")</f>
        <v/>
      </c>
      <c r="AR155" s="67" t="str" vm="7316">
        <f>CUBEVALUE(ConnectionString,ReportMonth,Table1[[#This Row],[Site ID (from DATIM)]],"[Measures].[TBPREV_NEW]")</f>
        <v/>
      </c>
      <c r="AS155" s="67" t="str" vm="9816">
        <f>CUBEVALUE(ConnectionString,ReportMonth,Table1[[#This Row],[Site ID (from DATIM)]],"[Measures].[HVL_ELIG_P]")</f>
        <v/>
      </c>
      <c r="AT155" s="67" t="str" vm="10274">
        <f>CUBEVALUE(ConnectionString,ReportMonth,Table1[[#This Row],[Site ID (from DATIM)]],"[Measures].[HVL_D_P]")</f>
        <v/>
      </c>
      <c r="AU155" s="67" t="str" vm="10284">
        <f>CUBEVALUE(ConnectionString,ReportMonth,Table1[[#This Row],[Site ID (from DATIM)]],"[Measures].[HVL_N_P]")</f>
        <v/>
      </c>
      <c r="AV155" s="68" t="str" vm="11363">
        <f>CUBEVALUE(ConnectionString,ReportMonth,Table1[[#This Row],[Site ID (from DATIM)]],"[Measures].[HVL_ELIG_A]")</f>
        <v/>
      </c>
      <c r="AW155" s="68" t="str" vm="9424">
        <f>CUBEVALUE(ConnectionString,ReportMonth,Table1[[#This Row],[Site ID (from DATIM)]],"[Measures].[HVL_D_A]")</f>
        <v/>
      </c>
      <c r="AX155" s="68" t="str" vm="12625">
        <f>CUBEVALUE(ConnectionString,ReportMonth,Table1[[#This Row],[Site ID (from DATIM)]],"[Measures].[HVL_N_A]")</f>
        <v/>
      </c>
      <c r="AY155" s="67"/>
      <c r="AZ155" s="67"/>
      <c r="BA155" s="67"/>
      <c r="BB155" s="67"/>
      <c r="BC155" s="67"/>
      <c r="BD155" s="67"/>
      <c r="BE155" s="67"/>
      <c r="BF155" s="67"/>
      <c r="BG155" s="67" t="str" vm="14284">
        <f>CUBEVALUE(ConnectionString,ReportMonth,Table1[[#This Row],[Site ID (from DATIM)]],"[Measures].[TX_NEW_F_A]")</f>
        <v/>
      </c>
      <c r="BH155" s="67" t="str" vm="13524">
        <f>CUBEVALUE(ConnectionString,ReportMonth,Table1[[#This Row],[Site ID (from DATIM)]],"[Measures].[TX_NEW_M_A]")</f>
        <v/>
      </c>
      <c r="BI155" s="67" t="str" vm="13529">
        <f>CUBEVALUE(ConnectionString,ReportMonth,Table1[[#This Row],[Site ID (from DATIM)]],"[Measures].[TX_NEW_F_P]")</f>
        <v/>
      </c>
      <c r="BJ155" s="68" t="str" vm="14812">
        <f>CUBEVALUE(ConnectionString,ReportMonth,Table1[[#This Row],[Site ID (from DATIM)]],"[Measures].[TX_NEW_M_P]")</f>
        <v/>
      </c>
      <c r="BK155" s="68"/>
      <c r="BL155" s="68"/>
      <c r="BM155" s="68"/>
      <c r="BN155" s="68"/>
      <c r="BO155" s="68"/>
      <c r="BP155" s="68"/>
      <c r="BQ155" s="68" t="str" vm="9076">
        <f>CUBEVALUE(ConnectionString,ReportMonth,Table1[[#This Row],[Site ID (from DATIM)]],"[Measures].[TX_CURR_F_P]")</f>
        <v/>
      </c>
      <c r="BR155" s="68" t="str" vm="8847">
        <f>CUBEVALUE(ConnectionString,ReportMonth,Table1[[#This Row],[Site ID (from DATIM)]],"[Measures].[TX_CURR_M_P]")</f>
        <v/>
      </c>
      <c r="BS155" s="68" t="str" vm="10393">
        <f>CUBEVALUE(ConnectionString,ReportMonth,Table1[[#This Row],[Site ID (from DATIM)]],"[Measures].[TX_CURR_F_A]")</f>
        <v/>
      </c>
      <c r="BT155" s="68" t="str" vm="10210">
        <f>CUBEVALUE(ConnectionString,ReportMonth,Table1[[#This Row],[Site ID (from DATIM)]],"[Measures].[TX_CURR_M_A]")</f>
        <v/>
      </c>
      <c r="BU155" s="68" t="str" vm="18926">
        <f>CUBEVALUE(ConnectionString,ReportMonth,Table1[[#This Row],[Site ID (from DATIM)]],"[Measures].[MMS_01_89_F_P]")</f>
        <v/>
      </c>
      <c r="BV155" s="68" t="str" vm="18518">
        <f>CUBEVALUE(ConnectionString,ReportMonth,Table1[[#This Row],[Site ID (from DATIM)]],"[Measures].[MMS_01_89_M_P]")</f>
        <v/>
      </c>
      <c r="BW155" s="68" t="str" vm="19847">
        <f>CUBEVALUE(ConnectionString,ReportMonth,Table1[[#This Row],[Site ID (from DATIM)]],"[Measures].[MMS_01_89_F_A]")</f>
        <v/>
      </c>
      <c r="BX155" s="68" t="str" vm="19851">
        <f>CUBEVALUE(ConnectionString,ReportMonth,Table1[[#This Row],[Site ID (from DATIM)]],"[Measures].[MMS_01_89_M_A]")</f>
        <v/>
      </c>
      <c r="BY155" s="68" t="str" vm="17947">
        <f>CUBEVALUE(ConnectionString,ReportMonth,Table1[[#This Row],[Site ID (from DATIM)]],"[Measures].[MMS_90_179_F_P]")</f>
        <v/>
      </c>
      <c r="BZ155" s="68" t="str" vm="17762">
        <f>CUBEVALUE(ConnectionString,ReportMonth,Table1[[#This Row],[Site ID (from DATIM)]],"[Measures].[MMS_90_179_M_P]")</f>
        <v/>
      </c>
      <c r="CA155" s="68" t="str" vm="15982">
        <f>CUBEVALUE(ConnectionString,ReportMonth,Table1[[#This Row],[Site ID (from DATIM)]],"[Measures].[MMS_90_179_F_A]")</f>
        <v/>
      </c>
      <c r="CB155" s="68" t="str" vm="16902">
        <f>CUBEVALUE(ConnectionString,ReportMonth,Table1[[#This Row],[Site ID (from DATIM)]],"[Measures].[MMS_90_179_M_A]")</f>
        <v/>
      </c>
      <c r="CC155" s="68" t="str" vm="15012">
        <f>CUBEVALUE(ConnectionString,ReportMonth,Table1[[#This Row],[Site ID (from DATIM)]],"[Measures].[MMS_180+_F_P]")</f>
        <v/>
      </c>
      <c r="CD155" s="68" t="str" vm="14479">
        <f>CUBEVALUE(ConnectionString,ReportMonth,Table1[[#This Row],[Site ID (from DATIM)]],"[Measures].[MMS_180+_M_P]")</f>
        <v/>
      </c>
      <c r="CE155" s="68" t="str" vm="15792">
        <f>CUBEVALUE(ConnectionString,ReportMonth,Table1[[#This Row],[Site ID (from DATIM)]],"[Measures].[MMS_180+_F_A]")</f>
        <v/>
      </c>
      <c r="CF155" s="68" t="str" vm="188">
        <f>CUBEVALUE(ConnectionString,ReportMonth,Table1[[#This Row],[Site ID (from DATIM)]],"[Measures].[MMS_180+_M_A]")</f>
        <v/>
      </c>
      <c r="CG155" s="68" t="str" vm="7678">
        <f>CUBEVALUE(ConnectionString,ReportMonth,Table1[[#This Row],[Site ID (from DATIM)]],"[Measures].[MISSEDAPP]")</f>
        <v/>
      </c>
      <c r="CH155" s="68" t="str" vm="11986">
        <f>CUBEVALUE(ConnectionString,ReportMonth,Table1[[#This Row],[Site ID (from DATIM)]],"[Measures].[MMS_180+_P]")</f>
        <v/>
      </c>
      <c r="CI155" s="68" t="str" vm="11655">
        <f>CUBEVALUE(ConnectionString,ReportMonth,Table1[[#This Row],[Site ID (from DATIM)]],"[Measures].[MMS_180+_A]")</f>
        <v/>
      </c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  <c r="CW155" s="68"/>
      <c r="CX155" s="68"/>
      <c r="CY155" s="68"/>
      <c r="CZ155" s="68"/>
      <c r="DA155" s="68"/>
      <c r="DB155" s="68"/>
      <c r="DC155" s="68"/>
    </row>
    <row r="156" spans="1:107" x14ac:dyDescent="0.25">
      <c r="A156" s="66">
        <v>4</v>
      </c>
      <c r="B156" s="67" t="str" vm="4">
        <f t="shared" si="3"/>
        <v>Mar-2021</v>
      </c>
      <c r="C156" s="67"/>
      <c r="D156" s="67" t="s">
        <v>232</v>
      </c>
      <c r="E156" s="67" t="s">
        <v>233</v>
      </c>
      <c r="F156" s="67" t="s">
        <v>234</v>
      </c>
      <c r="G156" s="67"/>
      <c r="H156" s="67" t="s">
        <v>239</v>
      </c>
      <c r="I156" s="67" t="s">
        <v>296</v>
      </c>
      <c r="J156" s="67" t="s">
        <v>297</v>
      </c>
      <c r="K156" s="67" t="s">
        <v>298</v>
      </c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 t="str" vm="1991">
        <f>CUBEVALUE(ConnectionString,ReportMonth,Table1[[#This Row],[Site ID (from DATIM)]],"TX_NEW_2VIS")</f>
        <v/>
      </c>
      <c r="AE156" s="67" t="str" vm="3511">
        <f>CUBEVALUE(ConnectionString,ReportMonth,Table1[[#This Row],[Site ID (from DATIM)]],INDEX(SDI_Measures,1))</f>
        <v/>
      </c>
      <c r="AF156" s="67" t="str" vm="4332">
        <f>CUBEVALUE(ConnectionString,ReportMonth,Table1[[#This Row],[Site ID (from DATIM)]],INDEX(SDI_Measures,2))</f>
        <v/>
      </c>
      <c r="AG156" s="67" t="str" vm="2551">
        <f>CUBEVALUE(ConnectionString,ReportMonth,Table1[[#This Row],[Site ID (from DATIM)]],INDEX(SDI_Measures,3))</f>
        <v/>
      </c>
      <c r="AH156" s="67" vm="2316">
        <f>CUBEVALUE(ConnectionString,ReportMonth,Table1[[#This Row],[Site ID (from DATIM)]],"TX_CURR_PRIOR_MONTH")</f>
        <v>191</v>
      </c>
      <c r="AI156" s="67" vm="1732">
        <f>CUBEVALUE(ConnectionString,ReportMonth,Table1[[#This Row],[Site ID (from DATIM)]],"TX_CURR")</f>
        <v>153</v>
      </c>
      <c r="AJ156" s="67" t="str" vm="2939">
        <f>CUBEVALUE(ConnectionString,ReportMonth,Table1[[#This Row],[Site ID (from DATIM)]],"[Measures].[TI]")</f>
        <v/>
      </c>
      <c r="AK156" s="67" t="str" vm="3442">
        <f>CUBEVALUE(ConnectionString,ReportMonth,Table1[[#This Row],[Site ID (from DATIM)]],"[Measures].[TO]")</f>
        <v/>
      </c>
      <c r="AL156" s="67" t="str" vm="3952">
        <f>CUBEVALUE(ConnectionString,ReportMonth,Table1[[#This Row],[Site ID (from DATIM)]],"[Measures].[DIED]")</f>
        <v/>
      </c>
      <c r="AM156" s="67" vm="8753">
        <f>CUBEVALUE(ConnectionString,ReportMonth,Table1[[#This Row],[Site ID (from DATIM)]],"[Measures].[MMS_01_31]")</f>
        <v>58</v>
      </c>
      <c r="AN156" s="67" vm="5355">
        <f>CUBEVALUE(ConnectionString,ReportMonth,Table1[[#This Row],[Site ID (from DATIM)]],"[Measures].[MMS_32_62]")</f>
        <v>2</v>
      </c>
      <c r="AO156" s="67" vm="5221">
        <f>CUBEVALUE(ConnectionString,ReportMonth,Table1[[#This Row],[Site ID (from DATIM)]],"[Measures].[MMS_63+]")</f>
        <v>93</v>
      </c>
      <c r="AP156" s="67" vm="7170">
        <f>CUBEVALUE(ConnectionString,ReportMonth,Table1[[#This Row],[Site ID (from DATIM)]],"[Measures].[TBPREV_D]")</f>
        <v>5</v>
      </c>
      <c r="AQ156" s="67" vm="6867">
        <f>CUBEVALUE(ConnectionString,ReportMonth,Table1[[#This Row],[Site ID (from DATIM)]],"[Measures].[TBPREV_N]")</f>
        <v>2</v>
      </c>
      <c r="AR156" s="67" t="str" vm="4558">
        <f>CUBEVALUE(ConnectionString,ReportMonth,Table1[[#This Row],[Site ID (from DATIM)]],"[Measures].[TBPREV_NEW]")</f>
        <v/>
      </c>
      <c r="AS156" s="67" vm="7671">
        <f>CUBEVALUE(ConnectionString,ReportMonth,Table1[[#This Row],[Site ID (from DATIM)]],"[Measures].[HVL_ELIG_P]")</f>
        <v>2</v>
      </c>
      <c r="AT156" s="67" vm="6491">
        <f>CUBEVALUE(ConnectionString,ReportMonth,Table1[[#This Row],[Site ID (from DATIM)]],"[Measures].[HVL_D_P]")</f>
        <v>1</v>
      </c>
      <c r="AU156" s="67" t="str" vm="11437">
        <f>CUBEVALUE(ConnectionString,ReportMonth,Table1[[#This Row],[Site ID (from DATIM)]],"[Measures].[HVL_N_P]")</f>
        <v/>
      </c>
      <c r="AV156" s="68" vm="14051">
        <f>CUBEVALUE(ConnectionString,ReportMonth,Table1[[#This Row],[Site ID (from DATIM)]],"[Measures].[HVL_ELIG_A]")</f>
        <v>127</v>
      </c>
      <c r="AW156" s="68" vm="9516">
        <f>CUBEVALUE(ConnectionString,ReportMonth,Table1[[#This Row],[Site ID (from DATIM)]],"[Measures].[HVL_D_A]")</f>
        <v>24</v>
      </c>
      <c r="AX156" s="68" vm="10819">
        <f>CUBEVALUE(ConnectionString,ReportMonth,Table1[[#This Row],[Site ID (from DATIM)]],"[Measures].[HVL_N_A]")</f>
        <v>22</v>
      </c>
      <c r="AY156" s="67"/>
      <c r="AZ156" s="67"/>
      <c r="BA156" s="67"/>
      <c r="BB156" s="67"/>
      <c r="BC156" s="67"/>
      <c r="BD156" s="67"/>
      <c r="BE156" s="67"/>
      <c r="BF156" s="67"/>
      <c r="BG156" s="67" t="str" vm="14268">
        <f>CUBEVALUE(ConnectionString,ReportMonth,Table1[[#This Row],[Site ID (from DATIM)]],"[Measures].[TX_NEW_F_A]")</f>
        <v/>
      </c>
      <c r="BH156" s="67" t="str" vm="13576">
        <f>CUBEVALUE(ConnectionString,ReportMonth,Table1[[#This Row],[Site ID (from DATIM)]],"[Measures].[TX_NEW_M_A]")</f>
        <v/>
      </c>
      <c r="BI156" s="67" t="str" vm="17068">
        <f>CUBEVALUE(ConnectionString,ReportMonth,Table1[[#This Row],[Site ID (from DATIM)]],"[Measures].[TX_NEW_F_P]")</f>
        <v/>
      </c>
      <c r="BJ156" s="68" t="str" vm="15278">
        <f>CUBEVALUE(ConnectionString,ReportMonth,Table1[[#This Row],[Site ID (from DATIM)]],"[Measures].[TX_NEW_M_P]")</f>
        <v/>
      </c>
      <c r="BK156" s="68"/>
      <c r="BL156" s="68"/>
      <c r="BM156" s="68"/>
      <c r="BN156" s="68"/>
      <c r="BO156" s="68"/>
      <c r="BP156" s="68"/>
      <c r="BQ156" s="68" t="str" vm="7521">
        <f>CUBEVALUE(ConnectionString,ReportMonth,Table1[[#This Row],[Site ID (from DATIM)]],"[Measures].[TX_CURR_F_P]")</f>
        <v/>
      </c>
      <c r="BR156" s="68" vm="10535">
        <f>CUBEVALUE(ConnectionString,ReportMonth,Table1[[#This Row],[Site ID (from DATIM)]],"[Measures].[TX_CURR_M_P]")</f>
        <v>2</v>
      </c>
      <c r="BS156" s="68" vm="9902">
        <f>CUBEVALUE(ConnectionString,ReportMonth,Table1[[#This Row],[Site ID (from DATIM)]],"[Measures].[TX_CURR_F_A]")</f>
        <v>118</v>
      </c>
      <c r="BT156" s="68" vm="10506">
        <f>CUBEVALUE(ConnectionString,ReportMonth,Table1[[#This Row],[Site ID (from DATIM)]],"[Measures].[TX_CURR_M_A]")</f>
        <v>33</v>
      </c>
      <c r="BU156" s="68" t="str" vm="19538">
        <f>CUBEVALUE(ConnectionString,ReportMonth,Table1[[#This Row],[Site ID (from DATIM)]],"[Measures].[MMS_01_89_F_P]")</f>
        <v/>
      </c>
      <c r="BV156" s="68" vm="19773">
        <f>CUBEVALUE(ConnectionString,ReportMonth,Table1[[#This Row],[Site ID (from DATIM)]],"[Measures].[MMS_01_89_M_P]")</f>
        <v>1</v>
      </c>
      <c r="BW156" s="68" vm="18025">
        <f>CUBEVALUE(ConnectionString,ReportMonth,Table1[[#This Row],[Site ID (from DATIM)]],"[Measures].[MMS_01_89_F_A]")</f>
        <v>50</v>
      </c>
      <c r="BX156" s="68" vm="19864">
        <f>CUBEVALUE(ConnectionString,ReportMonth,Table1[[#This Row],[Site ID (from DATIM)]],"[Measures].[MMS_01_89_M_A]")</f>
        <v>12</v>
      </c>
      <c r="BY156" s="68" t="str" vm="19334">
        <f>CUBEVALUE(ConnectionString,ReportMonth,Table1[[#This Row],[Site ID (from DATIM)]],"[Measures].[MMS_90_179_F_P]")</f>
        <v/>
      </c>
      <c r="BZ156" s="68" vm="14741">
        <f>CUBEVALUE(ConnectionString,ReportMonth,Table1[[#This Row],[Site ID (from DATIM)]],"[Measures].[MMS_90_179_M_P]")</f>
        <v>1</v>
      </c>
      <c r="CA156" s="68" vm="15134">
        <f>CUBEVALUE(ConnectionString,ReportMonth,Table1[[#This Row],[Site ID (from DATIM)]],"[Measures].[MMS_90_179_F_A]")</f>
        <v>68</v>
      </c>
      <c r="CB156" s="68" vm="16763">
        <f>CUBEVALUE(ConnectionString,ReportMonth,Table1[[#This Row],[Site ID (from DATIM)]],"[Measures].[MMS_90_179_M_A]")</f>
        <v>21</v>
      </c>
      <c r="CC156" s="68" t="str" vm="15879">
        <f>CUBEVALUE(ConnectionString,ReportMonth,Table1[[#This Row],[Site ID (from DATIM)]],"[Measures].[MMS_180+_F_P]")</f>
        <v/>
      </c>
      <c r="CD156" s="68" t="str" vm="20202">
        <f>CUBEVALUE(ConnectionString,ReportMonth,Table1[[#This Row],[Site ID (from DATIM)]],"[Measures].[MMS_180+_M_P]")</f>
        <v/>
      </c>
      <c r="CE156" s="68" t="str" vm="16316">
        <f>CUBEVALUE(ConnectionString,ReportMonth,Table1[[#This Row],[Site ID (from DATIM)]],"[Measures].[MMS_180+_F_A]")</f>
        <v/>
      </c>
      <c r="CF156" s="68" t="str" vm="16207">
        <f>CUBEVALUE(ConnectionString,ReportMonth,Table1[[#This Row],[Site ID (from DATIM)]],"[Measures].[MMS_180+_M_A]")</f>
        <v/>
      </c>
      <c r="CG156" s="68" vm="10067">
        <f>CUBEVALUE(ConnectionString,ReportMonth,Table1[[#This Row],[Site ID (from DATIM)]],"[Measures].[MISSEDAPP]")</f>
        <v>96</v>
      </c>
      <c r="CH156" s="68" t="str" vm="12570">
        <f>CUBEVALUE(ConnectionString,ReportMonth,Table1[[#This Row],[Site ID (from DATIM)]],"[Measures].[MMS_180+_P]")</f>
        <v/>
      </c>
      <c r="CI156" s="68" t="str" vm="11214">
        <f>CUBEVALUE(ConnectionString,ReportMonth,Table1[[#This Row],[Site ID (from DATIM)]],"[Measures].[MMS_180+_A]")</f>
        <v/>
      </c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  <c r="CW156" s="68"/>
      <c r="CX156" s="68"/>
      <c r="CY156" s="68"/>
      <c r="CZ156" s="68"/>
      <c r="DA156" s="68"/>
      <c r="DB156" s="68"/>
      <c r="DC156" s="68"/>
    </row>
    <row r="157" spans="1:107" x14ac:dyDescent="0.25">
      <c r="A157" s="66">
        <v>4</v>
      </c>
      <c r="B157" s="67" t="str" vm="4">
        <f t="shared" si="3"/>
        <v>Mar-2021</v>
      </c>
      <c r="C157" s="67"/>
      <c r="D157" s="67" t="s">
        <v>232</v>
      </c>
      <c r="E157" s="67" t="s">
        <v>233</v>
      </c>
      <c r="F157" s="67" t="s">
        <v>1083</v>
      </c>
      <c r="G157" s="67"/>
      <c r="H157" s="67" t="s">
        <v>1084</v>
      </c>
      <c r="I157" s="67" t="s">
        <v>1170</v>
      </c>
      <c r="J157" s="67" t="s">
        <v>1171</v>
      </c>
      <c r="K157" s="67" t="s">
        <v>1172</v>
      </c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 t="str" vm="1577">
        <f>CUBEVALUE(ConnectionString,ReportMonth,Table1[[#This Row],[Site ID (from DATIM)]],"TX_NEW_2VIS")</f>
        <v/>
      </c>
      <c r="AE157" s="67" t="str" vm="3687">
        <f>CUBEVALUE(ConnectionString,ReportMonth,Table1[[#This Row],[Site ID (from DATIM)]],INDEX(SDI_Measures,1))</f>
        <v/>
      </c>
      <c r="AF157" s="67" t="str" vm="1792">
        <f>CUBEVALUE(ConnectionString,ReportMonth,Table1[[#This Row],[Site ID (from DATIM)]],INDEX(SDI_Measures,2))</f>
        <v/>
      </c>
      <c r="AG157" s="67" t="str" vm="613">
        <f>CUBEVALUE(ConnectionString,ReportMonth,Table1[[#This Row],[Site ID (from DATIM)]],INDEX(SDI_Measures,3))</f>
        <v/>
      </c>
      <c r="AH157" s="67" vm="492">
        <f>CUBEVALUE(ConnectionString,ReportMonth,Table1[[#This Row],[Site ID (from DATIM)]],"TX_CURR_PRIOR_MONTH")</f>
        <v>277</v>
      </c>
      <c r="AI157" s="67" vm="983">
        <f>CUBEVALUE(ConnectionString,ReportMonth,Table1[[#This Row],[Site ID (from DATIM)]],"TX_CURR")</f>
        <v>262</v>
      </c>
      <c r="AJ157" s="67" t="str" vm="1542">
        <f>CUBEVALUE(ConnectionString,ReportMonth,Table1[[#This Row],[Site ID (from DATIM)]],"[Measures].[TI]")</f>
        <v/>
      </c>
      <c r="AK157" s="67" t="str" vm="4009">
        <f>CUBEVALUE(ConnectionString,ReportMonth,Table1[[#This Row],[Site ID (from DATIM)]],"[Measures].[TO]")</f>
        <v/>
      </c>
      <c r="AL157" s="67" t="str" vm="2909">
        <f>CUBEVALUE(ConnectionString,ReportMonth,Table1[[#This Row],[Site ID (from DATIM)]],"[Measures].[DIED]")</f>
        <v/>
      </c>
      <c r="AM157" s="67" vm="6896">
        <f>CUBEVALUE(ConnectionString,ReportMonth,Table1[[#This Row],[Site ID (from DATIM)]],"[Measures].[MMS_01_31]")</f>
        <v>185</v>
      </c>
      <c r="AN157" s="67" vm="6945">
        <f>CUBEVALUE(ConnectionString,ReportMonth,Table1[[#This Row],[Site ID (from DATIM)]],"[Measures].[MMS_32_62]")</f>
        <v>3</v>
      </c>
      <c r="AO157" s="67" vm="4790">
        <f>CUBEVALUE(ConnectionString,ReportMonth,Table1[[#This Row],[Site ID (from DATIM)]],"[Measures].[MMS_63+]")</f>
        <v>74</v>
      </c>
      <c r="AP157" s="67" vm="4576">
        <f>CUBEVALUE(ConnectionString,ReportMonth,Table1[[#This Row],[Site ID (from DATIM)]],"[Measures].[TBPREV_D]")</f>
        <v>18</v>
      </c>
      <c r="AQ157" s="67" vm="6306">
        <f>CUBEVALUE(ConnectionString,ReportMonth,Table1[[#This Row],[Site ID (from DATIM)]],"[Measures].[TBPREV_N]")</f>
        <v>8</v>
      </c>
      <c r="AR157" s="67" t="str" vm="5686">
        <f>CUBEVALUE(ConnectionString,ReportMonth,Table1[[#This Row],[Site ID (from DATIM)]],"[Measures].[TBPREV_NEW]")</f>
        <v/>
      </c>
      <c r="AS157" s="67" vm="6986">
        <f>CUBEVALUE(ConnectionString,ReportMonth,Table1[[#This Row],[Site ID (from DATIM)]],"[Measures].[HVL_ELIG_P]")</f>
        <v>7</v>
      </c>
      <c r="AT157" s="67" vm="5852">
        <f>CUBEVALUE(ConnectionString,ReportMonth,Table1[[#This Row],[Site ID (from DATIM)]],"[Measures].[HVL_D_P]")</f>
        <v>2</v>
      </c>
      <c r="AU157" s="67" vm="8221">
        <f>CUBEVALUE(ConnectionString,ReportMonth,Table1[[#This Row],[Site ID (from DATIM)]],"[Measures].[HVL_N_P]")</f>
        <v>2</v>
      </c>
      <c r="AV157" s="68" vm="11282">
        <f>CUBEVALUE(ConnectionString,ReportMonth,Table1[[#This Row],[Site ID (from DATIM)]],"[Measures].[HVL_ELIG_A]")</f>
        <v>200</v>
      </c>
      <c r="AW157" s="68" vm="14146">
        <f>CUBEVALUE(ConnectionString,ReportMonth,Table1[[#This Row],[Site ID (from DATIM)]],"[Measures].[HVL_D_A]")</f>
        <v>65</v>
      </c>
      <c r="AX157" s="68" vm="12184">
        <f>CUBEVALUE(ConnectionString,ReportMonth,Table1[[#This Row],[Site ID (from DATIM)]],"[Measures].[HVL_N_A]")</f>
        <v>58</v>
      </c>
      <c r="AY157" s="67"/>
      <c r="AZ157" s="67"/>
      <c r="BA157" s="67"/>
      <c r="BB157" s="67"/>
      <c r="BC157" s="67"/>
      <c r="BD157" s="67"/>
      <c r="BE157" s="67"/>
      <c r="BF157" s="67"/>
      <c r="BG157" s="67" t="str" vm="12046">
        <f>CUBEVALUE(ConnectionString,ReportMonth,Table1[[#This Row],[Site ID (from DATIM)]],"[Measures].[TX_NEW_F_A]")</f>
        <v/>
      </c>
      <c r="BH157" s="67" t="str" vm="12395">
        <f>CUBEVALUE(ConnectionString,ReportMonth,Table1[[#This Row],[Site ID (from DATIM)]],"[Measures].[TX_NEW_M_A]")</f>
        <v/>
      </c>
      <c r="BI157" s="67" t="str" vm="17049">
        <f>CUBEVALUE(ConnectionString,ReportMonth,Table1[[#This Row],[Site ID (from DATIM)]],"[Measures].[TX_NEW_F_P]")</f>
        <v/>
      </c>
      <c r="BJ157" s="68" t="str" vm="13457">
        <f>CUBEVALUE(ConnectionString,ReportMonth,Table1[[#This Row],[Site ID (from DATIM)]],"[Measures].[TX_NEW_M_P]")</f>
        <v/>
      </c>
      <c r="BK157" s="68"/>
      <c r="BL157" s="68"/>
      <c r="BM157" s="68"/>
      <c r="BN157" s="68"/>
      <c r="BO157" s="68"/>
      <c r="BP157" s="68"/>
      <c r="BQ157" s="68" vm="11109">
        <f>CUBEVALUE(ConnectionString,ReportMonth,Table1[[#This Row],[Site ID (from DATIM)]],"[Measures].[TX_CURR_F_P]")</f>
        <v>3</v>
      </c>
      <c r="BR157" s="68" vm="11173">
        <f>CUBEVALUE(ConnectionString,ReportMonth,Table1[[#This Row],[Site ID (from DATIM)]],"[Measures].[TX_CURR_M_P]")</f>
        <v>5</v>
      </c>
      <c r="BS157" s="68" vm="12031">
        <f>CUBEVALUE(ConnectionString,ReportMonth,Table1[[#This Row],[Site ID (from DATIM)]],"[Measures].[TX_CURR_F_A]")</f>
        <v>162</v>
      </c>
      <c r="BT157" s="68" vm="9995">
        <f>CUBEVALUE(ConnectionString,ReportMonth,Table1[[#This Row],[Site ID (from DATIM)]],"[Measures].[TX_CURR_M_A]")</f>
        <v>92</v>
      </c>
      <c r="BU157" s="68" vm="20103">
        <f>CUBEVALUE(ConnectionString,ReportMonth,Table1[[#This Row],[Site ID (from DATIM)]],"[Measures].[MMS_01_89_F_P]")</f>
        <v>2</v>
      </c>
      <c r="BV157" s="68" vm="19772">
        <f>CUBEVALUE(ConnectionString,ReportMonth,Table1[[#This Row],[Site ID (from DATIM)]],"[Measures].[MMS_01_89_M_P]")</f>
        <v>5</v>
      </c>
      <c r="BW157" s="68" vm="17971">
        <f>CUBEVALUE(ConnectionString,ReportMonth,Table1[[#This Row],[Site ID (from DATIM)]],"[Measures].[MMS_01_89_F_A]")</f>
        <v>115</v>
      </c>
      <c r="BX157" s="68" vm="18258">
        <f>CUBEVALUE(ConnectionString,ReportMonth,Table1[[#This Row],[Site ID (from DATIM)]],"[Measures].[MMS_01_89_M_A]")</f>
        <v>67</v>
      </c>
      <c r="BY157" s="68" vm="18204">
        <f>CUBEVALUE(ConnectionString,ReportMonth,Table1[[#This Row],[Site ID (from DATIM)]],"[Measures].[MMS_90_179_F_P]")</f>
        <v>1</v>
      </c>
      <c r="BZ157" s="68" t="str" vm="15917">
        <f>CUBEVALUE(ConnectionString,ReportMonth,Table1[[#This Row],[Site ID (from DATIM)]],"[Measures].[MMS_90_179_M_P]")</f>
        <v/>
      </c>
      <c r="CA157" s="68" vm="16908">
        <f>CUBEVALUE(ConnectionString,ReportMonth,Table1[[#This Row],[Site ID (from DATIM)]],"[Measures].[MMS_90_179_F_A]")</f>
        <v>47</v>
      </c>
      <c r="CB157" s="68" vm="16394">
        <f>CUBEVALUE(ConnectionString,ReportMonth,Table1[[#This Row],[Site ID (from DATIM)]],"[Measures].[MMS_90_179_M_A]")</f>
        <v>25</v>
      </c>
      <c r="CC157" s="68" t="str" vm="16789">
        <f>CUBEVALUE(ConnectionString,ReportMonth,Table1[[#This Row],[Site ID (from DATIM)]],"[Measures].[MMS_180+_F_P]")</f>
        <v/>
      </c>
      <c r="CD157" s="68" t="str" vm="17486">
        <f>CUBEVALUE(ConnectionString,ReportMonth,Table1[[#This Row],[Site ID (from DATIM)]],"[Measures].[MMS_180+_M_P]")</f>
        <v/>
      </c>
      <c r="CE157" s="68" t="str" vm="15382">
        <f>CUBEVALUE(ConnectionString,ReportMonth,Table1[[#This Row],[Site ID (from DATIM)]],"[Measures].[MMS_180+_F_A]")</f>
        <v/>
      </c>
      <c r="CF157" s="68" t="str" vm="331">
        <f>CUBEVALUE(ConnectionString,ReportMonth,Table1[[#This Row],[Site ID (from DATIM)]],"[Measures].[MMS_180+_M_A]")</f>
        <v/>
      </c>
      <c r="CG157" s="68" vm="4690">
        <f>CUBEVALUE(ConnectionString,ReportMonth,Table1[[#This Row],[Site ID (from DATIM)]],"[Measures].[MISSEDAPP]")</f>
        <v>204</v>
      </c>
      <c r="CH157" s="68" t="str" vm="11195">
        <f>CUBEVALUE(ConnectionString,ReportMonth,Table1[[#This Row],[Site ID (from DATIM)]],"[Measures].[MMS_180+_P]")</f>
        <v/>
      </c>
      <c r="CI157" s="68" t="str" vm="12162">
        <f>CUBEVALUE(ConnectionString,ReportMonth,Table1[[#This Row],[Site ID (from DATIM)]],"[Measures].[MMS_180+_A]")</f>
        <v/>
      </c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  <c r="CW157" s="68"/>
      <c r="CX157" s="68"/>
      <c r="CY157" s="68"/>
      <c r="CZ157" s="68"/>
      <c r="DA157" s="68"/>
      <c r="DB157" s="68"/>
      <c r="DC157" s="68"/>
    </row>
    <row r="158" spans="1:107" x14ac:dyDescent="0.25">
      <c r="A158" s="66">
        <v>4</v>
      </c>
      <c r="B158" s="67" t="str" vm="4">
        <f t="shared" si="3"/>
        <v>Mar-2021</v>
      </c>
      <c r="C158" s="67"/>
      <c r="D158" s="67" t="s">
        <v>232</v>
      </c>
      <c r="E158" s="67" t="s">
        <v>233</v>
      </c>
      <c r="F158" s="67" t="s">
        <v>831</v>
      </c>
      <c r="G158" s="67"/>
      <c r="H158" s="67" t="s">
        <v>847</v>
      </c>
      <c r="I158" s="67" t="s">
        <v>915</v>
      </c>
      <c r="J158" s="67" t="s">
        <v>916</v>
      </c>
      <c r="K158" s="67" t="s">
        <v>917</v>
      </c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 t="str" vm="298">
        <f>CUBEVALUE(ConnectionString,ReportMonth,Table1[[#This Row],[Site ID (from DATIM)]],"TX_NEW_2VIS")</f>
        <v/>
      </c>
      <c r="AE158" s="67" t="str" vm="305">
        <f>CUBEVALUE(ConnectionString,ReportMonth,Table1[[#This Row],[Site ID (from DATIM)]],INDEX(SDI_Measures,1))</f>
        <v/>
      </c>
      <c r="AF158" s="67" t="str" vm="1177">
        <f>CUBEVALUE(ConnectionString,ReportMonth,Table1[[#This Row],[Site ID (from DATIM)]],INDEX(SDI_Measures,2))</f>
        <v/>
      </c>
      <c r="AG158" s="67" t="str" vm="261">
        <f>CUBEVALUE(ConnectionString,ReportMonth,Table1[[#This Row],[Site ID (from DATIM)]],INDEX(SDI_Measures,3))</f>
        <v/>
      </c>
      <c r="AH158" s="67" vm="882">
        <f>CUBEVALUE(ConnectionString,ReportMonth,Table1[[#This Row],[Site ID (from DATIM)]],"TX_CURR_PRIOR_MONTH")</f>
        <v>12</v>
      </c>
      <c r="AI158" s="67" vm="3370">
        <f>CUBEVALUE(ConnectionString,ReportMonth,Table1[[#This Row],[Site ID (from DATIM)]],"TX_CURR")</f>
        <v>12</v>
      </c>
      <c r="AJ158" s="67" t="str" vm="4372">
        <f>CUBEVALUE(ConnectionString,ReportMonth,Table1[[#This Row],[Site ID (from DATIM)]],"[Measures].[TI]")</f>
        <v/>
      </c>
      <c r="AK158" s="67" t="str" vm="3277">
        <f>CUBEVALUE(ConnectionString,ReportMonth,Table1[[#This Row],[Site ID (from DATIM)]],"[Measures].[TO]")</f>
        <v/>
      </c>
      <c r="AL158" s="67" t="str" vm="3253">
        <f>CUBEVALUE(ConnectionString,ReportMonth,Table1[[#This Row],[Site ID (from DATIM)]],"[Measures].[DIED]")</f>
        <v/>
      </c>
      <c r="AM158" s="67" vm="5009">
        <f>CUBEVALUE(ConnectionString,ReportMonth,Table1[[#This Row],[Site ID (from DATIM)]],"[Measures].[MMS_01_31]")</f>
        <v>12</v>
      </c>
      <c r="AN158" s="67" t="str" vm="7357">
        <f>CUBEVALUE(ConnectionString,ReportMonth,Table1[[#This Row],[Site ID (from DATIM)]],"[Measures].[MMS_32_62]")</f>
        <v/>
      </c>
      <c r="AO158" s="67" t="str" vm="6092">
        <f>CUBEVALUE(ConnectionString,ReportMonth,Table1[[#This Row],[Site ID (from DATIM)]],"[Measures].[MMS_63+]")</f>
        <v/>
      </c>
      <c r="AP158" s="67" vm="7426">
        <f>CUBEVALUE(ConnectionString,ReportMonth,Table1[[#This Row],[Site ID (from DATIM)]],"[Measures].[TBPREV_D]")</f>
        <v>3</v>
      </c>
      <c r="AQ158" s="67" vm="5778">
        <f>CUBEVALUE(ConnectionString,ReportMonth,Table1[[#This Row],[Site ID (from DATIM)]],"[Measures].[TBPREV_N]")</f>
        <v>3</v>
      </c>
      <c r="AR158" s="67" t="str" vm="4664">
        <f>CUBEVALUE(ConnectionString,ReportMonth,Table1[[#This Row],[Site ID (from DATIM)]],"[Measures].[TBPREV_NEW]")</f>
        <v/>
      </c>
      <c r="AS158" s="67" t="str" vm="12979">
        <f>CUBEVALUE(ConnectionString,ReportMonth,Table1[[#This Row],[Site ID (from DATIM)]],"[Measures].[HVL_ELIG_P]")</f>
        <v/>
      </c>
      <c r="AT158" s="67" t="str" vm="10075">
        <f>CUBEVALUE(ConnectionString,ReportMonth,Table1[[#This Row],[Site ID (from DATIM)]],"[Measures].[HVL_D_P]")</f>
        <v/>
      </c>
      <c r="AU158" s="67" t="str" vm="11348">
        <f>CUBEVALUE(ConnectionString,ReportMonth,Table1[[#This Row],[Site ID (from DATIM)]],"[Measures].[HVL_N_P]")</f>
        <v/>
      </c>
      <c r="AV158" s="68" vm="9034">
        <f>CUBEVALUE(ConnectionString,ReportMonth,Table1[[#This Row],[Site ID (from DATIM)]],"[Measures].[HVL_ELIG_A]")</f>
        <v>9</v>
      </c>
      <c r="AW158" s="68" t="str" vm="11589">
        <f>CUBEVALUE(ConnectionString,ReportMonth,Table1[[#This Row],[Site ID (from DATIM)]],"[Measures].[HVL_D_A]")</f>
        <v/>
      </c>
      <c r="AX158" s="68" t="str" vm="8928">
        <f>CUBEVALUE(ConnectionString,ReportMonth,Table1[[#This Row],[Site ID (from DATIM)]],"[Measures].[HVL_N_A]")</f>
        <v/>
      </c>
      <c r="AY158" s="67"/>
      <c r="AZ158" s="67"/>
      <c r="BA158" s="67"/>
      <c r="BB158" s="67"/>
      <c r="BC158" s="67"/>
      <c r="BD158" s="67"/>
      <c r="BE158" s="67"/>
      <c r="BF158" s="67"/>
      <c r="BG158" s="67" t="str" vm="13784">
        <f>CUBEVALUE(ConnectionString,ReportMonth,Table1[[#This Row],[Site ID (from DATIM)]],"[Measures].[TX_NEW_F_A]")</f>
        <v/>
      </c>
      <c r="BH158" s="67" t="str" vm="13360">
        <f>CUBEVALUE(ConnectionString,ReportMonth,Table1[[#This Row],[Site ID (from DATIM)]],"[Measures].[TX_NEW_M_A]")</f>
        <v/>
      </c>
      <c r="BI158" s="67" t="str" vm="15270">
        <f>CUBEVALUE(ConnectionString,ReportMonth,Table1[[#This Row],[Site ID (from DATIM)]],"[Measures].[TX_NEW_F_P]")</f>
        <v/>
      </c>
      <c r="BJ158" s="68" t="str" vm="17017">
        <f>CUBEVALUE(ConnectionString,ReportMonth,Table1[[#This Row],[Site ID (from DATIM)]],"[Measures].[TX_NEW_M_P]")</f>
        <v/>
      </c>
      <c r="BK158" s="68"/>
      <c r="BL158" s="68"/>
      <c r="BM158" s="68"/>
      <c r="BN158" s="68"/>
      <c r="BO158" s="68"/>
      <c r="BP158" s="68"/>
      <c r="BQ158" s="68" t="str" vm="8259">
        <f>CUBEVALUE(ConnectionString,ReportMonth,Table1[[#This Row],[Site ID (from DATIM)]],"[Measures].[TX_CURR_F_P]")</f>
        <v/>
      </c>
      <c r="BR158" s="68" t="str" vm="12771">
        <f>CUBEVALUE(ConnectionString,ReportMonth,Table1[[#This Row],[Site ID (from DATIM)]],"[Measures].[TX_CURR_M_P]")</f>
        <v/>
      </c>
      <c r="BS158" s="68" vm="10711">
        <f>CUBEVALUE(ConnectionString,ReportMonth,Table1[[#This Row],[Site ID (from DATIM)]],"[Measures].[TX_CURR_F_A]")</f>
        <v>11</v>
      </c>
      <c r="BT158" s="68" vm="14007">
        <f>CUBEVALUE(ConnectionString,ReportMonth,Table1[[#This Row],[Site ID (from DATIM)]],"[Measures].[TX_CURR_M_A]")</f>
        <v>1</v>
      </c>
      <c r="BU158" s="68" t="str" vm="20049">
        <f>CUBEVALUE(ConnectionString,ReportMonth,Table1[[#This Row],[Site ID (from DATIM)]],"[Measures].[MMS_01_89_F_P]")</f>
        <v/>
      </c>
      <c r="BV158" s="68" t="str" vm="19660">
        <f>CUBEVALUE(ConnectionString,ReportMonth,Table1[[#This Row],[Site ID (from DATIM)]],"[Measures].[MMS_01_89_M_P]")</f>
        <v/>
      </c>
      <c r="BW158" s="68" vm="18537">
        <f>CUBEVALUE(ConnectionString,ReportMonth,Table1[[#This Row],[Site ID (from DATIM)]],"[Measures].[MMS_01_89_F_A]")</f>
        <v>11</v>
      </c>
      <c r="BX158" s="68" vm="18339">
        <f>CUBEVALUE(ConnectionString,ReportMonth,Table1[[#This Row],[Site ID (from DATIM)]],"[Measures].[MMS_01_89_M_A]")</f>
        <v>1</v>
      </c>
      <c r="BY158" s="68" t="str" vm="16480">
        <f>CUBEVALUE(ConnectionString,ReportMonth,Table1[[#This Row],[Site ID (from DATIM)]],"[Measures].[MMS_90_179_F_P]")</f>
        <v/>
      </c>
      <c r="BZ158" s="68" t="str" vm="16447">
        <f>CUBEVALUE(ConnectionString,ReportMonth,Table1[[#This Row],[Site ID (from DATIM)]],"[Measures].[MMS_90_179_M_P]")</f>
        <v/>
      </c>
      <c r="CA158" s="68" t="str" vm="14666">
        <f>CUBEVALUE(ConnectionString,ReportMonth,Table1[[#This Row],[Site ID (from DATIM)]],"[Measures].[MMS_90_179_F_A]")</f>
        <v/>
      </c>
      <c r="CB158" s="68" t="str" vm="17755">
        <f>CUBEVALUE(ConnectionString,ReportMonth,Table1[[#This Row],[Site ID (from DATIM)]],"[Measures].[MMS_90_179_M_A]")</f>
        <v/>
      </c>
      <c r="CC158" s="68" t="str" vm="17682">
        <f>CUBEVALUE(ConnectionString,ReportMonth,Table1[[#This Row],[Site ID (from DATIM)]],"[Measures].[MMS_180+_F_P]")</f>
        <v/>
      </c>
      <c r="CD158" s="68" t="str" vm="17215">
        <f>CUBEVALUE(ConnectionString,ReportMonth,Table1[[#This Row],[Site ID (from DATIM)]],"[Measures].[MMS_180+_M_P]")</f>
        <v/>
      </c>
      <c r="CE158" s="68" t="str" vm="17167">
        <f>CUBEVALUE(ConnectionString,ReportMonth,Table1[[#This Row],[Site ID (from DATIM)]],"[Measures].[MMS_180+_F_A]")</f>
        <v/>
      </c>
      <c r="CF158" s="68" t="str" vm="20232">
        <f>CUBEVALUE(ConnectionString,ReportMonth,Table1[[#This Row],[Site ID (from DATIM)]],"[Measures].[MMS_180+_M_A]")</f>
        <v/>
      </c>
      <c r="CG158" s="68" vm="7840">
        <f>CUBEVALUE(ConnectionString,ReportMonth,Table1[[#This Row],[Site ID (from DATIM)]],"[Measures].[MISSEDAPP]")</f>
        <v>12</v>
      </c>
      <c r="CH158" s="68" t="str" vm="13830">
        <f>CUBEVALUE(ConnectionString,ReportMonth,Table1[[#This Row],[Site ID (from DATIM)]],"[Measures].[MMS_180+_P]")</f>
        <v/>
      </c>
      <c r="CI158" s="68" t="str" vm="12377">
        <f>CUBEVALUE(ConnectionString,ReportMonth,Table1[[#This Row],[Site ID (from DATIM)]],"[Measures].[MMS_180+_A]")</f>
        <v/>
      </c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  <c r="CW158" s="68"/>
      <c r="CX158" s="68"/>
      <c r="CY158" s="68"/>
      <c r="CZ158" s="68"/>
      <c r="DA158" s="68"/>
      <c r="DB158" s="68"/>
      <c r="DC158" s="68"/>
    </row>
    <row r="159" spans="1:107" x14ac:dyDescent="0.25">
      <c r="A159" s="66">
        <v>4</v>
      </c>
      <c r="B159" s="67" t="str" vm="4">
        <f t="shared" si="3"/>
        <v>Mar-2021</v>
      </c>
      <c r="C159" s="67"/>
      <c r="D159" s="67" t="s">
        <v>232</v>
      </c>
      <c r="E159" s="67" t="s">
        <v>233</v>
      </c>
      <c r="F159" s="67" t="s">
        <v>831</v>
      </c>
      <c r="G159" s="67"/>
      <c r="H159" s="67" t="s">
        <v>856</v>
      </c>
      <c r="I159" s="67" t="s">
        <v>918</v>
      </c>
      <c r="J159" s="67" t="s">
        <v>919</v>
      </c>
      <c r="K159" s="67" t="s">
        <v>920</v>
      </c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 t="str" vm="1094">
        <f>CUBEVALUE(ConnectionString,ReportMonth,Table1[[#This Row],[Site ID (from DATIM)]],"TX_NEW_2VIS")</f>
        <v/>
      </c>
      <c r="AE159" s="67" t="str" vm="1104">
        <f>CUBEVALUE(ConnectionString,ReportMonth,Table1[[#This Row],[Site ID (from DATIM)]],INDEX(SDI_Measures,1))</f>
        <v/>
      </c>
      <c r="AF159" s="67" t="str" vm="1025">
        <f>CUBEVALUE(ConnectionString,ReportMonth,Table1[[#This Row],[Site ID (from DATIM)]],INDEX(SDI_Measures,2))</f>
        <v/>
      </c>
      <c r="AG159" s="67" t="str" vm="2739">
        <f>CUBEVALUE(ConnectionString,ReportMonth,Table1[[#This Row],[Site ID (from DATIM)]],INDEX(SDI_Measures,3))</f>
        <v/>
      </c>
      <c r="AH159" s="67" vm="3402">
        <f>CUBEVALUE(ConnectionString,ReportMonth,Table1[[#This Row],[Site ID (from DATIM)]],"TX_CURR_PRIOR_MONTH")</f>
        <v>92</v>
      </c>
      <c r="AI159" s="67" vm="2765">
        <f>CUBEVALUE(ConnectionString,ReportMonth,Table1[[#This Row],[Site ID (from DATIM)]],"TX_CURR")</f>
        <v>82</v>
      </c>
      <c r="AJ159" s="67" vm="836">
        <f>CUBEVALUE(ConnectionString,ReportMonth,Table1[[#This Row],[Site ID (from DATIM)]],"[Measures].[TI]")</f>
        <v>1</v>
      </c>
      <c r="AK159" s="67" t="str" vm="4470">
        <f>CUBEVALUE(ConnectionString,ReportMonth,Table1[[#This Row],[Site ID (from DATIM)]],"[Measures].[TO]")</f>
        <v/>
      </c>
      <c r="AL159" s="67" t="str" vm="2368">
        <f>CUBEVALUE(ConnectionString,ReportMonth,Table1[[#This Row],[Site ID (from DATIM)]],"[Measures].[DIED]")</f>
        <v/>
      </c>
      <c r="AM159" s="67" vm="6141">
        <f>CUBEVALUE(ConnectionString,ReportMonth,Table1[[#This Row],[Site ID (from DATIM)]],"[Measures].[MMS_01_31]")</f>
        <v>19</v>
      </c>
      <c r="AN159" s="67" vm="8172">
        <f>CUBEVALUE(ConnectionString,ReportMonth,Table1[[#This Row],[Site ID (from DATIM)]],"[Measures].[MMS_32_62]")</f>
        <v>3</v>
      </c>
      <c r="AO159" s="67" vm="6034">
        <f>CUBEVALUE(ConnectionString,ReportMonth,Table1[[#This Row],[Site ID (from DATIM)]],"[Measures].[MMS_63+]")</f>
        <v>60</v>
      </c>
      <c r="AP159" s="67" vm="6694">
        <f>CUBEVALUE(ConnectionString,ReportMonth,Table1[[#This Row],[Site ID (from DATIM)]],"[Measures].[TBPREV_D]")</f>
        <v>4</v>
      </c>
      <c r="AQ159" s="67" vm="7820">
        <f>CUBEVALUE(ConnectionString,ReportMonth,Table1[[#This Row],[Site ID (from DATIM)]],"[Measures].[TBPREV_N]")</f>
        <v>3</v>
      </c>
      <c r="AR159" s="67" vm="5241">
        <f>CUBEVALUE(ConnectionString,ReportMonth,Table1[[#This Row],[Site ID (from DATIM)]],"[Measures].[TBPREV_NEW]")</f>
        <v>1</v>
      </c>
      <c r="AS159" s="67" vm="5844">
        <f>CUBEVALUE(ConnectionString,ReportMonth,Table1[[#This Row],[Site ID (from DATIM)]],"[Measures].[HVL_ELIG_P]")</f>
        <v>5</v>
      </c>
      <c r="AT159" s="67" vm="10495">
        <f>CUBEVALUE(ConnectionString,ReportMonth,Table1[[#This Row],[Site ID (from DATIM)]],"[Measures].[HVL_D_P]")</f>
        <v>3</v>
      </c>
      <c r="AU159" s="67" vm="8485">
        <f>CUBEVALUE(ConnectionString,ReportMonth,Table1[[#This Row],[Site ID (from DATIM)]],"[Measures].[HVL_N_P]")</f>
        <v>2</v>
      </c>
      <c r="AV159" s="68" vm="9393">
        <f>CUBEVALUE(ConnectionString,ReportMonth,Table1[[#This Row],[Site ID (from DATIM)]],"[Measures].[HVL_ELIG_A]")</f>
        <v>66</v>
      </c>
      <c r="AW159" s="68" vm="8565">
        <f>CUBEVALUE(ConnectionString,ReportMonth,Table1[[#This Row],[Site ID (from DATIM)]],"[Measures].[HVL_D_A]")</f>
        <v>48</v>
      </c>
      <c r="AX159" s="68" vm="8709">
        <f>CUBEVALUE(ConnectionString,ReportMonth,Table1[[#This Row],[Site ID (from DATIM)]],"[Measures].[HVL_N_A]")</f>
        <v>46</v>
      </c>
      <c r="AY159" s="67"/>
      <c r="AZ159" s="67"/>
      <c r="BA159" s="67"/>
      <c r="BB159" s="67"/>
      <c r="BC159" s="67"/>
      <c r="BD159" s="67"/>
      <c r="BE159" s="67"/>
      <c r="BF159" s="67"/>
      <c r="BG159" s="67" t="str" vm="17402">
        <f>CUBEVALUE(ConnectionString,ReportMonth,Table1[[#This Row],[Site ID (from DATIM)]],"[Measures].[TX_NEW_F_A]")</f>
        <v/>
      </c>
      <c r="BH159" s="67" t="str" vm="17375">
        <f>CUBEVALUE(ConnectionString,ReportMonth,Table1[[#This Row],[Site ID (from DATIM)]],"[Measures].[TX_NEW_M_A]")</f>
        <v/>
      </c>
      <c r="BI159" s="67" t="str" vm="17024">
        <f>CUBEVALUE(ConnectionString,ReportMonth,Table1[[#This Row],[Site ID (from DATIM)]],"[Measures].[TX_NEW_F_P]")</f>
        <v/>
      </c>
      <c r="BJ159" s="68" t="str" vm="14330">
        <f>CUBEVALUE(ConnectionString,ReportMonth,Table1[[#This Row],[Site ID (from DATIM)]],"[Measures].[TX_NEW_M_P]")</f>
        <v/>
      </c>
      <c r="BK159" s="68"/>
      <c r="BL159" s="68"/>
      <c r="BM159" s="68"/>
      <c r="BN159" s="68"/>
      <c r="BO159" s="68"/>
      <c r="BP159" s="68"/>
      <c r="BQ159" s="68" vm="8750">
        <f>CUBEVALUE(ConnectionString,ReportMonth,Table1[[#This Row],[Site ID (from DATIM)]],"[Measures].[TX_CURR_F_P]")</f>
        <v>3</v>
      </c>
      <c r="BR159" s="68" vm="9250">
        <f>CUBEVALUE(ConnectionString,ReportMonth,Table1[[#This Row],[Site ID (from DATIM)]],"[Measures].[TX_CURR_M_P]")</f>
        <v>4</v>
      </c>
      <c r="BS159" s="68" vm="10016">
        <f>CUBEVALUE(ConnectionString,ReportMonth,Table1[[#This Row],[Site ID (from DATIM)]],"[Measures].[TX_CURR_F_A]")</f>
        <v>54</v>
      </c>
      <c r="BT159" s="68" vm="12256">
        <f>CUBEVALUE(ConnectionString,ReportMonth,Table1[[#This Row],[Site ID (from DATIM)]],"[Measures].[TX_CURR_M_A]")</f>
        <v>21</v>
      </c>
      <c r="BU159" s="68" vm="18099">
        <f>CUBEVALUE(ConnectionString,ReportMonth,Table1[[#This Row],[Site ID (from DATIM)]],"[Measures].[MMS_01_89_F_P]")</f>
        <v>2</v>
      </c>
      <c r="BV159" s="68" vm="18596">
        <f>CUBEVALUE(ConnectionString,ReportMonth,Table1[[#This Row],[Site ID (from DATIM)]],"[Measures].[MMS_01_89_M_P]")</f>
        <v>3</v>
      </c>
      <c r="BW159" s="68" vm="19521">
        <f>CUBEVALUE(ConnectionString,ReportMonth,Table1[[#This Row],[Site ID (from DATIM)]],"[Measures].[MMS_01_89_F_A]")</f>
        <v>12</v>
      </c>
      <c r="BX159" s="68" vm="18009">
        <f>CUBEVALUE(ConnectionString,ReportMonth,Table1[[#This Row],[Site ID (from DATIM)]],"[Measures].[MMS_01_89_M_A]")</f>
        <v>6</v>
      </c>
      <c r="BY159" s="68" vm="19124">
        <f>CUBEVALUE(ConnectionString,ReportMonth,Table1[[#This Row],[Site ID (from DATIM)]],"[Measures].[MMS_90_179_F_P]")</f>
        <v>1</v>
      </c>
      <c r="BZ159" s="68" vm="16535">
        <f>CUBEVALUE(ConnectionString,ReportMonth,Table1[[#This Row],[Site ID (from DATIM)]],"[Measures].[MMS_90_179_M_P]")</f>
        <v>1</v>
      </c>
      <c r="CA159" s="68" vm="15894">
        <f>CUBEVALUE(ConnectionString,ReportMonth,Table1[[#This Row],[Site ID (from DATIM)]],"[Measures].[MMS_90_179_F_A]")</f>
        <v>42</v>
      </c>
      <c r="CB159" s="68" vm="15090">
        <f>CUBEVALUE(ConnectionString,ReportMonth,Table1[[#This Row],[Site ID (from DATIM)]],"[Measures].[MMS_90_179_M_A]")</f>
        <v>15</v>
      </c>
      <c r="CC159" s="68" t="str" vm="16414">
        <f>CUBEVALUE(ConnectionString,ReportMonth,Table1[[#This Row],[Site ID (from DATIM)]],"[Measures].[MMS_180+_F_P]")</f>
        <v/>
      </c>
      <c r="CD159" s="68" t="str" vm="15439">
        <f>CUBEVALUE(ConnectionString,ReportMonth,Table1[[#This Row],[Site ID (from DATIM)]],"[Measures].[MMS_180+_M_P]")</f>
        <v/>
      </c>
      <c r="CE159" s="68" t="str" vm="17538">
        <f>CUBEVALUE(ConnectionString,ReportMonth,Table1[[#This Row],[Site ID (from DATIM)]],"[Measures].[MMS_180+_F_A]")</f>
        <v/>
      </c>
      <c r="CF159" s="68" t="str" vm="17124">
        <f>CUBEVALUE(ConnectionString,ReportMonth,Table1[[#This Row],[Site ID (from DATIM)]],"[Measures].[MMS_180+_M_A]")</f>
        <v/>
      </c>
      <c r="CG159" s="68" vm="6489">
        <f>CUBEVALUE(ConnectionString,ReportMonth,Table1[[#This Row],[Site ID (from DATIM)]],"[Measures].[MISSEDAPP]")</f>
        <v>66</v>
      </c>
      <c r="CH159" s="68" t="str" vm="12153">
        <f>CUBEVALUE(ConnectionString,ReportMonth,Table1[[#This Row],[Site ID (from DATIM)]],"[Measures].[MMS_180+_P]")</f>
        <v/>
      </c>
      <c r="CI159" s="68" t="str" vm="11710">
        <f>CUBEVALUE(ConnectionString,ReportMonth,Table1[[#This Row],[Site ID (from DATIM)]],"[Measures].[MMS_180+_A]")</f>
        <v/>
      </c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  <c r="CW159" s="68"/>
      <c r="CX159" s="68"/>
      <c r="CY159" s="68"/>
      <c r="CZ159" s="68"/>
      <c r="DA159" s="68"/>
      <c r="DB159" s="68"/>
      <c r="DC159" s="68"/>
    </row>
    <row r="160" spans="1:107" x14ac:dyDescent="0.25">
      <c r="A160" s="66">
        <v>4</v>
      </c>
      <c r="B160" s="67" t="str" vm="4">
        <f t="shared" si="3"/>
        <v>Mar-2021</v>
      </c>
      <c r="C160" s="67"/>
      <c r="D160" s="67" t="s">
        <v>232</v>
      </c>
      <c r="E160" s="67" t="s">
        <v>233</v>
      </c>
      <c r="F160" s="67" t="s">
        <v>437</v>
      </c>
      <c r="G160" s="67"/>
      <c r="H160" s="67" t="s">
        <v>438</v>
      </c>
      <c r="I160" s="67" t="s">
        <v>596</v>
      </c>
      <c r="J160" s="67" t="s">
        <v>597</v>
      </c>
      <c r="K160" s="67" t="s">
        <v>598</v>
      </c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 vm="1601">
        <f>CUBEVALUE(ConnectionString,ReportMonth,Table1[[#This Row],[Site ID (from DATIM)]],"TX_NEW_2VIS")</f>
        <v>1</v>
      </c>
      <c r="AE160" s="67" vm="1339">
        <f>CUBEVALUE(ConnectionString,ReportMonth,Table1[[#This Row],[Site ID (from DATIM)]],INDEX(SDI_Measures,1))</f>
        <v>1</v>
      </c>
      <c r="AF160" s="67" t="str" vm="609">
        <f>CUBEVALUE(ConnectionString,ReportMonth,Table1[[#This Row],[Site ID (from DATIM)]],INDEX(SDI_Measures,2))</f>
        <v/>
      </c>
      <c r="AG160" s="67" t="str" vm="1562">
        <f>CUBEVALUE(ConnectionString,ReportMonth,Table1[[#This Row],[Site ID (from DATIM)]],INDEX(SDI_Measures,3))</f>
        <v/>
      </c>
      <c r="AH160" s="67" vm="1445">
        <f>CUBEVALUE(ConnectionString,ReportMonth,Table1[[#This Row],[Site ID (from DATIM)]],"TX_CURR_PRIOR_MONTH")</f>
        <v>158</v>
      </c>
      <c r="AI160" s="67" vm="1512">
        <f>CUBEVALUE(ConnectionString,ReportMonth,Table1[[#This Row],[Site ID (from DATIM)]],"TX_CURR")</f>
        <v>152</v>
      </c>
      <c r="AJ160" s="67" t="str" vm="3839">
        <f>CUBEVALUE(ConnectionString,ReportMonth,Table1[[#This Row],[Site ID (from DATIM)]],"[Measures].[TI]")</f>
        <v/>
      </c>
      <c r="AK160" s="67" t="str" vm="3756">
        <f>CUBEVALUE(ConnectionString,ReportMonth,Table1[[#This Row],[Site ID (from DATIM)]],"[Measures].[TO]")</f>
        <v/>
      </c>
      <c r="AL160" s="67" t="str" vm="3695">
        <f>CUBEVALUE(ConnectionString,ReportMonth,Table1[[#This Row],[Site ID (from DATIM)]],"[Measures].[DIED]")</f>
        <v/>
      </c>
      <c r="AM160" s="67" vm="3686">
        <f>CUBEVALUE(ConnectionString,ReportMonth,Table1[[#This Row],[Site ID (from DATIM)]],"[Measures].[MMS_01_31]")</f>
        <v>8</v>
      </c>
      <c r="AN160" s="67" vm="4648">
        <f>CUBEVALUE(ConnectionString,ReportMonth,Table1[[#This Row],[Site ID (from DATIM)]],"[Measures].[MMS_32_62]")</f>
        <v>1</v>
      </c>
      <c r="AO160" s="67" vm="9797">
        <f>CUBEVALUE(ConnectionString,ReportMonth,Table1[[#This Row],[Site ID (from DATIM)]],"[Measures].[MMS_63+]")</f>
        <v>143</v>
      </c>
      <c r="AP160" s="67" vm="5634">
        <f>CUBEVALUE(ConnectionString,ReportMonth,Table1[[#This Row],[Site ID (from DATIM)]],"[Measures].[TBPREV_D]")</f>
        <v>9</v>
      </c>
      <c r="AQ160" s="67" vm="4182">
        <f>CUBEVALUE(ConnectionString,ReportMonth,Table1[[#This Row],[Site ID (from DATIM)]],"[Measures].[TBPREV_N]")</f>
        <v>2</v>
      </c>
      <c r="AR160" s="67" t="str" vm="6464">
        <f>CUBEVALUE(ConnectionString,ReportMonth,Table1[[#This Row],[Site ID (from DATIM)]],"[Measures].[TBPREV_NEW]")</f>
        <v/>
      </c>
      <c r="AS160" s="67" vm="10772">
        <f>CUBEVALUE(ConnectionString,ReportMonth,Table1[[#This Row],[Site ID (from DATIM)]],"[Measures].[HVL_ELIG_P]")</f>
        <v>4</v>
      </c>
      <c r="AT160" s="67" t="str" vm="6657">
        <f>CUBEVALUE(ConnectionString,ReportMonth,Table1[[#This Row],[Site ID (from DATIM)]],"[Measures].[HVL_D_P]")</f>
        <v/>
      </c>
      <c r="AU160" s="67" t="str" vm="7256">
        <f>CUBEVALUE(ConnectionString,ReportMonth,Table1[[#This Row],[Site ID (from DATIM)]],"[Measures].[HVL_N_P]")</f>
        <v/>
      </c>
      <c r="AV160" s="68" vm="9598">
        <f>CUBEVALUE(ConnectionString,ReportMonth,Table1[[#This Row],[Site ID (from DATIM)]],"[Measures].[HVL_ELIG_A]")</f>
        <v>140</v>
      </c>
      <c r="AW160" s="68" vm="11030">
        <f>CUBEVALUE(ConnectionString,ReportMonth,Table1[[#This Row],[Site ID (from DATIM)]],"[Measures].[HVL_D_A]")</f>
        <v>45</v>
      </c>
      <c r="AX160" s="68" vm="7745">
        <f>CUBEVALUE(ConnectionString,ReportMonth,Table1[[#This Row],[Site ID (from DATIM)]],"[Measures].[HVL_N_A]")</f>
        <v>39</v>
      </c>
      <c r="AY160" s="67"/>
      <c r="AZ160" s="67"/>
      <c r="BA160" s="67"/>
      <c r="BB160" s="67"/>
      <c r="BC160" s="67"/>
      <c r="BD160" s="67"/>
      <c r="BE160" s="67"/>
      <c r="BF160" s="67"/>
      <c r="BG160" s="67" vm="11423">
        <f>CUBEVALUE(ConnectionString,ReportMonth,Table1[[#This Row],[Site ID (from DATIM)]],"[Measures].[TX_NEW_F_A]")</f>
        <v>1</v>
      </c>
      <c r="BH160" s="67" t="str" vm="12058">
        <f>CUBEVALUE(ConnectionString,ReportMonth,Table1[[#This Row],[Site ID (from DATIM)]],"[Measures].[TX_NEW_M_A]")</f>
        <v/>
      </c>
      <c r="BI160" s="67" t="str" vm="14847">
        <f>CUBEVALUE(ConnectionString,ReportMonth,Table1[[#This Row],[Site ID (from DATIM)]],"[Measures].[TX_NEW_F_P]")</f>
        <v/>
      </c>
      <c r="BJ160" s="68" t="str" vm="14795">
        <f>CUBEVALUE(ConnectionString,ReportMonth,Table1[[#This Row],[Site ID (from DATIM)]],"[Measures].[TX_NEW_M_P]")</f>
        <v/>
      </c>
      <c r="BK160" s="68"/>
      <c r="BL160" s="68"/>
      <c r="BM160" s="68"/>
      <c r="BN160" s="68"/>
      <c r="BO160" s="68"/>
      <c r="BP160" s="68"/>
      <c r="BQ160" s="68" vm="11604">
        <f>CUBEVALUE(ConnectionString,ReportMonth,Table1[[#This Row],[Site ID (from DATIM)]],"[Measures].[TX_CURR_F_P]")</f>
        <v>2</v>
      </c>
      <c r="BR160" s="68" vm="10840">
        <f>CUBEVALUE(ConnectionString,ReportMonth,Table1[[#This Row],[Site ID (from DATIM)]],"[Measures].[TX_CURR_M_P]")</f>
        <v>2</v>
      </c>
      <c r="BS160" s="68" vm="10402">
        <f>CUBEVALUE(ConnectionString,ReportMonth,Table1[[#This Row],[Site ID (from DATIM)]],"[Measures].[TX_CURR_F_A]")</f>
        <v>113</v>
      </c>
      <c r="BT160" s="68" vm="8151">
        <f>CUBEVALUE(ConnectionString,ReportMonth,Table1[[#This Row],[Site ID (from DATIM)]],"[Measures].[TX_CURR_M_A]")</f>
        <v>35</v>
      </c>
      <c r="BU160" s="68" t="str" vm="18312">
        <f>CUBEVALUE(ConnectionString,ReportMonth,Table1[[#This Row],[Site ID (from DATIM)]],"[Measures].[MMS_01_89_F_P]")</f>
        <v/>
      </c>
      <c r="BV160" s="68" t="str" vm="18384">
        <f>CUBEVALUE(ConnectionString,ReportMonth,Table1[[#This Row],[Site ID (from DATIM)]],"[Measures].[MMS_01_89_M_P]")</f>
        <v/>
      </c>
      <c r="BW160" s="68" vm="18972">
        <f>CUBEVALUE(ConnectionString,ReportMonth,Table1[[#This Row],[Site ID (from DATIM)]],"[Measures].[MMS_01_89_F_A]")</f>
        <v>9</v>
      </c>
      <c r="BX160" s="68" vm="19065">
        <f>CUBEVALUE(ConnectionString,ReportMonth,Table1[[#This Row],[Site ID (from DATIM)]],"[Measures].[MMS_01_89_M_A]")</f>
        <v>2</v>
      </c>
      <c r="BY160" s="68" vm="19398">
        <f>CUBEVALUE(ConnectionString,ReportMonth,Table1[[#This Row],[Site ID (from DATIM)]],"[Measures].[MMS_90_179_F_P]")</f>
        <v>2</v>
      </c>
      <c r="BZ160" s="68" vm="15223">
        <f>CUBEVALUE(ConnectionString,ReportMonth,Table1[[#This Row],[Site ID (from DATIM)]],"[Measures].[MMS_90_179_M_P]")</f>
        <v>2</v>
      </c>
      <c r="CA160" s="68" vm="16517">
        <f>CUBEVALUE(ConnectionString,ReportMonth,Table1[[#This Row],[Site ID (from DATIM)]],"[Measures].[MMS_90_179_F_A]")</f>
        <v>104</v>
      </c>
      <c r="CB160" s="68" vm="16858">
        <f>CUBEVALUE(ConnectionString,ReportMonth,Table1[[#This Row],[Site ID (from DATIM)]],"[Measures].[MMS_90_179_M_A]")</f>
        <v>33</v>
      </c>
      <c r="CC160" s="68" t="str" vm="17699">
        <f>CUBEVALUE(ConnectionString,ReportMonth,Table1[[#This Row],[Site ID (from DATIM)]],"[Measures].[MMS_180+_F_P]")</f>
        <v/>
      </c>
      <c r="CD160" s="68" t="str" vm="17616">
        <f>CUBEVALUE(ConnectionString,ReportMonth,Table1[[#This Row],[Site ID (from DATIM)]],"[Measures].[MMS_180+_M_P]")</f>
        <v/>
      </c>
      <c r="CE160" s="68" t="str" vm="14992">
        <f>CUBEVALUE(ConnectionString,ReportMonth,Table1[[#This Row],[Site ID (from DATIM)]],"[Measures].[MMS_180+_F_A]")</f>
        <v/>
      </c>
      <c r="CF160" s="68" t="str" vm="16247">
        <f>CUBEVALUE(ConnectionString,ReportMonth,Table1[[#This Row],[Site ID (from DATIM)]],"[Measures].[MMS_180+_M_A]")</f>
        <v/>
      </c>
      <c r="CG160" s="68" vm="8103">
        <f>CUBEVALUE(ConnectionString,ReportMonth,Table1[[#This Row],[Site ID (from DATIM)]],"[Measures].[MISSEDAPP]")</f>
        <v>44</v>
      </c>
      <c r="CH160" s="68" t="str" vm="17400">
        <f>CUBEVALUE(ConnectionString,ReportMonth,Table1[[#This Row],[Site ID (from DATIM)]],"[Measures].[MMS_180+_P]")</f>
        <v/>
      </c>
      <c r="CI160" s="68" t="str" vm="12258">
        <f>CUBEVALUE(ConnectionString,ReportMonth,Table1[[#This Row],[Site ID (from DATIM)]],"[Measures].[MMS_180+_A]")</f>
        <v/>
      </c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  <c r="CW160" s="68"/>
      <c r="CX160" s="68"/>
      <c r="CY160" s="68"/>
      <c r="CZ160" s="68"/>
      <c r="DA160" s="68"/>
      <c r="DB160" s="68"/>
      <c r="DC160" s="68"/>
    </row>
    <row r="161" spans="1:107" x14ac:dyDescent="0.25">
      <c r="A161" s="66">
        <v>4</v>
      </c>
      <c r="B161" s="67" t="str" vm="4">
        <f t="shared" si="3"/>
        <v>Mar-2021</v>
      </c>
      <c r="C161" s="67"/>
      <c r="D161" s="67" t="s">
        <v>232</v>
      </c>
      <c r="E161" s="67" t="s">
        <v>233</v>
      </c>
      <c r="F161" s="67" t="s">
        <v>437</v>
      </c>
      <c r="G161" s="67"/>
      <c r="H161" s="67" t="s">
        <v>461</v>
      </c>
      <c r="I161" s="67" t="s">
        <v>599</v>
      </c>
      <c r="J161" s="67" t="s">
        <v>600</v>
      </c>
      <c r="K161" s="67" t="s">
        <v>601</v>
      </c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 t="str" vm="1079">
        <f>CUBEVALUE(ConnectionString,ReportMonth,Table1[[#This Row],[Site ID (from DATIM)]],"TX_NEW_2VIS")</f>
        <v/>
      </c>
      <c r="AE161" s="67" t="str" vm="1582">
        <f>CUBEVALUE(ConnectionString,ReportMonth,Table1[[#This Row],[Site ID (from DATIM)]],INDEX(SDI_Measures,1))</f>
        <v/>
      </c>
      <c r="AF161" s="67" t="str" vm="1844">
        <f>CUBEVALUE(ConnectionString,ReportMonth,Table1[[#This Row],[Site ID (from DATIM)]],INDEX(SDI_Measures,2))</f>
        <v/>
      </c>
      <c r="AG161" s="67" t="str" vm="4645">
        <f>CUBEVALUE(ConnectionString,ReportMonth,Table1[[#This Row],[Site ID (from DATIM)]],INDEX(SDI_Measures,3))</f>
        <v/>
      </c>
      <c r="AH161" s="67" t="str" vm="788">
        <f>CUBEVALUE(ConnectionString,ReportMonth,Table1[[#This Row],[Site ID (from DATIM)]],"TX_CURR_PRIOR_MONTH")</f>
        <v/>
      </c>
      <c r="AI161" s="67" t="str" vm="4337">
        <f>CUBEVALUE(ConnectionString,ReportMonth,Table1[[#This Row],[Site ID (from DATIM)]],"TX_CURR")</f>
        <v/>
      </c>
      <c r="AJ161" s="67" t="str" vm="4089">
        <f>CUBEVALUE(ConnectionString,ReportMonth,Table1[[#This Row],[Site ID (from DATIM)]],"[Measures].[TI]")</f>
        <v/>
      </c>
      <c r="AK161" s="67" t="str" vm="4495">
        <f>CUBEVALUE(ConnectionString,ReportMonth,Table1[[#This Row],[Site ID (from DATIM)]],"[Measures].[TO]")</f>
        <v/>
      </c>
      <c r="AL161" s="67" t="str" vm="3258">
        <f>CUBEVALUE(ConnectionString,ReportMonth,Table1[[#This Row],[Site ID (from DATIM)]],"[Measures].[DIED]")</f>
        <v/>
      </c>
      <c r="AM161" s="67" t="str" vm="4142">
        <f>CUBEVALUE(ConnectionString,ReportMonth,Table1[[#This Row],[Site ID (from DATIM)]],"[Measures].[MMS_01_31]")</f>
        <v/>
      </c>
      <c r="AN161" s="67" t="str" vm="5298">
        <f>CUBEVALUE(ConnectionString,ReportMonth,Table1[[#This Row],[Site ID (from DATIM)]],"[Measures].[MMS_32_62]")</f>
        <v/>
      </c>
      <c r="AO161" s="67" t="str" vm="9593">
        <f>CUBEVALUE(ConnectionString,ReportMonth,Table1[[#This Row],[Site ID (from DATIM)]],"[Measures].[MMS_63+]")</f>
        <v/>
      </c>
      <c r="AP161" s="67" t="str" vm="5517">
        <f>CUBEVALUE(ConnectionString,ReportMonth,Table1[[#This Row],[Site ID (from DATIM)]],"[Measures].[TBPREV_D]")</f>
        <v/>
      </c>
      <c r="AQ161" s="67" t="str" vm="8110">
        <f>CUBEVALUE(ConnectionString,ReportMonth,Table1[[#This Row],[Site ID (from DATIM)]],"[Measures].[TBPREV_N]")</f>
        <v/>
      </c>
      <c r="AR161" s="67" t="str" vm="7155">
        <f>CUBEVALUE(ConnectionString,ReportMonth,Table1[[#This Row],[Site ID (from DATIM)]],"[Measures].[TBPREV_NEW]")</f>
        <v/>
      </c>
      <c r="AS161" s="67" t="str" vm="12010">
        <f>CUBEVALUE(ConnectionString,ReportMonth,Table1[[#This Row],[Site ID (from DATIM)]],"[Measures].[HVL_ELIG_P]")</f>
        <v/>
      </c>
      <c r="AT161" s="67" t="str" vm="9065">
        <f>CUBEVALUE(ConnectionString,ReportMonth,Table1[[#This Row],[Site ID (from DATIM)]],"[Measures].[HVL_D_P]")</f>
        <v/>
      </c>
      <c r="AU161" s="67" t="str" vm="11786">
        <f>CUBEVALUE(ConnectionString,ReportMonth,Table1[[#This Row],[Site ID (from DATIM)]],"[Measures].[HVL_N_P]")</f>
        <v/>
      </c>
      <c r="AV161" s="68" t="str" vm="9612">
        <f>CUBEVALUE(ConnectionString,ReportMonth,Table1[[#This Row],[Site ID (from DATIM)]],"[Measures].[HVL_ELIG_A]")</f>
        <v/>
      </c>
      <c r="AW161" s="68" t="str" vm="8851">
        <f>CUBEVALUE(ConnectionString,ReportMonth,Table1[[#This Row],[Site ID (from DATIM)]],"[Measures].[HVL_D_A]")</f>
        <v/>
      </c>
      <c r="AX161" s="68" t="str" vm="10193">
        <f>CUBEVALUE(ConnectionString,ReportMonth,Table1[[#This Row],[Site ID (from DATIM)]],"[Measures].[HVL_N_A]")</f>
        <v/>
      </c>
      <c r="AY161" s="67"/>
      <c r="AZ161" s="67"/>
      <c r="BA161" s="67"/>
      <c r="BB161" s="67"/>
      <c r="BC161" s="67"/>
      <c r="BD161" s="67"/>
      <c r="BE161" s="67"/>
      <c r="BF161" s="67"/>
      <c r="BG161" s="67" t="str" vm="13245">
        <f>CUBEVALUE(ConnectionString,ReportMonth,Table1[[#This Row],[Site ID (from DATIM)]],"[Measures].[TX_NEW_F_A]")</f>
        <v/>
      </c>
      <c r="BH161" s="67" t="str" vm="12450">
        <f>CUBEVALUE(ConnectionString,ReportMonth,Table1[[#This Row],[Site ID (from DATIM)]],"[Measures].[TX_NEW_M_A]")</f>
        <v/>
      </c>
      <c r="BI161" s="67" t="str" vm="16173">
        <f>CUBEVALUE(ConnectionString,ReportMonth,Table1[[#This Row],[Site ID (from DATIM)]],"[Measures].[TX_NEW_F_P]")</f>
        <v/>
      </c>
      <c r="BJ161" s="68" t="str" vm="15684">
        <f>CUBEVALUE(ConnectionString,ReportMonth,Table1[[#This Row],[Site ID (from DATIM)]],"[Measures].[TX_NEW_M_P]")</f>
        <v/>
      </c>
      <c r="BK161" s="68"/>
      <c r="BL161" s="68"/>
      <c r="BM161" s="68"/>
      <c r="BN161" s="68"/>
      <c r="BO161" s="68"/>
      <c r="BP161" s="68"/>
      <c r="BQ161" s="68" t="str" vm="6378">
        <f>CUBEVALUE(ConnectionString,ReportMonth,Table1[[#This Row],[Site ID (from DATIM)]],"[Measures].[TX_CURR_F_P]")</f>
        <v/>
      </c>
      <c r="BR161" s="68" t="str" vm="9070">
        <f>CUBEVALUE(ConnectionString,ReportMonth,Table1[[#This Row],[Site ID (from DATIM)]],"[Measures].[TX_CURR_M_P]")</f>
        <v/>
      </c>
      <c r="BS161" s="68" t="str" vm="11339">
        <f>CUBEVALUE(ConnectionString,ReportMonth,Table1[[#This Row],[Site ID (from DATIM)]],"[Measures].[TX_CURR_F_A]")</f>
        <v/>
      </c>
      <c r="BT161" s="68" t="str" vm="12246">
        <f>CUBEVALUE(ConnectionString,ReportMonth,Table1[[#This Row],[Site ID (from DATIM)]],"[Measures].[TX_CURR_M_A]")</f>
        <v/>
      </c>
      <c r="BU161" s="68" t="str" vm="20149">
        <f>CUBEVALUE(ConnectionString,ReportMonth,Table1[[#This Row],[Site ID (from DATIM)]],"[Measures].[MMS_01_89_F_P]")</f>
        <v/>
      </c>
      <c r="BV161" s="68" t="str" vm="19162">
        <f>CUBEVALUE(ConnectionString,ReportMonth,Table1[[#This Row],[Site ID (from DATIM)]],"[Measures].[MMS_01_89_M_P]")</f>
        <v/>
      </c>
      <c r="BW161" s="68" t="str" vm="18629">
        <f>CUBEVALUE(ConnectionString,ReportMonth,Table1[[#This Row],[Site ID (from DATIM)]],"[Measures].[MMS_01_89_F_A]")</f>
        <v/>
      </c>
      <c r="BX161" s="68" t="str" vm="19074">
        <f>CUBEVALUE(ConnectionString,ReportMonth,Table1[[#This Row],[Site ID (from DATIM)]],"[Measures].[MMS_01_89_M_A]")</f>
        <v/>
      </c>
      <c r="BY161" s="68" t="str" vm="18814">
        <f>CUBEVALUE(ConnectionString,ReportMonth,Table1[[#This Row],[Site ID (from DATIM)]],"[Measures].[MMS_90_179_F_P]")</f>
        <v/>
      </c>
      <c r="BZ161" s="68" t="str" vm="16079">
        <f>CUBEVALUE(ConnectionString,ReportMonth,Table1[[#This Row],[Site ID (from DATIM)]],"[Measures].[MMS_90_179_M_P]")</f>
        <v/>
      </c>
      <c r="CA161" s="68" t="str" vm="16782">
        <f>CUBEVALUE(ConnectionString,ReportMonth,Table1[[#This Row],[Site ID (from DATIM)]],"[Measures].[MMS_90_179_F_A]")</f>
        <v/>
      </c>
      <c r="CB161" s="68" t="str" vm="17753">
        <f>CUBEVALUE(ConnectionString,ReportMonth,Table1[[#This Row],[Site ID (from DATIM)]],"[Measures].[MMS_90_179_M_A]")</f>
        <v/>
      </c>
      <c r="CC161" s="68" t="str" vm="16382">
        <f>CUBEVALUE(ConnectionString,ReportMonth,Table1[[#This Row],[Site ID (from DATIM)]],"[Measures].[MMS_180+_F_P]")</f>
        <v/>
      </c>
      <c r="CD161" s="68" t="str" vm="17149">
        <f>CUBEVALUE(ConnectionString,ReportMonth,Table1[[#This Row],[Site ID (from DATIM)]],"[Measures].[MMS_180+_M_P]")</f>
        <v/>
      </c>
      <c r="CE161" s="68" t="str" vm="38">
        <f>CUBEVALUE(ConnectionString,ReportMonth,Table1[[#This Row],[Site ID (from DATIM)]],"[Measures].[MMS_180+_F_A]")</f>
        <v/>
      </c>
      <c r="CF161" s="68" t="str" vm="17123">
        <f>CUBEVALUE(ConnectionString,ReportMonth,Table1[[#This Row],[Site ID (from DATIM)]],"[Measures].[MMS_180+_M_A]")</f>
        <v/>
      </c>
      <c r="CG161" s="68" t="str" vm="9506">
        <f>CUBEVALUE(ConnectionString,ReportMonth,Table1[[#This Row],[Site ID (from DATIM)]],"[Measures].[MISSEDAPP]")</f>
        <v/>
      </c>
      <c r="CH161" s="68" t="str" vm="10603">
        <f>CUBEVALUE(ConnectionString,ReportMonth,Table1[[#This Row],[Site ID (from DATIM)]],"[Measures].[MMS_180+_P]")</f>
        <v/>
      </c>
      <c r="CI161" s="68" t="str" vm="14338">
        <f>CUBEVALUE(ConnectionString,ReportMonth,Table1[[#This Row],[Site ID (from DATIM)]],"[Measures].[MMS_180+_A]")</f>
        <v/>
      </c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  <c r="CW161" s="68"/>
      <c r="CX161" s="68"/>
      <c r="CY161" s="68"/>
      <c r="CZ161" s="68"/>
      <c r="DA161" s="68"/>
      <c r="DB161" s="68"/>
      <c r="DC161" s="68"/>
    </row>
    <row r="162" spans="1:107" x14ac:dyDescent="0.25">
      <c r="A162" s="66">
        <v>4</v>
      </c>
      <c r="B162" s="67" t="str" vm="4">
        <f t="shared" si="3"/>
        <v>Mar-2021</v>
      </c>
      <c r="C162" s="67"/>
      <c r="D162" s="67" t="s">
        <v>232</v>
      </c>
      <c r="E162" s="67" t="s">
        <v>233</v>
      </c>
      <c r="F162" s="67" t="s">
        <v>437</v>
      </c>
      <c r="G162" s="67"/>
      <c r="H162" s="67" t="s">
        <v>438</v>
      </c>
      <c r="I162" s="67" t="s">
        <v>602</v>
      </c>
      <c r="J162" s="67" t="s">
        <v>603</v>
      </c>
      <c r="K162" s="67" t="s">
        <v>604</v>
      </c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 vm="2170">
        <f>CUBEVALUE(ConnectionString,ReportMonth,Table1[[#This Row],[Site ID (from DATIM)]],"TX_NEW_2VIS")</f>
        <v>2</v>
      </c>
      <c r="AE162" s="67" vm="2675">
        <f>CUBEVALUE(ConnectionString,ReportMonth,Table1[[#This Row],[Site ID (from DATIM)]],INDEX(SDI_Measures,1))</f>
        <v>8</v>
      </c>
      <c r="AF162" s="67" t="str" vm="4376">
        <f>CUBEVALUE(ConnectionString,ReportMonth,Table1[[#This Row],[Site ID (from DATIM)]],INDEX(SDI_Measures,2))</f>
        <v/>
      </c>
      <c r="AG162" s="67" t="str" vm="1388">
        <f>CUBEVALUE(ConnectionString,ReportMonth,Table1[[#This Row],[Site ID (from DATIM)]],INDEX(SDI_Measures,3))</f>
        <v/>
      </c>
      <c r="AH162" s="67" vm="3275">
        <f>CUBEVALUE(ConnectionString,ReportMonth,Table1[[#This Row],[Site ID (from DATIM)]],"TX_CURR_PRIOR_MONTH")</f>
        <v>175</v>
      </c>
      <c r="AI162" s="67" vm="1794">
        <f>CUBEVALUE(ConnectionString,ReportMonth,Table1[[#This Row],[Site ID (from DATIM)]],"TX_CURR")</f>
        <v>176</v>
      </c>
      <c r="AJ162" s="67" vm="2738">
        <f>CUBEVALUE(ConnectionString,ReportMonth,Table1[[#This Row],[Site ID (from DATIM)]],"[Measures].[TI]")</f>
        <v>2</v>
      </c>
      <c r="AK162" s="67" t="str" vm="1852">
        <f>CUBEVALUE(ConnectionString,ReportMonth,Table1[[#This Row],[Site ID (from DATIM)]],"[Measures].[TO]")</f>
        <v/>
      </c>
      <c r="AL162" s="67" t="str" vm="2851">
        <f>CUBEVALUE(ConnectionString,ReportMonth,Table1[[#This Row],[Site ID (from DATIM)]],"[Measures].[DIED]")</f>
        <v/>
      </c>
      <c r="AM162" s="67" vm="4710">
        <f>CUBEVALUE(ConnectionString,ReportMonth,Table1[[#This Row],[Site ID (from DATIM)]],"[Measures].[MMS_01_31]")</f>
        <v>79</v>
      </c>
      <c r="AN162" s="67" vm="8938">
        <f>CUBEVALUE(ConnectionString,ReportMonth,Table1[[#This Row],[Site ID (from DATIM)]],"[Measures].[MMS_32_62]")</f>
        <v>8</v>
      </c>
      <c r="AO162" s="67" vm="6401">
        <f>CUBEVALUE(ConnectionString,ReportMonth,Table1[[#This Row],[Site ID (from DATIM)]],"[Measures].[MMS_63+]")</f>
        <v>89</v>
      </c>
      <c r="AP162" s="67" vm="5096">
        <f>CUBEVALUE(ConnectionString,ReportMonth,Table1[[#This Row],[Site ID (from DATIM)]],"[Measures].[TBPREV_D]")</f>
        <v>3</v>
      </c>
      <c r="AQ162" s="67" vm="5717">
        <f>CUBEVALUE(ConnectionString,ReportMonth,Table1[[#This Row],[Site ID (from DATIM)]],"[Measures].[TBPREV_N]")</f>
        <v>1</v>
      </c>
      <c r="AR162" s="67" vm="6642">
        <f>CUBEVALUE(ConnectionString,ReportMonth,Table1[[#This Row],[Site ID (from DATIM)]],"[Measures].[TBPREV_NEW]")</f>
        <v>1</v>
      </c>
      <c r="AS162" s="67" vm="14312">
        <f>CUBEVALUE(ConnectionString,ReportMonth,Table1[[#This Row],[Site ID (from DATIM)]],"[Measures].[HVL_ELIG_P]")</f>
        <v>2</v>
      </c>
      <c r="AT162" s="67" t="str" vm="7680">
        <f>CUBEVALUE(ConnectionString,ReportMonth,Table1[[#This Row],[Site ID (from DATIM)]],"[Measures].[HVL_D_P]")</f>
        <v/>
      </c>
      <c r="AU162" s="67" t="str" vm="14095">
        <f>CUBEVALUE(ConnectionString,ReportMonth,Table1[[#This Row],[Site ID (from DATIM)]],"[Measures].[HVL_N_P]")</f>
        <v/>
      </c>
      <c r="AV162" s="68" vm="9658">
        <f>CUBEVALUE(ConnectionString,ReportMonth,Table1[[#This Row],[Site ID (from DATIM)]],"[Measures].[HVL_ELIG_A]")</f>
        <v>128</v>
      </c>
      <c r="AW162" s="68" t="str" vm="6794">
        <f>CUBEVALUE(ConnectionString,ReportMonth,Table1[[#This Row],[Site ID (from DATIM)]],"[Measures].[HVL_D_A]")</f>
        <v/>
      </c>
      <c r="AX162" s="68" t="str" vm="9607">
        <f>CUBEVALUE(ConnectionString,ReportMonth,Table1[[#This Row],[Site ID (from DATIM)]],"[Measures].[HVL_N_A]")</f>
        <v/>
      </c>
      <c r="AY162" s="67"/>
      <c r="AZ162" s="67"/>
      <c r="BA162" s="67"/>
      <c r="BB162" s="67"/>
      <c r="BC162" s="67"/>
      <c r="BD162" s="67"/>
      <c r="BE162" s="67"/>
      <c r="BF162" s="67"/>
      <c r="BG162" s="67" vm="10670">
        <f>CUBEVALUE(ConnectionString,ReportMonth,Table1[[#This Row],[Site ID (from DATIM)]],"[Measures].[TX_NEW_F_A]")</f>
        <v>5</v>
      </c>
      <c r="BH162" s="67" vm="11428">
        <f>CUBEVALUE(ConnectionString,ReportMonth,Table1[[#This Row],[Site ID (from DATIM)]],"[Measures].[TX_NEW_M_A]")</f>
        <v>3</v>
      </c>
      <c r="BI162" s="67" t="str" vm="12818">
        <f>CUBEVALUE(ConnectionString,ReportMonth,Table1[[#This Row],[Site ID (from DATIM)]],"[Measures].[TX_NEW_F_P]")</f>
        <v/>
      </c>
      <c r="BJ162" s="68" t="str" vm="12350">
        <f>CUBEVALUE(ConnectionString,ReportMonth,Table1[[#This Row],[Site ID (from DATIM)]],"[Measures].[TX_NEW_M_P]")</f>
        <v/>
      </c>
      <c r="BK162" s="68"/>
      <c r="BL162" s="68"/>
      <c r="BM162" s="68"/>
      <c r="BN162" s="68"/>
      <c r="BO162" s="68"/>
      <c r="BP162" s="68"/>
      <c r="BQ162" s="68" vm="9518">
        <f>CUBEVALUE(ConnectionString,ReportMonth,Table1[[#This Row],[Site ID (from DATIM)]],"[Measures].[TX_CURR_F_P]")</f>
        <v>1</v>
      </c>
      <c r="BR162" s="68" vm="9326">
        <f>CUBEVALUE(ConnectionString,ReportMonth,Table1[[#This Row],[Site ID (from DATIM)]],"[Measures].[TX_CURR_M_P]")</f>
        <v>1</v>
      </c>
      <c r="BS162" s="68" vm="7500">
        <f>CUBEVALUE(ConnectionString,ReportMonth,Table1[[#This Row],[Site ID (from DATIM)]],"[Measures].[TX_CURR_F_A]")</f>
        <v>136</v>
      </c>
      <c r="BT162" s="68" vm="10240">
        <f>CUBEVALUE(ConnectionString,ReportMonth,Table1[[#This Row],[Site ID (from DATIM)]],"[Measures].[TX_CURR_M_A]")</f>
        <v>38</v>
      </c>
      <c r="BU162" s="68" vm="19720">
        <f>CUBEVALUE(ConnectionString,ReportMonth,Table1[[#This Row],[Site ID (from DATIM)]],"[Measures].[MMS_01_89_F_P]")</f>
        <v>1</v>
      </c>
      <c r="BV162" s="68" t="str" vm="18702">
        <f>CUBEVALUE(ConnectionString,ReportMonth,Table1[[#This Row],[Site ID (from DATIM)]],"[Measures].[MMS_01_89_M_P]")</f>
        <v/>
      </c>
      <c r="BW162" s="68" vm="19986">
        <f>CUBEVALUE(ConnectionString,ReportMonth,Table1[[#This Row],[Site ID (from DATIM)]],"[Measures].[MMS_01_89_F_A]")</f>
        <v>64</v>
      </c>
      <c r="BX162" s="68" vm="18888">
        <f>CUBEVALUE(ConnectionString,ReportMonth,Table1[[#This Row],[Site ID (from DATIM)]],"[Measures].[MMS_01_89_M_A]")</f>
        <v>22</v>
      </c>
      <c r="BY162" s="68" t="str" vm="16527">
        <f>CUBEVALUE(ConnectionString,ReportMonth,Table1[[#This Row],[Site ID (from DATIM)]],"[Measures].[MMS_90_179_F_P]")</f>
        <v/>
      </c>
      <c r="BZ162" s="68" vm="19574">
        <f>CUBEVALUE(ConnectionString,ReportMonth,Table1[[#This Row],[Site ID (from DATIM)]],"[Measures].[MMS_90_179_M_P]")</f>
        <v>1</v>
      </c>
      <c r="CA162" s="68" vm="17724">
        <f>CUBEVALUE(ConnectionString,ReportMonth,Table1[[#This Row],[Site ID (from DATIM)]],"[Measures].[MMS_90_179_F_A]")</f>
        <v>72</v>
      </c>
      <c r="CB162" s="68" vm="16009">
        <f>CUBEVALUE(ConnectionString,ReportMonth,Table1[[#This Row],[Site ID (from DATIM)]],"[Measures].[MMS_90_179_M_A]")</f>
        <v>16</v>
      </c>
      <c r="CC162" s="68" t="str" vm="302">
        <f>CUBEVALUE(ConnectionString,ReportMonth,Table1[[#This Row],[Site ID (from DATIM)]],"[Measures].[MMS_180+_F_P]")</f>
        <v/>
      </c>
      <c r="CD162" s="68" t="str" vm="17598">
        <f>CUBEVALUE(ConnectionString,ReportMonth,Table1[[#This Row],[Site ID (from DATIM)]],"[Measures].[MMS_180+_M_P]")</f>
        <v/>
      </c>
      <c r="CE162" s="68" t="str" vm="299">
        <f>CUBEVALUE(ConnectionString,ReportMonth,Table1[[#This Row],[Site ID (from DATIM)]],"[Measures].[MMS_180+_F_A]")</f>
        <v/>
      </c>
      <c r="CF162" s="68" t="str" vm="14499">
        <f>CUBEVALUE(ConnectionString,ReportMonth,Table1[[#This Row],[Site ID (from DATIM)]],"[Measures].[MMS_180+_M_A]")</f>
        <v/>
      </c>
      <c r="CG162" s="68" vm="5555">
        <f>CUBEVALUE(ConnectionString,ReportMonth,Table1[[#This Row],[Site ID (from DATIM)]],"[Measures].[MISSEDAPP]")</f>
        <v>34</v>
      </c>
      <c r="CH162" s="68" t="str" vm="10447">
        <f>CUBEVALUE(ConnectionString,ReportMonth,Table1[[#This Row],[Site ID (from DATIM)]],"[Measures].[MMS_180+_P]")</f>
        <v/>
      </c>
      <c r="CI162" s="68" t="str" vm="12612">
        <f>CUBEVALUE(ConnectionString,ReportMonth,Table1[[#This Row],[Site ID (from DATIM)]],"[Measures].[MMS_180+_A]")</f>
        <v/>
      </c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  <c r="CW162" s="68"/>
      <c r="CX162" s="68"/>
      <c r="CY162" s="68"/>
      <c r="CZ162" s="68"/>
      <c r="DA162" s="68"/>
      <c r="DB162" s="68"/>
      <c r="DC162" s="68"/>
    </row>
    <row r="163" spans="1:107" x14ac:dyDescent="0.25">
      <c r="A163" s="66">
        <v>4</v>
      </c>
      <c r="B163" s="67" t="str" vm="4">
        <f t="shared" si="3"/>
        <v>Mar-2021</v>
      </c>
      <c r="C163" s="67"/>
      <c r="D163" s="67" t="s">
        <v>232</v>
      </c>
      <c r="E163" s="67" t="s">
        <v>233</v>
      </c>
      <c r="F163" s="67" t="s">
        <v>831</v>
      </c>
      <c r="G163" s="67"/>
      <c r="H163" s="67" t="s">
        <v>876</v>
      </c>
      <c r="I163" s="67" t="s">
        <v>921</v>
      </c>
      <c r="J163" s="67" t="s">
        <v>922</v>
      </c>
      <c r="K163" s="67" t="s">
        <v>923</v>
      </c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 t="str" vm="1259">
        <f>CUBEVALUE(ConnectionString,ReportMonth,Table1[[#This Row],[Site ID (from DATIM)]],"TX_NEW_2VIS")</f>
        <v/>
      </c>
      <c r="AE163" s="67" t="str" vm="390">
        <f>CUBEVALUE(ConnectionString,ReportMonth,Table1[[#This Row],[Site ID (from DATIM)]],INDEX(SDI_Measures,1))</f>
        <v/>
      </c>
      <c r="AF163" s="67" t="str" vm="1912">
        <f>CUBEVALUE(ConnectionString,ReportMonth,Table1[[#This Row],[Site ID (from DATIM)]],INDEX(SDI_Measures,2))</f>
        <v/>
      </c>
      <c r="AG163" s="67" t="str" vm="2987">
        <f>CUBEVALUE(ConnectionString,ReportMonth,Table1[[#This Row],[Site ID (from DATIM)]],INDEX(SDI_Measures,3))</f>
        <v/>
      </c>
      <c r="AH163" s="67" t="str" vm="831">
        <f>CUBEVALUE(ConnectionString,ReportMonth,Table1[[#This Row],[Site ID (from DATIM)]],"TX_CURR_PRIOR_MONTH")</f>
        <v/>
      </c>
      <c r="AI163" s="67" t="str" vm="2831">
        <f>CUBEVALUE(ConnectionString,ReportMonth,Table1[[#This Row],[Site ID (from DATIM)]],"TX_CURR")</f>
        <v/>
      </c>
      <c r="AJ163" s="67" t="str" vm="3018">
        <f>CUBEVALUE(ConnectionString,ReportMonth,Table1[[#This Row],[Site ID (from DATIM)]],"[Measures].[TI]")</f>
        <v/>
      </c>
      <c r="AK163" s="67" t="str" vm="3000">
        <f>CUBEVALUE(ConnectionString,ReportMonth,Table1[[#This Row],[Site ID (from DATIM)]],"[Measures].[TO]")</f>
        <v/>
      </c>
      <c r="AL163" s="67" t="str" vm="7851">
        <f>CUBEVALUE(ConnectionString,ReportMonth,Table1[[#This Row],[Site ID (from DATIM)]],"[Measures].[DIED]")</f>
        <v/>
      </c>
      <c r="AM163" s="67" t="str" vm="5277">
        <f>CUBEVALUE(ConnectionString,ReportMonth,Table1[[#This Row],[Site ID (from DATIM)]],"[Measures].[MMS_01_31]")</f>
        <v/>
      </c>
      <c r="AN163" s="67" t="str" vm="6419">
        <f>CUBEVALUE(ConnectionString,ReportMonth,Table1[[#This Row],[Site ID (from DATIM)]],"[Measures].[MMS_32_62]")</f>
        <v/>
      </c>
      <c r="AO163" s="67" t="str" vm="6327">
        <f>CUBEVALUE(ConnectionString,ReportMonth,Table1[[#This Row],[Site ID (from DATIM)]],"[Measures].[MMS_63+]")</f>
        <v/>
      </c>
      <c r="AP163" s="67" t="str" vm="8856">
        <f>CUBEVALUE(ConnectionString,ReportMonth,Table1[[#This Row],[Site ID (from DATIM)]],"[Measures].[TBPREV_D]")</f>
        <v/>
      </c>
      <c r="AQ163" s="67" t="str" vm="7638">
        <f>CUBEVALUE(ConnectionString,ReportMonth,Table1[[#This Row],[Site ID (from DATIM)]],"[Measures].[TBPREV_N]")</f>
        <v/>
      </c>
      <c r="AR163" s="67" t="str" vm="5470">
        <f>CUBEVALUE(ConnectionString,ReportMonth,Table1[[#This Row],[Site ID (from DATIM)]],"[Measures].[TBPREV_NEW]")</f>
        <v/>
      </c>
      <c r="AS163" s="67" t="str" vm="8949">
        <f>CUBEVALUE(ConnectionString,ReportMonth,Table1[[#This Row],[Site ID (from DATIM)]],"[Measures].[HVL_ELIG_P]")</f>
        <v/>
      </c>
      <c r="AT163" s="67" t="str" vm="12477">
        <f>CUBEVALUE(ConnectionString,ReportMonth,Table1[[#This Row],[Site ID (from DATIM)]],"[Measures].[HVL_D_P]")</f>
        <v/>
      </c>
      <c r="AU163" s="67" t="str" vm="13645">
        <f>CUBEVALUE(ConnectionString,ReportMonth,Table1[[#This Row],[Site ID (from DATIM)]],"[Measures].[HVL_N_P]")</f>
        <v/>
      </c>
      <c r="AV163" s="68" t="str" vm="10337">
        <f>CUBEVALUE(ConnectionString,ReportMonth,Table1[[#This Row],[Site ID (from DATIM)]],"[Measures].[HVL_ELIG_A]")</f>
        <v/>
      </c>
      <c r="AW163" s="68" t="str" vm="8310">
        <f>CUBEVALUE(ConnectionString,ReportMonth,Table1[[#This Row],[Site ID (from DATIM)]],"[Measures].[HVL_D_A]")</f>
        <v/>
      </c>
      <c r="AX163" s="68" t="str" vm="11611">
        <f>CUBEVALUE(ConnectionString,ReportMonth,Table1[[#This Row],[Site ID (from DATIM)]],"[Measures].[HVL_N_A]")</f>
        <v/>
      </c>
      <c r="AY163" s="67"/>
      <c r="AZ163" s="67"/>
      <c r="BA163" s="67"/>
      <c r="BB163" s="67"/>
      <c r="BC163" s="67"/>
      <c r="BD163" s="67"/>
      <c r="BE163" s="67"/>
      <c r="BF163" s="67"/>
      <c r="BG163" s="67" t="str" vm="14181">
        <f>CUBEVALUE(ConnectionString,ReportMonth,Table1[[#This Row],[Site ID (from DATIM)]],"[Measures].[TX_NEW_F_A]")</f>
        <v/>
      </c>
      <c r="BH163" s="67" t="str" vm="13430">
        <f>CUBEVALUE(ConnectionString,ReportMonth,Table1[[#This Row],[Site ID (from DATIM)]],"[Measures].[TX_NEW_M_A]")</f>
        <v/>
      </c>
      <c r="BI163" s="67" t="str" vm="13971">
        <f>CUBEVALUE(ConnectionString,ReportMonth,Table1[[#This Row],[Site ID (from DATIM)]],"[Measures].[TX_NEW_F_P]")</f>
        <v/>
      </c>
      <c r="BJ163" s="68" t="str" vm="17006">
        <f>CUBEVALUE(ConnectionString,ReportMonth,Table1[[#This Row],[Site ID (from DATIM)]],"[Measures].[TX_NEW_M_P]")</f>
        <v/>
      </c>
      <c r="BK163" s="68"/>
      <c r="BL163" s="68"/>
      <c r="BM163" s="68"/>
      <c r="BN163" s="68"/>
      <c r="BO163" s="68"/>
      <c r="BP163" s="68"/>
      <c r="BQ163" s="68" t="str" vm="10797">
        <f>CUBEVALUE(ConnectionString,ReportMonth,Table1[[#This Row],[Site ID (from DATIM)]],"[Measures].[TX_CURR_F_P]")</f>
        <v/>
      </c>
      <c r="BR163" s="68" t="str" vm="13321">
        <f>CUBEVALUE(ConnectionString,ReportMonth,Table1[[#This Row],[Site ID (from DATIM)]],"[Measures].[TX_CURR_M_P]")</f>
        <v/>
      </c>
      <c r="BS163" s="68" t="str" vm="8992">
        <f>CUBEVALUE(ConnectionString,ReportMonth,Table1[[#This Row],[Site ID (from DATIM)]],"[Measures].[TX_CURR_F_A]")</f>
        <v/>
      </c>
      <c r="BT163" s="68" t="str" vm="13985">
        <f>CUBEVALUE(ConnectionString,ReportMonth,Table1[[#This Row],[Site ID (from DATIM)]],"[Measures].[TX_CURR_M_A]")</f>
        <v/>
      </c>
      <c r="BU163" s="68" t="str" vm="18566">
        <f>CUBEVALUE(ConnectionString,ReportMonth,Table1[[#This Row],[Site ID (from DATIM)]],"[Measures].[MMS_01_89_F_P]")</f>
        <v/>
      </c>
      <c r="BV163" s="68" t="str" vm="19343">
        <f>CUBEVALUE(ConnectionString,ReportMonth,Table1[[#This Row],[Site ID (from DATIM)]],"[Measures].[MMS_01_89_M_P]")</f>
        <v/>
      </c>
      <c r="BW163" s="68" t="str" vm="19985">
        <f>CUBEVALUE(ConnectionString,ReportMonth,Table1[[#This Row],[Site ID (from DATIM)]],"[Measures].[MMS_01_89_F_A]")</f>
        <v/>
      </c>
      <c r="BX163" s="68" t="str" vm="18511">
        <f>CUBEVALUE(ConnectionString,ReportMonth,Table1[[#This Row],[Site ID (from DATIM)]],"[Measures].[MMS_01_89_M_A]")</f>
        <v/>
      </c>
      <c r="BY163" s="68" t="str" vm="17914">
        <f>CUBEVALUE(ConnectionString,ReportMonth,Table1[[#This Row],[Site ID (from DATIM)]],"[Measures].[MMS_90_179_F_P]")</f>
        <v/>
      </c>
      <c r="BZ163" s="68" t="str" vm="15186">
        <f>CUBEVALUE(ConnectionString,ReportMonth,Table1[[#This Row],[Site ID (from DATIM)]],"[Measures].[MMS_90_179_M_P]")</f>
        <v/>
      </c>
      <c r="CA163" s="68" t="str" vm="15950">
        <f>CUBEVALUE(ConnectionString,ReportMonth,Table1[[#This Row],[Site ID (from DATIM)]],"[Measures].[MMS_90_179_F_A]")</f>
        <v/>
      </c>
      <c r="CB163" s="68" t="str" vm="15110">
        <f>CUBEVALUE(ConnectionString,ReportMonth,Table1[[#This Row],[Site ID (from DATIM)]],"[Measures].[MMS_90_179_M_A]")</f>
        <v/>
      </c>
      <c r="CC163" s="68" t="str" vm="17577">
        <f>CUBEVALUE(ConnectionString,ReportMonth,Table1[[#This Row],[Site ID (from DATIM)]],"[Measures].[MMS_180+_F_P]")</f>
        <v/>
      </c>
      <c r="CD163" s="68" t="str" vm="144">
        <f>CUBEVALUE(ConnectionString,ReportMonth,Table1[[#This Row],[Site ID (from DATIM)]],"[Measures].[MMS_180+_M_P]")</f>
        <v/>
      </c>
      <c r="CE163" s="68" t="str" vm="283">
        <f>CUBEVALUE(ConnectionString,ReportMonth,Table1[[#This Row],[Site ID (from DATIM)]],"[Measures].[MMS_180+_F_A]")</f>
        <v/>
      </c>
      <c r="CF163" s="68" t="str" vm="17473">
        <f>CUBEVALUE(ConnectionString,ReportMonth,Table1[[#This Row],[Site ID (from DATIM)]],"[Measures].[MMS_180+_M_A]")</f>
        <v/>
      </c>
      <c r="CG163" s="68" t="str" vm="6705">
        <f>CUBEVALUE(ConnectionString,ReportMonth,Table1[[#This Row],[Site ID (from DATIM)]],"[Measures].[MISSEDAPP]")</f>
        <v/>
      </c>
      <c r="CH163" s="68" t="str" vm="12879">
        <f>CUBEVALUE(ConnectionString,ReportMonth,Table1[[#This Row],[Site ID (from DATIM)]],"[Measures].[MMS_180+_P]")</f>
        <v/>
      </c>
      <c r="CI163" s="68" t="str" vm="13663">
        <f>CUBEVALUE(ConnectionString,ReportMonth,Table1[[#This Row],[Site ID (from DATIM)]],"[Measures].[MMS_180+_A]")</f>
        <v/>
      </c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  <c r="CW163" s="68"/>
      <c r="CX163" s="68"/>
      <c r="CY163" s="68"/>
      <c r="CZ163" s="68"/>
      <c r="DA163" s="68"/>
      <c r="DB163" s="68"/>
      <c r="DC163" s="68"/>
    </row>
    <row r="164" spans="1:107" x14ac:dyDescent="0.25">
      <c r="A164" s="66">
        <v>2</v>
      </c>
      <c r="B164" s="67" t="str" vm="4">
        <f t="shared" si="3"/>
        <v>Mar-2021</v>
      </c>
      <c r="C164" s="67"/>
      <c r="D164" s="67" t="s">
        <v>232</v>
      </c>
      <c r="E164" s="67" t="s">
        <v>233</v>
      </c>
      <c r="F164" s="67" t="s">
        <v>831</v>
      </c>
      <c r="G164" s="67"/>
      <c r="H164" s="67" t="s">
        <v>847</v>
      </c>
      <c r="I164" s="67" t="s">
        <v>924</v>
      </c>
      <c r="J164" s="67" t="s">
        <v>925</v>
      </c>
      <c r="K164" s="67" t="s">
        <v>926</v>
      </c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 t="str" vm="4449">
        <f>CUBEVALUE(ConnectionString,ReportMonth,Table1[[#This Row],[Site ID (from DATIM)]],"TX_NEW_2VIS")</f>
        <v/>
      </c>
      <c r="AE164" s="67" vm="3414">
        <f>CUBEVALUE(ConnectionString,ReportMonth,Table1[[#This Row],[Site ID (from DATIM)]],INDEX(SDI_Measures,1))</f>
        <v>1</v>
      </c>
      <c r="AF164" s="67" t="str" vm="635">
        <f>CUBEVALUE(ConnectionString,ReportMonth,Table1[[#This Row],[Site ID (from DATIM)]],INDEX(SDI_Measures,2))</f>
        <v/>
      </c>
      <c r="AG164" s="67" t="str" vm="3673">
        <f>CUBEVALUE(ConnectionString,ReportMonth,Table1[[#This Row],[Site ID (from DATIM)]],INDEX(SDI_Measures,3))</f>
        <v/>
      </c>
      <c r="AH164" s="67" vm="4136">
        <f>CUBEVALUE(ConnectionString,ReportMonth,Table1[[#This Row],[Site ID (from DATIM)]],"TX_CURR_PRIOR_MONTH")</f>
        <v>886</v>
      </c>
      <c r="AI164" s="67" vm="4285">
        <f>CUBEVALUE(ConnectionString,ReportMonth,Table1[[#This Row],[Site ID (from DATIM)]],"TX_CURR")</f>
        <v>872</v>
      </c>
      <c r="AJ164" s="67" t="str" vm="4152">
        <f>CUBEVALUE(ConnectionString,ReportMonth,Table1[[#This Row],[Site ID (from DATIM)]],"[Measures].[TI]")</f>
        <v/>
      </c>
      <c r="AK164" s="67" vm="2988">
        <f>CUBEVALUE(ConnectionString,ReportMonth,Table1[[#This Row],[Site ID (from DATIM)]],"[Measures].[TO]")</f>
        <v>1</v>
      </c>
      <c r="AL164" s="67" t="str" vm="3164">
        <f>CUBEVALUE(ConnectionString,ReportMonth,Table1[[#This Row],[Site ID (from DATIM)]],"[Measures].[DIED]")</f>
        <v/>
      </c>
      <c r="AM164" s="67" vm="5045">
        <f>CUBEVALUE(ConnectionString,ReportMonth,Table1[[#This Row],[Site ID (from DATIM)]],"[Measures].[MMS_01_31]")</f>
        <v>124</v>
      </c>
      <c r="AN164" s="67" vm="3506">
        <f>CUBEVALUE(ConnectionString,ReportMonth,Table1[[#This Row],[Site ID (from DATIM)]],"[Measures].[MMS_32_62]")</f>
        <v>11</v>
      </c>
      <c r="AO164" s="67" vm="7465">
        <f>CUBEVALUE(ConnectionString,ReportMonth,Table1[[#This Row],[Site ID (from DATIM)]],"[Measures].[MMS_63+]")</f>
        <v>737</v>
      </c>
      <c r="AP164" s="67" vm="4704">
        <f>CUBEVALUE(ConnectionString,ReportMonth,Table1[[#This Row],[Site ID (from DATIM)]],"[Measures].[TBPREV_D]")</f>
        <v>8</v>
      </c>
      <c r="AQ164" s="67" vm="7376">
        <f>CUBEVALUE(ConnectionString,ReportMonth,Table1[[#This Row],[Site ID (from DATIM)]],"[Measures].[TBPREV_N]")</f>
        <v>8</v>
      </c>
      <c r="AR164" s="67" vm="14040">
        <f>CUBEVALUE(ConnectionString,ReportMonth,Table1[[#This Row],[Site ID (from DATIM)]],"[Measures].[TBPREV_NEW]")</f>
        <v>1</v>
      </c>
      <c r="AS164" s="67" vm="13262">
        <f>CUBEVALUE(ConnectionString,ReportMonth,Table1[[#This Row],[Site ID (from DATIM)]],"[Measures].[HVL_ELIG_P]")</f>
        <v>45</v>
      </c>
      <c r="AT164" s="67" vm="15279">
        <f>CUBEVALUE(ConnectionString,ReportMonth,Table1[[#This Row],[Site ID (from DATIM)]],"[Measures].[HVL_D_P]")</f>
        <v>31</v>
      </c>
      <c r="AU164" s="67" vm="8972">
        <f>CUBEVALUE(ConnectionString,ReportMonth,Table1[[#This Row],[Site ID (from DATIM)]],"[Measures].[HVL_N_P]")</f>
        <v>25</v>
      </c>
      <c r="AV164" s="68" vm="12241">
        <f>CUBEVALUE(ConnectionString,ReportMonth,Table1[[#This Row],[Site ID (from DATIM)]],"[Measures].[HVL_ELIG_A]")</f>
        <v>790</v>
      </c>
      <c r="AW164" s="68" vm="8700">
        <f>CUBEVALUE(ConnectionString,ReportMonth,Table1[[#This Row],[Site ID (from DATIM)]],"[Measures].[HVL_D_A]")</f>
        <v>660</v>
      </c>
      <c r="AX164" s="68" vm="9152">
        <f>CUBEVALUE(ConnectionString,ReportMonth,Table1[[#This Row],[Site ID (from DATIM)]],"[Measures].[HVL_N_A]")</f>
        <v>628</v>
      </c>
      <c r="AY164" s="67"/>
      <c r="AZ164" s="67"/>
      <c r="BA164" s="67"/>
      <c r="BB164" s="67"/>
      <c r="BC164" s="67"/>
      <c r="BD164" s="67"/>
      <c r="BE164" s="67"/>
      <c r="BF164" s="67"/>
      <c r="BG164" s="67" t="str" vm="13678">
        <f>CUBEVALUE(ConnectionString,ReportMonth,Table1[[#This Row],[Site ID (from DATIM)]],"[Measures].[TX_NEW_F_A]")</f>
        <v/>
      </c>
      <c r="BH164" s="67" vm="12119">
        <f>CUBEVALUE(ConnectionString,ReportMonth,Table1[[#This Row],[Site ID (from DATIM)]],"[Measures].[TX_NEW_M_A]")</f>
        <v>1</v>
      </c>
      <c r="BI164" s="67" t="str" vm="14845">
        <f>CUBEVALUE(ConnectionString,ReportMonth,Table1[[#This Row],[Site ID (from DATIM)]],"[Measures].[TX_NEW_F_P]")</f>
        <v/>
      </c>
      <c r="BJ164" s="68" t="str" vm="15330">
        <f>CUBEVALUE(ConnectionString,ReportMonth,Table1[[#This Row],[Site ID (from DATIM)]],"[Measures].[TX_NEW_M_P]")</f>
        <v/>
      </c>
      <c r="BK164" s="68"/>
      <c r="BL164" s="68"/>
      <c r="BM164" s="68"/>
      <c r="BN164" s="68"/>
      <c r="BO164" s="68"/>
      <c r="BP164" s="68"/>
      <c r="BQ164" s="68" vm="11800">
        <f>CUBEVALUE(ConnectionString,ReportMonth,Table1[[#This Row],[Site ID (from DATIM)]],"[Measures].[TX_CURR_F_P]")</f>
        <v>21</v>
      </c>
      <c r="BR164" s="68" vm="12378">
        <f>CUBEVALUE(ConnectionString,ReportMonth,Table1[[#This Row],[Site ID (from DATIM)]],"[Measures].[TX_CURR_M_P]")</f>
        <v>25</v>
      </c>
      <c r="BS164" s="68" vm="11056">
        <f>CUBEVALUE(ConnectionString,ReportMonth,Table1[[#This Row],[Site ID (from DATIM)]],"[Measures].[TX_CURR_F_A]")</f>
        <v>559</v>
      </c>
      <c r="BT164" s="68" vm="10066">
        <f>CUBEVALUE(ConnectionString,ReportMonth,Table1[[#This Row],[Site ID (from DATIM)]],"[Measures].[TX_CURR_M_A]")</f>
        <v>270</v>
      </c>
      <c r="BU164" s="68" vm="19531">
        <f>CUBEVALUE(ConnectionString,ReportMonth,Table1[[#This Row],[Site ID (from DATIM)]],"[Measures].[MMS_01_89_F_P]")</f>
        <v>7</v>
      </c>
      <c r="BV164" s="68" vm="19229">
        <f>CUBEVALUE(ConnectionString,ReportMonth,Table1[[#This Row],[Site ID (from DATIM)]],"[Measures].[MMS_01_89_M_P]")</f>
        <v>10</v>
      </c>
      <c r="BW164" s="68" vm="15204">
        <f>CUBEVALUE(ConnectionString,ReportMonth,Table1[[#This Row],[Site ID (from DATIM)]],"[Measures].[MMS_01_89_F_A]")</f>
        <v>80</v>
      </c>
      <c r="BX164" s="68" vm="15234">
        <f>CUBEVALUE(ConnectionString,ReportMonth,Table1[[#This Row],[Site ID (from DATIM)]],"[Measures].[MMS_01_89_M_A]")</f>
        <v>39</v>
      </c>
      <c r="BY164" s="68" vm="19631">
        <f>CUBEVALUE(ConnectionString,ReportMonth,Table1[[#This Row],[Site ID (from DATIM)]],"[Measures].[MMS_90_179_F_P]")</f>
        <v>14</v>
      </c>
      <c r="BZ164" s="68" vm="18181">
        <f>CUBEVALUE(ConnectionString,ReportMonth,Table1[[#This Row],[Site ID (from DATIM)]],"[Measures].[MMS_90_179_M_P]")</f>
        <v>15</v>
      </c>
      <c r="CA164" s="68" vm="15575">
        <f>CUBEVALUE(ConnectionString,ReportMonth,Table1[[#This Row],[Site ID (from DATIM)]],"[Measures].[MMS_90_179_F_A]")</f>
        <v>478</v>
      </c>
      <c r="CB164" s="68" vm="14560">
        <f>CUBEVALUE(ConnectionString,ReportMonth,Table1[[#This Row],[Site ID (from DATIM)]],"[Measures].[MMS_90_179_M_A]")</f>
        <v>231</v>
      </c>
      <c r="CC164" s="68" t="str" vm="16390">
        <f>CUBEVALUE(ConnectionString,ReportMonth,Table1[[#This Row],[Site ID (from DATIM)]],"[Measures].[MMS_180+_F_P]")</f>
        <v/>
      </c>
      <c r="CD164" s="68" t="str" vm="15007">
        <f>CUBEVALUE(ConnectionString,ReportMonth,Table1[[#This Row],[Site ID (from DATIM)]],"[Measures].[MMS_180+_M_P]")</f>
        <v/>
      </c>
      <c r="CE164" s="68" vm="15807">
        <f>CUBEVALUE(ConnectionString,ReportMonth,Table1[[#This Row],[Site ID (from DATIM)]],"[Measures].[MMS_180+_F_A]")</f>
        <v>1</v>
      </c>
      <c r="CF164" s="68" t="str" vm="18">
        <f>CUBEVALUE(ConnectionString,ReportMonth,Table1[[#This Row],[Site ID (from DATIM)]],"[Measures].[MMS_180+_M_A]")</f>
        <v/>
      </c>
      <c r="CG164" s="68" vm="5953">
        <f>CUBEVALUE(ConnectionString,ReportMonth,Table1[[#This Row],[Site ID (from DATIM)]],"[Measures].[MISSEDAPP]")</f>
        <v>331</v>
      </c>
      <c r="CH164" s="68" t="str" vm="10886">
        <f>CUBEVALUE(ConnectionString,ReportMonth,Table1[[#This Row],[Site ID (from DATIM)]],"[Measures].[MMS_180+_P]")</f>
        <v/>
      </c>
      <c r="CI164" s="68" vm="10945">
        <f>CUBEVALUE(ConnectionString,ReportMonth,Table1[[#This Row],[Site ID (from DATIM)]],"[Measures].[MMS_180+_A]")</f>
        <v>1</v>
      </c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  <c r="CW164" s="68"/>
      <c r="CX164" s="68"/>
      <c r="CY164" s="68"/>
      <c r="CZ164" s="68"/>
      <c r="DA164" s="68"/>
      <c r="DB164" s="68"/>
      <c r="DC164" s="68"/>
    </row>
    <row r="165" spans="1:107" x14ac:dyDescent="0.25">
      <c r="A165" s="66">
        <v>4</v>
      </c>
      <c r="B165" s="67" t="str" vm="4">
        <f t="shared" si="3"/>
        <v>Mar-2021</v>
      </c>
      <c r="C165" s="67"/>
      <c r="D165" s="67" t="s">
        <v>232</v>
      </c>
      <c r="E165" s="67" t="s">
        <v>233</v>
      </c>
      <c r="F165" s="67" t="s">
        <v>831</v>
      </c>
      <c r="G165" s="67"/>
      <c r="H165" s="67" t="s">
        <v>847</v>
      </c>
      <c r="I165" s="67" t="s">
        <v>927</v>
      </c>
      <c r="J165" s="67" t="s">
        <v>928</v>
      </c>
      <c r="K165" s="67" t="s">
        <v>929</v>
      </c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 t="str" vm="923">
        <f>CUBEVALUE(ConnectionString,ReportMonth,Table1[[#This Row],[Site ID (from DATIM)]],"TX_NEW_2VIS")</f>
        <v/>
      </c>
      <c r="AE165" s="67" t="str" vm="411">
        <f>CUBEVALUE(ConnectionString,ReportMonth,Table1[[#This Row],[Site ID (from DATIM)]],INDEX(SDI_Measures,1))</f>
        <v/>
      </c>
      <c r="AF165" s="67" t="str" vm="5618">
        <f>CUBEVALUE(ConnectionString,ReportMonth,Table1[[#This Row],[Site ID (from DATIM)]],INDEX(SDI_Measures,2))</f>
        <v/>
      </c>
      <c r="AG165" s="67" t="str" vm="763">
        <f>CUBEVALUE(ConnectionString,ReportMonth,Table1[[#This Row],[Site ID (from DATIM)]],INDEX(SDI_Measures,3))</f>
        <v/>
      </c>
      <c r="AH165" s="67" vm="1662">
        <f>CUBEVALUE(ConnectionString,ReportMonth,Table1[[#This Row],[Site ID (from DATIM)]],"TX_CURR_PRIOR_MONTH")</f>
        <v>11</v>
      </c>
      <c r="AI165" s="67" vm="3088">
        <f>CUBEVALUE(ConnectionString,ReportMonth,Table1[[#This Row],[Site ID (from DATIM)]],"TX_CURR")</f>
        <v>11</v>
      </c>
      <c r="AJ165" s="67" t="str" vm="1557">
        <f>CUBEVALUE(ConnectionString,ReportMonth,Table1[[#This Row],[Site ID (from DATIM)]],"[Measures].[TI]")</f>
        <v/>
      </c>
      <c r="AK165" s="67" t="str" vm="4513">
        <f>CUBEVALUE(ConnectionString,ReportMonth,Table1[[#This Row],[Site ID (from DATIM)]],"[Measures].[TO]")</f>
        <v/>
      </c>
      <c r="AL165" s="67" t="str" vm="1906">
        <f>CUBEVALUE(ConnectionString,ReportMonth,Table1[[#This Row],[Site ID (from DATIM)]],"[Measures].[DIED]")</f>
        <v/>
      </c>
      <c r="AM165" s="67" vm="5577">
        <f>CUBEVALUE(ConnectionString,ReportMonth,Table1[[#This Row],[Site ID (from DATIM)]],"[Measures].[MMS_01_31]")</f>
        <v>11</v>
      </c>
      <c r="AN165" s="67" t="str" vm="4335">
        <f>CUBEVALUE(ConnectionString,ReportMonth,Table1[[#This Row],[Site ID (from DATIM)]],"[Measures].[MMS_32_62]")</f>
        <v/>
      </c>
      <c r="AO165" s="67" t="str" vm="6096">
        <f>CUBEVALUE(ConnectionString,ReportMonth,Table1[[#This Row],[Site ID (from DATIM)]],"[Measures].[MMS_63+]")</f>
        <v/>
      </c>
      <c r="AP165" s="67" t="str" vm="13584">
        <f>CUBEVALUE(ConnectionString,ReportMonth,Table1[[#This Row],[Site ID (from DATIM)]],"[Measures].[TBPREV_D]")</f>
        <v/>
      </c>
      <c r="AQ165" s="67" t="str" vm="6691">
        <f>CUBEVALUE(ConnectionString,ReportMonth,Table1[[#This Row],[Site ID (from DATIM)]],"[Measures].[TBPREV_N]")</f>
        <v/>
      </c>
      <c r="AR165" s="67" t="str" vm="5062">
        <f>CUBEVALUE(ConnectionString,ReportMonth,Table1[[#This Row],[Site ID (from DATIM)]],"[Measures].[TBPREV_NEW]")</f>
        <v/>
      </c>
      <c r="AS165" s="67" t="str" vm="8115">
        <f>CUBEVALUE(ConnectionString,ReportMonth,Table1[[#This Row],[Site ID (from DATIM)]],"[Measures].[HVL_ELIG_P]")</f>
        <v/>
      </c>
      <c r="AT165" s="67" t="str" vm="9032">
        <f>CUBEVALUE(ConnectionString,ReportMonth,Table1[[#This Row],[Site ID (from DATIM)]],"[Measures].[HVL_D_P]")</f>
        <v/>
      </c>
      <c r="AU165" s="67" t="str" vm="10092">
        <f>CUBEVALUE(ConnectionString,ReportMonth,Table1[[#This Row],[Site ID (from DATIM)]],"[Measures].[HVL_N_P]")</f>
        <v/>
      </c>
      <c r="AV165" s="68" vm="9515">
        <f>CUBEVALUE(ConnectionString,ReportMonth,Table1[[#This Row],[Site ID (from DATIM)]],"[Measures].[HVL_ELIG_A]")</f>
        <v>10</v>
      </c>
      <c r="AW165" s="68" t="str" vm="6361">
        <f>CUBEVALUE(ConnectionString,ReportMonth,Table1[[#This Row],[Site ID (from DATIM)]],"[Measures].[HVL_D_A]")</f>
        <v/>
      </c>
      <c r="AX165" s="68" t="str" vm="7929">
        <f>CUBEVALUE(ConnectionString,ReportMonth,Table1[[#This Row],[Site ID (from DATIM)]],"[Measures].[HVL_N_A]")</f>
        <v/>
      </c>
      <c r="AY165" s="67"/>
      <c r="AZ165" s="67"/>
      <c r="BA165" s="67"/>
      <c r="BB165" s="67"/>
      <c r="BC165" s="67"/>
      <c r="BD165" s="67"/>
      <c r="BE165" s="67"/>
      <c r="BF165" s="67"/>
      <c r="BG165" s="67" t="str" vm="10962">
        <f>CUBEVALUE(ConnectionString,ReportMonth,Table1[[#This Row],[Site ID (from DATIM)]],"[Measures].[TX_NEW_F_A]")</f>
        <v/>
      </c>
      <c r="BH165" s="67" t="str" vm="12299">
        <f>CUBEVALUE(ConnectionString,ReportMonth,Table1[[#This Row],[Site ID (from DATIM)]],"[Measures].[TX_NEW_M_A]")</f>
        <v/>
      </c>
      <c r="BI165" s="67" t="str" vm="13415">
        <f>CUBEVALUE(ConnectionString,ReportMonth,Table1[[#This Row],[Site ID (from DATIM)]],"[Measures].[TX_NEW_F_P]")</f>
        <v/>
      </c>
      <c r="BJ165" s="68" t="str" vm="12836">
        <f>CUBEVALUE(ConnectionString,ReportMonth,Table1[[#This Row],[Site ID (from DATIM)]],"[Measures].[TX_NEW_M_P]")</f>
        <v/>
      </c>
      <c r="BK165" s="68"/>
      <c r="BL165" s="68"/>
      <c r="BM165" s="68"/>
      <c r="BN165" s="68"/>
      <c r="BO165" s="68"/>
      <c r="BP165" s="68"/>
      <c r="BQ165" s="68" t="str" vm="9419">
        <f>CUBEVALUE(ConnectionString,ReportMonth,Table1[[#This Row],[Site ID (from DATIM)]],"[Measures].[TX_CURR_F_P]")</f>
        <v/>
      </c>
      <c r="BR165" s="68" t="str" vm="7053">
        <f>CUBEVALUE(ConnectionString,ReportMonth,Table1[[#This Row],[Site ID (from DATIM)]],"[Measures].[TX_CURR_M_P]")</f>
        <v/>
      </c>
      <c r="BS165" s="68" vm="12243">
        <f>CUBEVALUE(ConnectionString,ReportMonth,Table1[[#This Row],[Site ID (from DATIM)]],"[Measures].[TX_CURR_F_A]")</f>
        <v>11</v>
      </c>
      <c r="BT165" s="68" t="str" vm="10162">
        <f>CUBEVALUE(ConnectionString,ReportMonth,Table1[[#This Row],[Site ID (from DATIM)]],"[Measures].[TX_CURR_M_A]")</f>
        <v/>
      </c>
      <c r="BU165" s="68" t="str" vm="20089">
        <f>CUBEVALUE(ConnectionString,ReportMonth,Table1[[#This Row],[Site ID (from DATIM)]],"[Measures].[MMS_01_89_F_P]")</f>
        <v/>
      </c>
      <c r="BV165" s="68" t="str" vm="18056">
        <f>CUBEVALUE(ConnectionString,ReportMonth,Table1[[#This Row],[Site ID (from DATIM)]],"[Measures].[MMS_01_89_M_P]")</f>
        <v/>
      </c>
      <c r="BW165" s="68" vm="18340">
        <f>CUBEVALUE(ConnectionString,ReportMonth,Table1[[#This Row],[Site ID (from DATIM)]],"[Measures].[MMS_01_89_F_A]")</f>
        <v>11</v>
      </c>
      <c r="BX165" s="68" t="str" vm="19938">
        <f>CUBEVALUE(ConnectionString,ReportMonth,Table1[[#This Row],[Site ID (from DATIM)]],"[Measures].[MMS_01_89_M_A]")</f>
        <v/>
      </c>
      <c r="BY165" s="68" t="str" vm="18782">
        <f>CUBEVALUE(ConnectionString,ReportMonth,Table1[[#This Row],[Site ID (from DATIM)]],"[Measures].[MMS_90_179_F_P]")</f>
        <v/>
      </c>
      <c r="BZ165" s="68" t="str" vm="16513">
        <f>CUBEVALUE(ConnectionString,ReportMonth,Table1[[#This Row],[Site ID (from DATIM)]],"[Measures].[MMS_90_179_M_P]")</f>
        <v/>
      </c>
      <c r="CA165" s="68" t="str" vm="17350">
        <f>CUBEVALUE(ConnectionString,ReportMonth,Table1[[#This Row],[Site ID (from DATIM)]],"[Measures].[MMS_90_179_F_A]")</f>
        <v/>
      </c>
      <c r="CB165" s="68" t="str" vm="17261">
        <f>CUBEVALUE(ConnectionString,ReportMonth,Table1[[#This Row],[Site ID (from DATIM)]],"[Measures].[MMS_90_179_M_A]")</f>
        <v/>
      </c>
      <c r="CC165" s="68" t="str" vm="16773">
        <f>CUBEVALUE(ConnectionString,ReportMonth,Table1[[#This Row],[Site ID (from DATIM)]],"[Measures].[MMS_180+_F_P]")</f>
        <v/>
      </c>
      <c r="CD165" s="68" t="str" vm="396">
        <f>CUBEVALUE(ConnectionString,ReportMonth,Table1[[#This Row],[Site ID (from DATIM)]],"[Measures].[MMS_180+_M_P]")</f>
        <v/>
      </c>
      <c r="CE165" s="68" t="str" vm="15736">
        <f>CUBEVALUE(ConnectionString,ReportMonth,Table1[[#This Row],[Site ID (from DATIM)]],"[Measures].[MMS_180+_F_A]")</f>
        <v/>
      </c>
      <c r="CF165" s="68" t="str" vm="15721">
        <f>CUBEVALUE(ConnectionString,ReportMonth,Table1[[#This Row],[Site ID (from DATIM)]],"[Measures].[MMS_180+_M_A]")</f>
        <v/>
      </c>
      <c r="CG165" s="68" vm="4941">
        <f>CUBEVALUE(ConnectionString,ReportMonth,Table1[[#This Row],[Site ID (from DATIM)]],"[Measures].[MISSEDAPP]")</f>
        <v>11</v>
      </c>
      <c r="CH165" s="68" t="str" vm="12795">
        <f>CUBEVALUE(ConnectionString,ReportMonth,Table1[[#This Row],[Site ID (from DATIM)]],"[Measures].[MMS_180+_P]")</f>
        <v/>
      </c>
      <c r="CI165" s="68" t="str" vm="16168">
        <f>CUBEVALUE(ConnectionString,ReportMonth,Table1[[#This Row],[Site ID (from DATIM)]],"[Measures].[MMS_180+_A]")</f>
        <v/>
      </c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  <c r="CW165" s="68"/>
      <c r="CX165" s="68"/>
      <c r="CY165" s="68"/>
      <c r="CZ165" s="68"/>
      <c r="DA165" s="68"/>
      <c r="DB165" s="68"/>
      <c r="DC165" s="68"/>
    </row>
    <row r="166" spans="1:107" x14ac:dyDescent="0.25">
      <c r="A166" s="66">
        <v>4</v>
      </c>
      <c r="B166" s="67" t="str" vm="4">
        <f t="shared" si="3"/>
        <v>Mar-2021</v>
      </c>
      <c r="C166" s="67"/>
      <c r="D166" s="67" t="s">
        <v>232</v>
      </c>
      <c r="E166" s="67" t="s">
        <v>233</v>
      </c>
      <c r="F166" s="67" t="s">
        <v>1286</v>
      </c>
      <c r="G166" s="67"/>
      <c r="H166" s="67" t="s">
        <v>1291</v>
      </c>
      <c r="I166" s="67" t="s">
        <v>1366</v>
      </c>
      <c r="J166" s="67" t="s">
        <v>1367</v>
      </c>
      <c r="K166" s="67" t="s">
        <v>1368</v>
      </c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 t="str" vm="2067">
        <f>CUBEVALUE(ConnectionString,ReportMonth,Table1[[#This Row],[Site ID (from DATIM)]],"TX_NEW_2VIS")</f>
        <v/>
      </c>
      <c r="AE166" s="67" t="str" vm="473">
        <f>CUBEVALUE(ConnectionString,ReportMonth,Table1[[#This Row],[Site ID (from DATIM)]],INDEX(SDI_Measures,1))</f>
        <v/>
      </c>
      <c r="AF166" s="67" t="str" vm="4548">
        <f>CUBEVALUE(ConnectionString,ReportMonth,Table1[[#This Row],[Site ID (from DATIM)]],INDEX(SDI_Measures,2))</f>
        <v/>
      </c>
      <c r="AG166" s="67" t="str" vm="6671">
        <f>CUBEVALUE(ConnectionString,ReportMonth,Table1[[#This Row],[Site ID (from DATIM)]],INDEX(SDI_Measures,3))</f>
        <v/>
      </c>
      <c r="AH166" s="67" t="str" vm="2650">
        <f>CUBEVALUE(ConnectionString,ReportMonth,Table1[[#This Row],[Site ID (from DATIM)]],"TX_CURR_PRIOR_MONTH")</f>
        <v/>
      </c>
      <c r="AI166" s="67" t="str" vm="2936">
        <f>CUBEVALUE(ConnectionString,ReportMonth,Table1[[#This Row],[Site ID (from DATIM)]],"TX_CURR")</f>
        <v/>
      </c>
      <c r="AJ166" s="67" t="str" vm="2646">
        <f>CUBEVALUE(ConnectionString,ReportMonth,Table1[[#This Row],[Site ID (from DATIM)]],"[Measures].[TI]")</f>
        <v/>
      </c>
      <c r="AK166" s="67" t="str" vm="1982">
        <f>CUBEVALUE(ConnectionString,ReportMonth,Table1[[#This Row],[Site ID (from DATIM)]],"[Measures].[TO]")</f>
        <v/>
      </c>
      <c r="AL166" s="67" t="str" vm="3192">
        <f>CUBEVALUE(ConnectionString,ReportMonth,Table1[[#This Row],[Site ID (from DATIM)]],"[Measures].[DIED]")</f>
        <v/>
      </c>
      <c r="AM166" s="67" t="str" vm="6673">
        <f>CUBEVALUE(ConnectionString,ReportMonth,Table1[[#This Row],[Site ID (from DATIM)]],"[Measures].[MMS_01_31]")</f>
        <v/>
      </c>
      <c r="AN166" s="67" t="str" vm="5910">
        <f>CUBEVALUE(ConnectionString,ReportMonth,Table1[[#This Row],[Site ID (from DATIM)]],"[Measures].[MMS_32_62]")</f>
        <v/>
      </c>
      <c r="AO166" s="67" t="str" vm="5842">
        <f>CUBEVALUE(ConnectionString,ReportMonth,Table1[[#This Row],[Site ID (from DATIM)]],"[Measures].[MMS_63+]")</f>
        <v/>
      </c>
      <c r="AP166" s="67" t="str" vm="6854">
        <f>CUBEVALUE(ConnectionString,ReportMonth,Table1[[#This Row],[Site ID (from DATIM)]],"[Measures].[TBPREV_D]")</f>
        <v/>
      </c>
      <c r="AQ166" s="67" t="str" vm="8250">
        <f>CUBEVALUE(ConnectionString,ReportMonth,Table1[[#This Row],[Site ID (from DATIM)]],"[Measures].[TBPREV_N]")</f>
        <v/>
      </c>
      <c r="AR166" s="67" t="str" vm="11524">
        <f>CUBEVALUE(ConnectionString,ReportMonth,Table1[[#This Row],[Site ID (from DATIM)]],"[Measures].[TBPREV_NEW]")</f>
        <v/>
      </c>
      <c r="AS166" s="67" t="str" vm="6886">
        <f>CUBEVALUE(ConnectionString,ReportMonth,Table1[[#This Row],[Site ID (from DATIM)]],"[Measures].[HVL_ELIG_P]")</f>
        <v/>
      </c>
      <c r="AT166" s="67" t="str" vm="8272">
        <f>CUBEVALUE(ConnectionString,ReportMonth,Table1[[#This Row],[Site ID (from DATIM)]],"[Measures].[HVL_D_P]")</f>
        <v/>
      </c>
      <c r="AU166" s="67" t="str" vm="10320">
        <f>CUBEVALUE(ConnectionString,ReportMonth,Table1[[#This Row],[Site ID (from DATIM)]],"[Measures].[HVL_N_P]")</f>
        <v/>
      </c>
      <c r="AV166" s="68" t="str" vm="8215">
        <f>CUBEVALUE(ConnectionString,ReportMonth,Table1[[#This Row],[Site ID (from DATIM)]],"[Measures].[HVL_ELIG_A]")</f>
        <v/>
      </c>
      <c r="AW166" s="68" t="str" vm="8552">
        <f>CUBEVALUE(ConnectionString,ReportMonth,Table1[[#This Row],[Site ID (from DATIM)]],"[Measures].[HVL_D_A]")</f>
        <v/>
      </c>
      <c r="AX166" s="68" t="str" vm="13493">
        <f>CUBEVALUE(ConnectionString,ReportMonth,Table1[[#This Row],[Site ID (from DATIM)]],"[Measures].[HVL_N_A]")</f>
        <v/>
      </c>
      <c r="AY166" s="67"/>
      <c r="AZ166" s="67"/>
      <c r="BA166" s="67"/>
      <c r="BB166" s="67"/>
      <c r="BC166" s="67"/>
      <c r="BD166" s="67"/>
      <c r="BE166" s="67"/>
      <c r="BF166" s="67"/>
      <c r="BG166" s="67" t="str" vm="11420">
        <f>CUBEVALUE(ConnectionString,ReportMonth,Table1[[#This Row],[Site ID (from DATIM)]],"[Measures].[TX_NEW_F_A]")</f>
        <v/>
      </c>
      <c r="BH166" s="67" t="str" vm="13306">
        <f>CUBEVALUE(ConnectionString,ReportMonth,Table1[[#This Row],[Site ID (from DATIM)]],"[Measures].[TX_NEW_M_A]")</f>
        <v/>
      </c>
      <c r="BI166" s="67" t="str" vm="16127">
        <f>CUBEVALUE(ConnectionString,ReportMonth,Table1[[#This Row],[Site ID (from DATIM)]],"[Measures].[TX_NEW_F_P]")</f>
        <v/>
      </c>
      <c r="BJ166" s="68" t="str" vm="12312">
        <f>CUBEVALUE(ConnectionString,ReportMonth,Table1[[#This Row],[Site ID (from DATIM)]],"[Measures].[TX_NEW_M_P]")</f>
        <v/>
      </c>
      <c r="BK166" s="68"/>
      <c r="BL166" s="68"/>
      <c r="BM166" s="68"/>
      <c r="BN166" s="68"/>
      <c r="BO166" s="68"/>
      <c r="BP166" s="68"/>
      <c r="BQ166" s="68" t="str" vm="9994">
        <f>CUBEVALUE(ConnectionString,ReportMonth,Table1[[#This Row],[Site ID (from DATIM)]],"[Measures].[TX_CURR_F_P]")</f>
        <v/>
      </c>
      <c r="BR166" s="68" t="str" vm="9568">
        <f>CUBEVALUE(ConnectionString,ReportMonth,Table1[[#This Row],[Site ID (from DATIM)]],"[Measures].[TX_CURR_M_P]")</f>
        <v/>
      </c>
      <c r="BS166" s="68" t="str" vm="6798">
        <f>CUBEVALUE(ConnectionString,ReportMonth,Table1[[#This Row],[Site ID (from DATIM)]],"[Measures].[TX_CURR_F_A]")</f>
        <v/>
      </c>
      <c r="BT166" s="68" t="str" vm="11704">
        <f>CUBEVALUE(ConnectionString,ReportMonth,Table1[[#This Row],[Site ID (from DATIM)]],"[Measures].[TX_CURR_M_A]")</f>
        <v/>
      </c>
      <c r="BU166" s="68" t="str" vm="18598">
        <f>CUBEVALUE(ConnectionString,ReportMonth,Table1[[#This Row],[Site ID (from DATIM)]],"[Measures].[MMS_01_89_F_P]")</f>
        <v/>
      </c>
      <c r="BV166" s="68" t="str" vm="19794">
        <f>CUBEVALUE(ConnectionString,ReportMonth,Table1[[#This Row],[Site ID (from DATIM)]],"[Measures].[MMS_01_89_M_P]")</f>
        <v/>
      </c>
      <c r="BW166" s="68" t="str" vm="20041">
        <f>CUBEVALUE(ConnectionString,ReportMonth,Table1[[#This Row],[Site ID (from DATIM)]],"[Measures].[MMS_01_89_F_A]")</f>
        <v/>
      </c>
      <c r="BX166" s="68" t="str" vm="18863">
        <f>CUBEVALUE(ConnectionString,ReportMonth,Table1[[#This Row],[Site ID (from DATIM)]],"[Measures].[MMS_01_89_M_A]")</f>
        <v/>
      </c>
      <c r="BY166" s="68" t="str" vm="19416">
        <f>CUBEVALUE(ConnectionString,ReportMonth,Table1[[#This Row],[Site ID (from DATIM)]],"[Measures].[MMS_90_179_F_P]")</f>
        <v/>
      </c>
      <c r="BZ166" s="68" t="str" vm="17857">
        <f>CUBEVALUE(ConnectionString,ReportMonth,Table1[[#This Row],[Site ID (from DATIM)]],"[Measures].[MMS_90_179_M_P]")</f>
        <v/>
      </c>
      <c r="CA166" s="68" t="str" vm="17628">
        <f>CUBEVALUE(ConnectionString,ReportMonth,Table1[[#This Row],[Site ID (from DATIM)]],"[Measures].[MMS_90_179_F_A]")</f>
        <v/>
      </c>
      <c r="CB166" s="68" t="str" vm="14707">
        <f>CUBEVALUE(ConnectionString,ReportMonth,Table1[[#This Row],[Site ID (from DATIM)]],"[Measures].[MMS_90_179_M_A]")</f>
        <v/>
      </c>
      <c r="CC166" s="68" t="str" vm="16748">
        <f>CUBEVALUE(ConnectionString,ReportMonth,Table1[[#This Row],[Site ID (from DATIM)]],"[Measures].[MMS_180+_F_P]")</f>
        <v/>
      </c>
      <c r="CD166" s="68" t="str" vm="16327">
        <f>CUBEVALUE(ConnectionString,ReportMonth,Table1[[#This Row],[Site ID (from DATIM)]],"[Measures].[MMS_180+_M_P]")</f>
        <v/>
      </c>
      <c r="CE166" s="68" t="str" vm="15400">
        <f>CUBEVALUE(ConnectionString,ReportMonth,Table1[[#This Row],[Site ID (from DATIM)]],"[Measures].[MMS_180+_F_A]")</f>
        <v/>
      </c>
      <c r="CF166" s="68" t="str" vm="20183">
        <f>CUBEVALUE(ConnectionString,ReportMonth,Table1[[#This Row],[Site ID (from DATIM)]],"[Measures].[MMS_180+_M_A]")</f>
        <v/>
      </c>
      <c r="CG166" s="68" t="str" vm="7336">
        <f>CUBEVALUE(ConnectionString,ReportMonth,Table1[[#This Row],[Site ID (from DATIM)]],"[Measures].[MISSEDAPP]")</f>
        <v/>
      </c>
      <c r="CH166" s="68" t="str" vm="12265">
        <f>CUBEVALUE(ConnectionString,ReportMonth,Table1[[#This Row],[Site ID (from DATIM)]],"[Measures].[MMS_180+_P]")</f>
        <v/>
      </c>
      <c r="CI166" s="68" t="str" vm="17022">
        <f>CUBEVALUE(ConnectionString,ReportMonth,Table1[[#This Row],[Site ID (from DATIM)]],"[Measures].[MMS_180+_A]")</f>
        <v/>
      </c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  <c r="CW166" s="68"/>
      <c r="CX166" s="68"/>
      <c r="CY166" s="68"/>
      <c r="CZ166" s="68"/>
      <c r="DA166" s="68"/>
      <c r="DB166" s="68"/>
      <c r="DC166" s="68"/>
    </row>
    <row r="167" spans="1:107" x14ac:dyDescent="0.25">
      <c r="A167" s="66">
        <v>4</v>
      </c>
      <c r="B167" s="67" t="str" vm="4">
        <f t="shared" si="3"/>
        <v>Mar-2021</v>
      </c>
      <c r="C167" s="67"/>
      <c r="D167" s="67" t="s">
        <v>232</v>
      </c>
      <c r="E167" s="67" t="s">
        <v>233</v>
      </c>
      <c r="F167" s="67" t="s">
        <v>1083</v>
      </c>
      <c r="G167" s="67"/>
      <c r="H167" s="67" t="s">
        <v>1113</v>
      </c>
      <c r="I167" s="67" t="s">
        <v>1173</v>
      </c>
      <c r="J167" s="67" t="s">
        <v>1174</v>
      </c>
      <c r="K167" s="67" t="s">
        <v>1175</v>
      </c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 t="str" vm="585">
        <f>CUBEVALUE(ConnectionString,ReportMonth,Table1[[#This Row],[Site ID (from DATIM)]],"TX_NEW_2VIS")</f>
        <v/>
      </c>
      <c r="AE167" s="67" t="str" vm="4025">
        <f>CUBEVALUE(ConnectionString,ReportMonth,Table1[[#This Row],[Site ID (from DATIM)]],INDEX(SDI_Measures,1))</f>
        <v/>
      </c>
      <c r="AF167" s="67" t="str" vm="2090">
        <f>CUBEVALUE(ConnectionString,ReportMonth,Table1[[#This Row],[Site ID (from DATIM)]],INDEX(SDI_Measures,2))</f>
        <v/>
      </c>
      <c r="AG167" s="67" t="str" vm="787">
        <f>CUBEVALUE(ConnectionString,ReportMonth,Table1[[#This Row],[Site ID (from DATIM)]],INDEX(SDI_Measures,3))</f>
        <v/>
      </c>
      <c r="AH167" s="67" vm="4504">
        <f>CUBEVALUE(ConnectionString,ReportMonth,Table1[[#This Row],[Site ID (from DATIM)]],"TX_CURR_PRIOR_MONTH")</f>
        <v>7</v>
      </c>
      <c r="AI167" s="67" t="str" vm="1707">
        <f>CUBEVALUE(ConnectionString,ReportMonth,Table1[[#This Row],[Site ID (from DATIM)]],"TX_CURR")</f>
        <v/>
      </c>
      <c r="AJ167" s="67" t="str" vm="1411">
        <f>CUBEVALUE(ConnectionString,ReportMonth,Table1[[#This Row],[Site ID (from DATIM)]],"[Measures].[TI]")</f>
        <v/>
      </c>
      <c r="AK167" s="67" t="str" vm="1866">
        <f>CUBEVALUE(ConnectionString,ReportMonth,Table1[[#This Row],[Site ID (from DATIM)]],"[Measures].[TO]")</f>
        <v/>
      </c>
      <c r="AL167" s="67" t="str" vm="1913">
        <f>CUBEVALUE(ConnectionString,ReportMonth,Table1[[#This Row],[Site ID (from DATIM)]],"[Measures].[DIED]")</f>
        <v/>
      </c>
      <c r="AM167" s="67" t="str" vm="7589">
        <f>CUBEVALUE(ConnectionString,ReportMonth,Table1[[#This Row],[Site ID (from DATIM)]],"[Measures].[MMS_01_31]")</f>
        <v/>
      </c>
      <c r="AN167" s="67" t="str" vm="5669">
        <f>CUBEVALUE(ConnectionString,ReportMonth,Table1[[#This Row],[Site ID (from DATIM)]],"[Measures].[MMS_32_62]")</f>
        <v/>
      </c>
      <c r="AO167" s="67" t="str" vm="5398">
        <f>CUBEVALUE(ConnectionString,ReportMonth,Table1[[#This Row],[Site ID (from DATIM)]],"[Measures].[MMS_63+]")</f>
        <v/>
      </c>
      <c r="AP167" s="67" t="str" vm="5476">
        <f>CUBEVALUE(ConnectionString,ReportMonth,Table1[[#This Row],[Site ID (from DATIM)]],"[Measures].[TBPREV_D]")</f>
        <v/>
      </c>
      <c r="AQ167" s="67" t="str" vm="5727">
        <f>CUBEVALUE(ConnectionString,ReportMonth,Table1[[#This Row],[Site ID (from DATIM)]],"[Measures].[TBPREV_N]")</f>
        <v/>
      </c>
      <c r="AR167" s="67" t="str" vm="7189">
        <f>CUBEVALUE(ConnectionString,ReportMonth,Table1[[#This Row],[Site ID (from DATIM)]],"[Measures].[TBPREV_NEW]")</f>
        <v/>
      </c>
      <c r="AS167" s="67" t="str" vm="4633">
        <f>CUBEVALUE(ConnectionString,ReportMonth,Table1[[#This Row],[Site ID (from DATIM)]],"[Measures].[HVL_ELIG_P]")</f>
        <v/>
      </c>
      <c r="AT167" s="67" t="str" vm="9871">
        <f>CUBEVALUE(ConnectionString,ReportMonth,Table1[[#This Row],[Site ID (from DATIM)]],"[Measures].[HVL_D_P]")</f>
        <v/>
      </c>
      <c r="AU167" s="67" t="str" vm="11120">
        <f>CUBEVALUE(ConnectionString,ReportMonth,Table1[[#This Row],[Site ID (from DATIM)]],"[Measures].[HVL_N_P]")</f>
        <v/>
      </c>
      <c r="AV167" s="68" t="str" vm="8424">
        <f>CUBEVALUE(ConnectionString,ReportMonth,Table1[[#This Row],[Site ID (from DATIM)]],"[Measures].[HVL_ELIG_A]")</f>
        <v/>
      </c>
      <c r="AW167" s="68" t="str" vm="6355">
        <f>CUBEVALUE(ConnectionString,ReportMonth,Table1[[#This Row],[Site ID (from DATIM)]],"[Measures].[HVL_D_A]")</f>
        <v/>
      </c>
      <c r="AX167" s="68" t="str" vm="11490">
        <f>CUBEVALUE(ConnectionString,ReportMonth,Table1[[#This Row],[Site ID (from DATIM)]],"[Measures].[HVL_N_A]")</f>
        <v/>
      </c>
      <c r="AY167" s="67"/>
      <c r="AZ167" s="67"/>
      <c r="BA167" s="67"/>
      <c r="BB167" s="67"/>
      <c r="BC167" s="67"/>
      <c r="BD167" s="67"/>
      <c r="BE167" s="67"/>
      <c r="BF167" s="67"/>
      <c r="BG167" s="67" t="str" vm="10426">
        <f>CUBEVALUE(ConnectionString,ReportMonth,Table1[[#This Row],[Site ID (from DATIM)]],"[Measures].[TX_NEW_F_A]")</f>
        <v/>
      </c>
      <c r="BH167" s="67" t="str" vm="11241">
        <f>CUBEVALUE(ConnectionString,ReportMonth,Table1[[#This Row],[Site ID (from DATIM)]],"[Measures].[TX_NEW_M_A]")</f>
        <v/>
      </c>
      <c r="BI167" s="67" t="str" vm="13960">
        <f>CUBEVALUE(ConnectionString,ReportMonth,Table1[[#This Row],[Site ID (from DATIM)]],"[Measures].[TX_NEW_F_P]")</f>
        <v/>
      </c>
      <c r="BJ167" s="68" t="str" vm="15293">
        <f>CUBEVALUE(ConnectionString,ReportMonth,Table1[[#This Row],[Site ID (from DATIM)]],"[Measures].[TX_NEW_M_P]")</f>
        <v/>
      </c>
      <c r="BK167" s="68"/>
      <c r="BL167" s="68"/>
      <c r="BM167" s="68"/>
      <c r="BN167" s="68"/>
      <c r="BO167" s="68"/>
      <c r="BP167" s="68"/>
      <c r="BQ167" s="68" t="str" vm="8064">
        <f>CUBEVALUE(ConnectionString,ReportMonth,Table1[[#This Row],[Site ID (from DATIM)]],"[Measures].[TX_CURR_F_P]")</f>
        <v/>
      </c>
      <c r="BR167" s="68" t="str" vm="13587">
        <f>CUBEVALUE(ConnectionString,ReportMonth,Table1[[#This Row],[Site ID (from DATIM)]],"[Measures].[TX_CURR_M_P]")</f>
        <v/>
      </c>
      <c r="BS167" s="68" t="str" vm="11360">
        <f>CUBEVALUE(ConnectionString,ReportMonth,Table1[[#This Row],[Site ID (from DATIM)]],"[Measures].[TX_CURR_F_A]")</f>
        <v/>
      </c>
      <c r="BT167" s="68" t="str" vm="12984">
        <f>CUBEVALUE(ConnectionString,ReportMonth,Table1[[#This Row],[Site ID (from DATIM)]],"[Measures].[TX_CURR_M_A]")</f>
        <v/>
      </c>
      <c r="BU167" s="68" t="str" vm="18360">
        <f>CUBEVALUE(ConnectionString,ReportMonth,Table1[[#This Row],[Site ID (from DATIM)]],"[Measures].[MMS_01_89_F_P]")</f>
        <v/>
      </c>
      <c r="BV167" s="68" t="str" vm="19323">
        <f>CUBEVALUE(ConnectionString,ReportMonth,Table1[[#This Row],[Site ID (from DATIM)]],"[Measures].[MMS_01_89_M_P]")</f>
        <v/>
      </c>
      <c r="BW167" s="68" t="str" vm="19770">
        <f>CUBEVALUE(ConnectionString,ReportMonth,Table1[[#This Row],[Site ID (from DATIM)]],"[Measures].[MMS_01_89_F_A]")</f>
        <v/>
      </c>
      <c r="BX167" s="68" t="str" vm="17357">
        <f>CUBEVALUE(ConnectionString,ReportMonth,Table1[[#This Row],[Site ID (from DATIM)]],"[Measures].[MMS_01_89_M_A]")</f>
        <v/>
      </c>
      <c r="BY167" s="68" t="str" vm="18783">
        <f>CUBEVALUE(ConnectionString,ReportMonth,Table1[[#This Row],[Site ID (from DATIM)]],"[Measures].[MMS_90_179_F_P]")</f>
        <v/>
      </c>
      <c r="BZ167" s="68" t="str" vm="18794">
        <f>CUBEVALUE(ConnectionString,ReportMonth,Table1[[#This Row],[Site ID (from DATIM)]],"[Measures].[MMS_90_179_M_P]")</f>
        <v/>
      </c>
      <c r="CA167" s="68" t="str" vm="16418">
        <f>CUBEVALUE(ConnectionString,ReportMonth,Table1[[#This Row],[Site ID (from DATIM)]],"[Measures].[MMS_90_179_F_A]")</f>
        <v/>
      </c>
      <c r="CB167" s="68" t="str" vm="16906">
        <f>CUBEVALUE(ConnectionString,ReportMonth,Table1[[#This Row],[Site ID (from DATIM)]],"[Measures].[MMS_90_179_M_A]")</f>
        <v/>
      </c>
      <c r="CC167" s="68" t="str" vm="16451">
        <f>CUBEVALUE(ConnectionString,ReportMonth,Table1[[#This Row],[Site ID (from DATIM)]],"[Measures].[MMS_180+_F_P]")</f>
        <v/>
      </c>
      <c r="CD167" s="68" t="str" vm="14588">
        <f>CUBEVALUE(ConnectionString,ReportMonth,Table1[[#This Row],[Site ID (from DATIM)]],"[Measures].[MMS_180+_M_P]")</f>
        <v/>
      </c>
      <c r="CE167" s="68" t="str" vm="15773">
        <f>CUBEVALUE(ConnectionString,ReportMonth,Table1[[#This Row],[Site ID (from DATIM)]],"[Measures].[MMS_180+_F_A]")</f>
        <v/>
      </c>
      <c r="CF167" s="68" t="str" vm="17531">
        <f>CUBEVALUE(ConnectionString,ReportMonth,Table1[[#This Row],[Site ID (from DATIM)]],"[Measures].[MMS_180+_M_A]")</f>
        <v/>
      </c>
      <c r="CG167" s="68" vm="5213">
        <f>CUBEVALUE(ConnectionString,ReportMonth,Table1[[#This Row],[Site ID (from DATIM)]],"[Measures].[MISSEDAPP]")</f>
        <v>2</v>
      </c>
      <c r="CH167" s="68" t="str" vm="11753">
        <f>CUBEVALUE(ConnectionString,ReportMonth,Table1[[#This Row],[Site ID (from DATIM)]],"[Measures].[MMS_180+_P]")</f>
        <v/>
      </c>
      <c r="CI167" s="68" t="str" vm="14116">
        <f>CUBEVALUE(ConnectionString,ReportMonth,Table1[[#This Row],[Site ID (from DATIM)]],"[Measures].[MMS_180+_A]")</f>
        <v/>
      </c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  <c r="CW167" s="68"/>
      <c r="CX167" s="68"/>
      <c r="CY167" s="68"/>
      <c r="CZ167" s="68"/>
      <c r="DA167" s="68"/>
      <c r="DB167" s="68"/>
      <c r="DC167" s="68"/>
    </row>
    <row r="168" spans="1:107" x14ac:dyDescent="0.25">
      <c r="A168" s="66">
        <v>4</v>
      </c>
      <c r="B168" s="67" t="str" vm="4">
        <f t="shared" si="3"/>
        <v>Mar-2021</v>
      </c>
      <c r="C168" s="67"/>
      <c r="D168" s="67" t="s">
        <v>232</v>
      </c>
      <c r="E168" s="67" t="s">
        <v>233</v>
      </c>
      <c r="F168" s="67" t="s">
        <v>1083</v>
      </c>
      <c r="G168" s="67"/>
      <c r="H168" s="67" t="s">
        <v>1113</v>
      </c>
      <c r="I168" s="67" t="s">
        <v>1176</v>
      </c>
      <c r="J168" s="67" t="s">
        <v>1177</v>
      </c>
      <c r="K168" s="67" t="s">
        <v>1178</v>
      </c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 t="str" vm="3731">
        <f>CUBEVALUE(ConnectionString,ReportMonth,Table1[[#This Row],[Site ID (from DATIM)]],"TX_NEW_2VIS")</f>
        <v/>
      </c>
      <c r="AE168" s="67" t="str" vm="1656">
        <f>CUBEVALUE(ConnectionString,ReportMonth,Table1[[#This Row],[Site ID (from DATIM)]],INDEX(SDI_Measures,1))</f>
        <v/>
      </c>
      <c r="AF168" s="67" t="str" vm="3331">
        <f>CUBEVALUE(ConnectionString,ReportMonth,Table1[[#This Row],[Site ID (from DATIM)]],INDEX(SDI_Measures,2))</f>
        <v/>
      </c>
      <c r="AG168" s="67" t="str" vm="1933">
        <f>CUBEVALUE(ConnectionString,ReportMonth,Table1[[#This Row],[Site ID (from DATIM)]],INDEX(SDI_Measures,3))</f>
        <v/>
      </c>
      <c r="AH168" s="67" t="str" vm="2503">
        <f>CUBEVALUE(ConnectionString,ReportMonth,Table1[[#This Row],[Site ID (from DATIM)]],"TX_CURR_PRIOR_MONTH")</f>
        <v/>
      </c>
      <c r="AI168" s="67" t="str" vm="4059">
        <f>CUBEVALUE(ConnectionString,ReportMonth,Table1[[#This Row],[Site ID (from DATIM)]],"TX_CURR")</f>
        <v/>
      </c>
      <c r="AJ168" s="67" t="str" vm="2698">
        <f>CUBEVALUE(ConnectionString,ReportMonth,Table1[[#This Row],[Site ID (from DATIM)]],"[Measures].[TI]")</f>
        <v/>
      </c>
      <c r="AK168" s="67" t="str" vm="4379">
        <f>CUBEVALUE(ConnectionString,ReportMonth,Table1[[#This Row],[Site ID (from DATIM)]],"[Measures].[TO]")</f>
        <v/>
      </c>
      <c r="AL168" s="67" t="str" vm="1376">
        <f>CUBEVALUE(ConnectionString,ReportMonth,Table1[[#This Row],[Site ID (from DATIM)]],"[Measures].[DIED]")</f>
        <v/>
      </c>
      <c r="AM168" s="67" t="str" vm="8286">
        <f>CUBEVALUE(ConnectionString,ReportMonth,Table1[[#This Row],[Site ID (from DATIM)]],"[Measures].[MMS_01_31]")</f>
        <v/>
      </c>
      <c r="AN168" s="67" t="str" vm="3929">
        <f>CUBEVALUE(ConnectionString,ReportMonth,Table1[[#This Row],[Site ID (from DATIM)]],"[Measures].[MMS_32_62]")</f>
        <v/>
      </c>
      <c r="AO168" s="67" t="str" vm="13115">
        <f>CUBEVALUE(ConnectionString,ReportMonth,Table1[[#This Row],[Site ID (from DATIM)]],"[Measures].[MMS_63+]")</f>
        <v/>
      </c>
      <c r="AP168" s="67" t="str" vm="7338">
        <f>CUBEVALUE(ConnectionString,ReportMonth,Table1[[#This Row],[Site ID (from DATIM)]],"[Measures].[TBPREV_D]")</f>
        <v/>
      </c>
      <c r="AQ168" s="67" t="str" vm="6525">
        <f>CUBEVALUE(ConnectionString,ReportMonth,Table1[[#This Row],[Site ID (from DATIM)]],"[Measures].[TBPREV_N]")</f>
        <v/>
      </c>
      <c r="AR168" s="67" t="str" vm="7226">
        <f>CUBEVALUE(ConnectionString,ReportMonth,Table1[[#This Row],[Site ID (from DATIM)]],"[Measures].[TBPREV_NEW]")</f>
        <v/>
      </c>
      <c r="AS168" s="67" t="str" vm="9991">
        <f>CUBEVALUE(ConnectionString,ReportMonth,Table1[[#This Row],[Site ID (from DATIM)]],"[Measures].[HVL_ELIG_P]")</f>
        <v/>
      </c>
      <c r="AT168" s="67" t="str" vm="11855">
        <f>CUBEVALUE(ConnectionString,ReportMonth,Table1[[#This Row],[Site ID (from DATIM)]],"[Measures].[HVL_D_P]")</f>
        <v/>
      </c>
      <c r="AU168" s="67" t="str" vm="8987">
        <f>CUBEVALUE(ConnectionString,ReportMonth,Table1[[#This Row],[Site ID (from DATIM)]],"[Measures].[HVL_N_P]")</f>
        <v/>
      </c>
      <c r="AV168" s="68" t="str" vm="12481">
        <f>CUBEVALUE(ConnectionString,ReportMonth,Table1[[#This Row],[Site ID (from DATIM)]],"[Measures].[HVL_ELIG_A]")</f>
        <v/>
      </c>
      <c r="AW168" s="68" t="str" vm="11130">
        <f>CUBEVALUE(ConnectionString,ReportMonth,Table1[[#This Row],[Site ID (from DATIM)]],"[Measures].[HVL_D_A]")</f>
        <v/>
      </c>
      <c r="AX168" s="68" t="str" vm="8860">
        <f>CUBEVALUE(ConnectionString,ReportMonth,Table1[[#This Row],[Site ID (from DATIM)]],"[Measures].[HVL_N_A]")</f>
        <v/>
      </c>
      <c r="AY168" s="67"/>
      <c r="AZ168" s="67"/>
      <c r="BA168" s="67"/>
      <c r="BB168" s="67"/>
      <c r="BC168" s="67"/>
      <c r="BD168" s="67"/>
      <c r="BE168" s="67"/>
      <c r="BF168" s="67"/>
      <c r="BG168" s="67" t="str" vm="17420">
        <f>CUBEVALUE(ConnectionString,ReportMonth,Table1[[#This Row],[Site ID (from DATIM)]],"[Measures].[TX_NEW_F_A]")</f>
        <v/>
      </c>
      <c r="BH168" s="67" t="str" vm="15696">
        <f>CUBEVALUE(ConnectionString,ReportMonth,Table1[[#This Row],[Site ID (from DATIM)]],"[Measures].[TX_NEW_M_A]")</f>
        <v/>
      </c>
      <c r="BI168" s="67" t="str" vm="12127">
        <f>CUBEVALUE(ConnectionString,ReportMonth,Table1[[#This Row],[Site ID (from DATIM)]],"[Measures].[TX_NEW_F_P]")</f>
        <v/>
      </c>
      <c r="BJ168" s="68" t="str" vm="13441">
        <f>CUBEVALUE(ConnectionString,ReportMonth,Table1[[#This Row],[Site ID (from DATIM)]],"[Measures].[TX_NEW_M_P]")</f>
        <v/>
      </c>
      <c r="BK168" s="68"/>
      <c r="BL168" s="68"/>
      <c r="BM168" s="68"/>
      <c r="BN168" s="68"/>
      <c r="BO168" s="68"/>
      <c r="BP168" s="68"/>
      <c r="BQ168" s="68" t="str" vm="10968">
        <f>CUBEVALUE(ConnectionString,ReportMonth,Table1[[#This Row],[Site ID (from DATIM)]],"[Measures].[TX_CURR_F_P]")</f>
        <v/>
      </c>
      <c r="BR168" s="68" t="str" vm="13318">
        <f>CUBEVALUE(ConnectionString,ReportMonth,Table1[[#This Row],[Site ID (from DATIM)]],"[Measures].[TX_CURR_M_P]")</f>
        <v/>
      </c>
      <c r="BS168" s="68" t="str" vm="9179">
        <f>CUBEVALUE(ConnectionString,ReportMonth,Table1[[#This Row],[Site ID (from DATIM)]],"[Measures].[TX_CURR_F_A]")</f>
        <v/>
      </c>
      <c r="BT168" s="68" t="str" vm="14408">
        <f>CUBEVALUE(ConnectionString,ReportMonth,Table1[[#This Row],[Site ID (from DATIM)]],"[Measures].[TX_CURR_M_A]")</f>
        <v/>
      </c>
      <c r="BU168" s="68" t="str" vm="20123">
        <f>CUBEVALUE(ConnectionString,ReportMonth,Table1[[#This Row],[Site ID (from DATIM)]],"[Measures].[MMS_01_89_F_P]")</f>
        <v/>
      </c>
      <c r="BV168" s="68" t="str" vm="18667">
        <f>CUBEVALUE(ConnectionString,ReportMonth,Table1[[#This Row],[Site ID (from DATIM)]],"[Measures].[MMS_01_89_M_P]")</f>
        <v/>
      </c>
      <c r="BW168" s="68" t="str" vm="20026">
        <f>CUBEVALUE(ConnectionString,ReportMonth,Table1[[#This Row],[Site ID (from DATIM)]],"[Measures].[MMS_01_89_F_A]")</f>
        <v/>
      </c>
      <c r="BX168" s="68" t="str" vm="19211">
        <f>CUBEVALUE(ConnectionString,ReportMonth,Table1[[#This Row],[Site ID (from DATIM)]],"[Measures].[MMS_01_89_M_A]")</f>
        <v/>
      </c>
      <c r="BY168" s="68" t="str" vm="19882">
        <f>CUBEVALUE(ConnectionString,ReportMonth,Table1[[#This Row],[Site ID (from DATIM)]],"[Measures].[MMS_90_179_F_P]")</f>
        <v/>
      </c>
      <c r="BZ168" s="68" t="str" vm="16092">
        <f>CUBEVALUE(ConnectionString,ReportMonth,Table1[[#This Row],[Site ID (from DATIM)]],"[Measures].[MMS_90_179_M_P]")</f>
        <v/>
      </c>
      <c r="CA168" s="68" t="str" vm="15983">
        <f>CUBEVALUE(ConnectionString,ReportMonth,Table1[[#This Row],[Site ID (from DATIM)]],"[Measures].[MMS_90_179_F_A]")</f>
        <v/>
      </c>
      <c r="CB168" s="68" t="str" vm="15018">
        <f>CUBEVALUE(ConnectionString,ReportMonth,Table1[[#This Row],[Site ID (from DATIM)]],"[Measures].[MMS_90_179_M_A]")</f>
        <v/>
      </c>
      <c r="CC168" s="68" t="str" vm="14562">
        <f>CUBEVALUE(ConnectionString,ReportMonth,Table1[[#This Row],[Site ID (from DATIM)]],"[Measures].[MMS_180+_F_P]")</f>
        <v/>
      </c>
      <c r="CD168" s="68" t="str" vm="17600">
        <f>CUBEVALUE(ConnectionString,ReportMonth,Table1[[#This Row],[Site ID (from DATIM)]],"[Measures].[MMS_180+_M_P]")</f>
        <v/>
      </c>
      <c r="CE168" s="68" t="str" vm="14524">
        <f>CUBEVALUE(ConnectionString,ReportMonth,Table1[[#This Row],[Site ID (from DATIM)]],"[Measures].[MMS_180+_F_A]")</f>
        <v/>
      </c>
      <c r="CF168" s="68" t="str" vm="15728">
        <f>CUBEVALUE(ConnectionString,ReportMonth,Table1[[#This Row],[Site ID (from DATIM)]],"[Measures].[MMS_180+_M_A]")</f>
        <v/>
      </c>
      <c r="CG168" s="68" t="str" vm="9594">
        <f>CUBEVALUE(ConnectionString,ReportMonth,Table1[[#This Row],[Site ID (from DATIM)]],"[Measures].[MISSEDAPP]")</f>
        <v/>
      </c>
      <c r="CH168" s="68" t="str" vm="12036">
        <f>CUBEVALUE(ConnectionString,ReportMonth,Table1[[#This Row],[Site ID (from DATIM)]],"[Measures].[MMS_180+_P]")</f>
        <v/>
      </c>
      <c r="CI168" s="68" t="str" vm="13965">
        <f>CUBEVALUE(ConnectionString,ReportMonth,Table1[[#This Row],[Site ID (from DATIM)]],"[Measures].[MMS_180+_A]")</f>
        <v/>
      </c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</row>
    <row r="169" spans="1:107" x14ac:dyDescent="0.25">
      <c r="A169" s="66">
        <v>4</v>
      </c>
      <c r="B169" s="67" t="str" vm="4">
        <f t="shared" si="3"/>
        <v>Mar-2021</v>
      </c>
      <c r="C169" s="67"/>
      <c r="D169" s="67" t="s">
        <v>232</v>
      </c>
      <c r="E169" s="67" t="s">
        <v>233</v>
      </c>
      <c r="F169" s="67" t="s">
        <v>1286</v>
      </c>
      <c r="G169" s="67"/>
      <c r="H169" s="67" t="s">
        <v>1287</v>
      </c>
      <c r="I169" s="67" t="s">
        <v>1369</v>
      </c>
      <c r="J169" s="67" t="s">
        <v>1370</v>
      </c>
      <c r="K169" s="67" t="s">
        <v>1371</v>
      </c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 t="str" vm="4486">
        <f>CUBEVALUE(ConnectionString,ReportMonth,Table1[[#This Row],[Site ID (from DATIM)]],"TX_NEW_2VIS")</f>
        <v/>
      </c>
      <c r="AE169" s="67" t="str" vm="3539">
        <f>CUBEVALUE(ConnectionString,ReportMonth,Table1[[#This Row],[Site ID (from DATIM)]],INDEX(SDI_Measures,1))</f>
        <v/>
      </c>
      <c r="AF169" s="67" t="str" vm="536">
        <f>CUBEVALUE(ConnectionString,ReportMonth,Table1[[#This Row],[Site ID (from DATIM)]],INDEX(SDI_Measures,2))</f>
        <v/>
      </c>
      <c r="AG169" s="67" t="str" vm="5867">
        <f>CUBEVALUE(ConnectionString,ReportMonth,Table1[[#This Row],[Site ID (from DATIM)]],INDEX(SDI_Measures,3))</f>
        <v/>
      </c>
      <c r="AH169" s="67" t="str" vm="1248">
        <f>CUBEVALUE(ConnectionString,ReportMonth,Table1[[#This Row],[Site ID (from DATIM)]],"TX_CURR_PRIOR_MONTH")</f>
        <v/>
      </c>
      <c r="AI169" s="67" t="str" vm="3003">
        <f>CUBEVALUE(ConnectionString,ReportMonth,Table1[[#This Row],[Site ID (from DATIM)]],"TX_CURR")</f>
        <v/>
      </c>
      <c r="AJ169" s="67" t="str" vm="2131">
        <f>CUBEVALUE(ConnectionString,ReportMonth,Table1[[#This Row],[Site ID (from DATIM)]],"[Measures].[TI]")</f>
        <v/>
      </c>
      <c r="AK169" s="67" t="str" vm="4390">
        <f>CUBEVALUE(ConnectionString,ReportMonth,Table1[[#This Row],[Site ID (from DATIM)]],"[Measures].[TO]")</f>
        <v/>
      </c>
      <c r="AL169" s="67" t="str" vm="2017">
        <f>CUBEVALUE(ConnectionString,ReportMonth,Table1[[#This Row],[Site ID (from DATIM)]],"[Measures].[DIED]")</f>
        <v/>
      </c>
      <c r="AM169" s="67" t="str" vm="5234">
        <f>CUBEVALUE(ConnectionString,ReportMonth,Table1[[#This Row],[Site ID (from DATIM)]],"[Measures].[MMS_01_31]")</f>
        <v/>
      </c>
      <c r="AN169" s="67" t="str" vm="4661">
        <f>CUBEVALUE(ConnectionString,ReportMonth,Table1[[#This Row],[Site ID (from DATIM)]],"[Measures].[MMS_32_62]")</f>
        <v/>
      </c>
      <c r="AO169" s="67" t="str" vm="8297">
        <f>CUBEVALUE(ConnectionString,ReportMonth,Table1[[#This Row],[Site ID (from DATIM)]],"[Measures].[MMS_63+]")</f>
        <v/>
      </c>
      <c r="AP169" s="67" t="str" vm="6413">
        <f>CUBEVALUE(ConnectionString,ReportMonth,Table1[[#This Row],[Site ID (from DATIM)]],"[Measures].[TBPREV_D]")</f>
        <v/>
      </c>
      <c r="AQ169" s="67" t="str" vm="7271">
        <f>CUBEVALUE(ConnectionString,ReportMonth,Table1[[#This Row],[Site ID (from DATIM)]],"[Measures].[TBPREV_N]")</f>
        <v/>
      </c>
      <c r="AR169" s="67" t="str" vm="7787">
        <f>CUBEVALUE(ConnectionString,ReportMonth,Table1[[#This Row],[Site ID (from DATIM)]],"[Measures].[TBPREV_NEW]")</f>
        <v/>
      </c>
      <c r="AS169" s="67" t="str" vm="6999">
        <f>CUBEVALUE(ConnectionString,ReportMonth,Table1[[#This Row],[Site ID (from DATIM)]],"[Measures].[HVL_ELIG_P]")</f>
        <v/>
      </c>
      <c r="AT169" s="67" t="str" vm="11244">
        <f>CUBEVALUE(ConnectionString,ReportMonth,Table1[[#This Row],[Site ID (from DATIM)]],"[Measures].[HVL_D_P]")</f>
        <v/>
      </c>
      <c r="AU169" s="67" t="str" vm="10787">
        <f>CUBEVALUE(ConnectionString,ReportMonth,Table1[[#This Row],[Site ID (from DATIM)]],"[Measures].[HVL_N_P]")</f>
        <v/>
      </c>
      <c r="AV169" s="68" t="str" vm="9711">
        <f>CUBEVALUE(ConnectionString,ReportMonth,Table1[[#This Row],[Site ID (from DATIM)]],"[Measures].[HVL_ELIG_A]")</f>
        <v/>
      </c>
      <c r="AW169" s="68" t="str" vm="9892">
        <f>CUBEVALUE(ConnectionString,ReportMonth,Table1[[#This Row],[Site ID (from DATIM)]],"[Measures].[HVL_D_A]")</f>
        <v/>
      </c>
      <c r="AX169" s="68" t="str" vm="10642">
        <f>CUBEVALUE(ConnectionString,ReportMonth,Table1[[#This Row],[Site ID (from DATIM)]],"[Measures].[HVL_N_A]")</f>
        <v/>
      </c>
      <c r="AY169" s="67"/>
      <c r="AZ169" s="67"/>
      <c r="BA169" s="67"/>
      <c r="BB169" s="67"/>
      <c r="BC169" s="67"/>
      <c r="BD169" s="67"/>
      <c r="BE169" s="67"/>
      <c r="BF169" s="67"/>
      <c r="BG169" s="67" t="str" vm="12573">
        <f>CUBEVALUE(ConnectionString,ReportMonth,Table1[[#This Row],[Site ID (from DATIM)]],"[Measures].[TX_NEW_F_A]")</f>
        <v/>
      </c>
      <c r="BH169" s="67" t="str" vm="14029">
        <f>CUBEVALUE(ConnectionString,ReportMonth,Table1[[#This Row],[Site ID (from DATIM)]],"[Measures].[TX_NEW_M_A]")</f>
        <v/>
      </c>
      <c r="BI169" s="67" t="str" vm="12662">
        <f>CUBEVALUE(ConnectionString,ReportMonth,Table1[[#This Row],[Site ID (from DATIM)]],"[Measures].[TX_NEW_F_P]")</f>
        <v/>
      </c>
      <c r="BJ169" s="68" t="str" vm="14304">
        <f>CUBEVALUE(ConnectionString,ReportMonth,Table1[[#This Row],[Site ID (from DATIM)]],"[Measures].[TX_NEW_M_P]")</f>
        <v/>
      </c>
      <c r="BK169" s="68"/>
      <c r="BL169" s="68"/>
      <c r="BM169" s="68"/>
      <c r="BN169" s="68"/>
      <c r="BO169" s="68"/>
      <c r="BP169" s="68"/>
      <c r="BQ169" s="68" t="str" vm="8029">
        <f>CUBEVALUE(ConnectionString,ReportMonth,Table1[[#This Row],[Site ID (from DATIM)]],"[Measures].[TX_CURR_F_P]")</f>
        <v/>
      </c>
      <c r="BR169" s="68" t="str" vm="6804">
        <f>CUBEVALUE(ConnectionString,ReportMonth,Table1[[#This Row],[Site ID (from DATIM)]],"[Measures].[TX_CURR_M_P]")</f>
        <v/>
      </c>
      <c r="BS169" s="68" t="str" vm="11410">
        <f>CUBEVALUE(ConnectionString,ReportMonth,Table1[[#This Row],[Site ID (from DATIM)]],"[Measures].[TX_CURR_F_A]")</f>
        <v/>
      </c>
      <c r="BT169" s="68" t="str" vm="12434">
        <f>CUBEVALUE(ConnectionString,ReportMonth,Table1[[#This Row],[Site ID (from DATIM)]],"[Measures].[TX_CURR_M_A]")</f>
        <v/>
      </c>
      <c r="BU169" s="68" t="str" vm="19518">
        <f>CUBEVALUE(ConnectionString,ReportMonth,Table1[[#This Row],[Site ID (from DATIM)]],"[Measures].[MMS_01_89_F_P]")</f>
        <v/>
      </c>
      <c r="BV169" s="68" t="str" vm="18550">
        <f>CUBEVALUE(ConnectionString,ReportMonth,Table1[[#This Row],[Site ID (from DATIM)]],"[Measures].[MMS_01_89_M_P]")</f>
        <v/>
      </c>
      <c r="BW169" s="68" t="str" vm="20016">
        <f>CUBEVALUE(ConnectionString,ReportMonth,Table1[[#This Row],[Site ID (from DATIM)]],"[Measures].[MMS_01_89_F_A]")</f>
        <v/>
      </c>
      <c r="BX169" s="68" t="str" vm="18037">
        <f>CUBEVALUE(ConnectionString,ReportMonth,Table1[[#This Row],[Site ID (from DATIM)]],"[Measures].[MMS_01_89_M_A]")</f>
        <v/>
      </c>
      <c r="BY169" s="68" t="str" vm="17949">
        <f>CUBEVALUE(ConnectionString,ReportMonth,Table1[[#This Row],[Site ID (from DATIM)]],"[Measures].[MMS_90_179_F_P]")</f>
        <v/>
      </c>
      <c r="BZ169" s="68" t="str" vm="14775">
        <f>CUBEVALUE(ConnectionString,ReportMonth,Table1[[#This Row],[Site ID (from DATIM)]],"[Measures].[MMS_90_179_M_P]")</f>
        <v/>
      </c>
      <c r="CA169" s="68" t="str" vm="19555">
        <f>CUBEVALUE(ConnectionString,ReportMonth,Table1[[#This Row],[Site ID (from DATIM)]],"[Measures].[MMS_90_179_F_A]")</f>
        <v/>
      </c>
      <c r="CB169" s="68" t="str" vm="14705">
        <f>CUBEVALUE(ConnectionString,ReportMonth,Table1[[#This Row],[Site ID (from DATIM)]],"[Measures].[MMS_90_179_M_A]")</f>
        <v/>
      </c>
      <c r="CC169" s="68" t="str" vm="16003">
        <f>CUBEVALUE(ConnectionString,ReportMonth,Table1[[#This Row],[Site ID (from DATIM)]],"[Measures].[MMS_180+_F_P]")</f>
        <v/>
      </c>
      <c r="CD169" s="68" t="str" vm="16679">
        <f>CUBEVALUE(ConnectionString,ReportMonth,Table1[[#This Row],[Site ID (from DATIM)]],"[Measures].[MMS_180+_M_P]")</f>
        <v/>
      </c>
      <c r="CE169" s="68" t="str" vm="16749">
        <f>CUBEVALUE(ConnectionString,ReportMonth,Table1[[#This Row],[Site ID (from DATIM)]],"[Measures].[MMS_180+_F_A]")</f>
        <v/>
      </c>
      <c r="CF169" s="68" t="str" vm="17475">
        <f>CUBEVALUE(ConnectionString,ReportMonth,Table1[[#This Row],[Site ID (from DATIM)]],"[Measures].[MMS_180+_M_A]")</f>
        <v/>
      </c>
      <c r="CG169" s="68" t="str" vm="8249">
        <f>CUBEVALUE(ConnectionString,ReportMonth,Table1[[#This Row],[Site ID (from DATIM)]],"[Measures].[MISSEDAPP]")</f>
        <v/>
      </c>
      <c r="CH169" s="68" t="str" vm="10403">
        <f>CUBEVALUE(ConnectionString,ReportMonth,Table1[[#This Row],[Site ID (from DATIM)]],"[Measures].[MMS_180+_P]")</f>
        <v/>
      </c>
      <c r="CI169" s="68" t="str" vm="13820">
        <f>CUBEVALUE(ConnectionString,ReportMonth,Table1[[#This Row],[Site ID (from DATIM)]],"[Measures].[MMS_180+_A]")</f>
        <v/>
      </c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  <c r="CW169" s="68"/>
      <c r="CX169" s="68"/>
      <c r="CY169" s="68"/>
      <c r="CZ169" s="68"/>
      <c r="DA169" s="68"/>
      <c r="DB169" s="68"/>
      <c r="DC169" s="68"/>
    </row>
    <row r="170" spans="1:107" x14ac:dyDescent="0.25">
      <c r="A170" s="66">
        <v>4</v>
      </c>
      <c r="B170" s="67" t="str" vm="4">
        <f t="shared" si="3"/>
        <v>Mar-2021</v>
      </c>
      <c r="C170" s="67"/>
      <c r="D170" s="67" t="s">
        <v>232</v>
      </c>
      <c r="E170" s="67" t="s">
        <v>233</v>
      </c>
      <c r="F170" s="67" t="s">
        <v>1286</v>
      </c>
      <c r="G170" s="67"/>
      <c r="H170" s="67" t="s">
        <v>1291</v>
      </c>
      <c r="I170" s="67" t="s">
        <v>1372</v>
      </c>
      <c r="J170" s="67" t="s">
        <v>1373</v>
      </c>
      <c r="K170" s="67" t="s">
        <v>1374</v>
      </c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 t="str" vm="619">
        <f>CUBEVALUE(ConnectionString,ReportMonth,Table1[[#This Row],[Site ID (from DATIM)]],"TX_NEW_2VIS")</f>
        <v/>
      </c>
      <c r="AE170" s="67" t="str" vm="5392">
        <f>CUBEVALUE(ConnectionString,ReportMonth,Table1[[#This Row],[Site ID (from DATIM)]],INDEX(SDI_Measures,1))</f>
        <v/>
      </c>
      <c r="AF170" s="67" t="str" vm="830">
        <f>CUBEVALUE(ConnectionString,ReportMonth,Table1[[#This Row],[Site ID (from DATIM)]],INDEX(SDI_Measures,2))</f>
        <v/>
      </c>
      <c r="AG170" s="67" t="str" vm="2330">
        <f>CUBEVALUE(ConnectionString,ReportMonth,Table1[[#This Row],[Site ID (from DATIM)]],INDEX(SDI_Measures,3))</f>
        <v/>
      </c>
      <c r="AH170" s="67" t="str" vm="3788">
        <f>CUBEVALUE(ConnectionString,ReportMonth,Table1[[#This Row],[Site ID (from DATIM)]],"TX_CURR_PRIOR_MONTH")</f>
        <v/>
      </c>
      <c r="AI170" s="67" t="str" vm="3380">
        <f>CUBEVALUE(ConnectionString,ReportMonth,Table1[[#This Row],[Site ID (from DATIM)]],"TX_CURR")</f>
        <v/>
      </c>
      <c r="AJ170" s="67" t="str" vm="4121">
        <f>CUBEVALUE(ConnectionString,ReportMonth,Table1[[#This Row],[Site ID (from DATIM)]],"[Measures].[TI]")</f>
        <v/>
      </c>
      <c r="AK170" s="67" t="str" vm="1665">
        <f>CUBEVALUE(ConnectionString,ReportMonth,Table1[[#This Row],[Site ID (from DATIM)]],"[Measures].[TO]")</f>
        <v/>
      </c>
      <c r="AL170" s="67" t="str" vm="3647">
        <f>CUBEVALUE(ConnectionString,ReportMonth,Table1[[#This Row],[Site ID (from DATIM)]],"[Measures].[DIED]")</f>
        <v/>
      </c>
      <c r="AM170" s="67" t="str" vm="5779">
        <f>CUBEVALUE(ConnectionString,ReportMonth,Table1[[#This Row],[Site ID (from DATIM)]],"[Measures].[MMS_01_31]")</f>
        <v/>
      </c>
      <c r="AN170" s="67" t="str" vm="4170">
        <f>CUBEVALUE(ConnectionString,ReportMonth,Table1[[#This Row],[Site ID (from DATIM)]],"[Measures].[MMS_32_62]")</f>
        <v/>
      </c>
      <c r="AO170" s="67" t="str" vm="6785">
        <f>CUBEVALUE(ConnectionString,ReportMonth,Table1[[#This Row],[Site ID (from DATIM)]],"[Measures].[MMS_63+]")</f>
        <v/>
      </c>
      <c r="AP170" s="67" t="str" vm="6037">
        <f>CUBEVALUE(ConnectionString,ReportMonth,Table1[[#This Row],[Site ID (from DATIM)]],"[Measures].[TBPREV_D]")</f>
        <v/>
      </c>
      <c r="AQ170" s="67" t="str" vm="7824">
        <f>CUBEVALUE(ConnectionString,ReportMonth,Table1[[#This Row],[Site ID (from DATIM)]],"[Measures].[TBPREV_N]")</f>
        <v/>
      </c>
      <c r="AR170" s="67" t="str" vm="4915">
        <f>CUBEVALUE(ConnectionString,ReportMonth,Table1[[#This Row],[Site ID (from DATIM)]],"[Measures].[TBPREV_NEW]")</f>
        <v/>
      </c>
      <c r="AS170" s="67" t="str" vm="5750">
        <f>CUBEVALUE(ConnectionString,ReportMonth,Table1[[#This Row],[Site ID (from DATIM)]],"[Measures].[HVL_ELIG_P]")</f>
        <v/>
      </c>
      <c r="AT170" s="67" t="str" vm="6707">
        <f>CUBEVALUE(ConnectionString,ReportMonth,Table1[[#This Row],[Site ID (from DATIM)]],"[Measures].[HVL_D_P]")</f>
        <v/>
      </c>
      <c r="AU170" s="67" t="str" vm="8925">
        <f>CUBEVALUE(ConnectionString,ReportMonth,Table1[[#This Row],[Site ID (from DATIM)]],"[Measures].[HVL_N_P]")</f>
        <v/>
      </c>
      <c r="AV170" s="68" t="str" vm="14339">
        <f>CUBEVALUE(ConnectionString,ReportMonth,Table1[[#This Row],[Site ID (from DATIM)]],"[Measures].[HVL_ELIG_A]")</f>
        <v/>
      </c>
      <c r="AW170" s="68" t="str" vm="16185">
        <f>CUBEVALUE(ConnectionString,ReportMonth,Table1[[#This Row],[Site ID (from DATIM)]],"[Measures].[HVL_D_A]")</f>
        <v/>
      </c>
      <c r="AX170" s="68" t="str" vm="10875">
        <f>CUBEVALUE(ConnectionString,ReportMonth,Table1[[#This Row],[Site ID (from DATIM)]],"[Measures].[HVL_N_A]")</f>
        <v/>
      </c>
      <c r="AY170" s="67"/>
      <c r="AZ170" s="67"/>
      <c r="BA170" s="67"/>
      <c r="BB170" s="67"/>
      <c r="BC170" s="67"/>
      <c r="BD170" s="67"/>
      <c r="BE170" s="67"/>
      <c r="BF170" s="67"/>
      <c r="BG170" s="67" t="str" vm="13570">
        <f>CUBEVALUE(ConnectionString,ReportMonth,Table1[[#This Row],[Site ID (from DATIM)]],"[Measures].[TX_NEW_F_A]")</f>
        <v/>
      </c>
      <c r="BH170" s="67" t="str" vm="13189">
        <f>CUBEVALUE(ConnectionString,ReportMonth,Table1[[#This Row],[Site ID (from DATIM)]],"[Measures].[TX_NEW_M_A]")</f>
        <v/>
      </c>
      <c r="BI170" s="67" t="str" vm="17442">
        <f>CUBEVALUE(ConnectionString,ReportMonth,Table1[[#This Row],[Site ID (from DATIM)]],"[Measures].[TX_NEW_F_P]")</f>
        <v/>
      </c>
      <c r="BJ170" s="68" t="str" vm="17373">
        <f>CUBEVALUE(ConnectionString,ReportMonth,Table1[[#This Row],[Site ID (from DATIM)]],"[Measures].[TX_NEW_M_P]")</f>
        <v/>
      </c>
      <c r="BK170" s="68"/>
      <c r="BL170" s="68"/>
      <c r="BM170" s="68"/>
      <c r="BN170" s="68"/>
      <c r="BO170" s="68"/>
      <c r="BP170" s="68"/>
      <c r="BQ170" s="68" t="str" vm="8702">
        <f>CUBEVALUE(ConnectionString,ReportMonth,Table1[[#This Row],[Site ID (from DATIM)]],"[Measures].[TX_CURR_F_P]")</f>
        <v/>
      </c>
      <c r="BR170" s="68" t="str" vm="11795">
        <f>CUBEVALUE(ConnectionString,ReportMonth,Table1[[#This Row],[Site ID (from DATIM)]],"[Measures].[TX_CURR_M_P]")</f>
        <v/>
      </c>
      <c r="BS170" s="68" t="str" vm="8265">
        <f>CUBEVALUE(ConnectionString,ReportMonth,Table1[[#This Row],[Site ID (from DATIM)]],"[Measures].[TX_CURR_F_A]")</f>
        <v/>
      </c>
      <c r="BT170" s="68" t="str" vm="10216">
        <f>CUBEVALUE(ConnectionString,ReportMonth,Table1[[#This Row],[Site ID (from DATIM)]],"[Measures].[TX_CURR_M_A]")</f>
        <v/>
      </c>
      <c r="BU170" s="68" t="str" vm="18252">
        <f>CUBEVALUE(ConnectionString,ReportMonth,Table1[[#This Row],[Site ID (from DATIM)]],"[Measures].[MMS_01_89_F_P]")</f>
        <v/>
      </c>
      <c r="BV170" s="68" t="str" vm="19075">
        <f>CUBEVALUE(ConnectionString,ReportMonth,Table1[[#This Row],[Site ID (from DATIM)]],"[Measures].[MMS_01_89_M_P]")</f>
        <v/>
      </c>
      <c r="BW170" s="68" t="str" vm="19085">
        <f>CUBEVALUE(ConnectionString,ReportMonth,Table1[[#This Row],[Site ID (from DATIM)]],"[Measures].[MMS_01_89_F_A]")</f>
        <v/>
      </c>
      <c r="BX170" s="68" t="str" vm="19721">
        <f>CUBEVALUE(ConnectionString,ReportMonth,Table1[[#This Row],[Site ID (from DATIM)]],"[Measures].[MMS_01_89_M_A]")</f>
        <v/>
      </c>
      <c r="BY170" s="68" t="str" vm="19963">
        <f>CUBEVALUE(ConnectionString,ReportMonth,Table1[[#This Row],[Site ID (from DATIM)]],"[Measures].[MMS_90_179_F_P]")</f>
        <v/>
      </c>
      <c r="BZ170" s="68" t="str" vm="15167">
        <f>CUBEVALUE(ConnectionString,ReportMonth,Table1[[#This Row],[Site ID (from DATIM)]],"[Measures].[MMS_90_179_M_P]")</f>
        <v/>
      </c>
      <c r="CA170" s="68" t="str" vm="16882">
        <f>CUBEVALUE(ConnectionString,ReportMonth,Table1[[#This Row],[Site ID (from DATIM)]],"[Measures].[MMS_90_179_F_A]")</f>
        <v/>
      </c>
      <c r="CB170" s="68" t="str" vm="16484">
        <f>CUBEVALUE(ConnectionString,ReportMonth,Table1[[#This Row],[Site ID (from DATIM)]],"[Measures].[MMS_90_179_M_A]")</f>
        <v/>
      </c>
      <c r="CC170" s="68" t="str" vm="16340">
        <f>CUBEVALUE(ConnectionString,ReportMonth,Table1[[#This Row],[Site ID (from DATIM)]],"[Measures].[MMS_180+_F_P]")</f>
        <v/>
      </c>
      <c r="CD170" s="68" t="str" vm="14997">
        <f>CUBEVALUE(ConnectionString,ReportMonth,Table1[[#This Row],[Site ID (from DATIM)]],"[Measures].[MMS_180+_M_P]")</f>
        <v/>
      </c>
      <c r="CE170" s="68" t="str" vm="17097">
        <f>CUBEVALUE(ConnectionString,ReportMonth,Table1[[#This Row],[Site ID (from DATIM)]],"[Measures].[MMS_180+_F_A]")</f>
        <v/>
      </c>
      <c r="CF170" s="68" t="str" vm="115">
        <f>CUBEVALUE(ConnectionString,ReportMonth,Table1[[#This Row],[Site ID (from DATIM)]],"[Measures].[MMS_180+_M_A]")</f>
        <v/>
      </c>
      <c r="CG170" s="68" t="str" vm="6224">
        <f>CUBEVALUE(ConnectionString,ReportMonth,Table1[[#This Row],[Site ID (from DATIM)]],"[Measures].[MISSEDAPP]")</f>
        <v/>
      </c>
      <c r="CH170" s="68" t="str" vm="11893">
        <f>CUBEVALUE(ConnectionString,ReportMonth,Table1[[#This Row],[Site ID (from DATIM)]],"[Measures].[MMS_180+_P]")</f>
        <v/>
      </c>
      <c r="CI170" s="68" t="str" vm="13873">
        <f>CUBEVALUE(ConnectionString,ReportMonth,Table1[[#This Row],[Site ID (from DATIM)]],"[Measures].[MMS_180+_A]")</f>
        <v/>
      </c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  <c r="CW170" s="68"/>
      <c r="CX170" s="68"/>
      <c r="CY170" s="68"/>
      <c r="CZ170" s="68"/>
      <c r="DA170" s="68"/>
      <c r="DB170" s="68"/>
      <c r="DC170" s="68"/>
    </row>
    <row r="171" spans="1:107" x14ac:dyDescent="0.25">
      <c r="A171" s="66">
        <v>4</v>
      </c>
      <c r="B171" s="67" t="str" vm="4">
        <f t="shared" si="3"/>
        <v>Mar-2021</v>
      </c>
      <c r="C171" s="67"/>
      <c r="D171" s="67" t="s">
        <v>232</v>
      </c>
      <c r="E171" s="67" t="s">
        <v>233</v>
      </c>
      <c r="F171" s="67" t="s">
        <v>437</v>
      </c>
      <c r="G171" s="67"/>
      <c r="H171" s="67" t="s">
        <v>465</v>
      </c>
      <c r="I171" s="67" t="s">
        <v>605</v>
      </c>
      <c r="J171" s="67" t="s">
        <v>606</v>
      </c>
      <c r="K171" s="67" t="s">
        <v>607</v>
      </c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 t="str" vm="528">
        <f>CUBEVALUE(ConnectionString,ReportMonth,Table1[[#This Row],[Site ID (from DATIM)]],"TX_NEW_2VIS")</f>
        <v/>
      </c>
      <c r="AE171" s="67" t="str" vm="1462">
        <f>CUBEVALUE(ConnectionString,ReportMonth,Table1[[#This Row],[Site ID (from DATIM)]],INDEX(SDI_Measures,1))</f>
        <v/>
      </c>
      <c r="AF171" s="67" t="str" vm="4264">
        <f>CUBEVALUE(ConnectionString,ReportMonth,Table1[[#This Row],[Site ID (from DATIM)]],INDEX(SDI_Measures,2))</f>
        <v/>
      </c>
      <c r="AG171" s="67" t="str" vm="1238">
        <f>CUBEVALUE(ConnectionString,ReportMonth,Table1[[#This Row],[Site ID (from DATIM)]],INDEX(SDI_Measures,3))</f>
        <v/>
      </c>
      <c r="AH171" s="67" vm="2193">
        <f>CUBEVALUE(ConnectionString,ReportMonth,Table1[[#This Row],[Site ID (from DATIM)]],"TX_CURR_PRIOR_MONTH")</f>
        <v>27</v>
      </c>
      <c r="AI171" s="67" vm="2991">
        <f>CUBEVALUE(ConnectionString,ReportMonth,Table1[[#This Row],[Site ID (from DATIM)]],"TX_CURR")</f>
        <v>27</v>
      </c>
      <c r="AJ171" s="67" t="str" vm="1859">
        <f>CUBEVALUE(ConnectionString,ReportMonth,Table1[[#This Row],[Site ID (from DATIM)]],"[Measures].[TI]")</f>
        <v/>
      </c>
      <c r="AK171" s="67" t="str" vm="3624">
        <f>CUBEVALUE(ConnectionString,ReportMonth,Table1[[#This Row],[Site ID (from DATIM)]],"[Measures].[TO]")</f>
        <v/>
      </c>
      <c r="AL171" s="67" t="str" vm="3479">
        <f>CUBEVALUE(ConnectionString,ReportMonth,Table1[[#This Row],[Site ID (from DATIM)]],"[Measures].[DIED]")</f>
        <v/>
      </c>
      <c r="AM171" s="67" vm="3724">
        <f>CUBEVALUE(ConnectionString,ReportMonth,Table1[[#This Row],[Site ID (from DATIM)]],"[Measures].[MMS_01_31]")</f>
        <v>14</v>
      </c>
      <c r="AN171" s="67" t="str" vm="5875">
        <f>CUBEVALUE(ConnectionString,ReportMonth,Table1[[#This Row],[Site ID (from DATIM)]],"[Measures].[MMS_32_62]")</f>
        <v/>
      </c>
      <c r="AO171" s="67" vm="7144">
        <f>CUBEVALUE(ConnectionString,ReportMonth,Table1[[#This Row],[Site ID (from DATIM)]],"[Measures].[MMS_63+]")</f>
        <v>13</v>
      </c>
      <c r="AP171" s="67" t="str" vm="7058">
        <f>CUBEVALUE(ConnectionString,ReportMonth,Table1[[#This Row],[Site ID (from DATIM)]],"[Measures].[TBPREV_D]")</f>
        <v/>
      </c>
      <c r="AQ171" s="67" t="str" vm="4725">
        <f>CUBEVALUE(ConnectionString,ReportMonth,Table1[[#This Row],[Site ID (from DATIM)]],"[Measures].[TBPREV_N]")</f>
        <v/>
      </c>
      <c r="AR171" s="67" t="str" vm="7597">
        <f>CUBEVALUE(ConnectionString,ReportMonth,Table1[[#This Row],[Site ID (from DATIM)]],"[Measures].[TBPREV_NEW]")</f>
        <v/>
      </c>
      <c r="AS171" s="67" vm="9528">
        <f>CUBEVALUE(ConnectionString,ReportMonth,Table1[[#This Row],[Site ID (from DATIM)]],"[Measures].[HVL_ELIG_P]")</f>
        <v>5</v>
      </c>
      <c r="AT171" s="67" vm="10559">
        <f>CUBEVALUE(ConnectionString,ReportMonth,Table1[[#This Row],[Site ID (from DATIM)]],"[Measures].[HVL_D_P]")</f>
        <v>3</v>
      </c>
      <c r="AU171" s="67" vm="11168">
        <f>CUBEVALUE(ConnectionString,ReportMonth,Table1[[#This Row],[Site ID (from DATIM)]],"[Measures].[HVL_N_P]")</f>
        <v>3</v>
      </c>
      <c r="AV171" s="68" vm="9825">
        <f>CUBEVALUE(ConnectionString,ReportMonth,Table1[[#This Row],[Site ID (from DATIM)]],"[Measures].[HVL_ELIG_A]")</f>
        <v>14</v>
      </c>
      <c r="AW171" s="68" vm="11581">
        <f>CUBEVALUE(ConnectionString,ReportMonth,Table1[[#This Row],[Site ID (from DATIM)]],"[Measures].[HVL_D_A]")</f>
        <v>10</v>
      </c>
      <c r="AX171" s="68" vm="8797">
        <f>CUBEVALUE(ConnectionString,ReportMonth,Table1[[#This Row],[Site ID (from DATIM)]],"[Measures].[HVL_N_A]")</f>
        <v>10</v>
      </c>
      <c r="AY171" s="67"/>
      <c r="AZ171" s="67"/>
      <c r="BA171" s="67"/>
      <c r="BB171" s="67"/>
      <c r="BC171" s="67"/>
      <c r="BD171" s="67"/>
      <c r="BE171" s="67"/>
      <c r="BF171" s="67"/>
      <c r="BG171" s="67" t="str" vm="14127">
        <f>CUBEVALUE(ConnectionString,ReportMonth,Table1[[#This Row],[Site ID (from DATIM)]],"[Measures].[TX_NEW_F_A]")</f>
        <v/>
      </c>
      <c r="BH171" s="67" t="str" vm="10920">
        <f>CUBEVALUE(ConnectionString,ReportMonth,Table1[[#This Row],[Site ID (from DATIM)]],"[Measures].[TX_NEW_M_A]")</f>
        <v/>
      </c>
      <c r="BI171" s="67" t="str" vm="16182">
        <f>CUBEVALUE(ConnectionString,ReportMonth,Table1[[#This Row],[Site ID (from DATIM)]],"[Measures].[TX_NEW_F_P]")</f>
        <v/>
      </c>
      <c r="BJ171" s="68" t="str" vm="14237">
        <f>CUBEVALUE(ConnectionString,ReportMonth,Table1[[#This Row],[Site ID (from DATIM)]],"[Measures].[TX_NEW_M_P]")</f>
        <v/>
      </c>
      <c r="BK171" s="68"/>
      <c r="BL171" s="68"/>
      <c r="BM171" s="68"/>
      <c r="BN171" s="68"/>
      <c r="BO171" s="68"/>
      <c r="BP171" s="68"/>
      <c r="BQ171" s="68" vm="8628">
        <f>CUBEVALUE(ConnectionString,ReportMonth,Table1[[#This Row],[Site ID (from DATIM)]],"[Measures].[TX_CURR_F_P]")</f>
        <v>2</v>
      </c>
      <c r="BR171" s="68" vm="6364">
        <f>CUBEVALUE(ConnectionString,ReportMonth,Table1[[#This Row],[Site ID (from DATIM)]],"[Measures].[TX_CURR_M_P]")</f>
        <v>3</v>
      </c>
      <c r="BS171" s="68" vm="7247">
        <f>CUBEVALUE(ConnectionString,ReportMonth,Table1[[#This Row],[Site ID (from DATIM)]],"[Measures].[TX_CURR_F_A]")</f>
        <v>17</v>
      </c>
      <c r="BT171" s="68" vm="11902">
        <f>CUBEVALUE(ConnectionString,ReportMonth,Table1[[#This Row],[Site ID (from DATIM)]],"[Measures].[TX_CURR_M_A]")</f>
        <v>5</v>
      </c>
      <c r="BU171" s="68" t="str" vm="20145">
        <f>CUBEVALUE(ConnectionString,ReportMonth,Table1[[#This Row],[Site ID (from DATIM)]],"[Measures].[MMS_01_89_F_P]")</f>
        <v/>
      </c>
      <c r="BV171" s="68" vm="18418">
        <f>CUBEVALUE(ConnectionString,ReportMonth,Table1[[#This Row],[Site ID (from DATIM)]],"[Measures].[MMS_01_89_M_P]")</f>
        <v>1</v>
      </c>
      <c r="BW171" s="68" vm="15102">
        <f>CUBEVALUE(ConnectionString,ReportMonth,Table1[[#This Row],[Site ID (from DATIM)]],"[Measures].[MMS_01_89_F_A]")</f>
        <v>8</v>
      </c>
      <c r="BX171" s="68" vm="19128">
        <f>CUBEVALUE(ConnectionString,ReportMonth,Table1[[#This Row],[Site ID (from DATIM)]],"[Measures].[MMS_01_89_M_A]")</f>
        <v>5</v>
      </c>
      <c r="BY171" s="68" vm="17791">
        <f>CUBEVALUE(ConnectionString,ReportMonth,Table1[[#This Row],[Site ID (from DATIM)]],"[Measures].[MMS_90_179_F_P]")</f>
        <v>2</v>
      </c>
      <c r="BZ171" s="68" vm="19877">
        <f>CUBEVALUE(ConnectionString,ReportMonth,Table1[[#This Row],[Site ID (from DATIM)]],"[Measures].[MMS_90_179_M_P]")</f>
        <v>2</v>
      </c>
      <c r="CA171" s="68" vm="15556">
        <f>CUBEVALUE(ConnectionString,ReportMonth,Table1[[#This Row],[Site ID (from DATIM)]],"[Measures].[MMS_90_179_F_A]")</f>
        <v>9</v>
      </c>
      <c r="CB171" s="68" t="str" vm="14722">
        <f>CUBEVALUE(ConnectionString,ReportMonth,Table1[[#This Row],[Site ID (from DATIM)]],"[Measures].[MMS_90_179_M_A]")</f>
        <v/>
      </c>
      <c r="CC171" s="68" t="str" vm="14622">
        <f>CUBEVALUE(ConnectionString,ReportMonth,Table1[[#This Row],[Site ID (from DATIM)]],"[Measures].[MMS_180+_F_P]")</f>
        <v/>
      </c>
      <c r="CD171" s="68" t="str" vm="16349">
        <f>CUBEVALUE(ConnectionString,ReportMonth,Table1[[#This Row],[Site ID (from DATIM)]],"[Measures].[MMS_180+_M_P]")</f>
        <v/>
      </c>
      <c r="CE171" s="68" t="str" vm="17128">
        <f>CUBEVALUE(ConnectionString,ReportMonth,Table1[[#This Row],[Site ID (from DATIM)]],"[Measures].[MMS_180+_F_A]")</f>
        <v/>
      </c>
      <c r="CF171" s="68" t="str" vm="14888">
        <f>CUBEVALUE(ConnectionString,ReportMonth,Table1[[#This Row],[Site ID (from DATIM)]],"[Measures].[MMS_180+_M_A]")</f>
        <v/>
      </c>
      <c r="CG171" s="68" vm="6436">
        <f>CUBEVALUE(ConnectionString,ReportMonth,Table1[[#This Row],[Site ID (from DATIM)]],"[Measures].[MISSEDAPP]")</f>
        <v>14</v>
      </c>
      <c r="CH171" s="68" t="str" vm="17064">
        <f>CUBEVALUE(ConnectionString,ReportMonth,Table1[[#This Row],[Site ID (from DATIM)]],"[Measures].[MMS_180+_P]")</f>
        <v/>
      </c>
      <c r="CI171" s="68" t="str" vm="13184">
        <f>CUBEVALUE(ConnectionString,ReportMonth,Table1[[#This Row],[Site ID (from DATIM)]],"[Measures].[MMS_180+_A]")</f>
        <v/>
      </c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  <c r="CW171" s="68"/>
      <c r="CX171" s="68"/>
      <c r="CY171" s="68"/>
      <c r="CZ171" s="68"/>
      <c r="DA171" s="68"/>
      <c r="DB171" s="68"/>
      <c r="DC171" s="68"/>
    </row>
    <row r="172" spans="1:107" x14ac:dyDescent="0.25">
      <c r="A172" s="66">
        <v>4</v>
      </c>
      <c r="B172" s="67" t="str" vm="4">
        <f t="shared" si="3"/>
        <v>Mar-2021</v>
      </c>
      <c r="C172" s="67"/>
      <c r="D172" s="67" t="s">
        <v>232</v>
      </c>
      <c r="E172" s="67" t="s">
        <v>233</v>
      </c>
      <c r="F172" s="67" t="s">
        <v>1286</v>
      </c>
      <c r="G172" s="67"/>
      <c r="H172" s="67" t="s">
        <v>1323</v>
      </c>
      <c r="I172" s="67" t="s">
        <v>1375</v>
      </c>
      <c r="J172" s="67" t="s">
        <v>1376</v>
      </c>
      <c r="K172" s="67" t="s">
        <v>1377</v>
      </c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 t="str" vm="2433">
        <f>CUBEVALUE(ConnectionString,ReportMonth,Table1[[#This Row],[Site ID (from DATIM)]],"TX_NEW_2VIS")</f>
        <v/>
      </c>
      <c r="AE172" s="67" t="str" vm="2264">
        <f>CUBEVALUE(ConnectionString,ReportMonth,Table1[[#This Row],[Site ID (from DATIM)]],INDEX(SDI_Measures,1))</f>
        <v/>
      </c>
      <c r="AF172" s="67" t="str" vm="359">
        <f>CUBEVALUE(ConnectionString,ReportMonth,Table1[[#This Row],[Site ID (from DATIM)]],INDEX(SDI_Measures,2))</f>
        <v/>
      </c>
      <c r="AG172" s="67" t="str" vm="2213">
        <f>CUBEVALUE(ConnectionString,ReportMonth,Table1[[#This Row],[Site ID (from DATIM)]],INDEX(SDI_Measures,3))</f>
        <v/>
      </c>
      <c r="AH172" s="67" t="str" vm="1272">
        <f>CUBEVALUE(ConnectionString,ReportMonth,Table1[[#This Row],[Site ID (from DATIM)]],"TX_CURR_PRIOR_MONTH")</f>
        <v/>
      </c>
      <c r="AI172" s="67" t="str" vm="1430">
        <f>CUBEVALUE(ConnectionString,ReportMonth,Table1[[#This Row],[Site ID (from DATIM)]],"TX_CURR")</f>
        <v/>
      </c>
      <c r="AJ172" s="67" t="str" vm="2430">
        <f>CUBEVALUE(ConnectionString,ReportMonth,Table1[[#This Row],[Site ID (from DATIM)]],"[Measures].[TI]")</f>
        <v/>
      </c>
      <c r="AK172" s="67" t="str" vm="2610">
        <f>CUBEVALUE(ConnectionString,ReportMonth,Table1[[#This Row],[Site ID (from DATIM)]],"[Measures].[TO]")</f>
        <v/>
      </c>
      <c r="AL172" s="67" t="str" vm="2811">
        <f>CUBEVALUE(ConnectionString,ReportMonth,Table1[[#This Row],[Site ID (from DATIM)]],"[Measures].[DIED]")</f>
        <v/>
      </c>
      <c r="AM172" s="67" t="str" vm="7651">
        <f>CUBEVALUE(ConnectionString,ReportMonth,Table1[[#This Row],[Site ID (from DATIM)]],"[Measures].[MMS_01_31]")</f>
        <v/>
      </c>
      <c r="AN172" s="67" t="str" vm="5615">
        <f>CUBEVALUE(ConnectionString,ReportMonth,Table1[[#This Row],[Site ID (from DATIM)]],"[Measures].[MMS_32_62]")</f>
        <v/>
      </c>
      <c r="AO172" s="67" t="str" vm="6323">
        <f>CUBEVALUE(ConnectionString,ReportMonth,Table1[[#This Row],[Site ID (from DATIM)]],"[Measures].[MMS_63+]")</f>
        <v/>
      </c>
      <c r="AP172" s="67" t="str" vm="6942">
        <f>CUBEVALUE(ConnectionString,ReportMonth,Table1[[#This Row],[Site ID (from DATIM)]],"[Measures].[TBPREV_D]")</f>
        <v/>
      </c>
      <c r="AQ172" s="67" t="str" vm="6425">
        <f>CUBEVALUE(ConnectionString,ReportMonth,Table1[[#This Row],[Site ID (from DATIM)]],"[Measures].[TBPREV_N]")</f>
        <v/>
      </c>
      <c r="AR172" s="67" t="str" vm="7902">
        <f>CUBEVALUE(ConnectionString,ReportMonth,Table1[[#This Row],[Site ID (from DATIM)]],"[Measures].[TBPREV_NEW]")</f>
        <v/>
      </c>
      <c r="AS172" s="67" t="str" vm="6343">
        <f>CUBEVALUE(ConnectionString,ReportMonth,Table1[[#This Row],[Site ID (from DATIM)]],"[Measures].[HVL_ELIG_P]")</f>
        <v/>
      </c>
      <c r="AT172" s="67" t="str" vm="15298">
        <f>CUBEVALUE(ConnectionString,ReportMonth,Table1[[#This Row],[Site ID (from DATIM)]],"[Measures].[HVL_D_P]")</f>
        <v/>
      </c>
      <c r="AU172" s="67" t="str" vm="11863">
        <f>CUBEVALUE(ConnectionString,ReportMonth,Table1[[#This Row],[Site ID (from DATIM)]],"[Measures].[HVL_N_P]")</f>
        <v/>
      </c>
      <c r="AV172" s="68" t="str" vm="10321">
        <f>CUBEVALUE(ConnectionString,ReportMonth,Table1[[#This Row],[Site ID (from DATIM)]],"[Measures].[HVL_ELIG_A]")</f>
        <v/>
      </c>
      <c r="AW172" s="68" t="str" vm="11787">
        <f>CUBEVALUE(ConnectionString,ReportMonth,Table1[[#This Row],[Site ID (from DATIM)]],"[Measures].[HVL_D_A]")</f>
        <v/>
      </c>
      <c r="AX172" s="68" t="str" vm="10804">
        <f>CUBEVALUE(ConnectionString,ReportMonth,Table1[[#This Row],[Site ID (from DATIM)]],"[Measures].[HVL_N_A]")</f>
        <v/>
      </c>
      <c r="AY172" s="67"/>
      <c r="AZ172" s="67"/>
      <c r="BA172" s="67"/>
      <c r="BB172" s="67"/>
      <c r="BC172" s="67"/>
      <c r="BD172" s="67"/>
      <c r="BE172" s="67"/>
      <c r="BF172" s="67"/>
      <c r="BG172" s="67" t="str" vm="13623">
        <f>CUBEVALUE(ConnectionString,ReportMonth,Table1[[#This Row],[Site ID (from DATIM)]],"[Measures].[TX_NEW_F_A]")</f>
        <v/>
      </c>
      <c r="BH172" s="67" t="str" vm="16545">
        <f>CUBEVALUE(ConnectionString,ReportMonth,Table1[[#This Row],[Site ID (from DATIM)]],"[Measures].[TX_NEW_M_A]")</f>
        <v/>
      </c>
      <c r="BI172" s="67" t="str" vm="13416">
        <f>CUBEVALUE(ConnectionString,ReportMonth,Table1[[#This Row],[Site ID (from DATIM)]],"[Measures].[TX_NEW_F_P]")</f>
        <v/>
      </c>
      <c r="BJ172" s="68" t="str" vm="15309">
        <f>CUBEVALUE(ConnectionString,ReportMonth,Table1[[#This Row],[Site ID (from DATIM)]],"[Measures].[TX_NEW_M_P]")</f>
        <v/>
      </c>
      <c r="BK172" s="68"/>
      <c r="BL172" s="68"/>
      <c r="BM172" s="68"/>
      <c r="BN172" s="68"/>
      <c r="BO172" s="68"/>
      <c r="BP172" s="68"/>
      <c r="BQ172" s="68" t="str" vm="7506">
        <f>CUBEVALUE(ConnectionString,ReportMonth,Table1[[#This Row],[Site ID (from DATIM)]],"[Measures].[TX_CURR_F_P]")</f>
        <v/>
      </c>
      <c r="BR172" s="68" t="str" vm="11148">
        <f>CUBEVALUE(ConnectionString,ReportMonth,Table1[[#This Row],[Site ID (from DATIM)]],"[Measures].[TX_CURR_M_P]")</f>
        <v/>
      </c>
      <c r="BS172" s="68" t="str" vm="8623">
        <f>CUBEVALUE(ConnectionString,ReportMonth,Table1[[#This Row],[Site ID (from DATIM)]],"[Measures].[TX_CURR_F_A]")</f>
        <v/>
      </c>
      <c r="BT172" s="68" t="str" vm="11447">
        <f>CUBEVALUE(ConnectionString,ReportMonth,Table1[[#This Row],[Site ID (from DATIM)]],"[Measures].[TX_CURR_M_A]")</f>
        <v/>
      </c>
      <c r="BU172" s="68" t="str" vm="19780">
        <f>CUBEVALUE(ConnectionString,ReportMonth,Table1[[#This Row],[Site ID (from DATIM)]],"[Measures].[MMS_01_89_F_P]")</f>
        <v/>
      </c>
      <c r="BV172" s="68" t="str" vm="18324">
        <f>CUBEVALUE(ConnectionString,ReportMonth,Table1[[#This Row],[Site ID (from DATIM)]],"[Measures].[MMS_01_89_M_P]")</f>
        <v/>
      </c>
      <c r="BW172" s="68" t="str" vm="19984">
        <f>CUBEVALUE(ConnectionString,ReportMonth,Table1[[#This Row],[Site ID (from DATIM)]],"[Measures].[MMS_01_89_F_A]")</f>
        <v/>
      </c>
      <c r="BX172" s="68" t="str" vm="18861">
        <f>CUBEVALUE(ConnectionString,ReportMonth,Table1[[#This Row],[Site ID (from DATIM)]],"[Measures].[MMS_01_89_M_A]")</f>
        <v/>
      </c>
      <c r="BY172" s="68" t="str" vm="19593">
        <f>CUBEVALUE(ConnectionString,ReportMonth,Table1[[#This Row],[Site ID (from DATIM)]],"[Measures].[MMS_90_179_F_P]")</f>
        <v/>
      </c>
      <c r="BZ172" s="68" t="str" vm="17882">
        <f>CUBEVALUE(ConnectionString,ReportMonth,Table1[[#This Row],[Site ID (from DATIM)]],"[Measures].[MMS_90_179_M_P]")</f>
        <v/>
      </c>
      <c r="CA172" s="68" t="str" vm="17667">
        <f>CUBEVALUE(ConnectionString,ReportMonth,Table1[[#This Row],[Site ID (from DATIM)]],"[Measures].[MMS_90_179_F_A]")</f>
        <v/>
      </c>
      <c r="CB172" s="68" t="str" vm="15922">
        <f>CUBEVALUE(ConnectionString,ReportMonth,Table1[[#This Row],[Site ID (from DATIM)]],"[Measures].[MMS_90_179_M_A]")</f>
        <v/>
      </c>
      <c r="CC172" s="68" t="str" vm="16732">
        <f>CUBEVALUE(ConnectionString,ReportMonth,Table1[[#This Row],[Site ID (from DATIM)]],"[Measures].[MMS_180+_F_P]")</f>
        <v/>
      </c>
      <c r="CD172" s="68" t="str" vm="17572">
        <f>CUBEVALUE(ConnectionString,ReportMonth,Table1[[#This Row],[Site ID (from DATIM)]],"[Measures].[MMS_180+_M_P]")</f>
        <v/>
      </c>
      <c r="CE172" s="68" t="str" vm="16285">
        <f>CUBEVALUE(ConnectionString,ReportMonth,Table1[[#This Row],[Site ID (from DATIM)]],"[Measures].[MMS_180+_F_A]")</f>
        <v/>
      </c>
      <c r="CF172" s="68" t="str" vm="14880">
        <f>CUBEVALUE(ConnectionString,ReportMonth,Table1[[#This Row],[Site ID (from DATIM)]],"[Measures].[MMS_180+_M_A]")</f>
        <v/>
      </c>
      <c r="CG172" s="68" t="str" vm="11042">
        <f>CUBEVALUE(ConnectionString,ReportMonth,Table1[[#This Row],[Site ID (from DATIM)]],"[Measures].[MISSEDAPP]")</f>
        <v/>
      </c>
      <c r="CH172" s="68" t="str" vm="10220">
        <f>CUBEVALUE(ConnectionString,ReportMonth,Table1[[#This Row],[Site ID (from DATIM)]],"[Measures].[MMS_180+_P]")</f>
        <v/>
      </c>
      <c r="CI172" s="68" t="str" vm="17078">
        <f>CUBEVALUE(ConnectionString,ReportMonth,Table1[[#This Row],[Site ID (from DATIM)]],"[Measures].[MMS_180+_A]")</f>
        <v/>
      </c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  <c r="CW172" s="68"/>
      <c r="CX172" s="68"/>
      <c r="CY172" s="68"/>
      <c r="CZ172" s="68"/>
      <c r="DA172" s="68"/>
      <c r="DB172" s="68"/>
      <c r="DC172" s="68"/>
    </row>
    <row r="173" spans="1:107" x14ac:dyDescent="0.25">
      <c r="A173" s="66">
        <v>4</v>
      </c>
      <c r="B173" s="67" t="str" vm="4">
        <f t="shared" si="3"/>
        <v>Mar-2021</v>
      </c>
      <c r="C173" s="67"/>
      <c r="D173" s="67" t="s">
        <v>232</v>
      </c>
      <c r="E173" s="67" t="s">
        <v>233</v>
      </c>
      <c r="F173" s="67" t="s">
        <v>1286</v>
      </c>
      <c r="G173" s="67"/>
      <c r="H173" s="67" t="s">
        <v>1303</v>
      </c>
      <c r="I173" s="67" t="s">
        <v>1378</v>
      </c>
      <c r="J173" s="67" t="s">
        <v>1379</v>
      </c>
      <c r="K173" s="67" t="s">
        <v>1380</v>
      </c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 t="str" vm="2320">
        <f>CUBEVALUE(ConnectionString,ReportMonth,Table1[[#This Row],[Site ID (from DATIM)]],"TX_NEW_2VIS")</f>
        <v/>
      </c>
      <c r="AE173" s="67" t="str" vm="3455">
        <f>CUBEVALUE(ConnectionString,ReportMonth,Table1[[#This Row],[Site ID (from DATIM)]],INDEX(SDI_Measures,1))</f>
        <v/>
      </c>
      <c r="AF173" s="67" t="str" vm="2668">
        <f>CUBEVALUE(ConnectionString,ReportMonth,Table1[[#This Row],[Site ID (from DATIM)]],INDEX(SDI_Measures,2))</f>
        <v/>
      </c>
      <c r="AG173" s="67" t="str" vm="3156">
        <f>CUBEVALUE(ConnectionString,ReportMonth,Table1[[#This Row],[Site ID (from DATIM)]],INDEX(SDI_Measures,3))</f>
        <v/>
      </c>
      <c r="AH173" s="67" t="str" vm="1951">
        <f>CUBEVALUE(ConnectionString,ReportMonth,Table1[[#This Row],[Site ID (from DATIM)]],"TX_CURR_PRIOR_MONTH")</f>
        <v/>
      </c>
      <c r="AI173" s="67" t="str" vm="3421">
        <f>CUBEVALUE(ConnectionString,ReportMonth,Table1[[#This Row],[Site ID (from DATIM)]],"TX_CURR")</f>
        <v/>
      </c>
      <c r="AJ173" s="67" t="str" vm="3604">
        <f>CUBEVALUE(ConnectionString,ReportMonth,Table1[[#This Row],[Site ID (from DATIM)]],"[Measures].[TI]")</f>
        <v/>
      </c>
      <c r="AK173" s="67" t="str" vm="2505">
        <f>CUBEVALUE(ConnectionString,ReportMonth,Table1[[#This Row],[Site ID (from DATIM)]],"[Measures].[TO]")</f>
        <v/>
      </c>
      <c r="AL173" s="67" t="str" vm="2784">
        <f>CUBEVALUE(ConnectionString,ReportMonth,Table1[[#This Row],[Site ID (from DATIM)]],"[Measures].[DIED]")</f>
        <v/>
      </c>
      <c r="AM173" s="67" t="str" vm="3923">
        <f>CUBEVALUE(ConnectionString,ReportMonth,Table1[[#This Row],[Site ID (from DATIM)]],"[Measures].[MMS_01_31]")</f>
        <v/>
      </c>
      <c r="AN173" s="67" t="str" vm="9583">
        <f>CUBEVALUE(ConnectionString,ReportMonth,Table1[[#This Row],[Site ID (from DATIM)]],"[Measures].[MMS_32_62]")</f>
        <v/>
      </c>
      <c r="AO173" s="67" t="str" vm="5846">
        <f>CUBEVALUE(ConnectionString,ReportMonth,Table1[[#This Row],[Site ID (from DATIM)]],"[Measures].[MMS_63+]")</f>
        <v/>
      </c>
      <c r="AP173" s="67" t="str" vm="7814">
        <f>CUBEVALUE(ConnectionString,ReportMonth,Table1[[#This Row],[Site ID (from DATIM)]],"[Measures].[TBPREV_D]")</f>
        <v/>
      </c>
      <c r="AQ173" s="67" t="str" vm="4767">
        <f>CUBEVALUE(ConnectionString,ReportMonth,Table1[[#This Row],[Site ID (from DATIM)]],"[Measures].[TBPREV_N]")</f>
        <v/>
      </c>
      <c r="AR173" s="67" t="str" vm="6396">
        <f>CUBEVALUE(ConnectionString,ReportMonth,Table1[[#This Row],[Site ID (from DATIM)]],"[Measures].[TBPREV_NEW]")</f>
        <v/>
      </c>
      <c r="AS173" s="67" t="str" vm="5131">
        <f>CUBEVALUE(ConnectionString,ReportMonth,Table1[[#This Row],[Site ID (from DATIM)]],"[Measures].[HVL_ELIG_P]")</f>
        <v/>
      </c>
      <c r="AT173" s="67" t="str" vm="7341">
        <f>CUBEVALUE(ConnectionString,ReportMonth,Table1[[#This Row],[Site ID (from DATIM)]],"[Measures].[HVL_D_P]")</f>
        <v/>
      </c>
      <c r="AU173" s="67" t="str" vm="6366">
        <f>CUBEVALUE(ConnectionString,ReportMonth,Table1[[#This Row],[Site ID (from DATIM)]],"[Measures].[HVL_N_P]")</f>
        <v/>
      </c>
      <c r="AV173" s="68" t="str" vm="8699">
        <f>CUBEVALUE(ConnectionString,ReportMonth,Table1[[#This Row],[Site ID (from DATIM)]],"[Measures].[HVL_ELIG_A]")</f>
        <v/>
      </c>
      <c r="AW173" s="68" t="str" vm="10048">
        <f>CUBEVALUE(ConnectionString,ReportMonth,Table1[[#This Row],[Site ID (from DATIM)]],"[Measures].[HVL_D_A]")</f>
        <v/>
      </c>
      <c r="AX173" s="68" t="str" vm="11829">
        <f>CUBEVALUE(ConnectionString,ReportMonth,Table1[[#This Row],[Site ID (from DATIM)]],"[Measures].[HVL_N_A]")</f>
        <v/>
      </c>
      <c r="AY173" s="67"/>
      <c r="AZ173" s="67"/>
      <c r="BA173" s="67"/>
      <c r="BB173" s="67"/>
      <c r="BC173" s="67"/>
      <c r="BD173" s="67"/>
      <c r="BE173" s="67"/>
      <c r="BF173" s="67"/>
      <c r="BG173" s="67" t="str" vm="11715">
        <f>CUBEVALUE(ConnectionString,ReportMonth,Table1[[#This Row],[Site ID (from DATIM)]],"[Measures].[TX_NEW_F_A]")</f>
        <v/>
      </c>
      <c r="BH173" s="67" t="str" vm="10918">
        <f>CUBEVALUE(ConnectionString,ReportMonth,Table1[[#This Row],[Site ID (from DATIM)]],"[Measures].[TX_NEW_M_A]")</f>
        <v/>
      </c>
      <c r="BI173" s="67" t="str" vm="13361">
        <f>CUBEVALUE(ConnectionString,ReportMonth,Table1[[#This Row],[Site ID (from DATIM)]],"[Measures].[TX_NEW_F_P]")</f>
        <v/>
      </c>
      <c r="BJ173" s="68" t="str" vm="15689">
        <f>CUBEVALUE(ConnectionString,ReportMonth,Table1[[#This Row],[Site ID (from DATIM)]],"[Measures].[TX_NEW_M_P]")</f>
        <v/>
      </c>
      <c r="BK173" s="68"/>
      <c r="BL173" s="68"/>
      <c r="BM173" s="68"/>
      <c r="BN173" s="68"/>
      <c r="BO173" s="68"/>
      <c r="BP173" s="68"/>
      <c r="BQ173" s="68" t="str" vm="7709">
        <f>CUBEVALUE(ConnectionString,ReportMonth,Table1[[#This Row],[Site ID (from DATIM)]],"[Measures].[TX_CURR_F_P]")</f>
        <v/>
      </c>
      <c r="BR173" s="68" t="str" vm="13023">
        <f>CUBEVALUE(ConnectionString,ReportMonth,Table1[[#This Row],[Site ID (from DATIM)]],"[Measures].[TX_CURR_M_P]")</f>
        <v/>
      </c>
      <c r="BS173" s="68" t="str" vm="9093">
        <f>CUBEVALUE(ConnectionString,ReportMonth,Table1[[#This Row],[Site ID (from DATIM)]],"[Measures].[TX_CURR_F_A]")</f>
        <v/>
      </c>
      <c r="BT173" s="68" t="str" vm="11930">
        <f>CUBEVALUE(ConnectionString,ReportMonth,Table1[[#This Row],[Site ID (from DATIM)]],"[Measures].[TX_CURR_M_A]")</f>
        <v/>
      </c>
      <c r="BU173" s="68" t="str" vm="20082">
        <f>CUBEVALUE(ConnectionString,ReportMonth,Table1[[#This Row],[Site ID (from DATIM)]],"[Measures].[MMS_01_89_F_P]")</f>
        <v/>
      </c>
      <c r="BV173" s="68" t="str" vm="19467">
        <f>CUBEVALUE(ConnectionString,ReportMonth,Table1[[#This Row],[Site ID (from DATIM)]],"[Measures].[MMS_01_89_M_P]")</f>
        <v/>
      </c>
      <c r="BW173" s="68" t="str" vm="19931">
        <f>CUBEVALUE(ConnectionString,ReportMonth,Table1[[#This Row],[Site ID (from DATIM)]],"[Measures].[MMS_01_89_F_A]")</f>
        <v/>
      </c>
      <c r="BX173" s="68" t="str" vm="19639">
        <f>CUBEVALUE(ConnectionString,ReportMonth,Table1[[#This Row],[Site ID (from DATIM)]],"[Measures].[MMS_01_89_M_A]")</f>
        <v/>
      </c>
      <c r="BY173" s="68" t="str" vm="18208">
        <f>CUBEVALUE(ConnectionString,ReportMonth,Table1[[#This Row],[Site ID (from DATIM)]],"[Measures].[MMS_90_179_F_P]")</f>
        <v/>
      </c>
      <c r="BZ173" s="68" t="str" vm="19589">
        <f>CUBEVALUE(ConnectionString,ReportMonth,Table1[[#This Row],[Site ID (from DATIM)]],"[Measures].[MMS_90_179_M_P]")</f>
        <v/>
      </c>
      <c r="CA173" s="68" t="str" vm="16461">
        <f>CUBEVALUE(ConnectionString,ReportMonth,Table1[[#This Row],[Site ID (from DATIM)]],"[Measures].[MMS_90_179_F_A]")</f>
        <v/>
      </c>
      <c r="CB173" s="68" t="str" vm="15048">
        <f>CUBEVALUE(ConnectionString,ReportMonth,Table1[[#This Row],[Site ID (from DATIM)]],"[Measures].[MMS_90_179_M_A]")</f>
        <v/>
      </c>
      <c r="CC173" s="68" t="str" vm="17139">
        <f>CUBEVALUE(ConnectionString,ReportMonth,Table1[[#This Row],[Site ID (from DATIM)]],"[Measures].[MMS_180+_F_P]")</f>
        <v/>
      </c>
      <c r="CD173" s="68" t="str" vm="16334">
        <f>CUBEVALUE(ConnectionString,ReportMonth,Table1[[#This Row],[Site ID (from DATIM)]],"[Measures].[MMS_180+_M_P]")</f>
        <v/>
      </c>
      <c r="CE173" s="68" t="str" vm="17096">
        <f>CUBEVALUE(ConnectionString,ReportMonth,Table1[[#This Row],[Site ID (from DATIM)]],"[Measures].[MMS_180+_F_A]")</f>
        <v/>
      </c>
      <c r="CF173" s="68" t="str" vm="17154">
        <f>CUBEVALUE(ConnectionString,ReportMonth,Table1[[#This Row],[Site ID (from DATIM)]],"[Measures].[MMS_180+_M_A]")</f>
        <v/>
      </c>
      <c r="CG173" s="68" t="str" vm="6497">
        <f>CUBEVALUE(ConnectionString,ReportMonth,Table1[[#This Row],[Site ID (from DATIM)]],"[Measures].[MISSEDAPP]")</f>
        <v/>
      </c>
      <c r="CH173" s="68" t="str" vm="11997">
        <f>CUBEVALUE(ConnectionString,ReportMonth,Table1[[#This Row],[Site ID (from DATIM)]],"[Measures].[MMS_180+_P]")</f>
        <v/>
      </c>
      <c r="CI173" s="68" t="str" vm="10415">
        <f>CUBEVALUE(ConnectionString,ReportMonth,Table1[[#This Row],[Site ID (from DATIM)]],"[Measures].[MMS_180+_A]")</f>
        <v/>
      </c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  <c r="CW173" s="68"/>
      <c r="CX173" s="68"/>
      <c r="CY173" s="68"/>
      <c r="CZ173" s="68"/>
      <c r="DA173" s="68"/>
      <c r="DB173" s="68"/>
      <c r="DC173" s="68"/>
    </row>
    <row r="174" spans="1:107" x14ac:dyDescent="0.25">
      <c r="A174" s="66">
        <v>2</v>
      </c>
      <c r="B174" s="67" t="str" vm="4">
        <f t="shared" si="3"/>
        <v>Mar-2021</v>
      </c>
      <c r="C174" s="67"/>
      <c r="D174" s="67" t="s">
        <v>232</v>
      </c>
      <c r="E174" s="67" t="s">
        <v>233</v>
      </c>
      <c r="F174" s="67" t="s">
        <v>1286</v>
      </c>
      <c r="G174" s="67"/>
      <c r="H174" s="67" t="s">
        <v>1291</v>
      </c>
      <c r="I174" s="67" t="s">
        <v>1381</v>
      </c>
      <c r="J174" s="67" t="s">
        <v>1382</v>
      </c>
      <c r="K174" s="67" t="s">
        <v>1383</v>
      </c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 t="str" vm="779">
        <f>CUBEVALUE(ConnectionString,ReportMonth,Table1[[#This Row],[Site ID (from DATIM)]],"TX_NEW_2VIS")</f>
        <v/>
      </c>
      <c r="AE174" s="67" t="str" vm="1018">
        <f>CUBEVALUE(ConnectionString,ReportMonth,Table1[[#This Row],[Site ID (from DATIM)]],INDEX(SDI_Measures,1))</f>
        <v/>
      </c>
      <c r="AF174" s="67" t="str" vm="2280">
        <f>CUBEVALUE(ConnectionString,ReportMonth,Table1[[#This Row],[Site ID (from DATIM)]],INDEX(SDI_Measures,2))</f>
        <v/>
      </c>
      <c r="AG174" s="67" t="str" vm="2603">
        <f>CUBEVALUE(ConnectionString,ReportMonth,Table1[[#This Row],[Site ID (from DATIM)]],INDEX(SDI_Measures,3))</f>
        <v/>
      </c>
      <c r="AH174" s="67" t="str" vm="698">
        <f>CUBEVALUE(ConnectionString,ReportMonth,Table1[[#This Row],[Site ID (from DATIM)]],"TX_CURR_PRIOR_MONTH")</f>
        <v/>
      </c>
      <c r="AI174" s="67" t="str" vm="3819">
        <f>CUBEVALUE(ConnectionString,ReportMonth,Table1[[#This Row],[Site ID (from DATIM)]],"TX_CURR")</f>
        <v/>
      </c>
      <c r="AJ174" s="67" t="str" vm="3738">
        <f>CUBEVALUE(ConnectionString,ReportMonth,Table1[[#This Row],[Site ID (from DATIM)]],"[Measures].[TI]")</f>
        <v/>
      </c>
      <c r="AK174" s="67" t="str" vm="2954">
        <f>CUBEVALUE(ConnectionString,ReportMonth,Table1[[#This Row],[Site ID (from DATIM)]],"[Measures].[TO]")</f>
        <v/>
      </c>
      <c r="AL174" s="67" t="str" vm="2473">
        <f>CUBEVALUE(ConnectionString,ReportMonth,Table1[[#This Row],[Site ID (from DATIM)]],"[Measures].[DIED]")</f>
        <v/>
      </c>
      <c r="AM174" s="67" t="str" vm="4280">
        <f>CUBEVALUE(ConnectionString,ReportMonth,Table1[[#This Row],[Site ID (from DATIM)]],"[Measures].[MMS_01_31]")</f>
        <v/>
      </c>
      <c r="AN174" s="67" t="str" vm="6646">
        <f>CUBEVALUE(ConnectionString,ReportMonth,Table1[[#This Row],[Site ID (from DATIM)]],"[Measures].[MMS_32_62]")</f>
        <v/>
      </c>
      <c r="AO174" s="67" t="str" vm="4588">
        <f>CUBEVALUE(ConnectionString,ReportMonth,Table1[[#This Row],[Site ID (from DATIM)]],"[Measures].[MMS_63+]")</f>
        <v/>
      </c>
      <c r="AP174" s="67" t="str" vm="5103">
        <f>CUBEVALUE(ConnectionString,ReportMonth,Table1[[#This Row],[Site ID (from DATIM)]],"[Measures].[TBPREV_D]")</f>
        <v/>
      </c>
      <c r="AQ174" s="67" t="str" vm="11081">
        <f>CUBEVALUE(ConnectionString,ReportMonth,Table1[[#This Row],[Site ID (from DATIM)]],"[Measures].[TBPREV_N]")</f>
        <v/>
      </c>
      <c r="AR174" s="67" t="str" vm="6219">
        <f>CUBEVALUE(ConnectionString,ReportMonth,Table1[[#This Row],[Site ID (from DATIM)]],"[Measures].[TBPREV_NEW]")</f>
        <v/>
      </c>
      <c r="AS174" s="67" t="str" vm="8667">
        <f>CUBEVALUE(ConnectionString,ReportMonth,Table1[[#This Row],[Site ID (from DATIM)]],"[Measures].[HVL_ELIG_P]")</f>
        <v/>
      </c>
      <c r="AT174" s="67" t="str" vm="8786">
        <f>CUBEVALUE(ConnectionString,ReportMonth,Table1[[#This Row],[Site ID (from DATIM)]],"[Measures].[HVL_D_P]")</f>
        <v/>
      </c>
      <c r="AU174" s="67" t="str" vm="9665">
        <f>CUBEVALUE(ConnectionString,ReportMonth,Table1[[#This Row],[Site ID (from DATIM)]],"[Measures].[HVL_N_P]")</f>
        <v/>
      </c>
      <c r="AV174" s="68" t="str" vm="9962">
        <f>CUBEVALUE(ConnectionString,ReportMonth,Table1[[#This Row],[Site ID (from DATIM)]],"[Measures].[HVL_ELIG_A]")</f>
        <v/>
      </c>
      <c r="AW174" s="68" t="str" vm="13277">
        <f>CUBEVALUE(ConnectionString,ReportMonth,Table1[[#This Row],[Site ID (from DATIM)]],"[Measures].[HVL_D_A]")</f>
        <v/>
      </c>
      <c r="AX174" s="68" t="str" vm="7029">
        <f>CUBEVALUE(ConnectionString,ReportMonth,Table1[[#This Row],[Site ID (from DATIM)]],"[Measures].[HVL_N_A]")</f>
        <v/>
      </c>
      <c r="AY174" s="67"/>
      <c r="AZ174" s="67"/>
      <c r="BA174" s="67"/>
      <c r="BB174" s="67"/>
      <c r="BC174" s="67"/>
      <c r="BD174" s="67"/>
      <c r="BE174" s="67"/>
      <c r="BF174" s="67"/>
      <c r="BG174" s="67" t="str" vm="13567">
        <f>CUBEVALUE(ConnectionString,ReportMonth,Table1[[#This Row],[Site ID (from DATIM)]],"[Measures].[TX_NEW_F_A]")</f>
        <v/>
      </c>
      <c r="BH174" s="67" t="str" vm="13527">
        <f>CUBEVALUE(ConnectionString,ReportMonth,Table1[[#This Row],[Site ID (from DATIM)]],"[Measures].[TX_NEW_M_A]")</f>
        <v/>
      </c>
      <c r="BI174" s="67" t="str" vm="13106">
        <f>CUBEVALUE(ConnectionString,ReportMonth,Table1[[#This Row],[Site ID (from DATIM)]],"[Measures].[TX_NEW_F_P]")</f>
        <v/>
      </c>
      <c r="BJ174" s="68" t="str" vm="14838">
        <f>CUBEVALUE(ConnectionString,ReportMonth,Table1[[#This Row],[Site ID (from DATIM)]],"[Measures].[TX_NEW_M_P]")</f>
        <v/>
      </c>
      <c r="BK174" s="68"/>
      <c r="BL174" s="68"/>
      <c r="BM174" s="68"/>
      <c r="BN174" s="68"/>
      <c r="BO174" s="68"/>
      <c r="BP174" s="68"/>
      <c r="BQ174" s="68" t="str" vm="7237">
        <f>CUBEVALUE(ConnectionString,ReportMonth,Table1[[#This Row],[Site ID (from DATIM)]],"[Measures].[TX_CURR_F_P]")</f>
        <v/>
      </c>
      <c r="BR174" s="68" t="str" vm="8854">
        <f>CUBEVALUE(ConnectionString,ReportMonth,Table1[[#This Row],[Site ID (from DATIM)]],"[Measures].[TX_CURR_M_P]")</f>
        <v/>
      </c>
      <c r="BS174" s="68" t="str" vm="11046">
        <f>CUBEVALUE(ConnectionString,ReportMonth,Table1[[#This Row],[Site ID (from DATIM)]],"[Measures].[TX_CURR_F_A]")</f>
        <v/>
      </c>
      <c r="BT174" s="68" t="str" vm="13650">
        <f>CUBEVALUE(ConnectionString,ReportMonth,Table1[[#This Row],[Site ID (from DATIM)]],"[Measures].[TX_CURR_M_A]")</f>
        <v/>
      </c>
      <c r="BU174" s="68" t="str" vm="19038">
        <f>CUBEVALUE(ConnectionString,ReportMonth,Table1[[#This Row],[Site ID (from DATIM)]],"[Measures].[MMS_01_89_F_P]")</f>
        <v/>
      </c>
      <c r="BV174" s="68" t="str" vm="20065">
        <f>CUBEVALUE(ConnectionString,ReportMonth,Table1[[#This Row],[Site ID (from DATIM)]],"[Measures].[MMS_01_89_M_P]")</f>
        <v/>
      </c>
      <c r="BW174" s="68" t="str" vm="18714">
        <f>CUBEVALUE(ConnectionString,ReportMonth,Table1[[#This Row],[Site ID (from DATIM)]],"[Measures].[MMS_01_89_F_A]")</f>
        <v/>
      </c>
      <c r="BX174" s="68" t="str" vm="18615">
        <f>CUBEVALUE(ConnectionString,ReportMonth,Table1[[#This Row],[Site ID (from DATIM)]],"[Measures].[MMS_01_89_M_A]")</f>
        <v/>
      </c>
      <c r="BY174" s="68" t="str" vm="19665">
        <f>CUBEVALUE(ConnectionString,ReportMonth,Table1[[#This Row],[Site ID (from DATIM)]],"[Measures].[MMS_90_179_F_P]")</f>
        <v/>
      </c>
      <c r="BZ174" s="68" t="str" vm="14599">
        <f>CUBEVALUE(ConnectionString,ReportMonth,Table1[[#This Row],[Site ID (from DATIM)]],"[Measures].[MMS_90_179_M_P]")</f>
        <v/>
      </c>
      <c r="CA174" s="68" t="str" vm="14787">
        <f>CUBEVALUE(ConnectionString,ReportMonth,Table1[[#This Row],[Site ID (from DATIM)]],"[Measures].[MMS_90_179_F_A]")</f>
        <v/>
      </c>
      <c r="CB174" s="68" t="str" vm="15144">
        <f>CUBEVALUE(ConnectionString,ReportMonth,Table1[[#This Row],[Site ID (from DATIM)]],"[Measures].[MMS_90_179_M_A]")</f>
        <v/>
      </c>
      <c r="CC174" s="68" t="str" vm="15547">
        <f>CUBEVALUE(ConnectionString,ReportMonth,Table1[[#This Row],[Site ID (from DATIM)]],"[Measures].[MMS_180+_F_P]")</f>
        <v/>
      </c>
      <c r="CD174" s="68" t="str" vm="16819">
        <f>CUBEVALUE(ConnectionString,ReportMonth,Table1[[#This Row],[Site ID (from DATIM)]],"[Measures].[MMS_180+_M_P]")</f>
        <v/>
      </c>
      <c r="CE174" s="68" t="str" vm="14928">
        <f>CUBEVALUE(ConnectionString,ReportMonth,Table1[[#This Row],[Site ID (from DATIM)]],"[Measures].[MMS_180+_F_A]")</f>
        <v/>
      </c>
      <c r="CF174" s="68" t="str" vm="179">
        <f>CUBEVALUE(ConnectionString,ReportMonth,Table1[[#This Row],[Site ID (from DATIM)]],"[Measures].[MMS_180+_M_A]")</f>
        <v/>
      </c>
      <c r="CG174" s="68" t="str" vm="5175">
        <f>CUBEVALUE(ConnectionString,ReportMonth,Table1[[#This Row],[Site ID (from DATIM)]],"[Measures].[MISSEDAPP]")</f>
        <v/>
      </c>
      <c r="CH174" s="68" t="str" vm="11512">
        <f>CUBEVALUE(ConnectionString,ReportMonth,Table1[[#This Row],[Site ID (from DATIM)]],"[Measures].[MMS_180+_P]")</f>
        <v/>
      </c>
      <c r="CI174" s="68" t="str" vm="10350">
        <f>CUBEVALUE(ConnectionString,ReportMonth,Table1[[#This Row],[Site ID (from DATIM)]],"[Measures].[MMS_180+_A]")</f>
        <v/>
      </c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  <c r="CW174" s="68"/>
      <c r="CX174" s="68"/>
      <c r="CY174" s="68"/>
      <c r="CZ174" s="68"/>
      <c r="DA174" s="68"/>
      <c r="DB174" s="68"/>
      <c r="DC174" s="68"/>
    </row>
    <row r="175" spans="1:107" x14ac:dyDescent="0.25">
      <c r="A175" s="66">
        <v>4</v>
      </c>
      <c r="B175" s="67" t="str" vm="4">
        <f t="shared" si="3"/>
        <v>Mar-2021</v>
      </c>
      <c r="C175" s="67"/>
      <c r="D175" s="67" t="s">
        <v>232</v>
      </c>
      <c r="E175" s="67" t="s">
        <v>233</v>
      </c>
      <c r="F175" s="67" t="s">
        <v>1286</v>
      </c>
      <c r="G175" s="67"/>
      <c r="H175" s="67" t="s">
        <v>1296</v>
      </c>
      <c r="I175" s="67" t="s">
        <v>1384</v>
      </c>
      <c r="J175" s="67" t="s">
        <v>1385</v>
      </c>
      <c r="K175" s="67" t="s">
        <v>1386</v>
      </c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 t="str" vm="852">
        <f>CUBEVALUE(ConnectionString,ReportMonth,Table1[[#This Row],[Site ID (from DATIM)]],"TX_NEW_2VIS")</f>
        <v/>
      </c>
      <c r="AE175" s="67" t="str" vm="441">
        <f>CUBEVALUE(ConnectionString,ReportMonth,Table1[[#This Row],[Site ID (from DATIM)]],INDEX(SDI_Measures,1))</f>
        <v/>
      </c>
      <c r="AF175" s="67" t="str" vm="4237">
        <f>CUBEVALUE(ConnectionString,ReportMonth,Table1[[#This Row],[Site ID (from DATIM)]],INDEX(SDI_Measures,2))</f>
        <v/>
      </c>
      <c r="AG175" s="67" t="str" vm="2702">
        <f>CUBEVALUE(ConnectionString,ReportMonth,Table1[[#This Row],[Site ID (from DATIM)]],INDEX(SDI_Measures,3))</f>
        <v/>
      </c>
      <c r="AH175" s="67" t="str" vm="3074">
        <f>CUBEVALUE(ConnectionString,ReportMonth,Table1[[#This Row],[Site ID (from DATIM)]],"TX_CURR_PRIOR_MONTH")</f>
        <v/>
      </c>
      <c r="AI175" s="67" t="str" vm="2258">
        <f>CUBEVALUE(ConnectionString,ReportMonth,Table1[[#This Row],[Site ID (from DATIM)]],"TX_CURR")</f>
        <v/>
      </c>
      <c r="AJ175" s="67" t="str" vm="1645">
        <f>CUBEVALUE(ConnectionString,ReportMonth,Table1[[#This Row],[Site ID (from DATIM)]],"[Measures].[TI]")</f>
        <v/>
      </c>
      <c r="AK175" s="67" t="str" vm="4105">
        <f>CUBEVALUE(ConnectionString,ReportMonth,Table1[[#This Row],[Site ID (from DATIM)]],"[Measures].[TO]")</f>
        <v/>
      </c>
      <c r="AL175" s="67" t="str" vm="2938">
        <f>CUBEVALUE(ConnectionString,ReportMonth,Table1[[#This Row],[Site ID (from DATIM)]],"[Measures].[DIED]")</f>
        <v/>
      </c>
      <c r="AM175" s="67" t="str" vm="4442">
        <f>CUBEVALUE(ConnectionString,ReportMonth,Table1[[#This Row],[Site ID (from DATIM)]],"[Measures].[MMS_01_31]")</f>
        <v/>
      </c>
      <c r="AN175" s="67" t="str" vm="5920">
        <f>CUBEVALUE(ConnectionString,ReportMonth,Table1[[#This Row],[Site ID (from DATIM)]],"[Measures].[MMS_32_62]")</f>
        <v/>
      </c>
      <c r="AO175" s="67" t="str" vm="9524">
        <f>CUBEVALUE(ConnectionString,ReportMonth,Table1[[#This Row],[Site ID (from DATIM)]],"[Measures].[MMS_63+]")</f>
        <v/>
      </c>
      <c r="AP175" s="67" t="str" vm="5480">
        <f>CUBEVALUE(ConnectionString,ReportMonth,Table1[[#This Row],[Site ID (from DATIM)]],"[Measures].[TBPREV_D]")</f>
        <v/>
      </c>
      <c r="AQ175" s="67" t="str" vm="6016">
        <f>CUBEVALUE(ConnectionString,ReportMonth,Table1[[#This Row],[Site ID (from DATIM)]],"[Measures].[TBPREV_N]")</f>
        <v/>
      </c>
      <c r="AR175" s="67" t="str" vm="5078">
        <f>CUBEVALUE(ConnectionString,ReportMonth,Table1[[#This Row],[Site ID (from DATIM)]],"[Measures].[TBPREV_NEW]")</f>
        <v/>
      </c>
      <c r="AS175" s="67" t="str" vm="11196">
        <f>CUBEVALUE(ConnectionString,ReportMonth,Table1[[#This Row],[Site ID (from DATIM)]],"[Measures].[HVL_ELIG_P]")</f>
        <v/>
      </c>
      <c r="AT175" s="67" t="str" vm="7897">
        <f>CUBEVALUE(ConnectionString,ReportMonth,Table1[[#This Row],[Site ID (from DATIM)]],"[Measures].[HVL_D_P]")</f>
        <v/>
      </c>
      <c r="AU175" s="67" t="str" vm="9969">
        <f>CUBEVALUE(ConnectionString,ReportMonth,Table1[[#This Row],[Site ID (from DATIM)]],"[Measures].[HVL_N_P]")</f>
        <v/>
      </c>
      <c r="AV175" s="68" t="str" vm="6383">
        <f>CUBEVALUE(ConnectionString,ReportMonth,Table1[[#This Row],[Site ID (from DATIM)]],"[Measures].[HVL_ELIG_A]")</f>
        <v/>
      </c>
      <c r="AW175" s="68" t="str" vm="8187">
        <f>CUBEVALUE(ConnectionString,ReportMonth,Table1[[#This Row],[Site ID (from DATIM)]],"[Measures].[HVL_D_A]")</f>
        <v/>
      </c>
      <c r="AX175" s="68" t="str" vm="12158">
        <f>CUBEVALUE(ConnectionString,ReportMonth,Table1[[#This Row],[Site ID (from DATIM)]],"[Measures].[HVL_N_A]")</f>
        <v/>
      </c>
      <c r="AY175" s="67"/>
      <c r="AZ175" s="67"/>
      <c r="BA175" s="67"/>
      <c r="BB175" s="67"/>
      <c r="BC175" s="67"/>
      <c r="BD175" s="67"/>
      <c r="BE175" s="67"/>
      <c r="BF175" s="67"/>
      <c r="BG175" s="67" t="str" vm="11182">
        <f>CUBEVALUE(ConnectionString,ReportMonth,Table1[[#This Row],[Site ID (from DATIM)]],"[Measures].[TX_NEW_F_A]")</f>
        <v/>
      </c>
      <c r="BH175" s="67" t="str" vm="11918">
        <f>CUBEVALUE(ConnectionString,ReportMonth,Table1[[#This Row],[Site ID (from DATIM)]],"[Measures].[TX_NEW_M_A]")</f>
        <v/>
      </c>
      <c r="BI175" s="67" t="str" vm="17071">
        <f>CUBEVALUE(ConnectionString,ReportMonth,Table1[[#This Row],[Site ID (from DATIM)]],"[Measures].[TX_NEW_F_P]")</f>
        <v/>
      </c>
      <c r="BJ175" s="68" t="str" vm="17021">
        <f>CUBEVALUE(ConnectionString,ReportMonth,Table1[[#This Row],[Site ID (from DATIM)]],"[Measures].[TX_NEW_M_P]")</f>
        <v/>
      </c>
      <c r="BK175" s="68"/>
      <c r="BL175" s="68"/>
      <c r="BM175" s="68"/>
      <c r="BN175" s="68"/>
      <c r="BO175" s="68"/>
      <c r="BP175" s="68"/>
      <c r="BQ175" s="68" t="str" vm="9908">
        <f>CUBEVALUE(ConnectionString,ReportMonth,Table1[[#This Row],[Site ID (from DATIM)]],"[Measures].[TX_CURR_F_P]")</f>
        <v/>
      </c>
      <c r="BR175" s="68" t="str" vm="8833">
        <f>CUBEVALUE(ConnectionString,ReportMonth,Table1[[#This Row],[Site ID (from DATIM)]],"[Measures].[TX_CURR_M_P]")</f>
        <v/>
      </c>
      <c r="BS175" s="68" t="str" vm="11883">
        <f>CUBEVALUE(ConnectionString,ReportMonth,Table1[[#This Row],[Site ID (from DATIM)]],"[Measures].[TX_CURR_F_A]")</f>
        <v/>
      </c>
      <c r="BT175" s="68" t="str" vm="11451">
        <f>CUBEVALUE(ConnectionString,ReportMonth,Table1[[#This Row],[Site ID (from DATIM)]],"[Measures].[TX_CURR_M_A]")</f>
        <v/>
      </c>
      <c r="BU175" s="68" t="str" vm="19761">
        <f>CUBEVALUE(ConnectionString,ReportMonth,Table1[[#This Row],[Site ID (from DATIM)]],"[Measures].[MMS_01_89_F_P]")</f>
        <v/>
      </c>
      <c r="BV175" s="68" t="str" vm="18170">
        <f>CUBEVALUE(ConnectionString,ReportMonth,Table1[[#This Row],[Site ID (from DATIM)]],"[Measures].[MMS_01_89_M_P]")</f>
        <v/>
      </c>
      <c r="BW175" s="68" t="str" vm="18893">
        <f>CUBEVALUE(ConnectionString,ReportMonth,Table1[[#This Row],[Site ID (from DATIM)]],"[Measures].[MMS_01_89_F_A]")</f>
        <v/>
      </c>
      <c r="BX175" s="68" t="str" vm="18541">
        <f>CUBEVALUE(ConnectionString,ReportMonth,Table1[[#This Row],[Site ID (from DATIM)]],"[Measures].[MMS_01_89_M_A]")</f>
        <v/>
      </c>
      <c r="BY175" s="68" t="str" vm="16035">
        <f>CUBEVALUE(ConnectionString,ReportMonth,Table1[[#This Row],[Site ID (from DATIM)]],"[Measures].[MMS_90_179_F_P]")</f>
        <v/>
      </c>
      <c r="BZ175" s="68" t="str" vm="16938">
        <f>CUBEVALUE(ConnectionString,ReportMonth,Table1[[#This Row],[Site ID (from DATIM)]],"[Measures].[MMS_90_179_M_P]")</f>
        <v/>
      </c>
      <c r="CA175" s="68" t="str" vm="17370">
        <f>CUBEVALUE(ConnectionString,ReportMonth,Table1[[#This Row],[Site ID (from DATIM)]],"[Measures].[MMS_90_179_F_A]")</f>
        <v/>
      </c>
      <c r="CB175" s="68" t="str" vm="14626">
        <f>CUBEVALUE(ConnectionString,ReportMonth,Table1[[#This Row],[Site ID (from DATIM)]],"[Measures].[MMS_90_179_M_A]")</f>
        <v/>
      </c>
      <c r="CC175" s="68" t="str" vm="16851">
        <f>CUBEVALUE(ConnectionString,ReportMonth,Table1[[#This Row],[Site ID (from DATIM)]],"[Measures].[MMS_180+_F_P]")</f>
        <v/>
      </c>
      <c r="CD175" s="68" t="str" vm="14515">
        <f>CUBEVALUE(ConnectionString,ReportMonth,Table1[[#This Row],[Site ID (from DATIM)]],"[Measures].[MMS_180+_M_P]")</f>
        <v/>
      </c>
      <c r="CE175" s="68" t="str" vm="15387">
        <f>CUBEVALUE(ConnectionString,ReportMonth,Table1[[#This Row],[Site ID (from DATIM)]],"[Measures].[MMS_180+_F_A]")</f>
        <v/>
      </c>
      <c r="CF175" s="68" t="str" vm="17463">
        <f>CUBEVALUE(ConnectionString,ReportMonth,Table1[[#This Row],[Site ID (from DATIM)]],"[Measures].[MMS_180+_M_A]")</f>
        <v/>
      </c>
      <c r="CG175" s="68" t="str" vm="8663">
        <f>CUBEVALUE(ConnectionString,ReportMonth,Table1[[#This Row],[Site ID (from DATIM)]],"[Measures].[MISSEDAPP]")</f>
        <v/>
      </c>
      <c r="CH175" s="68" t="str" vm="12882">
        <f>CUBEVALUE(ConnectionString,ReportMonth,Table1[[#This Row],[Site ID (from DATIM)]],"[Measures].[MMS_180+_P]")</f>
        <v/>
      </c>
      <c r="CI175" s="68" t="str" vm="14011">
        <f>CUBEVALUE(ConnectionString,ReportMonth,Table1[[#This Row],[Site ID (from DATIM)]],"[Measures].[MMS_180+_A]")</f>
        <v/>
      </c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  <c r="CW175" s="68"/>
      <c r="CX175" s="68"/>
      <c r="CY175" s="68"/>
      <c r="CZ175" s="68"/>
      <c r="DA175" s="68"/>
      <c r="DB175" s="68"/>
      <c r="DC175" s="68"/>
    </row>
    <row r="176" spans="1:107" x14ac:dyDescent="0.25">
      <c r="A176" s="66">
        <v>4</v>
      </c>
      <c r="B176" s="67" t="str" vm="4">
        <f t="shared" si="3"/>
        <v>Mar-2021</v>
      </c>
      <c r="C176" s="67"/>
      <c r="D176" s="67" t="s">
        <v>232</v>
      </c>
      <c r="E176" s="67" t="s">
        <v>233</v>
      </c>
      <c r="F176" s="67" t="s">
        <v>1286</v>
      </c>
      <c r="G176" s="67"/>
      <c r="H176" s="67" t="s">
        <v>1296</v>
      </c>
      <c r="I176" s="67" t="s">
        <v>1387</v>
      </c>
      <c r="J176" s="67" t="s">
        <v>1388</v>
      </c>
      <c r="K176" s="67" t="s">
        <v>1389</v>
      </c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 t="str" vm="4357">
        <f>CUBEVALUE(ConnectionString,ReportMonth,Table1[[#This Row],[Site ID (from DATIM)]],"TX_NEW_2VIS")</f>
        <v/>
      </c>
      <c r="AE176" s="67" t="str" vm="3911">
        <f>CUBEVALUE(ConnectionString,ReportMonth,Table1[[#This Row],[Site ID (from DATIM)]],INDEX(SDI_Measures,1))</f>
        <v/>
      </c>
      <c r="AF176" s="67" t="str" vm="4080">
        <f>CUBEVALUE(ConnectionString,ReportMonth,Table1[[#This Row],[Site ID (from DATIM)]],INDEX(SDI_Measures,2))</f>
        <v/>
      </c>
      <c r="AG176" s="67" t="str" vm="3580">
        <f>CUBEVALUE(ConnectionString,ReportMonth,Table1[[#This Row],[Site ID (from DATIM)]],INDEX(SDI_Measures,3))</f>
        <v/>
      </c>
      <c r="AH176" s="67" t="str" vm="2435">
        <f>CUBEVALUE(ConnectionString,ReportMonth,Table1[[#This Row],[Site ID (from DATIM)]],"TX_CURR_PRIOR_MONTH")</f>
        <v/>
      </c>
      <c r="AI176" s="67" t="str" vm="2360">
        <f>CUBEVALUE(ConnectionString,ReportMonth,Table1[[#This Row],[Site ID (from DATIM)]],"TX_CURR")</f>
        <v/>
      </c>
      <c r="AJ176" s="67" t="str" vm="1036">
        <f>CUBEVALUE(ConnectionString,ReportMonth,Table1[[#This Row],[Site ID (from DATIM)]],"[Measures].[TI]")</f>
        <v/>
      </c>
      <c r="AK176" s="67" t="str" vm="3873">
        <f>CUBEVALUE(ConnectionString,ReportMonth,Table1[[#This Row],[Site ID (from DATIM)]],"[Measures].[TO]")</f>
        <v/>
      </c>
      <c r="AL176" s="67" t="str" vm="3078">
        <f>CUBEVALUE(ConnectionString,ReportMonth,Table1[[#This Row],[Site ID (from DATIM)]],"[Measures].[DIED]")</f>
        <v/>
      </c>
      <c r="AM176" s="67" t="str" vm="4699">
        <f>CUBEVALUE(ConnectionString,ReportMonth,Table1[[#This Row],[Site ID (from DATIM)]],"[Measures].[MMS_01_31]")</f>
        <v/>
      </c>
      <c r="AN176" s="67" t="str" vm="7874">
        <f>CUBEVALUE(ConnectionString,ReportMonth,Table1[[#This Row],[Site ID (from DATIM)]],"[Measures].[MMS_32_62]")</f>
        <v/>
      </c>
      <c r="AO176" s="67" t="str" vm="9782">
        <f>CUBEVALUE(ConnectionString,ReportMonth,Table1[[#This Row],[Site ID (from DATIM)]],"[Measures].[MMS_63+]")</f>
        <v/>
      </c>
      <c r="AP176" s="67" t="str" vm="10101">
        <f>CUBEVALUE(ConnectionString,ReportMonth,Table1[[#This Row],[Site ID (from DATIM)]],"[Measures].[TBPREV_D]")</f>
        <v/>
      </c>
      <c r="AQ176" s="67" t="str" vm="4856">
        <f>CUBEVALUE(ConnectionString,ReportMonth,Table1[[#This Row],[Site ID (from DATIM)]],"[Measures].[TBPREV_N]")</f>
        <v/>
      </c>
      <c r="AR176" s="67" t="str" vm="7560">
        <f>CUBEVALUE(ConnectionString,ReportMonth,Table1[[#This Row],[Site ID (from DATIM)]],"[Measures].[TBPREV_NEW]")</f>
        <v/>
      </c>
      <c r="AS176" s="67" t="str" vm="10278">
        <f>CUBEVALUE(ConnectionString,ReportMonth,Table1[[#This Row],[Site ID (from DATIM)]],"[Measures].[HVL_ELIG_P]")</f>
        <v/>
      </c>
      <c r="AT176" s="67" t="str" vm="8032">
        <f>CUBEVALUE(ConnectionString,ReportMonth,Table1[[#This Row],[Site ID (from DATIM)]],"[Measures].[HVL_D_P]")</f>
        <v/>
      </c>
      <c r="AU176" s="67" t="str" vm="7242">
        <f>CUBEVALUE(ConnectionString,ReportMonth,Table1[[#This Row],[Site ID (from DATIM)]],"[Measures].[HVL_N_P]")</f>
        <v/>
      </c>
      <c r="AV176" s="68" t="str" vm="10084">
        <f>CUBEVALUE(ConnectionString,ReportMonth,Table1[[#This Row],[Site ID (from DATIM)]],"[Measures].[HVL_ELIG_A]")</f>
        <v/>
      </c>
      <c r="AW176" s="68" t="str" vm="9260">
        <f>CUBEVALUE(ConnectionString,ReportMonth,Table1[[#This Row],[Site ID (from DATIM)]],"[Measures].[HVL_D_A]")</f>
        <v/>
      </c>
      <c r="AX176" s="68" t="str" vm="9432">
        <f>CUBEVALUE(ConnectionString,ReportMonth,Table1[[#This Row],[Site ID (from DATIM)]],"[Measures].[HVL_N_A]")</f>
        <v/>
      </c>
      <c r="AY176" s="67"/>
      <c r="AZ176" s="67"/>
      <c r="BA176" s="67"/>
      <c r="BB176" s="67"/>
      <c r="BC176" s="67"/>
      <c r="BD176" s="67"/>
      <c r="BE176" s="67"/>
      <c r="BF176" s="67"/>
      <c r="BG176" s="67" t="str" vm="12806">
        <f>CUBEVALUE(ConnectionString,ReportMonth,Table1[[#This Row],[Site ID (from DATIM)]],"[Measures].[TX_NEW_F_A]")</f>
        <v/>
      </c>
      <c r="BH176" s="67" t="str" vm="11727">
        <f>CUBEVALUE(ConnectionString,ReportMonth,Table1[[#This Row],[Site ID (from DATIM)]],"[Measures].[TX_NEW_M_A]")</f>
        <v/>
      </c>
      <c r="BI176" s="67" t="str" vm="17406">
        <f>CUBEVALUE(ConnectionString,ReportMonth,Table1[[#This Row],[Site ID (from DATIM)]],"[Measures].[TX_NEW_F_P]")</f>
        <v/>
      </c>
      <c r="BJ176" s="68" t="str" vm="14221">
        <f>CUBEVALUE(ConnectionString,ReportMonth,Table1[[#This Row],[Site ID (from DATIM)]],"[Measures].[TX_NEW_M_P]")</f>
        <v/>
      </c>
      <c r="BK176" s="68"/>
      <c r="BL176" s="68"/>
      <c r="BM176" s="68"/>
      <c r="BN176" s="68"/>
      <c r="BO176" s="68"/>
      <c r="BP176" s="68"/>
      <c r="BQ176" s="68" t="str" vm="11050">
        <f>CUBEVALUE(ConnectionString,ReportMonth,Table1[[#This Row],[Site ID (from DATIM)]],"[Measures].[TX_CURR_F_P]")</f>
        <v/>
      </c>
      <c r="BR176" s="68" t="str" vm="9519">
        <f>CUBEVALUE(ConnectionString,ReportMonth,Table1[[#This Row],[Site ID (from DATIM)]],"[Measures].[TX_CURR_M_P]")</f>
        <v/>
      </c>
      <c r="BS176" s="68" t="str" vm="13378">
        <f>CUBEVALUE(ConnectionString,ReportMonth,Table1[[#This Row],[Site ID (from DATIM)]],"[Measures].[TX_CURR_F_A]")</f>
        <v/>
      </c>
      <c r="BT176" s="68" t="str" vm="12887">
        <f>CUBEVALUE(ConnectionString,ReportMonth,Table1[[#This Row],[Site ID (from DATIM)]],"[Measures].[TX_CURR_M_A]")</f>
        <v/>
      </c>
      <c r="BU176" s="68" t="str" vm="18412">
        <f>CUBEVALUE(ConnectionString,ReportMonth,Table1[[#This Row],[Site ID (from DATIM)]],"[Measures].[MMS_01_89_F_P]")</f>
        <v/>
      </c>
      <c r="BV176" s="68" t="str" vm="18634">
        <f>CUBEVALUE(ConnectionString,ReportMonth,Table1[[#This Row],[Site ID (from DATIM)]],"[Measures].[MMS_01_89_M_P]")</f>
        <v/>
      </c>
      <c r="BW176" s="68" t="str" vm="19217">
        <f>CUBEVALUE(ConnectionString,ReportMonth,Table1[[#This Row],[Site ID (from DATIM)]],"[Measures].[MMS_01_89_F_A]")</f>
        <v/>
      </c>
      <c r="BX176" s="68" t="str" vm="19173">
        <f>CUBEVALUE(ConnectionString,ReportMonth,Table1[[#This Row],[Site ID (from DATIM)]],"[Measures].[MMS_01_89_M_A]")</f>
        <v/>
      </c>
      <c r="BY176" s="68" t="str" vm="18526">
        <f>CUBEVALUE(ConnectionString,ReportMonth,Table1[[#This Row],[Site ID (from DATIM)]],"[Measures].[MMS_90_179_F_P]")</f>
        <v/>
      </c>
      <c r="BZ176" s="68" t="str" vm="19916">
        <f>CUBEVALUE(ConnectionString,ReportMonth,Table1[[#This Row],[Site ID (from DATIM)]],"[Measures].[MMS_90_179_M_P]")</f>
        <v/>
      </c>
      <c r="CA176" s="68" t="str" vm="15137">
        <f>CUBEVALUE(ConnectionString,ReportMonth,Table1[[#This Row],[Site ID (from DATIM)]],"[Measures].[MMS_90_179_F_A]")</f>
        <v/>
      </c>
      <c r="CB176" s="68" t="str" vm="16276">
        <f>CUBEVALUE(ConnectionString,ReportMonth,Table1[[#This Row],[Site ID (from DATIM)]],"[Measures].[MMS_90_179_M_A]")</f>
        <v/>
      </c>
      <c r="CC176" s="68" t="str" vm="15748">
        <f>CUBEVALUE(ConnectionString,ReportMonth,Table1[[#This Row],[Site ID (from DATIM)]],"[Measures].[MMS_180+_F_P]")</f>
        <v/>
      </c>
      <c r="CD176" s="68" t="str" vm="16714">
        <f>CUBEVALUE(ConnectionString,ReportMonth,Table1[[#This Row],[Site ID (from DATIM)]],"[Measures].[MMS_180+_M_P]")</f>
        <v/>
      </c>
      <c r="CE176" s="68" t="str" vm="14961">
        <f>CUBEVALUE(ConnectionString,ReportMonth,Table1[[#This Row],[Site ID (from DATIM)]],"[Measures].[MMS_180+_F_A]")</f>
        <v/>
      </c>
      <c r="CF176" s="68" t="str" vm="83">
        <f>CUBEVALUE(ConnectionString,ReportMonth,Table1[[#This Row],[Site ID (from DATIM)]],"[Measures].[MMS_180+_M_A]")</f>
        <v/>
      </c>
      <c r="CG176" s="68" t="str" vm="7269">
        <f>CUBEVALUE(ConnectionString,ReportMonth,Table1[[#This Row],[Site ID (from DATIM)]],"[Measures].[MISSEDAPP]")</f>
        <v/>
      </c>
      <c r="CH176" s="68" t="str" vm="10163">
        <f>CUBEVALUE(ConnectionString,ReportMonth,Table1[[#This Row],[Site ID (from DATIM)]],"[Measures].[MMS_180+_P]")</f>
        <v/>
      </c>
      <c r="CI176" s="68" t="str" vm="13546">
        <f>CUBEVALUE(ConnectionString,ReportMonth,Table1[[#This Row],[Site ID (from DATIM)]],"[Measures].[MMS_180+_A]")</f>
        <v/>
      </c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  <c r="CW176" s="68"/>
      <c r="CX176" s="68"/>
      <c r="CY176" s="68"/>
      <c r="CZ176" s="68"/>
      <c r="DA176" s="68"/>
      <c r="DB176" s="68"/>
      <c r="DC176" s="68"/>
    </row>
    <row r="177" spans="1:107" x14ac:dyDescent="0.25">
      <c r="A177" s="66">
        <v>4</v>
      </c>
      <c r="B177" s="67" t="str" vm="4">
        <f t="shared" si="3"/>
        <v>Mar-2021</v>
      </c>
      <c r="C177" s="67"/>
      <c r="D177" s="67" t="s">
        <v>232</v>
      </c>
      <c r="E177" s="67" t="s">
        <v>233</v>
      </c>
      <c r="F177" s="67" t="s">
        <v>437</v>
      </c>
      <c r="G177" s="67"/>
      <c r="H177" s="67" t="s">
        <v>461</v>
      </c>
      <c r="I177" s="67" t="s">
        <v>608</v>
      </c>
      <c r="J177" s="67" t="s">
        <v>609</v>
      </c>
      <c r="K177" s="67" t="s">
        <v>610</v>
      </c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 t="str" vm="2477">
        <f>CUBEVALUE(ConnectionString,ReportMonth,Table1[[#This Row],[Site ID (from DATIM)]],"TX_NEW_2VIS")</f>
        <v/>
      </c>
      <c r="AE177" s="67" t="str" vm="6846">
        <f>CUBEVALUE(ConnectionString,ReportMonth,Table1[[#This Row],[Site ID (from DATIM)]],INDEX(SDI_Measures,1))</f>
        <v/>
      </c>
      <c r="AF177" s="67" t="str" vm="729">
        <f>CUBEVALUE(ConnectionString,ReportMonth,Table1[[#This Row],[Site ID (from DATIM)]],INDEX(SDI_Measures,2))</f>
        <v/>
      </c>
      <c r="AG177" s="67" t="str" vm="797">
        <f>CUBEVALUE(ConnectionString,ReportMonth,Table1[[#This Row],[Site ID (from DATIM)]],INDEX(SDI_Measures,3))</f>
        <v/>
      </c>
      <c r="AH177" s="67" vm="4227">
        <f>CUBEVALUE(ConnectionString,ReportMonth,Table1[[#This Row],[Site ID (from DATIM)]],"TX_CURR_PRIOR_MONTH")</f>
        <v>31</v>
      </c>
      <c r="AI177" s="67" vm="3924">
        <f>CUBEVALUE(ConnectionString,ReportMonth,Table1[[#This Row],[Site ID (from DATIM)]],"TX_CURR")</f>
        <v>31</v>
      </c>
      <c r="AJ177" s="67" t="str" vm="6672">
        <f>CUBEVALUE(ConnectionString,ReportMonth,Table1[[#This Row],[Site ID (from DATIM)]],"[Measures].[TI]")</f>
        <v/>
      </c>
      <c r="AK177" s="67" t="str" vm="7809">
        <f>CUBEVALUE(ConnectionString,ReportMonth,Table1[[#This Row],[Site ID (from DATIM)]],"[Measures].[TO]")</f>
        <v/>
      </c>
      <c r="AL177" s="67" t="str" vm="1425">
        <f>CUBEVALUE(ConnectionString,ReportMonth,Table1[[#This Row],[Site ID (from DATIM)]],"[Measures].[DIED]")</f>
        <v/>
      </c>
      <c r="AM177" s="67" vm="5886">
        <f>CUBEVALUE(ConnectionString,ReportMonth,Table1[[#This Row],[Site ID (from DATIM)]],"[Measures].[MMS_01_31]")</f>
        <v>5</v>
      </c>
      <c r="AN177" s="67" t="str" vm="11868">
        <f>CUBEVALUE(ConnectionString,ReportMonth,Table1[[#This Row],[Site ID (from DATIM)]],"[Measures].[MMS_32_62]")</f>
        <v/>
      </c>
      <c r="AO177" s="67" vm="9483">
        <f>CUBEVALUE(ConnectionString,ReportMonth,Table1[[#This Row],[Site ID (from DATIM)]],"[Measures].[MMS_63+]")</f>
        <v>26</v>
      </c>
      <c r="AP177" s="67" t="str" vm="4595">
        <f>CUBEVALUE(ConnectionString,ReportMonth,Table1[[#This Row],[Site ID (from DATIM)]],"[Measures].[TBPREV_D]")</f>
        <v/>
      </c>
      <c r="AQ177" s="67" t="str" vm="6752">
        <f>CUBEVALUE(ConnectionString,ReportMonth,Table1[[#This Row],[Site ID (from DATIM)]],"[Measures].[TBPREV_N]")</f>
        <v/>
      </c>
      <c r="AR177" s="67" t="str" vm="7829">
        <f>CUBEVALUE(ConnectionString,ReportMonth,Table1[[#This Row],[Site ID (from DATIM)]],"[Measures].[TBPREV_NEW]")</f>
        <v/>
      </c>
      <c r="AS177" s="67" t="str" vm="5504">
        <f>CUBEVALUE(ConnectionString,ReportMonth,Table1[[#This Row],[Site ID (from DATIM)]],"[Measures].[HVL_ELIG_P]")</f>
        <v/>
      </c>
      <c r="AT177" s="67" t="str" vm="6787">
        <f>CUBEVALUE(ConnectionString,ReportMonth,Table1[[#This Row],[Site ID (from DATIM)]],"[Measures].[HVL_D_P]")</f>
        <v/>
      </c>
      <c r="AU177" s="67" t="str" vm="9181">
        <f>CUBEVALUE(ConnectionString,ReportMonth,Table1[[#This Row],[Site ID (from DATIM)]],"[Measures].[HVL_N_P]")</f>
        <v/>
      </c>
      <c r="AV177" s="68" vm="11044">
        <f>CUBEVALUE(ConnectionString,ReportMonth,Table1[[#This Row],[Site ID (from DATIM)]],"[Measures].[HVL_ELIG_A]")</f>
        <v>13</v>
      </c>
      <c r="AW177" s="68" vm="8776">
        <f>CUBEVALUE(ConnectionString,ReportMonth,Table1[[#This Row],[Site ID (from DATIM)]],"[Measures].[HVL_D_A]")</f>
        <v>6</v>
      </c>
      <c r="AX177" s="68" vm="9332">
        <f>CUBEVALUE(ConnectionString,ReportMonth,Table1[[#This Row],[Site ID (from DATIM)]],"[Measures].[HVL_N_A]")</f>
        <v>5</v>
      </c>
      <c r="AY177" s="67"/>
      <c r="AZ177" s="67"/>
      <c r="BA177" s="67"/>
      <c r="BB177" s="67"/>
      <c r="BC177" s="67"/>
      <c r="BD177" s="67"/>
      <c r="BE177" s="67"/>
      <c r="BF177" s="67"/>
      <c r="BG177" s="67" t="str" vm="11961">
        <f>CUBEVALUE(ConnectionString,ReportMonth,Table1[[#This Row],[Site ID (from DATIM)]],"[Measures].[TX_NEW_F_A]")</f>
        <v/>
      </c>
      <c r="BH177" s="67" t="str" vm="13121">
        <f>CUBEVALUE(ConnectionString,ReportMonth,Table1[[#This Row],[Site ID (from DATIM)]],"[Measures].[TX_NEW_M_A]")</f>
        <v/>
      </c>
      <c r="BI177" s="67" t="str" vm="13168">
        <f>CUBEVALUE(ConnectionString,ReportMonth,Table1[[#This Row],[Site ID (from DATIM)]],"[Measures].[TX_NEW_F_P]")</f>
        <v/>
      </c>
      <c r="BJ177" s="68" t="str" vm="17020">
        <f>CUBEVALUE(ConnectionString,ReportMonth,Table1[[#This Row],[Site ID (from DATIM)]],"[Measures].[TX_NEW_M_P]")</f>
        <v/>
      </c>
      <c r="BK177" s="68"/>
      <c r="BL177" s="68"/>
      <c r="BM177" s="68"/>
      <c r="BN177" s="68"/>
      <c r="BO177" s="68"/>
      <c r="BP177" s="68"/>
      <c r="BQ177" s="68" t="str" vm="9772">
        <f>CUBEVALUE(ConnectionString,ReportMonth,Table1[[#This Row],[Site ID (from DATIM)]],"[Measures].[TX_CURR_F_P]")</f>
        <v/>
      </c>
      <c r="BR177" s="68" t="str" vm="8674">
        <f>CUBEVALUE(ConnectionString,ReportMonth,Table1[[#This Row],[Site ID (from DATIM)]],"[Measures].[TX_CURR_M_P]")</f>
        <v/>
      </c>
      <c r="BS177" s="68" vm="10201">
        <f>CUBEVALUE(ConnectionString,ReportMonth,Table1[[#This Row],[Site ID (from DATIM)]],"[Measures].[TX_CURR_F_A]")</f>
        <v>23</v>
      </c>
      <c r="BT177" s="68" vm="11466">
        <f>CUBEVALUE(ConnectionString,ReportMonth,Table1[[#This Row],[Site ID (from DATIM)]],"[Measures].[TX_CURR_M_A]")</f>
        <v>8</v>
      </c>
      <c r="BU177" s="68" t="str" vm="19767">
        <f>CUBEVALUE(ConnectionString,ReportMonth,Table1[[#This Row],[Site ID (from DATIM)]],"[Measures].[MMS_01_89_F_P]")</f>
        <v/>
      </c>
      <c r="BV177" s="68" t="str" vm="20115">
        <f>CUBEVALUE(ConnectionString,ReportMonth,Table1[[#This Row],[Site ID (from DATIM)]],"[Measures].[MMS_01_89_M_P]")</f>
        <v/>
      </c>
      <c r="BW177" s="68" vm="20000">
        <f>CUBEVALUE(ConnectionString,ReportMonth,Table1[[#This Row],[Site ID (from DATIM)]],"[Measures].[MMS_01_89_F_A]")</f>
        <v>3</v>
      </c>
      <c r="BX177" s="68" vm="18842">
        <f>CUBEVALUE(ConnectionString,ReportMonth,Table1[[#This Row],[Site ID (from DATIM)]],"[Measures].[MMS_01_89_M_A]")</f>
        <v>2</v>
      </c>
      <c r="BY177" s="68" t="str" vm="17838">
        <f>CUBEVALUE(ConnectionString,ReportMonth,Table1[[#This Row],[Site ID (from DATIM)]],"[Measures].[MMS_90_179_F_P]")</f>
        <v/>
      </c>
      <c r="BZ177" s="68" t="str" vm="15212">
        <f>CUBEVALUE(ConnectionString,ReportMonth,Table1[[#This Row],[Site ID (from DATIM)]],"[Measures].[MMS_90_179_M_P]")</f>
        <v/>
      </c>
      <c r="CA177" s="68" vm="17741">
        <f>CUBEVALUE(ConnectionString,ReportMonth,Table1[[#This Row],[Site ID (from DATIM)]],"[Measures].[MMS_90_179_F_A]")</f>
        <v>20</v>
      </c>
      <c r="CB177" s="68" vm="15142">
        <f>CUBEVALUE(ConnectionString,ReportMonth,Table1[[#This Row],[Site ID (from DATIM)]],"[Measures].[MMS_90_179_M_A]")</f>
        <v>6</v>
      </c>
      <c r="CC177" s="68" t="str" vm="17622">
        <f>CUBEVALUE(ConnectionString,ReportMonth,Table1[[#This Row],[Site ID (from DATIM)]],"[Measures].[MMS_180+_F_P]")</f>
        <v/>
      </c>
      <c r="CD177" s="68" t="str" vm="17117">
        <f>CUBEVALUE(ConnectionString,ReportMonth,Table1[[#This Row],[Site ID (from DATIM)]],"[Measures].[MMS_180+_M_P]")</f>
        <v/>
      </c>
      <c r="CE177" s="68" t="str" vm="15825">
        <f>CUBEVALUE(ConnectionString,ReportMonth,Table1[[#This Row],[Site ID (from DATIM)]],"[Measures].[MMS_180+_F_A]")</f>
        <v/>
      </c>
      <c r="CF177" s="68" t="str" vm="99">
        <f>CUBEVALUE(ConnectionString,ReportMonth,Table1[[#This Row],[Site ID (from DATIM)]],"[Measures].[MMS_180+_M_A]")</f>
        <v/>
      </c>
      <c r="CG177" s="68" vm="5761">
        <f>CUBEVALUE(ConnectionString,ReportMonth,Table1[[#This Row],[Site ID (from DATIM)]],"[Measures].[MISSEDAPP]")</f>
        <v>30</v>
      </c>
      <c r="CH177" s="68" t="str" vm="13379">
        <f>CUBEVALUE(ConnectionString,ReportMonth,Table1[[#This Row],[Site ID (from DATIM)]],"[Measures].[MMS_180+_P]")</f>
        <v/>
      </c>
      <c r="CI177" s="68" t="str" vm="11000">
        <f>CUBEVALUE(ConnectionString,ReportMonth,Table1[[#This Row],[Site ID (from DATIM)]],"[Measures].[MMS_180+_A]")</f>
        <v/>
      </c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  <c r="CW177" s="68"/>
      <c r="CX177" s="68"/>
      <c r="CY177" s="68"/>
      <c r="CZ177" s="68"/>
      <c r="DA177" s="68"/>
      <c r="DB177" s="68"/>
      <c r="DC177" s="68"/>
    </row>
    <row r="178" spans="1:107" x14ac:dyDescent="0.25">
      <c r="A178" s="66">
        <v>4</v>
      </c>
      <c r="B178" s="67" t="str" vm="4">
        <f t="shared" si="3"/>
        <v>Mar-2021</v>
      </c>
      <c r="C178" s="67"/>
      <c r="D178" s="67" t="s">
        <v>232</v>
      </c>
      <c r="E178" s="67" t="s">
        <v>233</v>
      </c>
      <c r="F178" s="67" t="s">
        <v>1286</v>
      </c>
      <c r="G178" s="67"/>
      <c r="H178" s="67" t="s">
        <v>1344</v>
      </c>
      <c r="I178" s="67" t="s">
        <v>1390</v>
      </c>
      <c r="J178" s="67" t="s">
        <v>1391</v>
      </c>
      <c r="K178" s="67" t="s">
        <v>1392</v>
      </c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 t="str" vm="1456">
        <f>CUBEVALUE(ConnectionString,ReportMonth,Table1[[#This Row],[Site ID (from DATIM)]],"TX_NEW_2VIS")</f>
        <v/>
      </c>
      <c r="AE178" s="67" t="str" vm="1294">
        <f>CUBEVALUE(ConnectionString,ReportMonth,Table1[[#This Row],[Site ID (from DATIM)]],INDEX(SDI_Measures,1))</f>
        <v/>
      </c>
      <c r="AF178" s="67" t="str" vm="1080">
        <f>CUBEVALUE(ConnectionString,ReportMonth,Table1[[#This Row],[Site ID (from DATIM)]],INDEX(SDI_Measures,2))</f>
        <v/>
      </c>
      <c r="AG178" s="67" t="str" vm="1096">
        <f>CUBEVALUE(ConnectionString,ReportMonth,Table1[[#This Row],[Site ID (from DATIM)]],INDEX(SDI_Measures,3))</f>
        <v/>
      </c>
      <c r="AH178" s="67" t="str" vm="3720">
        <f>CUBEVALUE(ConnectionString,ReportMonth,Table1[[#This Row],[Site ID (from DATIM)]],"TX_CURR_PRIOR_MONTH")</f>
        <v/>
      </c>
      <c r="AI178" s="67" t="str" vm="3606">
        <f>CUBEVALUE(ConnectionString,ReportMonth,Table1[[#This Row],[Site ID (from DATIM)]],"TX_CURR")</f>
        <v/>
      </c>
      <c r="AJ178" s="67" t="str" vm="3257">
        <f>CUBEVALUE(ConnectionString,ReportMonth,Table1[[#This Row],[Site ID (from DATIM)]],"[Measures].[TI]")</f>
        <v/>
      </c>
      <c r="AK178" s="67" t="str" vm="2677">
        <f>CUBEVALUE(ConnectionString,ReportMonth,Table1[[#This Row],[Site ID (from DATIM)]],"[Measures].[TO]")</f>
        <v/>
      </c>
      <c r="AL178" s="67" t="str" vm="2808">
        <f>CUBEVALUE(ConnectionString,ReportMonth,Table1[[#This Row],[Site ID (from DATIM)]],"[Measures].[DIED]")</f>
        <v/>
      </c>
      <c r="AM178" s="67" t="str" vm="6284">
        <f>CUBEVALUE(ConnectionString,ReportMonth,Table1[[#This Row],[Site ID (from DATIM)]],"[Measures].[MMS_01_31]")</f>
        <v/>
      </c>
      <c r="AN178" s="67" t="str" vm="9577">
        <f>CUBEVALUE(ConnectionString,ReportMonth,Table1[[#This Row],[Site ID (from DATIM)]],"[Measures].[MMS_32_62]")</f>
        <v/>
      </c>
      <c r="AO178" s="67" t="str" vm="5963">
        <f>CUBEVALUE(ConnectionString,ReportMonth,Table1[[#This Row],[Site ID (from DATIM)]],"[Measures].[MMS_63+]")</f>
        <v/>
      </c>
      <c r="AP178" s="67" t="str" vm="4670">
        <f>CUBEVALUE(ConnectionString,ReportMonth,Table1[[#This Row],[Site ID (from DATIM)]],"[Measures].[TBPREV_D]")</f>
        <v/>
      </c>
      <c r="AQ178" s="67" t="str" vm="9587">
        <f>CUBEVALUE(ConnectionString,ReportMonth,Table1[[#This Row],[Site ID (from DATIM)]],"[Measures].[TBPREV_N]")</f>
        <v/>
      </c>
      <c r="AR178" s="67" t="str" vm="7531">
        <f>CUBEVALUE(ConnectionString,ReportMonth,Table1[[#This Row],[Site ID (from DATIM)]],"[Measures].[TBPREV_NEW]")</f>
        <v/>
      </c>
      <c r="AS178" s="67" t="str" vm="6313">
        <f>CUBEVALUE(ConnectionString,ReportMonth,Table1[[#This Row],[Site ID (from DATIM)]],"[Measures].[HVL_ELIG_P]")</f>
        <v/>
      </c>
      <c r="AT178" s="67" t="str" vm="6438">
        <f>CUBEVALUE(ConnectionString,ReportMonth,Table1[[#This Row],[Site ID (from DATIM)]],"[Measures].[HVL_D_P]")</f>
        <v/>
      </c>
      <c r="AU178" s="67" t="str" vm="12871">
        <f>CUBEVALUE(ConnectionString,ReportMonth,Table1[[#This Row],[Site ID (from DATIM)]],"[Measures].[HVL_N_P]")</f>
        <v/>
      </c>
      <c r="AV178" s="68" t="str" vm="10147">
        <f>CUBEVALUE(ConnectionString,ReportMonth,Table1[[#This Row],[Site ID (from DATIM)]],"[Measures].[HVL_ELIG_A]")</f>
        <v/>
      </c>
      <c r="AW178" s="68" t="str" vm="8656">
        <f>CUBEVALUE(ConnectionString,ReportMonth,Table1[[#This Row],[Site ID (from DATIM)]],"[Measures].[HVL_D_A]")</f>
        <v/>
      </c>
      <c r="AX178" s="68" t="str" vm="11393">
        <f>CUBEVALUE(ConnectionString,ReportMonth,Table1[[#This Row],[Site ID (from DATIM)]],"[Measures].[HVL_N_A]")</f>
        <v/>
      </c>
      <c r="AY178" s="67"/>
      <c r="AZ178" s="67"/>
      <c r="BA178" s="67"/>
      <c r="BB178" s="67"/>
      <c r="BC178" s="67"/>
      <c r="BD178" s="67"/>
      <c r="BE178" s="67"/>
      <c r="BF178" s="67"/>
      <c r="BG178" s="67" t="str" vm="11421">
        <f>CUBEVALUE(ConnectionString,ReportMonth,Table1[[#This Row],[Site ID (from DATIM)]],"[Measures].[TX_NEW_F_A]")</f>
        <v/>
      </c>
      <c r="BH178" s="67" t="str" vm="12811">
        <f>CUBEVALUE(ConnectionString,ReportMonth,Table1[[#This Row],[Site ID (from DATIM)]],"[Measures].[TX_NEW_M_A]")</f>
        <v/>
      </c>
      <c r="BI178" s="67" t="str" vm="14394">
        <f>CUBEVALUE(ConnectionString,ReportMonth,Table1[[#This Row],[Site ID (from DATIM)]],"[Measures].[TX_NEW_F_P]")</f>
        <v/>
      </c>
      <c r="BJ178" s="68" t="str" vm="13439">
        <f>CUBEVALUE(ConnectionString,ReportMonth,Table1[[#This Row],[Site ID (from DATIM)]],"[Measures].[TX_NEW_M_P]")</f>
        <v/>
      </c>
      <c r="BK178" s="68"/>
      <c r="BL178" s="68"/>
      <c r="BM178" s="68"/>
      <c r="BN178" s="68"/>
      <c r="BO178" s="68"/>
      <c r="BP178" s="68"/>
      <c r="BQ178" s="68" t="str" vm="10741">
        <f>CUBEVALUE(ConnectionString,ReportMonth,Table1[[#This Row],[Site ID (from DATIM)]],"[Measures].[TX_CURR_F_P]")</f>
        <v/>
      </c>
      <c r="BR178" s="68" t="str" vm="10309">
        <f>CUBEVALUE(ConnectionString,ReportMonth,Table1[[#This Row],[Site ID (from DATIM)]],"[Measures].[TX_CURR_M_P]")</f>
        <v/>
      </c>
      <c r="BS178" s="68" t="str" vm="10684">
        <f>CUBEVALUE(ConnectionString,ReportMonth,Table1[[#This Row],[Site ID (from DATIM)]],"[Measures].[TX_CURR_F_A]")</f>
        <v/>
      </c>
      <c r="BT178" s="68" t="str" vm="14364">
        <f>CUBEVALUE(ConnectionString,ReportMonth,Table1[[#This Row],[Site ID (from DATIM)]],"[Measures].[TX_CURR_M_A]")</f>
        <v/>
      </c>
      <c r="BU178" s="68" t="str" vm="18426">
        <f>CUBEVALUE(ConnectionString,ReportMonth,Table1[[#This Row],[Site ID (from DATIM)]],"[Measures].[MMS_01_89_F_P]")</f>
        <v/>
      </c>
      <c r="BV178" s="68" t="str" vm="18681">
        <f>CUBEVALUE(ConnectionString,ReportMonth,Table1[[#This Row],[Site ID (from DATIM)]],"[Measures].[MMS_01_89_M_P]")</f>
        <v/>
      </c>
      <c r="BW178" s="68" t="str" vm="19113">
        <f>CUBEVALUE(ConnectionString,ReportMonth,Table1[[#This Row],[Site ID (from DATIM)]],"[Measures].[MMS_01_89_F_A]")</f>
        <v/>
      </c>
      <c r="BX178" s="68" t="str" vm="18245">
        <f>CUBEVALUE(ConnectionString,ReportMonth,Table1[[#This Row],[Site ID (from DATIM)]],"[Measures].[MMS_01_89_M_A]")</f>
        <v/>
      </c>
      <c r="BY178" s="68" t="str" vm="15121">
        <f>CUBEVALUE(ConnectionString,ReportMonth,Table1[[#This Row],[Site ID (from DATIM)]],"[Measures].[MMS_90_179_F_P]")</f>
        <v/>
      </c>
      <c r="BZ178" s="68" t="str" vm="16061">
        <f>CUBEVALUE(ConnectionString,ReportMonth,Table1[[#This Row],[Site ID (from DATIM)]],"[Measures].[MMS_90_179_M_P]")</f>
        <v/>
      </c>
      <c r="CA178" s="68" t="str" vm="17321">
        <f>CUBEVALUE(ConnectionString,ReportMonth,Table1[[#This Row],[Site ID (from DATIM)]],"[Measures].[MMS_90_179_F_A]")</f>
        <v/>
      </c>
      <c r="CB178" s="68" t="str" vm="16408">
        <f>CUBEVALUE(ConnectionString,ReportMonth,Table1[[#This Row],[Site ID (from DATIM)]],"[Measures].[MMS_90_179_M_A]")</f>
        <v/>
      </c>
      <c r="CC178" s="68" t="str" vm="17661">
        <f>CUBEVALUE(ConnectionString,ReportMonth,Table1[[#This Row],[Site ID (from DATIM)]],"[Measures].[MMS_180+_F_P]")</f>
        <v/>
      </c>
      <c r="CD178" s="68" t="str" vm="14529">
        <f>CUBEVALUE(ConnectionString,ReportMonth,Table1[[#This Row],[Site ID (from DATIM)]],"[Measures].[MMS_180+_M_P]")</f>
        <v/>
      </c>
      <c r="CE178" s="68" t="str" vm="16737">
        <f>CUBEVALUE(ConnectionString,ReportMonth,Table1[[#This Row],[Site ID (from DATIM)]],"[Measures].[MMS_180+_F_A]")</f>
        <v/>
      </c>
      <c r="CF178" s="68" t="str" vm="15751">
        <f>CUBEVALUE(ConnectionString,ReportMonth,Table1[[#This Row],[Site ID (from DATIM)]],"[Measures].[MMS_180+_M_A]")</f>
        <v/>
      </c>
      <c r="CG178" s="68" t="str" vm="11243">
        <f>CUBEVALUE(ConnectionString,ReportMonth,Table1[[#This Row],[Site ID (from DATIM)]],"[Measures].[MISSEDAPP]")</f>
        <v/>
      </c>
      <c r="CH178" s="68" t="str" vm="12747">
        <f>CUBEVALUE(ConnectionString,ReportMonth,Table1[[#This Row],[Site ID (from DATIM)]],"[Measures].[MMS_180+_P]")</f>
        <v/>
      </c>
      <c r="CI178" s="68" t="str" vm="12254">
        <f>CUBEVALUE(ConnectionString,ReportMonth,Table1[[#This Row],[Site ID (from DATIM)]],"[Measures].[MMS_180+_A]")</f>
        <v/>
      </c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  <c r="CW178" s="68"/>
      <c r="CX178" s="68"/>
      <c r="CY178" s="68"/>
      <c r="CZ178" s="68"/>
      <c r="DA178" s="68"/>
      <c r="DB178" s="68"/>
      <c r="DC178" s="68"/>
    </row>
    <row r="179" spans="1:107" x14ac:dyDescent="0.25">
      <c r="A179" s="66">
        <v>4</v>
      </c>
      <c r="B179" s="67" t="str" vm="4">
        <f t="shared" si="3"/>
        <v>Mar-2021</v>
      </c>
      <c r="C179" s="67"/>
      <c r="D179" s="67" t="s">
        <v>232</v>
      </c>
      <c r="E179" s="67" t="s">
        <v>233</v>
      </c>
      <c r="F179" s="67" t="s">
        <v>234</v>
      </c>
      <c r="G179" s="67"/>
      <c r="H179" s="67" t="s">
        <v>270</v>
      </c>
      <c r="I179" s="67" t="s">
        <v>299</v>
      </c>
      <c r="J179" s="67" t="s">
        <v>300</v>
      </c>
      <c r="K179" s="67" t="s">
        <v>301</v>
      </c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 t="str" vm="2731">
        <f>CUBEVALUE(ConnectionString,ReportMonth,Table1[[#This Row],[Site ID (from DATIM)]],"TX_NEW_2VIS")</f>
        <v/>
      </c>
      <c r="AE179" s="67" vm="2107">
        <f>CUBEVALUE(ConnectionString,ReportMonth,Table1[[#This Row],[Site ID (from DATIM)]],INDEX(SDI_Measures,1))</f>
        <v>2</v>
      </c>
      <c r="AF179" s="67" t="str" vm="1179">
        <f>CUBEVALUE(ConnectionString,ReportMonth,Table1[[#This Row],[Site ID (from DATIM)]],INDEX(SDI_Measures,2))</f>
        <v/>
      </c>
      <c r="AG179" s="67" t="str" vm="777">
        <f>CUBEVALUE(ConnectionString,ReportMonth,Table1[[#This Row],[Site ID (from DATIM)]],INDEX(SDI_Measures,3))</f>
        <v/>
      </c>
      <c r="AH179" s="67" vm="2736">
        <f>CUBEVALUE(ConnectionString,ReportMonth,Table1[[#This Row],[Site ID (from DATIM)]],"TX_CURR_PRIOR_MONTH")</f>
        <v>35</v>
      </c>
      <c r="AI179" s="67" vm="1351">
        <f>CUBEVALUE(ConnectionString,ReportMonth,Table1[[#This Row],[Site ID (from DATIM)]],"TX_CURR")</f>
        <v>34</v>
      </c>
      <c r="AJ179" s="67" t="str" vm="3100">
        <f>CUBEVALUE(ConnectionString,ReportMonth,Table1[[#This Row],[Site ID (from DATIM)]],"[Measures].[TI]")</f>
        <v/>
      </c>
      <c r="AK179" s="67" t="str" vm="1746">
        <f>CUBEVALUE(ConnectionString,ReportMonth,Table1[[#This Row],[Site ID (from DATIM)]],"[Measures].[TO]")</f>
        <v/>
      </c>
      <c r="AL179" s="67" t="str" vm="2049">
        <f>CUBEVALUE(ConnectionString,ReportMonth,Table1[[#This Row],[Site ID (from DATIM)]],"[Measures].[DIED]")</f>
        <v/>
      </c>
      <c r="AM179" s="67" vm="6176">
        <f>CUBEVALUE(ConnectionString,ReportMonth,Table1[[#This Row],[Site ID (from DATIM)]],"[Measures].[MMS_01_31]")</f>
        <v>28</v>
      </c>
      <c r="AN179" s="67" vm="6238">
        <f>CUBEVALUE(ConnectionString,ReportMonth,Table1[[#This Row],[Site ID (from DATIM)]],"[Measures].[MMS_32_62]")</f>
        <v>6</v>
      </c>
      <c r="AO179" s="67" t="str" vm="6666">
        <f>CUBEVALUE(ConnectionString,ReportMonth,Table1[[#This Row],[Site ID (from DATIM)]],"[Measures].[MMS_63+]")</f>
        <v/>
      </c>
      <c r="AP179" s="67" t="str" vm="8539">
        <f>CUBEVALUE(ConnectionString,ReportMonth,Table1[[#This Row],[Site ID (from DATIM)]],"[Measures].[TBPREV_D]")</f>
        <v/>
      </c>
      <c r="AQ179" s="67" t="str" vm="9741">
        <f>CUBEVALUE(ConnectionString,ReportMonth,Table1[[#This Row],[Site ID (from DATIM)]],"[Measures].[TBPREV_N]")</f>
        <v/>
      </c>
      <c r="AR179" s="67" t="str" vm="6729">
        <f>CUBEVALUE(ConnectionString,ReportMonth,Table1[[#This Row],[Site ID (from DATIM)]],"[Measures].[TBPREV_NEW]")</f>
        <v/>
      </c>
      <c r="AS179" s="67" t="str" vm="14038">
        <f>CUBEVALUE(ConnectionString,ReportMonth,Table1[[#This Row],[Site ID (from DATIM)]],"[Measures].[HVL_ELIG_P]")</f>
        <v/>
      </c>
      <c r="AT179" s="67" t="str" vm="8887">
        <f>CUBEVALUE(ConnectionString,ReportMonth,Table1[[#This Row],[Site ID (from DATIM)]],"[Measures].[HVL_D_P]")</f>
        <v/>
      </c>
      <c r="AU179" s="67" t="str" vm="9563">
        <f>CUBEVALUE(ConnectionString,ReportMonth,Table1[[#This Row],[Site ID (from DATIM)]],"[Measures].[HVL_N_P]")</f>
        <v/>
      </c>
      <c r="AV179" s="68" vm="6807">
        <f>CUBEVALUE(ConnectionString,ReportMonth,Table1[[#This Row],[Site ID (from DATIM)]],"[Measures].[HVL_ELIG_A]")</f>
        <v>9</v>
      </c>
      <c r="AW179" s="68" t="str" vm="14105">
        <f>CUBEVALUE(ConnectionString,ReportMonth,Table1[[#This Row],[Site ID (from DATIM)]],"[Measures].[HVL_D_A]")</f>
        <v/>
      </c>
      <c r="AX179" s="68" t="str" vm="10826">
        <f>CUBEVALUE(ConnectionString,ReportMonth,Table1[[#This Row],[Site ID (from DATIM)]],"[Measures].[HVL_N_A]")</f>
        <v/>
      </c>
      <c r="AY179" s="67"/>
      <c r="AZ179" s="67"/>
      <c r="BA179" s="67"/>
      <c r="BB179" s="67"/>
      <c r="BC179" s="67"/>
      <c r="BD179" s="67"/>
      <c r="BE179" s="67"/>
      <c r="BF179" s="67"/>
      <c r="BG179" s="67" vm="14073">
        <f>CUBEVALUE(ConnectionString,ReportMonth,Table1[[#This Row],[Site ID (from DATIM)]],"[Measures].[TX_NEW_F_A]")</f>
        <v>1</v>
      </c>
      <c r="BH179" s="67" vm="11673">
        <f>CUBEVALUE(ConnectionString,ReportMonth,Table1[[#This Row],[Site ID (from DATIM)]],"[Measures].[TX_NEW_M_A]")</f>
        <v>1</v>
      </c>
      <c r="BI179" s="67" t="str" vm="13103">
        <f>CUBEVALUE(ConnectionString,ReportMonth,Table1[[#This Row],[Site ID (from DATIM)]],"[Measures].[TX_NEW_F_P]")</f>
        <v/>
      </c>
      <c r="BJ179" s="68" t="str" vm="13715">
        <f>CUBEVALUE(ConnectionString,ReportMonth,Table1[[#This Row],[Site ID (from DATIM)]],"[Measures].[TX_NEW_M_P]")</f>
        <v/>
      </c>
      <c r="BK179" s="68"/>
      <c r="BL179" s="68"/>
      <c r="BM179" s="68"/>
      <c r="BN179" s="68"/>
      <c r="BO179" s="68"/>
      <c r="BP179" s="68"/>
      <c r="BQ179" s="68" vm="11385">
        <f>CUBEVALUE(ConnectionString,ReportMonth,Table1[[#This Row],[Site ID (from DATIM)]],"[Measures].[TX_CURR_F_P]")</f>
        <v>1</v>
      </c>
      <c r="BR179" s="68" t="str" vm="8045">
        <f>CUBEVALUE(ConnectionString,ReportMonth,Table1[[#This Row],[Site ID (from DATIM)]],"[Measures].[TX_CURR_M_P]")</f>
        <v/>
      </c>
      <c r="BS179" s="68" vm="8270">
        <f>CUBEVALUE(ConnectionString,ReportMonth,Table1[[#This Row],[Site ID (from DATIM)]],"[Measures].[TX_CURR_F_A]")</f>
        <v>23</v>
      </c>
      <c r="BT179" s="68" vm="9975">
        <f>CUBEVALUE(ConnectionString,ReportMonth,Table1[[#This Row],[Site ID (from DATIM)]],"[Measures].[TX_CURR_M_A]")</f>
        <v>10</v>
      </c>
      <c r="BU179" s="68" vm="18708">
        <f>CUBEVALUE(ConnectionString,ReportMonth,Table1[[#This Row],[Site ID (from DATIM)]],"[Measures].[MMS_01_89_F_P]")</f>
        <v>1</v>
      </c>
      <c r="BV179" s="68" t="str" vm="19017">
        <f>CUBEVALUE(ConnectionString,ReportMonth,Table1[[#This Row],[Site ID (from DATIM)]],"[Measures].[MMS_01_89_M_P]")</f>
        <v/>
      </c>
      <c r="BW179" s="68" vm="18217">
        <f>CUBEVALUE(ConnectionString,ReportMonth,Table1[[#This Row],[Site ID (from DATIM)]],"[Measures].[MMS_01_89_F_A]")</f>
        <v>23</v>
      </c>
      <c r="BX179" s="68" vm="16949">
        <f>CUBEVALUE(ConnectionString,ReportMonth,Table1[[#This Row],[Site ID (from DATIM)]],"[Measures].[MMS_01_89_M_A]")</f>
        <v>10</v>
      </c>
      <c r="BY179" s="68" t="str" vm="18185">
        <f>CUBEVALUE(ConnectionString,ReportMonth,Table1[[#This Row],[Site ID (from DATIM)]],"[Measures].[MMS_90_179_F_P]")</f>
        <v/>
      </c>
      <c r="BZ179" s="68" t="str" vm="19325">
        <f>CUBEVALUE(ConnectionString,ReportMonth,Table1[[#This Row],[Site ID (from DATIM)]],"[Measures].[MMS_90_179_M_P]")</f>
        <v/>
      </c>
      <c r="CA179" s="68" t="str" vm="15136">
        <f>CUBEVALUE(ConnectionString,ReportMonth,Table1[[#This Row],[Site ID (from DATIM)]],"[Measures].[MMS_90_179_F_A]")</f>
        <v/>
      </c>
      <c r="CB179" s="68" t="str" vm="17237">
        <f>CUBEVALUE(ConnectionString,ReportMonth,Table1[[#This Row],[Site ID (from DATIM)]],"[Measures].[MMS_90_179_M_A]")</f>
        <v/>
      </c>
      <c r="CC179" s="68" t="str" vm="14609">
        <f>CUBEVALUE(ConnectionString,ReportMonth,Table1[[#This Row],[Site ID (from DATIM)]],"[Measures].[MMS_180+_F_P]")</f>
        <v/>
      </c>
      <c r="CD179" s="68" t="str" vm="14912">
        <f>CUBEVALUE(ConnectionString,ReportMonth,Table1[[#This Row],[Site ID (from DATIM)]],"[Measures].[MMS_180+_M_P]")</f>
        <v/>
      </c>
      <c r="CE179" s="68" t="str" vm="17480">
        <f>CUBEVALUE(ConnectionString,ReportMonth,Table1[[#This Row],[Site ID (from DATIM)]],"[Measures].[MMS_180+_F_A]")</f>
        <v/>
      </c>
      <c r="CF179" s="68" t="str" vm="474">
        <f>CUBEVALUE(ConnectionString,ReportMonth,Table1[[#This Row],[Site ID (from DATIM)]],"[Measures].[MMS_180+_M_A]")</f>
        <v/>
      </c>
      <c r="CG179" s="68" vm="10582">
        <f>CUBEVALUE(ConnectionString,ReportMonth,Table1[[#This Row],[Site ID (from DATIM)]],"[Measures].[MISSEDAPP]")</f>
        <v>29</v>
      </c>
      <c r="CH179" s="68" t="str" vm="13876">
        <f>CUBEVALUE(ConnectionString,ReportMonth,Table1[[#This Row],[Site ID (from DATIM)]],"[Measures].[MMS_180+_P]")</f>
        <v/>
      </c>
      <c r="CI179" s="68" t="str" vm="12677">
        <f>CUBEVALUE(ConnectionString,ReportMonth,Table1[[#This Row],[Site ID (from DATIM)]],"[Measures].[MMS_180+_A]")</f>
        <v/>
      </c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  <c r="CW179" s="68"/>
      <c r="CX179" s="68"/>
      <c r="CY179" s="68"/>
      <c r="CZ179" s="68"/>
      <c r="DA179" s="68"/>
      <c r="DB179" s="68"/>
      <c r="DC179" s="68"/>
    </row>
    <row r="180" spans="1:107" x14ac:dyDescent="0.25">
      <c r="A180" s="66">
        <v>1</v>
      </c>
      <c r="B180" s="67" t="str" vm="4">
        <f t="shared" si="3"/>
        <v>Mar-2021</v>
      </c>
      <c r="C180" s="67"/>
      <c r="D180" s="67" t="s">
        <v>232</v>
      </c>
      <c r="E180" s="67" t="s">
        <v>233</v>
      </c>
      <c r="F180" s="67" t="s">
        <v>1286</v>
      </c>
      <c r="G180" s="67"/>
      <c r="H180" s="67" t="s">
        <v>1287</v>
      </c>
      <c r="I180" s="67" t="s">
        <v>1288</v>
      </c>
      <c r="J180" s="67" t="s">
        <v>1393</v>
      </c>
      <c r="K180" s="67" t="s">
        <v>1394</v>
      </c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 t="str" vm="2182">
        <f>CUBEVALUE(ConnectionString,ReportMonth,Table1[[#This Row],[Site ID (from DATIM)]],"TX_NEW_2VIS")</f>
        <v/>
      </c>
      <c r="AE180" s="67" t="str" vm="1995">
        <f>CUBEVALUE(ConnectionString,ReportMonth,Table1[[#This Row],[Site ID (from DATIM)]],INDEX(SDI_Measures,1))</f>
        <v/>
      </c>
      <c r="AF180" s="67" t="str" vm="644">
        <f>CUBEVALUE(ConnectionString,ReportMonth,Table1[[#This Row],[Site ID (from DATIM)]],INDEX(SDI_Measures,2))</f>
        <v/>
      </c>
      <c r="AG180" s="67" t="str" vm="529">
        <f>CUBEVALUE(ConnectionString,ReportMonth,Table1[[#This Row],[Site ID (from DATIM)]],INDEX(SDI_Measures,3))</f>
        <v/>
      </c>
      <c r="AH180" s="67" t="str" vm="4415">
        <f>CUBEVALUE(ConnectionString,ReportMonth,Table1[[#This Row],[Site ID (from DATIM)]],"TX_CURR_PRIOR_MONTH")</f>
        <v/>
      </c>
      <c r="AI180" s="67" t="str" vm="762">
        <f>CUBEVALUE(ConnectionString,ReportMonth,Table1[[#This Row],[Site ID (from DATIM)]],"TX_CURR")</f>
        <v/>
      </c>
      <c r="AJ180" s="67" t="str" vm="3739">
        <f>CUBEVALUE(ConnectionString,ReportMonth,Table1[[#This Row],[Site ID (from DATIM)]],"[Measures].[TI]")</f>
        <v/>
      </c>
      <c r="AK180" s="67" t="str" vm="2955">
        <f>CUBEVALUE(ConnectionString,ReportMonth,Table1[[#This Row],[Site ID (from DATIM)]],"[Measures].[TO]")</f>
        <v/>
      </c>
      <c r="AL180" s="67" t="str" vm="3464">
        <f>CUBEVALUE(ConnectionString,ReportMonth,Table1[[#This Row],[Site ID (from DATIM)]],"[Measures].[DIED]")</f>
        <v/>
      </c>
      <c r="AM180" s="67" t="str" vm="4279">
        <f>CUBEVALUE(ConnectionString,ReportMonth,Table1[[#This Row],[Site ID (from DATIM)]],"[Measures].[MMS_01_31]")</f>
        <v/>
      </c>
      <c r="AN180" s="67" t="str" vm="9275">
        <f>CUBEVALUE(ConnectionString,ReportMonth,Table1[[#This Row],[Site ID (from DATIM)]],"[Measures].[MMS_32_62]")</f>
        <v/>
      </c>
      <c r="AO180" s="67" t="str" vm="7140">
        <f>CUBEVALUE(ConnectionString,ReportMonth,Table1[[#This Row],[Site ID (from DATIM)]],"[Measures].[MMS_63+]")</f>
        <v/>
      </c>
      <c r="AP180" s="67" t="str" vm="4861">
        <f>CUBEVALUE(ConnectionString,ReportMonth,Table1[[#This Row],[Site ID (from DATIM)]],"[Measures].[TBPREV_D]")</f>
        <v/>
      </c>
      <c r="AQ180" s="67" t="str" vm="4712">
        <f>CUBEVALUE(ConnectionString,ReportMonth,Table1[[#This Row],[Site ID (from DATIM)]],"[Measures].[TBPREV_N]")</f>
        <v/>
      </c>
      <c r="AR180" s="67" t="str" vm="5986">
        <f>CUBEVALUE(ConnectionString,ReportMonth,Table1[[#This Row],[Site ID (from DATIM)]],"[Measures].[TBPREV_NEW]")</f>
        <v/>
      </c>
      <c r="AS180" s="67" t="str" vm="10631">
        <f>CUBEVALUE(ConnectionString,ReportMonth,Table1[[#This Row],[Site ID (from DATIM)]],"[Measures].[HVL_ELIG_P]")</f>
        <v/>
      </c>
      <c r="AT180" s="67" t="str" vm="7907">
        <f>CUBEVALUE(ConnectionString,ReportMonth,Table1[[#This Row],[Site ID (from DATIM)]],"[Measures].[HVL_D_P]")</f>
        <v/>
      </c>
      <c r="AU180" s="67" t="str" vm="6599">
        <f>CUBEVALUE(ConnectionString,ReportMonth,Table1[[#This Row],[Site ID (from DATIM)]],"[Measures].[HVL_N_P]")</f>
        <v/>
      </c>
      <c r="AV180" s="68" t="str" vm="8522">
        <f>CUBEVALUE(ConnectionString,ReportMonth,Table1[[#This Row],[Site ID (from DATIM)]],"[Measures].[HVL_ELIG_A]")</f>
        <v/>
      </c>
      <c r="AW180" s="68" t="str" vm="11595">
        <f>CUBEVALUE(ConnectionString,ReportMonth,Table1[[#This Row],[Site ID (from DATIM)]],"[Measures].[HVL_D_A]")</f>
        <v/>
      </c>
      <c r="AX180" s="68" t="str" vm="12238">
        <f>CUBEVALUE(ConnectionString,ReportMonth,Table1[[#This Row],[Site ID (from DATIM)]],"[Measures].[HVL_N_A]")</f>
        <v/>
      </c>
      <c r="AY180" s="67"/>
      <c r="AZ180" s="67"/>
      <c r="BA180" s="67"/>
      <c r="BB180" s="67"/>
      <c r="BC180" s="67"/>
      <c r="BD180" s="67"/>
      <c r="BE180" s="67"/>
      <c r="BF180" s="67"/>
      <c r="BG180" s="67" t="str" vm="13568">
        <f>CUBEVALUE(ConnectionString,ReportMonth,Table1[[#This Row],[Site ID (from DATIM)]],"[Measures].[TX_NEW_F_A]")</f>
        <v/>
      </c>
      <c r="BH180" s="67" t="str" vm="11237">
        <f>CUBEVALUE(ConnectionString,ReportMonth,Table1[[#This Row],[Site ID (from DATIM)]],"[Measures].[TX_NEW_M_A]")</f>
        <v/>
      </c>
      <c r="BI180" s="67" t="str" vm="13362">
        <f>CUBEVALUE(ConnectionString,ReportMonth,Table1[[#This Row],[Site ID (from DATIM)]],"[Measures].[TX_NEW_F_P]")</f>
        <v/>
      </c>
      <c r="BJ180" s="68" t="str" vm="14378">
        <f>CUBEVALUE(ConnectionString,ReportMonth,Table1[[#This Row],[Site ID (from DATIM)]],"[Measures].[TX_NEW_M_P]")</f>
        <v/>
      </c>
      <c r="BK180" s="68"/>
      <c r="BL180" s="68"/>
      <c r="BM180" s="68"/>
      <c r="BN180" s="68"/>
      <c r="BO180" s="68"/>
      <c r="BP180" s="68"/>
      <c r="BQ180" s="68" t="str" vm="9503">
        <f>CUBEVALUE(ConnectionString,ReportMonth,Table1[[#This Row],[Site ID (from DATIM)]],"[Measures].[TX_CURR_F_P]")</f>
        <v/>
      </c>
      <c r="BR180" s="68" t="str" vm="10777">
        <f>CUBEVALUE(ConnectionString,ReportMonth,Table1[[#This Row],[Site ID (from DATIM)]],"[Measures].[TX_CURR_M_P]")</f>
        <v/>
      </c>
      <c r="BS180" s="68" t="str" vm="13851">
        <f>CUBEVALUE(ConnectionString,ReportMonth,Table1[[#This Row],[Site ID (from DATIM)]],"[Measures].[TX_CURR_F_A]")</f>
        <v/>
      </c>
      <c r="BT180" s="68" t="str" vm="12021">
        <f>CUBEVALUE(ConnectionString,ReportMonth,Table1[[#This Row],[Site ID (from DATIM)]],"[Measures].[TX_CURR_M_A]")</f>
        <v/>
      </c>
      <c r="BU180" s="68" t="str" vm="20051">
        <f>CUBEVALUE(ConnectionString,ReportMonth,Table1[[#This Row],[Site ID (from DATIM)]],"[Measures].[MMS_01_89_F_P]")</f>
        <v/>
      </c>
      <c r="BV180" s="68" t="str" vm="18308">
        <f>CUBEVALUE(ConnectionString,ReportMonth,Table1[[#This Row],[Site ID (from DATIM)]],"[Measures].[MMS_01_89_M_P]")</f>
        <v/>
      </c>
      <c r="BW180" s="68" t="str" vm="17660">
        <f>CUBEVALUE(ConnectionString,ReportMonth,Table1[[#This Row],[Site ID (from DATIM)]],"[Measures].[MMS_01_89_F_A]")</f>
        <v/>
      </c>
      <c r="BX180" s="68" t="str" vm="18531">
        <f>CUBEVALUE(ConnectionString,ReportMonth,Table1[[#This Row],[Site ID (from DATIM)]],"[Measures].[MMS_01_89_M_A]")</f>
        <v/>
      </c>
      <c r="BY180" s="68" t="str" vm="19070">
        <f>CUBEVALUE(ConnectionString,ReportMonth,Table1[[#This Row],[Site ID (from DATIM)]],"[Measures].[MMS_90_179_F_P]")</f>
        <v/>
      </c>
      <c r="BZ180" s="68" t="str" vm="16940">
        <f>CUBEVALUE(ConnectionString,ReportMonth,Table1[[#This Row],[Site ID (from DATIM)]],"[Measures].[MMS_90_179_M_P]")</f>
        <v/>
      </c>
      <c r="CA180" s="68" t="str" vm="16842">
        <f>CUBEVALUE(ConnectionString,ReportMonth,Table1[[#This Row],[Site ID (from DATIM)]],"[Measures].[MMS_90_179_F_A]")</f>
        <v/>
      </c>
      <c r="CB180" s="68" t="str" vm="17750">
        <f>CUBEVALUE(ConnectionString,ReportMonth,Table1[[#This Row],[Site ID (from DATIM)]],"[Measures].[MMS_90_179_M_A]")</f>
        <v/>
      </c>
      <c r="CC180" s="68" t="str" vm="15908">
        <f>CUBEVALUE(ConnectionString,ReportMonth,Table1[[#This Row],[Site ID (from DATIM)]],"[Measures].[MMS_180+_F_P]")</f>
        <v/>
      </c>
      <c r="CD180" s="68" t="str" vm="17185">
        <f>CUBEVALUE(ConnectionString,ReportMonth,Table1[[#This Row],[Site ID (from DATIM)]],"[Measures].[MMS_180+_M_P]")</f>
        <v/>
      </c>
      <c r="CE180" s="68" t="str" vm="14439">
        <f>CUBEVALUE(ConnectionString,ReportMonth,Table1[[#This Row],[Site ID (from DATIM)]],"[Measures].[MMS_180+_F_A]")</f>
        <v/>
      </c>
      <c r="CF180" s="68" t="str" vm="265">
        <f>CUBEVALUE(ConnectionString,ReportMonth,Table1[[#This Row],[Site ID (from DATIM)]],"[Measures].[MMS_180+_M_A]")</f>
        <v/>
      </c>
      <c r="CG180" s="68" t="str" vm="9531">
        <f>CUBEVALUE(ConnectionString,ReportMonth,Table1[[#This Row],[Site ID (from DATIM)]],"[Measures].[MISSEDAPP]")</f>
        <v/>
      </c>
      <c r="CH180" s="68" t="str" vm="12436">
        <f>CUBEVALUE(ConnectionString,ReportMonth,Table1[[#This Row],[Site ID (from DATIM)]],"[Measures].[MMS_180+_P]")</f>
        <v/>
      </c>
      <c r="CI180" s="68" t="str" vm="10644">
        <f>CUBEVALUE(ConnectionString,ReportMonth,Table1[[#This Row],[Site ID (from DATIM)]],"[Measures].[MMS_180+_A]")</f>
        <v/>
      </c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  <c r="CW180" s="68"/>
      <c r="CX180" s="68"/>
      <c r="CY180" s="68"/>
      <c r="CZ180" s="68"/>
      <c r="DA180" s="68"/>
      <c r="DB180" s="68"/>
      <c r="DC180" s="68"/>
    </row>
    <row r="181" spans="1:107" x14ac:dyDescent="0.25">
      <c r="A181" s="66">
        <v>4</v>
      </c>
      <c r="B181" s="67" t="str" vm="4">
        <f t="shared" si="3"/>
        <v>Mar-2021</v>
      </c>
      <c r="C181" s="67"/>
      <c r="D181" s="67" t="s">
        <v>232</v>
      </c>
      <c r="E181" s="67" t="s">
        <v>233</v>
      </c>
      <c r="F181" s="67" t="s">
        <v>1083</v>
      </c>
      <c r="G181" s="67"/>
      <c r="H181" s="67" t="s">
        <v>1088</v>
      </c>
      <c r="I181" s="67" t="s">
        <v>1179</v>
      </c>
      <c r="J181" s="67" t="s">
        <v>1180</v>
      </c>
      <c r="K181" s="67" t="s">
        <v>1181</v>
      </c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 t="str" vm="3555">
        <f>CUBEVALUE(ConnectionString,ReportMonth,Table1[[#This Row],[Site ID (from DATIM)]],"TX_NEW_2VIS")</f>
        <v/>
      </c>
      <c r="AE181" s="67" t="str" vm="3956">
        <f>CUBEVALUE(ConnectionString,ReportMonth,Table1[[#This Row],[Site ID (from DATIM)]],INDEX(SDI_Measures,1))</f>
        <v/>
      </c>
      <c r="AF181" s="67" t="str" vm="4311">
        <f>CUBEVALUE(ConnectionString,ReportMonth,Table1[[#This Row],[Site ID (from DATIM)]],INDEX(SDI_Measures,2))</f>
        <v/>
      </c>
      <c r="AG181" s="67" t="str" vm="409">
        <f>CUBEVALUE(ConnectionString,ReportMonth,Table1[[#This Row],[Site ID (from DATIM)]],INDEX(SDI_Measures,3))</f>
        <v/>
      </c>
      <c r="AH181" s="67" vm="2993">
        <f>CUBEVALUE(ConnectionString,ReportMonth,Table1[[#This Row],[Site ID (from DATIM)]],"TX_CURR_PRIOR_MONTH")</f>
        <v>52</v>
      </c>
      <c r="AI181" s="67" vm="2103">
        <f>CUBEVALUE(ConnectionString,ReportMonth,Table1[[#This Row],[Site ID (from DATIM)]],"TX_CURR")</f>
        <v>51</v>
      </c>
      <c r="AJ181" s="67" t="str" vm="2903">
        <f>CUBEVALUE(ConnectionString,ReportMonth,Table1[[#This Row],[Site ID (from DATIM)]],"[Measures].[TI]")</f>
        <v/>
      </c>
      <c r="AK181" s="67" t="str" vm="1276">
        <f>CUBEVALUE(ConnectionString,ReportMonth,Table1[[#This Row],[Site ID (from DATIM)]],"[Measures].[TO]")</f>
        <v/>
      </c>
      <c r="AL181" s="67" t="str" vm="2902">
        <f>CUBEVALUE(ConnectionString,ReportMonth,Table1[[#This Row],[Site ID (from DATIM)]],"[Measures].[DIED]")</f>
        <v/>
      </c>
      <c r="AM181" s="67" vm="3828">
        <f>CUBEVALUE(ConnectionString,ReportMonth,Table1[[#This Row],[Site ID (from DATIM)]],"[Measures].[MMS_01_31]")</f>
        <v>46</v>
      </c>
      <c r="AN181" s="67" vm="4040">
        <f>CUBEVALUE(ConnectionString,ReportMonth,Table1[[#This Row],[Site ID (from DATIM)]],"[Measures].[MMS_32_62]")</f>
        <v>1</v>
      </c>
      <c r="AO181" s="67" vm="4592">
        <f>CUBEVALUE(ConnectionString,ReportMonth,Table1[[#This Row],[Site ID (from DATIM)]],"[Measures].[MMS_63+]")</f>
        <v>4</v>
      </c>
      <c r="AP181" s="67" t="str" vm="5722">
        <f>CUBEVALUE(ConnectionString,ReportMonth,Table1[[#This Row],[Site ID (from DATIM)]],"[Measures].[TBPREV_D]")</f>
        <v/>
      </c>
      <c r="AQ181" s="67" t="str" vm="5053">
        <f>CUBEVALUE(ConnectionString,ReportMonth,Table1[[#This Row],[Site ID (from DATIM)]],"[Measures].[TBPREV_N]")</f>
        <v/>
      </c>
      <c r="AR181" s="67" t="str" vm="6471">
        <f>CUBEVALUE(ConnectionString,ReportMonth,Table1[[#This Row],[Site ID (from DATIM)]],"[Measures].[TBPREV_NEW]")</f>
        <v/>
      </c>
      <c r="AS181" s="67" vm="4881">
        <f>CUBEVALUE(ConnectionString,ReportMonth,Table1[[#This Row],[Site ID (from DATIM)]],"[Measures].[HVL_ELIG_P]")</f>
        <v>1</v>
      </c>
      <c r="AT181" s="67" t="str" vm="8766">
        <f>CUBEVALUE(ConnectionString,ReportMonth,Table1[[#This Row],[Site ID (from DATIM)]],"[Measures].[HVL_D_P]")</f>
        <v/>
      </c>
      <c r="AU181" s="67" t="str" vm="9715">
        <f>CUBEVALUE(ConnectionString,ReportMonth,Table1[[#This Row],[Site ID (from DATIM)]],"[Measures].[HVL_N_P]")</f>
        <v/>
      </c>
      <c r="AV181" s="68" vm="10251">
        <f>CUBEVALUE(ConnectionString,ReportMonth,Table1[[#This Row],[Site ID (from DATIM)]],"[Measures].[HVL_ELIG_A]")</f>
        <v>31</v>
      </c>
      <c r="AW181" s="68" vm="9053">
        <f>CUBEVALUE(ConnectionString,ReportMonth,Table1[[#This Row],[Site ID (from DATIM)]],"[Measures].[HVL_D_A]")</f>
        <v>1</v>
      </c>
      <c r="AX181" s="68" vm="8770">
        <f>CUBEVALUE(ConnectionString,ReportMonth,Table1[[#This Row],[Site ID (from DATIM)]],"[Measures].[HVL_N_A]")</f>
        <v>1</v>
      </c>
      <c r="AY181" s="67"/>
      <c r="AZ181" s="67"/>
      <c r="BA181" s="67"/>
      <c r="BB181" s="67"/>
      <c r="BC181" s="67"/>
      <c r="BD181" s="67"/>
      <c r="BE181" s="67"/>
      <c r="BF181" s="67"/>
      <c r="BG181" s="67" t="str" vm="10370">
        <f>CUBEVALUE(ConnectionString,ReportMonth,Table1[[#This Row],[Site ID (from DATIM)]],"[Measures].[TX_NEW_F_A]")</f>
        <v/>
      </c>
      <c r="BH181" s="67" t="str" vm="11671">
        <f>CUBEVALUE(ConnectionString,ReportMonth,Table1[[#This Row],[Site ID (from DATIM)]],"[Measures].[TX_NEW_M_A]")</f>
        <v/>
      </c>
      <c r="BI181" s="67" t="str" vm="13307">
        <f>CUBEVALUE(ConnectionString,ReportMonth,Table1[[#This Row],[Site ID (from DATIM)]],"[Measures].[TX_NEW_F_P]")</f>
        <v/>
      </c>
      <c r="BJ181" s="68" t="str" vm="12406">
        <f>CUBEVALUE(ConnectionString,ReportMonth,Table1[[#This Row],[Site ID (from DATIM)]],"[Measures].[TX_NEW_M_P]")</f>
        <v/>
      </c>
      <c r="BK181" s="68"/>
      <c r="BL181" s="68"/>
      <c r="BM181" s="68"/>
      <c r="BN181" s="68"/>
      <c r="BO181" s="68"/>
      <c r="BP181" s="68"/>
      <c r="BQ181" s="68" vm="13225">
        <f>CUBEVALUE(ConnectionString,ReportMonth,Table1[[#This Row],[Site ID (from DATIM)]],"[Measures].[TX_CURR_F_P]")</f>
        <v>1</v>
      </c>
      <c r="BR181" s="68" t="str" vm="9319">
        <f>CUBEVALUE(ConnectionString,ReportMonth,Table1[[#This Row],[Site ID (from DATIM)]],"[Measures].[TX_CURR_M_P]")</f>
        <v/>
      </c>
      <c r="BS181" s="68" vm="11067">
        <f>CUBEVALUE(ConnectionString,ReportMonth,Table1[[#This Row],[Site ID (from DATIM)]],"[Measures].[TX_CURR_F_A]")</f>
        <v>31</v>
      </c>
      <c r="BT181" s="68" vm="11802">
        <f>CUBEVALUE(ConnectionString,ReportMonth,Table1[[#This Row],[Site ID (from DATIM)]],"[Measures].[TX_CURR_M_A]")</f>
        <v>19</v>
      </c>
      <c r="BU181" s="68" vm="18094">
        <f>CUBEVALUE(ConnectionString,ReportMonth,Table1[[#This Row],[Site ID (from DATIM)]],"[Measures].[MMS_01_89_F_P]")</f>
        <v>1</v>
      </c>
      <c r="BV181" s="68" t="str" vm="19451">
        <f>CUBEVALUE(ConnectionString,ReportMonth,Table1[[#This Row],[Site ID (from DATIM)]],"[Measures].[MMS_01_89_M_P]")</f>
        <v/>
      </c>
      <c r="BW181" s="68" vm="18616">
        <f>CUBEVALUE(ConnectionString,ReportMonth,Table1[[#This Row],[Site ID (from DATIM)]],"[Measures].[MMS_01_89_F_A]")</f>
        <v>30</v>
      </c>
      <c r="BX181" s="68" vm="17678">
        <f>CUBEVALUE(ConnectionString,ReportMonth,Table1[[#This Row],[Site ID (from DATIM)]],"[Measures].[MMS_01_89_M_A]")</f>
        <v>16</v>
      </c>
      <c r="BY181" s="68" t="str" vm="15612">
        <f>CUBEVALUE(ConnectionString,ReportMonth,Table1[[#This Row],[Site ID (from DATIM)]],"[Measures].[MMS_90_179_F_P]")</f>
        <v/>
      </c>
      <c r="BZ181" s="68" t="str" vm="16088">
        <f>CUBEVALUE(ConnectionString,ReportMonth,Table1[[#This Row],[Site ID (from DATIM)]],"[Measures].[MMS_90_179_M_P]")</f>
        <v/>
      </c>
      <c r="CA181" s="68" vm="16861">
        <f>CUBEVALUE(ConnectionString,ReportMonth,Table1[[#This Row],[Site ID (from DATIM)]],"[Measures].[MMS_90_179_F_A]")</f>
        <v>1</v>
      </c>
      <c r="CB181" s="68" vm="18144">
        <f>CUBEVALUE(ConnectionString,ReportMonth,Table1[[#This Row],[Site ID (from DATIM)]],"[Measures].[MMS_90_179_M_A]")</f>
        <v>3</v>
      </c>
      <c r="CC181" s="68" t="str" vm="17491">
        <f>CUBEVALUE(ConnectionString,ReportMonth,Table1[[#This Row],[Site ID (from DATIM)]],"[Measures].[MMS_180+_F_P]")</f>
        <v/>
      </c>
      <c r="CD181" s="68" t="str" vm="15455">
        <f>CUBEVALUE(ConnectionString,ReportMonth,Table1[[#This Row],[Site ID (from DATIM)]],"[Measures].[MMS_180+_M_P]")</f>
        <v/>
      </c>
      <c r="CE181" s="68" t="str" vm="16211">
        <f>CUBEVALUE(ConnectionString,ReportMonth,Table1[[#This Row],[Site ID (from DATIM)]],"[Measures].[MMS_180+_F_A]")</f>
        <v/>
      </c>
      <c r="CF181" s="68" t="str" vm="14879">
        <f>CUBEVALUE(ConnectionString,ReportMonth,Table1[[#This Row],[Site ID (from DATIM)]],"[Measures].[MMS_180+_M_A]")</f>
        <v/>
      </c>
      <c r="CG181" s="68" vm="7784">
        <f>CUBEVALUE(ConnectionString,ReportMonth,Table1[[#This Row],[Site ID (from DATIM)]],"[Measures].[MISSEDAPP]")</f>
        <v>3</v>
      </c>
      <c r="CH181" s="68" t="str" vm="11891">
        <f>CUBEVALUE(ConnectionString,ReportMonth,Table1[[#This Row],[Site ID (from DATIM)]],"[Measures].[MMS_180+_P]")</f>
        <v/>
      </c>
      <c r="CI181" s="68" t="str" vm="12740">
        <f>CUBEVALUE(ConnectionString,ReportMonth,Table1[[#This Row],[Site ID (from DATIM)]],"[Measures].[MMS_180+_A]")</f>
        <v/>
      </c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  <c r="CW181" s="68"/>
      <c r="CX181" s="68"/>
      <c r="CY181" s="68"/>
      <c r="CZ181" s="68"/>
      <c r="DA181" s="68"/>
      <c r="DB181" s="68"/>
      <c r="DC181" s="68"/>
    </row>
    <row r="182" spans="1:107" x14ac:dyDescent="0.25">
      <c r="A182" s="66">
        <v>3</v>
      </c>
      <c r="B182" s="67" t="str" vm="4">
        <f t="shared" si="3"/>
        <v>Mar-2021</v>
      </c>
      <c r="C182" s="67"/>
      <c r="D182" s="67" t="s">
        <v>232</v>
      </c>
      <c r="E182" s="67" t="s">
        <v>233</v>
      </c>
      <c r="F182" s="67" t="s">
        <v>1083</v>
      </c>
      <c r="G182" s="67"/>
      <c r="H182" s="67" t="s">
        <v>1084</v>
      </c>
      <c r="I182" s="67" t="s">
        <v>1182</v>
      </c>
      <c r="J182" s="67" t="s">
        <v>1183</v>
      </c>
      <c r="K182" s="67" t="s">
        <v>1184</v>
      </c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 t="str" vm="1176">
        <f>CUBEVALUE(ConnectionString,ReportMonth,Table1[[#This Row],[Site ID (from DATIM)]],"TX_NEW_2VIS")</f>
        <v/>
      </c>
      <c r="AE182" s="67" t="str" vm="5010">
        <f>CUBEVALUE(ConnectionString,ReportMonth,Table1[[#This Row],[Site ID (from DATIM)]],INDEX(SDI_Measures,1))</f>
        <v/>
      </c>
      <c r="AF182" s="67" t="str" vm="3871">
        <f>CUBEVALUE(ConnectionString,ReportMonth,Table1[[#This Row],[Site ID (from DATIM)]],INDEX(SDI_Measures,2))</f>
        <v/>
      </c>
      <c r="AG182" s="67" t="str" vm="566">
        <f>CUBEVALUE(ConnectionString,ReportMonth,Table1[[#This Row],[Site ID (from DATIM)]],INDEX(SDI_Measures,3))</f>
        <v/>
      </c>
      <c r="AH182" s="67" vm="1215">
        <f>CUBEVALUE(ConnectionString,ReportMonth,Table1[[#This Row],[Site ID (from DATIM)]],"TX_CURR_PRIOR_MONTH")</f>
        <v>125</v>
      </c>
      <c r="AI182" s="67" vm="2931">
        <f>CUBEVALUE(ConnectionString,ReportMonth,Table1[[#This Row],[Site ID (from DATIM)]],"TX_CURR")</f>
        <v>120</v>
      </c>
      <c r="AJ182" s="67" t="str" vm="2343">
        <f>CUBEVALUE(ConnectionString,ReportMonth,Table1[[#This Row],[Site ID (from DATIM)]],"[Measures].[TI]")</f>
        <v/>
      </c>
      <c r="AK182" s="67" t="str" vm="2246">
        <f>CUBEVALUE(ConnectionString,ReportMonth,Table1[[#This Row],[Site ID (from DATIM)]],"[Measures].[TO]")</f>
        <v/>
      </c>
      <c r="AL182" s="67" t="str" vm="2841">
        <f>CUBEVALUE(ConnectionString,ReportMonth,Table1[[#This Row],[Site ID (from DATIM)]],"[Measures].[DIED]")</f>
        <v/>
      </c>
      <c r="AM182" s="67" vm="3797">
        <f>CUBEVALUE(ConnectionString,ReportMonth,Table1[[#This Row],[Site ID (from DATIM)]],"[Measures].[MMS_01_31]")</f>
        <v>23</v>
      </c>
      <c r="AN182" s="67" vm="7121">
        <f>CUBEVALUE(ConnectionString,ReportMonth,Table1[[#This Row],[Site ID (from DATIM)]],"[Measures].[MMS_32_62]")</f>
        <v>1</v>
      </c>
      <c r="AO182" s="67" vm="9700">
        <f>CUBEVALUE(ConnectionString,ReportMonth,Table1[[#This Row],[Site ID (from DATIM)]],"[Measures].[MMS_63+]")</f>
        <v>96</v>
      </c>
      <c r="AP182" s="67" vm="7108">
        <f>CUBEVALUE(ConnectionString,ReportMonth,Table1[[#This Row],[Site ID (from DATIM)]],"[Measures].[TBPREV_D]")</f>
        <v>3</v>
      </c>
      <c r="AQ182" s="67" vm="5595">
        <f>CUBEVALUE(ConnectionString,ReportMonth,Table1[[#This Row],[Site ID (from DATIM)]],"[Measures].[TBPREV_N]")</f>
        <v>2</v>
      </c>
      <c r="AR182" s="67" t="str" vm="5542">
        <f>CUBEVALUE(ConnectionString,ReportMonth,Table1[[#This Row],[Site ID (from DATIM)]],"[Measures].[TBPREV_NEW]")</f>
        <v/>
      </c>
      <c r="AS182" s="67" vm="7397">
        <f>CUBEVALUE(ConnectionString,ReportMonth,Table1[[#This Row],[Site ID (from DATIM)]],"[Measures].[HVL_ELIG_P]")</f>
        <v>8</v>
      </c>
      <c r="AT182" s="67" vm="8624">
        <f>CUBEVALUE(ConnectionString,ReportMonth,Table1[[#This Row],[Site ID (from DATIM)]],"[Measures].[HVL_D_P]")</f>
        <v>4</v>
      </c>
      <c r="AU182" s="67" vm="8521">
        <f>CUBEVALUE(ConnectionString,ReportMonth,Table1[[#This Row],[Site ID (from DATIM)]],"[Measures].[HVL_N_P]")</f>
        <v>4</v>
      </c>
      <c r="AV182" s="68" vm="11107">
        <f>CUBEVALUE(ConnectionString,ReportMonth,Table1[[#This Row],[Site ID (from DATIM)]],"[Measures].[HVL_ELIG_A]")</f>
        <v>106</v>
      </c>
      <c r="AW182" s="68" vm="11805">
        <f>CUBEVALUE(ConnectionString,ReportMonth,Table1[[#This Row],[Site ID (from DATIM)]],"[Measures].[HVL_D_A]")</f>
        <v>51</v>
      </c>
      <c r="AX182" s="68" vm="9016">
        <f>CUBEVALUE(ConnectionString,ReportMonth,Table1[[#This Row],[Site ID (from DATIM)]],"[Measures].[HVL_N_A]")</f>
        <v>50</v>
      </c>
      <c r="AY182" s="67"/>
      <c r="AZ182" s="67"/>
      <c r="BA182" s="67"/>
      <c r="BB182" s="67"/>
      <c r="BC182" s="67"/>
      <c r="BD182" s="67"/>
      <c r="BE182" s="67"/>
      <c r="BF182" s="67"/>
      <c r="BG182" s="67" t="str" vm="12949">
        <f>CUBEVALUE(ConnectionString,ReportMonth,Table1[[#This Row],[Site ID (from DATIM)]],"[Measures].[TX_NEW_F_A]")</f>
        <v/>
      </c>
      <c r="BH182" s="67" t="str" vm="13431">
        <f>CUBEVALUE(ConnectionString,ReportMonth,Table1[[#This Row],[Site ID (from DATIM)]],"[Measures].[TX_NEW_M_A]")</f>
        <v/>
      </c>
      <c r="BI182" s="67" t="str" vm="13698">
        <f>CUBEVALUE(ConnectionString,ReportMonth,Table1[[#This Row],[Site ID (from DATIM)]],"[Measures].[TX_NEW_F_P]")</f>
        <v/>
      </c>
      <c r="BJ182" s="68" t="str" vm="13422">
        <f>CUBEVALUE(ConnectionString,ReportMonth,Table1[[#This Row],[Site ID (from DATIM)]],"[Measures].[TX_NEW_M_P]")</f>
        <v/>
      </c>
      <c r="BK182" s="68"/>
      <c r="BL182" s="68"/>
      <c r="BM182" s="68"/>
      <c r="BN182" s="68"/>
      <c r="BO182" s="68"/>
      <c r="BP182" s="68"/>
      <c r="BQ182" s="68" vm="12543">
        <f>CUBEVALUE(ConnectionString,ReportMonth,Table1[[#This Row],[Site ID (from DATIM)]],"[Measures].[TX_CURR_F_P]")</f>
        <v>3</v>
      </c>
      <c r="BR182" s="68" vm="9895">
        <f>CUBEVALUE(ConnectionString,ReportMonth,Table1[[#This Row],[Site ID (from DATIM)]],"[Measures].[TX_CURR_M_P]")</f>
        <v>5</v>
      </c>
      <c r="BS182" s="68" vm="13929">
        <f>CUBEVALUE(ConnectionString,ReportMonth,Table1[[#This Row],[Site ID (from DATIM)]],"[Measures].[TX_CURR_F_A]")</f>
        <v>78</v>
      </c>
      <c r="BT182" s="68" vm="12079">
        <f>CUBEVALUE(ConnectionString,ReportMonth,Table1[[#This Row],[Site ID (from DATIM)]],"[Measures].[TX_CURR_M_A]")</f>
        <v>34</v>
      </c>
      <c r="BU182" s="68" t="str" vm="20109">
        <f>CUBEVALUE(ConnectionString,ReportMonth,Table1[[#This Row],[Site ID (from DATIM)]],"[Measures].[MMS_01_89_F_P]")</f>
        <v/>
      </c>
      <c r="BV182" s="68" vm="19441">
        <f>CUBEVALUE(ConnectionString,ReportMonth,Table1[[#This Row],[Site ID (from DATIM)]],"[Measures].[MMS_01_89_M_P]")</f>
        <v>3</v>
      </c>
      <c r="BW182" s="68" vm="18960">
        <f>CUBEVALUE(ConnectionString,ReportMonth,Table1[[#This Row],[Site ID (from DATIM)]],"[Measures].[MMS_01_89_F_A]")</f>
        <v>12</v>
      </c>
      <c r="BX182" s="68" vm="18599">
        <f>CUBEVALUE(ConnectionString,ReportMonth,Table1[[#This Row],[Site ID (from DATIM)]],"[Measures].[MMS_01_89_M_A]")</f>
        <v>9</v>
      </c>
      <c r="BY182" s="68" vm="19137">
        <f>CUBEVALUE(ConnectionString,ReportMonth,Table1[[#This Row],[Site ID (from DATIM)]],"[Measures].[MMS_90_179_F_P]")</f>
        <v>3</v>
      </c>
      <c r="BZ182" s="68" vm="18521">
        <f>CUBEVALUE(ConnectionString,ReportMonth,Table1[[#This Row],[Site ID (from DATIM)]],"[Measures].[MMS_90_179_M_P]")</f>
        <v>2</v>
      </c>
      <c r="CA182" s="68" vm="16969">
        <f>CUBEVALUE(ConnectionString,ReportMonth,Table1[[#This Row],[Site ID (from DATIM)]],"[Measures].[MMS_90_179_F_A]")</f>
        <v>66</v>
      </c>
      <c r="CB182" s="68" vm="17683">
        <f>CUBEVALUE(ConnectionString,ReportMonth,Table1[[#This Row],[Site ID (from DATIM)]],"[Measures].[MMS_90_179_M_A]")</f>
        <v>25</v>
      </c>
      <c r="CC182" s="68" t="str" vm="16825">
        <f>CUBEVALUE(ConnectionString,ReportMonth,Table1[[#This Row],[Site ID (from DATIM)]],"[Measures].[MMS_180+_F_P]")</f>
        <v/>
      </c>
      <c r="CD182" s="68" t="str" vm="14929">
        <f>CUBEVALUE(ConnectionString,ReportMonth,Table1[[#This Row],[Site ID (from DATIM)]],"[Measures].[MMS_180+_M_P]")</f>
        <v/>
      </c>
      <c r="CE182" s="68" t="str" vm="15368">
        <f>CUBEVALUE(ConnectionString,ReportMonth,Table1[[#This Row],[Site ID (from DATIM)]],"[Measures].[MMS_180+_F_A]")</f>
        <v/>
      </c>
      <c r="CF182" s="68" t="str" vm="15805">
        <f>CUBEVALUE(ConnectionString,ReportMonth,Table1[[#This Row],[Site ID (from DATIM)]],"[Measures].[MMS_180+_M_A]")</f>
        <v/>
      </c>
      <c r="CG182" s="68" vm="7473">
        <f>CUBEVALUE(ConnectionString,ReportMonth,Table1[[#This Row],[Site ID (from DATIM)]],"[Measures].[MISSEDAPP]")</f>
        <v>55</v>
      </c>
      <c r="CH182" s="68" t="str" vm="11405">
        <f>CUBEVALUE(ConnectionString,ReportMonth,Table1[[#This Row],[Site ID (from DATIM)]],"[Measures].[MMS_180+_P]")</f>
        <v/>
      </c>
      <c r="CI182" s="68" t="str" vm="14291">
        <f>CUBEVALUE(ConnectionString,ReportMonth,Table1[[#This Row],[Site ID (from DATIM)]],"[Measures].[MMS_180+_A]")</f>
        <v/>
      </c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  <c r="CW182" s="68"/>
      <c r="CX182" s="68"/>
      <c r="CY182" s="68"/>
      <c r="CZ182" s="68"/>
      <c r="DA182" s="68"/>
      <c r="DB182" s="68"/>
      <c r="DC182" s="68"/>
    </row>
    <row r="183" spans="1:107" x14ac:dyDescent="0.25">
      <c r="A183" s="66">
        <v>4</v>
      </c>
      <c r="B183" s="67" t="str" vm="4">
        <f t="shared" si="3"/>
        <v>Mar-2021</v>
      </c>
      <c r="C183" s="67"/>
      <c r="D183" s="67" t="s">
        <v>232</v>
      </c>
      <c r="E183" s="67" t="s">
        <v>233</v>
      </c>
      <c r="F183" s="67" t="s">
        <v>1083</v>
      </c>
      <c r="G183" s="67"/>
      <c r="H183" s="67" t="s">
        <v>1084</v>
      </c>
      <c r="I183" s="67" t="s">
        <v>1167</v>
      </c>
      <c r="J183" s="67" t="s">
        <v>1185</v>
      </c>
      <c r="K183" s="67" t="s">
        <v>1186</v>
      </c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 t="str" vm="1626">
        <f>CUBEVALUE(ConnectionString,ReportMonth,Table1[[#This Row],[Site ID (from DATIM)]],"TX_NEW_2VIS")</f>
        <v/>
      </c>
      <c r="AE183" s="67" t="str" vm="4514">
        <f>CUBEVALUE(ConnectionString,ReportMonth,Table1[[#This Row],[Site ID (from DATIM)]],INDEX(SDI_Measures,1))</f>
        <v/>
      </c>
      <c r="AF183" s="67" t="str" vm="3859">
        <f>CUBEVALUE(ConnectionString,ReportMonth,Table1[[#This Row],[Site ID (from DATIM)]],INDEX(SDI_Measures,2))</f>
        <v/>
      </c>
      <c r="AG183" s="67" t="str" vm="2359">
        <f>CUBEVALUE(ConnectionString,ReportMonth,Table1[[#This Row],[Site ID (from DATIM)]],INDEX(SDI_Measures,3))</f>
        <v/>
      </c>
      <c r="AH183" s="67" vm="1664">
        <f>CUBEVALUE(ConnectionString,ReportMonth,Table1[[#This Row],[Site ID (from DATIM)]],"TX_CURR_PRIOR_MONTH")</f>
        <v>9</v>
      </c>
      <c r="AI183" s="67" vm="995">
        <f>CUBEVALUE(ConnectionString,ReportMonth,Table1[[#This Row],[Site ID (from DATIM)]],"TX_CURR")</f>
        <v>10</v>
      </c>
      <c r="AJ183" s="67" t="str" vm="3796">
        <f>CUBEVALUE(ConnectionString,ReportMonth,Table1[[#This Row],[Site ID (from DATIM)]],"[Measures].[TI]")</f>
        <v/>
      </c>
      <c r="AK183" s="67" vm="2624">
        <f>CUBEVALUE(ConnectionString,ReportMonth,Table1[[#This Row],[Site ID (from DATIM)]],"[Measures].[TO]")</f>
        <v>1</v>
      </c>
      <c r="AL183" s="67" t="str" vm="2616">
        <f>CUBEVALUE(ConnectionString,ReportMonth,Table1[[#This Row],[Site ID (from DATIM)]],"[Measures].[DIED]")</f>
        <v/>
      </c>
      <c r="AM183" s="67" vm="5863">
        <f>CUBEVALUE(ConnectionString,ReportMonth,Table1[[#This Row],[Site ID (from DATIM)]],"[Measures].[MMS_01_31]")</f>
        <v>8</v>
      </c>
      <c r="AN183" s="67" vm="7626">
        <f>CUBEVALUE(ConnectionString,ReportMonth,Table1[[#This Row],[Site ID (from DATIM)]],"[Measures].[MMS_32_62]")</f>
        <v>2</v>
      </c>
      <c r="AO183" s="67" t="str" vm="6755">
        <f>CUBEVALUE(ConnectionString,ReportMonth,Table1[[#This Row],[Site ID (from DATIM)]],"[Measures].[MMS_63+]")</f>
        <v/>
      </c>
      <c r="AP183" s="67" t="str" vm="7550">
        <f>CUBEVALUE(ConnectionString,ReportMonth,Table1[[#This Row],[Site ID (from DATIM)]],"[Measures].[TBPREV_D]")</f>
        <v/>
      </c>
      <c r="AQ183" s="67" t="str" vm="7059">
        <f>CUBEVALUE(ConnectionString,ReportMonth,Table1[[#This Row],[Site ID (from DATIM)]],"[Measures].[TBPREV_N]")</f>
        <v/>
      </c>
      <c r="AR183" s="67" t="str" vm="5515">
        <f>CUBEVALUE(ConnectionString,ReportMonth,Table1[[#This Row],[Site ID (from DATIM)]],"[Measures].[TBPREV_NEW]")</f>
        <v/>
      </c>
      <c r="AS183" s="67" t="str" vm="8299">
        <f>CUBEVALUE(ConnectionString,ReportMonth,Table1[[#This Row],[Site ID (from DATIM)]],"[Measures].[HVL_ELIG_P]")</f>
        <v/>
      </c>
      <c r="AT183" s="67" t="str" vm="10822">
        <f>CUBEVALUE(ConnectionString,ReportMonth,Table1[[#This Row],[Site ID (from DATIM)]],"[Measures].[HVL_D_P]")</f>
        <v/>
      </c>
      <c r="AU183" s="67" t="str" vm="11465">
        <f>CUBEVALUE(ConnectionString,ReportMonth,Table1[[#This Row],[Site ID (from DATIM)]],"[Measures].[HVL_N_P]")</f>
        <v/>
      </c>
      <c r="AV183" s="68" vm="9378">
        <f>CUBEVALUE(ConnectionString,ReportMonth,Table1[[#This Row],[Site ID (from DATIM)]],"[Measures].[HVL_ELIG_A]")</f>
        <v>7</v>
      </c>
      <c r="AW183" s="68" t="str" vm="10413">
        <f>CUBEVALUE(ConnectionString,ReportMonth,Table1[[#This Row],[Site ID (from DATIM)]],"[Measures].[HVL_D_A]")</f>
        <v/>
      </c>
      <c r="AX183" s="68" t="str" vm="10976">
        <f>CUBEVALUE(ConnectionString,ReportMonth,Table1[[#This Row],[Site ID (from DATIM)]],"[Measures].[HVL_N_A]")</f>
        <v/>
      </c>
      <c r="AY183" s="67"/>
      <c r="AZ183" s="67"/>
      <c r="BA183" s="67"/>
      <c r="BB183" s="67"/>
      <c r="BC183" s="67"/>
      <c r="BD183" s="67"/>
      <c r="BE183" s="67"/>
      <c r="BF183" s="67"/>
      <c r="BG183" s="67" t="str" vm="15639">
        <f>CUBEVALUE(ConnectionString,ReportMonth,Table1[[#This Row],[Site ID (from DATIM)]],"[Measures].[TX_NEW_F_A]")</f>
        <v/>
      </c>
      <c r="BH183" s="67" t="str" vm="13451">
        <f>CUBEVALUE(ConnectionString,ReportMonth,Table1[[#This Row],[Site ID (from DATIM)]],"[Measures].[TX_NEW_M_A]")</f>
        <v/>
      </c>
      <c r="BI183" s="67" t="str" vm="15680">
        <f>CUBEVALUE(ConnectionString,ReportMonth,Table1[[#This Row],[Site ID (from DATIM)]],"[Measures].[TX_NEW_F_P]")</f>
        <v/>
      </c>
      <c r="BJ183" s="68" t="str" vm="16130">
        <f>CUBEVALUE(ConnectionString,ReportMonth,Table1[[#This Row],[Site ID (from DATIM)]],"[Measures].[TX_NEW_M_P]")</f>
        <v/>
      </c>
      <c r="BK183" s="68"/>
      <c r="BL183" s="68"/>
      <c r="BM183" s="68"/>
      <c r="BN183" s="68"/>
      <c r="BO183" s="68"/>
      <c r="BP183" s="68"/>
      <c r="BQ183" s="68" t="str" vm="8778">
        <f>CUBEVALUE(ConnectionString,ReportMonth,Table1[[#This Row],[Site ID (from DATIM)]],"[Measures].[TX_CURR_F_P]")</f>
        <v/>
      </c>
      <c r="BR183" s="68" t="str" vm="10460">
        <f>CUBEVALUE(ConnectionString,ReportMonth,Table1[[#This Row],[Site ID (from DATIM)]],"[Measures].[TX_CURR_M_P]")</f>
        <v/>
      </c>
      <c r="BS183" s="68" vm="10693">
        <f>CUBEVALUE(ConnectionString,ReportMonth,Table1[[#This Row],[Site ID (from DATIM)]],"[Measures].[TX_CURR_F_A]")</f>
        <v>10</v>
      </c>
      <c r="BT183" s="68" t="str" vm="13658">
        <f>CUBEVALUE(ConnectionString,ReportMonth,Table1[[#This Row],[Site ID (from DATIM)]],"[Measures].[TX_CURR_M_A]")</f>
        <v/>
      </c>
      <c r="BU183" s="68" t="str" vm="18551">
        <f>CUBEVALUE(ConnectionString,ReportMonth,Table1[[#This Row],[Site ID (from DATIM)]],"[Measures].[MMS_01_89_F_P]")</f>
        <v/>
      </c>
      <c r="BV183" s="68" t="str" vm="18769">
        <f>CUBEVALUE(ConnectionString,ReportMonth,Table1[[#This Row],[Site ID (from DATIM)]],"[Measures].[MMS_01_89_M_P]")</f>
        <v/>
      </c>
      <c r="BW183" s="68" vm="18250">
        <f>CUBEVALUE(ConnectionString,ReportMonth,Table1[[#This Row],[Site ID (from DATIM)]],"[Measures].[MMS_01_89_F_A]")</f>
        <v>10</v>
      </c>
      <c r="BX183" s="68" t="str" vm="19111">
        <f>CUBEVALUE(ConnectionString,ReportMonth,Table1[[#This Row],[Site ID (from DATIM)]],"[Measures].[MMS_01_89_M_A]")</f>
        <v/>
      </c>
      <c r="BY183" s="68" t="str" vm="19904">
        <f>CUBEVALUE(ConnectionString,ReportMonth,Table1[[#This Row],[Site ID (from DATIM)]],"[Measures].[MMS_90_179_F_P]")</f>
        <v/>
      </c>
      <c r="BZ183" s="68" t="str" vm="19117">
        <f>CUBEVALUE(ConnectionString,ReportMonth,Table1[[#This Row],[Site ID (from DATIM)]],"[Measures].[MMS_90_179_M_P]")</f>
        <v/>
      </c>
      <c r="CA183" s="68" t="str" vm="15094">
        <f>CUBEVALUE(ConnectionString,ReportMonth,Table1[[#This Row],[Site ID (from DATIM)]],"[Measures].[MMS_90_179_F_A]")</f>
        <v/>
      </c>
      <c r="CB183" s="68" t="str" vm="16839">
        <f>CUBEVALUE(ConnectionString,ReportMonth,Table1[[#This Row],[Site ID (from DATIM)]],"[Measures].[MMS_90_179_M_A]")</f>
        <v/>
      </c>
      <c r="CC183" s="68" t="str" vm="17654">
        <f>CUBEVALUE(ConnectionString,ReportMonth,Table1[[#This Row],[Site ID (from DATIM)]],"[Measures].[MMS_180+_F_P]")</f>
        <v/>
      </c>
      <c r="CD183" s="68" t="str" vm="15797">
        <f>CUBEVALUE(ConnectionString,ReportMonth,Table1[[#This Row],[Site ID (from DATIM)]],"[Measures].[MMS_180+_M_P]")</f>
        <v/>
      </c>
      <c r="CE183" s="68" t="str" vm="15741">
        <f>CUBEVALUE(ConnectionString,ReportMonth,Table1[[#This Row],[Site ID (from DATIM)]],"[Measures].[MMS_180+_F_A]")</f>
        <v/>
      </c>
      <c r="CF183" s="68" t="str" vm="17476">
        <f>CUBEVALUE(ConnectionString,ReportMonth,Table1[[#This Row],[Site ID (from DATIM)]],"[Measures].[MMS_180+_M_A]")</f>
        <v/>
      </c>
      <c r="CG183" s="68" vm="5912">
        <f>CUBEVALUE(ConnectionString,ReportMonth,Table1[[#This Row],[Site ID (from DATIM)]],"[Measures].[MISSEDAPP]")</f>
        <v>8</v>
      </c>
      <c r="CH183" s="68" t="str" vm="10349">
        <f>CUBEVALUE(ConnectionString,ReportMonth,Table1[[#This Row],[Site ID (from DATIM)]],"[Measures].[MMS_180+_P]")</f>
        <v/>
      </c>
      <c r="CI183" s="68" t="str" vm="12929">
        <f>CUBEVALUE(ConnectionString,ReportMonth,Table1[[#This Row],[Site ID (from DATIM)]],"[Measures].[MMS_180+_A]")</f>
        <v/>
      </c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  <c r="CW183" s="68"/>
      <c r="CX183" s="68"/>
      <c r="CY183" s="68"/>
      <c r="CZ183" s="68"/>
      <c r="DA183" s="68"/>
      <c r="DB183" s="68"/>
      <c r="DC183" s="68"/>
    </row>
    <row r="184" spans="1:107" x14ac:dyDescent="0.25">
      <c r="A184" s="66">
        <v>4</v>
      </c>
      <c r="B184" s="67" t="str" vm="4">
        <f t="shared" si="3"/>
        <v>Mar-2021</v>
      </c>
      <c r="C184" s="67"/>
      <c r="D184" s="67" t="s">
        <v>232</v>
      </c>
      <c r="E184" s="67" t="s">
        <v>233</v>
      </c>
      <c r="F184" s="67" t="s">
        <v>234</v>
      </c>
      <c r="G184" s="67"/>
      <c r="H184" s="67" t="s">
        <v>270</v>
      </c>
      <c r="I184" s="67" t="s">
        <v>302</v>
      </c>
      <c r="J184" s="67" t="s">
        <v>303</v>
      </c>
      <c r="K184" s="67" t="s">
        <v>304</v>
      </c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 t="str" vm="1541">
        <f>CUBEVALUE(ConnectionString,ReportMonth,Table1[[#This Row],[Site ID (from DATIM)]],"TX_NEW_2VIS")</f>
        <v/>
      </c>
      <c r="AE184" s="67" vm="2403">
        <f>CUBEVALUE(ConnectionString,ReportMonth,Table1[[#This Row],[Site ID (from DATIM)]],INDEX(SDI_Measures,1))</f>
        <v>2</v>
      </c>
      <c r="AF184" s="67" t="str" vm="4508">
        <f>CUBEVALUE(ConnectionString,ReportMonth,Table1[[#This Row],[Site ID (from DATIM)]],INDEX(SDI_Measures,2))</f>
        <v/>
      </c>
      <c r="AG184" s="67" t="str" vm="713">
        <f>CUBEVALUE(ConnectionString,ReportMonth,Table1[[#This Row],[Site ID (from DATIM)]],INDEX(SDI_Measures,3))</f>
        <v/>
      </c>
      <c r="AH184" s="67" vm="953">
        <f>CUBEVALUE(ConnectionString,ReportMonth,Table1[[#This Row],[Site ID (from DATIM)]],"TX_CURR_PRIOR_MONTH")</f>
        <v>59</v>
      </c>
      <c r="AI184" s="67" vm="1968">
        <f>CUBEVALUE(ConnectionString,ReportMonth,Table1[[#This Row],[Site ID (from DATIM)]],"TX_CURR")</f>
        <v>61</v>
      </c>
      <c r="AJ184" s="67" t="str" vm="2786">
        <f>CUBEVALUE(ConnectionString,ReportMonth,Table1[[#This Row],[Site ID (from DATIM)]],"[Measures].[TI]")</f>
        <v/>
      </c>
      <c r="AK184" s="67" t="str" vm="2297">
        <f>CUBEVALUE(ConnectionString,ReportMonth,Table1[[#This Row],[Site ID (from DATIM)]],"[Measures].[TO]")</f>
        <v/>
      </c>
      <c r="AL184" s="67" t="str" vm="4749">
        <f>CUBEVALUE(ConnectionString,ReportMonth,Table1[[#This Row],[Site ID (from DATIM)]],"[Measures].[DIED]")</f>
        <v/>
      </c>
      <c r="AM184" s="67" vm="4083">
        <f>CUBEVALUE(ConnectionString,ReportMonth,Table1[[#This Row],[Site ID (from DATIM)]],"[Measures].[MMS_01_31]")</f>
        <v>16</v>
      </c>
      <c r="AN184" s="67" t="str" vm="5929">
        <f>CUBEVALUE(ConnectionString,ReportMonth,Table1[[#This Row],[Site ID (from DATIM)]],"[Measures].[MMS_32_62]")</f>
        <v/>
      </c>
      <c r="AO184" s="67" vm="9133">
        <f>CUBEVALUE(ConnectionString,ReportMonth,Table1[[#This Row],[Site ID (from DATIM)]],"[Measures].[MMS_63+]")</f>
        <v>45</v>
      </c>
      <c r="AP184" s="67" t="str" vm="7004">
        <f>CUBEVALUE(ConnectionString,ReportMonth,Table1[[#This Row],[Site ID (from DATIM)]],"[Measures].[TBPREV_D]")</f>
        <v/>
      </c>
      <c r="AQ184" s="67" t="str" vm="5097">
        <f>CUBEVALUE(ConnectionString,ReportMonth,Table1[[#This Row],[Site ID (from DATIM)]],"[Measures].[TBPREV_N]")</f>
        <v/>
      </c>
      <c r="AR184" s="67" vm="6255">
        <f>CUBEVALUE(ConnectionString,ReportMonth,Table1[[#This Row],[Site ID (from DATIM)]],"[Measures].[TBPREV_NEW]")</f>
        <v>1</v>
      </c>
      <c r="AS184" s="67" vm="9932">
        <f>CUBEVALUE(ConnectionString,ReportMonth,Table1[[#This Row],[Site ID (from DATIM)]],"[Measures].[HVL_ELIG_P]")</f>
        <v>1</v>
      </c>
      <c r="AT184" s="67" vm="9469">
        <f>CUBEVALUE(ConnectionString,ReportMonth,Table1[[#This Row],[Site ID (from DATIM)]],"[Measures].[HVL_D_P]")</f>
        <v>1</v>
      </c>
      <c r="AU184" s="67" vm="8734">
        <f>CUBEVALUE(ConnectionString,ReportMonth,Table1[[#This Row],[Site ID (from DATIM)]],"[Measures].[HVL_N_P]")</f>
        <v>1</v>
      </c>
      <c r="AV184" s="68" vm="8399">
        <f>CUBEVALUE(ConnectionString,ReportMonth,Table1[[#This Row],[Site ID (from DATIM)]],"[Measures].[HVL_ELIG_A]")</f>
        <v>54</v>
      </c>
      <c r="AW184" s="68" vm="9777">
        <f>CUBEVALUE(ConnectionString,ReportMonth,Table1[[#This Row],[Site ID (from DATIM)]],"[Measures].[HVL_D_A]")</f>
        <v>35</v>
      </c>
      <c r="AX184" s="68" vm="11783">
        <f>CUBEVALUE(ConnectionString,ReportMonth,Table1[[#This Row],[Site ID (from DATIM)]],"[Measures].[HVL_N_A]")</f>
        <v>31</v>
      </c>
      <c r="AY184" s="67"/>
      <c r="AZ184" s="67"/>
      <c r="BA184" s="67"/>
      <c r="BB184" s="67"/>
      <c r="BC184" s="67"/>
      <c r="BD184" s="67"/>
      <c r="BE184" s="67"/>
      <c r="BF184" s="67"/>
      <c r="BG184" s="67" vm="12754">
        <f>CUBEVALUE(ConnectionString,ReportMonth,Table1[[#This Row],[Site ID (from DATIM)]],"[Measures].[TX_NEW_F_A]")</f>
        <v>2</v>
      </c>
      <c r="BH184" s="67" t="str" vm="10382">
        <f>CUBEVALUE(ConnectionString,ReportMonth,Table1[[#This Row],[Site ID (from DATIM)]],"[Measures].[TX_NEW_M_A]")</f>
        <v/>
      </c>
      <c r="BI184" s="67" t="str" vm="15643">
        <f>CUBEVALUE(ConnectionString,ReportMonth,Table1[[#This Row],[Site ID (from DATIM)]],"[Measures].[TX_NEW_F_P]")</f>
        <v/>
      </c>
      <c r="BJ184" s="68" t="str" vm="15313">
        <f>CUBEVALUE(ConnectionString,ReportMonth,Table1[[#This Row],[Site ID (from DATIM)]],"[Measures].[TX_NEW_M_P]")</f>
        <v/>
      </c>
      <c r="BK184" s="68"/>
      <c r="BL184" s="68"/>
      <c r="BM184" s="68"/>
      <c r="BN184" s="68"/>
      <c r="BO184" s="68"/>
      <c r="BP184" s="68"/>
      <c r="BQ184" s="68" t="str" vm="8721">
        <f>CUBEVALUE(ConnectionString,ReportMonth,Table1[[#This Row],[Site ID (from DATIM)]],"[Measures].[TX_CURR_F_P]")</f>
        <v/>
      </c>
      <c r="BR184" s="68" vm="8703">
        <f>CUBEVALUE(ConnectionString,ReportMonth,Table1[[#This Row],[Site ID (from DATIM)]],"[Measures].[TX_CURR_M_P]")</f>
        <v>1</v>
      </c>
      <c r="BS184" s="68" vm="11878">
        <f>CUBEVALUE(ConnectionString,ReportMonth,Table1[[#This Row],[Site ID (from DATIM)]],"[Measures].[TX_CURR_F_A]")</f>
        <v>49</v>
      </c>
      <c r="BT184" s="68" vm="10653">
        <f>CUBEVALUE(ConnectionString,ReportMonth,Table1[[#This Row],[Site ID (from DATIM)]],"[Measures].[TX_CURR_M_A]")</f>
        <v>11</v>
      </c>
      <c r="BU184" s="68" t="str" vm="18398">
        <f>CUBEVALUE(ConnectionString,ReportMonth,Table1[[#This Row],[Site ID (from DATIM)]],"[Measures].[MMS_01_89_F_P]")</f>
        <v/>
      </c>
      <c r="BV184" s="68" vm="20021">
        <f>CUBEVALUE(ConnectionString,ReportMonth,Table1[[#This Row],[Site ID (from DATIM)]],"[Measures].[MMS_01_89_M_P]")</f>
        <v>1</v>
      </c>
      <c r="BW184" s="68" vm="19201">
        <f>CUBEVALUE(ConnectionString,ReportMonth,Table1[[#This Row],[Site ID (from DATIM)]],"[Measures].[MMS_01_89_F_A]")</f>
        <v>11</v>
      </c>
      <c r="BX184" s="68" vm="17965">
        <f>CUBEVALUE(ConnectionString,ReportMonth,Table1[[#This Row],[Site ID (from DATIM)]],"[Measures].[MMS_01_89_M_A]")</f>
        <v>4</v>
      </c>
      <c r="BY184" s="68" t="str" vm="19072">
        <f>CUBEVALUE(ConnectionString,ReportMonth,Table1[[#This Row],[Site ID (from DATIM)]],"[Measures].[MMS_90_179_F_P]")</f>
        <v/>
      </c>
      <c r="BZ184" s="68" t="str" vm="18166">
        <f>CUBEVALUE(ConnectionString,ReportMonth,Table1[[#This Row],[Site ID (from DATIM)]],"[Measures].[MMS_90_179_M_P]")</f>
        <v/>
      </c>
      <c r="CA184" s="68" vm="15578">
        <f>CUBEVALUE(ConnectionString,ReportMonth,Table1[[#This Row],[Site ID (from DATIM)]],"[Measures].[MMS_90_179_F_A]")</f>
        <v>38</v>
      </c>
      <c r="CB184" s="68" vm="17666">
        <f>CUBEVALUE(ConnectionString,ReportMonth,Table1[[#This Row],[Site ID (from DATIM)]],"[Measures].[MMS_90_179_M_A]")</f>
        <v>7</v>
      </c>
      <c r="CC184" s="68" t="str" vm="14602">
        <f>CUBEVALUE(ConnectionString,ReportMonth,Table1[[#This Row],[Site ID (from DATIM)]],"[Measures].[MMS_180+_F_P]")</f>
        <v/>
      </c>
      <c r="CD184" s="68" t="str" vm="14945">
        <f>CUBEVALUE(ConnectionString,ReportMonth,Table1[[#This Row],[Site ID (from DATIM)]],"[Measures].[MMS_180+_M_P]")</f>
        <v/>
      </c>
      <c r="CE184" s="68" t="str" vm="16685">
        <f>CUBEVALUE(ConnectionString,ReportMonth,Table1[[#This Row],[Site ID (from DATIM)]],"[Measures].[MMS_180+_F_A]")</f>
        <v/>
      </c>
      <c r="CF184" s="68" t="str" vm="16637">
        <f>CUBEVALUE(ConnectionString,ReportMonth,Table1[[#This Row],[Site ID (from DATIM)]],"[Measures].[MMS_180+_M_A]")</f>
        <v/>
      </c>
      <c r="CG184" s="68" vm="6328">
        <f>CUBEVALUE(ConnectionString,ReportMonth,Table1[[#This Row],[Site ID (from DATIM)]],"[Measures].[MISSEDAPP]")</f>
        <v>12</v>
      </c>
      <c r="CH184" s="68" t="str" vm="11990">
        <f>CUBEVALUE(ConnectionString,ReportMonth,Table1[[#This Row],[Site ID (from DATIM)]],"[Measures].[MMS_180+_P]")</f>
        <v/>
      </c>
      <c r="CI184" s="68" t="str" vm="11703">
        <f>CUBEVALUE(ConnectionString,ReportMonth,Table1[[#This Row],[Site ID (from DATIM)]],"[Measures].[MMS_180+_A]")</f>
        <v/>
      </c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  <c r="CW184" s="68"/>
      <c r="CX184" s="68"/>
      <c r="CY184" s="68"/>
      <c r="CZ184" s="68"/>
      <c r="DA184" s="68"/>
      <c r="DB184" s="68"/>
      <c r="DC184" s="68"/>
    </row>
    <row r="185" spans="1:107" x14ac:dyDescent="0.25">
      <c r="A185" s="66">
        <v>4</v>
      </c>
      <c r="B185" s="67" t="str" vm="4">
        <f t="shared" si="3"/>
        <v>Mar-2021</v>
      </c>
      <c r="C185" s="67"/>
      <c r="D185" s="67" t="s">
        <v>232</v>
      </c>
      <c r="E185" s="67" t="s">
        <v>233</v>
      </c>
      <c r="F185" s="67" t="s">
        <v>1083</v>
      </c>
      <c r="G185" s="67"/>
      <c r="H185" s="67" t="s">
        <v>1099</v>
      </c>
      <c r="I185" s="67" t="s">
        <v>1187</v>
      </c>
      <c r="J185" s="67" t="s">
        <v>1188</v>
      </c>
      <c r="K185" s="67" t="s">
        <v>1189</v>
      </c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 t="str" vm="1063">
        <f>CUBEVALUE(ConnectionString,ReportMonth,Table1[[#This Row],[Site ID (from DATIM)]],"TX_NEW_2VIS")</f>
        <v/>
      </c>
      <c r="AE185" s="67" t="str" vm="321">
        <f>CUBEVALUE(ConnectionString,ReportMonth,Table1[[#This Row],[Site ID (from DATIM)]],INDEX(SDI_Measures,1))</f>
        <v/>
      </c>
      <c r="AF185" s="67" t="str" vm="1611">
        <f>CUBEVALUE(ConnectionString,ReportMonth,Table1[[#This Row],[Site ID (from DATIM)]],INDEX(SDI_Measures,2))</f>
        <v/>
      </c>
      <c r="AG185" s="67" t="str" vm="2475">
        <f>CUBEVALUE(ConnectionString,ReportMonth,Table1[[#This Row],[Site ID (from DATIM)]],INDEX(SDI_Measures,3))</f>
        <v/>
      </c>
      <c r="AH185" s="67" vm="5327">
        <f>CUBEVALUE(ConnectionString,ReportMonth,Table1[[#This Row],[Site ID (from DATIM)]],"TX_CURR_PRIOR_MONTH")</f>
        <v>34</v>
      </c>
      <c r="AI185" s="67" vm="509">
        <f>CUBEVALUE(ConnectionString,ReportMonth,Table1[[#This Row],[Site ID (from DATIM)]],"TX_CURR")</f>
        <v>33</v>
      </c>
      <c r="AJ185" s="67" t="str" vm="4489">
        <f>CUBEVALUE(ConnectionString,ReportMonth,Table1[[#This Row],[Site ID (from DATIM)]],"[Measures].[TI]")</f>
        <v/>
      </c>
      <c r="AK185" s="67" t="str" vm="2362">
        <f>CUBEVALUE(ConnectionString,ReportMonth,Table1[[#This Row],[Site ID (from DATIM)]],"[Measures].[TO]")</f>
        <v/>
      </c>
      <c r="AL185" s="67" t="str" vm="2059">
        <f>CUBEVALUE(ConnectionString,ReportMonth,Table1[[#This Row],[Site ID (from DATIM)]],"[Measures].[DIED]")</f>
        <v/>
      </c>
      <c r="AM185" s="67" vm="3362">
        <f>CUBEVALUE(ConnectionString,ReportMonth,Table1[[#This Row],[Site ID (from DATIM)]],"[Measures].[MMS_01_31]")</f>
        <v>15</v>
      </c>
      <c r="AN185" s="67" vm="7810">
        <f>CUBEVALUE(ConnectionString,ReportMonth,Table1[[#This Row],[Site ID (from DATIM)]],"[Measures].[MMS_32_62]")</f>
        <v>1</v>
      </c>
      <c r="AO185" s="67" vm="7209">
        <f>CUBEVALUE(ConnectionString,ReportMonth,Table1[[#This Row],[Site ID (from DATIM)]],"[Measures].[MMS_63+]")</f>
        <v>17</v>
      </c>
      <c r="AP185" s="67" t="str" vm="5356">
        <f>CUBEVALUE(ConnectionString,ReportMonth,Table1[[#This Row],[Site ID (from DATIM)]],"[Measures].[TBPREV_D]")</f>
        <v/>
      </c>
      <c r="AQ185" s="67" t="str" vm="9743">
        <f>CUBEVALUE(ConnectionString,ReportMonth,Table1[[#This Row],[Site ID (from DATIM)]],"[Measures].[TBPREV_N]")</f>
        <v/>
      </c>
      <c r="AR185" s="67" t="str" vm="6963">
        <f>CUBEVALUE(ConnectionString,ReportMonth,Table1[[#This Row],[Site ID (from DATIM)]],"[Measures].[TBPREV_NEW]")</f>
        <v/>
      </c>
      <c r="AS185" s="67" vm="5754">
        <f>CUBEVALUE(ConnectionString,ReportMonth,Table1[[#This Row],[Site ID (from DATIM)]],"[Measures].[HVL_ELIG_P]")</f>
        <v>1</v>
      </c>
      <c r="AT185" s="67" t="str" vm="5324">
        <f>CUBEVALUE(ConnectionString,ReportMonth,Table1[[#This Row],[Site ID (from DATIM)]],"[Measures].[HVL_D_P]")</f>
        <v/>
      </c>
      <c r="AU185" s="67" t="str" vm="7474">
        <f>CUBEVALUE(ConnectionString,ReportMonth,Table1[[#This Row],[Site ID (from DATIM)]],"[Measures].[HVL_N_P]")</f>
        <v/>
      </c>
      <c r="AV185" s="68" vm="13936">
        <f>CUBEVALUE(ConnectionString,ReportMonth,Table1[[#This Row],[Site ID (from DATIM)]],"[Measures].[HVL_ELIG_A]")</f>
        <v>28</v>
      </c>
      <c r="AW185" s="68" t="str" vm="10041">
        <f>CUBEVALUE(ConnectionString,ReportMonth,Table1[[#This Row],[Site ID (from DATIM)]],"[Measures].[HVL_D_A]")</f>
        <v/>
      </c>
      <c r="AX185" s="68" t="str" vm="12186">
        <f>CUBEVALUE(ConnectionString,ReportMonth,Table1[[#This Row],[Site ID (from DATIM)]],"[Measures].[HVL_N_A]")</f>
        <v/>
      </c>
      <c r="AY185" s="67"/>
      <c r="AZ185" s="67"/>
      <c r="BA185" s="67"/>
      <c r="BB185" s="67"/>
      <c r="BC185" s="67"/>
      <c r="BD185" s="67"/>
      <c r="BE185" s="67"/>
      <c r="BF185" s="67"/>
      <c r="BG185" s="67" t="str" vm="10621">
        <f>CUBEVALUE(ConnectionString,ReportMonth,Table1[[#This Row],[Site ID (from DATIM)]],"[Measures].[TX_NEW_F_A]")</f>
        <v/>
      </c>
      <c r="BH185" s="67" t="str" vm="10188">
        <f>CUBEVALUE(ConnectionString,ReportMonth,Table1[[#This Row],[Site ID (from DATIM)]],"[Measures].[TX_NEW_M_A]")</f>
        <v/>
      </c>
      <c r="BI185" s="67" t="str" vm="17387">
        <f>CUBEVALUE(ConnectionString,ReportMonth,Table1[[#This Row],[Site ID (from DATIM)]],"[Measures].[TX_NEW_F_P]")</f>
        <v/>
      </c>
      <c r="BJ185" s="68" t="str" vm="17379">
        <f>CUBEVALUE(ConnectionString,ReportMonth,Table1[[#This Row],[Site ID (from DATIM)]],"[Measures].[TX_NEW_M_P]")</f>
        <v/>
      </c>
      <c r="BK185" s="68"/>
      <c r="BL185" s="68"/>
      <c r="BM185" s="68"/>
      <c r="BN185" s="68"/>
      <c r="BO185" s="68"/>
      <c r="BP185" s="68"/>
      <c r="BQ185" s="68" vm="7485">
        <f>CUBEVALUE(ConnectionString,ReportMonth,Table1[[#This Row],[Site ID (from DATIM)]],"[Measures].[TX_CURR_F_P]")</f>
        <v>1</v>
      </c>
      <c r="BR185" s="68" t="str" vm="14015">
        <f>CUBEVALUE(ConnectionString,ReportMonth,Table1[[#This Row],[Site ID (from DATIM)]],"[Measures].[TX_CURR_M_P]")</f>
        <v/>
      </c>
      <c r="BS185" s="68" vm="10081">
        <f>CUBEVALUE(ConnectionString,ReportMonth,Table1[[#This Row],[Site ID (from DATIM)]],"[Measures].[TX_CURR_F_A]")</f>
        <v>25</v>
      </c>
      <c r="BT185" s="68" vm="12972">
        <f>CUBEVALUE(ConnectionString,ReportMonth,Table1[[#This Row],[Site ID (from DATIM)]],"[Measures].[TX_CURR_M_A]")</f>
        <v>7</v>
      </c>
      <c r="BU185" s="68" vm="18035">
        <f>CUBEVALUE(ConnectionString,ReportMonth,Table1[[#This Row],[Site ID (from DATIM)]],"[Measures].[MMS_01_89_F_P]")</f>
        <v>1</v>
      </c>
      <c r="BV185" s="68" t="str" vm="18404">
        <f>CUBEVALUE(ConnectionString,ReportMonth,Table1[[#This Row],[Site ID (from DATIM)]],"[Measures].[MMS_01_89_M_P]")</f>
        <v/>
      </c>
      <c r="BW185" s="68" vm="18497">
        <f>CUBEVALUE(ConnectionString,ReportMonth,Table1[[#This Row],[Site ID (from DATIM)]],"[Measures].[MMS_01_89_F_A]")</f>
        <v>11</v>
      </c>
      <c r="BX185" s="68" vm="18797">
        <f>CUBEVALUE(ConnectionString,ReportMonth,Table1[[#This Row],[Site ID (from DATIM)]],"[Measures].[MMS_01_89_M_A]")</f>
        <v>4</v>
      </c>
      <c r="BY185" s="68" t="str" vm="19576">
        <f>CUBEVALUE(ConnectionString,ReportMonth,Table1[[#This Row],[Site ID (from DATIM)]],"[Measures].[MMS_90_179_F_P]")</f>
        <v/>
      </c>
      <c r="BZ185" s="68" t="str" vm="19845">
        <f>CUBEVALUE(ConnectionString,ReportMonth,Table1[[#This Row],[Site ID (from DATIM)]],"[Measures].[MMS_90_179_M_P]")</f>
        <v/>
      </c>
      <c r="CA185" s="68" vm="14785">
        <f>CUBEVALUE(ConnectionString,ReportMonth,Table1[[#This Row],[Site ID (from DATIM)]],"[Measures].[MMS_90_179_F_A]")</f>
        <v>14</v>
      </c>
      <c r="CB185" s="68" vm="17706">
        <f>CUBEVALUE(ConnectionString,ReportMonth,Table1[[#This Row],[Site ID (from DATIM)]],"[Measures].[MMS_90_179_M_A]")</f>
        <v>3</v>
      </c>
      <c r="CC185" s="68" t="str" vm="17606">
        <f>CUBEVALUE(ConnectionString,ReportMonth,Table1[[#This Row],[Site ID (from DATIM)]],"[Measures].[MMS_180+_F_P]")</f>
        <v/>
      </c>
      <c r="CD185" s="68" t="str" vm="15499">
        <f>CUBEVALUE(ConnectionString,ReportMonth,Table1[[#This Row],[Site ID (from DATIM)]],"[Measures].[MMS_180+_M_P]")</f>
        <v/>
      </c>
      <c r="CE185" s="68" t="str" vm="15436">
        <f>CUBEVALUE(ConnectionString,ReportMonth,Table1[[#This Row],[Site ID (from DATIM)]],"[Measures].[MMS_180+_F_A]")</f>
        <v/>
      </c>
      <c r="CF185" s="68" t="str" vm="20174">
        <f>CUBEVALUE(ConnectionString,ReportMonth,Table1[[#This Row],[Site ID (from DATIM)]],"[Measures].[MMS_180+_M_A]")</f>
        <v/>
      </c>
      <c r="CG185" s="68" vm="6452">
        <f>CUBEVALUE(ConnectionString,ReportMonth,Table1[[#This Row],[Site ID (from DATIM)]],"[Measures].[MISSEDAPP]")</f>
        <v>27</v>
      </c>
      <c r="CH185" s="68" t="str" vm="10100">
        <f>CUBEVALUE(ConnectionString,ReportMonth,Table1[[#This Row],[Site ID (from DATIM)]],"[Measures].[MMS_180+_P]")</f>
        <v/>
      </c>
      <c r="CI185" s="68" t="str" vm="13616">
        <f>CUBEVALUE(ConnectionString,ReportMonth,Table1[[#This Row],[Site ID (from DATIM)]],"[Measures].[MMS_180+_A]")</f>
        <v/>
      </c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  <c r="CW185" s="68"/>
      <c r="CX185" s="68"/>
      <c r="CY185" s="68"/>
      <c r="CZ185" s="68"/>
      <c r="DA185" s="68"/>
      <c r="DB185" s="68"/>
      <c r="DC185" s="68"/>
    </row>
    <row r="186" spans="1:107" x14ac:dyDescent="0.25">
      <c r="A186" s="66">
        <v>4</v>
      </c>
      <c r="B186" s="67" t="str" vm="4">
        <f t="shared" si="3"/>
        <v>Mar-2021</v>
      </c>
      <c r="C186" s="67"/>
      <c r="D186" s="67" t="s">
        <v>232</v>
      </c>
      <c r="E186" s="67" t="s">
        <v>233</v>
      </c>
      <c r="F186" s="67" t="s">
        <v>831</v>
      </c>
      <c r="G186" s="67"/>
      <c r="H186" s="67" t="s">
        <v>847</v>
      </c>
      <c r="I186" s="67" t="s">
        <v>930</v>
      </c>
      <c r="J186" s="67" t="s">
        <v>931</v>
      </c>
      <c r="K186" s="67" t="s">
        <v>932</v>
      </c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 t="str" vm="3240">
        <f>CUBEVALUE(ConnectionString,ReportMonth,Table1[[#This Row],[Site ID (from DATIM)]],"TX_NEW_2VIS")</f>
        <v/>
      </c>
      <c r="AE186" s="67" t="str" vm="1472">
        <f>CUBEVALUE(ConnectionString,ReportMonth,Table1[[#This Row],[Site ID (from DATIM)]],INDEX(SDI_Measures,1))</f>
        <v/>
      </c>
      <c r="AF186" s="67" t="str" vm="13676">
        <f>CUBEVALUE(ConnectionString,ReportMonth,Table1[[#This Row],[Site ID (from DATIM)]],INDEX(SDI_Measures,2))</f>
        <v/>
      </c>
      <c r="AG186" s="67" t="str" vm="6459">
        <f>CUBEVALUE(ConnectionString,ReportMonth,Table1[[#This Row],[Site ID (from DATIM)]],INDEX(SDI_Measures,3))</f>
        <v/>
      </c>
      <c r="AH186" s="67" vm="2804">
        <f>CUBEVALUE(ConnectionString,ReportMonth,Table1[[#This Row],[Site ID (from DATIM)]],"TX_CURR_PRIOR_MONTH")</f>
        <v>180</v>
      </c>
      <c r="AI186" s="67" vm="4094">
        <f>CUBEVALUE(ConnectionString,ReportMonth,Table1[[#This Row],[Site ID (from DATIM)]],"TX_CURR")</f>
        <v>154</v>
      </c>
      <c r="AJ186" s="67" t="str" vm="1195">
        <f>CUBEVALUE(ConnectionString,ReportMonth,Table1[[#This Row],[Site ID (from DATIM)]],"[Measures].[TI]")</f>
        <v/>
      </c>
      <c r="AK186" s="67" t="str" vm="3186">
        <f>CUBEVALUE(ConnectionString,ReportMonth,Table1[[#This Row],[Site ID (from DATIM)]],"[Measures].[TO]")</f>
        <v/>
      </c>
      <c r="AL186" s="67" t="str" vm="2772">
        <f>CUBEVALUE(ConnectionString,ReportMonth,Table1[[#This Row],[Site ID (from DATIM)]],"[Measures].[DIED]")</f>
        <v/>
      </c>
      <c r="AM186" s="67" vm="5593">
        <f>CUBEVALUE(ConnectionString,ReportMonth,Table1[[#This Row],[Site ID (from DATIM)]],"[Measures].[MMS_01_31]")</f>
        <v>103</v>
      </c>
      <c r="AN186" s="67" t="str" vm="8174">
        <f>CUBEVALUE(ConnectionString,ReportMonth,Table1[[#This Row],[Site ID (from DATIM)]],"[Measures].[MMS_32_62]")</f>
        <v/>
      </c>
      <c r="AO186" s="67" vm="5710">
        <f>CUBEVALUE(ConnectionString,ReportMonth,Table1[[#This Row],[Site ID (from DATIM)]],"[Measures].[MMS_63+]")</f>
        <v>51</v>
      </c>
      <c r="AP186" s="67" vm="4921">
        <f>CUBEVALUE(ConnectionString,ReportMonth,Table1[[#This Row],[Site ID (from DATIM)]],"[Measures].[TBPREV_D]")</f>
        <v>1</v>
      </c>
      <c r="AQ186" s="67" vm="8756">
        <f>CUBEVALUE(ConnectionString,ReportMonth,Table1[[#This Row],[Site ID (from DATIM)]],"[Measures].[TBPREV_N]")</f>
        <v>1</v>
      </c>
      <c r="AR186" s="67" t="str" vm="4962">
        <f>CUBEVALUE(ConnectionString,ReportMonth,Table1[[#This Row],[Site ID (from DATIM)]],"[Measures].[TBPREV_NEW]")</f>
        <v/>
      </c>
      <c r="AS186" s="67" vm="5492">
        <f>CUBEVALUE(ConnectionString,ReportMonth,Table1[[#This Row],[Site ID (from DATIM)]],"[Measures].[HVL_ELIG_P]")</f>
        <v>6</v>
      </c>
      <c r="AT186" s="67" vm="11245">
        <f>CUBEVALUE(ConnectionString,ReportMonth,Table1[[#This Row],[Site ID (from DATIM)]],"[Measures].[HVL_D_P]")</f>
        <v>9</v>
      </c>
      <c r="AU186" s="67" vm="7026">
        <f>CUBEVALUE(ConnectionString,ReportMonth,Table1[[#This Row],[Site ID (from DATIM)]],"[Measures].[HVL_N_P]")</f>
        <v>9</v>
      </c>
      <c r="AV186" s="68" vm="8460">
        <f>CUBEVALUE(ConnectionString,ReportMonth,Table1[[#This Row],[Site ID (from DATIM)]],"[Measures].[HVL_ELIG_A]")</f>
        <v>131</v>
      </c>
      <c r="AW186" s="68" vm="7512">
        <f>CUBEVALUE(ConnectionString,ReportMonth,Table1[[#This Row],[Site ID (from DATIM)]],"[Measures].[HVL_D_A]")</f>
        <v>134</v>
      </c>
      <c r="AX186" s="68" vm="9098">
        <f>CUBEVALUE(ConnectionString,ReportMonth,Table1[[#This Row],[Site ID (from DATIM)]],"[Measures].[HVL_N_A]")</f>
        <v>127</v>
      </c>
      <c r="AY186" s="67"/>
      <c r="AZ186" s="67"/>
      <c r="BA186" s="67"/>
      <c r="BB186" s="67"/>
      <c r="BC186" s="67"/>
      <c r="BD186" s="67"/>
      <c r="BE186" s="67"/>
      <c r="BF186" s="67"/>
      <c r="BG186" s="67" t="str" vm="13244">
        <f>CUBEVALUE(ConnectionString,ReportMonth,Table1[[#This Row],[Site ID (from DATIM)]],"[Measures].[TX_NEW_F_A]")</f>
        <v/>
      </c>
      <c r="BH186" s="67" t="str" vm="12759">
        <f>CUBEVALUE(ConnectionString,ReportMonth,Table1[[#This Row],[Site ID (from DATIM)]],"[Measures].[TX_NEW_M_A]")</f>
        <v/>
      </c>
      <c r="BI186" s="67" t="str" vm="13255">
        <f>CUBEVALUE(ConnectionString,ReportMonth,Table1[[#This Row],[Site ID (from DATIM)]],"[Measures].[TX_NEW_F_P]")</f>
        <v/>
      </c>
      <c r="BJ186" s="68" t="str" vm="17043">
        <f>CUBEVALUE(ConnectionString,ReportMonth,Table1[[#This Row],[Site ID (from DATIM)]],"[Measures].[TX_NEW_M_P]")</f>
        <v/>
      </c>
      <c r="BK186" s="68"/>
      <c r="BL186" s="68"/>
      <c r="BM186" s="68"/>
      <c r="BN186" s="68"/>
      <c r="BO186" s="68"/>
      <c r="BP186" s="68"/>
      <c r="BQ186" s="68" vm="11597">
        <f>CUBEVALUE(ConnectionString,ReportMonth,Table1[[#This Row],[Site ID (from DATIM)]],"[Measures].[TX_CURR_F_P]")</f>
        <v>4</v>
      </c>
      <c r="BR186" s="68" vm="13018">
        <f>CUBEVALUE(ConnectionString,ReportMonth,Table1[[#This Row],[Site ID (from DATIM)]],"[Measures].[TX_CURR_M_P]")</f>
        <v>2</v>
      </c>
      <c r="BS186" s="68" vm="11539">
        <f>CUBEVALUE(ConnectionString,ReportMonth,Table1[[#This Row],[Site ID (from DATIM)]],"[Measures].[TX_CURR_F_A]")</f>
        <v>103</v>
      </c>
      <c r="BT186" s="68" vm="13673">
        <f>CUBEVALUE(ConnectionString,ReportMonth,Table1[[#This Row],[Site ID (from DATIM)]],"[Measures].[TX_CURR_M_A]")</f>
        <v>45</v>
      </c>
      <c r="BU186" s="68" vm="19020">
        <f>CUBEVALUE(ConnectionString,ReportMonth,Table1[[#This Row],[Site ID (from DATIM)]],"[Measures].[MMS_01_89_F_P]")</f>
        <v>4</v>
      </c>
      <c r="BV186" s="68" vm="18994">
        <f>CUBEVALUE(ConnectionString,ReportMonth,Table1[[#This Row],[Site ID (from DATIM)]],"[Measures].[MMS_01_89_M_P]")</f>
        <v>2</v>
      </c>
      <c r="BW186" s="68" vm="19751">
        <f>CUBEVALUE(ConnectionString,ReportMonth,Table1[[#This Row],[Site ID (from DATIM)]],"[Measures].[MMS_01_89_F_A]")</f>
        <v>71</v>
      </c>
      <c r="BX186" s="68" vm="17956">
        <f>CUBEVALUE(ConnectionString,ReportMonth,Table1[[#This Row],[Site ID (from DATIM)]],"[Measures].[MMS_01_89_M_A]")</f>
        <v>26</v>
      </c>
      <c r="BY186" s="68" t="str" vm="19335">
        <f>CUBEVALUE(ConnectionString,ReportMonth,Table1[[#This Row],[Site ID (from DATIM)]],"[Measures].[MMS_90_179_F_P]")</f>
        <v/>
      </c>
      <c r="BZ186" s="68" t="str" vm="15611">
        <f>CUBEVALUE(ConnectionString,ReportMonth,Table1[[#This Row],[Site ID (from DATIM)]],"[Measures].[MMS_90_179_M_P]")</f>
        <v/>
      </c>
      <c r="CA186" s="68" vm="15551">
        <f>CUBEVALUE(ConnectionString,ReportMonth,Table1[[#This Row],[Site ID (from DATIM)]],"[Measures].[MMS_90_179_F_A]")</f>
        <v>32</v>
      </c>
      <c r="CB186" s="68" vm="15058">
        <f>CUBEVALUE(ConnectionString,ReportMonth,Table1[[#This Row],[Site ID (from DATIM)]],"[Measures].[MMS_90_179_M_A]")</f>
        <v>19</v>
      </c>
      <c r="CC186" s="68" t="str" vm="15536">
        <f>CUBEVALUE(ConnectionString,ReportMonth,Table1[[#This Row],[Site ID (from DATIM)]],"[Measures].[MMS_180+_F_P]")</f>
        <v/>
      </c>
      <c r="CD186" s="68" t="str" vm="17202">
        <f>CUBEVALUE(ConnectionString,ReportMonth,Table1[[#This Row],[Site ID (from DATIM)]],"[Measures].[MMS_180+_M_P]")</f>
        <v/>
      </c>
      <c r="CE186" s="68" t="str" vm="16303">
        <f>CUBEVALUE(ConnectionString,ReportMonth,Table1[[#This Row],[Site ID (from DATIM)]],"[Measures].[MMS_180+_F_A]")</f>
        <v/>
      </c>
      <c r="CF186" s="68" t="str" vm="16225">
        <f>CUBEVALUE(ConnectionString,ReportMonth,Table1[[#This Row],[Site ID (from DATIM)]],"[Measures].[MMS_180+_M_A]")</f>
        <v/>
      </c>
      <c r="CG186" s="68" vm="7883">
        <f>CUBEVALUE(ConnectionString,ReportMonth,Table1[[#This Row],[Site ID (from DATIM)]],"[Measures].[MISSEDAPP]")</f>
        <v>127</v>
      </c>
      <c r="CH186" s="68" t="str" vm="13468">
        <f>CUBEVALUE(ConnectionString,ReportMonth,Table1[[#This Row],[Site ID (from DATIM)]],"[Measures].[MMS_180+_P]")</f>
        <v/>
      </c>
      <c r="CI186" s="68" t="str" vm="10981">
        <f>CUBEVALUE(ConnectionString,ReportMonth,Table1[[#This Row],[Site ID (from DATIM)]],"[Measures].[MMS_180+_A]")</f>
        <v/>
      </c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</row>
    <row r="187" spans="1:107" x14ac:dyDescent="0.25">
      <c r="A187" s="66">
        <v>2</v>
      </c>
      <c r="B187" s="67" t="str" vm="4">
        <f t="shared" si="3"/>
        <v>Mar-2021</v>
      </c>
      <c r="C187" s="67"/>
      <c r="D187" s="67" t="s">
        <v>232</v>
      </c>
      <c r="E187" s="67" t="s">
        <v>233</v>
      </c>
      <c r="F187" s="67" t="s">
        <v>234</v>
      </c>
      <c r="G187" s="67"/>
      <c r="H187" s="67" t="s">
        <v>305</v>
      </c>
      <c r="I187" s="67" t="s">
        <v>306</v>
      </c>
      <c r="J187" s="67" t="s">
        <v>307</v>
      </c>
      <c r="K187" s="67" t="s">
        <v>308</v>
      </c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 vm="5859">
        <f>CUBEVALUE(ConnectionString,ReportMonth,Table1[[#This Row],[Site ID (from DATIM)]],"TX_NEW_2VIS")</f>
        <v>4</v>
      </c>
      <c r="AE187" s="67" vm="793">
        <f>CUBEVALUE(ConnectionString,ReportMonth,Table1[[#This Row],[Site ID (from DATIM)]],INDEX(SDI_Measures,1))</f>
        <v>2</v>
      </c>
      <c r="AF187" s="67" t="str" vm="341">
        <f>CUBEVALUE(ConnectionString,ReportMonth,Table1[[#This Row],[Site ID (from DATIM)]],INDEX(SDI_Measures,2))</f>
        <v/>
      </c>
      <c r="AG187" s="67" vm="539">
        <f>CUBEVALUE(ConnectionString,ReportMonth,Table1[[#This Row],[Site ID (from DATIM)]],INDEX(SDI_Measures,3))</f>
        <v>1</v>
      </c>
      <c r="AH187" s="67" vm="4506">
        <f>CUBEVALUE(ConnectionString,ReportMonth,Table1[[#This Row],[Site ID (from DATIM)]],"TX_CURR_PRIOR_MONTH")</f>
        <v>504</v>
      </c>
      <c r="AI187" s="67" vm="2119">
        <f>CUBEVALUE(ConnectionString,ReportMonth,Table1[[#This Row],[Site ID (from DATIM)]],"TX_CURR")</f>
        <v>466</v>
      </c>
      <c r="AJ187" s="67" t="str" vm="1413">
        <f>CUBEVALUE(ConnectionString,ReportMonth,Table1[[#This Row],[Site ID (from DATIM)]],"[Measures].[TI]")</f>
        <v/>
      </c>
      <c r="AK187" s="67" vm="1038">
        <f>CUBEVALUE(ConnectionString,ReportMonth,Table1[[#This Row],[Site ID (from DATIM)]],"[Measures].[TO]")</f>
        <v>1</v>
      </c>
      <c r="AL187" s="67" t="str" vm="3588">
        <f>CUBEVALUE(ConnectionString,ReportMonth,Table1[[#This Row],[Site ID (from DATIM)]],"[Measures].[DIED]")</f>
        <v/>
      </c>
      <c r="AM187" s="67" vm="4351">
        <f>CUBEVALUE(ConnectionString,ReportMonth,Table1[[#This Row],[Site ID (from DATIM)]],"[Measures].[MMS_01_31]")</f>
        <v>117</v>
      </c>
      <c r="AN187" s="67" vm="7152">
        <f>CUBEVALUE(ConnectionString,ReportMonth,Table1[[#This Row],[Site ID (from DATIM)]],"[Measures].[MMS_32_62]")</f>
        <v>33</v>
      </c>
      <c r="AO187" s="67" vm="5959">
        <f>CUBEVALUE(ConnectionString,ReportMonth,Table1[[#This Row],[Site ID (from DATIM)]],"[Measures].[MMS_63+]")</f>
        <v>316</v>
      </c>
      <c r="AP187" s="67" t="str" vm="4764">
        <f>CUBEVALUE(ConnectionString,ReportMonth,Table1[[#This Row],[Site ID (from DATIM)]],"[Measures].[TBPREV_D]")</f>
        <v/>
      </c>
      <c r="AQ187" s="67" t="str" vm="5583">
        <f>CUBEVALUE(ConnectionString,ReportMonth,Table1[[#This Row],[Site ID (from DATIM)]],"[Measures].[TBPREV_N]")</f>
        <v/>
      </c>
      <c r="AR187" s="67" vm="4747">
        <f>CUBEVALUE(ConnectionString,ReportMonth,Table1[[#This Row],[Site ID (from DATIM)]],"[Measures].[TBPREV_NEW]")</f>
        <v>15</v>
      </c>
      <c r="AS187" s="67" vm="4889">
        <f>CUBEVALUE(ConnectionString,ReportMonth,Table1[[#This Row],[Site ID (from DATIM)]],"[Measures].[HVL_ELIG_P]")</f>
        <v>18</v>
      </c>
      <c r="AT187" s="67" vm="8010">
        <f>CUBEVALUE(ConnectionString,ReportMonth,Table1[[#This Row],[Site ID (from DATIM)]],"[Measures].[HVL_D_P]")</f>
        <v>19</v>
      </c>
      <c r="AU187" s="67" vm="12076">
        <f>CUBEVALUE(ConnectionString,ReportMonth,Table1[[#This Row],[Site ID (from DATIM)]],"[Measures].[HVL_N_P]")</f>
        <v>17</v>
      </c>
      <c r="AV187" s="68" vm="11731">
        <f>CUBEVALUE(ConnectionString,ReportMonth,Table1[[#This Row],[Site ID (from DATIM)]],"[Measures].[HVL_ELIG_A]")</f>
        <v>411</v>
      </c>
      <c r="AW187" s="68" vm="12772">
        <f>CUBEVALUE(ConnectionString,ReportMonth,Table1[[#This Row],[Site ID (from DATIM)]],"[Measures].[HVL_D_A]")</f>
        <v>385</v>
      </c>
      <c r="AX187" s="68" vm="6595">
        <f>CUBEVALUE(ConnectionString,ReportMonth,Table1[[#This Row],[Site ID (from DATIM)]],"[Measures].[HVL_N_A]")</f>
        <v>353</v>
      </c>
      <c r="AY187" s="67"/>
      <c r="AZ187" s="67"/>
      <c r="BA187" s="67"/>
      <c r="BB187" s="67"/>
      <c r="BC187" s="67"/>
      <c r="BD187" s="67"/>
      <c r="BE187" s="67"/>
      <c r="BF187" s="67"/>
      <c r="BG187" s="67" vm="12048">
        <f>CUBEVALUE(ConnectionString,ReportMonth,Table1[[#This Row],[Site ID (from DATIM)]],"[Measures].[TX_NEW_F_A]")</f>
        <v>2</v>
      </c>
      <c r="BH187" s="67" vm="14836">
        <f>CUBEVALUE(ConnectionString,ReportMonth,Table1[[#This Row],[Site ID (from DATIM)]],"[Measures].[TX_NEW_M_A]")</f>
        <v>1</v>
      </c>
      <c r="BI187" s="67" t="str" vm="14412">
        <f>CUBEVALUE(ConnectionString,ReportMonth,Table1[[#This Row],[Site ID (from DATIM)]],"[Measures].[TX_NEW_F_P]")</f>
        <v/>
      </c>
      <c r="BJ187" s="68" t="str" vm="14425">
        <f>CUBEVALUE(ConnectionString,ReportMonth,Table1[[#This Row],[Site ID (from DATIM)]],"[Measures].[TX_NEW_M_P]")</f>
        <v/>
      </c>
      <c r="BK187" s="68"/>
      <c r="BL187" s="68"/>
      <c r="BM187" s="68"/>
      <c r="BN187" s="68"/>
      <c r="BO187" s="68"/>
      <c r="BP187" s="68"/>
      <c r="BQ187" s="68" vm="8846">
        <f>CUBEVALUE(ConnectionString,ReportMonth,Table1[[#This Row],[Site ID (from DATIM)]],"[Measures].[TX_CURR_F_P]")</f>
        <v>10</v>
      </c>
      <c r="BR187" s="68" vm="8622">
        <f>CUBEVALUE(ConnectionString,ReportMonth,Table1[[#This Row],[Site ID (from DATIM)]],"[Measures].[TX_CURR_M_P]")</f>
        <v>8</v>
      </c>
      <c r="BS187" s="68" vm="8785">
        <f>CUBEVALUE(ConnectionString,ReportMonth,Table1[[#This Row],[Site ID (from DATIM)]],"[Measures].[TX_CURR_F_A]")</f>
        <v>306</v>
      </c>
      <c r="BT187" s="68" vm="12520">
        <f>CUBEVALUE(ConnectionString,ReportMonth,Table1[[#This Row],[Site ID (from DATIM)]],"[Measures].[TX_CURR_M_A]")</f>
        <v>143</v>
      </c>
      <c r="BU187" s="68" vm="18694">
        <f>CUBEVALUE(ConnectionString,ReportMonth,Table1[[#This Row],[Site ID (from DATIM)]],"[Measures].[MMS_01_89_F_P]")</f>
        <v>4</v>
      </c>
      <c r="BV187" s="68" vm="18975">
        <f>CUBEVALUE(ConnectionString,ReportMonth,Table1[[#This Row],[Site ID (from DATIM)]],"[Measures].[MMS_01_89_M_P]")</f>
        <v>3</v>
      </c>
      <c r="BW187" s="68" vm="19750">
        <f>CUBEVALUE(ConnectionString,ReportMonth,Table1[[#This Row],[Site ID (from DATIM)]],"[Measures].[MMS_01_89_F_A]")</f>
        <v>98</v>
      </c>
      <c r="BX187" s="68" vm="17879">
        <f>CUBEVALUE(ConnectionString,ReportMonth,Table1[[#This Row],[Site ID (from DATIM)]],"[Measures].[MMS_01_89_M_A]")</f>
        <v>46</v>
      </c>
      <c r="BY187" s="68" vm="14746">
        <f>CUBEVALUE(ConnectionString,ReportMonth,Table1[[#This Row],[Site ID (from DATIM)]],"[Measures].[MMS_90_179_F_P]")</f>
        <v>6</v>
      </c>
      <c r="BZ187" s="68" vm="19326">
        <f>CUBEVALUE(ConnectionString,ReportMonth,Table1[[#This Row],[Site ID (from DATIM)]],"[Measures].[MMS_90_179_M_P]")</f>
        <v>5</v>
      </c>
      <c r="CA187" s="68" vm="15853">
        <f>CUBEVALUE(ConnectionString,ReportMonth,Table1[[#This Row],[Site ID (from DATIM)]],"[Measures].[MMS_90_179_F_A]")</f>
        <v>208</v>
      </c>
      <c r="CB187" s="68" vm="15156">
        <f>CUBEVALUE(ConnectionString,ReportMonth,Table1[[#This Row],[Site ID (from DATIM)]],"[Measures].[MMS_90_179_M_A]")</f>
        <v>97</v>
      </c>
      <c r="CC187" s="68" t="str" vm="17190">
        <f>CUBEVALUE(ConnectionString,ReportMonth,Table1[[#This Row],[Site ID (from DATIM)]],"[Measures].[MMS_180+_F_P]")</f>
        <v/>
      </c>
      <c r="CD187" s="68" t="str" vm="16754">
        <f>CUBEVALUE(ConnectionString,ReportMonth,Table1[[#This Row],[Site ID (from DATIM)]],"[Measures].[MMS_180+_M_P]")</f>
        <v/>
      </c>
      <c r="CE187" s="68" t="str" vm="20225">
        <f>CUBEVALUE(ConnectionString,ReportMonth,Table1[[#This Row],[Site ID (from DATIM)]],"[Measures].[MMS_180+_F_A]")</f>
        <v/>
      </c>
      <c r="CF187" s="68" t="str" vm="77">
        <f>CUBEVALUE(ConnectionString,ReportMonth,Table1[[#This Row],[Site ID (from DATIM)]],"[Measures].[MMS_180+_M_A]")</f>
        <v/>
      </c>
      <c r="CG187" s="68" vm="11576">
        <f>CUBEVALUE(ConnectionString,ReportMonth,Table1[[#This Row],[Site ID (from DATIM)]],"[Measures].[MISSEDAPP]")</f>
        <v>198</v>
      </c>
      <c r="CH187" s="68" t="str" vm="10977">
        <f>CUBEVALUE(ConnectionString,ReportMonth,Table1[[#This Row],[Site ID (from DATIM)]],"[Measures].[MMS_180+_P]")</f>
        <v/>
      </c>
      <c r="CI187" s="68" t="str" vm="13028">
        <f>CUBEVALUE(ConnectionString,ReportMonth,Table1[[#This Row],[Site ID (from DATIM)]],"[Measures].[MMS_180+_A]")</f>
        <v/>
      </c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</row>
    <row r="188" spans="1:107" x14ac:dyDescent="0.25">
      <c r="A188" s="66">
        <v>4</v>
      </c>
      <c r="B188" s="67" t="str" vm="4">
        <f t="shared" si="3"/>
        <v>Mar-2021</v>
      </c>
      <c r="C188" s="67"/>
      <c r="D188" s="67" t="s">
        <v>232</v>
      </c>
      <c r="E188" s="67" t="s">
        <v>233</v>
      </c>
      <c r="F188" s="67" t="s">
        <v>831</v>
      </c>
      <c r="G188" s="67"/>
      <c r="H188" s="67" t="s">
        <v>867</v>
      </c>
      <c r="I188" s="67" t="s">
        <v>933</v>
      </c>
      <c r="J188" s="67" t="s">
        <v>934</v>
      </c>
      <c r="K188" s="67" t="s">
        <v>935</v>
      </c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 vm="3223">
        <f>CUBEVALUE(ConnectionString,ReportMonth,Table1[[#This Row],[Site ID (from DATIM)]],"TX_NEW_2VIS")</f>
        <v>1</v>
      </c>
      <c r="AE188" s="67" t="str" vm="1990">
        <f>CUBEVALUE(ConnectionString,ReportMonth,Table1[[#This Row],[Site ID (from DATIM)]],INDEX(SDI_Measures,1))</f>
        <v/>
      </c>
      <c r="AF188" s="67" t="str" vm="4352">
        <f>CUBEVALUE(ConnectionString,ReportMonth,Table1[[#This Row],[Site ID (from DATIM)]],INDEX(SDI_Measures,2))</f>
        <v/>
      </c>
      <c r="AG188" s="67" t="str" vm="845">
        <f>CUBEVALUE(ConnectionString,ReportMonth,Table1[[#This Row],[Site ID (from DATIM)]],INDEX(SDI_Measures,3))</f>
        <v/>
      </c>
      <c r="AH188" s="67" vm="2232">
        <f>CUBEVALUE(ConnectionString,ReportMonth,Table1[[#This Row],[Site ID (from DATIM)]],"TX_CURR_PRIOR_MONTH")</f>
        <v>405</v>
      </c>
      <c r="AI188" s="67" vm="377">
        <f>CUBEVALUE(ConnectionString,ReportMonth,Table1[[#This Row],[Site ID (from DATIM)]],"TX_CURR")</f>
        <v>394</v>
      </c>
      <c r="AJ188" s="67" t="str" vm="3387">
        <f>CUBEVALUE(ConnectionString,ReportMonth,Table1[[#This Row],[Site ID (from DATIM)]],"[Measures].[TI]")</f>
        <v/>
      </c>
      <c r="AK188" s="67" t="str" vm="3053">
        <f>CUBEVALUE(ConnectionString,ReportMonth,Table1[[#This Row],[Site ID (from DATIM)]],"[Measures].[TO]")</f>
        <v/>
      </c>
      <c r="AL188" s="67" t="str" vm="4272">
        <f>CUBEVALUE(ConnectionString,ReportMonth,Table1[[#This Row],[Site ID (from DATIM)]],"[Measures].[DIED]")</f>
        <v/>
      </c>
      <c r="AM188" s="67" vm="4955">
        <f>CUBEVALUE(ConnectionString,ReportMonth,Table1[[#This Row],[Site ID (from DATIM)]],"[Measures].[MMS_01_31]")</f>
        <v>94</v>
      </c>
      <c r="AN188" s="67" vm="7771">
        <f>CUBEVALUE(ConnectionString,ReportMonth,Table1[[#This Row],[Site ID (from DATIM)]],"[Measures].[MMS_32_62]")</f>
        <v>3</v>
      </c>
      <c r="AO188" s="67" vm="6662">
        <f>CUBEVALUE(ConnectionString,ReportMonth,Table1[[#This Row],[Site ID (from DATIM)]],"[Measures].[MMS_63+]")</f>
        <v>297</v>
      </c>
      <c r="AP188" s="67" vm="7607">
        <f>CUBEVALUE(ConnectionString,ReportMonth,Table1[[#This Row],[Site ID (from DATIM)]],"[Measures].[TBPREV_D]")</f>
        <v>16</v>
      </c>
      <c r="AQ188" s="67" vm="5977">
        <f>CUBEVALUE(ConnectionString,ReportMonth,Table1[[#This Row],[Site ID (from DATIM)]],"[Measures].[TBPREV_N]")</f>
        <v>3</v>
      </c>
      <c r="AR188" s="67" t="str" vm="11080">
        <f>CUBEVALUE(ConnectionString,ReportMonth,Table1[[#This Row],[Site ID (from DATIM)]],"[Measures].[TBPREV_NEW]")</f>
        <v/>
      </c>
      <c r="AS188" s="67" vm="5191">
        <f>CUBEVALUE(ConnectionString,ReportMonth,Table1[[#This Row],[Site ID (from DATIM)]],"[Measures].[HVL_ELIG_P]")</f>
        <v>30</v>
      </c>
      <c r="AT188" s="67" vm="4746">
        <f>CUBEVALUE(ConnectionString,ReportMonth,Table1[[#This Row],[Site ID (from DATIM)]],"[Measures].[HVL_D_P]")</f>
        <v>29</v>
      </c>
      <c r="AU188" s="67" vm="8160">
        <f>CUBEVALUE(ConnectionString,ReportMonth,Table1[[#This Row],[Site ID (from DATIM)]],"[Measures].[HVL_N_P]")</f>
        <v>29</v>
      </c>
      <c r="AV188" s="68" vm="9073">
        <f>CUBEVALUE(ConnectionString,ReportMonth,Table1[[#This Row],[Site ID (from DATIM)]],"[Measures].[HVL_ELIG_A]")</f>
        <v>341</v>
      </c>
      <c r="AW188" s="68" vm="9885">
        <f>CUBEVALUE(ConnectionString,ReportMonth,Table1[[#This Row],[Site ID (from DATIM)]],"[Measures].[HVL_D_A]")</f>
        <v>281</v>
      </c>
      <c r="AX188" s="68" vm="6362">
        <f>CUBEVALUE(ConnectionString,ReportMonth,Table1[[#This Row],[Site ID (from DATIM)]],"[Measures].[HVL_N_A]")</f>
        <v>273</v>
      </c>
      <c r="AY188" s="67"/>
      <c r="AZ188" s="67"/>
      <c r="BA188" s="67"/>
      <c r="BB188" s="67"/>
      <c r="BC188" s="67"/>
      <c r="BD188" s="67"/>
      <c r="BE188" s="67"/>
      <c r="BF188" s="67"/>
      <c r="BG188" s="67" t="str" vm="12113">
        <f>CUBEVALUE(ConnectionString,ReportMonth,Table1[[#This Row],[Site ID (from DATIM)]],"[Measures].[TX_NEW_F_A]")</f>
        <v/>
      </c>
      <c r="BH188" s="67" t="str" vm="11914">
        <f>CUBEVALUE(ConnectionString,ReportMonth,Table1[[#This Row],[Site ID (from DATIM)]],"[Measures].[TX_NEW_M_A]")</f>
        <v/>
      </c>
      <c r="BI188" s="67" t="str" vm="13308">
        <f>CUBEVALUE(ConnectionString,ReportMonth,Table1[[#This Row],[Site ID (from DATIM)]],"[Measures].[TX_NEW_F_P]")</f>
        <v/>
      </c>
      <c r="BJ188" s="68" t="str" vm="13147">
        <f>CUBEVALUE(ConnectionString,ReportMonth,Table1[[#This Row],[Site ID (from DATIM)]],"[Measures].[TX_NEW_M_P]")</f>
        <v/>
      </c>
      <c r="BK188" s="68"/>
      <c r="BL188" s="68"/>
      <c r="BM188" s="68"/>
      <c r="BN188" s="68"/>
      <c r="BO188" s="68"/>
      <c r="BP188" s="68"/>
      <c r="BQ188" s="68" vm="9069">
        <f>CUBEVALUE(ConnectionString,ReportMonth,Table1[[#This Row],[Site ID (from DATIM)]],"[Measures].[TX_CURR_F_P]")</f>
        <v>18</v>
      </c>
      <c r="BR188" s="68" vm="9999">
        <f>CUBEVALUE(ConnectionString,ReportMonth,Table1[[#This Row],[Site ID (from DATIM)]],"[Measures].[TX_CURR_M_P]")</f>
        <v>15</v>
      </c>
      <c r="BS188" s="68" vm="13268">
        <f>CUBEVALUE(ConnectionString,ReportMonth,Table1[[#This Row],[Site ID (from DATIM)]],"[Measures].[TX_CURR_F_A]")</f>
        <v>258</v>
      </c>
      <c r="BT188" s="68" vm="8255">
        <f>CUBEVALUE(ConnectionString,ReportMonth,Table1[[#This Row],[Site ID (from DATIM)]],"[Measures].[TX_CURR_M_A]")</f>
        <v>103</v>
      </c>
      <c r="BU188" s="68" vm="19480">
        <f>CUBEVALUE(ConnectionString,ReportMonth,Table1[[#This Row],[Site ID (from DATIM)]],"[Measures].[MMS_01_89_F_P]")</f>
        <v>5</v>
      </c>
      <c r="BV188" s="68" vm="18716">
        <f>CUBEVALUE(ConnectionString,ReportMonth,Table1[[#This Row],[Site ID (from DATIM)]],"[Measures].[MMS_01_89_M_P]")</f>
        <v>4</v>
      </c>
      <c r="BW188" s="68" vm="19360">
        <f>CUBEVALUE(ConnectionString,ReportMonth,Table1[[#This Row],[Site ID (from DATIM)]],"[Measures].[MMS_01_89_F_A]")</f>
        <v>65</v>
      </c>
      <c r="BX188" s="68" vm="19355">
        <f>CUBEVALUE(ConnectionString,ReportMonth,Table1[[#This Row],[Site ID (from DATIM)]],"[Measures].[MMS_01_89_M_A]")</f>
        <v>24</v>
      </c>
      <c r="BY188" s="68" vm="18203">
        <f>CUBEVALUE(ConnectionString,ReportMonth,Table1[[#This Row],[Site ID (from DATIM)]],"[Measures].[MMS_90_179_F_P]")</f>
        <v>13</v>
      </c>
      <c r="BZ188" s="68" vm="17831">
        <f>CUBEVALUE(ConnectionString,ReportMonth,Table1[[#This Row],[Site ID (from DATIM)]],"[Measures].[MMS_90_179_M_P]")</f>
        <v>11</v>
      </c>
      <c r="CA188" s="68" vm="15542">
        <f>CUBEVALUE(ConnectionString,ReportMonth,Table1[[#This Row],[Site ID (from DATIM)]],"[Measures].[MMS_90_179_F_A]")</f>
        <v>193</v>
      </c>
      <c r="CB188" s="68" vm="14702">
        <f>CUBEVALUE(ConnectionString,ReportMonth,Table1[[#This Row],[Site ID (from DATIM)]],"[Measures].[MMS_90_179_M_A]")</f>
        <v>79</v>
      </c>
      <c r="CC188" s="68" t="str" vm="15863">
        <f>CUBEVALUE(ConnectionString,ReportMonth,Table1[[#This Row],[Site ID (from DATIM)]],"[Measures].[MMS_180+_F_P]")</f>
        <v/>
      </c>
      <c r="CD188" s="68" t="str" vm="17541">
        <f>CUBEVALUE(ConnectionString,ReportMonth,Table1[[#This Row],[Site ID (from DATIM)]],"[Measures].[MMS_180+_M_P]")</f>
        <v/>
      </c>
      <c r="CE188" s="68" t="str" vm="17499">
        <f>CUBEVALUE(ConnectionString,ReportMonth,Table1[[#This Row],[Site ID (from DATIM)]],"[Measures].[MMS_180+_F_A]")</f>
        <v/>
      </c>
      <c r="CF188" s="68" t="str" vm="15349">
        <f>CUBEVALUE(ConnectionString,ReportMonth,Table1[[#This Row],[Site ID (from DATIM)]],"[Measures].[MMS_180+_M_A]")</f>
        <v/>
      </c>
      <c r="CG188" s="68" vm="9171">
        <f>CUBEVALUE(ConnectionString,ReportMonth,Table1[[#This Row],[Site ID (from DATIM)]],"[Measures].[MISSEDAPP]")</f>
        <v>107</v>
      </c>
      <c r="CH188" s="68" t="str" vm="13045">
        <f>CUBEVALUE(ConnectionString,ReportMonth,Table1[[#This Row],[Site ID (from DATIM)]],"[Measures].[MMS_180+_P]")</f>
        <v/>
      </c>
      <c r="CI188" s="68" t="str" vm="14840">
        <f>CUBEVALUE(ConnectionString,ReportMonth,Table1[[#This Row],[Site ID (from DATIM)]],"[Measures].[MMS_180+_A]")</f>
        <v/>
      </c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</row>
    <row r="189" spans="1:107" x14ac:dyDescent="0.25">
      <c r="A189" s="66">
        <v>2</v>
      </c>
      <c r="B189" s="67" t="str" vm="4">
        <f t="shared" si="3"/>
        <v>Mar-2021</v>
      </c>
      <c r="C189" s="67"/>
      <c r="D189" s="67" t="s">
        <v>232</v>
      </c>
      <c r="E189" s="67" t="s">
        <v>233</v>
      </c>
      <c r="F189" s="67" t="s">
        <v>831</v>
      </c>
      <c r="G189" s="67"/>
      <c r="H189" s="67" t="s">
        <v>876</v>
      </c>
      <c r="I189" s="67" t="s">
        <v>936</v>
      </c>
      <c r="J189" s="67" t="s">
        <v>937</v>
      </c>
      <c r="K189" s="67" t="s">
        <v>938</v>
      </c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 vm="4412">
        <f>CUBEVALUE(ConnectionString,ReportMonth,Table1[[#This Row],[Site ID (from DATIM)]],"TX_NEW_2VIS")</f>
        <v>2</v>
      </c>
      <c r="AE189" s="67" t="str" vm="2112">
        <f>CUBEVALUE(ConnectionString,ReportMonth,Table1[[#This Row],[Site ID (from DATIM)]],INDEX(SDI_Measures,1))</f>
        <v/>
      </c>
      <c r="AF189" s="67" t="str" vm="1028">
        <f>CUBEVALUE(ConnectionString,ReportMonth,Table1[[#This Row],[Site ID (from DATIM)]],INDEX(SDI_Measures,2))</f>
        <v/>
      </c>
      <c r="AG189" s="67" t="str" vm="2574">
        <f>CUBEVALUE(ConnectionString,ReportMonth,Table1[[#This Row],[Site ID (from DATIM)]],INDEX(SDI_Measures,3))</f>
        <v/>
      </c>
      <c r="AH189" s="67" vm="497">
        <f>CUBEVALUE(ConnectionString,ReportMonth,Table1[[#This Row],[Site ID (from DATIM)]],"TX_CURR_PRIOR_MONTH")</f>
        <v>572</v>
      </c>
      <c r="AI189" s="67" vm="3050">
        <f>CUBEVALUE(ConnectionString,ReportMonth,Table1[[#This Row],[Site ID (from DATIM)]],"TX_CURR")</f>
        <v>529</v>
      </c>
      <c r="AJ189" s="67" t="str" vm="6410">
        <f>CUBEVALUE(ConnectionString,ReportMonth,Table1[[#This Row],[Site ID (from DATIM)]],"[Measures].[TI]")</f>
        <v/>
      </c>
      <c r="AK189" s="67" t="str" vm="3789">
        <f>CUBEVALUE(ConnectionString,ReportMonth,Table1[[#This Row],[Site ID (from DATIM)]],"[Measures].[TO]")</f>
        <v/>
      </c>
      <c r="AL189" s="67" t="str" vm="2104">
        <f>CUBEVALUE(ConnectionString,ReportMonth,Table1[[#This Row],[Site ID (from DATIM)]],"[Measures].[DIED]")</f>
        <v/>
      </c>
      <c r="AM189" s="67" vm="6006">
        <f>CUBEVALUE(ConnectionString,ReportMonth,Table1[[#This Row],[Site ID (from DATIM)]],"[Measures].[MMS_01_31]")</f>
        <v>58</v>
      </c>
      <c r="AN189" s="67" vm="8497">
        <f>CUBEVALUE(ConnectionString,ReportMonth,Table1[[#This Row],[Site ID (from DATIM)]],"[Measures].[MMS_32_62]")</f>
        <v>3</v>
      </c>
      <c r="AO189" s="67" vm="7966">
        <f>CUBEVALUE(ConnectionString,ReportMonth,Table1[[#This Row],[Site ID (from DATIM)]],"[Measures].[MMS_63+]")</f>
        <v>468</v>
      </c>
      <c r="AP189" s="67" vm="6731">
        <f>CUBEVALUE(ConnectionString,ReportMonth,Table1[[#This Row],[Site ID (from DATIM)]],"[Measures].[TBPREV_D]")</f>
        <v>17</v>
      </c>
      <c r="AQ189" s="67" vm="6194">
        <f>CUBEVALUE(ConnectionString,ReportMonth,Table1[[#This Row],[Site ID (from DATIM)]],"[Measures].[TBPREV_N]")</f>
        <v>8</v>
      </c>
      <c r="AR189" s="67" t="str" vm="5975">
        <f>CUBEVALUE(ConnectionString,ReportMonth,Table1[[#This Row],[Site ID (from DATIM)]],"[Measures].[TBPREV_NEW]")</f>
        <v/>
      </c>
      <c r="AS189" s="67" vm="4197">
        <f>CUBEVALUE(ConnectionString,ReportMonth,Table1[[#This Row],[Site ID (from DATIM)]],"[Measures].[HVL_ELIG_P]")</f>
        <v>32</v>
      </c>
      <c r="AT189" s="67" vm="4990">
        <f>CUBEVALUE(ConnectionString,ReportMonth,Table1[[#This Row],[Site ID (from DATIM)]],"[Measures].[HVL_D_P]")</f>
        <v>36</v>
      </c>
      <c r="AU189" s="67" vm="12182">
        <f>CUBEVALUE(ConnectionString,ReportMonth,Table1[[#This Row],[Site ID (from DATIM)]],"[Measures].[HVL_N_P]")</f>
        <v>31</v>
      </c>
      <c r="AV189" s="68" vm="11594">
        <f>CUBEVALUE(ConnectionString,ReportMonth,Table1[[#This Row],[Site ID (from DATIM)]],"[Measures].[HVL_ELIG_A]")</f>
        <v>456</v>
      </c>
      <c r="AW189" s="68" vm="13036">
        <f>CUBEVALUE(ConnectionString,ReportMonth,Table1[[#This Row],[Site ID (from DATIM)]],"[Measures].[HVL_D_A]")</f>
        <v>445</v>
      </c>
      <c r="AX189" s="68" vm="13331">
        <f>CUBEVALUE(ConnectionString,ReportMonth,Table1[[#This Row],[Site ID (from DATIM)]],"[Measures].[HVL_N_A]")</f>
        <v>432</v>
      </c>
      <c r="AY189" s="67"/>
      <c r="AZ189" s="67"/>
      <c r="BA189" s="67"/>
      <c r="BB189" s="67"/>
      <c r="BC189" s="67"/>
      <c r="BD189" s="67"/>
      <c r="BE189" s="67"/>
      <c r="BF189" s="67"/>
      <c r="BG189" s="67" t="str" vm="13243">
        <f>CUBEVALUE(ConnectionString,ReportMonth,Table1[[#This Row],[Site ID (from DATIM)]],"[Measures].[TX_NEW_F_A]")</f>
        <v/>
      </c>
      <c r="BH189" s="67" t="str" vm="14384">
        <f>CUBEVALUE(ConnectionString,ReportMonth,Table1[[#This Row],[Site ID (from DATIM)]],"[Measures].[TX_NEW_M_A]")</f>
        <v/>
      </c>
      <c r="BI189" s="67" t="str" vm="12906">
        <f>CUBEVALUE(ConnectionString,ReportMonth,Table1[[#This Row],[Site ID (from DATIM)]],"[Measures].[TX_NEW_F_P]")</f>
        <v/>
      </c>
      <c r="BJ189" s="68" t="str" vm="16196">
        <f>CUBEVALUE(ConnectionString,ReportMonth,Table1[[#This Row],[Site ID (from DATIM)]],"[Measures].[TX_NEW_M_P]")</f>
        <v/>
      </c>
      <c r="BK189" s="68"/>
      <c r="BL189" s="68"/>
      <c r="BM189" s="68"/>
      <c r="BN189" s="68"/>
      <c r="BO189" s="68"/>
      <c r="BP189" s="68"/>
      <c r="BQ189" s="68" vm="17026">
        <f>CUBEVALUE(ConnectionString,ReportMonth,Table1[[#This Row],[Site ID (from DATIM)]],"[Measures].[TX_CURR_F_P]")</f>
        <v>15</v>
      </c>
      <c r="BR189" s="68" vm="7260">
        <f>CUBEVALUE(ConnectionString,ReportMonth,Table1[[#This Row],[Site ID (from DATIM)]],"[Measures].[TX_CURR_M_P]")</f>
        <v>18</v>
      </c>
      <c r="BS189" s="68" vm="10065">
        <f>CUBEVALUE(ConnectionString,ReportMonth,Table1[[#This Row],[Site ID (from DATIM)]],"[Measures].[TX_CURR_F_A]")</f>
        <v>353</v>
      </c>
      <c r="BT189" s="68" vm="6827">
        <f>CUBEVALUE(ConnectionString,ReportMonth,Table1[[#This Row],[Site ID (from DATIM)]],"[Measures].[TX_CURR_M_A]")</f>
        <v>143</v>
      </c>
      <c r="BU189" s="68" vm="18355">
        <f>CUBEVALUE(ConnectionString,ReportMonth,Table1[[#This Row],[Site ID (from DATIM)]],"[Measures].[MMS_01_89_F_P]")</f>
        <v>4</v>
      </c>
      <c r="BV189" s="68" vm="18715">
        <f>CUBEVALUE(ConnectionString,ReportMonth,Table1[[#This Row],[Site ID (from DATIM)]],"[Measures].[MMS_01_89_M_P]")</f>
        <v>4</v>
      </c>
      <c r="BW189" s="68" vm="18600">
        <f>CUBEVALUE(ConnectionString,ReportMonth,Table1[[#This Row],[Site ID (from DATIM)]],"[Measures].[MMS_01_89_F_A]")</f>
        <v>32</v>
      </c>
      <c r="BX189" s="68" vm="16119">
        <f>CUBEVALUE(ConnectionString,ReportMonth,Table1[[#This Row],[Site ID (from DATIM)]],"[Measures].[MMS_01_89_M_A]")</f>
        <v>25</v>
      </c>
      <c r="BY189" s="68" vm="19413">
        <f>CUBEVALUE(ConnectionString,ReportMonth,Table1[[#This Row],[Site ID (from DATIM)]],"[Measures].[MMS_90_179_F_P]")</f>
        <v>11</v>
      </c>
      <c r="BZ189" s="68" vm="19308">
        <f>CUBEVALUE(ConnectionString,ReportMonth,Table1[[#This Row],[Site ID (from DATIM)]],"[Measures].[MMS_90_179_M_P]")</f>
        <v>14</v>
      </c>
      <c r="CA189" s="68" vm="15069">
        <f>CUBEVALUE(ConnectionString,ReportMonth,Table1[[#This Row],[Site ID (from DATIM)]],"[Measures].[MMS_90_179_F_A]")</f>
        <v>321</v>
      </c>
      <c r="CB189" s="68" vm="15988">
        <f>CUBEVALUE(ConnectionString,ReportMonth,Table1[[#This Row],[Site ID (from DATIM)]],"[Measures].[MMS_90_179_M_A]")</f>
        <v>118</v>
      </c>
      <c r="CC189" s="68" t="str" vm="257">
        <f>CUBEVALUE(ConnectionString,ReportMonth,Table1[[#This Row],[Site ID (from DATIM)]],"[Measures].[MMS_180+_F_P]")</f>
        <v/>
      </c>
      <c r="CD189" s="68" t="str" vm="14980">
        <f>CUBEVALUE(ConnectionString,ReportMonth,Table1[[#This Row],[Site ID (from DATIM)]],"[Measures].[MMS_180+_M_P]")</f>
        <v/>
      </c>
      <c r="CE189" s="68" t="str" vm="17192">
        <f>CUBEVALUE(ConnectionString,ReportMonth,Table1[[#This Row],[Site ID (from DATIM)]],"[Measures].[MMS_180+_F_A]")</f>
        <v/>
      </c>
      <c r="CF189" s="68" t="str" vm="11">
        <f>CUBEVALUE(ConnectionString,ReportMonth,Table1[[#This Row],[Site ID (from DATIM)]],"[Measures].[MMS_180+_M_A]")</f>
        <v/>
      </c>
      <c r="CG189" s="68" vm="5539">
        <f>CUBEVALUE(ConnectionString,ReportMonth,Table1[[#This Row],[Site ID (from DATIM)]],"[Measures].[MISSEDAPP]")</f>
        <v>211</v>
      </c>
      <c r="CH189" s="68" t="str" vm="11697">
        <f>CUBEVALUE(ConnectionString,ReportMonth,Table1[[#This Row],[Site ID (from DATIM)]],"[Measures].[MMS_180+_P]")</f>
        <v/>
      </c>
      <c r="CI189" s="68" t="str" vm="12885">
        <f>CUBEVALUE(ConnectionString,ReportMonth,Table1[[#This Row],[Site ID (from DATIM)]],"[Measures].[MMS_180+_A]")</f>
        <v/>
      </c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</row>
    <row r="190" spans="1:107" x14ac:dyDescent="0.25">
      <c r="A190" s="66">
        <v>4</v>
      </c>
      <c r="B190" s="67" t="str" vm="4">
        <f t="shared" si="3"/>
        <v>Mar-2021</v>
      </c>
      <c r="C190" s="67"/>
      <c r="D190" s="67" t="s">
        <v>232</v>
      </c>
      <c r="E190" s="67" t="s">
        <v>233</v>
      </c>
      <c r="F190" s="67" t="s">
        <v>437</v>
      </c>
      <c r="G190" s="67"/>
      <c r="H190" s="67" t="s">
        <v>461</v>
      </c>
      <c r="I190" s="67" t="s">
        <v>611</v>
      </c>
      <c r="J190" s="67" t="s">
        <v>612</v>
      </c>
      <c r="K190" s="67" t="s">
        <v>613</v>
      </c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 vm="1217">
        <f>CUBEVALUE(ConnectionString,ReportMonth,Table1[[#This Row],[Site ID (from DATIM)]],"TX_NEW_2VIS")</f>
        <v>2</v>
      </c>
      <c r="AE190" s="67" vm="1206">
        <f>CUBEVALUE(ConnectionString,ReportMonth,Table1[[#This Row],[Site ID (from DATIM)]],INDEX(SDI_Measures,1))</f>
        <v>2</v>
      </c>
      <c r="AF190" s="67" vm="344">
        <f>CUBEVALUE(ConnectionString,ReportMonth,Table1[[#This Row],[Site ID (from DATIM)]],INDEX(SDI_Measures,2))</f>
        <v>1</v>
      </c>
      <c r="AG190" s="67" t="str" vm="801">
        <f>CUBEVALUE(ConnectionString,ReportMonth,Table1[[#This Row],[Site ID (from DATIM)]],INDEX(SDI_Measures,3))</f>
        <v/>
      </c>
      <c r="AH190" s="67" vm="2735">
        <f>CUBEVALUE(ConnectionString,ReportMonth,Table1[[#This Row],[Site ID (from DATIM)]],"TX_CURR_PRIOR_MONTH")</f>
        <v>200</v>
      </c>
      <c r="AI190" s="67" vm="1169">
        <f>CUBEVALUE(ConnectionString,ReportMonth,Table1[[#This Row],[Site ID (from DATIM)]],"TX_CURR")</f>
        <v>202</v>
      </c>
      <c r="AJ190" s="67" vm="557">
        <f>CUBEVALUE(ConnectionString,ReportMonth,Table1[[#This Row],[Site ID (from DATIM)]],"[Measures].[TI]")</f>
        <v>1</v>
      </c>
      <c r="AK190" s="67" vm="3998">
        <f>CUBEVALUE(ConnectionString,ReportMonth,Table1[[#This Row],[Site ID (from DATIM)]],"[Measures].[TO]")</f>
        <v>2</v>
      </c>
      <c r="AL190" s="67" t="str" vm="2482">
        <f>CUBEVALUE(ConnectionString,ReportMonth,Table1[[#This Row],[Site ID (from DATIM)]],"[Measures].[DIED]")</f>
        <v/>
      </c>
      <c r="AM190" s="67" vm="3399">
        <f>CUBEVALUE(ConnectionString,ReportMonth,Table1[[#This Row],[Site ID (from DATIM)]],"[Measures].[MMS_01_31]")</f>
        <v>14</v>
      </c>
      <c r="AN190" s="67" vm="6201">
        <f>CUBEVALUE(ConnectionString,ReportMonth,Table1[[#This Row],[Site ID (from DATIM)]],"[Measures].[MMS_32_62]")</f>
        <v>2</v>
      </c>
      <c r="AO190" s="67" vm="6547">
        <f>CUBEVALUE(ConnectionString,ReportMonth,Table1[[#This Row],[Site ID (from DATIM)]],"[Measures].[MMS_63+]")</f>
        <v>186</v>
      </c>
      <c r="AP190" s="67" t="str" vm="6289">
        <f>CUBEVALUE(ConnectionString,ReportMonth,Table1[[#This Row],[Site ID (from DATIM)]],"[Measures].[TBPREV_D]")</f>
        <v/>
      </c>
      <c r="AQ190" s="67" t="str" vm="8660">
        <f>CUBEVALUE(ConnectionString,ReportMonth,Table1[[#This Row],[Site ID (from DATIM)]],"[Measures].[TBPREV_N]")</f>
        <v/>
      </c>
      <c r="AR190" s="67" vm="5486">
        <f>CUBEVALUE(ConnectionString,ReportMonth,Table1[[#This Row],[Site ID (from DATIM)]],"[Measures].[TBPREV_NEW]")</f>
        <v>5</v>
      </c>
      <c r="AS190" s="67" vm="6776">
        <f>CUBEVALUE(ConnectionString,ReportMonth,Table1[[#This Row],[Site ID (from DATIM)]],"[Measures].[HVL_ELIG_P]")</f>
        <v>15</v>
      </c>
      <c r="AT190" s="67" vm="9490">
        <f>CUBEVALUE(ConnectionString,ReportMonth,Table1[[#This Row],[Site ID (from DATIM)]],"[Measures].[HVL_D_P]")</f>
        <v>10</v>
      </c>
      <c r="AU190" s="67" vm="7913">
        <f>CUBEVALUE(ConnectionString,ReportMonth,Table1[[#This Row],[Site ID (from DATIM)]],"[Measures].[HVL_N_P]")</f>
        <v>8</v>
      </c>
      <c r="AV190" s="68" vm="9417">
        <f>CUBEVALUE(ConnectionString,ReportMonth,Table1[[#This Row],[Site ID (from DATIM)]],"[Measures].[HVL_ELIG_A]")</f>
        <v>169</v>
      </c>
      <c r="AW190" s="68" vm="9324">
        <f>CUBEVALUE(ConnectionString,ReportMonth,Table1[[#This Row],[Site ID (from DATIM)]],"[Measures].[HVL_D_A]")</f>
        <v>116</v>
      </c>
      <c r="AX190" s="68" vm="11630">
        <f>CUBEVALUE(ConnectionString,ReportMonth,Table1[[#This Row],[Site ID (from DATIM)]],"[Measures].[HVL_N_A]")</f>
        <v>105</v>
      </c>
      <c r="AY190" s="67"/>
      <c r="AZ190" s="67"/>
      <c r="BA190" s="67"/>
      <c r="BB190" s="67"/>
      <c r="BC190" s="67"/>
      <c r="BD190" s="67"/>
      <c r="BE190" s="67"/>
      <c r="BF190" s="67"/>
      <c r="BG190" s="67" vm="10860">
        <f>CUBEVALUE(ConnectionString,ReportMonth,Table1[[#This Row],[Site ID (from DATIM)]],"[Measures].[TX_NEW_F_A]")</f>
        <v>2</v>
      </c>
      <c r="BH190" s="67" vm="10924">
        <f>CUBEVALUE(ConnectionString,ReportMonth,Table1[[#This Row],[Site ID (from DATIM)]],"[Measures].[TX_NEW_M_A]")</f>
        <v>1</v>
      </c>
      <c r="BI190" s="67" t="str" vm="12580">
        <f>CUBEVALUE(ConnectionString,ReportMonth,Table1[[#This Row],[Site ID (from DATIM)]],"[Measures].[TX_NEW_F_P]")</f>
        <v/>
      </c>
      <c r="BJ190" s="68" t="str" vm="14307">
        <f>CUBEVALUE(ConnectionString,ReportMonth,Table1[[#This Row],[Site ID (from DATIM)]],"[Measures].[TX_NEW_M_P]")</f>
        <v/>
      </c>
      <c r="BK190" s="68"/>
      <c r="BL190" s="68"/>
      <c r="BM190" s="68"/>
      <c r="BN190" s="68"/>
      <c r="BO190" s="68"/>
      <c r="BP190" s="68"/>
      <c r="BQ190" s="68" vm="6840">
        <f>CUBEVALUE(ConnectionString,ReportMonth,Table1[[#This Row],[Site ID (from DATIM)]],"[Measures].[TX_CURR_F_P]")</f>
        <v>8</v>
      </c>
      <c r="BR190" s="68" vm="8779">
        <f>CUBEVALUE(ConnectionString,ReportMonth,Table1[[#This Row],[Site ID (from DATIM)]],"[Measures].[TX_CURR_M_P]")</f>
        <v>8</v>
      </c>
      <c r="BS190" s="68" vm="12413">
        <f>CUBEVALUE(ConnectionString,ReportMonth,Table1[[#This Row],[Site ID (from DATIM)]],"[Measures].[TX_CURR_F_A]")</f>
        <v>120</v>
      </c>
      <c r="BT190" s="68" vm="10837">
        <f>CUBEVALUE(ConnectionString,ReportMonth,Table1[[#This Row],[Site ID (from DATIM)]],"[Measures].[TX_CURR_M_A]")</f>
        <v>66</v>
      </c>
      <c r="BU190" s="68" vm="20095">
        <f>CUBEVALUE(ConnectionString,ReportMonth,Table1[[#This Row],[Site ID (from DATIM)]],"[Measures].[MMS_01_89_F_P]")</f>
        <v>3</v>
      </c>
      <c r="BV190" s="68" vm="19383">
        <f>CUBEVALUE(ConnectionString,ReportMonth,Table1[[#This Row],[Site ID (from DATIM)]],"[Measures].[MMS_01_89_M_P]")</f>
        <v>2</v>
      </c>
      <c r="BW190" s="68" vm="18046">
        <f>CUBEVALUE(ConnectionString,ReportMonth,Table1[[#This Row],[Site ID (from DATIM)]],"[Measures].[MMS_01_89_F_A]")</f>
        <v>8</v>
      </c>
      <c r="BX190" s="68" vm="16982">
        <f>CUBEVALUE(ConnectionString,ReportMonth,Table1[[#This Row],[Site ID (from DATIM)]],"[Measures].[MMS_01_89_M_A]")</f>
        <v>3</v>
      </c>
      <c r="BY190" s="68" vm="18857">
        <f>CUBEVALUE(ConnectionString,ReportMonth,Table1[[#This Row],[Site ID (from DATIM)]],"[Measures].[MMS_90_179_F_P]")</f>
        <v>5</v>
      </c>
      <c r="BZ190" s="68" vm="18479">
        <f>CUBEVALUE(ConnectionString,ReportMonth,Table1[[#This Row],[Site ID (from DATIM)]],"[Measures].[MMS_90_179_M_P]")</f>
        <v>6</v>
      </c>
      <c r="CA190" s="68" vm="17756">
        <f>CUBEVALUE(ConnectionString,ReportMonth,Table1[[#This Row],[Site ID (from DATIM)]],"[Measures].[MMS_90_179_F_A]")</f>
        <v>112</v>
      </c>
      <c r="CB190" s="68" vm="17708">
        <f>CUBEVALUE(ConnectionString,ReportMonth,Table1[[#This Row],[Site ID (from DATIM)]],"[Measures].[MMS_90_179_M_A]")</f>
        <v>63</v>
      </c>
      <c r="CC190" s="68" t="str" vm="16918">
        <f>CUBEVALUE(ConnectionString,ReportMonth,Table1[[#This Row],[Site ID (from DATIM)]],"[Measures].[MMS_180+_F_P]")</f>
        <v/>
      </c>
      <c r="CD190" s="68" t="str" vm="15818">
        <f>CUBEVALUE(ConnectionString,ReportMonth,Table1[[#This Row],[Site ID (from DATIM)]],"[Measures].[MMS_180+_M_P]")</f>
        <v/>
      </c>
      <c r="CE190" s="68" t="str" vm="20185">
        <f>CUBEVALUE(ConnectionString,ReportMonth,Table1[[#This Row],[Site ID (from DATIM)]],"[Measures].[MMS_180+_F_A]")</f>
        <v/>
      </c>
      <c r="CF190" s="68" t="str" vm="16283">
        <f>CUBEVALUE(ConnectionString,ReportMonth,Table1[[#This Row],[Site ID (from DATIM)]],"[Measures].[MMS_180+_M_A]")</f>
        <v/>
      </c>
      <c r="CG190" s="68" vm="11287">
        <f>CUBEVALUE(ConnectionString,ReportMonth,Table1[[#This Row],[Site ID (from DATIM)]],"[Measures].[MISSEDAPP]")</f>
        <v>32</v>
      </c>
      <c r="CH190" s="68" t="str" vm="11210">
        <f>CUBEVALUE(ConnectionString,ReportMonth,Table1[[#This Row],[Site ID (from DATIM)]],"[Measures].[MMS_180+_P]")</f>
        <v/>
      </c>
      <c r="CI190" s="68" t="str" vm="12889">
        <f>CUBEVALUE(ConnectionString,ReportMonth,Table1[[#This Row],[Site ID (from DATIM)]],"[Measures].[MMS_180+_A]")</f>
        <v/>
      </c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  <c r="CW190" s="68"/>
      <c r="CX190" s="68"/>
      <c r="CY190" s="68"/>
      <c r="CZ190" s="68"/>
      <c r="DA190" s="68"/>
      <c r="DB190" s="68"/>
      <c r="DC190" s="68"/>
    </row>
    <row r="191" spans="1:107" x14ac:dyDescent="0.25">
      <c r="A191" s="66">
        <v>4</v>
      </c>
      <c r="B191" s="67" t="str" vm="4">
        <f t="shared" si="3"/>
        <v>Mar-2021</v>
      </c>
      <c r="C191" s="67"/>
      <c r="D191" s="67" t="s">
        <v>232</v>
      </c>
      <c r="E191" s="67" t="s">
        <v>233</v>
      </c>
      <c r="F191" s="67" t="s">
        <v>831</v>
      </c>
      <c r="G191" s="67"/>
      <c r="H191" s="67" t="s">
        <v>856</v>
      </c>
      <c r="I191" s="67" t="s">
        <v>939</v>
      </c>
      <c r="J191" s="67" t="s">
        <v>940</v>
      </c>
      <c r="K191" s="67" t="s">
        <v>941</v>
      </c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 t="str" vm="4414">
        <f>CUBEVALUE(ConnectionString,ReportMonth,Table1[[#This Row],[Site ID (from DATIM)]],"TX_NEW_2VIS")</f>
        <v/>
      </c>
      <c r="AE191" s="67" t="str" vm="3175">
        <f>CUBEVALUE(ConnectionString,ReportMonth,Table1[[#This Row],[Site ID (from DATIM)]],INDEX(SDI_Measures,1))</f>
        <v/>
      </c>
      <c r="AF191" s="67" t="str" vm="776">
        <f>CUBEVALUE(ConnectionString,ReportMonth,Table1[[#This Row],[Site ID (from DATIM)]],INDEX(SDI_Measures,2))</f>
        <v/>
      </c>
      <c r="AG191" s="67" t="str" vm="1559">
        <f>CUBEVALUE(ConnectionString,ReportMonth,Table1[[#This Row],[Site ID (from DATIM)]],INDEX(SDI_Measures,3))</f>
        <v/>
      </c>
      <c r="AH191" s="67" vm="930">
        <f>CUBEVALUE(ConnectionString,ReportMonth,Table1[[#This Row],[Site ID (from DATIM)]],"TX_CURR_PRIOR_MONTH")</f>
        <v>113</v>
      </c>
      <c r="AI191" s="67" vm="1518">
        <f>CUBEVALUE(ConnectionString,ReportMonth,Table1[[#This Row],[Site ID (from DATIM)]],"TX_CURR")</f>
        <v>65</v>
      </c>
      <c r="AJ191" s="67" t="str" vm="2767">
        <f>CUBEVALUE(ConnectionString,ReportMonth,Table1[[#This Row],[Site ID (from DATIM)]],"[Measures].[TI]")</f>
        <v/>
      </c>
      <c r="AK191" s="67" t="str" vm="1186">
        <f>CUBEVALUE(ConnectionString,ReportMonth,Table1[[#This Row],[Site ID (from DATIM)]],"[Measures].[TO]")</f>
        <v/>
      </c>
      <c r="AL191" s="67" t="str" vm="1829">
        <f>CUBEVALUE(ConnectionString,ReportMonth,Table1[[#This Row],[Site ID (from DATIM)]],"[Measures].[DIED]")</f>
        <v/>
      </c>
      <c r="AM191" s="67" t="str" vm="7378">
        <f>CUBEVALUE(ConnectionString,ReportMonth,Table1[[#This Row],[Site ID (from DATIM)]],"[Measures].[MMS_01_31]")</f>
        <v/>
      </c>
      <c r="AN191" s="67" t="str" vm="4898">
        <f>CUBEVALUE(ConnectionString,ReportMonth,Table1[[#This Row],[Site ID (from DATIM)]],"[Measures].[MMS_32_62]")</f>
        <v/>
      </c>
      <c r="AO191" s="67" vm="7619">
        <f>CUBEVALUE(ConnectionString,ReportMonth,Table1[[#This Row],[Site ID (from DATIM)]],"[Measures].[MMS_63+]")</f>
        <v>65</v>
      </c>
      <c r="AP191" s="67" vm="5784">
        <f>CUBEVALUE(ConnectionString,ReportMonth,Table1[[#This Row],[Site ID (from DATIM)]],"[Measures].[TBPREV_D]")</f>
        <v>3</v>
      </c>
      <c r="AQ191" s="67" t="str" vm="6677">
        <f>CUBEVALUE(ConnectionString,ReportMonth,Table1[[#This Row],[Site ID (from DATIM)]],"[Measures].[TBPREV_N]")</f>
        <v/>
      </c>
      <c r="AR191" s="67" t="str" vm="4199">
        <f>CUBEVALUE(ConnectionString,ReportMonth,Table1[[#This Row],[Site ID (from DATIM)]],"[Measures].[TBPREV_NEW]")</f>
        <v/>
      </c>
      <c r="AS191" s="67" t="str" vm="9591">
        <f>CUBEVALUE(ConnectionString,ReportMonth,Table1[[#This Row],[Site ID (from DATIM)]],"[Measures].[HVL_ELIG_P]")</f>
        <v/>
      </c>
      <c r="AT191" s="67" vm="11347">
        <f>CUBEVALUE(ConnectionString,ReportMonth,Table1[[#This Row],[Site ID (from DATIM)]],"[Measures].[HVL_D_P]")</f>
        <v>13</v>
      </c>
      <c r="AU191" s="67" vm="15262">
        <f>CUBEVALUE(ConnectionString,ReportMonth,Table1[[#This Row],[Site ID (from DATIM)]],"[Measures].[HVL_N_P]")</f>
        <v>9</v>
      </c>
      <c r="AV191" s="68" vm="9898">
        <f>CUBEVALUE(ConnectionString,ReportMonth,Table1[[#This Row],[Site ID (from DATIM)]],"[Measures].[HVL_ELIG_A]")</f>
        <v>64</v>
      </c>
      <c r="AW191" s="68" vm="12969">
        <f>CUBEVALUE(ConnectionString,ReportMonth,Table1[[#This Row],[Site ID (from DATIM)]],"[Measures].[HVL_D_A]")</f>
        <v>127</v>
      </c>
      <c r="AX191" s="68" vm="6816">
        <f>CUBEVALUE(ConnectionString,ReportMonth,Table1[[#This Row],[Site ID (from DATIM)]],"[Measures].[HVL_N_A]")</f>
        <v>122</v>
      </c>
      <c r="AY191" s="67"/>
      <c r="AZ191" s="67"/>
      <c r="BA191" s="67"/>
      <c r="BB191" s="67"/>
      <c r="BC191" s="67"/>
      <c r="BD191" s="67"/>
      <c r="BE191" s="67"/>
      <c r="BF191" s="67"/>
      <c r="BG191" s="67" t="str" vm="12553">
        <f>CUBEVALUE(ConnectionString,ReportMonth,Table1[[#This Row],[Site ID (from DATIM)]],"[Measures].[TX_NEW_F_A]")</f>
        <v/>
      </c>
      <c r="BH191" s="67" t="str" vm="13413">
        <f>CUBEVALUE(ConnectionString,ReportMonth,Table1[[#This Row],[Site ID (from DATIM)]],"[Measures].[TX_NEW_M_A]")</f>
        <v/>
      </c>
      <c r="BI191" s="67" t="str" vm="12910">
        <f>CUBEVALUE(ConnectionString,ReportMonth,Table1[[#This Row],[Site ID (from DATIM)]],"[Measures].[TX_NEW_F_P]")</f>
        <v/>
      </c>
      <c r="BJ191" s="68" t="str" vm="13112">
        <f>CUBEVALUE(ConnectionString,ReportMonth,Table1[[#This Row],[Site ID (from DATIM)]],"[Measures].[TX_NEW_M_P]")</f>
        <v/>
      </c>
      <c r="BK191" s="68"/>
      <c r="BL191" s="68"/>
      <c r="BM191" s="68"/>
      <c r="BN191" s="68"/>
      <c r="BO191" s="68"/>
      <c r="BP191" s="68"/>
      <c r="BQ191" s="68" t="str" vm="10703">
        <f>CUBEVALUE(ConnectionString,ReportMonth,Table1[[#This Row],[Site ID (from DATIM)]],"[Measures].[TX_CURR_F_P]")</f>
        <v/>
      </c>
      <c r="BR191" s="68" t="str" vm="16551">
        <f>CUBEVALUE(ConnectionString,ReportMonth,Table1[[#This Row],[Site ID (from DATIM)]],"[Measures].[TX_CURR_M_P]")</f>
        <v/>
      </c>
      <c r="BS191" s="68" vm="7981">
        <f>CUBEVALUE(ConnectionString,ReportMonth,Table1[[#This Row],[Site ID (from DATIM)]],"[Measures].[TX_CURR_F_A]")</f>
        <v>47</v>
      </c>
      <c r="BT191" s="68" vm="11688">
        <f>CUBEVALUE(ConnectionString,ReportMonth,Table1[[#This Row],[Site ID (from DATIM)]],"[Measures].[TX_CURR_M_A]")</f>
        <v>18</v>
      </c>
      <c r="BU191" s="68" t="str" vm="18138">
        <f>CUBEVALUE(ConnectionString,ReportMonth,Table1[[#This Row],[Site ID (from DATIM)]],"[Measures].[MMS_01_89_F_P]")</f>
        <v/>
      </c>
      <c r="BV191" s="68" t="str" vm="20101">
        <f>CUBEVALUE(ConnectionString,ReportMonth,Table1[[#This Row],[Site ID (from DATIM)]],"[Measures].[MMS_01_89_M_P]")</f>
        <v/>
      </c>
      <c r="BW191" s="68" vm="18644">
        <f>CUBEVALUE(ConnectionString,ReportMonth,Table1[[#This Row],[Site ID (from DATIM)]],"[Measures].[MMS_01_89_F_A]")</f>
        <v>1</v>
      </c>
      <c r="BX191" s="68" vm="17863">
        <f>CUBEVALUE(ConnectionString,ReportMonth,Table1[[#This Row],[Site ID (from DATIM)]],"[Measures].[MMS_01_89_M_A]")</f>
        <v>1</v>
      </c>
      <c r="BY191" s="68" t="str" vm="16767">
        <f>CUBEVALUE(ConnectionString,ReportMonth,Table1[[#This Row],[Site ID (from DATIM)]],"[Measures].[MMS_90_179_F_P]")</f>
        <v/>
      </c>
      <c r="BZ191" s="68" t="str" vm="15229">
        <f>CUBEVALUE(ConnectionString,ReportMonth,Table1[[#This Row],[Site ID (from DATIM)]],"[Measures].[MMS_90_179_M_P]")</f>
        <v/>
      </c>
      <c r="CA191" s="68" vm="16018">
        <f>CUBEVALUE(ConnectionString,ReportMonth,Table1[[#This Row],[Site ID (from DATIM)]],"[Measures].[MMS_90_179_F_A]")</f>
        <v>46</v>
      </c>
      <c r="CB191" s="68" vm="17348">
        <f>CUBEVALUE(ConnectionString,ReportMonth,Table1[[#This Row],[Site ID (from DATIM)]],"[Measures].[MMS_90_179_M_A]")</f>
        <v>17</v>
      </c>
      <c r="CC191" s="68" t="str" vm="14589">
        <f>CUBEVALUE(ConnectionString,ReportMonth,Table1[[#This Row],[Site ID (from DATIM)]],"[Measures].[MMS_180+_F_P]")</f>
        <v/>
      </c>
      <c r="CD191" s="68" t="str" vm="14572">
        <f>CUBEVALUE(ConnectionString,ReportMonth,Table1[[#This Row],[Site ID (from DATIM)]],"[Measures].[MMS_180+_M_P]")</f>
        <v/>
      </c>
      <c r="CE191" s="68" t="str" vm="20194">
        <f>CUBEVALUE(ConnectionString,ReportMonth,Table1[[#This Row],[Site ID (from DATIM)]],"[Measures].[MMS_180+_F_A]")</f>
        <v/>
      </c>
      <c r="CF191" s="68" t="str" vm="203">
        <f>CUBEVALUE(ConnectionString,ReportMonth,Table1[[#This Row],[Site ID (from DATIM)]],"[Measures].[MMS_180+_M_A]")</f>
        <v/>
      </c>
      <c r="CG191" s="68" vm="6158">
        <f>CUBEVALUE(ConnectionString,ReportMonth,Table1[[#This Row],[Site ID (from DATIM)]],"[Measures].[MISSEDAPP]")</f>
        <v>57</v>
      </c>
      <c r="CH191" s="68" t="str" vm="11256">
        <f>CUBEVALUE(ConnectionString,ReportMonth,Table1[[#This Row],[Site ID (from DATIM)]],"[Measures].[MMS_180+_P]")</f>
        <v/>
      </c>
      <c r="CI191" s="68" t="str" vm="11449">
        <f>CUBEVALUE(ConnectionString,ReportMonth,Table1[[#This Row],[Site ID (from DATIM)]],"[Measures].[MMS_180+_A]")</f>
        <v/>
      </c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  <c r="CW191" s="68"/>
      <c r="CX191" s="68"/>
      <c r="CY191" s="68"/>
      <c r="CZ191" s="68"/>
      <c r="DA191" s="68"/>
      <c r="DB191" s="68"/>
      <c r="DC191" s="68"/>
    </row>
    <row r="192" spans="1:107" x14ac:dyDescent="0.25">
      <c r="A192" s="66">
        <v>4</v>
      </c>
      <c r="B192" s="67" t="str" vm="4">
        <f t="shared" si="3"/>
        <v>Mar-2021</v>
      </c>
      <c r="C192" s="67"/>
      <c r="D192" s="67" t="s">
        <v>232</v>
      </c>
      <c r="E192" s="67" t="s">
        <v>233</v>
      </c>
      <c r="F192" s="67" t="s">
        <v>831</v>
      </c>
      <c r="G192" s="67"/>
      <c r="H192" s="67" t="s">
        <v>840</v>
      </c>
      <c r="I192" s="67" t="s">
        <v>942</v>
      </c>
      <c r="J192" s="67" t="s">
        <v>943</v>
      </c>
      <c r="K192" s="67" t="s">
        <v>944</v>
      </c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 t="str" vm="3561">
        <f>CUBEVALUE(ConnectionString,ReportMonth,Table1[[#This Row],[Site ID (from DATIM)]],"TX_NEW_2VIS")</f>
        <v/>
      </c>
      <c r="AE192" s="67" t="str" vm="2923">
        <f>CUBEVALUE(ConnectionString,ReportMonth,Table1[[#This Row],[Site ID (from DATIM)]],INDEX(SDI_Measures,1))</f>
        <v/>
      </c>
      <c r="AF192" s="67" t="str" vm="3096">
        <f>CUBEVALUE(ConnectionString,ReportMonth,Table1[[#This Row],[Site ID (from DATIM)]],INDEX(SDI_Measures,2))</f>
        <v/>
      </c>
      <c r="AG192" s="67" t="str" vm="2584">
        <f>CUBEVALUE(ConnectionString,ReportMonth,Table1[[#This Row],[Site ID (from DATIM)]],INDEX(SDI_Measures,3))</f>
        <v/>
      </c>
      <c r="AH192" s="67" vm="3524">
        <f>CUBEVALUE(ConnectionString,ReportMonth,Table1[[#This Row],[Site ID (from DATIM)]],"TX_CURR_PRIOR_MONTH")</f>
        <v>189</v>
      </c>
      <c r="AI192" s="67" vm="4478">
        <f>CUBEVALUE(ConnectionString,ReportMonth,Table1[[#This Row],[Site ID (from DATIM)]],"TX_CURR")</f>
        <v>185</v>
      </c>
      <c r="AJ192" s="67" t="str" vm="1551">
        <f>CUBEVALUE(ConnectionString,ReportMonth,Table1[[#This Row],[Site ID (from DATIM)]],"[Measures].[TI]")</f>
        <v/>
      </c>
      <c r="AK192" s="67" t="str" vm="4328">
        <f>CUBEVALUE(ConnectionString,ReportMonth,Table1[[#This Row],[Site ID (from DATIM)]],"[Measures].[TO]")</f>
        <v/>
      </c>
      <c r="AL192" s="67" t="str" vm="2173">
        <f>CUBEVALUE(ConnectionString,ReportMonth,Table1[[#This Row],[Site ID (from DATIM)]],"[Measures].[DIED]")</f>
        <v/>
      </c>
      <c r="AM192" s="67" vm="4073">
        <f>CUBEVALUE(ConnectionString,ReportMonth,Table1[[#This Row],[Site ID (from DATIM)]],"[Measures].[MMS_01_31]")</f>
        <v>125</v>
      </c>
      <c r="AN192" s="67" vm="4654">
        <f>CUBEVALUE(ConnectionString,ReportMonth,Table1[[#This Row],[Site ID (from DATIM)]],"[Measures].[MMS_32_62]")</f>
        <v>7</v>
      </c>
      <c r="AO192" s="67" vm="8198">
        <f>CUBEVALUE(ConnectionString,ReportMonth,Table1[[#This Row],[Site ID (from DATIM)]],"[Measures].[MMS_63+]")</f>
        <v>53</v>
      </c>
      <c r="AP192" s="67" t="str" vm="4825">
        <f>CUBEVALUE(ConnectionString,ReportMonth,Table1[[#This Row],[Site ID (from DATIM)]],"[Measures].[TBPREV_D]")</f>
        <v/>
      </c>
      <c r="AQ192" s="67" t="str" vm="4677">
        <f>CUBEVALUE(ConnectionString,ReportMonth,Table1[[#This Row],[Site ID (from DATIM)]],"[Measures].[TBPREV_N]")</f>
        <v/>
      </c>
      <c r="AR192" s="67" t="str" vm="7070">
        <f>CUBEVALUE(ConnectionString,ReportMonth,Table1[[#This Row],[Site ID (from DATIM)]],"[Measures].[TBPREV_NEW]")</f>
        <v/>
      </c>
      <c r="AS192" s="67" vm="5453">
        <f>CUBEVALUE(ConnectionString,ReportMonth,Table1[[#This Row],[Site ID (from DATIM)]],"[Measures].[HVL_ELIG_P]")</f>
        <v>6</v>
      </c>
      <c r="AT192" s="67" vm="10035">
        <f>CUBEVALUE(ConnectionString,ReportMonth,Table1[[#This Row],[Site ID (from DATIM)]],"[Measures].[HVL_D_P]")</f>
        <v>1</v>
      </c>
      <c r="AU192" s="67" t="str" vm="8780">
        <f>CUBEVALUE(ConnectionString,ReportMonth,Table1[[#This Row],[Site ID (from DATIM)]],"[Measures].[HVL_N_P]")</f>
        <v/>
      </c>
      <c r="AV192" s="68" vm="10069">
        <f>CUBEVALUE(ConnectionString,ReportMonth,Table1[[#This Row],[Site ID (from DATIM)]],"[Measures].[HVL_ELIG_A]")</f>
        <v>176</v>
      </c>
      <c r="AW192" s="68" vm="9613">
        <f>CUBEVALUE(ConnectionString,ReportMonth,Table1[[#This Row],[Site ID (from DATIM)]],"[Measures].[HVL_D_A]")</f>
        <v>54</v>
      </c>
      <c r="AX192" s="68" vm="8134">
        <f>CUBEVALUE(ConnectionString,ReportMonth,Table1[[#This Row],[Site ID (from DATIM)]],"[Measures].[HVL_N_A]")</f>
        <v>44</v>
      </c>
      <c r="AY192" s="67"/>
      <c r="AZ192" s="67"/>
      <c r="BA192" s="67"/>
      <c r="BB192" s="67"/>
      <c r="BC192" s="67"/>
      <c r="BD192" s="67"/>
      <c r="BE192" s="67"/>
      <c r="BF192" s="67"/>
      <c r="BG192" s="67" t="str" vm="12702">
        <f>CUBEVALUE(ConnectionString,ReportMonth,Table1[[#This Row],[Site ID (from DATIM)]],"[Measures].[TX_NEW_F_A]")</f>
        <v/>
      </c>
      <c r="BH192" s="67" t="str" vm="14844">
        <f>CUBEVALUE(ConnectionString,ReportMonth,Table1[[#This Row],[Site ID (from DATIM)]],"[Measures].[TX_NEW_M_A]")</f>
        <v/>
      </c>
      <c r="BI192" s="67" t="str" vm="13475">
        <f>CUBEVALUE(ConnectionString,ReportMonth,Table1[[#This Row],[Site ID (from DATIM)]],"[Measures].[TX_NEW_F_P]")</f>
        <v/>
      </c>
      <c r="BJ192" s="68" t="str" vm="17429">
        <f>CUBEVALUE(ConnectionString,ReportMonth,Table1[[#This Row],[Site ID (from DATIM)]],"[Measures].[TX_NEW_M_P]")</f>
        <v/>
      </c>
      <c r="BK192" s="68"/>
      <c r="BL192" s="68"/>
      <c r="BM192" s="68"/>
      <c r="BN192" s="68"/>
      <c r="BO192" s="68"/>
      <c r="BP192" s="68"/>
      <c r="BQ192" s="68" vm="11261">
        <f>CUBEVALUE(ConnectionString,ReportMonth,Table1[[#This Row],[Site ID (from DATIM)]],"[Measures].[TX_CURR_F_P]")</f>
        <v>2</v>
      </c>
      <c r="BR192" s="68" vm="10254">
        <f>CUBEVALUE(ConnectionString,ReportMonth,Table1[[#This Row],[Site ID (from DATIM)]],"[Measures].[TX_CURR_M_P]")</f>
        <v>4</v>
      </c>
      <c r="BS192" s="68" vm="9918">
        <f>CUBEVALUE(ConnectionString,ReportMonth,Table1[[#This Row],[Site ID (from DATIM)]],"[Measures].[TX_CURR_F_A]")</f>
        <v>135</v>
      </c>
      <c r="BT192" s="68" vm="10453">
        <f>CUBEVALUE(ConnectionString,ReportMonth,Table1[[#This Row],[Site ID (from DATIM)]],"[Measures].[TX_CURR_M_A]")</f>
        <v>44</v>
      </c>
      <c r="BU192" s="68" vm="18391">
        <f>CUBEVALUE(ConnectionString,ReportMonth,Table1[[#This Row],[Site ID (from DATIM)]],"[Measures].[MMS_01_89_F_P]")</f>
        <v>1</v>
      </c>
      <c r="BV192" s="68" vm="20005">
        <f>CUBEVALUE(ConnectionString,ReportMonth,Table1[[#This Row],[Site ID (from DATIM)]],"[Measures].[MMS_01_89_M_P]")</f>
        <v>4</v>
      </c>
      <c r="BW192" s="68" vm="19976">
        <f>CUBEVALUE(ConnectionString,ReportMonth,Table1[[#This Row],[Site ID (from DATIM)]],"[Measures].[MMS_01_89_F_A]")</f>
        <v>94</v>
      </c>
      <c r="BX192" s="68" vm="19694">
        <f>CUBEVALUE(ConnectionString,ReportMonth,Table1[[#This Row],[Site ID (from DATIM)]],"[Measures].[MMS_01_89_M_A]")</f>
        <v>33</v>
      </c>
      <c r="BY192" s="68" vm="17826">
        <f>CUBEVALUE(ConnectionString,ReportMonth,Table1[[#This Row],[Site ID (from DATIM)]],"[Measures].[MMS_90_179_F_P]")</f>
        <v>1</v>
      </c>
      <c r="BZ192" s="68" t="str" vm="16062">
        <f>CUBEVALUE(ConnectionString,ReportMonth,Table1[[#This Row],[Site ID (from DATIM)]],"[Measures].[MMS_90_179_M_P]")</f>
        <v/>
      </c>
      <c r="CA192" s="68" vm="16838">
        <f>CUBEVALUE(ConnectionString,ReportMonth,Table1[[#This Row],[Site ID (from DATIM)]],"[Measures].[MMS_90_179_F_A]")</f>
        <v>41</v>
      </c>
      <c r="CB192" s="68" vm="16011">
        <f>CUBEVALUE(ConnectionString,ReportMonth,Table1[[#This Row],[Site ID (from DATIM)]],"[Measures].[MMS_90_179_M_A]")</f>
        <v>11</v>
      </c>
      <c r="CC192" s="68" t="str" vm="14651">
        <f>CUBEVALUE(ConnectionString,ReportMonth,Table1[[#This Row],[Site ID (from DATIM)]],"[Measures].[MMS_180+_F_P]")</f>
        <v/>
      </c>
      <c r="CD192" s="68" t="str" vm="14480">
        <f>CUBEVALUE(ConnectionString,ReportMonth,Table1[[#This Row],[Site ID (from DATIM)]],"[Measures].[MMS_180+_M_P]")</f>
        <v/>
      </c>
      <c r="CE192" s="68" t="str" vm="16254">
        <f>CUBEVALUE(ConnectionString,ReportMonth,Table1[[#This Row],[Site ID (from DATIM)]],"[Measures].[MMS_180+_F_A]")</f>
        <v/>
      </c>
      <c r="CF192" s="68" t="str" vm="36">
        <f>CUBEVALUE(ConnectionString,ReportMonth,Table1[[#This Row],[Site ID (from DATIM)]],"[Measures].[MMS_180+_M_A]")</f>
        <v/>
      </c>
      <c r="CG192" s="68" vm="7697">
        <f>CUBEVALUE(ConnectionString,ReportMonth,Table1[[#This Row],[Site ID (from DATIM)]],"[Measures].[MISSEDAPP]")</f>
        <v>153</v>
      </c>
      <c r="CH192" s="68" t="str" vm="14351">
        <f>CUBEVALUE(ConnectionString,ReportMonth,Table1[[#This Row],[Site ID (from DATIM)]],"[Measures].[MMS_180+_P]")</f>
        <v/>
      </c>
      <c r="CI192" s="68" t="str" vm="13874">
        <f>CUBEVALUE(ConnectionString,ReportMonth,Table1[[#This Row],[Site ID (from DATIM)]],"[Measures].[MMS_180+_A]")</f>
        <v/>
      </c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  <c r="CW192" s="68"/>
      <c r="CX192" s="68"/>
      <c r="CY192" s="68"/>
      <c r="CZ192" s="68"/>
      <c r="DA192" s="68"/>
      <c r="DB192" s="68"/>
      <c r="DC192" s="68"/>
    </row>
    <row r="193" spans="1:107" x14ac:dyDescent="0.25">
      <c r="A193" s="66">
        <v>4</v>
      </c>
      <c r="B193" s="67" t="str" vm="4">
        <f t="shared" si="3"/>
        <v>Mar-2021</v>
      </c>
      <c r="C193" s="67"/>
      <c r="D193" s="67" t="s">
        <v>232</v>
      </c>
      <c r="E193" s="67" t="s">
        <v>233</v>
      </c>
      <c r="F193" s="67" t="s">
        <v>1083</v>
      </c>
      <c r="G193" s="67"/>
      <c r="H193" s="67" t="s">
        <v>1113</v>
      </c>
      <c r="I193" s="67" t="s">
        <v>1190</v>
      </c>
      <c r="J193" s="67" t="s">
        <v>1191</v>
      </c>
      <c r="K193" s="67" t="s">
        <v>1192</v>
      </c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 t="str" vm="1780">
        <f>CUBEVALUE(ConnectionString,ReportMonth,Table1[[#This Row],[Site ID (from DATIM)]],"TX_NEW_2VIS")</f>
        <v/>
      </c>
      <c r="AE193" s="67" t="str" vm="6510">
        <f>CUBEVALUE(ConnectionString,ReportMonth,Table1[[#This Row],[Site ID (from DATIM)]],INDEX(SDI_Measures,1))</f>
        <v/>
      </c>
      <c r="AF193" s="67" t="str" vm="225">
        <f>CUBEVALUE(ConnectionString,ReportMonth,Table1[[#This Row],[Site ID (from DATIM)]],INDEX(SDI_Measures,2))</f>
        <v/>
      </c>
      <c r="AG193" s="67" t="str" vm="493">
        <f>CUBEVALUE(ConnectionString,ReportMonth,Table1[[#This Row],[Site ID (from DATIM)]],INDEX(SDI_Measures,3))</f>
        <v/>
      </c>
      <c r="AH193" s="67" vm="2557">
        <f>CUBEVALUE(ConnectionString,ReportMonth,Table1[[#This Row],[Site ID (from DATIM)]],"TX_CURR_PRIOR_MONTH")</f>
        <v>23</v>
      </c>
      <c r="AI193" s="67" t="str" vm="3935">
        <f>CUBEVALUE(ConnectionString,ReportMonth,Table1[[#This Row],[Site ID (from DATIM)]],"TX_CURR")</f>
        <v/>
      </c>
      <c r="AJ193" s="67" t="str" vm="610">
        <f>CUBEVALUE(ConnectionString,ReportMonth,Table1[[#This Row],[Site ID (from DATIM)]],"[Measures].[TI]")</f>
        <v/>
      </c>
      <c r="AK193" s="67" t="str" vm="3426">
        <f>CUBEVALUE(ConnectionString,ReportMonth,Table1[[#This Row],[Site ID (from DATIM)]],"[Measures].[TO]")</f>
        <v/>
      </c>
      <c r="AL193" s="67" t="str" vm="3991">
        <f>CUBEVALUE(ConnectionString,ReportMonth,Table1[[#This Row],[Site ID (from DATIM)]],"[Measures].[DIED]")</f>
        <v/>
      </c>
      <c r="AM193" s="67" t="str" vm="6632">
        <f>CUBEVALUE(ConnectionString,ReportMonth,Table1[[#This Row],[Site ID (from DATIM)]],"[Measures].[MMS_01_31]")</f>
        <v/>
      </c>
      <c r="AN193" s="67" t="str" vm="4818">
        <f>CUBEVALUE(ConnectionString,ReportMonth,Table1[[#This Row],[Site ID (from DATIM)]],"[Measures].[MMS_32_62]")</f>
        <v/>
      </c>
      <c r="AO193" s="67" t="str" vm="12665">
        <f>CUBEVALUE(ConnectionString,ReportMonth,Table1[[#This Row],[Site ID (from DATIM)]],"[Measures].[MMS_63+]")</f>
        <v/>
      </c>
      <c r="AP193" s="67" t="str" vm="7772">
        <f>CUBEVALUE(ConnectionString,ReportMonth,Table1[[#This Row],[Site ID (from DATIM)]],"[Measures].[TBPREV_D]")</f>
        <v/>
      </c>
      <c r="AQ193" s="67" t="str" vm="6303">
        <f>CUBEVALUE(ConnectionString,ReportMonth,Table1[[#This Row],[Site ID (from DATIM)]],"[Measures].[TBPREV_N]")</f>
        <v/>
      </c>
      <c r="AR193" s="67" t="str" vm="7373">
        <f>CUBEVALUE(ConnectionString,ReportMonth,Table1[[#This Row],[Site ID (from DATIM)]],"[Measures].[TBPREV_NEW]")</f>
        <v/>
      </c>
      <c r="AS193" s="67" t="str" vm="6321">
        <f>CUBEVALUE(ConnectionString,ReportMonth,Table1[[#This Row],[Site ID (from DATIM)]],"[Measures].[HVL_ELIG_P]")</f>
        <v/>
      </c>
      <c r="AT193" s="67" t="str" vm="5553">
        <f>CUBEVALUE(ConnectionString,ReportMonth,Table1[[#This Row],[Site ID (from DATIM)]],"[Measures].[HVL_D_P]")</f>
        <v/>
      </c>
      <c r="AU193" s="67" t="str" vm="10939">
        <f>CUBEVALUE(ConnectionString,ReportMonth,Table1[[#This Row],[Site ID (from DATIM)]],"[Measures].[HVL_N_P]")</f>
        <v/>
      </c>
      <c r="AV193" s="68" t="str" vm="6837">
        <f>CUBEVALUE(ConnectionString,ReportMonth,Table1[[#This Row],[Site ID (from DATIM)]],"[Measures].[HVL_ELIG_A]")</f>
        <v/>
      </c>
      <c r="AW193" s="68" t="str" vm="15264">
        <f>CUBEVALUE(ConnectionString,ReportMonth,Table1[[#This Row],[Site ID (from DATIM)]],"[Measures].[HVL_D_A]")</f>
        <v/>
      </c>
      <c r="AX193" s="68" t="str" vm="9317">
        <f>CUBEVALUE(ConnectionString,ReportMonth,Table1[[#This Row],[Site ID (from DATIM)]],"[Measures].[HVL_N_A]")</f>
        <v/>
      </c>
      <c r="AY193" s="67"/>
      <c r="AZ193" s="67"/>
      <c r="BA193" s="67"/>
      <c r="BB193" s="67"/>
      <c r="BC193" s="67"/>
      <c r="BD193" s="67"/>
      <c r="BE193" s="67"/>
      <c r="BF193" s="67"/>
      <c r="BG193" s="67" t="str" vm="17432">
        <f>CUBEVALUE(ConnectionString,ReportMonth,Table1[[#This Row],[Site ID (from DATIM)]],"[Measures].[TX_NEW_F_A]")</f>
        <v/>
      </c>
      <c r="BH193" s="67" t="str" vm="10870">
        <f>CUBEVALUE(ConnectionString,ReportMonth,Table1[[#This Row],[Site ID (from DATIM)]],"[Measures].[TX_NEW_M_A]")</f>
        <v/>
      </c>
      <c r="BI193" s="67" t="str" vm="16546">
        <f>CUBEVALUE(ConnectionString,ReportMonth,Table1[[#This Row],[Site ID (from DATIM)]],"[Measures].[TX_NEW_F_P]")</f>
        <v/>
      </c>
      <c r="BJ193" s="68" t="str" vm="12330">
        <f>CUBEVALUE(ConnectionString,ReportMonth,Table1[[#This Row],[Site ID (from DATIM)]],"[Measures].[TX_NEW_M_P]")</f>
        <v/>
      </c>
      <c r="BK193" s="68"/>
      <c r="BL193" s="68"/>
      <c r="BM193" s="68"/>
      <c r="BN193" s="68"/>
      <c r="BO193" s="68"/>
      <c r="BP193" s="68"/>
      <c r="BQ193" s="68" t="str" vm="9412">
        <f>CUBEVALUE(ConnectionString,ReportMonth,Table1[[#This Row],[Site ID (from DATIM)]],"[Measures].[TX_CURR_F_P]")</f>
        <v/>
      </c>
      <c r="BR193" s="68" t="str" vm="11979">
        <f>CUBEVALUE(ConnectionString,ReportMonth,Table1[[#This Row],[Site ID (from DATIM)]],"[Measures].[TX_CURR_M_P]")</f>
        <v/>
      </c>
      <c r="BS193" s="68" t="str" vm="8278">
        <f>CUBEVALUE(ConnectionString,ReportMonth,Table1[[#This Row],[Site ID (from DATIM)]],"[Measures].[TX_CURR_F_A]")</f>
        <v/>
      </c>
      <c r="BT193" s="68" t="str" vm="12643">
        <f>CUBEVALUE(ConnectionString,ReportMonth,Table1[[#This Row],[Site ID (from DATIM)]],"[Measures].[TX_CURR_M_A]")</f>
        <v/>
      </c>
      <c r="BU193" s="68" t="str" vm="17913">
        <f>CUBEVALUE(ConnectionString,ReportMonth,Table1[[#This Row],[Site ID (from DATIM)]],"[Measures].[MMS_01_89_F_P]")</f>
        <v/>
      </c>
      <c r="BV193" s="68" t="str" vm="18647">
        <f>CUBEVALUE(ConnectionString,ReportMonth,Table1[[#This Row],[Site ID (from DATIM)]],"[Measures].[MMS_01_89_M_P]")</f>
        <v/>
      </c>
      <c r="BW193" s="68" t="str" vm="19700">
        <f>CUBEVALUE(ConnectionString,ReportMonth,Table1[[#This Row],[Site ID (from DATIM)]],"[Measures].[MMS_01_89_F_A]")</f>
        <v/>
      </c>
      <c r="BX193" s="68" t="str" vm="19980">
        <f>CUBEVALUE(ConnectionString,ReportMonth,Table1[[#This Row],[Site ID (from DATIM)]],"[Measures].[MMS_01_89_M_A]")</f>
        <v/>
      </c>
      <c r="BY193" s="68" t="str" vm="18834">
        <f>CUBEVALUE(ConnectionString,ReportMonth,Table1[[#This Row],[Site ID (from DATIM)]],"[Measures].[MMS_90_179_F_P]")</f>
        <v/>
      </c>
      <c r="BZ193" s="68" t="str" vm="17637">
        <f>CUBEVALUE(ConnectionString,ReportMonth,Table1[[#This Row],[Site ID (from DATIM)]],"[Measures].[MMS_90_179_M_P]")</f>
        <v/>
      </c>
      <c r="CA193" s="68" t="str" vm="14696">
        <f>CUBEVALUE(ConnectionString,ReportMonth,Table1[[#This Row],[Site ID (from DATIM)]],"[Measures].[MMS_90_179_F_A]")</f>
        <v/>
      </c>
      <c r="CB193" s="68" t="str" vm="14658">
        <f>CUBEVALUE(ConnectionString,ReportMonth,Table1[[#This Row],[Site ID (from DATIM)]],"[Measures].[MMS_90_179_M_A]")</f>
        <v/>
      </c>
      <c r="CC193" s="68" t="str" vm="15956">
        <f>CUBEVALUE(ConnectionString,ReportMonth,Table1[[#This Row],[Site ID (from DATIM)]],"[Measures].[MMS_180+_F_P]")</f>
        <v/>
      </c>
      <c r="CD193" s="68" t="str" vm="15483">
        <f>CUBEVALUE(ConnectionString,ReportMonth,Table1[[#This Row],[Site ID (from DATIM)]],"[Measures].[MMS_180+_M_P]")</f>
        <v/>
      </c>
      <c r="CE193" s="68" t="str" vm="15794">
        <f>CUBEVALUE(ConnectionString,ReportMonth,Table1[[#This Row],[Site ID (from DATIM)]],"[Measures].[MMS_180+_F_A]")</f>
        <v/>
      </c>
      <c r="CF193" s="68" t="str" vm="221">
        <f>CUBEVALUE(ConnectionString,ReportMonth,Table1[[#This Row],[Site ID (from DATIM)]],"[Measures].[MMS_180+_M_A]")</f>
        <v/>
      </c>
      <c r="CG193" s="68" t="str" vm="6928">
        <f>CUBEVALUE(ConnectionString,ReportMonth,Table1[[#This Row],[Site ID (from DATIM)]],"[Measures].[MISSEDAPP]")</f>
        <v/>
      </c>
      <c r="CH193" s="68" t="str" vm="13502">
        <f>CUBEVALUE(ConnectionString,ReportMonth,Table1[[#This Row],[Site ID (from DATIM)]],"[Measures].[MMS_180+_P]")</f>
        <v/>
      </c>
      <c r="CI193" s="68" t="str" vm="11460">
        <f>CUBEVALUE(ConnectionString,ReportMonth,Table1[[#This Row],[Site ID (from DATIM)]],"[Measures].[MMS_180+_A]")</f>
        <v/>
      </c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  <c r="CW193" s="68"/>
      <c r="CX193" s="68"/>
      <c r="CY193" s="68"/>
      <c r="CZ193" s="68"/>
      <c r="DA193" s="68"/>
      <c r="DB193" s="68"/>
      <c r="DC193" s="68"/>
    </row>
    <row r="194" spans="1:107" x14ac:dyDescent="0.25">
      <c r="A194" s="66">
        <v>4</v>
      </c>
      <c r="B194" s="67" t="str" vm="4">
        <f t="shared" si="3"/>
        <v>Mar-2021</v>
      </c>
      <c r="C194" s="67"/>
      <c r="D194" s="67" t="s">
        <v>232</v>
      </c>
      <c r="E194" s="67" t="s">
        <v>233</v>
      </c>
      <c r="F194" s="67" t="s">
        <v>1083</v>
      </c>
      <c r="G194" s="67"/>
      <c r="H194" s="67" t="s">
        <v>1113</v>
      </c>
      <c r="I194" s="67" t="s">
        <v>1193</v>
      </c>
      <c r="J194" s="67" t="s">
        <v>1194</v>
      </c>
      <c r="K194" s="67" t="s">
        <v>1195</v>
      </c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 t="str" vm="3578">
        <f>CUBEVALUE(ConnectionString,ReportMonth,Table1[[#This Row],[Site ID (from DATIM)]],"TX_NEW_2VIS")</f>
        <v/>
      </c>
      <c r="AE194" s="67" t="str" vm="3127">
        <f>CUBEVALUE(ConnectionString,ReportMonth,Table1[[#This Row],[Site ID (from DATIM)]],INDEX(SDI_Measures,1))</f>
        <v/>
      </c>
      <c r="AF194" s="67" t="str" vm="4257">
        <f>CUBEVALUE(ConnectionString,ReportMonth,Table1[[#This Row],[Site ID (from DATIM)]],INDEX(SDI_Measures,2))</f>
        <v/>
      </c>
      <c r="AG194" s="67" t="str" vm="347">
        <f>CUBEVALUE(ConnectionString,ReportMonth,Table1[[#This Row],[Site ID (from DATIM)]],INDEX(SDI_Measures,3))</f>
        <v/>
      </c>
      <c r="AH194" s="67" t="str" vm="3419">
        <f>CUBEVALUE(ConnectionString,ReportMonth,Table1[[#This Row],[Site ID (from DATIM)]],"TX_CURR_PRIOR_MONTH")</f>
        <v/>
      </c>
      <c r="AI194" s="67" t="str" vm="2744">
        <f>CUBEVALUE(ConnectionString,ReportMonth,Table1[[#This Row],[Site ID (from DATIM)]],"TX_CURR")</f>
        <v/>
      </c>
      <c r="AJ194" s="67" t="str" vm="1095">
        <f>CUBEVALUE(ConnectionString,ReportMonth,Table1[[#This Row],[Site ID (from DATIM)]],"[Measures].[TI]")</f>
        <v/>
      </c>
      <c r="AK194" s="67" t="str" vm="3254">
        <f>CUBEVALUE(ConnectionString,ReportMonth,Table1[[#This Row],[Site ID (from DATIM)]],"[Measures].[TO]")</f>
        <v/>
      </c>
      <c r="AL194" s="67" t="str" vm="956">
        <f>CUBEVALUE(ConnectionString,ReportMonth,Table1[[#This Row],[Site ID (from DATIM)]],"[Measures].[DIED]")</f>
        <v/>
      </c>
      <c r="AM194" s="67" t="str" vm="9271">
        <f>CUBEVALUE(ConnectionString,ReportMonth,Table1[[#This Row],[Site ID (from DATIM)]],"[Measures].[MMS_01_31]")</f>
        <v/>
      </c>
      <c r="AN194" s="67" t="str" vm="4625">
        <f>CUBEVALUE(ConnectionString,ReportMonth,Table1[[#This Row],[Site ID (from DATIM)]],"[Measures].[MMS_32_62]")</f>
        <v/>
      </c>
      <c r="AO194" s="67" t="str" vm="5457">
        <f>CUBEVALUE(ConnectionString,ReportMonth,Table1[[#This Row],[Site ID (from DATIM)]],"[Measures].[MMS_63+]")</f>
        <v/>
      </c>
      <c r="AP194" s="67" t="str" vm="5826">
        <f>CUBEVALUE(ConnectionString,ReportMonth,Table1[[#This Row],[Site ID (from DATIM)]],"[Measures].[TBPREV_D]")</f>
        <v/>
      </c>
      <c r="AQ194" s="67" t="str" vm="6688">
        <f>CUBEVALUE(ConnectionString,ReportMonth,Table1[[#This Row],[Site ID (from DATIM)]],"[Measures].[TBPREV_N]")</f>
        <v/>
      </c>
      <c r="AR194" s="67" t="str" vm="7757">
        <f>CUBEVALUE(ConnectionString,ReportMonth,Table1[[#This Row],[Site ID (from DATIM)]],"[Measures].[TBPREV_NEW]")</f>
        <v/>
      </c>
      <c r="AS194" s="67" t="str" vm="9251">
        <f>CUBEVALUE(ConnectionString,ReportMonth,Table1[[#This Row],[Site ID (from DATIM)]],"[Measures].[HVL_ELIG_P]")</f>
        <v/>
      </c>
      <c r="AT194" s="67" t="str" vm="11578">
        <f>CUBEVALUE(ConnectionString,ReportMonth,Table1[[#This Row],[Site ID (from DATIM)]],"[Measures].[HVL_D_P]")</f>
        <v/>
      </c>
      <c r="AU194" s="67" t="str" vm="8510">
        <f>CUBEVALUE(ConnectionString,ReportMonth,Table1[[#This Row],[Site ID (from DATIM)]],"[Measures].[HVL_N_P]")</f>
        <v/>
      </c>
      <c r="AV194" s="68" t="str" vm="11683">
        <f>CUBEVALUE(ConnectionString,ReportMonth,Table1[[#This Row],[Site ID (from DATIM)]],"[Measures].[HVL_ELIG_A]")</f>
        <v/>
      </c>
      <c r="AW194" s="68" t="str" vm="8641">
        <f>CUBEVALUE(ConnectionString,ReportMonth,Table1[[#This Row],[Site ID (from DATIM)]],"[Measures].[HVL_D_A]")</f>
        <v/>
      </c>
      <c r="AX194" s="68" t="str" vm="12669">
        <f>CUBEVALUE(ConnectionString,ReportMonth,Table1[[#This Row],[Site ID (from DATIM)]],"[Measures].[HVL_N_A]")</f>
        <v/>
      </c>
      <c r="AY194" s="67"/>
      <c r="AZ194" s="67"/>
      <c r="BA194" s="67"/>
      <c r="BB194" s="67"/>
      <c r="BC194" s="67"/>
      <c r="BD194" s="67"/>
      <c r="BE194" s="67"/>
      <c r="BF194" s="67"/>
      <c r="BG194" s="67" t="str" vm="15265">
        <f>CUBEVALUE(ConnectionString,ReportMonth,Table1[[#This Row],[Site ID (from DATIM)]],"[Measures].[TX_NEW_F_A]")</f>
        <v/>
      </c>
      <c r="BH194" s="67" t="str" vm="12707">
        <f>CUBEVALUE(ConnectionString,ReportMonth,Table1[[#This Row],[Site ID (from DATIM)]],"[Measures].[TX_NEW_M_A]")</f>
        <v/>
      </c>
      <c r="BI194" s="67" t="str" vm="17032">
        <f>CUBEVALUE(ConnectionString,ReportMonth,Table1[[#This Row],[Site ID (from DATIM)]],"[Measures].[TX_NEW_F_P]")</f>
        <v/>
      </c>
      <c r="BJ194" s="68" t="str" vm="16199">
        <f>CUBEVALUE(ConnectionString,ReportMonth,Table1[[#This Row],[Site ID (from DATIM)]],"[Measures].[TX_NEW_M_P]")</f>
        <v/>
      </c>
      <c r="BK194" s="68"/>
      <c r="BL194" s="68"/>
      <c r="BM194" s="68"/>
      <c r="BN194" s="68"/>
      <c r="BO194" s="68"/>
      <c r="BP194" s="68"/>
      <c r="BQ194" s="68" t="str" vm="9887">
        <f>CUBEVALUE(ConnectionString,ReportMonth,Table1[[#This Row],[Site ID (from DATIM)]],"[Measures].[TX_CURR_F_P]")</f>
        <v/>
      </c>
      <c r="BR194" s="68" t="str" vm="8963">
        <f>CUBEVALUE(ConnectionString,ReportMonth,Table1[[#This Row],[Site ID (from DATIM)]],"[Measures].[TX_CURR_M_P]")</f>
        <v/>
      </c>
      <c r="BS194" s="68" t="str" vm="8129">
        <f>CUBEVALUE(ConnectionString,ReportMonth,Table1[[#This Row],[Site ID (from DATIM)]],"[Measures].[TX_CURR_F_A]")</f>
        <v/>
      </c>
      <c r="BT194" s="68" t="str" vm="10394">
        <f>CUBEVALUE(ConnectionString,ReportMonth,Table1[[#This Row],[Site ID (from DATIM)]],"[Measures].[TX_CURR_M_A]")</f>
        <v/>
      </c>
      <c r="BU194" s="68" t="str" vm="18738">
        <f>CUBEVALUE(ConnectionString,ReportMonth,Table1[[#This Row],[Site ID (from DATIM)]],"[Measures].[MMS_01_89_F_P]")</f>
        <v/>
      </c>
      <c r="BV194" s="68" t="str" vm="19991">
        <f>CUBEVALUE(ConnectionString,ReportMonth,Table1[[#This Row],[Site ID (from DATIM)]],"[Measures].[MMS_01_89_M_P]")</f>
        <v/>
      </c>
      <c r="BW194" s="68" t="str" vm="18628">
        <f>CUBEVALUE(ConnectionString,ReportMonth,Table1[[#This Row],[Site ID (from DATIM)]],"[Measures].[MMS_01_89_F_A]")</f>
        <v/>
      </c>
      <c r="BX194" s="68" t="str" vm="19427">
        <f>CUBEVALUE(ConnectionString,ReportMonth,Table1[[#This Row],[Site ID (from DATIM)]],"[Measures].[MMS_01_89_M_A]")</f>
        <v/>
      </c>
      <c r="BY194" s="68" t="str" vm="19368">
        <f>CUBEVALUE(ConnectionString,ReportMonth,Table1[[#This Row],[Site ID (from DATIM)]],"[Measures].[MMS_90_179_F_P]")</f>
        <v/>
      </c>
      <c r="BZ194" s="68" t="str" vm="16539">
        <f>CUBEVALUE(ConnectionString,ReportMonth,Table1[[#This Row],[Site ID (from DATIM)]],"[Measures].[MMS_90_179_M_P]")</f>
        <v/>
      </c>
      <c r="CA194" s="68" t="str" vm="15097">
        <f>CUBEVALUE(ConnectionString,ReportMonth,Table1[[#This Row],[Site ID (from DATIM)]],"[Measures].[MMS_90_179_F_A]")</f>
        <v/>
      </c>
      <c r="CB194" s="68" t="str" vm="15962">
        <f>CUBEVALUE(ConnectionString,ReportMonth,Table1[[#This Row],[Site ID (from DATIM)]],"[Measures].[MMS_90_179_M_A]")</f>
        <v/>
      </c>
      <c r="CC194" s="68" t="str" vm="15523">
        <f>CUBEVALUE(ConnectionString,ReportMonth,Table1[[#This Row],[Site ID (from DATIM)]],"[Measures].[MMS_180+_F_P]")</f>
        <v/>
      </c>
      <c r="CD194" s="68" t="str" vm="14966">
        <f>CUBEVALUE(ConnectionString,ReportMonth,Table1[[#This Row],[Site ID (from DATIM)]],"[Measures].[MMS_180+_M_P]")</f>
        <v/>
      </c>
      <c r="CE194" s="68" t="str" vm="16706">
        <f>CUBEVALUE(ConnectionString,ReportMonth,Table1[[#This Row],[Site ID (from DATIM)]],"[Measures].[MMS_180+_F_A]")</f>
        <v/>
      </c>
      <c r="CF194" s="68" t="str" vm="17">
        <f>CUBEVALUE(ConnectionString,ReportMonth,Table1[[#This Row],[Site ID (from DATIM)]],"[Measures].[MMS_180+_M_A]")</f>
        <v/>
      </c>
      <c r="CG194" s="68" t="str" vm="7129">
        <f>CUBEVALUE(ConnectionString,ReportMonth,Table1[[#This Row],[Site ID (from DATIM)]],"[Measures].[MISSEDAPP]")</f>
        <v/>
      </c>
      <c r="CH194" s="68" t="str" vm="13773">
        <f>CUBEVALUE(ConnectionString,ReportMonth,Table1[[#This Row],[Site ID (from DATIM)]],"[Measures].[MMS_180+_P]")</f>
        <v/>
      </c>
      <c r="CI194" s="68" t="str" vm="13323">
        <f>CUBEVALUE(ConnectionString,ReportMonth,Table1[[#This Row],[Site ID (from DATIM)]],"[Measures].[MMS_180+_A]")</f>
        <v/>
      </c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  <c r="CW194" s="68"/>
      <c r="CX194" s="68"/>
      <c r="CY194" s="68"/>
      <c r="CZ194" s="68"/>
      <c r="DA194" s="68"/>
      <c r="DB194" s="68"/>
      <c r="DC194" s="68"/>
    </row>
    <row r="195" spans="1:107" x14ac:dyDescent="0.25">
      <c r="A195" s="66">
        <v>1</v>
      </c>
      <c r="B195" s="67" t="str" vm="4">
        <f t="shared" si="3"/>
        <v>Mar-2021</v>
      </c>
      <c r="C195" s="67"/>
      <c r="D195" s="67" t="s">
        <v>232</v>
      </c>
      <c r="E195" s="67" t="s">
        <v>233</v>
      </c>
      <c r="F195" s="67" t="s">
        <v>437</v>
      </c>
      <c r="G195" s="67"/>
      <c r="H195" s="67" t="s">
        <v>465</v>
      </c>
      <c r="I195" s="67" t="s">
        <v>614</v>
      </c>
      <c r="J195" s="67" t="s">
        <v>615</v>
      </c>
      <c r="K195" s="67" t="s">
        <v>616</v>
      </c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 vm="2347">
        <f>CUBEVALUE(ConnectionString,ReportMonth,Table1[[#This Row],[Site ID (from DATIM)]],"TX_NEW_2VIS")</f>
        <v>6</v>
      </c>
      <c r="AE195" s="67" vm="1826">
        <f>CUBEVALUE(ConnectionString,ReportMonth,Table1[[#This Row],[Site ID (from DATIM)]],INDEX(SDI_Measures,1))</f>
        <v>11</v>
      </c>
      <c r="AF195" s="67" t="str" vm="5227">
        <f>CUBEVALUE(ConnectionString,ReportMonth,Table1[[#This Row],[Site ID (from DATIM)]],INDEX(SDI_Measures,2))</f>
        <v/>
      </c>
      <c r="AG195" s="67" t="str" vm="1212">
        <f>CUBEVALUE(ConnectionString,ReportMonth,Table1[[#This Row],[Site ID (from DATIM)]],INDEX(SDI_Measures,3))</f>
        <v/>
      </c>
      <c r="AH195" s="67" vm="1765">
        <f>CUBEVALUE(ConnectionString,ReportMonth,Table1[[#This Row],[Site ID (from DATIM)]],"TX_CURR_PRIOR_MONTH")</f>
        <v>1525</v>
      </c>
      <c r="AI195" s="67" vm="2760">
        <f>CUBEVALUE(ConnectionString,ReportMonth,Table1[[#This Row],[Site ID (from DATIM)]],"TX_CURR")</f>
        <v>1477</v>
      </c>
      <c r="AJ195" s="67" vm="2138">
        <f>CUBEVALUE(ConnectionString,ReportMonth,Table1[[#This Row],[Site ID (from DATIM)]],"[Measures].[TI]")</f>
        <v>1</v>
      </c>
      <c r="AK195" s="67" vm="3237">
        <f>CUBEVALUE(ConnectionString,ReportMonth,Table1[[#This Row],[Site ID (from DATIM)]],"[Measures].[TO]")</f>
        <v>4</v>
      </c>
      <c r="AL195" s="67" vm="6003">
        <f>CUBEVALUE(ConnectionString,ReportMonth,Table1[[#This Row],[Site ID (from DATIM)]],"[Measures].[DIED]")</f>
        <v>1</v>
      </c>
      <c r="AM195" s="67" vm="3890">
        <f>CUBEVALUE(ConnectionString,ReportMonth,Table1[[#This Row],[Site ID (from DATIM)]],"[Measures].[MMS_01_31]")</f>
        <v>260</v>
      </c>
      <c r="AN195" s="67" vm="6669">
        <f>CUBEVALUE(ConnectionString,ReportMonth,Table1[[#This Row],[Site ID (from DATIM)]],"[Measures].[MMS_32_62]")</f>
        <v>79</v>
      </c>
      <c r="AO195" s="67" vm="5706">
        <f>CUBEVALUE(ConnectionString,ReportMonth,Table1[[#This Row],[Site ID (from DATIM)]],"[Measures].[MMS_63+]")</f>
        <v>1138</v>
      </c>
      <c r="AP195" s="67" vm="5393">
        <f>CUBEVALUE(ConnectionString,ReportMonth,Table1[[#This Row],[Site ID (from DATIM)]],"[Measures].[TBPREV_D]")</f>
        <v>34</v>
      </c>
      <c r="AQ195" s="67" vm="4977">
        <f>CUBEVALUE(ConnectionString,ReportMonth,Table1[[#This Row],[Site ID (from DATIM)]],"[Measures].[TBPREV_N]")</f>
        <v>30</v>
      </c>
      <c r="AR195" s="67" vm="7381">
        <f>CUBEVALUE(ConnectionString,ReportMonth,Table1[[#This Row],[Site ID (from DATIM)]],"[Measures].[TBPREV_NEW]")</f>
        <v>12</v>
      </c>
      <c r="AS195" s="67" vm="6221">
        <f>CUBEVALUE(ConnectionString,ReportMonth,Table1[[#This Row],[Site ID (from DATIM)]],"[Measures].[HVL_ELIG_P]")</f>
        <v>80</v>
      </c>
      <c r="AT195" s="67" vm="9280">
        <f>CUBEVALUE(ConnectionString,ReportMonth,Table1[[#This Row],[Site ID (from DATIM)]],"[Measures].[HVL_D_P]")</f>
        <v>80</v>
      </c>
      <c r="AU195" s="67" vm="8849">
        <f>CUBEVALUE(ConnectionString,ReportMonth,Table1[[#This Row],[Site ID (from DATIM)]],"[Measures].[HVL_N_P]")</f>
        <v>74</v>
      </c>
      <c r="AV195" s="68" vm="10539">
        <f>CUBEVALUE(ConnectionString,ReportMonth,Table1[[#This Row],[Site ID (from DATIM)]],"[Measures].[HVL_ELIG_A]")</f>
        <v>1261</v>
      </c>
      <c r="AW195" s="68" vm="10322">
        <f>CUBEVALUE(ConnectionString,ReportMonth,Table1[[#This Row],[Site ID (from DATIM)]],"[Measures].[HVL_D_A]")</f>
        <v>1164</v>
      </c>
      <c r="AX195" s="68" vm="8147">
        <f>CUBEVALUE(ConnectionString,ReportMonth,Table1[[#This Row],[Site ID (from DATIM)]],"[Measures].[HVL_N_A]")</f>
        <v>1138</v>
      </c>
      <c r="AY195" s="67"/>
      <c r="AZ195" s="67"/>
      <c r="BA195" s="67"/>
      <c r="BB195" s="67"/>
      <c r="BC195" s="67"/>
      <c r="BD195" s="67"/>
      <c r="BE195" s="67"/>
      <c r="BF195" s="67"/>
      <c r="BG195" s="67" vm="15321">
        <f>CUBEVALUE(ConnectionString,ReportMonth,Table1[[#This Row],[Site ID (from DATIM)]],"[Measures].[TX_NEW_F_A]")</f>
        <v>6</v>
      </c>
      <c r="BH195" s="67" vm="13060">
        <f>CUBEVALUE(ConnectionString,ReportMonth,Table1[[#This Row],[Site ID (from DATIM)]],"[Measures].[TX_NEW_M_A]")</f>
        <v>5</v>
      </c>
      <c r="BI195" s="67" t="str" vm="13694">
        <f>CUBEVALUE(ConnectionString,ReportMonth,Table1[[#This Row],[Site ID (from DATIM)]],"[Measures].[TX_NEW_F_P]")</f>
        <v/>
      </c>
      <c r="BJ195" s="68" t="str" vm="17447">
        <f>CUBEVALUE(ConnectionString,ReportMonth,Table1[[#This Row],[Site ID (from DATIM)]],"[Measures].[TX_NEW_M_P]")</f>
        <v/>
      </c>
      <c r="BK195" s="68"/>
      <c r="BL195" s="68"/>
      <c r="BM195" s="68"/>
      <c r="BN195" s="68"/>
      <c r="BO195" s="68"/>
      <c r="BP195" s="68"/>
      <c r="BQ195" s="68" vm="9493">
        <f>CUBEVALUE(ConnectionString,ReportMonth,Table1[[#This Row],[Site ID (from DATIM)]],"[Measures].[TX_CURR_F_P]")</f>
        <v>51</v>
      </c>
      <c r="BR195" s="68" vm="9245">
        <f>CUBEVALUE(ConnectionString,ReportMonth,Table1[[#This Row],[Site ID (from DATIM)]],"[Measures].[TX_CURR_M_P]")</f>
        <v>32</v>
      </c>
      <c r="BS195" s="68" vm="6591">
        <f>CUBEVALUE(ConnectionString,ReportMonth,Table1[[#This Row],[Site ID (from DATIM)]],"[Measures].[TX_CURR_F_A]")</f>
        <v>1013</v>
      </c>
      <c r="BT195" s="68" vm="11495">
        <f>CUBEVALUE(ConnectionString,ReportMonth,Table1[[#This Row],[Site ID (from DATIM)]],"[Measures].[TX_CURR_M_A]")</f>
        <v>381</v>
      </c>
      <c r="BU195" s="68" vm="18687">
        <f>CUBEVALUE(ConnectionString,ReportMonth,Table1[[#This Row],[Site ID (from DATIM)]],"[Measures].[MMS_01_89_F_P]")</f>
        <v>15</v>
      </c>
      <c r="BV195" s="68" vm="19008">
        <f>CUBEVALUE(ConnectionString,ReportMonth,Table1[[#This Row],[Site ID (from DATIM)]],"[Measures].[MMS_01_89_M_P]")</f>
        <v>8</v>
      </c>
      <c r="BW195" s="68" vm="19093">
        <f>CUBEVALUE(ConnectionString,ReportMonth,Table1[[#This Row],[Site ID (from DATIM)]],"[Measures].[MMS_01_89_F_A]")</f>
        <v>248</v>
      </c>
      <c r="BX195" s="68" vm="17998">
        <f>CUBEVALUE(ConnectionString,ReportMonth,Table1[[#This Row],[Site ID (from DATIM)]],"[Measures].[MMS_01_89_M_A]")</f>
        <v>68</v>
      </c>
      <c r="BY195" s="68" vm="19850">
        <f>CUBEVALUE(ConnectionString,ReportMonth,Table1[[#This Row],[Site ID (from DATIM)]],"[Measures].[MMS_90_179_F_P]")</f>
        <v>36</v>
      </c>
      <c r="BZ195" s="68" vm="17832">
        <f>CUBEVALUE(ConnectionString,ReportMonth,Table1[[#This Row],[Site ID (from DATIM)]],"[Measures].[MMS_90_179_M_P]")</f>
        <v>24</v>
      </c>
      <c r="CA195" s="68" vm="14971">
        <f>CUBEVALUE(ConnectionString,ReportMonth,Table1[[#This Row],[Site ID (from DATIM)]],"[Measures].[MMS_90_179_F_A]")</f>
        <v>765</v>
      </c>
      <c r="CB195" s="68" vm="17272">
        <f>CUBEVALUE(ConnectionString,ReportMonth,Table1[[#This Row],[Site ID (from DATIM)]],"[Measures].[MMS_90_179_M_A]")</f>
        <v>313</v>
      </c>
      <c r="CC195" s="68" t="str" vm="14600">
        <f>CUBEVALUE(ConnectionString,ReportMonth,Table1[[#This Row],[Site ID (from DATIM)]],"[Measures].[MMS_180+_F_P]")</f>
        <v/>
      </c>
      <c r="CD195" s="68" t="str" vm="17542">
        <f>CUBEVALUE(ConnectionString,ReportMonth,Table1[[#This Row],[Site ID (from DATIM)]],"[Measures].[MMS_180+_M_P]")</f>
        <v/>
      </c>
      <c r="CE195" s="68" t="str" vm="138">
        <f>CUBEVALUE(ConnectionString,ReportMonth,Table1[[#This Row],[Site ID (from DATIM)]],"[Measures].[MMS_180+_F_A]")</f>
        <v/>
      </c>
      <c r="CF195" s="68" t="str" vm="17155">
        <f>CUBEVALUE(ConnectionString,ReportMonth,Table1[[#This Row],[Site ID (from DATIM)]],"[Measures].[MMS_180+_M_A]")</f>
        <v/>
      </c>
      <c r="CG195" s="68" vm="9590">
        <f>CUBEVALUE(ConnectionString,ReportMonth,Table1[[#This Row],[Site ID (from DATIM)]],"[Measures].[MISSEDAPP]")</f>
        <v>334</v>
      </c>
      <c r="CH195" s="68" t="str" vm="12415">
        <f>CUBEVALUE(ConnectionString,ReportMonth,Table1[[#This Row],[Site ID (from DATIM)]],"[Measures].[MMS_180+_P]")</f>
        <v/>
      </c>
      <c r="CI195" s="68" t="str" vm="10601">
        <f>CUBEVALUE(ConnectionString,ReportMonth,Table1[[#This Row],[Site ID (from DATIM)]],"[Measures].[MMS_180+_A]")</f>
        <v/>
      </c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  <c r="CW195" s="68"/>
      <c r="CX195" s="68"/>
      <c r="CY195" s="68"/>
      <c r="CZ195" s="68"/>
      <c r="DA195" s="68"/>
      <c r="DB195" s="68"/>
      <c r="DC195" s="68"/>
    </row>
    <row r="196" spans="1:107" x14ac:dyDescent="0.25">
      <c r="A196" s="66">
        <v>4</v>
      </c>
      <c r="B196" s="67" t="str" vm="4">
        <f t="shared" si="3"/>
        <v>Mar-2021</v>
      </c>
      <c r="C196" s="67"/>
      <c r="D196" s="67" t="s">
        <v>232</v>
      </c>
      <c r="E196" s="67" t="s">
        <v>233</v>
      </c>
      <c r="F196" s="67" t="s">
        <v>437</v>
      </c>
      <c r="G196" s="67"/>
      <c r="H196" s="67" t="s">
        <v>442</v>
      </c>
      <c r="I196" s="67" t="s">
        <v>443</v>
      </c>
      <c r="J196" s="67" t="s">
        <v>617</v>
      </c>
      <c r="K196" s="67" t="s">
        <v>618</v>
      </c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 t="str" vm="2474">
        <f>CUBEVALUE(ConnectionString,ReportMonth,Table1[[#This Row],[Site ID (from DATIM)]],"TX_NEW_2VIS")</f>
        <v/>
      </c>
      <c r="AE196" s="67" t="str" vm="843">
        <f>CUBEVALUE(ConnectionString,ReportMonth,Table1[[#This Row],[Site ID (from DATIM)]],INDEX(SDI_Measures,1))</f>
        <v/>
      </c>
      <c r="AF196" s="67" t="str" vm="5092">
        <f>CUBEVALUE(ConnectionString,ReportMonth,Table1[[#This Row],[Site ID (from DATIM)]],INDEX(SDI_Measures,2))</f>
        <v/>
      </c>
      <c r="AG196" s="67" t="str" vm="1315">
        <f>CUBEVALUE(ConnectionString,ReportMonth,Table1[[#This Row],[Site ID (from DATIM)]],INDEX(SDI_Measures,3))</f>
        <v/>
      </c>
      <c r="AH196" s="67" vm="3712">
        <f>CUBEVALUE(ConnectionString,ReportMonth,Table1[[#This Row],[Site ID (from DATIM)]],"TX_CURR_PRIOR_MONTH")</f>
        <v>9</v>
      </c>
      <c r="AI196" s="67" vm="723">
        <f>CUBEVALUE(ConnectionString,ReportMonth,Table1[[#This Row],[Site ID (from DATIM)]],"TX_CURR")</f>
        <v>9</v>
      </c>
      <c r="AJ196" s="67" t="str" vm="4423">
        <f>CUBEVALUE(ConnectionString,ReportMonth,Table1[[#This Row],[Site ID (from DATIM)]],"[Measures].[TI]")</f>
        <v/>
      </c>
      <c r="AK196" s="67" t="str" vm="1299">
        <f>CUBEVALUE(ConnectionString,ReportMonth,Table1[[#This Row],[Site ID (from DATIM)]],"[Measures].[TO]")</f>
        <v/>
      </c>
      <c r="AL196" s="67" t="str" vm="3791">
        <f>CUBEVALUE(ConnectionString,ReportMonth,Table1[[#This Row],[Site ID (from DATIM)]],"[Measures].[DIED]")</f>
        <v/>
      </c>
      <c r="AM196" s="67" vm="7071">
        <f>CUBEVALUE(ConnectionString,ReportMonth,Table1[[#This Row],[Site ID (from DATIM)]],"[Measures].[MMS_01_31]")</f>
        <v>1</v>
      </c>
      <c r="AN196" s="67" vm="6322">
        <f>CUBEVALUE(ConnectionString,ReportMonth,Table1[[#This Row],[Site ID (from DATIM)]],"[Measures].[MMS_32_62]")</f>
        <v>8</v>
      </c>
      <c r="AO196" s="67" t="str" vm="5955">
        <f>CUBEVALUE(ConnectionString,ReportMonth,Table1[[#This Row],[Site ID (from DATIM)]],"[Measures].[MMS_63+]")</f>
        <v/>
      </c>
      <c r="AP196" s="67" t="str" vm="4956">
        <f>CUBEVALUE(ConnectionString,ReportMonth,Table1[[#This Row],[Site ID (from DATIM)]],"[Measures].[TBPREV_D]")</f>
        <v/>
      </c>
      <c r="AQ196" s="67" t="str" vm="4761">
        <f>CUBEVALUE(ConnectionString,ReportMonth,Table1[[#This Row],[Site ID (from DATIM)]],"[Measures].[TBPREV_N]")</f>
        <v/>
      </c>
      <c r="AR196" s="67" t="str" vm="7604">
        <f>CUBEVALUE(ConnectionString,ReportMonth,Table1[[#This Row],[Site ID (from DATIM)]],"[Measures].[TBPREV_NEW]")</f>
        <v/>
      </c>
      <c r="AS196" s="67" t="str" vm="7575">
        <f>CUBEVALUE(ConnectionString,ReportMonth,Table1[[#This Row],[Site ID (from DATIM)]],"[Measures].[HVL_ELIG_P]")</f>
        <v/>
      </c>
      <c r="AT196" s="67" t="str" vm="4998">
        <f>CUBEVALUE(ConnectionString,ReportMonth,Table1[[#This Row],[Site ID (from DATIM)]],"[Measures].[HVL_D_P]")</f>
        <v/>
      </c>
      <c r="AU196" s="67" t="str" vm="10053">
        <f>CUBEVALUE(ConnectionString,ReportMonth,Table1[[#This Row],[Site ID (from DATIM)]],"[Measures].[HVL_N_P]")</f>
        <v/>
      </c>
      <c r="AV196" s="68" vm="8843">
        <f>CUBEVALUE(ConnectionString,ReportMonth,Table1[[#This Row],[Site ID (from DATIM)]],"[Measures].[HVL_ELIG_A]")</f>
        <v>9</v>
      </c>
      <c r="AW196" s="68" t="str" vm="6347">
        <f>CUBEVALUE(ConnectionString,ReportMonth,Table1[[#This Row],[Site ID (from DATIM)]],"[Measures].[HVL_D_A]")</f>
        <v/>
      </c>
      <c r="AX196" s="68" t="str" vm="10049">
        <f>CUBEVALUE(ConnectionString,ReportMonth,Table1[[#This Row],[Site ID (from DATIM)]],"[Measures].[HVL_N_A]")</f>
        <v/>
      </c>
      <c r="AY196" s="67"/>
      <c r="AZ196" s="67"/>
      <c r="BA196" s="67"/>
      <c r="BB196" s="67"/>
      <c r="BC196" s="67"/>
      <c r="BD196" s="67"/>
      <c r="BE196" s="67"/>
      <c r="BF196" s="67"/>
      <c r="BG196" s="67" t="str" vm="10473">
        <f>CUBEVALUE(ConnectionString,ReportMonth,Table1[[#This Row],[Site ID (from DATIM)]],"[Measures].[TX_NEW_F_A]")</f>
        <v/>
      </c>
      <c r="BH196" s="67" t="str" vm="13450">
        <f>CUBEVALUE(ConnectionString,ReportMonth,Table1[[#This Row],[Site ID (from DATIM)]],"[Measures].[TX_NEW_M_A]")</f>
        <v/>
      </c>
      <c r="BI196" s="67" t="str" vm="12401">
        <f>CUBEVALUE(ConnectionString,ReportMonth,Table1[[#This Row],[Site ID (from DATIM)]],"[Measures].[TX_NEW_F_P]")</f>
        <v/>
      </c>
      <c r="BJ196" s="68" t="str" vm="13128">
        <f>CUBEVALUE(ConnectionString,ReportMonth,Table1[[#This Row],[Site ID (from DATIM)]],"[Measures].[TX_NEW_M_P]")</f>
        <v/>
      </c>
      <c r="BK196" s="68"/>
      <c r="BL196" s="68"/>
      <c r="BM196" s="68"/>
      <c r="BN196" s="68"/>
      <c r="BO196" s="68"/>
      <c r="BP196" s="68"/>
      <c r="BQ196" s="68" t="str" vm="6803">
        <f>CUBEVALUE(ConnectionString,ReportMonth,Table1[[#This Row],[Site ID (from DATIM)]],"[Measures].[TX_CURR_F_P]")</f>
        <v/>
      </c>
      <c r="BR196" s="68" t="str" vm="9092">
        <f>CUBEVALUE(ConnectionString,ReportMonth,Table1[[#This Row],[Site ID (from DATIM)]],"[Measures].[TX_CURR_M_P]")</f>
        <v/>
      </c>
      <c r="BS196" s="68" vm="13496">
        <f>CUBEVALUE(ConnectionString,ReportMonth,Table1[[#This Row],[Site ID (from DATIM)]],"[Measures].[TX_CURR_F_A]")</f>
        <v>9</v>
      </c>
      <c r="BT196" s="68" t="str" vm="11517">
        <f>CUBEVALUE(ConnectionString,ReportMonth,Table1[[#This Row],[Site ID (from DATIM)]],"[Measures].[TX_CURR_M_A]")</f>
        <v/>
      </c>
      <c r="BU196" s="68" t="str" vm="18626">
        <f>CUBEVALUE(ConnectionString,ReportMonth,Table1[[#This Row],[Site ID (from DATIM)]],"[Measures].[MMS_01_89_F_P]")</f>
        <v/>
      </c>
      <c r="BV196" s="68" t="str" vm="18133">
        <f>CUBEVALUE(ConnectionString,ReportMonth,Table1[[#This Row],[Site ID (from DATIM)]],"[Measures].[MMS_01_89_M_P]")</f>
        <v/>
      </c>
      <c r="BW196" s="68" vm="19749">
        <f>CUBEVALUE(ConnectionString,ReportMonth,Table1[[#This Row],[Site ID (from DATIM)]],"[Measures].[MMS_01_89_F_A]")</f>
        <v>9</v>
      </c>
      <c r="BX196" s="68" t="str" vm="19873">
        <f>CUBEVALUE(ConnectionString,ReportMonth,Table1[[#This Row],[Site ID (from DATIM)]],"[Measures].[MMS_01_89_M_A]")</f>
        <v/>
      </c>
      <c r="BY196" s="68" t="str" vm="15247">
        <f>CUBEVALUE(ConnectionString,ReportMonth,Table1[[#This Row],[Site ID (from DATIM)]],"[Measures].[MMS_90_179_F_P]")</f>
        <v/>
      </c>
      <c r="BZ196" s="68" t="str" vm="19573">
        <f>CUBEVALUE(ConnectionString,ReportMonth,Table1[[#This Row],[Site ID (from DATIM)]],"[Measures].[MMS_90_179_M_P]")</f>
        <v/>
      </c>
      <c r="CA196" s="68" t="str" vm="14728">
        <f>CUBEVALUE(ConnectionString,ReportMonth,Table1[[#This Row],[Site ID (from DATIM)]],"[Measures].[MMS_90_179_F_A]")</f>
        <v/>
      </c>
      <c r="CB196" s="68" t="str" vm="17284">
        <f>CUBEVALUE(ConnectionString,ReportMonth,Table1[[#This Row],[Site ID (from DATIM)]],"[Measures].[MMS_90_179_M_A]")</f>
        <v/>
      </c>
      <c r="CC196" s="68" t="str" vm="17257">
        <f>CUBEVALUE(ConnectionString,ReportMonth,Table1[[#This Row],[Site ID (from DATIM)]],"[Measures].[MMS_180+_F_P]")</f>
        <v/>
      </c>
      <c r="CD196" s="68" t="str" vm="15776">
        <f>CUBEVALUE(ConnectionString,ReportMonth,Table1[[#This Row],[Site ID (from DATIM)]],"[Measures].[MMS_180+_M_P]")</f>
        <v/>
      </c>
      <c r="CE196" s="68" t="str" vm="14450">
        <f>CUBEVALUE(ConnectionString,ReportMonth,Table1[[#This Row],[Site ID (from DATIM)]],"[Measures].[MMS_180+_F_A]")</f>
        <v/>
      </c>
      <c r="CF196" s="68" t="str" vm="69">
        <f>CUBEVALUE(ConnectionString,ReportMonth,Table1[[#This Row],[Site ID (from DATIM)]],"[Measures].[MMS_180+_M_A]")</f>
        <v/>
      </c>
      <c r="CG196" s="68" vm="8009">
        <f>CUBEVALUE(ConnectionString,ReportMonth,Table1[[#This Row],[Site ID (from DATIM)]],"[Measures].[MISSEDAPP]")</f>
        <v>1</v>
      </c>
      <c r="CH196" s="68" t="str" vm="10218">
        <f>CUBEVALUE(ConnectionString,ReportMonth,Table1[[#This Row],[Site ID (from DATIM)]],"[Measures].[MMS_180+_P]")</f>
        <v/>
      </c>
      <c r="CI196" s="68" t="str" vm="12161">
        <f>CUBEVALUE(ConnectionString,ReportMonth,Table1[[#This Row],[Site ID (from DATIM)]],"[Measures].[MMS_180+_A]")</f>
        <v/>
      </c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  <c r="CW196" s="68"/>
      <c r="CX196" s="68"/>
      <c r="CY196" s="68"/>
      <c r="CZ196" s="68"/>
      <c r="DA196" s="68"/>
      <c r="DB196" s="68"/>
      <c r="DC196" s="68"/>
    </row>
    <row r="197" spans="1:107" x14ac:dyDescent="0.25">
      <c r="A197" s="66">
        <v>2</v>
      </c>
      <c r="B197" s="67" t="str" vm="4">
        <f t="shared" si="3"/>
        <v>Mar-2021</v>
      </c>
      <c r="C197" s="67"/>
      <c r="D197" s="67" t="s">
        <v>232</v>
      </c>
      <c r="E197" s="67" t="s">
        <v>233</v>
      </c>
      <c r="F197" s="67" t="s">
        <v>437</v>
      </c>
      <c r="G197" s="67"/>
      <c r="H197" s="67" t="s">
        <v>454</v>
      </c>
      <c r="I197" s="67" t="s">
        <v>619</v>
      </c>
      <c r="J197" s="67" t="s">
        <v>620</v>
      </c>
      <c r="K197" s="67" t="s">
        <v>621</v>
      </c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 vm="1608">
        <f>CUBEVALUE(ConnectionString,ReportMonth,Table1[[#This Row],[Site ID (from DATIM)]],"TX_NEW_2VIS")</f>
        <v>2</v>
      </c>
      <c r="AE197" s="67" vm="4522">
        <f>CUBEVALUE(ConnectionString,ReportMonth,Table1[[#This Row],[Site ID (from DATIM)]],INDEX(SDI_Measures,1))</f>
        <v>4</v>
      </c>
      <c r="AF197" s="67" t="str" vm="2876">
        <f>CUBEVALUE(ConnectionString,ReportMonth,Table1[[#This Row],[Site ID (from DATIM)]],INDEX(SDI_Measures,2))</f>
        <v/>
      </c>
      <c r="AG197" s="67" t="str" vm="881">
        <f>CUBEVALUE(ConnectionString,ReportMonth,Table1[[#This Row],[Site ID (from DATIM)]],INDEX(SDI_Measures,3))</f>
        <v/>
      </c>
      <c r="AH197" s="67" vm="4364">
        <f>CUBEVALUE(ConnectionString,ReportMonth,Table1[[#This Row],[Site ID (from DATIM)]],"TX_CURR_PRIOR_MONTH")</f>
        <v>991</v>
      </c>
      <c r="AI197" s="67" vm="3428">
        <f>CUBEVALUE(ConnectionString,ReportMonth,Table1[[#This Row],[Site ID (from DATIM)]],"TX_CURR")</f>
        <v>941</v>
      </c>
      <c r="AJ197" s="67" t="str" vm="3213">
        <f>CUBEVALUE(ConnectionString,ReportMonth,Table1[[#This Row],[Site ID (from DATIM)]],"[Measures].[TI]")</f>
        <v/>
      </c>
      <c r="AK197" s="67" vm="2866">
        <f>CUBEVALUE(ConnectionString,ReportMonth,Table1[[#This Row],[Site ID (from DATIM)]],"[Measures].[TO]")</f>
        <v>4</v>
      </c>
      <c r="AL197" s="67" t="str" vm="3211">
        <f>CUBEVALUE(ConnectionString,ReportMonth,Table1[[#This Row],[Site ID (from DATIM)]],"[Measures].[DIED]")</f>
        <v/>
      </c>
      <c r="AM197" s="67" vm="5571">
        <f>CUBEVALUE(ConnectionString,ReportMonth,Table1[[#This Row],[Site ID (from DATIM)]],"[Measures].[MMS_01_31]")</f>
        <v>169</v>
      </c>
      <c r="AN197" s="67" vm="6412">
        <f>CUBEVALUE(ConnectionString,ReportMonth,Table1[[#This Row],[Site ID (from DATIM)]],"[Measures].[MMS_32_62]")</f>
        <v>1</v>
      </c>
      <c r="AO197" s="67" vm="6551">
        <f>CUBEVALUE(ConnectionString,ReportMonth,Table1[[#This Row],[Site ID (from DATIM)]],"[Measures].[MMS_63+]")</f>
        <v>771</v>
      </c>
      <c r="AP197" s="67" vm="8536">
        <f>CUBEVALUE(ConnectionString,ReportMonth,Table1[[#This Row],[Site ID (from DATIM)]],"[Measures].[TBPREV_D]")</f>
        <v>32</v>
      </c>
      <c r="AQ197" s="67" vm="7358">
        <f>CUBEVALUE(ConnectionString,ReportMonth,Table1[[#This Row],[Site ID (from DATIM)]],"[Measures].[TBPREV_N]")</f>
        <v>22</v>
      </c>
      <c r="AR197" s="67" vm="5617">
        <f>CUBEVALUE(ConnectionString,ReportMonth,Table1[[#This Row],[Site ID (from DATIM)]],"[Measures].[TBPREV_NEW]")</f>
        <v>2</v>
      </c>
      <c r="AS197" s="67" vm="9321">
        <f>CUBEVALUE(ConnectionString,ReportMonth,Table1[[#This Row],[Site ID (from DATIM)]],"[Measures].[HVL_ELIG_P]")</f>
        <v>59</v>
      </c>
      <c r="AT197" s="67" vm="8118">
        <f>CUBEVALUE(ConnectionString,ReportMonth,Table1[[#This Row],[Site ID (from DATIM)]],"[Measures].[HVL_D_P]")</f>
        <v>54</v>
      </c>
      <c r="AU197" s="67" vm="8828">
        <f>CUBEVALUE(ConnectionString,ReportMonth,Table1[[#This Row],[Site ID (from DATIM)]],"[Measures].[HVL_N_P]")</f>
        <v>49</v>
      </c>
      <c r="AV197" s="68" vm="9884">
        <f>CUBEVALUE(ConnectionString,ReportMonth,Table1[[#This Row],[Site ID (from DATIM)]],"[Measures].[HVL_ELIG_A]")</f>
        <v>828</v>
      </c>
      <c r="AW197" s="68" vm="10269">
        <f>CUBEVALUE(ConnectionString,ReportMonth,Table1[[#This Row],[Site ID (from DATIM)]],"[Measures].[HVL_D_A]")</f>
        <v>678</v>
      </c>
      <c r="AX197" s="68" vm="10025">
        <f>CUBEVALUE(ConnectionString,ReportMonth,Table1[[#This Row],[Site ID (from DATIM)]],"[Measures].[HVL_N_A]")</f>
        <v>654</v>
      </c>
      <c r="AY197" s="67"/>
      <c r="AZ197" s="67"/>
      <c r="BA197" s="67"/>
      <c r="BB197" s="67"/>
      <c r="BC197" s="67"/>
      <c r="BD197" s="67"/>
      <c r="BE197" s="67"/>
      <c r="BF197" s="67"/>
      <c r="BG197" s="67" vm="13162">
        <f>CUBEVALUE(ConnectionString,ReportMonth,Table1[[#This Row],[Site ID (from DATIM)]],"[Measures].[TX_NEW_F_A]")</f>
        <v>4</v>
      </c>
      <c r="BH197" s="67" t="str" vm="13058">
        <f>CUBEVALUE(ConnectionString,ReportMonth,Table1[[#This Row],[Site ID (from DATIM)]],"[Measures].[TX_NEW_M_A]")</f>
        <v/>
      </c>
      <c r="BI197" s="67" t="str" vm="16152">
        <f>CUBEVALUE(ConnectionString,ReportMonth,Table1[[#This Row],[Site ID (from DATIM)]],"[Measures].[TX_NEW_F_P]")</f>
        <v/>
      </c>
      <c r="BJ197" s="68" t="str" vm="14325">
        <f>CUBEVALUE(ConnectionString,ReportMonth,Table1[[#This Row],[Site ID (from DATIM)]],"[Measures].[TX_NEW_M_P]")</f>
        <v/>
      </c>
      <c r="BK197" s="68"/>
      <c r="BL197" s="68"/>
      <c r="BM197" s="68"/>
      <c r="BN197" s="68"/>
      <c r="BO197" s="68"/>
      <c r="BP197" s="68"/>
      <c r="BQ197" s="68" vm="6617">
        <f>CUBEVALUE(ConnectionString,ReportMonth,Table1[[#This Row],[Site ID (from DATIM)]],"[Measures].[TX_CURR_F_P]")</f>
        <v>30</v>
      </c>
      <c r="BR197" s="68" vm="11072">
        <f>CUBEVALUE(ConnectionString,ReportMonth,Table1[[#This Row],[Site ID (from DATIM)]],"[Measures].[TX_CURR_M_P]")</f>
        <v>32</v>
      </c>
      <c r="BS197" s="68" vm="13313">
        <f>CUBEVALUE(ConnectionString,ReportMonth,Table1[[#This Row],[Site ID (from DATIM)]],"[Measures].[TX_CURR_F_A]")</f>
        <v>600</v>
      </c>
      <c r="BT197" s="68" vm="9256">
        <f>CUBEVALUE(ConnectionString,ReportMonth,Table1[[#This Row],[Site ID (from DATIM)]],"[Measures].[TX_CURR_M_A]")</f>
        <v>279</v>
      </c>
      <c r="BU197" s="68" vm="18021">
        <f>CUBEVALUE(ConnectionString,ReportMonth,Table1[[#This Row],[Site ID (from DATIM)]],"[Measures].[MMS_01_89_F_P]")</f>
        <v>7</v>
      </c>
      <c r="BV197" s="68" vm="18432">
        <f>CUBEVALUE(ConnectionString,ReportMonth,Table1[[#This Row],[Site ID (from DATIM)]],"[Measures].[MMS_01_89_M_P]")</f>
        <v>14</v>
      </c>
      <c r="BW197" s="68" vm="18790">
        <f>CUBEVALUE(ConnectionString,ReportMonth,Table1[[#This Row],[Site ID (from DATIM)]],"[Measures].[MMS_01_89_F_A]")</f>
        <v>109</v>
      </c>
      <c r="BX197" s="68" vm="18211">
        <f>CUBEVALUE(ConnectionString,ReportMonth,Table1[[#This Row],[Site ID (from DATIM)]],"[Measures].[MMS_01_89_M_A]")</f>
        <v>41</v>
      </c>
      <c r="BY197" s="68" vm="16032">
        <f>CUBEVALUE(ConnectionString,ReportMonth,Table1[[#This Row],[Site ID (from DATIM)]],"[Measures].[MMS_90_179_F_P]")</f>
        <v>23</v>
      </c>
      <c r="BZ197" s="68" vm="16058">
        <f>CUBEVALUE(ConnectionString,ReportMonth,Table1[[#This Row],[Site ID (from DATIM)]],"[Measures].[MMS_90_179_M_P]")</f>
        <v>18</v>
      </c>
      <c r="CA197" s="68" vm="14642">
        <f>CUBEVALUE(ConnectionString,ReportMonth,Table1[[#This Row],[Site ID (from DATIM)]],"[Measures].[MMS_90_179_F_A]")</f>
        <v>491</v>
      </c>
      <c r="CB197" s="68" vm="15032">
        <f>CUBEVALUE(ConnectionString,ReportMonth,Table1[[#This Row],[Site ID (from DATIM)]],"[Measures].[MMS_90_179_M_A]")</f>
        <v>238</v>
      </c>
      <c r="CC197" s="68" t="str" vm="17650">
        <f>CUBEVALUE(ConnectionString,ReportMonth,Table1[[#This Row],[Site ID (from DATIM)]],"[Measures].[MMS_180+_F_P]")</f>
        <v/>
      </c>
      <c r="CD197" s="68" t="str" vm="15424">
        <f>CUBEVALUE(ConnectionString,ReportMonth,Table1[[#This Row],[Site ID (from DATIM)]],"[Measures].[MMS_180+_M_P]")</f>
        <v/>
      </c>
      <c r="CE197" s="68" t="str" vm="16719">
        <f>CUBEVALUE(ConnectionString,ReportMonth,Table1[[#This Row],[Site ID (from DATIM)]],"[Measures].[MMS_180+_F_A]")</f>
        <v/>
      </c>
      <c r="CF197" s="68" t="str" vm="15355">
        <f>CUBEVALUE(ConnectionString,ReportMonth,Table1[[#This Row],[Site ID (from DATIM)]],"[Measures].[MMS_180+_M_A]")</f>
        <v/>
      </c>
      <c r="CG197" s="68" vm="8300">
        <f>CUBEVALUE(ConnectionString,ReportMonth,Table1[[#This Row],[Site ID (from DATIM)]],"[Measures].[MISSEDAPP]")</f>
        <v>338</v>
      </c>
      <c r="CH197" s="68" t="str" vm="13914">
        <f>CUBEVALUE(ConnectionString,ReportMonth,Table1[[#This Row],[Site ID (from DATIM)]],"[Measures].[MMS_180+_P]")</f>
        <v/>
      </c>
      <c r="CI197" s="68" t="str" vm="13815">
        <f>CUBEVALUE(ConnectionString,ReportMonth,Table1[[#This Row],[Site ID (from DATIM)]],"[Measures].[MMS_180+_A]")</f>
        <v/>
      </c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  <c r="CW197" s="68"/>
      <c r="CX197" s="68"/>
      <c r="CY197" s="68"/>
      <c r="CZ197" s="68"/>
      <c r="DA197" s="68"/>
      <c r="DB197" s="68"/>
      <c r="DC197" s="68"/>
    </row>
    <row r="198" spans="1:107" x14ac:dyDescent="0.25">
      <c r="A198" s="66">
        <v>4</v>
      </c>
      <c r="B198" s="67" t="str" vm="4">
        <f t="shared" ref="B198:B261" si="4">ReportMonth</f>
        <v>Mar-2021</v>
      </c>
      <c r="C198" s="67"/>
      <c r="D198" s="67" t="s">
        <v>232</v>
      </c>
      <c r="E198" s="67" t="s">
        <v>233</v>
      </c>
      <c r="F198" s="67" t="s">
        <v>831</v>
      </c>
      <c r="G198" s="67"/>
      <c r="H198" s="67" t="s">
        <v>836</v>
      </c>
      <c r="I198" s="67" t="s">
        <v>945</v>
      </c>
      <c r="J198" s="67" t="s">
        <v>946</v>
      </c>
      <c r="K198" s="67" t="s">
        <v>947</v>
      </c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 t="str" vm="506">
        <f>CUBEVALUE(ConnectionString,ReportMonth,Table1[[#This Row],[Site ID (from DATIM)]],"TX_NEW_2VIS")</f>
        <v/>
      </c>
      <c r="AE198" s="67" t="str" vm="2701">
        <f>CUBEVALUE(ConnectionString,ReportMonth,Table1[[#This Row],[Site ID (from DATIM)]],INDEX(SDI_Measures,1))</f>
        <v/>
      </c>
      <c r="AF198" s="67" t="str" vm="818">
        <f>CUBEVALUE(ConnectionString,ReportMonth,Table1[[#This Row],[Site ID (from DATIM)]],INDEX(SDI_Measures,2))</f>
        <v/>
      </c>
      <c r="AG198" s="67" t="str" vm="839">
        <f>CUBEVALUE(ConnectionString,ReportMonth,Table1[[#This Row],[Site ID (from DATIM)]],INDEX(SDI_Measures,3))</f>
        <v/>
      </c>
      <c r="AH198" s="67" vm="2509">
        <f>CUBEVALUE(ConnectionString,ReportMonth,Table1[[#This Row],[Site ID (from DATIM)]],"TX_CURR_PRIOR_MONTH")</f>
        <v>110</v>
      </c>
      <c r="AI198" s="67" vm="1378">
        <f>CUBEVALUE(ConnectionString,ReportMonth,Table1[[#This Row],[Site ID (from DATIM)]],"TX_CURR")</f>
        <v>78</v>
      </c>
      <c r="AJ198" s="67" t="str" vm="2912">
        <f>CUBEVALUE(ConnectionString,ReportMonth,Table1[[#This Row],[Site ID (from DATIM)]],"[Measures].[TI]")</f>
        <v/>
      </c>
      <c r="AK198" s="67" t="str" vm="2128">
        <f>CUBEVALUE(ConnectionString,ReportMonth,Table1[[#This Row],[Site ID (from DATIM)]],"[Measures].[TO]")</f>
        <v/>
      </c>
      <c r="AL198" s="67" t="str" vm="4400">
        <f>CUBEVALUE(ConnectionString,ReportMonth,Table1[[#This Row],[Site ID (from DATIM)]],"[Measures].[DIED]")</f>
        <v/>
      </c>
      <c r="AM198" s="67" vm="3364">
        <f>CUBEVALUE(ConnectionString,ReportMonth,Table1[[#This Row],[Site ID (from DATIM)]],"[Measures].[MMS_01_31]")</f>
        <v>74</v>
      </c>
      <c r="AN198" s="67" vm="6073">
        <f>CUBEVALUE(ConnectionString,ReportMonth,Table1[[#This Row],[Site ID (from DATIM)]],"[Measures].[MMS_32_62]")</f>
        <v>1</v>
      </c>
      <c r="AO198" s="67" vm="7387">
        <f>CUBEVALUE(ConnectionString,ReportMonth,Table1[[#This Row],[Site ID (from DATIM)]],"[Measures].[MMS_63+]")</f>
        <v>3</v>
      </c>
      <c r="AP198" s="67" vm="7528">
        <f>CUBEVALUE(ConnectionString,ReportMonth,Table1[[#This Row],[Site ID (from DATIM)]],"[Measures].[TBPREV_D]")</f>
        <v>1</v>
      </c>
      <c r="AQ198" s="67" vm="7115">
        <f>CUBEVALUE(ConnectionString,ReportMonth,Table1[[#This Row],[Site ID (from DATIM)]],"[Measures].[TBPREV_N]")</f>
        <v>1</v>
      </c>
      <c r="AR198" s="67" t="str" vm="14059">
        <f>CUBEVALUE(ConnectionString,ReportMonth,Table1[[#This Row],[Site ID (from DATIM)]],"[Measures].[TBPREV_NEW]")</f>
        <v/>
      </c>
      <c r="AS198" s="67" t="str" vm="4639">
        <f>CUBEVALUE(ConnectionString,ReportMonth,Table1[[#This Row],[Site ID (from DATIM)]],"[Measures].[HVL_ELIG_P]")</f>
        <v/>
      </c>
      <c r="AT198" s="67" t="str" vm="11531">
        <f>CUBEVALUE(ConnectionString,ReportMonth,Table1[[#This Row],[Site ID (from DATIM)]],"[Measures].[HVL_D_P]")</f>
        <v/>
      </c>
      <c r="AU198" s="67" t="str" vm="9072">
        <f>CUBEVALUE(ConnectionString,ReportMonth,Table1[[#This Row],[Site ID (from DATIM)]],"[Measures].[HVL_N_P]")</f>
        <v/>
      </c>
      <c r="AV198" s="68" vm="7707">
        <f>CUBEVALUE(ConnectionString,ReportMonth,Table1[[#This Row],[Site ID (from DATIM)]],"[Measures].[HVL_ELIG_A]")</f>
        <v>9</v>
      </c>
      <c r="AW198" s="68" vm="10746">
        <f>CUBEVALUE(ConnectionString,ReportMonth,Table1[[#This Row],[Site ID (from DATIM)]],"[Measures].[HVL_D_A]")</f>
        <v>7</v>
      </c>
      <c r="AX198" s="68" vm="9600">
        <f>CUBEVALUE(ConnectionString,ReportMonth,Table1[[#This Row],[Site ID (from DATIM)]],"[Measures].[HVL_N_A]")</f>
        <v>6</v>
      </c>
      <c r="AY198" s="67"/>
      <c r="AZ198" s="67"/>
      <c r="BA198" s="67"/>
      <c r="BB198" s="67"/>
      <c r="BC198" s="67"/>
      <c r="BD198" s="67"/>
      <c r="BE198" s="67"/>
      <c r="BF198" s="67"/>
      <c r="BG198" s="67" t="str" vm="14206">
        <f>CUBEVALUE(ConnectionString,ReportMonth,Table1[[#This Row],[Site ID (from DATIM)]],"[Measures].[TX_NEW_F_A]")</f>
        <v/>
      </c>
      <c r="BH198" s="67" t="str" vm="11677">
        <f>CUBEVALUE(ConnectionString,ReportMonth,Table1[[#This Row],[Site ID (from DATIM)]],"[Measures].[TX_NEW_M_A]")</f>
        <v/>
      </c>
      <c r="BI198" s="67" t="str" vm="16204">
        <f>CUBEVALUE(ConnectionString,ReportMonth,Table1[[#This Row],[Site ID (from DATIM)]],"[Measures].[TX_NEW_F_P]")</f>
        <v/>
      </c>
      <c r="BJ198" s="68" t="str" vm="17377">
        <f>CUBEVALUE(ConnectionString,ReportMonth,Table1[[#This Row],[Site ID (from DATIM)]],"[Measures].[TX_NEW_M_P]")</f>
        <v/>
      </c>
      <c r="BK198" s="68"/>
      <c r="BL198" s="68"/>
      <c r="BM198" s="68"/>
      <c r="BN198" s="68"/>
      <c r="BO198" s="68"/>
      <c r="BP198" s="68"/>
      <c r="BQ198" s="68" t="str" vm="7293">
        <f>CUBEVALUE(ConnectionString,ReportMonth,Table1[[#This Row],[Site ID (from DATIM)]],"[Measures].[TX_CURR_F_P]")</f>
        <v/>
      </c>
      <c r="BR198" s="68" t="str" vm="10044">
        <f>CUBEVALUE(ConnectionString,ReportMonth,Table1[[#This Row],[Site ID (from DATIM)]],"[Measures].[TX_CURR_M_P]")</f>
        <v/>
      </c>
      <c r="BS198" s="68" vm="12798">
        <f>CUBEVALUE(ConnectionString,ReportMonth,Table1[[#This Row],[Site ID (from DATIM)]],"[Measures].[TX_CURR_F_A]")</f>
        <v>44</v>
      </c>
      <c r="BT198" s="68" vm="7748">
        <f>CUBEVALUE(ConnectionString,ReportMonth,Table1[[#This Row],[Site ID (from DATIM)]],"[Measures].[TX_CURR_M_A]")</f>
        <v>34</v>
      </c>
      <c r="BU198" s="68" t="str" vm="20088">
        <f>CUBEVALUE(ConnectionString,ReportMonth,Table1[[#This Row],[Site ID (from DATIM)]],"[Measures].[MMS_01_89_F_P]")</f>
        <v/>
      </c>
      <c r="BV198" s="68" t="str" vm="19604">
        <f>CUBEVALUE(ConnectionString,ReportMonth,Table1[[#This Row],[Site ID (from DATIM)]],"[Measures].[MMS_01_89_M_P]")</f>
        <v/>
      </c>
      <c r="BW198" s="68" vm="18759">
        <f>CUBEVALUE(ConnectionString,ReportMonth,Table1[[#This Row],[Site ID (from DATIM)]],"[Measures].[MMS_01_89_F_A]")</f>
        <v>41</v>
      </c>
      <c r="BX198" s="68" vm="18287">
        <f>CUBEVALUE(ConnectionString,ReportMonth,Table1[[#This Row],[Site ID (from DATIM)]],"[Measures].[MMS_01_89_M_A]")</f>
        <v>34</v>
      </c>
      <c r="BY198" s="68" t="str" vm="17861">
        <f>CUBEVALUE(ConnectionString,ReportMonth,Table1[[#This Row],[Site ID (from DATIM)]],"[Measures].[MMS_90_179_F_P]")</f>
        <v/>
      </c>
      <c r="BZ198" s="68" t="str" vm="19080">
        <f>CUBEVALUE(ConnectionString,ReportMonth,Table1[[#This Row],[Site ID (from DATIM)]],"[Measures].[MMS_90_179_M_P]")</f>
        <v/>
      </c>
      <c r="CA198" s="68" vm="19048">
        <f>CUBEVALUE(ConnectionString,ReportMonth,Table1[[#This Row],[Site ID (from DATIM)]],"[Measures].[MMS_90_179_F_A]")</f>
        <v>3</v>
      </c>
      <c r="CB198" s="68" t="str" vm="14660">
        <f>CUBEVALUE(ConnectionString,ReportMonth,Table1[[#This Row],[Site ID (from DATIM)]],"[Measures].[MMS_90_179_M_A]")</f>
        <v/>
      </c>
      <c r="CC198" s="68" t="str" vm="16812">
        <f>CUBEVALUE(ConnectionString,ReportMonth,Table1[[#This Row],[Site ID (from DATIM)]],"[Measures].[MMS_180+_F_P]")</f>
        <v/>
      </c>
      <c r="CD198" s="68" t="str" vm="16296">
        <f>CUBEVALUE(ConnectionString,ReportMonth,Table1[[#This Row],[Site ID (from DATIM)]],"[Measures].[MMS_180+_M_P]")</f>
        <v/>
      </c>
      <c r="CE198" s="68" t="str" vm="17581">
        <f>CUBEVALUE(ConnectionString,ReportMonth,Table1[[#This Row],[Site ID (from DATIM)]],"[Measures].[MMS_180+_F_A]")</f>
        <v/>
      </c>
      <c r="CF198" s="68" t="str" vm="20206">
        <f>CUBEVALUE(ConnectionString,ReportMonth,Table1[[#This Row],[Site ID (from DATIM)]],"[Measures].[MMS_180+_M_A]")</f>
        <v/>
      </c>
      <c r="CG198" s="68" vm="7906">
        <f>CUBEVALUE(ConnectionString,ReportMonth,Table1[[#This Row],[Site ID (from DATIM)]],"[Measures].[MISSEDAPP]")</f>
        <v>61</v>
      </c>
      <c r="CH198" s="68" t="str" vm="14158">
        <f>CUBEVALUE(ConnectionString,ReportMonth,Table1[[#This Row],[Site ID (from DATIM)]],"[Measures].[MMS_180+_P]")</f>
        <v/>
      </c>
      <c r="CI198" s="68" t="str" vm="10463">
        <f>CUBEVALUE(ConnectionString,ReportMonth,Table1[[#This Row],[Site ID (from DATIM)]],"[Measures].[MMS_180+_A]")</f>
        <v/>
      </c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  <c r="CW198" s="68"/>
      <c r="CX198" s="68"/>
      <c r="CY198" s="68"/>
      <c r="CZ198" s="68"/>
      <c r="DA198" s="68"/>
      <c r="DB198" s="68"/>
      <c r="DC198" s="68"/>
    </row>
    <row r="199" spans="1:107" x14ac:dyDescent="0.25">
      <c r="A199" s="66">
        <v>4</v>
      </c>
      <c r="B199" s="67" t="str" vm="4">
        <f t="shared" si="4"/>
        <v>Mar-2021</v>
      </c>
      <c r="C199" s="67"/>
      <c r="D199" s="67" t="s">
        <v>232</v>
      </c>
      <c r="E199" s="67" t="s">
        <v>233</v>
      </c>
      <c r="F199" s="67" t="s">
        <v>437</v>
      </c>
      <c r="G199" s="67"/>
      <c r="H199" s="67" t="s">
        <v>461</v>
      </c>
      <c r="I199" s="67" t="s">
        <v>622</v>
      </c>
      <c r="J199" s="67" t="s">
        <v>623</v>
      </c>
      <c r="K199" s="67" t="s">
        <v>624</v>
      </c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 t="str" vm="511">
        <f>CUBEVALUE(ConnectionString,ReportMonth,Table1[[#This Row],[Site ID (from DATIM)]],"TX_NEW_2VIS")</f>
        <v/>
      </c>
      <c r="AE199" s="67" t="str" vm="3064">
        <f>CUBEVALUE(ConnectionString,ReportMonth,Table1[[#This Row],[Site ID (from DATIM)]],INDEX(SDI_Measures,1))</f>
        <v/>
      </c>
      <c r="AF199" s="67" t="str" vm="639">
        <f>CUBEVALUE(ConnectionString,ReportMonth,Table1[[#This Row],[Site ID (from DATIM)]],INDEX(SDI_Measures,2))</f>
        <v/>
      </c>
      <c r="AG199" s="67" t="str" vm="2886">
        <f>CUBEVALUE(ConnectionString,ReportMonth,Table1[[#This Row],[Site ID (from DATIM)]],INDEX(SDI_Measures,3))</f>
        <v/>
      </c>
      <c r="AH199" s="67" t="str" vm="931">
        <f>CUBEVALUE(ConnectionString,ReportMonth,Table1[[#This Row],[Site ID (from DATIM)]],"TX_CURR_PRIOR_MONTH")</f>
        <v/>
      </c>
      <c r="AI199" s="67" t="str" vm="2306">
        <f>CUBEVALUE(ConnectionString,ReportMonth,Table1[[#This Row],[Site ID (from DATIM)]],"TX_CURR")</f>
        <v/>
      </c>
      <c r="AJ199" s="67" t="str" vm="1113">
        <f>CUBEVALUE(ConnectionString,ReportMonth,Table1[[#This Row],[Site ID (from DATIM)]],"[Measures].[TI]")</f>
        <v/>
      </c>
      <c r="AK199" s="67" t="str" vm="2873">
        <f>CUBEVALUE(ConnectionString,ReportMonth,Table1[[#This Row],[Site ID (from DATIM)]],"[Measures].[TO]")</f>
        <v/>
      </c>
      <c r="AL199" s="67" t="str" vm="4097">
        <f>CUBEVALUE(ConnectionString,ReportMonth,Table1[[#This Row],[Site ID (from DATIM)]],"[Measures].[DIED]")</f>
        <v/>
      </c>
      <c r="AM199" s="67" t="str" vm="7763">
        <f>CUBEVALUE(ConnectionString,ReportMonth,Table1[[#This Row],[Site ID (from DATIM)]],"[Measures].[MMS_01_31]")</f>
        <v/>
      </c>
      <c r="AN199" s="67" t="str" vm="5482">
        <f>CUBEVALUE(ConnectionString,ReportMonth,Table1[[#This Row],[Site ID (from DATIM)]],"[Measures].[MMS_32_62]")</f>
        <v/>
      </c>
      <c r="AO199" s="67" t="str" vm="7080">
        <f>CUBEVALUE(ConnectionString,ReportMonth,Table1[[#This Row],[Site ID (from DATIM)]],"[Measures].[MMS_63+]")</f>
        <v/>
      </c>
      <c r="AP199" s="67" t="str" vm="4865">
        <f>CUBEVALUE(ConnectionString,ReportMonth,Table1[[#This Row],[Site ID (from DATIM)]],"[Measures].[TBPREV_D]")</f>
        <v/>
      </c>
      <c r="AQ199" s="67" t="str" vm="9277">
        <f>CUBEVALUE(ConnectionString,ReportMonth,Table1[[#This Row],[Site ID (from DATIM)]],"[Measures].[TBPREV_N]")</f>
        <v/>
      </c>
      <c r="AR199" s="67" t="str" vm="5120">
        <f>CUBEVALUE(ConnectionString,ReportMonth,Table1[[#This Row],[Site ID (from DATIM)]],"[Measures].[TBPREV_NEW]")</f>
        <v/>
      </c>
      <c r="AS199" s="67" t="str" vm="7146">
        <f>CUBEVALUE(ConnectionString,ReportMonth,Table1[[#This Row],[Site ID (from DATIM)]],"[Measures].[HVL_ELIG_P]")</f>
        <v/>
      </c>
      <c r="AT199" s="67" t="str" vm="5649">
        <f>CUBEVALUE(ConnectionString,ReportMonth,Table1[[#This Row],[Site ID (from DATIM)]],"[Measures].[HVL_D_P]")</f>
        <v/>
      </c>
      <c r="AU199" s="67" t="str" vm="10552">
        <f>CUBEVALUE(ConnectionString,ReportMonth,Table1[[#This Row],[Site ID (from DATIM)]],"[Measures].[HVL_N_P]")</f>
        <v/>
      </c>
      <c r="AV199" s="68" t="str" vm="11053">
        <f>CUBEVALUE(ConnectionString,ReportMonth,Table1[[#This Row],[Site ID (from DATIM)]],"[Measures].[HVL_ELIG_A]")</f>
        <v/>
      </c>
      <c r="AW199" s="68" t="str" vm="8927">
        <f>CUBEVALUE(ConnectionString,ReportMonth,Table1[[#This Row],[Site ID (from DATIM)]],"[Measures].[HVL_D_A]")</f>
        <v/>
      </c>
      <c r="AX199" s="68" t="str" vm="8324">
        <f>CUBEVALUE(ConnectionString,ReportMonth,Table1[[#This Row],[Site ID (from DATIM)]],"[Measures].[HVL_N_A]")</f>
        <v/>
      </c>
      <c r="AY199" s="67"/>
      <c r="AZ199" s="67"/>
      <c r="BA199" s="67"/>
      <c r="BB199" s="67"/>
      <c r="BC199" s="67"/>
      <c r="BD199" s="67"/>
      <c r="BE199" s="67"/>
      <c r="BF199" s="67"/>
      <c r="BG199" s="67" t="str" vm="12499">
        <f>CUBEVALUE(ConnectionString,ReportMonth,Table1[[#This Row],[Site ID (from DATIM)]],"[Measures].[TX_NEW_F_A]")</f>
        <v/>
      </c>
      <c r="BH199" s="67" t="str" vm="13359">
        <f>CUBEVALUE(ConnectionString,ReportMonth,Table1[[#This Row],[Site ID (from DATIM)]],"[Measures].[TX_NEW_M_A]")</f>
        <v/>
      </c>
      <c r="BI199" s="67" t="str" vm="14828">
        <f>CUBEVALUE(ConnectionString,ReportMonth,Table1[[#This Row],[Site ID (from DATIM)]],"[Measures].[TX_NEW_F_P]")</f>
        <v/>
      </c>
      <c r="BJ199" s="68" t="str" vm="12586">
        <f>CUBEVALUE(ConnectionString,ReportMonth,Table1[[#This Row],[Site ID (from DATIM)]],"[Measures].[TX_NEW_M_P]")</f>
        <v/>
      </c>
      <c r="BK199" s="68"/>
      <c r="BL199" s="68"/>
      <c r="BM199" s="68"/>
      <c r="BN199" s="68"/>
      <c r="BO199" s="68"/>
      <c r="BP199" s="68"/>
      <c r="BQ199" s="68" t="str" vm="10253">
        <f>CUBEVALUE(ConnectionString,ReportMonth,Table1[[#This Row],[Site ID (from DATIM)]],"[Measures].[TX_CURR_F_P]")</f>
        <v/>
      </c>
      <c r="BR199" s="68" t="str" vm="9638">
        <f>CUBEVALUE(ConnectionString,ReportMonth,Table1[[#This Row],[Site ID (from DATIM)]],"[Measures].[TX_CURR_M_P]")</f>
        <v/>
      </c>
      <c r="BS199" s="68" t="str" vm="13447">
        <f>CUBEVALUE(ConnectionString,ReportMonth,Table1[[#This Row],[Site ID (from DATIM)]],"[Measures].[TX_CURR_F_A]")</f>
        <v/>
      </c>
      <c r="BT199" s="68" t="str" vm="12249">
        <f>CUBEVALUE(ConnectionString,ReportMonth,Table1[[#This Row],[Site ID (from DATIM)]],"[Measures].[TX_CURR_M_A]")</f>
        <v/>
      </c>
      <c r="BU199" s="68" t="str" vm="19821">
        <f>CUBEVALUE(ConnectionString,ReportMonth,Table1[[#This Row],[Site ID (from DATIM)]],"[Measures].[MMS_01_89_F_P]")</f>
        <v/>
      </c>
      <c r="BV199" s="68" t="str" vm="18349">
        <f>CUBEVALUE(ConnectionString,ReportMonth,Table1[[#This Row],[Site ID (from DATIM)]],"[Measures].[MMS_01_89_M_P]")</f>
        <v/>
      </c>
      <c r="BW199" s="68" t="str" vm="18713">
        <f>CUBEVALUE(ConnectionString,ReportMonth,Table1[[#This Row],[Site ID (from DATIM)]],"[Measures].[MMS_01_89_F_A]")</f>
        <v/>
      </c>
      <c r="BX199" s="68" t="str" vm="18230">
        <f>CUBEVALUE(ConnectionString,ReportMonth,Table1[[#This Row],[Site ID (from DATIM)]],"[Measures].[MMS_01_89_M_A]")</f>
        <v/>
      </c>
      <c r="BY199" s="68" t="str" vm="19415">
        <f>CUBEVALUE(ConnectionString,ReportMonth,Table1[[#This Row],[Site ID (from DATIM)]],"[Measures].[MMS_90_179_F_P]")</f>
        <v/>
      </c>
      <c r="BZ199" s="68" t="str" vm="15185">
        <f>CUBEVALUE(ConnectionString,ReportMonth,Table1[[#This Row],[Site ID (from DATIM)]],"[Measures].[MMS_90_179_M_P]")</f>
        <v/>
      </c>
      <c r="CA199" s="68" t="str" vm="16986">
        <f>CUBEVALUE(ConnectionString,ReportMonth,Table1[[#This Row],[Site ID (from DATIM)]],"[Measures].[MMS_90_179_F_A]")</f>
        <v/>
      </c>
      <c r="CB199" s="68" t="str" vm="15959">
        <f>CUBEVALUE(ConnectionString,ReportMonth,Table1[[#This Row],[Site ID (from DATIM)]],"[Measures].[MMS_90_179_M_A]")</f>
        <v/>
      </c>
      <c r="CC199" s="68" t="str" vm="17641">
        <f>CUBEVALUE(ConnectionString,ReportMonth,Table1[[#This Row],[Site ID (from DATIM)]],"[Measures].[MMS_180+_F_P]")</f>
        <v/>
      </c>
      <c r="CD199" s="68" t="str" vm="16273">
        <f>CUBEVALUE(ConnectionString,ReportMonth,Table1[[#This Row],[Site ID (from DATIM)]],"[Measures].[MMS_180+_M_P]")</f>
        <v/>
      </c>
      <c r="CE199" s="68" t="str" vm="14551">
        <f>CUBEVALUE(ConnectionString,ReportMonth,Table1[[#This Row],[Site ID (from DATIM)]],"[Measures].[MMS_180+_F_A]")</f>
        <v/>
      </c>
      <c r="CF199" s="68" t="str" vm="16641">
        <f>CUBEVALUE(ConnectionString,ReportMonth,Table1[[#This Row],[Site ID (from DATIM)]],"[Measures].[MMS_180+_M_A]")</f>
        <v/>
      </c>
      <c r="CG199" s="68" t="str" vm="6764">
        <f>CUBEVALUE(ConnectionString,ReportMonth,Table1[[#This Row],[Site ID (from DATIM)]],"[Measures].[MISSEDAPP]")</f>
        <v/>
      </c>
      <c r="CH199" s="68" t="str" vm="11956">
        <f>CUBEVALUE(ConnectionString,ReportMonth,Table1[[#This Row],[Site ID (from DATIM)]],"[Measures].[MMS_180+_P]")</f>
        <v/>
      </c>
      <c r="CI199" s="68" t="str" vm="12546">
        <f>CUBEVALUE(ConnectionString,ReportMonth,Table1[[#This Row],[Site ID (from DATIM)]],"[Measures].[MMS_180+_A]")</f>
        <v/>
      </c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  <c r="CW199" s="68"/>
      <c r="CX199" s="68"/>
      <c r="CY199" s="68"/>
      <c r="CZ199" s="68"/>
      <c r="DA199" s="68"/>
      <c r="DB199" s="68"/>
      <c r="DC199" s="68"/>
    </row>
    <row r="200" spans="1:107" x14ac:dyDescent="0.25">
      <c r="A200" s="66">
        <v>4</v>
      </c>
      <c r="B200" s="67" t="str" vm="4">
        <f t="shared" si="4"/>
        <v>Mar-2021</v>
      </c>
      <c r="C200" s="67"/>
      <c r="D200" s="67" t="s">
        <v>232</v>
      </c>
      <c r="E200" s="67" t="s">
        <v>233</v>
      </c>
      <c r="F200" s="67" t="s">
        <v>437</v>
      </c>
      <c r="G200" s="67"/>
      <c r="H200" s="67" t="s">
        <v>478</v>
      </c>
      <c r="I200" s="67" t="s">
        <v>625</v>
      </c>
      <c r="J200" s="67" t="s">
        <v>626</v>
      </c>
      <c r="K200" s="67" t="s">
        <v>627</v>
      </c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 t="str" vm="2038">
        <f>CUBEVALUE(ConnectionString,ReportMonth,Table1[[#This Row],[Site ID (from DATIM)]],"TX_NEW_2VIS")</f>
        <v/>
      </c>
      <c r="AE200" s="67" t="str" vm="642">
        <f>CUBEVALUE(ConnectionString,ReportMonth,Table1[[#This Row],[Site ID (from DATIM)]],INDEX(SDI_Measures,1))</f>
        <v/>
      </c>
      <c r="AF200" s="67" t="str" vm="1606">
        <f>CUBEVALUE(ConnectionString,ReportMonth,Table1[[#This Row],[Site ID (from DATIM)]],INDEX(SDI_Measures,2))</f>
        <v/>
      </c>
      <c r="AG200" s="67" vm="4453">
        <f>CUBEVALUE(ConnectionString,ReportMonth,Table1[[#This Row],[Site ID (from DATIM)]],INDEX(SDI_Measures,3))</f>
        <v>1</v>
      </c>
      <c r="AH200" s="67" vm="3993">
        <f>CUBEVALUE(ConnectionString,ReportMonth,Table1[[#This Row],[Site ID (from DATIM)]],"TX_CURR_PRIOR_MONTH")</f>
        <v>197</v>
      </c>
      <c r="AI200" s="67" vm="3591">
        <f>CUBEVALUE(ConnectionString,ReportMonth,Table1[[#This Row],[Site ID (from DATIM)]],"TX_CURR")</f>
        <v>190</v>
      </c>
      <c r="AJ200" s="67" t="str" vm="3296">
        <f>CUBEVALUE(ConnectionString,ReportMonth,Table1[[#This Row],[Site ID (from DATIM)]],"[Measures].[TI]")</f>
        <v/>
      </c>
      <c r="AK200" s="67" vm="3125">
        <f>CUBEVALUE(ConnectionString,ReportMonth,Table1[[#This Row],[Site ID (from DATIM)]],"[Measures].[TO]")</f>
        <v>1</v>
      </c>
      <c r="AL200" s="67" t="str" vm="1811">
        <f>CUBEVALUE(ConnectionString,ReportMonth,Table1[[#This Row],[Site ID (from DATIM)]],"[Measures].[DIED]")</f>
        <v/>
      </c>
      <c r="AM200" s="67" vm="4609">
        <f>CUBEVALUE(ConnectionString,ReportMonth,Table1[[#This Row],[Site ID (from DATIM)]],"[Measures].[MMS_01_31]")</f>
        <v>27</v>
      </c>
      <c r="AN200" s="67" vm="5568">
        <f>CUBEVALUE(ConnectionString,ReportMonth,Table1[[#This Row],[Site ID (from DATIM)]],"[Measures].[MMS_32_62]")</f>
        <v>29</v>
      </c>
      <c r="AO200" s="67" vm="9058">
        <f>CUBEVALUE(ConnectionString,ReportMonth,Table1[[#This Row],[Site ID (from DATIM)]],"[Measures].[MMS_63+]")</f>
        <v>134</v>
      </c>
      <c r="AP200" s="67" vm="8238">
        <f>CUBEVALUE(ConnectionString,ReportMonth,Table1[[#This Row],[Site ID (from DATIM)]],"[Measures].[TBPREV_D]")</f>
        <v>3</v>
      </c>
      <c r="AQ200" s="67" vm="4671">
        <f>CUBEVALUE(ConnectionString,ReportMonth,Table1[[#This Row],[Site ID (from DATIM)]],"[Measures].[TBPREV_N]")</f>
        <v>3</v>
      </c>
      <c r="AR200" s="67" vm="5293">
        <f>CUBEVALUE(ConnectionString,ReportMonth,Table1[[#This Row],[Site ID (from DATIM)]],"[Measures].[TBPREV_NEW]")</f>
        <v>2</v>
      </c>
      <c r="AS200" s="67" vm="6878">
        <f>CUBEVALUE(ConnectionString,ReportMonth,Table1[[#This Row],[Site ID (from DATIM)]],"[Measures].[HVL_ELIG_P]")</f>
        <v>20</v>
      </c>
      <c r="AT200" s="67" vm="8116">
        <f>CUBEVALUE(ConnectionString,ReportMonth,Table1[[#This Row],[Site ID (from DATIM)]],"[Measures].[HVL_D_P]")</f>
        <v>12</v>
      </c>
      <c r="AU200" s="67" vm="6586">
        <f>CUBEVALUE(ConnectionString,ReportMonth,Table1[[#This Row],[Site ID (from DATIM)]],"[Measures].[HVL_N_P]")</f>
        <v>11</v>
      </c>
      <c r="AV200" s="68" vm="12013">
        <f>CUBEVALUE(ConnectionString,ReportMonth,Table1[[#This Row],[Site ID (from DATIM)]],"[Measures].[HVL_ELIG_A]")</f>
        <v>151</v>
      </c>
      <c r="AW200" s="68" vm="9243">
        <f>CUBEVALUE(ConnectionString,ReportMonth,Table1[[#This Row],[Site ID (from DATIM)]],"[Measures].[HVL_D_A]")</f>
        <v>121</v>
      </c>
      <c r="AX200" s="68" vm="13994">
        <f>CUBEVALUE(ConnectionString,ReportMonth,Table1[[#This Row],[Site ID (from DATIM)]],"[Measures].[HVL_N_A]")</f>
        <v>115</v>
      </c>
      <c r="AY200" s="67"/>
      <c r="AZ200" s="67"/>
      <c r="BA200" s="67"/>
      <c r="BB200" s="67"/>
      <c r="BC200" s="67"/>
      <c r="BD200" s="67"/>
      <c r="BE200" s="67"/>
      <c r="BF200" s="67"/>
      <c r="BG200" s="67" t="str" vm="13246">
        <f>CUBEVALUE(ConnectionString,ReportMonth,Table1[[#This Row],[Site ID (from DATIM)]],"[Measures].[TX_NEW_F_A]")</f>
        <v/>
      </c>
      <c r="BH200" s="67" t="str" vm="13952">
        <f>CUBEVALUE(ConnectionString,ReportMonth,Table1[[#This Row],[Site ID (from DATIM)]],"[Measures].[TX_NEW_M_A]")</f>
        <v/>
      </c>
      <c r="BI200" s="67" vm="12854">
        <f>CUBEVALUE(ConnectionString,ReportMonth,Table1[[#This Row],[Site ID (from DATIM)]],"[Measures].[TX_NEW_F_P]")</f>
        <v>1</v>
      </c>
      <c r="BJ200" s="68" t="str" vm="16580">
        <f>CUBEVALUE(ConnectionString,ReportMonth,Table1[[#This Row],[Site ID (from DATIM)]],"[Measures].[TX_NEW_M_P]")</f>
        <v/>
      </c>
      <c r="BK200" s="68"/>
      <c r="BL200" s="68"/>
      <c r="BM200" s="68"/>
      <c r="BN200" s="68"/>
      <c r="BO200" s="68"/>
      <c r="BP200" s="68"/>
      <c r="BQ200" s="68" vm="9220">
        <f>CUBEVALUE(ConnectionString,ReportMonth,Table1[[#This Row],[Site ID (from DATIM)]],"[Measures].[TX_CURR_F_P]")</f>
        <v>11</v>
      </c>
      <c r="BR200" s="68" vm="11598">
        <f>CUBEVALUE(ConnectionString,ReportMonth,Table1[[#This Row],[Site ID (from DATIM)]],"[Measures].[TX_CURR_M_P]")</f>
        <v>10</v>
      </c>
      <c r="BS200" s="68" vm="12589">
        <f>CUBEVALUE(ConnectionString,ReportMonth,Table1[[#This Row],[Site ID (from DATIM)]],"[Measures].[TX_CURR_F_A]")</f>
        <v>110</v>
      </c>
      <c r="BT200" s="68" vm="10202">
        <f>CUBEVALUE(ConnectionString,ReportMonth,Table1[[#This Row],[Site ID (from DATIM)]],"[Measures].[TX_CURR_M_A]")</f>
        <v>59</v>
      </c>
      <c r="BU200" s="68" vm="18674">
        <f>CUBEVALUE(ConnectionString,ReportMonth,Table1[[#This Row],[Site ID (from DATIM)]],"[Measures].[MMS_01_89_F_P]")</f>
        <v>9</v>
      </c>
      <c r="BV200" s="68" vm="19829">
        <f>CUBEVALUE(ConnectionString,ReportMonth,Table1[[#This Row],[Site ID (from DATIM)]],"[Measures].[MMS_01_89_M_P]")</f>
        <v>8</v>
      </c>
      <c r="BW200" s="68" vm="18920">
        <f>CUBEVALUE(ConnectionString,ReportMonth,Table1[[#This Row],[Site ID (from DATIM)]],"[Measures].[MMS_01_89_F_A]")</f>
        <v>22</v>
      </c>
      <c r="BX200" s="68" vm="19195">
        <f>CUBEVALUE(ConnectionString,ReportMonth,Table1[[#This Row],[Site ID (from DATIM)]],"[Measures].[MMS_01_89_M_A]")</f>
        <v>17</v>
      </c>
      <c r="BY200" s="68" vm="19351">
        <f>CUBEVALUE(ConnectionString,ReportMonth,Table1[[#This Row],[Site ID (from DATIM)]],"[Measures].[MMS_90_179_F_P]")</f>
        <v>2</v>
      </c>
      <c r="BZ200" s="68" vm="14744">
        <f>CUBEVALUE(ConnectionString,ReportMonth,Table1[[#This Row],[Site ID (from DATIM)]],"[Measures].[MMS_90_179_M_P]")</f>
        <v>2</v>
      </c>
      <c r="CA200" s="68" vm="18791">
        <f>CUBEVALUE(ConnectionString,ReportMonth,Table1[[#This Row],[Site ID (from DATIM)]],"[Measures].[MMS_90_179_F_A]")</f>
        <v>88</v>
      </c>
      <c r="CB200" s="68" vm="16486">
        <f>CUBEVALUE(ConnectionString,ReportMonth,Table1[[#This Row],[Site ID (from DATIM)]],"[Measures].[MMS_90_179_M_A]")</f>
        <v>42</v>
      </c>
      <c r="CC200" s="68" t="str" vm="12">
        <f>CUBEVALUE(ConnectionString,ReportMonth,Table1[[#This Row],[Site ID (from DATIM)]],"[Measures].[MMS_180+_F_P]")</f>
        <v/>
      </c>
      <c r="CD200" s="68" t="str" vm="15071">
        <f>CUBEVALUE(ConnectionString,ReportMonth,Table1[[#This Row],[Site ID (from DATIM)]],"[Measures].[MMS_180+_M_P]")</f>
        <v/>
      </c>
      <c r="CE200" s="68" t="str" vm="16653">
        <f>CUBEVALUE(ConnectionString,ReportMonth,Table1[[#This Row],[Site ID (from DATIM)]],"[Measures].[MMS_180+_F_A]")</f>
        <v/>
      </c>
      <c r="CF200" s="68" t="str" vm="16646">
        <f>CUBEVALUE(ConnectionString,ReportMonth,Table1[[#This Row],[Site ID (from DATIM)]],"[Measures].[MMS_180+_M_A]")</f>
        <v/>
      </c>
      <c r="CG200" s="68" vm="6097">
        <f>CUBEVALUE(ConnectionString,ReportMonth,Table1[[#This Row],[Site ID (from DATIM)]],"[Measures].[MISSEDAPP]")</f>
        <v>75</v>
      </c>
      <c r="CH200" s="68" t="str" vm="11691">
        <f>CUBEVALUE(ConnectionString,ReportMonth,Table1[[#This Row],[Site ID (from DATIM)]],"[Measures].[MMS_180+_P]")</f>
        <v/>
      </c>
      <c r="CI200" s="68" t="str" vm="10909">
        <f>CUBEVALUE(ConnectionString,ReportMonth,Table1[[#This Row],[Site ID (from DATIM)]],"[Measures].[MMS_180+_A]")</f>
        <v/>
      </c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  <c r="CW200" s="68"/>
      <c r="CX200" s="68"/>
      <c r="CY200" s="68"/>
      <c r="CZ200" s="68"/>
      <c r="DA200" s="68"/>
      <c r="DB200" s="68"/>
      <c r="DC200" s="68"/>
    </row>
    <row r="201" spans="1:107" x14ac:dyDescent="0.25">
      <c r="A201" s="66">
        <v>4</v>
      </c>
      <c r="B201" s="67" t="str" vm="4">
        <f t="shared" si="4"/>
        <v>Mar-2021</v>
      </c>
      <c r="C201" s="67"/>
      <c r="D201" s="67" t="s">
        <v>232</v>
      </c>
      <c r="E201" s="67" t="s">
        <v>233</v>
      </c>
      <c r="F201" s="67" t="s">
        <v>1286</v>
      </c>
      <c r="G201" s="67"/>
      <c r="H201" s="67" t="s">
        <v>1287</v>
      </c>
      <c r="I201" s="67" t="s">
        <v>1395</v>
      </c>
      <c r="J201" s="67" t="s">
        <v>1396</v>
      </c>
      <c r="K201" s="67" t="s">
        <v>1397</v>
      </c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 t="str" vm="1513">
        <f>CUBEVALUE(ConnectionString,ReportMonth,Table1[[#This Row],[Site ID (from DATIM)]],"TX_NEW_2VIS")</f>
        <v/>
      </c>
      <c r="AE201" s="67" t="str" vm="3294">
        <f>CUBEVALUE(ConnectionString,ReportMonth,Table1[[#This Row],[Site ID (from DATIM)]],INDEX(SDI_Measures,1))</f>
        <v/>
      </c>
      <c r="AF201" s="67" t="str" vm="607">
        <f>CUBEVALUE(ConnectionString,ReportMonth,Table1[[#This Row],[Site ID (from DATIM)]],INDEX(SDI_Measures,2))</f>
        <v/>
      </c>
      <c r="AG201" s="67" t="str" vm="1741">
        <f>CUBEVALUE(ConnectionString,ReportMonth,Table1[[#This Row],[Site ID (from DATIM)]],INDEX(SDI_Measures,3))</f>
        <v/>
      </c>
      <c r="AH201" s="67" t="str" vm="3761">
        <f>CUBEVALUE(ConnectionString,ReportMonth,Table1[[#This Row],[Site ID (from DATIM)]],"TX_CURR_PRIOR_MONTH")</f>
        <v/>
      </c>
      <c r="AI201" s="67" t="str" vm="3957">
        <f>CUBEVALUE(ConnectionString,ReportMonth,Table1[[#This Row],[Site ID (from DATIM)]],"TX_CURR")</f>
        <v/>
      </c>
      <c r="AJ201" s="67" t="str" vm="1604">
        <f>CUBEVALUE(ConnectionString,ReportMonth,Table1[[#This Row],[Site ID (from DATIM)]],"[Measures].[TI]")</f>
        <v/>
      </c>
      <c r="AK201" s="67" t="str" vm="1834">
        <f>CUBEVALUE(ConnectionString,ReportMonth,Table1[[#This Row],[Site ID (from DATIM)]],"[Measures].[TO]")</f>
        <v/>
      </c>
      <c r="AL201" s="67" t="str" vm="3552">
        <f>CUBEVALUE(ConnectionString,ReportMonth,Table1[[#This Row],[Site ID (from DATIM)]],"[Measures].[DIED]")</f>
        <v/>
      </c>
      <c r="AM201" s="67" t="str" vm="3860">
        <f>CUBEVALUE(ConnectionString,ReportMonth,Table1[[#This Row],[Site ID (from DATIM)]],"[Measures].[MMS_01_31]")</f>
        <v/>
      </c>
      <c r="AN201" s="67" t="str" vm="4604">
        <f>CUBEVALUE(ConnectionString,ReportMonth,Table1[[#This Row],[Site ID (from DATIM)]],"[Measures].[MMS_32_62]")</f>
        <v/>
      </c>
      <c r="AO201" s="67" t="str" vm="10280">
        <f>CUBEVALUE(ConnectionString,ReportMonth,Table1[[#This Row],[Site ID (from DATIM)]],"[Measures].[MMS_63+]")</f>
        <v/>
      </c>
      <c r="AP201" s="67" t="str" vm="4972">
        <f>CUBEVALUE(ConnectionString,ReportMonth,Table1[[#This Row],[Site ID (from DATIM)]],"[Measures].[TBPREV_D]")</f>
        <v/>
      </c>
      <c r="AQ201" s="67" t="str" vm="7547">
        <f>CUBEVALUE(ConnectionString,ReportMonth,Table1[[#This Row],[Site ID (from DATIM)]],"[Measures].[TBPREV_N]")</f>
        <v/>
      </c>
      <c r="AR201" s="67" t="str" vm="5346">
        <f>CUBEVALUE(ConnectionString,ReportMonth,Table1[[#This Row],[Site ID (from DATIM)]],"[Measures].[TBPREV_NEW]")</f>
        <v/>
      </c>
      <c r="AS201" s="67" t="str" vm="7134">
        <f>CUBEVALUE(ConnectionString,ReportMonth,Table1[[#This Row],[Site ID (from DATIM)]],"[Measures].[HVL_ELIG_P]")</f>
        <v/>
      </c>
      <c r="AT201" s="67" t="str" vm="7889">
        <f>CUBEVALUE(ConnectionString,ReportMonth,Table1[[#This Row],[Site ID (from DATIM)]],"[Measures].[HVL_D_P]")</f>
        <v/>
      </c>
      <c r="AU201" s="67" t="str" vm="9392">
        <f>CUBEVALUE(ConnectionString,ReportMonth,Table1[[#This Row],[Site ID (from DATIM)]],"[Measures].[HVL_N_P]")</f>
        <v/>
      </c>
      <c r="AV201" s="68" t="str" vm="10263">
        <f>CUBEVALUE(ConnectionString,ReportMonth,Table1[[#This Row],[Site ID (from DATIM)]],"[Measures].[HVL_ELIG_A]")</f>
        <v/>
      </c>
      <c r="AW201" s="68" t="str" vm="11978">
        <f>CUBEVALUE(ConnectionString,ReportMonth,Table1[[#This Row],[Site ID (from DATIM)]],"[Measures].[HVL_D_A]")</f>
        <v/>
      </c>
      <c r="AX201" s="68" t="str" vm="8634">
        <f>CUBEVALUE(ConnectionString,ReportMonth,Table1[[#This Row],[Site ID (from DATIM)]],"[Measures].[HVL_N_A]")</f>
        <v/>
      </c>
      <c r="AY201" s="67"/>
      <c r="AZ201" s="67"/>
      <c r="BA201" s="67"/>
      <c r="BB201" s="67"/>
      <c r="BC201" s="67"/>
      <c r="BD201" s="67"/>
      <c r="BE201" s="67"/>
      <c r="BF201" s="67"/>
      <c r="BG201" s="67" t="str" vm="14183">
        <f>CUBEVALUE(ConnectionString,ReportMonth,Table1[[#This Row],[Site ID (from DATIM)]],"[Measures].[TX_NEW_F_A]")</f>
        <v/>
      </c>
      <c r="BH201" s="67" t="str" vm="12595">
        <f>CUBEVALUE(ConnectionString,ReportMonth,Table1[[#This Row],[Site ID (from DATIM)]],"[Measures].[TX_NEW_M_A]")</f>
        <v/>
      </c>
      <c r="BI201" s="67" t="str" vm="13454">
        <f>CUBEVALUE(ConnectionString,ReportMonth,Table1[[#This Row],[Site ID (from DATIM)]],"[Measures].[TX_NEW_F_P]")</f>
        <v/>
      </c>
      <c r="BJ201" s="68" t="str" vm="13979">
        <f>CUBEVALUE(ConnectionString,ReportMonth,Table1[[#This Row],[Site ID (from DATIM)]],"[Measures].[TX_NEW_M_P]")</f>
        <v/>
      </c>
      <c r="BK201" s="68"/>
      <c r="BL201" s="68"/>
      <c r="BM201" s="68"/>
      <c r="BN201" s="68"/>
      <c r="BO201" s="68"/>
      <c r="BP201" s="68"/>
      <c r="BQ201" s="68" t="str" vm="13044">
        <f>CUBEVALUE(ConnectionString,ReportMonth,Table1[[#This Row],[Site ID (from DATIM)]],"[Measures].[TX_CURR_F_P]")</f>
        <v/>
      </c>
      <c r="BR201" s="68" t="str" vm="9449">
        <f>CUBEVALUE(ConnectionString,ReportMonth,Table1[[#This Row],[Site ID (from DATIM)]],"[Measures].[TX_CURR_M_P]")</f>
        <v/>
      </c>
      <c r="BS201" s="68" t="str" vm="8792">
        <f>CUBEVALUE(ConnectionString,ReportMonth,Table1[[#This Row],[Site ID (from DATIM)]],"[Measures].[TX_CURR_F_A]")</f>
        <v/>
      </c>
      <c r="BT201" s="68" t="str" vm="8458">
        <f>CUBEVALUE(ConnectionString,ReportMonth,Table1[[#This Row],[Site ID (from DATIM)]],"[Measures].[TX_CURR_M_A]")</f>
        <v/>
      </c>
      <c r="BU201" s="68" t="str" vm="18427">
        <f>CUBEVALUE(ConnectionString,ReportMonth,Table1[[#This Row],[Site ID (from DATIM)]],"[Measures].[MMS_01_89_F_P]")</f>
        <v/>
      </c>
      <c r="BV201" s="68" t="str" vm="18383">
        <f>CUBEVALUE(ConnectionString,ReportMonth,Table1[[#This Row],[Site ID (from DATIM)]],"[Measures].[MMS_01_89_M_P]")</f>
        <v/>
      </c>
      <c r="BW201" s="68" t="str" vm="19424">
        <f>CUBEVALUE(ConnectionString,ReportMonth,Table1[[#This Row],[Site ID (from DATIM)]],"[Measures].[MMS_01_89_F_A]")</f>
        <v/>
      </c>
      <c r="BX201" s="68" t="str" vm="18277">
        <f>CUBEVALUE(ConnectionString,ReportMonth,Table1[[#This Row],[Site ID (from DATIM)]],"[Measures].[MMS_01_89_M_A]")</f>
        <v/>
      </c>
      <c r="BY201" s="68" t="str" vm="17808">
        <f>CUBEVALUE(ConnectionString,ReportMonth,Table1[[#This Row],[Site ID (from DATIM)]],"[Measures].[MMS_90_179_F_P]")</f>
        <v/>
      </c>
      <c r="BZ201" s="68" t="str" vm="16020">
        <f>CUBEVALUE(ConnectionString,ReportMonth,Table1[[#This Row],[Site ID (from DATIM)]],"[Measures].[MMS_90_179_M_P]")</f>
        <v/>
      </c>
      <c r="CA201" s="68" t="str" vm="17341">
        <f>CUBEVALUE(ConnectionString,ReportMonth,Table1[[#This Row],[Site ID (from DATIM)]],"[Measures].[MMS_90_179_F_A]")</f>
        <v/>
      </c>
      <c r="CB201" s="68" t="str" vm="17238">
        <f>CUBEVALUE(ConnectionString,ReportMonth,Table1[[#This Row],[Site ID (from DATIM)]],"[Measures].[MMS_90_179_M_A]")</f>
        <v/>
      </c>
      <c r="CC201" s="68" t="str" vm="16431">
        <f>CUBEVALUE(ConnectionString,ReportMonth,Table1[[#This Row],[Site ID (from DATIM)]],"[Measures].[MMS_180+_F_P]")</f>
        <v/>
      </c>
      <c r="CD201" s="68" t="str" vm="17098">
        <f>CUBEVALUE(ConnectionString,ReportMonth,Table1[[#This Row],[Site ID (from DATIM)]],"[Measures].[MMS_180+_M_P]")</f>
        <v/>
      </c>
      <c r="CE201" s="68" t="str" vm="17514">
        <f>CUBEVALUE(ConnectionString,ReportMonth,Table1[[#This Row],[Site ID (from DATIM)]],"[Measures].[MMS_180+_F_A]")</f>
        <v/>
      </c>
      <c r="CF201" s="68" t="str" vm="332">
        <f>CUBEVALUE(ConnectionString,ReportMonth,Table1[[#This Row],[Site ID (from DATIM)]],"[Measures].[MMS_180+_M_A]")</f>
        <v/>
      </c>
      <c r="CG201" s="68" t="str" vm="4841">
        <f>CUBEVALUE(ConnectionString,ReportMonth,Table1[[#This Row],[Site ID (from DATIM)]],"[Measures].[MISSEDAPP]")</f>
        <v/>
      </c>
      <c r="CH201" s="68" t="str" vm="10999">
        <f>CUBEVALUE(ConnectionString,ReportMonth,Table1[[#This Row],[Site ID (from DATIM)]],"[Measures].[MMS_180+_P]")</f>
        <v/>
      </c>
      <c r="CI201" s="68" t="str" vm="14315">
        <f>CUBEVALUE(ConnectionString,ReportMonth,Table1[[#This Row],[Site ID (from DATIM)]],"[Measures].[MMS_180+_A]")</f>
        <v/>
      </c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  <c r="CW201" s="68"/>
      <c r="CX201" s="68"/>
      <c r="CY201" s="68"/>
      <c r="CZ201" s="68"/>
      <c r="DA201" s="68"/>
      <c r="DB201" s="68"/>
      <c r="DC201" s="68"/>
    </row>
    <row r="202" spans="1:107" x14ac:dyDescent="0.25">
      <c r="A202" s="66">
        <v>4</v>
      </c>
      <c r="B202" s="67" t="str" vm="4">
        <f t="shared" si="4"/>
        <v>Mar-2021</v>
      </c>
      <c r="C202" s="67"/>
      <c r="D202" s="67" t="s">
        <v>232</v>
      </c>
      <c r="E202" s="67" t="s">
        <v>233</v>
      </c>
      <c r="F202" s="67" t="s">
        <v>831</v>
      </c>
      <c r="G202" s="67"/>
      <c r="H202" s="67" t="s">
        <v>847</v>
      </c>
      <c r="I202" s="67" t="s">
        <v>948</v>
      </c>
      <c r="J202" s="67" t="s">
        <v>949</v>
      </c>
      <c r="K202" s="67" t="s">
        <v>950</v>
      </c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 t="str" vm="4410">
        <f>CUBEVALUE(ConnectionString,ReportMonth,Table1[[#This Row],[Site ID (from DATIM)]],"TX_NEW_2VIS")</f>
        <v/>
      </c>
      <c r="AE202" s="67" t="str" vm="4233">
        <f>CUBEVALUE(ConnectionString,ReportMonth,Table1[[#This Row],[Site ID (from DATIM)]],INDEX(SDI_Measures,1))</f>
        <v/>
      </c>
      <c r="AF202" s="67" t="str" vm="384">
        <f>CUBEVALUE(ConnectionString,ReportMonth,Table1[[#This Row],[Site ID (from DATIM)]],INDEX(SDI_Measures,2))</f>
        <v/>
      </c>
      <c r="AG202" s="67" t="str" vm="451">
        <f>CUBEVALUE(ConnectionString,ReportMonth,Table1[[#This Row],[Site ID (from DATIM)]],INDEX(SDI_Measures,3))</f>
        <v/>
      </c>
      <c r="AH202" s="67" vm="2940">
        <f>CUBEVALUE(ConnectionString,ReportMonth,Table1[[#This Row],[Site ID (from DATIM)]],"TX_CURR_PRIOR_MONTH")</f>
        <v>24</v>
      </c>
      <c r="AI202" s="67" vm="2835">
        <f>CUBEVALUE(ConnectionString,ReportMonth,Table1[[#This Row],[Site ID (from DATIM)]],"TX_CURR")</f>
        <v>23</v>
      </c>
      <c r="AJ202" s="67" t="str" vm="2598">
        <f>CUBEVALUE(ConnectionString,ReportMonth,Table1[[#This Row],[Site ID (from DATIM)]],"[Measures].[TI]")</f>
        <v/>
      </c>
      <c r="AK202" s="67" t="str" vm="1032">
        <f>CUBEVALUE(ConnectionString,ReportMonth,Table1[[#This Row],[Site ID (from DATIM)]],"[Measures].[TO]")</f>
        <v/>
      </c>
      <c r="AL202" s="67" t="str" vm="3817">
        <f>CUBEVALUE(ConnectionString,ReportMonth,Table1[[#This Row],[Site ID (from DATIM)]],"[Measures].[DIED]")</f>
        <v/>
      </c>
      <c r="AM202" s="67" vm="4353">
        <f>CUBEVALUE(ConnectionString,ReportMonth,Table1[[#This Row],[Site ID (from DATIM)]],"[Measures].[MMS_01_31]")</f>
        <v>22</v>
      </c>
      <c r="AN202" s="67" t="str" vm="8289">
        <f>CUBEVALUE(ConnectionString,ReportMonth,Table1[[#This Row],[Site ID (from DATIM)]],"[Measures].[MMS_32_62]")</f>
        <v/>
      </c>
      <c r="AO202" s="67" vm="11730">
        <f>CUBEVALUE(ConnectionString,ReportMonth,Table1[[#This Row],[Site ID (from DATIM)]],"[Measures].[MMS_63+]")</f>
        <v>1</v>
      </c>
      <c r="AP202" s="67" vm="8939">
        <f>CUBEVALUE(ConnectionString,ReportMonth,Table1[[#This Row],[Site ID (from DATIM)]],"[Measures].[TBPREV_D]")</f>
        <v>4</v>
      </c>
      <c r="AQ202" s="67" vm="6859">
        <f>CUBEVALUE(ConnectionString,ReportMonth,Table1[[#This Row],[Site ID (from DATIM)]],"[Measures].[TBPREV_N]")</f>
        <v>2</v>
      </c>
      <c r="AR202" s="67" t="str" vm="5003">
        <f>CUBEVALUE(ConnectionString,ReportMonth,Table1[[#This Row],[Site ID (from DATIM)]],"[Measures].[TBPREV_NEW]")</f>
        <v/>
      </c>
      <c r="AS202" s="67" t="str" vm="5442">
        <f>CUBEVALUE(ConnectionString,ReportMonth,Table1[[#This Row],[Site ID (from DATIM)]],"[Measures].[HVL_ELIG_P]")</f>
        <v/>
      </c>
      <c r="AT202" s="67" t="str" vm="10874">
        <f>CUBEVALUE(ConnectionString,ReportMonth,Table1[[#This Row],[Site ID (from DATIM)]],"[Measures].[HVL_D_P]")</f>
        <v/>
      </c>
      <c r="AU202" s="67" t="str" vm="10824">
        <f>CUBEVALUE(ConnectionString,ReportMonth,Table1[[#This Row],[Site ID (from DATIM)]],"[Measures].[HVL_N_P]")</f>
        <v/>
      </c>
      <c r="AV202" s="68" vm="6600">
        <f>CUBEVALUE(ConnectionString,ReportMonth,Table1[[#This Row],[Site ID (from DATIM)]],"[Measures].[HVL_ELIG_A]")</f>
        <v>20</v>
      </c>
      <c r="AW202" s="68" vm="9196">
        <f>CUBEVALUE(ConnectionString,ReportMonth,Table1[[#This Row],[Site ID (from DATIM)]],"[Measures].[HVL_D_A]")</f>
        <v>7</v>
      </c>
      <c r="AX202" s="68" vm="9083">
        <f>CUBEVALUE(ConnectionString,ReportMonth,Table1[[#This Row],[Site ID (from DATIM)]],"[Measures].[HVL_N_A]")</f>
        <v>7</v>
      </c>
      <c r="AY202" s="67"/>
      <c r="AZ202" s="67"/>
      <c r="BA202" s="67"/>
      <c r="BB202" s="67"/>
      <c r="BC202" s="67"/>
      <c r="BD202" s="67"/>
      <c r="BE202" s="67"/>
      <c r="BF202" s="67"/>
      <c r="BG202" s="67" t="str" vm="15256">
        <f>CUBEVALUE(ConnectionString,ReportMonth,Table1[[#This Row],[Site ID (from DATIM)]],"[Measures].[TX_NEW_F_A]")</f>
        <v/>
      </c>
      <c r="BH202" s="67" t="str" vm="12656">
        <f>CUBEVALUE(ConnectionString,ReportMonth,Table1[[#This Row],[Site ID (from DATIM)]],"[Measures].[TX_NEW_M_A]")</f>
        <v/>
      </c>
      <c r="BI202" s="67" t="str" vm="15268">
        <f>CUBEVALUE(ConnectionString,ReportMonth,Table1[[#This Row],[Site ID (from DATIM)]],"[Measures].[TX_NEW_F_P]")</f>
        <v/>
      </c>
      <c r="BJ202" s="68" t="str" vm="17075">
        <f>CUBEVALUE(ConnectionString,ReportMonth,Table1[[#This Row],[Site ID (from DATIM)]],"[Measures].[TX_NEW_M_P]")</f>
        <v/>
      </c>
      <c r="BK202" s="68"/>
      <c r="BL202" s="68"/>
      <c r="BM202" s="68"/>
      <c r="BN202" s="68"/>
      <c r="BO202" s="68"/>
      <c r="BP202" s="68"/>
      <c r="BQ202" s="68" t="str" vm="6349">
        <f>CUBEVALUE(ConnectionString,ReportMonth,Table1[[#This Row],[Site ID (from DATIM)]],"[Measures].[TX_CURR_F_P]")</f>
        <v/>
      </c>
      <c r="BR202" s="68" t="str" vm="9488">
        <f>CUBEVALUE(ConnectionString,ReportMonth,Table1[[#This Row],[Site ID (from DATIM)]],"[Measures].[TX_CURR_M_P]")</f>
        <v/>
      </c>
      <c r="BS202" s="68" vm="14266">
        <f>CUBEVALUE(ConnectionString,ReportMonth,Table1[[#This Row],[Site ID (from DATIM)]],"[Measures].[TX_CURR_F_A]")</f>
        <v>18</v>
      </c>
      <c r="BT202" s="68" vm="10610">
        <f>CUBEVALUE(ConnectionString,ReportMonth,Table1[[#This Row],[Site ID (from DATIM)]],"[Measures].[TX_CURR_M_A]")</f>
        <v>5</v>
      </c>
      <c r="BU202" s="68" t="str" vm="18734">
        <f>CUBEVALUE(ConnectionString,ReportMonth,Table1[[#This Row],[Site ID (from DATIM)]],"[Measures].[MMS_01_89_F_P]")</f>
        <v/>
      </c>
      <c r="BV202" s="68" t="str" vm="17830">
        <f>CUBEVALUE(ConnectionString,ReportMonth,Table1[[#This Row],[Site ID (from DATIM)]],"[Measures].[MMS_01_89_M_P]")</f>
        <v/>
      </c>
      <c r="BW202" s="68" vm="20015">
        <f>CUBEVALUE(ConnectionString,ReportMonth,Table1[[#This Row],[Site ID (from DATIM)]],"[Measures].[MMS_01_89_F_A]")</f>
        <v>18</v>
      </c>
      <c r="BX202" s="68" vm="19084">
        <f>CUBEVALUE(ConnectionString,ReportMonth,Table1[[#This Row],[Site ID (from DATIM)]],"[Measures].[MMS_01_89_M_A]")</f>
        <v>4</v>
      </c>
      <c r="BY202" s="68" t="str" vm="17851">
        <f>CUBEVALUE(ConnectionString,ReportMonth,Table1[[#This Row],[Site ID (from DATIM)]],"[Measures].[MMS_90_179_F_P]")</f>
        <v/>
      </c>
      <c r="BZ202" s="68" t="str" vm="18182">
        <f>CUBEVALUE(ConnectionString,ReportMonth,Table1[[#This Row],[Site ID (from DATIM)]],"[Measures].[MMS_90_179_M_P]")</f>
        <v/>
      </c>
      <c r="CA202" s="68" t="str" vm="16829">
        <f>CUBEVALUE(ConnectionString,ReportMonth,Table1[[#This Row],[Site ID (from DATIM)]],"[Measures].[MMS_90_179_F_A]")</f>
        <v/>
      </c>
      <c r="CB202" s="68" vm="16437">
        <f>CUBEVALUE(ConnectionString,ReportMonth,Table1[[#This Row],[Site ID (from DATIM)]],"[Measures].[MMS_90_179_M_A]")</f>
        <v>1</v>
      </c>
      <c r="CC202" s="68" t="str" vm="16381">
        <f>CUBEVALUE(ConnectionString,ReportMonth,Table1[[#This Row],[Site ID (from DATIM)]],"[Measures].[MMS_180+_F_P]")</f>
        <v/>
      </c>
      <c r="CD202" s="68" t="str" vm="16690">
        <f>CUBEVALUE(ConnectionString,ReportMonth,Table1[[#This Row],[Site ID (from DATIM)]],"[Measures].[MMS_180+_M_P]")</f>
        <v/>
      </c>
      <c r="CE202" s="68" t="str" vm="14937">
        <f>CUBEVALUE(ConnectionString,ReportMonth,Table1[[#This Row],[Site ID (from DATIM)]],"[Measures].[MMS_180+_F_A]")</f>
        <v/>
      </c>
      <c r="CF202" s="68" t="str" vm="68">
        <f>CUBEVALUE(ConnectionString,ReportMonth,Table1[[#This Row],[Site ID (from DATIM)]],"[Measures].[MMS_180+_M_A]")</f>
        <v/>
      </c>
      <c r="CG202" s="68" vm="8563">
        <f>CUBEVALUE(ConnectionString,ReportMonth,Table1[[#This Row],[Site ID (from DATIM)]],"[Measures].[MISSEDAPP]")</f>
        <v>18</v>
      </c>
      <c r="CH202" s="68" t="str" vm="11701">
        <f>CUBEVALUE(ConnectionString,ReportMonth,Table1[[#This Row],[Site ID (from DATIM)]],"[Measures].[MMS_180+_P]")</f>
        <v/>
      </c>
      <c r="CI202" s="68" t="str" vm="16606">
        <f>CUBEVALUE(ConnectionString,ReportMonth,Table1[[#This Row],[Site ID (from DATIM)]],"[Measures].[MMS_180+_A]")</f>
        <v/>
      </c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68"/>
      <c r="CZ202" s="68"/>
      <c r="DA202" s="68"/>
      <c r="DB202" s="68"/>
      <c r="DC202" s="68"/>
    </row>
    <row r="203" spans="1:107" x14ac:dyDescent="0.25">
      <c r="A203" s="66">
        <v>4</v>
      </c>
      <c r="B203" s="67" t="str" vm="4">
        <f t="shared" si="4"/>
        <v>Mar-2021</v>
      </c>
      <c r="C203" s="67"/>
      <c r="D203" s="67" t="s">
        <v>232</v>
      </c>
      <c r="E203" s="67" t="s">
        <v>233</v>
      </c>
      <c r="F203" s="67" t="s">
        <v>1083</v>
      </c>
      <c r="G203" s="67"/>
      <c r="H203" s="67" t="s">
        <v>1095</v>
      </c>
      <c r="I203" s="67" t="s">
        <v>1196</v>
      </c>
      <c r="J203" s="67" t="s">
        <v>1197</v>
      </c>
      <c r="K203" s="67" t="s">
        <v>1198</v>
      </c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 t="str" vm="2137">
        <f>CUBEVALUE(ConnectionString,ReportMonth,Table1[[#This Row],[Site ID (from DATIM)]],"TX_NEW_2VIS")</f>
        <v/>
      </c>
      <c r="AE203" s="67" t="str" vm="1046">
        <f>CUBEVALUE(ConnectionString,ReportMonth,Table1[[#This Row],[Site ID (from DATIM)]],INDEX(SDI_Measures,1))</f>
        <v/>
      </c>
      <c r="AF203" s="67" t="str" vm="11767">
        <f>CUBEVALUE(ConnectionString,ReportMonth,Table1[[#This Row],[Site ID (from DATIM)]],INDEX(SDI_Measures,2))</f>
        <v/>
      </c>
      <c r="AG203" s="67" t="str" vm="1173">
        <f>CUBEVALUE(ConnectionString,ReportMonth,Table1[[#This Row],[Site ID (from DATIM)]],INDEX(SDI_Measures,3))</f>
        <v/>
      </c>
      <c r="AH203" s="67" vm="1424">
        <f>CUBEVALUE(ConnectionString,ReportMonth,Table1[[#This Row],[Site ID (from DATIM)]],"TX_CURR_PRIOR_MONTH")</f>
        <v>9</v>
      </c>
      <c r="AI203" s="67" vm="3080">
        <f>CUBEVALUE(ConnectionString,ReportMonth,Table1[[#This Row],[Site ID (from DATIM)]],"TX_CURR")</f>
        <v>5</v>
      </c>
      <c r="AJ203" s="67" t="str" vm="2998">
        <f>CUBEVALUE(ConnectionString,ReportMonth,Table1[[#This Row],[Site ID (from DATIM)]],"[Measures].[TI]")</f>
        <v/>
      </c>
      <c r="AK203" s="67" t="str" vm="2723">
        <f>CUBEVALUE(ConnectionString,ReportMonth,Table1[[#This Row],[Site ID (from DATIM)]],"[Measures].[TO]")</f>
        <v/>
      </c>
      <c r="AL203" s="67" t="str" vm="2418">
        <f>CUBEVALUE(ConnectionString,ReportMonth,Table1[[#This Row],[Site ID (from DATIM)]],"[Measures].[DIED]")</f>
        <v/>
      </c>
      <c r="AM203" s="67" t="str" vm="4545">
        <f>CUBEVALUE(ConnectionString,ReportMonth,Table1[[#This Row],[Site ID (from DATIM)]],"[Measures].[MMS_01_31]")</f>
        <v/>
      </c>
      <c r="AN203" s="67" t="str" vm="7826">
        <f>CUBEVALUE(ConnectionString,ReportMonth,Table1[[#This Row],[Site ID (from DATIM)]],"[Measures].[MMS_32_62]")</f>
        <v/>
      </c>
      <c r="AO203" s="67" vm="5454">
        <f>CUBEVALUE(ConnectionString,ReportMonth,Table1[[#This Row],[Site ID (from DATIM)]],"[Measures].[MMS_63+]")</f>
        <v>5</v>
      </c>
      <c r="AP203" s="67" t="str" vm="6235">
        <f>CUBEVALUE(ConnectionString,ReportMonth,Table1[[#This Row],[Site ID (from DATIM)]],"[Measures].[TBPREV_D]")</f>
        <v/>
      </c>
      <c r="AQ203" s="67" t="str" vm="6258">
        <f>CUBEVALUE(ConnectionString,ReportMonth,Table1[[#This Row],[Site ID (from DATIM)]],"[Measures].[TBPREV_N]")</f>
        <v/>
      </c>
      <c r="AR203" s="67" t="str" vm="6537">
        <f>CUBEVALUE(ConnectionString,ReportMonth,Table1[[#This Row],[Site ID (from DATIM)]],"[Measures].[TBPREV_NEW]")</f>
        <v/>
      </c>
      <c r="AS203" s="67" t="str" vm="5544">
        <f>CUBEVALUE(ConnectionString,ReportMonth,Table1[[#This Row],[Site ID (from DATIM)]],"[Measures].[HVL_ELIG_P]")</f>
        <v/>
      </c>
      <c r="AT203" s="67" t="str" vm="10479">
        <f>CUBEVALUE(ConnectionString,ReportMonth,Table1[[#This Row],[Site ID (from DATIM)]],"[Measures].[HVL_D_P]")</f>
        <v/>
      </c>
      <c r="AU203" s="67" t="str" vm="11128">
        <f>CUBEVALUE(ConnectionString,ReportMonth,Table1[[#This Row],[Site ID (from DATIM)]],"[Measures].[HVL_N_P]")</f>
        <v/>
      </c>
      <c r="AV203" s="68" vm="10739">
        <f>CUBEVALUE(ConnectionString,ReportMonth,Table1[[#This Row],[Site ID (from DATIM)]],"[Measures].[HVL_ELIG_A]")</f>
        <v>2</v>
      </c>
      <c r="AW203" s="68" t="str" vm="8523">
        <f>CUBEVALUE(ConnectionString,ReportMonth,Table1[[#This Row],[Site ID (from DATIM)]],"[Measures].[HVL_D_A]")</f>
        <v/>
      </c>
      <c r="AX203" s="68" t="str" vm="10294">
        <f>CUBEVALUE(ConnectionString,ReportMonth,Table1[[#This Row],[Site ID (from DATIM)]],"[Measures].[HVL_N_A]")</f>
        <v/>
      </c>
      <c r="AY203" s="67"/>
      <c r="AZ203" s="67"/>
      <c r="BA203" s="67"/>
      <c r="BB203" s="67"/>
      <c r="BC203" s="67"/>
      <c r="BD203" s="67"/>
      <c r="BE203" s="67"/>
      <c r="BF203" s="67"/>
      <c r="BG203" s="67" t="str" vm="11717">
        <f>CUBEVALUE(ConnectionString,ReportMonth,Table1[[#This Row],[Site ID (from DATIM)]],"[Measures].[TX_NEW_F_A]")</f>
        <v/>
      </c>
      <c r="BH203" s="67" t="str" vm="13007">
        <f>CUBEVALUE(ConnectionString,ReportMonth,Table1[[#This Row],[Site ID (from DATIM)]],"[Measures].[TX_NEW_M_A]")</f>
        <v/>
      </c>
      <c r="BI203" s="67" t="str" vm="12577">
        <f>CUBEVALUE(ConnectionString,ReportMonth,Table1[[#This Row],[Site ID (from DATIM)]],"[Measures].[TX_NEW_F_P]")</f>
        <v/>
      </c>
      <c r="BJ203" s="68" t="str" vm="17054">
        <f>CUBEVALUE(ConnectionString,ReportMonth,Table1[[#This Row],[Site ID (from DATIM)]],"[Measures].[TX_NEW_M_P]")</f>
        <v/>
      </c>
      <c r="BK203" s="68"/>
      <c r="BL203" s="68"/>
      <c r="BM203" s="68"/>
      <c r="BN203" s="68"/>
      <c r="BO203" s="68"/>
      <c r="BP203" s="68"/>
      <c r="BQ203" s="68" t="str" vm="10488">
        <f>CUBEVALUE(ConnectionString,ReportMonth,Table1[[#This Row],[Site ID (from DATIM)]],"[Measures].[TX_CURR_F_P]")</f>
        <v/>
      </c>
      <c r="BR203" s="68" t="str" vm="12824">
        <f>CUBEVALUE(ConnectionString,ReportMonth,Table1[[#This Row],[Site ID (from DATIM)]],"[Measures].[TX_CURR_M_P]")</f>
        <v/>
      </c>
      <c r="BS203" s="68" vm="8428">
        <f>CUBEVALUE(ConnectionString,ReportMonth,Table1[[#This Row],[Site ID (from DATIM)]],"[Measures].[TX_CURR_F_A]")</f>
        <v>3</v>
      </c>
      <c r="BT203" s="68" vm="9328">
        <f>CUBEVALUE(ConnectionString,ReportMonth,Table1[[#This Row],[Site ID (from DATIM)]],"[Measures].[TX_CURR_M_A]")</f>
        <v>2</v>
      </c>
      <c r="BU203" s="68" t="str" vm="19000">
        <f>CUBEVALUE(ConnectionString,ReportMonth,Table1[[#This Row],[Site ID (from DATIM)]],"[Measures].[MMS_01_89_F_P]")</f>
        <v/>
      </c>
      <c r="BV203" s="68" t="str" vm="19261">
        <f>CUBEVALUE(ConnectionString,ReportMonth,Table1[[#This Row],[Site ID (from DATIM)]],"[Measures].[MMS_01_89_M_P]")</f>
        <v/>
      </c>
      <c r="BW203" s="68" t="str" vm="20014">
        <f>CUBEVALUE(ConnectionString,ReportMonth,Table1[[#This Row],[Site ID (from DATIM)]],"[Measures].[MMS_01_89_F_A]")</f>
        <v/>
      </c>
      <c r="BX203" s="68" t="str" vm="19129">
        <f>CUBEVALUE(ConnectionString,ReportMonth,Table1[[#This Row],[Site ID (from DATIM)]],"[Measures].[MMS_01_89_M_A]")</f>
        <v/>
      </c>
      <c r="BY203" s="68" t="str" vm="17977">
        <f>CUBEVALUE(ConnectionString,ReportMonth,Table1[[#This Row],[Site ID (from DATIM)]],"[Measures].[MMS_90_179_F_P]")</f>
        <v/>
      </c>
      <c r="BZ203" s="68" t="str" vm="18470">
        <f>CUBEVALUE(ConnectionString,ReportMonth,Table1[[#This Row],[Site ID (from DATIM)]],"[Measures].[MMS_90_179_M_P]")</f>
        <v/>
      </c>
      <c r="CA203" s="68" vm="15237">
        <f>CUBEVALUE(ConnectionString,ReportMonth,Table1[[#This Row],[Site ID (from DATIM)]],"[Measures].[MMS_90_179_F_A]")</f>
        <v>3</v>
      </c>
      <c r="CB203" s="68" vm="16455">
        <f>CUBEVALUE(ConnectionString,ReportMonth,Table1[[#This Row],[Site ID (from DATIM)]],"[Measures].[MMS_90_179_M_A]")</f>
        <v>2</v>
      </c>
      <c r="CC203" s="68" t="str" vm="16790">
        <f>CUBEVALUE(ConnectionString,ReportMonth,Table1[[#This Row],[Site ID (from DATIM)]],"[Measures].[MMS_180+_F_P]")</f>
        <v/>
      </c>
      <c r="CD203" s="68" t="str" vm="29">
        <f>CUBEVALUE(ConnectionString,ReportMonth,Table1[[#This Row],[Site ID (from DATIM)]],"[Measures].[MMS_180+_M_P]")</f>
        <v/>
      </c>
      <c r="CE203" s="68" t="str" vm="15449">
        <f>CUBEVALUE(ConnectionString,ReportMonth,Table1[[#This Row],[Site ID (from DATIM)]],"[Measures].[MMS_180+_F_A]")</f>
        <v/>
      </c>
      <c r="CF203" s="68" t="str" vm="15723">
        <f>CUBEVALUE(ConnectionString,ReportMonth,Table1[[#This Row],[Site ID (from DATIM)]],"[Measures].[MMS_180+_M_A]")</f>
        <v/>
      </c>
      <c r="CG203" s="68" vm="4892">
        <f>CUBEVALUE(ConnectionString,ReportMonth,Table1[[#This Row],[Site ID (from DATIM)]],"[Measures].[MISSEDAPP]")</f>
        <v>5</v>
      </c>
      <c r="CH203" s="68" t="str" vm="10956">
        <f>CUBEVALUE(ConnectionString,ReportMonth,Table1[[#This Row],[Site ID (from DATIM)]],"[Measures].[MMS_180+_P]")</f>
        <v/>
      </c>
      <c r="CI203" s="68" t="str" vm="10175">
        <f>CUBEVALUE(ConnectionString,ReportMonth,Table1[[#This Row],[Site ID (from DATIM)]],"[Measures].[MMS_180+_A]")</f>
        <v/>
      </c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68"/>
      <c r="DA203" s="68"/>
      <c r="DB203" s="68"/>
      <c r="DC203" s="68"/>
    </row>
    <row r="204" spans="1:107" x14ac:dyDescent="0.25">
      <c r="A204" s="66">
        <v>4</v>
      </c>
      <c r="B204" s="67" t="str" vm="4">
        <f t="shared" si="4"/>
        <v>Mar-2021</v>
      </c>
      <c r="C204" s="67"/>
      <c r="D204" s="67" t="s">
        <v>232</v>
      </c>
      <c r="E204" s="67" t="s">
        <v>233</v>
      </c>
      <c r="F204" s="67" t="s">
        <v>437</v>
      </c>
      <c r="G204" s="67"/>
      <c r="H204" s="67" t="s">
        <v>454</v>
      </c>
      <c r="I204" s="67" t="s">
        <v>628</v>
      </c>
      <c r="J204" s="67" t="s">
        <v>629</v>
      </c>
      <c r="K204" s="67" t="s">
        <v>630</v>
      </c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 t="str" vm="3097">
        <f>CUBEVALUE(ConnectionString,ReportMonth,Table1[[#This Row],[Site ID (from DATIM)]],"TX_NEW_2VIS")</f>
        <v/>
      </c>
      <c r="AE204" s="67" t="str" vm="431">
        <f>CUBEVALUE(ConnectionString,ReportMonth,Table1[[#This Row],[Site ID (from DATIM)]],INDEX(SDI_Measures,1))</f>
        <v/>
      </c>
      <c r="AF204" s="67" t="str" vm="1877">
        <f>CUBEVALUE(ConnectionString,ReportMonth,Table1[[#This Row],[Site ID (from DATIM)]],INDEX(SDI_Measures,2))</f>
        <v/>
      </c>
      <c r="AG204" s="67" t="str" vm="1324">
        <f>CUBEVALUE(ConnectionString,ReportMonth,Table1[[#This Row],[Site ID (from DATIM)]],INDEX(SDI_Measures,3))</f>
        <v/>
      </c>
      <c r="AH204" s="67" vm="2469">
        <f>CUBEVALUE(ConnectionString,ReportMonth,Table1[[#This Row],[Site ID (from DATIM)]],"TX_CURR_PRIOR_MONTH")</f>
        <v>60</v>
      </c>
      <c r="AI204" s="67" vm="2662">
        <f>CUBEVALUE(ConnectionString,ReportMonth,Table1[[#This Row],[Site ID (from DATIM)]],"TX_CURR")</f>
        <v>50</v>
      </c>
      <c r="AJ204" s="67" t="str" vm="899">
        <f>CUBEVALUE(ConnectionString,ReportMonth,Table1[[#This Row],[Site ID (from DATIM)]],"[Measures].[TI]")</f>
        <v/>
      </c>
      <c r="AK204" s="67" t="str" vm="1391">
        <f>CUBEVALUE(ConnectionString,ReportMonth,Table1[[#This Row],[Site ID (from DATIM)]],"[Measures].[TO]")</f>
        <v/>
      </c>
      <c r="AL204" s="67" vm="3737">
        <f>CUBEVALUE(ConnectionString,ReportMonth,Table1[[#This Row],[Site ID (from DATIM)]],"[Measures].[DIED]")</f>
        <v>1</v>
      </c>
      <c r="AM204" s="67" vm="4011">
        <f>CUBEVALUE(ConnectionString,ReportMonth,Table1[[#This Row],[Site ID (from DATIM)]],"[Measures].[MMS_01_31]")</f>
        <v>41</v>
      </c>
      <c r="AN204" s="67" vm="5841">
        <f>CUBEVALUE(ConnectionString,ReportMonth,Table1[[#This Row],[Site ID (from DATIM)]],"[Measures].[MMS_32_62]")</f>
        <v>1</v>
      </c>
      <c r="AO204" s="67" vm="5703">
        <f>CUBEVALUE(ConnectionString,ReportMonth,Table1[[#This Row],[Site ID (from DATIM)]],"[Measures].[MMS_63+]")</f>
        <v>8</v>
      </c>
      <c r="AP204" s="67" vm="7461">
        <f>CUBEVALUE(ConnectionString,ReportMonth,Table1[[#This Row],[Site ID (from DATIM)]],"[Measures].[TBPREV_D]")</f>
        <v>16</v>
      </c>
      <c r="AQ204" s="67" vm="6179">
        <f>CUBEVALUE(ConnectionString,ReportMonth,Table1[[#This Row],[Site ID (from DATIM)]],"[Measures].[TBPREV_N]")</f>
        <v>9</v>
      </c>
      <c r="AR204" s="67" t="str" vm="5522">
        <f>CUBEVALUE(ConnectionString,ReportMonth,Table1[[#This Row],[Site ID (from DATIM)]],"[Measures].[TBPREV_NEW]")</f>
        <v/>
      </c>
      <c r="AS204" s="67" vm="9461">
        <f>CUBEVALUE(ConnectionString,ReportMonth,Table1[[#This Row],[Site ID (from DATIM)]],"[Measures].[HVL_ELIG_P]")</f>
        <v>1</v>
      </c>
      <c r="AT204" s="67" t="str" vm="7188">
        <f>CUBEVALUE(ConnectionString,ReportMonth,Table1[[#This Row],[Site ID (from DATIM)]],"[Measures].[HVL_D_P]")</f>
        <v/>
      </c>
      <c r="AU204" s="67" t="str" vm="8021">
        <f>CUBEVALUE(ConnectionString,ReportMonth,Table1[[#This Row],[Site ID (from DATIM)]],"[Measures].[HVL_N_P]")</f>
        <v/>
      </c>
      <c r="AV204" s="68" vm="9242">
        <f>CUBEVALUE(ConnectionString,ReportMonth,Table1[[#This Row],[Site ID (from DATIM)]],"[Measures].[HVL_ELIG_A]")</f>
        <v>34</v>
      </c>
      <c r="AW204" s="68" vm="12194">
        <f>CUBEVALUE(ConnectionString,ReportMonth,Table1[[#This Row],[Site ID (from DATIM)]],"[Measures].[HVL_D_A]")</f>
        <v>26</v>
      </c>
      <c r="AX204" s="68" vm="9054">
        <f>CUBEVALUE(ConnectionString,ReportMonth,Table1[[#This Row],[Site ID (from DATIM)]],"[Measures].[HVL_N_A]")</f>
        <v>23</v>
      </c>
      <c r="AY204" s="67"/>
      <c r="AZ204" s="67"/>
      <c r="BA204" s="67"/>
      <c r="BB204" s="67"/>
      <c r="BC204" s="67"/>
      <c r="BD204" s="67"/>
      <c r="BE204" s="67"/>
      <c r="BF204" s="67"/>
      <c r="BG204" s="67" t="str" vm="11229">
        <f>CUBEVALUE(ConnectionString,ReportMonth,Table1[[#This Row],[Site ID (from DATIM)]],"[Measures].[TX_NEW_F_A]")</f>
        <v/>
      </c>
      <c r="BH204" s="67" t="str" vm="13409">
        <f>CUBEVALUE(ConnectionString,ReportMonth,Table1[[#This Row],[Site ID (from DATIM)]],"[Measures].[TX_NEW_M_A]")</f>
        <v/>
      </c>
      <c r="BI204" s="67" t="str" vm="17404">
        <f>CUBEVALUE(ConnectionString,ReportMonth,Table1[[#This Row],[Site ID (from DATIM)]],"[Measures].[TX_NEW_F_P]")</f>
        <v/>
      </c>
      <c r="BJ204" s="68" t="str" vm="12602">
        <f>CUBEVALUE(ConnectionString,ReportMonth,Table1[[#This Row],[Site ID (from DATIM)]],"[Measures].[TX_NEW_M_P]")</f>
        <v/>
      </c>
      <c r="BK204" s="68"/>
      <c r="BL204" s="68"/>
      <c r="BM204" s="68"/>
      <c r="BN204" s="68"/>
      <c r="BO204" s="68"/>
      <c r="BP204" s="68"/>
      <c r="BQ204" s="68" vm="8673">
        <f>CUBEVALUE(ConnectionString,ReportMonth,Table1[[#This Row],[Site ID (from DATIM)]],"[Measures].[TX_CURR_F_P]")</f>
        <v>2</v>
      </c>
      <c r="BR204" s="68" vm="7225">
        <f>CUBEVALUE(ConnectionString,ReportMonth,Table1[[#This Row],[Site ID (from DATIM)]],"[Measures].[TX_CURR_M_P]")</f>
        <v>1</v>
      </c>
      <c r="BS204" s="68" vm="11388">
        <f>CUBEVALUE(ConnectionString,ReportMonth,Table1[[#This Row],[Site ID (from DATIM)]],"[Measures].[TX_CURR_F_A]")</f>
        <v>43</v>
      </c>
      <c r="BT204" s="68" vm="12190">
        <f>CUBEVALUE(ConnectionString,ReportMonth,Table1[[#This Row],[Site ID (from DATIM)]],"[Measures].[TX_CURR_M_A]")</f>
        <v>4</v>
      </c>
      <c r="BU204" s="68" vm="18723">
        <f>CUBEVALUE(ConnectionString,ReportMonth,Table1[[#This Row],[Site ID (from DATIM)]],"[Measures].[MMS_01_89_F_P]")</f>
        <v>2</v>
      </c>
      <c r="BV204" s="68" vm="17989">
        <f>CUBEVALUE(ConnectionString,ReportMonth,Table1[[#This Row],[Site ID (from DATIM)]],"[Measures].[MMS_01_89_M_P]")</f>
        <v>1</v>
      </c>
      <c r="BW204" s="68" vm="17920">
        <f>CUBEVALUE(ConnectionString,ReportMonth,Table1[[#This Row],[Site ID (from DATIM)]],"[Measures].[MMS_01_89_F_A]")</f>
        <v>36</v>
      </c>
      <c r="BX204" s="68" vm="18284">
        <f>CUBEVALUE(ConnectionString,ReportMonth,Table1[[#This Row],[Site ID (from DATIM)]],"[Measures].[MMS_01_89_M_A]")</f>
        <v>3</v>
      </c>
      <c r="BY204" s="68" t="str" vm="18160">
        <f>CUBEVALUE(ConnectionString,ReportMonth,Table1[[#This Row],[Site ID (from DATIM)]],"[Measures].[MMS_90_179_F_P]")</f>
        <v/>
      </c>
      <c r="BZ204" s="68" t="str" vm="17801">
        <f>CUBEVALUE(ConnectionString,ReportMonth,Table1[[#This Row],[Site ID (from DATIM)]],"[Measures].[MMS_90_179_M_P]")</f>
        <v/>
      </c>
      <c r="CA204" s="68" vm="15162">
        <f>CUBEVALUE(ConnectionString,ReportMonth,Table1[[#This Row],[Site ID (from DATIM)]],"[Measures].[MMS_90_179_F_A]")</f>
        <v>7</v>
      </c>
      <c r="CB204" s="68" vm="17703">
        <f>CUBEVALUE(ConnectionString,ReportMonth,Table1[[#This Row],[Site ID (from DATIM)]],"[Measures].[MMS_90_179_M_A]")</f>
        <v>1</v>
      </c>
      <c r="CC204" s="68" t="str" vm="15895">
        <f>CUBEVALUE(ConnectionString,ReportMonth,Table1[[#This Row],[Site ID (from DATIM)]],"[Measures].[MMS_180+_F_P]")</f>
        <v/>
      </c>
      <c r="CD204" s="68" t="str" vm="15390">
        <f>CUBEVALUE(ConnectionString,ReportMonth,Table1[[#This Row],[Site ID (from DATIM)]],"[Measures].[MMS_180+_M_P]")</f>
        <v/>
      </c>
      <c r="CE204" s="68" t="str" vm="17088">
        <f>CUBEVALUE(ConnectionString,ReportMonth,Table1[[#This Row],[Site ID (from DATIM)]],"[Measures].[MMS_180+_F_A]")</f>
        <v/>
      </c>
      <c r="CF204" s="68" t="str" vm="10">
        <f>CUBEVALUE(ConnectionString,ReportMonth,Table1[[#This Row],[Site ID (from DATIM)]],"[Measures].[MMS_180+_M_A]")</f>
        <v/>
      </c>
      <c r="CG204" s="68" vm="10766">
        <f>CUBEVALUE(ConnectionString,ReportMonth,Table1[[#This Row],[Site ID (from DATIM)]],"[Measures].[MISSEDAPP]")</f>
        <v>44</v>
      </c>
      <c r="CH204" s="68" t="str" vm="10110">
        <f>CUBEVALUE(ConnectionString,ReportMonth,Table1[[#This Row],[Site ID (from DATIM)]],"[Measures].[MMS_180+_P]")</f>
        <v/>
      </c>
      <c r="CI204" s="68" t="str" vm="12796">
        <f>CUBEVALUE(ConnectionString,ReportMonth,Table1[[#This Row],[Site ID (from DATIM)]],"[Measures].[MMS_180+_A]")</f>
        <v/>
      </c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  <c r="CW204" s="68"/>
      <c r="CX204" s="68"/>
      <c r="CY204" s="68"/>
      <c r="CZ204" s="68"/>
      <c r="DA204" s="68"/>
      <c r="DB204" s="68"/>
      <c r="DC204" s="68"/>
    </row>
    <row r="205" spans="1:107" x14ac:dyDescent="0.25">
      <c r="A205" s="66">
        <v>4</v>
      </c>
      <c r="B205" s="67" t="str" vm="4">
        <f t="shared" si="4"/>
        <v>Mar-2021</v>
      </c>
      <c r="C205" s="67"/>
      <c r="D205" s="67" t="s">
        <v>232</v>
      </c>
      <c r="E205" s="67" t="s">
        <v>233</v>
      </c>
      <c r="F205" s="67" t="s">
        <v>437</v>
      </c>
      <c r="G205" s="67"/>
      <c r="H205" s="67" t="s">
        <v>442</v>
      </c>
      <c r="I205" s="67" t="s">
        <v>631</v>
      </c>
      <c r="J205" s="67" t="s">
        <v>632</v>
      </c>
      <c r="K205" s="67" t="s">
        <v>633</v>
      </c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 t="str" vm="1812">
        <f>CUBEVALUE(ConnectionString,ReportMonth,Table1[[#This Row],[Site ID (from DATIM)]],"TX_NEW_2VIS")</f>
        <v/>
      </c>
      <c r="AE205" s="67" t="str" vm="1881">
        <f>CUBEVALUE(ConnectionString,ReportMonth,Table1[[#This Row],[Site ID (from DATIM)]],INDEX(SDI_Measures,1))</f>
        <v/>
      </c>
      <c r="AF205" s="67" t="str" vm="928">
        <f>CUBEVALUE(ConnectionString,ReportMonth,Table1[[#This Row],[Site ID (from DATIM)]],INDEX(SDI_Measures,2))</f>
        <v/>
      </c>
      <c r="AG205" s="67" t="str" vm="1756">
        <f>CUBEVALUE(ConnectionString,ReportMonth,Table1[[#This Row],[Site ID (from DATIM)]],INDEX(SDI_Measures,3))</f>
        <v/>
      </c>
      <c r="AH205" s="67" vm="3823">
        <f>CUBEVALUE(ConnectionString,ReportMonth,Table1[[#This Row],[Site ID (from DATIM)]],"TX_CURR_PRIOR_MONTH")</f>
        <v>24</v>
      </c>
      <c r="AI205" s="67" vm="3992">
        <f>CUBEVALUE(ConnectionString,ReportMonth,Table1[[#This Row],[Site ID (from DATIM)]],"TX_CURR")</f>
        <v>20</v>
      </c>
      <c r="AJ205" s="67" t="str" vm="2535">
        <f>CUBEVALUE(ConnectionString,ReportMonth,Table1[[#This Row],[Site ID (from DATIM)]],"[Measures].[TI]")</f>
        <v/>
      </c>
      <c r="AK205" s="67" t="str" vm="2887">
        <f>CUBEVALUE(ConnectionString,ReportMonth,Table1[[#This Row],[Site ID (from DATIM)]],"[Measures].[TO]")</f>
        <v/>
      </c>
      <c r="AL205" s="67" vm="3341">
        <f>CUBEVALUE(ConnectionString,ReportMonth,Table1[[#This Row],[Site ID (from DATIM)]],"[Measures].[DIED]")</f>
        <v>1</v>
      </c>
      <c r="AM205" s="67" vm="5614">
        <f>CUBEVALUE(ConnectionString,ReportMonth,Table1[[#This Row],[Site ID (from DATIM)]],"[Measures].[MMS_01_31]")</f>
        <v>6</v>
      </c>
      <c r="AN205" s="67" vm="5613">
        <f>CUBEVALUE(ConnectionString,ReportMonth,Table1[[#This Row],[Site ID (from DATIM)]],"[Measures].[MMS_32_62]")</f>
        <v>1</v>
      </c>
      <c r="AO205" s="67" vm="7391">
        <f>CUBEVALUE(ConnectionString,ReportMonth,Table1[[#This Row],[Site ID (from DATIM)]],"[Measures].[MMS_63+]")</f>
        <v>13</v>
      </c>
      <c r="AP205" s="67" vm="7469">
        <f>CUBEVALUE(ConnectionString,ReportMonth,Table1[[#This Row],[Site ID (from DATIM)]],"[Measures].[TBPREV_D]")</f>
        <v>1</v>
      </c>
      <c r="AQ205" s="67" t="str" vm="6103">
        <f>CUBEVALUE(ConnectionString,ReportMonth,Table1[[#This Row],[Site ID (from DATIM)]],"[Measures].[TBPREV_N]")</f>
        <v/>
      </c>
      <c r="AR205" s="67" t="str" vm="7779">
        <f>CUBEVALUE(ConnectionString,ReportMonth,Table1[[#This Row],[Site ID (from DATIM)]],"[Measures].[TBPREV_NEW]")</f>
        <v/>
      </c>
      <c r="AS205" s="67" vm="9049">
        <f>CUBEVALUE(ConnectionString,ReportMonth,Table1[[#This Row],[Site ID (from DATIM)]],"[Measures].[HVL_ELIG_P]")</f>
        <v>1</v>
      </c>
      <c r="AT205" s="67" t="str" vm="4931">
        <f>CUBEVALUE(ConnectionString,ReportMonth,Table1[[#This Row],[Site ID (from DATIM)]],"[Measures].[HVL_D_P]")</f>
        <v/>
      </c>
      <c r="AU205" s="67" t="str" vm="11268">
        <f>CUBEVALUE(ConnectionString,ReportMonth,Table1[[#This Row],[Site ID (from DATIM)]],"[Measures].[HVL_N_P]")</f>
        <v/>
      </c>
      <c r="AV205" s="68" vm="6346">
        <f>CUBEVALUE(ConnectionString,ReportMonth,Table1[[#This Row],[Site ID (from DATIM)]],"[Measures].[HVL_ELIG_A]")</f>
        <v>12</v>
      </c>
      <c r="AW205" s="68" t="str" vm="9792">
        <f>CUBEVALUE(ConnectionString,ReportMonth,Table1[[#This Row],[Site ID (from DATIM)]],"[Measures].[HVL_D_A]")</f>
        <v/>
      </c>
      <c r="AX205" s="68" t="str" vm="9573">
        <f>CUBEVALUE(ConnectionString,ReportMonth,Table1[[#This Row],[Site ID (from DATIM)]],"[Measures].[HVL_N_A]")</f>
        <v/>
      </c>
      <c r="AY205" s="67"/>
      <c r="AZ205" s="67"/>
      <c r="BA205" s="67"/>
      <c r="BB205" s="67"/>
      <c r="BC205" s="67"/>
      <c r="BD205" s="67"/>
      <c r="BE205" s="67"/>
      <c r="BF205" s="67"/>
      <c r="BG205" s="67" t="str" vm="12361">
        <f>CUBEVALUE(ConnectionString,ReportMonth,Table1[[#This Row],[Site ID (from DATIM)]],"[Measures].[TX_NEW_F_A]")</f>
        <v/>
      </c>
      <c r="BH205" s="67" t="str" vm="13005">
        <f>CUBEVALUE(ConnectionString,ReportMonth,Table1[[#This Row],[Site ID (from DATIM)]],"[Measures].[TX_NEW_M_A]")</f>
        <v/>
      </c>
      <c r="BI205" s="67" t="str" vm="13141">
        <f>CUBEVALUE(ConnectionString,ReportMonth,Table1[[#This Row],[Site ID (from DATIM)]],"[Measures].[TX_NEW_F_P]")</f>
        <v/>
      </c>
      <c r="BJ205" s="68" t="str" vm="16156">
        <f>CUBEVALUE(ConnectionString,ReportMonth,Table1[[#This Row],[Site ID (from DATIM)]],"[Measures].[TX_NEW_M_P]")</f>
        <v/>
      </c>
      <c r="BK205" s="68"/>
      <c r="BL205" s="68"/>
      <c r="BM205" s="68"/>
      <c r="BN205" s="68"/>
      <c r="BO205" s="68"/>
      <c r="BP205" s="68"/>
      <c r="BQ205" s="68" vm="9629">
        <f>CUBEVALUE(ConnectionString,ReportMonth,Table1[[#This Row],[Site ID (from DATIM)]],"[Measures].[TX_CURR_F_P]")</f>
        <v>1</v>
      </c>
      <c r="BR205" s="68" t="str" vm="6833">
        <f>CUBEVALUE(ConnectionString,ReportMonth,Table1[[#This Row],[Site ID (from DATIM)]],"[Measures].[TX_CURR_M_P]")</f>
        <v/>
      </c>
      <c r="BS205" s="68" vm="11051">
        <f>CUBEVALUE(ConnectionString,ReportMonth,Table1[[#This Row],[Site ID (from DATIM)]],"[Measures].[TX_CURR_F_A]")</f>
        <v>14</v>
      </c>
      <c r="BT205" s="68" vm="11989">
        <f>CUBEVALUE(ConnectionString,ReportMonth,Table1[[#This Row],[Site ID (from DATIM)]],"[Measures].[TX_CURR_M_A]")</f>
        <v>5</v>
      </c>
      <c r="BU205" s="68" vm="19947">
        <f>CUBEVALUE(ConnectionString,ReportMonth,Table1[[#This Row],[Site ID (from DATIM)]],"[Measures].[MMS_01_89_F_P]")</f>
        <v>1</v>
      </c>
      <c r="BV205" s="68" t="str" vm="17893">
        <f>CUBEVALUE(ConnectionString,ReportMonth,Table1[[#This Row],[Site ID (from DATIM)]],"[Measures].[MMS_01_89_M_P]")</f>
        <v/>
      </c>
      <c r="BW205" s="68" vm="18288">
        <f>CUBEVALUE(ConnectionString,ReportMonth,Table1[[#This Row],[Site ID (from DATIM)]],"[Measures].[MMS_01_89_F_A]")</f>
        <v>5</v>
      </c>
      <c r="BX205" s="68" vm="19883">
        <f>CUBEVALUE(ConnectionString,ReportMonth,Table1[[#This Row],[Site ID (from DATIM)]],"[Measures].[MMS_01_89_M_A]")</f>
        <v>1</v>
      </c>
      <c r="BY205" s="68" t="str" vm="17824">
        <f>CUBEVALUE(ConnectionString,ReportMonth,Table1[[#This Row],[Site ID (from DATIM)]],"[Measures].[MMS_90_179_F_P]")</f>
        <v/>
      </c>
      <c r="BZ205" s="68" t="str" vm="16536">
        <f>CUBEVALUE(ConnectionString,ReportMonth,Table1[[#This Row],[Site ID (from DATIM)]],"[Measures].[MMS_90_179_M_P]")</f>
        <v/>
      </c>
      <c r="CA205" s="68" vm="15893">
        <f>CUBEVALUE(ConnectionString,ReportMonth,Table1[[#This Row],[Site ID (from DATIM)]],"[Measures].[MMS_90_179_F_A]")</f>
        <v>9</v>
      </c>
      <c r="CB205" s="68" vm="15586">
        <f>CUBEVALUE(ConnectionString,ReportMonth,Table1[[#This Row],[Site ID (from DATIM)]],"[Measures].[MMS_90_179_M_A]")</f>
        <v>4</v>
      </c>
      <c r="CC205" s="68" t="str" vm="16339">
        <f>CUBEVALUE(ConnectionString,ReportMonth,Table1[[#This Row],[Site ID (from DATIM)]],"[Measures].[MMS_180+_F_P]")</f>
        <v/>
      </c>
      <c r="CD205" s="68" t="str" vm="17146">
        <f>CUBEVALUE(ConnectionString,ReportMonth,Table1[[#This Row],[Site ID (from DATIM)]],"[Measures].[MMS_180+_M_P]")</f>
        <v/>
      </c>
      <c r="CE205" s="68" t="str" vm="17161">
        <f>CUBEVALUE(ConnectionString,ReportMonth,Table1[[#This Row],[Site ID (from DATIM)]],"[Measures].[MMS_180+_F_A]")</f>
        <v/>
      </c>
      <c r="CF205" s="68" t="str" vm="230">
        <f>CUBEVALUE(ConnectionString,ReportMonth,Table1[[#This Row],[Site ID (from DATIM)]],"[Measures].[MMS_180+_M_A]")</f>
        <v/>
      </c>
      <c r="CG205" s="68" vm="10480">
        <f>CUBEVALUE(ConnectionString,ReportMonth,Table1[[#This Row],[Site ID (from DATIM)]],"[Measures].[MISSEDAPP]")</f>
        <v>7</v>
      </c>
      <c r="CH205" s="68" t="str" vm="12525">
        <f>CUBEVALUE(ConnectionString,ReportMonth,Table1[[#This Row],[Site ID (from DATIM)]],"[Measures].[MMS_180+_P]")</f>
        <v/>
      </c>
      <c r="CI205" s="68" t="str" vm="10156">
        <f>CUBEVALUE(ConnectionString,ReportMonth,Table1[[#This Row],[Site ID (from DATIM)]],"[Measures].[MMS_180+_A]")</f>
        <v/>
      </c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  <c r="CW205" s="68"/>
      <c r="CX205" s="68"/>
      <c r="CY205" s="68"/>
      <c r="CZ205" s="68"/>
      <c r="DA205" s="68"/>
      <c r="DB205" s="68"/>
      <c r="DC205" s="68"/>
    </row>
    <row r="206" spans="1:107" x14ac:dyDescent="0.25">
      <c r="A206" s="66">
        <v>4</v>
      </c>
      <c r="B206" s="67" t="str" vm="4">
        <f t="shared" si="4"/>
        <v>Mar-2021</v>
      </c>
      <c r="C206" s="67"/>
      <c r="D206" s="67" t="s">
        <v>232</v>
      </c>
      <c r="E206" s="67" t="s">
        <v>233</v>
      </c>
      <c r="F206" s="67" t="s">
        <v>1083</v>
      </c>
      <c r="G206" s="67"/>
      <c r="H206" s="67" t="s">
        <v>1113</v>
      </c>
      <c r="I206" s="67" t="s">
        <v>1199</v>
      </c>
      <c r="J206" s="67" t="s">
        <v>1200</v>
      </c>
      <c r="K206" s="67" t="s">
        <v>1201</v>
      </c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 t="str" vm="1114">
        <f>CUBEVALUE(ConnectionString,ReportMonth,Table1[[#This Row],[Site ID (from DATIM)]],"TX_NEW_2VIS")</f>
        <v/>
      </c>
      <c r="AE206" s="67" t="str" vm="565">
        <f>CUBEVALUE(ConnectionString,ReportMonth,Table1[[#This Row],[Site ID (from DATIM)]],INDEX(SDI_Measures,1))</f>
        <v/>
      </c>
      <c r="AF206" s="67" t="str" vm="602">
        <f>CUBEVALUE(ConnectionString,ReportMonth,Table1[[#This Row],[Site ID (from DATIM)]],INDEX(SDI_Measures,2))</f>
        <v/>
      </c>
      <c r="AG206" s="67" t="str" vm="432">
        <f>CUBEVALUE(ConnectionString,ReportMonth,Table1[[#This Row],[Site ID (from DATIM)]],INDEX(SDI_Measures,3))</f>
        <v/>
      </c>
      <c r="AH206" s="67" t="str" vm="719">
        <f>CUBEVALUE(ConnectionString,ReportMonth,Table1[[#This Row],[Site ID (from DATIM)]],"TX_CURR_PRIOR_MONTH")</f>
        <v/>
      </c>
      <c r="AI206" s="67" t="str" vm="3585">
        <f>CUBEVALUE(ConnectionString,ReportMonth,Table1[[#This Row],[Site ID (from DATIM)]],"TX_CURR")</f>
        <v/>
      </c>
      <c r="AJ206" s="67" t="str" vm="1975">
        <f>CUBEVALUE(ConnectionString,ReportMonth,Table1[[#This Row],[Site ID (from DATIM)]],"[Measures].[TI]")</f>
        <v/>
      </c>
      <c r="AK206" s="67" t="str" vm="3767">
        <f>CUBEVALUE(ConnectionString,ReportMonth,Table1[[#This Row],[Site ID (from DATIM)]],"[Measures].[TO]")</f>
        <v/>
      </c>
      <c r="AL206" s="67" t="str" vm="5774">
        <f>CUBEVALUE(ConnectionString,ReportMonth,Table1[[#This Row],[Site ID (from DATIM)]],"[Measures].[DIED]")</f>
        <v/>
      </c>
      <c r="AM206" s="67" t="str" vm="4618">
        <f>CUBEVALUE(ConnectionString,ReportMonth,Table1[[#This Row],[Site ID (from DATIM)]],"[Measures].[MMS_01_31]")</f>
        <v/>
      </c>
      <c r="AN206" s="67" t="str" vm="4177">
        <f>CUBEVALUE(ConnectionString,ReportMonth,Table1[[#This Row],[Site ID (from DATIM)]],"[Measures].[MMS_32_62]")</f>
        <v/>
      </c>
      <c r="AO206" s="67" t="str" vm="6873">
        <f>CUBEVALUE(ConnectionString,ReportMonth,Table1[[#This Row],[Site ID (from DATIM)]],"[Measures].[MMS_63+]")</f>
        <v/>
      </c>
      <c r="AP206" s="67" t="str" vm="6912">
        <f>CUBEVALUE(ConnectionString,ReportMonth,Table1[[#This Row],[Site ID (from DATIM)]],"[Measures].[TBPREV_D]")</f>
        <v/>
      </c>
      <c r="AQ206" s="67" t="str" vm="5156">
        <f>CUBEVALUE(ConnectionString,ReportMonth,Table1[[#This Row],[Site ID (from DATIM)]],"[Measures].[TBPREV_N]")</f>
        <v/>
      </c>
      <c r="AR206" s="67" t="str" vm="4194">
        <f>CUBEVALUE(ConnectionString,ReportMonth,Table1[[#This Row],[Site ID (from DATIM)]],"[Measures].[TBPREV_NEW]")</f>
        <v/>
      </c>
      <c r="AS206" s="67" t="str" vm="8052">
        <f>CUBEVALUE(ConnectionString,ReportMonth,Table1[[#This Row],[Site ID (from DATIM)]],"[Measures].[HVL_ELIG_P]")</f>
        <v/>
      </c>
      <c r="AT206" s="67" t="str" vm="10467">
        <f>CUBEVALUE(ConnectionString,ReportMonth,Table1[[#This Row],[Site ID (from DATIM)]],"[Measures].[HVL_D_P]")</f>
        <v/>
      </c>
      <c r="AU206" s="67" t="str" vm="12083">
        <f>CUBEVALUE(ConnectionString,ReportMonth,Table1[[#This Row],[Site ID (from DATIM)]],"[Measures].[HVL_N_P]")</f>
        <v/>
      </c>
      <c r="AV206" s="68" t="str" vm="12631">
        <f>CUBEVALUE(ConnectionString,ReportMonth,Table1[[#This Row],[Site ID (from DATIM)]],"[Measures].[HVL_ELIG_A]")</f>
        <v/>
      </c>
      <c r="AW206" s="68" t="str" vm="10307">
        <f>CUBEVALUE(ConnectionString,ReportMonth,Table1[[#This Row],[Site ID (from DATIM)]],"[Measures].[HVL_D_A]")</f>
        <v/>
      </c>
      <c r="AX206" s="68" t="str" vm="12987">
        <f>CUBEVALUE(ConnectionString,ReportMonth,Table1[[#This Row],[Site ID (from DATIM)]],"[Measures].[HVL_N_A]")</f>
        <v/>
      </c>
      <c r="AY206" s="67"/>
      <c r="AZ206" s="67"/>
      <c r="BA206" s="67"/>
      <c r="BB206" s="67"/>
      <c r="BC206" s="67"/>
      <c r="BD206" s="67"/>
      <c r="BE206" s="67"/>
      <c r="BF206" s="67"/>
      <c r="BG206" s="67" t="str" vm="12648">
        <f>CUBEVALUE(ConnectionString,ReportMonth,Table1[[#This Row],[Site ID (from DATIM)]],"[Measures].[TX_NEW_F_A]")</f>
        <v/>
      </c>
      <c r="BH206" s="67" t="str" vm="13179">
        <f>CUBEVALUE(ConnectionString,ReportMonth,Table1[[#This Row],[Site ID (from DATIM)]],"[Measures].[TX_NEW_M_A]")</f>
        <v/>
      </c>
      <c r="BI206" s="67" t="str" vm="12128">
        <f>CUBEVALUE(ConnectionString,ReportMonth,Table1[[#This Row],[Site ID (from DATIM)]],"[Measures].[TX_NEW_F_P]")</f>
        <v/>
      </c>
      <c r="BJ206" s="68" t="str" vm="14401">
        <f>CUBEVALUE(ConnectionString,ReportMonth,Table1[[#This Row],[Site ID (from DATIM)]],"[Measures].[TX_NEW_M_P]")</f>
        <v/>
      </c>
      <c r="BK206" s="68"/>
      <c r="BL206" s="68"/>
      <c r="BM206" s="68"/>
      <c r="BN206" s="68"/>
      <c r="BO206" s="68"/>
      <c r="BP206" s="68"/>
      <c r="BQ206" s="68" t="str" vm="10753">
        <f>CUBEVALUE(ConnectionString,ReportMonth,Table1[[#This Row],[Site ID (from DATIM)]],"[Measures].[TX_CURR_F_P]")</f>
        <v/>
      </c>
      <c r="BR206" s="68" t="str" vm="11937">
        <f>CUBEVALUE(ConnectionString,ReportMonth,Table1[[#This Row],[Site ID (from DATIM)]],"[Measures].[TX_CURR_M_P]")</f>
        <v/>
      </c>
      <c r="BS206" s="68" t="str" vm="7516">
        <f>CUBEVALUE(ConnectionString,ReportMonth,Table1[[#This Row],[Site ID (from DATIM)]],"[Measures].[TX_CURR_F_A]")</f>
        <v/>
      </c>
      <c r="BT206" s="68" t="str" vm="8863">
        <f>CUBEVALUE(ConnectionString,ReportMonth,Table1[[#This Row],[Site ID (from DATIM)]],"[Measures].[TX_CURR_M_A]")</f>
        <v/>
      </c>
      <c r="BU206" s="68" t="str" vm="18100">
        <f>CUBEVALUE(ConnectionString,ReportMonth,Table1[[#This Row],[Site ID (from DATIM)]],"[Measures].[MMS_01_89_F_P]")</f>
        <v/>
      </c>
      <c r="BV206" s="68" t="str" vm="19025">
        <f>CUBEVALUE(ConnectionString,ReportMonth,Table1[[#This Row],[Site ID (from DATIM)]],"[Measures].[MMS_01_89_M_P]")</f>
        <v/>
      </c>
      <c r="BW206" s="68" t="str" vm="19506">
        <f>CUBEVALUE(ConnectionString,ReportMonth,Table1[[#This Row],[Site ID (from DATIM)]],"[Measures].[MMS_01_89_F_A]")</f>
        <v/>
      </c>
      <c r="BX206" s="68" t="str" vm="18784">
        <f>CUBEVALUE(ConnectionString,ReportMonth,Table1[[#This Row],[Site ID (from DATIM)]],"[Measures].[MMS_01_89_M_A]")</f>
        <v/>
      </c>
      <c r="BY206" s="68" t="str" vm="19083">
        <f>CUBEVALUE(ConnectionString,ReportMonth,Table1[[#This Row],[Site ID (from DATIM)]],"[Measures].[MMS_90_179_F_P]")</f>
        <v/>
      </c>
      <c r="BZ206" s="68" t="str" vm="17676">
        <f>CUBEVALUE(ConnectionString,ReportMonth,Table1[[#This Row],[Site ID (from DATIM)]],"[Measures].[MMS_90_179_M_P]")</f>
        <v/>
      </c>
      <c r="CA206" s="68" t="str" vm="17767">
        <f>CUBEVALUE(ConnectionString,ReportMonth,Table1[[#This Row],[Site ID (from DATIM)]],"[Measures].[MMS_90_179_F_A]")</f>
        <v/>
      </c>
      <c r="CB206" s="68" t="str" vm="14563">
        <f>CUBEVALUE(ConnectionString,ReportMonth,Table1[[#This Row],[Site ID (from DATIM)]],"[Measures].[MMS_90_179_M_A]")</f>
        <v/>
      </c>
      <c r="CC206" s="68" t="str" vm="17632">
        <f>CUBEVALUE(ConnectionString,ReportMonth,Table1[[#This Row],[Site ID (from DATIM)]],"[Measures].[MMS_180+_F_P]")</f>
        <v/>
      </c>
      <c r="CD206" s="68" t="str" vm="15369">
        <f>CUBEVALUE(ConnectionString,ReportMonth,Table1[[#This Row],[Site ID (from DATIM)]],"[Measures].[MMS_180+_M_P]")</f>
        <v/>
      </c>
      <c r="CE206" s="68" t="str" vm="16740">
        <f>CUBEVALUE(ConnectionString,ReportMonth,Table1[[#This Row],[Site ID (from DATIM)]],"[Measures].[MMS_180+_F_A]")</f>
        <v/>
      </c>
      <c r="CF206" s="68" t="str" vm="17497">
        <f>CUBEVALUE(ConnectionString,ReportMonth,Table1[[#This Row],[Site ID (from DATIM)]],"[Measures].[MMS_180+_M_A]")</f>
        <v/>
      </c>
      <c r="CG206" s="68" t="str" vm="9232">
        <f>CUBEVALUE(ConnectionString,ReportMonth,Table1[[#This Row],[Site ID (from DATIM)]],"[Measures].[MISSEDAPP]")</f>
        <v/>
      </c>
      <c r="CH206" s="68" t="str" vm="10835">
        <f>CUBEVALUE(ConnectionString,ReportMonth,Table1[[#This Row],[Site ID (from DATIM)]],"[Measures].[MMS_180+_P]")</f>
        <v/>
      </c>
      <c r="CI206" s="68" t="str" vm="12737">
        <f>CUBEVALUE(ConnectionString,ReportMonth,Table1[[#This Row],[Site ID (from DATIM)]],"[Measures].[MMS_180+_A]")</f>
        <v/>
      </c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  <c r="CW206" s="68"/>
      <c r="CX206" s="68"/>
      <c r="CY206" s="68"/>
      <c r="CZ206" s="68"/>
      <c r="DA206" s="68"/>
      <c r="DB206" s="68"/>
      <c r="DC206" s="68"/>
    </row>
    <row r="207" spans="1:107" x14ac:dyDescent="0.25">
      <c r="A207" s="66">
        <v>4</v>
      </c>
      <c r="B207" s="67" t="str" vm="4">
        <f t="shared" si="4"/>
        <v>Mar-2021</v>
      </c>
      <c r="C207" s="67"/>
      <c r="D207" s="67" t="s">
        <v>232</v>
      </c>
      <c r="E207" s="67" t="s">
        <v>233</v>
      </c>
      <c r="F207" s="67" t="s">
        <v>1083</v>
      </c>
      <c r="G207" s="67"/>
      <c r="H207" s="67" t="s">
        <v>1113</v>
      </c>
      <c r="I207" s="67" t="s">
        <v>1202</v>
      </c>
      <c r="J207" s="67" t="s">
        <v>1203</v>
      </c>
      <c r="K207" s="67" t="s">
        <v>1204</v>
      </c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 t="str" vm="1209">
        <f>CUBEVALUE(ConnectionString,ReportMonth,Table1[[#This Row],[Site ID (from DATIM)]],"TX_NEW_2VIS")</f>
        <v/>
      </c>
      <c r="AE207" s="67" t="str" vm="1178">
        <f>CUBEVALUE(ConnectionString,ReportMonth,Table1[[#This Row],[Site ID (from DATIM)]],INDEX(SDI_Measures,1))</f>
        <v/>
      </c>
      <c r="AF207" s="67" t="str" vm="3579">
        <f>CUBEVALUE(ConnectionString,ReportMonth,Table1[[#This Row],[Site ID (from DATIM)]],INDEX(SDI_Measures,2))</f>
        <v/>
      </c>
      <c r="AG207" s="67" t="str" vm="3196">
        <f>CUBEVALUE(ConnectionString,ReportMonth,Table1[[#This Row],[Site ID (from DATIM)]],INDEX(SDI_Measures,3))</f>
        <v/>
      </c>
      <c r="AH207" s="67" vm="3059">
        <f>CUBEVALUE(ConnectionString,ReportMonth,Table1[[#This Row],[Site ID (from DATIM)]],"TX_CURR_PRIOR_MONTH")</f>
        <v>8</v>
      </c>
      <c r="AI207" s="67" vm="825">
        <f>CUBEVALUE(ConnectionString,ReportMonth,Table1[[#This Row],[Site ID (from DATIM)]],"TX_CURR")</f>
        <v>2</v>
      </c>
      <c r="AJ207" s="67" t="str" vm="1257">
        <f>CUBEVALUE(ConnectionString,ReportMonth,Table1[[#This Row],[Site ID (from DATIM)]],"[Measures].[TI]")</f>
        <v/>
      </c>
      <c r="AK207" s="67" t="str" vm="2385">
        <f>CUBEVALUE(ConnectionString,ReportMonth,Table1[[#This Row],[Site ID (from DATIM)]],"[Measures].[TO]")</f>
        <v/>
      </c>
      <c r="AL207" s="67" t="str" vm="2795">
        <f>CUBEVALUE(ConnectionString,ReportMonth,Table1[[#This Row],[Site ID (from DATIM)]],"[Measures].[DIED]")</f>
        <v/>
      </c>
      <c r="AM207" s="67" t="str" vm="4464">
        <f>CUBEVALUE(ConnectionString,ReportMonth,Table1[[#This Row],[Site ID (from DATIM)]],"[Measures].[MMS_01_31]")</f>
        <v/>
      </c>
      <c r="AN207" s="67" t="str" vm="6566">
        <f>CUBEVALUE(ConnectionString,ReportMonth,Table1[[#This Row],[Site ID (from DATIM)]],"[Measures].[MMS_32_62]")</f>
        <v/>
      </c>
      <c r="AO207" s="67" vm="4782">
        <f>CUBEVALUE(ConnectionString,ReportMonth,Table1[[#This Row],[Site ID (from DATIM)]],"[Measures].[MMS_63+]")</f>
        <v>2</v>
      </c>
      <c r="AP207" s="67" t="str" vm="5676">
        <f>CUBEVALUE(ConnectionString,ReportMonth,Table1[[#This Row],[Site ID (from DATIM)]],"[Measures].[TBPREV_D]")</f>
        <v/>
      </c>
      <c r="AQ207" s="67" t="str" vm="7777">
        <f>CUBEVALUE(ConnectionString,ReportMonth,Table1[[#This Row],[Site ID (from DATIM)]],"[Measures].[TBPREV_N]")</f>
        <v/>
      </c>
      <c r="AR207" s="67" t="str" vm="5354">
        <f>CUBEVALUE(ConnectionString,ReportMonth,Table1[[#This Row],[Site ID (from DATIM)]],"[Measures].[TBPREV_NEW]")</f>
        <v/>
      </c>
      <c r="AS207" s="67" t="str" vm="6325">
        <f>CUBEVALUE(ConnectionString,ReportMonth,Table1[[#This Row],[Site ID (from DATIM)]],"[Measures].[HVL_ELIG_P]")</f>
        <v/>
      </c>
      <c r="AT207" s="67" t="str" vm="9664">
        <f>CUBEVALUE(ConnectionString,ReportMonth,Table1[[#This Row],[Site ID (from DATIM)]],"[Measures].[HVL_D_P]")</f>
        <v/>
      </c>
      <c r="AU207" s="67" t="str" vm="7518">
        <f>CUBEVALUE(ConnectionString,ReportMonth,Table1[[#This Row],[Site ID (from DATIM)]],"[Measures].[HVL_N_P]")</f>
        <v/>
      </c>
      <c r="AV207" s="68" vm="11514">
        <f>CUBEVALUE(ConnectionString,ReportMonth,Table1[[#This Row],[Site ID (from DATIM)]],"[Measures].[HVL_ELIG_A]")</f>
        <v>2</v>
      </c>
      <c r="AW207" s="68" t="str" vm="13218">
        <f>CUBEVALUE(ConnectionString,ReportMonth,Table1[[#This Row],[Site ID (from DATIM)]],"[Measures].[HVL_D_A]")</f>
        <v/>
      </c>
      <c r="AX207" s="68" t="str" vm="8731">
        <f>CUBEVALUE(ConnectionString,ReportMonth,Table1[[#This Row],[Site ID (from DATIM)]],"[Measures].[HVL_N_A]")</f>
        <v/>
      </c>
      <c r="AY207" s="67"/>
      <c r="AZ207" s="67"/>
      <c r="BA207" s="67"/>
      <c r="BB207" s="67"/>
      <c r="BC207" s="67"/>
      <c r="BD207" s="67"/>
      <c r="BE207" s="67"/>
      <c r="BF207" s="67"/>
      <c r="BG207" s="67" t="str" vm="12445">
        <f>CUBEVALUE(ConnectionString,ReportMonth,Table1[[#This Row],[Site ID (from DATIM)]],"[Measures].[TX_NEW_F_A]")</f>
        <v/>
      </c>
      <c r="BH207" s="67" t="str" vm="13305">
        <f>CUBEVALUE(ConnectionString,ReportMonth,Table1[[#This Row],[Site ID (from DATIM)]],"[Measures].[TX_NEW_M_A]")</f>
        <v/>
      </c>
      <c r="BI207" s="67" t="str" vm="14275">
        <f>CUBEVALUE(ConnectionString,ReportMonth,Table1[[#This Row],[Site ID (from DATIM)]],"[Measures].[TX_NEW_F_P]")</f>
        <v/>
      </c>
      <c r="BJ207" s="68" t="str" vm="12863">
        <f>CUBEVALUE(ConnectionString,ReportMonth,Table1[[#This Row],[Site ID (from DATIM)]],"[Measures].[TX_NEW_M_P]")</f>
        <v/>
      </c>
      <c r="BK207" s="68"/>
      <c r="BL207" s="68"/>
      <c r="BM207" s="68"/>
      <c r="BN207" s="68"/>
      <c r="BO207" s="68"/>
      <c r="BP207" s="68"/>
      <c r="BQ207" s="68" t="str" vm="14044">
        <f>CUBEVALUE(ConnectionString,ReportMonth,Table1[[#This Row],[Site ID (from DATIM)]],"[Measures].[TX_CURR_F_P]")</f>
        <v/>
      </c>
      <c r="BR207" s="68" t="str" vm="11367">
        <f>CUBEVALUE(ConnectionString,ReportMonth,Table1[[#This Row],[Site ID (from DATIM)]],"[Measures].[TX_CURR_M_P]")</f>
        <v/>
      </c>
      <c r="BS207" s="68" vm="13594">
        <f>CUBEVALUE(ConnectionString,ReportMonth,Table1[[#This Row],[Site ID (from DATIM)]],"[Measures].[TX_CURR_F_A]")</f>
        <v>1</v>
      </c>
      <c r="BT207" s="68" vm="11152">
        <f>CUBEVALUE(ConnectionString,ReportMonth,Table1[[#This Row],[Site ID (from DATIM)]],"[Measures].[TX_CURR_M_A]")</f>
        <v>1</v>
      </c>
      <c r="BU207" s="68" t="str" vm="19807">
        <f>CUBEVALUE(ConnectionString,ReportMonth,Table1[[#This Row],[Site ID (from DATIM)]],"[Measures].[MMS_01_89_F_P]")</f>
        <v/>
      </c>
      <c r="BV207" s="68" t="str" vm="20080">
        <f>CUBEVALUE(ConnectionString,ReportMonth,Table1[[#This Row],[Site ID (from DATIM)]],"[Measures].[MMS_01_89_M_P]")</f>
        <v/>
      </c>
      <c r="BW207" s="68" t="str" vm="19740">
        <f>CUBEVALUE(ConnectionString,ReportMonth,Table1[[#This Row],[Site ID (from DATIM)]],"[Measures].[MMS_01_89_F_A]")</f>
        <v/>
      </c>
      <c r="BX207" s="68" t="str" vm="20033">
        <f>CUBEVALUE(ConnectionString,ReportMonth,Table1[[#This Row],[Site ID (from DATIM)]],"[Measures].[MMS_01_89_M_A]")</f>
        <v/>
      </c>
      <c r="BY207" s="68" t="str" vm="19664">
        <f>CUBEVALUE(ConnectionString,ReportMonth,Table1[[#This Row],[Site ID (from DATIM)]],"[Measures].[MMS_90_179_F_P]")</f>
        <v/>
      </c>
      <c r="BZ207" s="68" t="str" vm="14760">
        <f>CUBEVALUE(ConnectionString,ReportMonth,Table1[[#This Row],[Site ID (from DATIM)]],"[Measures].[MMS_90_179_M_P]")</f>
        <v/>
      </c>
      <c r="CA207" s="68" vm="17658">
        <f>CUBEVALUE(ConnectionString,ReportMonth,Table1[[#This Row],[Site ID (from DATIM)]],"[Measures].[MMS_90_179_F_A]")</f>
        <v>1</v>
      </c>
      <c r="CB207" s="68" vm="16409">
        <f>CUBEVALUE(ConnectionString,ReportMonth,Table1[[#This Row],[Site ID (from DATIM)]],"[Measures].[MMS_90_179_M_A]")</f>
        <v>1</v>
      </c>
      <c r="CC207" s="68" t="str" vm="14948">
        <f>CUBEVALUE(ConnectionString,ReportMonth,Table1[[#This Row],[Site ID (from DATIM)]],"[Measures].[MMS_180+_F_P]")</f>
        <v/>
      </c>
      <c r="CD207" s="68" t="str" vm="17517">
        <f>CUBEVALUE(ConnectionString,ReportMonth,Table1[[#This Row],[Site ID (from DATIM)]],"[Measures].[MMS_180+_M_P]")</f>
        <v/>
      </c>
      <c r="CE207" s="68" t="str" vm="17197">
        <f>CUBEVALUE(ConnectionString,ReportMonth,Table1[[#This Row],[Site ID (from DATIM)]],"[Measures].[MMS_180+_F_A]")</f>
        <v/>
      </c>
      <c r="CF207" s="68" t="str" vm="284">
        <f>CUBEVALUE(ConnectionString,ReportMonth,Table1[[#This Row],[Site ID (from DATIM)]],"[Measures].[MMS_180+_M_A]")</f>
        <v/>
      </c>
      <c r="CG207" s="68" vm="7624">
        <f>CUBEVALUE(ConnectionString,ReportMonth,Table1[[#This Row],[Site ID (from DATIM)]],"[Measures].[MISSEDAPP]")</f>
        <v>2</v>
      </c>
      <c r="CH207" s="68" t="str" vm="13619">
        <f>CUBEVALUE(ConnectionString,ReportMonth,Table1[[#This Row],[Site ID (from DATIM)]],"[Measures].[MMS_180+_P]")</f>
        <v/>
      </c>
      <c r="CI207" s="68" t="str" vm="12201">
        <f>CUBEVALUE(ConnectionString,ReportMonth,Table1[[#This Row],[Site ID (from DATIM)]],"[Measures].[MMS_180+_A]")</f>
        <v/>
      </c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  <c r="CW207" s="68"/>
      <c r="CX207" s="68"/>
      <c r="CY207" s="68"/>
      <c r="CZ207" s="68"/>
      <c r="DA207" s="68"/>
      <c r="DB207" s="68"/>
      <c r="DC207" s="68"/>
    </row>
    <row r="208" spans="1:107" x14ac:dyDescent="0.25">
      <c r="A208" s="66">
        <v>4</v>
      </c>
      <c r="B208" s="67" t="str" vm="4">
        <f t="shared" si="4"/>
        <v>Mar-2021</v>
      </c>
      <c r="C208" s="67"/>
      <c r="D208" s="67" t="s">
        <v>232</v>
      </c>
      <c r="E208" s="67" t="s">
        <v>233</v>
      </c>
      <c r="F208" s="67" t="s">
        <v>234</v>
      </c>
      <c r="G208" s="67"/>
      <c r="H208" s="67" t="s">
        <v>263</v>
      </c>
      <c r="I208" s="67" t="s">
        <v>309</v>
      </c>
      <c r="J208" s="67" t="s">
        <v>310</v>
      </c>
      <c r="K208" s="67" t="s">
        <v>311</v>
      </c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 t="str" vm="1297">
        <f>CUBEVALUE(ConnectionString,ReportMonth,Table1[[#This Row],[Site ID (from DATIM)]],"TX_NEW_2VIS")</f>
        <v/>
      </c>
      <c r="AE208" s="67" t="str" vm="1395">
        <f>CUBEVALUE(ConnectionString,ReportMonth,Table1[[#This Row],[Site ID (from DATIM)]],INDEX(SDI_Measures,1))</f>
        <v/>
      </c>
      <c r="AF208" s="67" t="str" vm="1360">
        <f>CUBEVALUE(ConnectionString,ReportMonth,Table1[[#This Row],[Site ID (from DATIM)]],INDEX(SDI_Measures,2))</f>
        <v/>
      </c>
      <c r="AG208" s="67" t="str" vm="3143">
        <f>CUBEVALUE(ConnectionString,ReportMonth,Table1[[#This Row],[Site ID (from DATIM)]],INDEX(SDI_Measures,3))</f>
        <v/>
      </c>
      <c r="AH208" s="67" vm="4447">
        <f>CUBEVALUE(ConnectionString,ReportMonth,Table1[[#This Row],[Site ID (from DATIM)]],"TX_CURR_PRIOR_MONTH")</f>
        <v>56</v>
      </c>
      <c r="AI208" s="67" vm="1349">
        <f>CUBEVALUE(ConnectionString,ReportMonth,Table1[[#This Row],[Site ID (from DATIM)]],"TX_CURR")</f>
        <v>30</v>
      </c>
      <c r="AJ208" s="67" t="str" vm="2261">
        <f>CUBEVALUE(ConnectionString,ReportMonth,Table1[[#This Row],[Site ID (from DATIM)]],"[Measures].[TI]")</f>
        <v/>
      </c>
      <c r="AK208" s="67" t="str" vm="3498">
        <f>CUBEVALUE(ConnectionString,ReportMonth,Table1[[#This Row],[Site ID (from DATIM)]],"[Measures].[TO]")</f>
        <v/>
      </c>
      <c r="AL208" s="67" t="str" vm="2671">
        <f>CUBEVALUE(ConnectionString,ReportMonth,Table1[[#This Row],[Site ID (from DATIM)]],"[Measures].[DIED]")</f>
        <v/>
      </c>
      <c r="AM208" s="67" vm="4424">
        <f>CUBEVALUE(ConnectionString,ReportMonth,Table1[[#This Row],[Site ID (from DATIM)]],"[Measures].[MMS_01_31]")</f>
        <v>12</v>
      </c>
      <c r="AN208" s="67" t="str" vm="4983">
        <f>CUBEVALUE(ConnectionString,ReportMonth,Table1[[#This Row],[Site ID (from DATIM)]],"[Measures].[MMS_32_62]")</f>
        <v/>
      </c>
      <c r="AO208" s="67" vm="10283">
        <f>CUBEVALUE(ConnectionString,ReportMonth,Table1[[#This Row],[Site ID (from DATIM)]],"[Measures].[MMS_63+]")</f>
        <v>18</v>
      </c>
      <c r="AP208" s="67" vm="6738">
        <f>CUBEVALUE(ConnectionString,ReportMonth,Table1[[#This Row],[Site ID (from DATIM)]],"[Measures].[TBPREV_D]")</f>
        <v>1</v>
      </c>
      <c r="AQ208" s="67" t="str" vm="4922">
        <f>CUBEVALUE(ConnectionString,ReportMonth,Table1[[#This Row],[Site ID (from DATIM)]],"[Measures].[TBPREV_N]")</f>
        <v/>
      </c>
      <c r="AR208" s="67" t="str" vm="11869">
        <f>CUBEVALUE(ConnectionString,ReportMonth,Table1[[#This Row],[Site ID (from DATIM)]],"[Measures].[TBPREV_NEW]")</f>
        <v/>
      </c>
      <c r="AS208" s="67" t="str" vm="6151">
        <f>CUBEVALUE(ConnectionString,ReportMonth,Table1[[#This Row],[Site ID (from DATIM)]],"[Measures].[HVL_ELIG_P]")</f>
        <v/>
      </c>
      <c r="AT208" s="67" vm="5269">
        <f>CUBEVALUE(ConnectionString,ReportMonth,Table1[[#This Row],[Site ID (from DATIM)]],"[Measures].[HVL_D_P]")</f>
        <v>2</v>
      </c>
      <c r="AU208" s="67" t="str" vm="8423">
        <f>CUBEVALUE(ConnectionString,ReportMonth,Table1[[#This Row],[Site ID (from DATIM)]],"[Measures].[HVL_N_P]")</f>
        <v/>
      </c>
      <c r="AV208" s="68" vm="7489">
        <f>CUBEVALUE(ConnectionString,ReportMonth,Table1[[#This Row],[Site ID (from DATIM)]],"[Measures].[HVL_ELIG_A]")</f>
        <v>27</v>
      </c>
      <c r="AW208" s="68" vm="9993">
        <f>CUBEVALUE(ConnectionString,ReportMonth,Table1[[#This Row],[Site ID (from DATIM)]],"[Measures].[HVL_D_A]")</f>
        <v>29</v>
      </c>
      <c r="AX208" s="68" vm="11982">
        <f>CUBEVALUE(ConnectionString,ReportMonth,Table1[[#This Row],[Site ID (from DATIM)]],"[Measures].[HVL_N_A]")</f>
        <v>21</v>
      </c>
      <c r="AY208" s="67"/>
      <c r="AZ208" s="67"/>
      <c r="BA208" s="67"/>
      <c r="BB208" s="67"/>
      <c r="BC208" s="67"/>
      <c r="BD208" s="67"/>
      <c r="BE208" s="67"/>
      <c r="BF208" s="67"/>
      <c r="BG208" s="67" t="str" vm="16571">
        <f>CUBEVALUE(ConnectionString,ReportMonth,Table1[[#This Row],[Site ID (from DATIM)]],"[Measures].[TX_NEW_F_A]")</f>
        <v/>
      </c>
      <c r="BH208" s="67" t="str" vm="13898">
        <f>CUBEVALUE(ConnectionString,ReportMonth,Table1[[#This Row],[Site ID (from DATIM)]],"[Measures].[TX_NEW_M_A]")</f>
        <v/>
      </c>
      <c r="BI208" s="67" t="str" vm="12566">
        <f>CUBEVALUE(ConnectionString,ReportMonth,Table1[[#This Row],[Site ID (from DATIM)]],"[Measures].[TX_NEW_F_P]")</f>
        <v/>
      </c>
      <c r="BJ208" s="68" t="str" vm="14281">
        <f>CUBEVALUE(ConnectionString,ReportMonth,Table1[[#This Row],[Site ID (from DATIM)]],"[Measures].[TX_NEW_M_P]")</f>
        <v/>
      </c>
      <c r="BK208" s="68"/>
      <c r="BL208" s="68"/>
      <c r="BM208" s="68"/>
      <c r="BN208" s="68"/>
      <c r="BO208" s="68"/>
      <c r="BP208" s="68"/>
      <c r="BQ208" s="68" t="str" vm="8044">
        <f>CUBEVALUE(ConnectionString,ReportMonth,Table1[[#This Row],[Site ID (from DATIM)]],"[Measures].[TX_CURR_F_P]")</f>
        <v/>
      </c>
      <c r="BR208" s="68" vm="9888">
        <f>CUBEVALUE(ConnectionString,ReportMonth,Table1[[#This Row],[Site ID (from DATIM)]],"[Measures].[TX_CURR_M_P]")</f>
        <v>1</v>
      </c>
      <c r="BS208" s="68" vm="7939">
        <f>CUBEVALUE(ConnectionString,ReportMonth,Table1[[#This Row],[Site ID (from DATIM)]],"[Measures].[TX_CURR_F_A]")</f>
        <v>18</v>
      </c>
      <c r="BT208" s="68" vm="16586">
        <f>CUBEVALUE(ConnectionString,ReportMonth,Table1[[#This Row],[Site ID (from DATIM)]],"[Measures].[TX_CURR_M_A]")</f>
        <v>11</v>
      </c>
      <c r="BU208" s="68" t="str" vm="18987">
        <f>CUBEVALUE(ConnectionString,ReportMonth,Table1[[#This Row],[Site ID (from DATIM)]],"[Measures].[MMS_01_89_F_P]")</f>
        <v/>
      </c>
      <c r="BV208" s="68" vm="20134">
        <f>CUBEVALUE(ConnectionString,ReportMonth,Table1[[#This Row],[Site ID (from DATIM)]],"[Measures].[MMS_01_89_M_P]")</f>
        <v>1</v>
      </c>
      <c r="BW208" s="68" vm="17988">
        <f>CUBEVALUE(ConnectionString,ReportMonth,Table1[[#This Row],[Site ID (from DATIM)]],"[Measures].[MMS_01_89_F_A]")</f>
        <v>7</v>
      </c>
      <c r="BX208" s="68" vm="19405">
        <f>CUBEVALUE(ConnectionString,ReportMonth,Table1[[#This Row],[Site ID (from DATIM)]],"[Measures].[MMS_01_89_M_A]")</f>
        <v>4</v>
      </c>
      <c r="BY208" s="68" t="str" vm="18161">
        <f>CUBEVALUE(ConnectionString,ReportMonth,Table1[[#This Row],[Site ID (from DATIM)]],"[Measures].[MMS_90_179_F_P]")</f>
        <v/>
      </c>
      <c r="BZ208" s="68" t="str" vm="19296">
        <f>CUBEVALUE(ConnectionString,ReportMonth,Table1[[#This Row],[Site ID (from DATIM)]],"[Measures].[MMS_90_179_M_P]")</f>
        <v/>
      </c>
      <c r="CA208" s="68" vm="15221">
        <f>CUBEVALUE(ConnectionString,ReportMonth,Table1[[#This Row],[Site ID (from DATIM)]],"[Measures].[MMS_90_179_F_A]")</f>
        <v>11</v>
      </c>
      <c r="CB208" s="68" vm="16889">
        <f>CUBEVALUE(ConnectionString,ReportMonth,Table1[[#This Row],[Site ID (from DATIM)]],"[Measures].[MMS_90_179_M_A]")</f>
        <v>7</v>
      </c>
      <c r="CC208" s="68" t="str" vm="14483">
        <f>CUBEVALUE(ConnectionString,ReportMonth,Table1[[#This Row],[Site ID (from DATIM)]],"[Measures].[MMS_180+_F_P]")</f>
        <v/>
      </c>
      <c r="CD208" s="68" t="str" vm="14913">
        <f>CUBEVALUE(ConnectionString,ReportMonth,Table1[[#This Row],[Site ID (from DATIM)]],"[Measures].[MMS_180+_M_P]")</f>
        <v/>
      </c>
      <c r="CE208" s="68" t="str" vm="17089">
        <f>CUBEVALUE(ConnectionString,ReportMonth,Table1[[#This Row],[Site ID (from DATIM)]],"[Measures].[MMS_180+_F_A]")</f>
        <v/>
      </c>
      <c r="CF208" s="68" t="str" vm="20191">
        <f>CUBEVALUE(ConnectionString,ReportMonth,Table1[[#This Row],[Site ID (from DATIM)]],"[Measures].[MMS_180+_M_A]")</f>
        <v/>
      </c>
      <c r="CG208" s="68" vm="5843">
        <f>CUBEVALUE(ConnectionString,ReportMonth,Table1[[#This Row],[Site ID (from DATIM)]],"[Measures].[MISSEDAPP]")</f>
        <v>18</v>
      </c>
      <c r="CH208" s="68" t="str" vm="13392">
        <f>CUBEVALUE(ConnectionString,ReportMonth,Table1[[#This Row],[Site ID (from DATIM)]],"[Measures].[MMS_180+_P]")</f>
        <v/>
      </c>
      <c r="CI208" s="68" t="str" vm="13513">
        <f>CUBEVALUE(ConnectionString,ReportMonth,Table1[[#This Row],[Site ID (from DATIM)]],"[Measures].[MMS_180+_A]")</f>
        <v/>
      </c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  <c r="CW208" s="68"/>
      <c r="CX208" s="68"/>
      <c r="CY208" s="68"/>
      <c r="CZ208" s="68"/>
      <c r="DA208" s="68"/>
      <c r="DB208" s="68"/>
      <c r="DC208" s="68"/>
    </row>
    <row r="209" spans="1:107" x14ac:dyDescent="0.25">
      <c r="A209" s="66">
        <v>4</v>
      </c>
      <c r="B209" s="67" t="str" vm="4">
        <f t="shared" si="4"/>
        <v>Mar-2021</v>
      </c>
      <c r="C209" s="67"/>
      <c r="D209" s="67" t="s">
        <v>232</v>
      </c>
      <c r="E209" s="67" t="s">
        <v>233</v>
      </c>
      <c r="F209" s="67" t="s">
        <v>831</v>
      </c>
      <c r="G209" s="67"/>
      <c r="H209" s="67" t="s">
        <v>832</v>
      </c>
      <c r="I209" s="67" t="s">
        <v>951</v>
      </c>
      <c r="J209" s="67" t="s">
        <v>952</v>
      </c>
      <c r="K209" s="67" t="s">
        <v>953</v>
      </c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 t="str" vm="1329">
        <f>CUBEVALUE(ConnectionString,ReportMonth,Table1[[#This Row],[Site ID (from DATIM)]],"TX_NEW_2VIS")</f>
        <v/>
      </c>
      <c r="AE209" s="67" t="str" vm="3802">
        <f>CUBEVALUE(ConnectionString,ReportMonth,Table1[[#This Row],[Site ID (from DATIM)]],INDEX(SDI_Measures,1))</f>
        <v/>
      </c>
      <c r="AF209" s="67" t="str" vm="1337">
        <f>CUBEVALUE(ConnectionString,ReportMonth,Table1[[#This Row],[Site ID (from DATIM)]],INDEX(SDI_Measures,2))</f>
        <v/>
      </c>
      <c r="AG209" s="67" t="str" vm="1139">
        <f>CUBEVALUE(ConnectionString,ReportMonth,Table1[[#This Row],[Site ID (from DATIM)]],INDEX(SDI_Measures,3))</f>
        <v/>
      </c>
      <c r="AH209" s="67" vm="1836">
        <f>CUBEVALUE(ConnectionString,ReportMonth,Table1[[#This Row],[Site ID (from DATIM)]],"TX_CURR_PRIOR_MONTH")</f>
        <v>62</v>
      </c>
      <c r="AI209" s="67" vm="2617">
        <f>CUBEVALUE(ConnectionString,ReportMonth,Table1[[#This Row],[Site ID (from DATIM)]],"TX_CURR")</f>
        <v>55</v>
      </c>
      <c r="AJ209" s="67" t="str" vm="2854">
        <f>CUBEVALUE(ConnectionString,ReportMonth,Table1[[#This Row],[Site ID (from DATIM)]],"[Measures].[TI]")</f>
        <v/>
      </c>
      <c r="AK209" s="67" t="str" vm="884">
        <f>CUBEVALUE(ConnectionString,ReportMonth,Table1[[#This Row],[Site ID (from DATIM)]],"[Measures].[TO]")</f>
        <v/>
      </c>
      <c r="AL209" s="67" t="str" vm="2800">
        <f>CUBEVALUE(ConnectionString,ReportMonth,Table1[[#This Row],[Site ID (from DATIM)]],"[Measures].[DIED]")</f>
        <v/>
      </c>
      <c r="AM209" s="67" vm="3815">
        <f>CUBEVALUE(ConnectionString,ReportMonth,Table1[[#This Row],[Site ID (from DATIM)]],"[Measures].[MMS_01_31]")</f>
        <v>13</v>
      </c>
      <c r="AN209" s="67" vm="4727">
        <f>CUBEVALUE(ConnectionString,ReportMonth,Table1[[#This Row],[Site ID (from DATIM)]],"[Measures].[MMS_32_62]")</f>
        <v>2</v>
      </c>
      <c r="AO209" s="67" vm="9990">
        <f>CUBEVALUE(ConnectionString,ReportMonth,Table1[[#This Row],[Site ID (from DATIM)]],"[Measures].[MMS_63+]")</f>
        <v>40</v>
      </c>
      <c r="AP209" s="67" vm="5239">
        <f>CUBEVALUE(ConnectionString,ReportMonth,Table1[[#This Row],[Site ID (from DATIM)]],"[Measures].[TBPREV_D]")</f>
        <v>1</v>
      </c>
      <c r="AQ209" s="67" t="str" vm="5674">
        <f>CUBEVALUE(ConnectionString,ReportMonth,Table1[[#This Row],[Site ID (from DATIM)]],"[Measures].[TBPREV_N]")</f>
        <v/>
      </c>
      <c r="AR209" s="67" t="str" vm="5363">
        <f>CUBEVALUE(ConnectionString,ReportMonth,Table1[[#This Row],[Site ID (from DATIM)]],"[Measures].[TBPREV_NEW]")</f>
        <v/>
      </c>
      <c r="AS209" s="67" vm="6872">
        <f>CUBEVALUE(ConnectionString,ReportMonth,Table1[[#This Row],[Site ID (from DATIM)]],"[Measures].[HVL_ELIG_P]")</f>
        <v>4</v>
      </c>
      <c r="AT209" s="67" vm="6922">
        <f>CUBEVALUE(ConnectionString,ReportMonth,Table1[[#This Row],[Site ID (from DATIM)]],"[Measures].[HVL_D_P]")</f>
        <v>2</v>
      </c>
      <c r="AU209" s="67" vm="6382">
        <f>CUBEVALUE(ConnectionString,ReportMonth,Table1[[#This Row],[Site ID (from DATIM)]],"[Measures].[HVL_N_P]")</f>
        <v>2</v>
      </c>
      <c r="AV209" s="68" vm="6822">
        <f>CUBEVALUE(ConnectionString,ReportMonth,Table1[[#This Row],[Site ID (from DATIM)]],"[Measures].[HVL_ELIG_A]")</f>
        <v>44</v>
      </c>
      <c r="AW209" s="68" vm="10811">
        <f>CUBEVALUE(ConnectionString,ReportMonth,Table1[[#This Row],[Site ID (from DATIM)]],"[Measures].[HVL_D_A]")</f>
        <v>32</v>
      </c>
      <c r="AX209" s="68" vm="9674">
        <f>CUBEVALUE(ConnectionString,ReportMonth,Table1[[#This Row],[Site ID (from DATIM)]],"[Measures].[HVL_N_A]")</f>
        <v>31</v>
      </c>
      <c r="AY209" s="67"/>
      <c r="AZ209" s="67"/>
      <c r="BA209" s="67"/>
      <c r="BB209" s="67"/>
      <c r="BC209" s="67"/>
      <c r="BD209" s="67"/>
      <c r="BE209" s="67"/>
      <c r="BF209" s="67"/>
      <c r="BG209" s="67" t="str" vm="14129">
        <f>CUBEVALUE(ConnectionString,ReportMonth,Table1[[#This Row],[Site ID (from DATIM)]],"[Measures].[TX_NEW_F_A]")</f>
        <v/>
      </c>
      <c r="BH209" s="67" t="str" vm="12282">
        <f>CUBEVALUE(ConnectionString,ReportMonth,Table1[[#This Row],[Site ID (from DATIM)]],"[Measures].[TX_NEW_M_A]")</f>
        <v/>
      </c>
      <c r="BI209" s="67" t="str" vm="12565">
        <f>CUBEVALUE(ConnectionString,ReportMonth,Table1[[#This Row],[Site ID (from DATIM)]],"[Measures].[TX_NEW_F_P]")</f>
        <v/>
      </c>
      <c r="BJ209" s="68" t="str" vm="13982">
        <f>CUBEVALUE(ConnectionString,ReportMonth,Table1[[#This Row],[Site ID (from DATIM)]],"[Measures].[TX_NEW_M_P]")</f>
        <v/>
      </c>
      <c r="BK209" s="68"/>
      <c r="BL209" s="68"/>
      <c r="BM209" s="68"/>
      <c r="BN209" s="68"/>
      <c r="BO209" s="68"/>
      <c r="BP209" s="68"/>
      <c r="BQ209" s="68" t="str" vm="12188">
        <f>CUBEVALUE(ConnectionString,ReportMonth,Table1[[#This Row],[Site ID (from DATIM)]],"[Measures].[TX_CURR_F_P]")</f>
        <v/>
      </c>
      <c r="BR209" s="68" vm="12718">
        <f>CUBEVALUE(ConnectionString,ReportMonth,Table1[[#This Row],[Site ID (from DATIM)]],"[Measures].[TX_CURR_M_P]")</f>
        <v>4</v>
      </c>
      <c r="BS209" s="68" vm="8630">
        <f>CUBEVALUE(ConnectionString,ReportMonth,Table1[[#This Row],[Site ID (from DATIM)]],"[Measures].[TX_CURR_F_A]")</f>
        <v>34</v>
      </c>
      <c r="BT209" s="68" vm="11062">
        <f>CUBEVALUE(ConnectionString,ReportMonth,Table1[[#This Row],[Site ID (from DATIM)]],"[Measures].[TX_CURR_M_A]")</f>
        <v>17</v>
      </c>
      <c r="BU209" s="68" t="str" vm="18747">
        <f>CUBEVALUE(ConnectionString,ReportMonth,Table1[[#This Row],[Site ID (from DATIM)]],"[Measures].[MMS_01_89_F_P]")</f>
        <v/>
      </c>
      <c r="BV209" s="68" vm="18666">
        <f>CUBEVALUE(ConnectionString,ReportMonth,Table1[[#This Row],[Site ID (from DATIM)]],"[Measures].[MMS_01_89_M_P]")</f>
        <v>3</v>
      </c>
      <c r="BW209" s="68" vm="19673">
        <f>CUBEVALUE(ConnectionString,ReportMonth,Table1[[#This Row],[Site ID (from DATIM)]],"[Measures].[MMS_01_89_F_A]")</f>
        <v>8</v>
      </c>
      <c r="BX209" s="68" vm="18560">
        <f>CUBEVALUE(ConnectionString,ReportMonth,Table1[[#This Row],[Site ID (from DATIM)]],"[Measures].[MMS_01_89_M_A]")</f>
        <v>4</v>
      </c>
      <c r="BY209" s="68" t="str" vm="18269">
        <f>CUBEVALUE(ConnectionString,ReportMonth,Table1[[#This Row],[Site ID (from DATIM)]],"[Measures].[MMS_90_179_F_P]")</f>
        <v/>
      </c>
      <c r="BZ209" s="68" vm="18811">
        <f>CUBEVALUE(ConnectionString,ReportMonth,Table1[[#This Row],[Site ID (from DATIM)]],"[Measures].[MMS_90_179_M_P]")</f>
        <v>1</v>
      </c>
      <c r="CA209" s="68" vm="17765">
        <f>CUBEVALUE(ConnectionString,ReportMonth,Table1[[#This Row],[Site ID (from DATIM)]],"[Measures].[MMS_90_179_F_A]")</f>
        <v>26</v>
      </c>
      <c r="CB209" s="68" vm="17594">
        <f>CUBEVALUE(ConnectionString,ReportMonth,Table1[[#This Row],[Site ID (from DATIM)]],"[Measures].[MMS_90_179_M_A]")</f>
        <v>13</v>
      </c>
      <c r="CC209" s="68" t="str" vm="14561">
        <f>CUBEVALUE(ConnectionString,ReportMonth,Table1[[#This Row],[Site ID (from DATIM)]],"[Measures].[MMS_180+_F_P]")</f>
        <v/>
      </c>
      <c r="CD209" s="68" t="str" vm="15843">
        <f>CUBEVALUE(ConnectionString,ReportMonth,Table1[[#This Row],[Site ID (from DATIM)]],"[Measures].[MMS_180+_M_P]")</f>
        <v/>
      </c>
      <c r="CE209" s="68" t="str" vm="17130">
        <f>CUBEVALUE(ConnectionString,ReportMonth,Table1[[#This Row],[Site ID (from DATIM)]],"[Measures].[MMS_180+_F_A]")</f>
        <v/>
      </c>
      <c r="CF209" s="68" t="str" vm="15413">
        <f>CUBEVALUE(ConnectionString,ReportMonth,Table1[[#This Row],[Site ID (from DATIM)]],"[Measures].[MMS_180+_M_A]")</f>
        <v/>
      </c>
      <c r="CG209" s="68" vm="7696">
        <f>CUBEVALUE(ConnectionString,ReportMonth,Table1[[#This Row],[Site ID (from DATIM)]],"[Measures].[MISSEDAPP]")</f>
        <v>21</v>
      </c>
      <c r="CH209" s="68" t="str" vm="13615">
        <f>CUBEVALUE(ConnectionString,ReportMonth,Table1[[#This Row],[Site ID (from DATIM)]],"[Measures].[MMS_180+_P]")</f>
        <v/>
      </c>
      <c r="CI209" s="68" t="str" vm="11160">
        <f>CUBEVALUE(ConnectionString,ReportMonth,Table1[[#This Row],[Site ID (from DATIM)]],"[Measures].[MMS_180+_A]")</f>
        <v/>
      </c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  <c r="CW209" s="68"/>
      <c r="CX209" s="68"/>
      <c r="CY209" s="68"/>
      <c r="CZ209" s="68"/>
      <c r="DA209" s="68"/>
      <c r="DB209" s="68"/>
      <c r="DC209" s="68"/>
    </row>
    <row r="210" spans="1:107" x14ac:dyDescent="0.25">
      <c r="A210" s="66">
        <v>1</v>
      </c>
      <c r="B210" s="67" t="str" vm="4">
        <f t="shared" si="4"/>
        <v>Mar-2021</v>
      </c>
      <c r="C210" s="67"/>
      <c r="D210" s="67" t="s">
        <v>232</v>
      </c>
      <c r="E210" s="67" t="s">
        <v>233</v>
      </c>
      <c r="F210" s="67" t="s">
        <v>234</v>
      </c>
      <c r="G210" s="67"/>
      <c r="H210" s="67" t="s">
        <v>239</v>
      </c>
      <c r="I210" s="67" t="s">
        <v>243</v>
      </c>
      <c r="J210" s="67" t="s">
        <v>312</v>
      </c>
      <c r="K210" s="67" t="s">
        <v>313</v>
      </c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 vm="736">
        <f>CUBEVALUE(ConnectionString,ReportMonth,Table1[[#This Row],[Site ID (from DATIM)]],"TX_NEW_2VIS")</f>
        <v>16</v>
      </c>
      <c r="AE210" s="67" vm="1068">
        <f>CUBEVALUE(ConnectionString,ReportMonth,Table1[[#This Row],[Site ID (from DATIM)]],INDEX(SDI_Measures,1))</f>
        <v>13</v>
      </c>
      <c r="AF210" s="67" t="str" vm="1223">
        <f>CUBEVALUE(ConnectionString,ReportMonth,Table1[[#This Row],[Site ID (from DATIM)]],INDEX(SDI_Measures,2))</f>
        <v/>
      </c>
      <c r="AG210" s="67" t="str" vm="1392">
        <f>CUBEVALUE(ConnectionString,ReportMonth,Table1[[#This Row],[Site ID (from DATIM)]],INDEX(SDI_Measures,3))</f>
        <v/>
      </c>
      <c r="AH210" s="67" vm="1161">
        <f>CUBEVALUE(ConnectionString,ReportMonth,Table1[[#This Row],[Site ID (from DATIM)]],"TX_CURR_PRIOR_MONTH")</f>
        <v>1799</v>
      </c>
      <c r="AI210" s="67" vm="1255">
        <f>CUBEVALUE(ConnectionString,ReportMonth,Table1[[#This Row],[Site ID (from DATIM)]],"TX_CURR")</f>
        <v>1774</v>
      </c>
      <c r="AJ210" s="67" t="str" vm="2023">
        <f>CUBEVALUE(ConnectionString,ReportMonth,Table1[[#This Row],[Site ID (from DATIM)]],"[Measures].[TI]")</f>
        <v/>
      </c>
      <c r="AK210" s="67" vm="4528">
        <f>CUBEVALUE(ConnectionString,ReportMonth,Table1[[#This Row],[Site ID (from DATIM)]],"[Measures].[TO]")</f>
        <v>1</v>
      </c>
      <c r="AL210" s="67" t="str" vm="3219">
        <f>CUBEVALUE(ConnectionString,ReportMonth,Table1[[#This Row],[Site ID (from DATIM)]],"[Measures].[DIED]")</f>
        <v/>
      </c>
      <c r="AM210" s="67" vm="6460">
        <f>CUBEVALUE(ConnectionString,ReportMonth,Table1[[#This Row],[Site ID (from DATIM)]],"[Measures].[MMS_01_31]")</f>
        <v>169</v>
      </c>
      <c r="AN210" s="67" vm="6686">
        <f>CUBEVALUE(ConnectionString,ReportMonth,Table1[[#This Row],[Site ID (from DATIM)]],"[Measures].[MMS_32_62]")</f>
        <v>211</v>
      </c>
      <c r="AO210" s="67" vm="11812">
        <f>CUBEVALUE(ConnectionString,ReportMonth,Table1[[#This Row],[Site ID (from DATIM)]],"[Measures].[MMS_63+]")</f>
        <v>1394</v>
      </c>
      <c r="AP210" s="67" vm="7364">
        <f>CUBEVALUE(ConnectionString,ReportMonth,Table1[[#This Row],[Site ID (from DATIM)]],"[Measures].[TBPREV_D]")</f>
        <v>35</v>
      </c>
      <c r="AQ210" s="67" vm="7569">
        <f>CUBEVALUE(ConnectionString,ReportMonth,Table1[[#This Row],[Site ID (from DATIM)]],"[Measures].[TBPREV_N]")</f>
        <v>23</v>
      </c>
      <c r="AR210" s="67" vm="4781">
        <f>CUBEVALUE(ConnectionString,ReportMonth,Table1[[#This Row],[Site ID (from DATIM)]],"[Measures].[TBPREV_NEW]")</f>
        <v>5</v>
      </c>
      <c r="AS210" s="67" vm="6790">
        <f>CUBEVALUE(ConnectionString,ReportMonth,Table1[[#This Row],[Site ID (from DATIM)]],"[Measures].[HVL_ELIG_P]")</f>
        <v>57</v>
      </c>
      <c r="AT210" s="67" vm="4894">
        <f>CUBEVALUE(ConnectionString,ReportMonth,Table1[[#This Row],[Site ID (from DATIM)]],"[Measures].[HVL_D_P]")</f>
        <v>55</v>
      </c>
      <c r="AU210" s="67" vm="9597">
        <f>CUBEVALUE(ConnectionString,ReportMonth,Table1[[#This Row],[Site ID (from DATIM)]],"[Measures].[HVL_N_P]")</f>
        <v>49</v>
      </c>
      <c r="AV210" s="68" vm="9496">
        <f>CUBEVALUE(ConnectionString,ReportMonth,Table1[[#This Row],[Site ID (from DATIM)]],"[Measures].[HVL_ELIG_A]")</f>
        <v>1502</v>
      </c>
      <c r="AW210" s="68" vm="10002">
        <f>CUBEVALUE(ConnectionString,ReportMonth,Table1[[#This Row],[Site ID (from DATIM)]],"[Measures].[HVL_D_A]")</f>
        <v>1230</v>
      </c>
      <c r="AX210" s="68" vm="8385">
        <f>CUBEVALUE(ConnectionString,ReportMonth,Table1[[#This Row],[Site ID (from DATIM)]],"[Measures].[HVL_N_A]")</f>
        <v>1180</v>
      </c>
      <c r="AY210" s="67"/>
      <c r="AZ210" s="67"/>
      <c r="BA210" s="67"/>
      <c r="BB210" s="67"/>
      <c r="BC210" s="67"/>
      <c r="BD210" s="67"/>
      <c r="BE210" s="67"/>
      <c r="BF210" s="67"/>
      <c r="BG210" s="67" vm="16169">
        <f>CUBEVALUE(ConnectionString,ReportMonth,Table1[[#This Row],[Site ID (from DATIM)]],"[Measures].[TX_NEW_F_A]")</f>
        <v>7</v>
      </c>
      <c r="BH210" s="67" vm="16572">
        <f>CUBEVALUE(ConnectionString,ReportMonth,Table1[[#This Row],[Site ID (from DATIM)]],"[Measures].[TX_NEW_M_A]")</f>
        <v>5</v>
      </c>
      <c r="BI210" s="67" t="str" vm="12344">
        <f>CUBEVALUE(ConnectionString,ReportMonth,Table1[[#This Row],[Site ID (from DATIM)]],"[Measures].[TX_NEW_F_P]")</f>
        <v/>
      </c>
      <c r="BJ210" s="68" vm="15683">
        <f>CUBEVALUE(ConnectionString,ReportMonth,Table1[[#This Row],[Site ID (from DATIM)]],"[Measures].[TX_NEW_M_P]")</f>
        <v>1</v>
      </c>
      <c r="BK210" s="68"/>
      <c r="BL210" s="68"/>
      <c r="BM210" s="68"/>
      <c r="BN210" s="68"/>
      <c r="BO210" s="68"/>
      <c r="BP210" s="68"/>
      <c r="BQ210" s="68" vm="7252">
        <f>CUBEVALUE(ConnectionString,ReportMonth,Table1[[#This Row],[Site ID (from DATIM)]],"[Measures].[TX_CURR_F_P]")</f>
        <v>35</v>
      </c>
      <c r="BR210" s="68" vm="12198">
        <f>CUBEVALUE(ConnectionString,ReportMonth,Table1[[#This Row],[Site ID (from DATIM)]],"[Measures].[TX_CURR_M_P]")</f>
        <v>31</v>
      </c>
      <c r="BS210" s="68" vm="9240">
        <f>CUBEVALUE(ConnectionString,ReportMonth,Table1[[#This Row],[Site ID (from DATIM)]],"[Measures].[TX_CURR_F_A]")</f>
        <v>1160</v>
      </c>
      <c r="BT210" s="68" vm="8993">
        <f>CUBEVALUE(ConnectionString,ReportMonth,Table1[[#This Row],[Site ID (from DATIM)]],"[Measures].[TX_CURR_M_A]")</f>
        <v>549</v>
      </c>
      <c r="BU210" s="68" vm="19269">
        <f>CUBEVALUE(ConnectionString,ReportMonth,Table1[[#This Row],[Site ID (from DATIM)]],"[Measures].[MMS_01_89_F_P]")</f>
        <v>15</v>
      </c>
      <c r="BV210" s="68" vm="18847">
        <f>CUBEVALUE(ConnectionString,ReportMonth,Table1[[#This Row],[Site ID (from DATIM)]],"[Measures].[MMS_01_89_M_P]")</f>
        <v>13</v>
      </c>
      <c r="BW210" s="68" vm="19999">
        <f>CUBEVALUE(ConnectionString,ReportMonth,Table1[[#This Row],[Site ID (from DATIM)]],"[Measures].[MMS_01_89_F_A]")</f>
        <v>256</v>
      </c>
      <c r="BX210" s="68" vm="18477">
        <f>CUBEVALUE(ConnectionString,ReportMonth,Table1[[#This Row],[Site ID (from DATIM)]],"[Measures].[MMS_01_89_M_A]")</f>
        <v>124</v>
      </c>
      <c r="BY210" s="68" vm="19071">
        <f>CUBEVALUE(ConnectionString,ReportMonth,Table1[[#This Row],[Site ID (from DATIM)]],"[Measures].[MMS_90_179_F_P]")</f>
        <v>20</v>
      </c>
      <c r="BZ210" s="68" vm="16942">
        <f>CUBEVALUE(ConnectionString,ReportMonth,Table1[[#This Row],[Site ID (from DATIM)]],"[Measures].[MMS_90_179_M_P]")</f>
        <v>18</v>
      </c>
      <c r="CA210" s="68" vm="16445">
        <f>CUBEVALUE(ConnectionString,ReportMonth,Table1[[#This Row],[Site ID (from DATIM)]],"[Measures].[MMS_90_179_F_A]")</f>
        <v>900</v>
      </c>
      <c r="CB210" s="68" vm="19840">
        <f>CUBEVALUE(ConnectionString,ReportMonth,Table1[[#This Row],[Site ID (from DATIM)]],"[Measures].[MMS_90_179_M_A]")</f>
        <v>423</v>
      </c>
      <c r="CC210" s="68" t="str" vm="15562">
        <f>CUBEVALUE(ConnectionString,ReportMonth,Table1[[#This Row],[Site ID (from DATIM)]],"[Measures].[MMS_180+_F_P]")</f>
        <v/>
      </c>
      <c r="CD210" s="68" t="str" vm="16729">
        <f>CUBEVALUE(ConnectionString,ReportMonth,Table1[[#This Row],[Site ID (from DATIM)]],"[Measures].[MMS_180+_M_P]")</f>
        <v/>
      </c>
      <c r="CE210" s="68" vm="14472">
        <f>CUBEVALUE(ConnectionString,ReportMonth,Table1[[#This Row],[Site ID (from DATIM)]],"[Measures].[MMS_180+_F_A]")</f>
        <v>4</v>
      </c>
      <c r="CF210" s="68" vm="20212">
        <f>CUBEVALUE(ConnectionString,ReportMonth,Table1[[#This Row],[Site ID (from DATIM)]],"[Measures].[MMS_180+_M_A]")</f>
        <v>2</v>
      </c>
      <c r="CG210" s="68" vm="10682">
        <f>CUBEVALUE(ConnectionString,ReportMonth,Table1[[#This Row],[Site ID (from DATIM)]],"[Measures].[MISSEDAPP]")</f>
        <v>450</v>
      </c>
      <c r="CH210" s="68" t="str" vm="11504">
        <f>CUBEVALUE(ConnectionString,ReportMonth,Table1[[#This Row],[Site ID (from DATIM)]],"[Measures].[MMS_180+_P]")</f>
        <v/>
      </c>
      <c r="CI210" s="68" vm="11175">
        <f>CUBEVALUE(ConnectionString,ReportMonth,Table1[[#This Row],[Site ID (from DATIM)]],"[Measures].[MMS_180+_A]")</f>
        <v>6</v>
      </c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  <c r="CW210" s="68"/>
      <c r="CX210" s="68"/>
      <c r="CY210" s="68"/>
      <c r="CZ210" s="68"/>
      <c r="DA210" s="68"/>
      <c r="DB210" s="68"/>
      <c r="DC210" s="68"/>
    </row>
    <row r="211" spans="1:107" x14ac:dyDescent="0.25">
      <c r="A211" s="66">
        <v>4</v>
      </c>
      <c r="B211" s="67" t="str" vm="4">
        <f t="shared" si="4"/>
        <v>Mar-2021</v>
      </c>
      <c r="C211" s="67"/>
      <c r="D211" s="67" t="s">
        <v>232</v>
      </c>
      <c r="E211" s="67" t="s">
        <v>233</v>
      </c>
      <c r="F211" s="67" t="s">
        <v>1083</v>
      </c>
      <c r="G211" s="67"/>
      <c r="H211" s="67" t="s">
        <v>1113</v>
      </c>
      <c r="I211" s="67" t="s">
        <v>1176</v>
      </c>
      <c r="J211" s="67" t="s">
        <v>1205</v>
      </c>
      <c r="K211" s="67" t="s">
        <v>1206</v>
      </c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 t="str" vm="2042">
        <f>CUBEVALUE(ConnectionString,ReportMonth,Table1[[#This Row],[Site ID (from DATIM)]],"TX_NEW_2VIS")</f>
        <v/>
      </c>
      <c r="AE211" s="67" t="str" vm="1690">
        <f>CUBEVALUE(ConnectionString,ReportMonth,Table1[[#This Row],[Site ID (from DATIM)]],INDEX(SDI_Measures,1))</f>
        <v/>
      </c>
      <c r="AF211" s="67" t="str" vm="572">
        <f>CUBEVALUE(ConnectionString,ReportMonth,Table1[[#This Row],[Site ID (from DATIM)]],INDEX(SDI_Measures,2))</f>
        <v/>
      </c>
      <c r="AG211" s="67" t="str" vm="5008">
        <f>CUBEVALUE(ConnectionString,ReportMonth,Table1[[#This Row],[Site ID (from DATIM)]],INDEX(SDI_Measures,3))</f>
        <v/>
      </c>
      <c r="AH211" s="67" t="str" vm="1048">
        <f>CUBEVALUE(ConnectionString,ReportMonth,Table1[[#This Row],[Site ID (from DATIM)]],"TX_CURR_PRIOR_MONTH")</f>
        <v/>
      </c>
      <c r="AI211" s="67" t="str" vm="3504">
        <f>CUBEVALUE(ConnectionString,ReportMonth,Table1[[#This Row],[Site ID (from DATIM)]],"TX_CURR")</f>
        <v/>
      </c>
      <c r="AJ211" s="67" t="str" vm="4452">
        <f>CUBEVALUE(ConnectionString,ReportMonth,Table1[[#This Row],[Site ID (from DATIM)]],"[Measures].[TI]")</f>
        <v/>
      </c>
      <c r="AK211" s="67" t="str" vm="3963">
        <f>CUBEVALUE(ConnectionString,ReportMonth,Table1[[#This Row],[Site ID (from DATIM)]],"[Measures].[TO]")</f>
        <v/>
      </c>
      <c r="AL211" s="67" t="str" vm="3867">
        <f>CUBEVALUE(ConnectionString,ReportMonth,Table1[[#This Row],[Site ID (from DATIM)]],"[Measures].[DIED]")</f>
        <v/>
      </c>
      <c r="AM211" s="67" t="str" vm="4540">
        <f>CUBEVALUE(ConnectionString,ReportMonth,Table1[[#This Row],[Site ID (from DATIM)]],"[Measures].[MMS_01_31]")</f>
        <v/>
      </c>
      <c r="AN211" s="67" t="str" vm="6960">
        <f>CUBEVALUE(ConnectionString,ReportMonth,Table1[[#This Row],[Site ID (from DATIM)]],"[Measures].[MMS_32_62]")</f>
        <v/>
      </c>
      <c r="AO211" s="67" t="str" vm="5043">
        <f>CUBEVALUE(ConnectionString,ReportMonth,Table1[[#This Row],[Site ID (from DATIM)]],"[Measures].[MMS_63+]")</f>
        <v/>
      </c>
      <c r="AP211" s="67" t="str" vm="7462">
        <f>CUBEVALUE(ConnectionString,ReportMonth,Table1[[#This Row],[Site ID (from DATIM)]],"[Measures].[TBPREV_D]")</f>
        <v/>
      </c>
      <c r="AQ211" s="67" t="str" vm="4606">
        <f>CUBEVALUE(ConnectionString,ReportMonth,Table1[[#This Row],[Site ID (from DATIM)]],"[Measures].[TBPREV_N]")</f>
        <v/>
      </c>
      <c r="AR211" s="67" t="str" vm="6907">
        <f>CUBEVALUE(ConnectionString,ReportMonth,Table1[[#This Row],[Site ID (from DATIM)]],"[Measures].[TBPREV_NEW]")</f>
        <v/>
      </c>
      <c r="AS211" s="67" t="str" vm="5488">
        <f>CUBEVALUE(ConnectionString,ReportMonth,Table1[[#This Row],[Site ID (from DATIM)]],"[Measures].[HVL_ELIG_P]")</f>
        <v/>
      </c>
      <c r="AT211" s="67" t="str" vm="7580">
        <f>CUBEVALUE(ConnectionString,ReportMonth,Table1[[#This Row],[Site ID (from DATIM)]],"[Measures].[HVL_D_P]")</f>
        <v/>
      </c>
      <c r="AU211" s="67" t="str" vm="9890">
        <f>CUBEVALUE(ConnectionString,ReportMonth,Table1[[#This Row],[Site ID (from DATIM)]],"[Measures].[HVL_N_P]")</f>
        <v/>
      </c>
      <c r="AV211" s="68" t="str" vm="10151">
        <f>CUBEVALUE(ConnectionString,ReportMonth,Table1[[#This Row],[Site ID (from DATIM)]],"[Measures].[HVL_ELIG_A]")</f>
        <v/>
      </c>
      <c r="AW211" s="68" t="str" vm="9074">
        <f>CUBEVALUE(ConnectionString,ReportMonth,Table1[[#This Row],[Site ID (from DATIM)]],"[Measures].[HVL_D_A]")</f>
        <v/>
      </c>
      <c r="AX211" s="68" t="str" vm="9190">
        <f>CUBEVALUE(ConnectionString,ReportMonth,Table1[[#This Row],[Site ID (from DATIM)]],"[Measures].[HVL_N_A]")</f>
        <v/>
      </c>
      <c r="AY211" s="67"/>
      <c r="AZ211" s="67"/>
      <c r="BA211" s="67"/>
      <c r="BB211" s="67"/>
      <c r="BC211" s="67"/>
      <c r="BD211" s="67"/>
      <c r="BE211" s="67"/>
      <c r="BF211" s="67"/>
      <c r="BG211" s="67" t="str" vm="10372">
        <f>CUBEVALUE(ConnectionString,ReportMonth,Table1[[#This Row],[Site ID (from DATIM)]],"[Measures].[TX_NEW_F_A]")</f>
        <v/>
      </c>
      <c r="BH211" s="67" t="str" vm="12954">
        <f>CUBEVALUE(ConnectionString,ReportMonth,Table1[[#This Row],[Site ID (from DATIM)]],"[Measures].[TX_NEW_M_A]")</f>
        <v/>
      </c>
      <c r="BI211" s="67" t="str" vm="13191">
        <f>CUBEVALUE(ConnectionString,ReportMonth,Table1[[#This Row],[Site ID (from DATIM)]],"[Measures].[TX_NEW_F_P]")</f>
        <v/>
      </c>
      <c r="BJ211" s="68" t="str" vm="16157">
        <f>CUBEVALUE(ConnectionString,ReportMonth,Table1[[#This Row],[Site ID (from DATIM)]],"[Measures].[TX_NEW_M_P]")</f>
        <v/>
      </c>
      <c r="BK211" s="68"/>
      <c r="BL211" s="68"/>
      <c r="BM211" s="68"/>
      <c r="BN211" s="68"/>
      <c r="BO211" s="68"/>
      <c r="BP211" s="68"/>
      <c r="BQ211" s="68" t="str" vm="9713">
        <f>CUBEVALUE(ConnectionString,ReportMonth,Table1[[#This Row],[Site ID (from DATIM)]],"[Measures].[TX_CURR_F_P]")</f>
        <v/>
      </c>
      <c r="BR211" s="68" t="str" vm="9206">
        <f>CUBEVALUE(ConnectionString,ReportMonth,Table1[[#This Row],[Site ID (from DATIM)]],"[Measures].[TX_CURR_M_P]")</f>
        <v/>
      </c>
      <c r="BS211" s="68" t="str" vm="10464">
        <f>CUBEVALUE(ConnectionString,ReportMonth,Table1[[#This Row],[Site ID (from DATIM)]],"[Measures].[TX_CURR_F_A]")</f>
        <v/>
      </c>
      <c r="BT211" s="68" t="str" vm="10558">
        <f>CUBEVALUE(ConnectionString,ReportMonth,Table1[[#This Row],[Site ID (from DATIM)]],"[Measures].[TX_CURR_M_A]")</f>
        <v/>
      </c>
      <c r="BU211" s="68" t="str" vm="19252">
        <f>CUBEVALUE(ConnectionString,ReportMonth,Table1[[#This Row],[Site ID (from DATIM)]],"[Measures].[MMS_01_89_F_P]")</f>
        <v/>
      </c>
      <c r="BV211" s="68" t="str" vm="20029">
        <f>CUBEVALUE(ConnectionString,ReportMonth,Table1[[#This Row],[Site ID (from DATIM)]],"[Measures].[MMS_01_89_M_P]")</f>
        <v/>
      </c>
      <c r="BW211" s="68" t="str" vm="19998">
        <f>CUBEVALUE(ConnectionString,ReportMonth,Table1[[#This Row],[Site ID (from DATIM)]],"[Measures].[MMS_01_89_F_A]")</f>
        <v/>
      </c>
      <c r="BX211" s="68" t="str" vm="17779">
        <f>CUBEVALUE(ConnectionString,ReportMonth,Table1[[#This Row],[Site ID (from DATIM)]],"[Measures].[MMS_01_89_M_A]")</f>
        <v/>
      </c>
      <c r="BY211" s="68" t="str" vm="18832">
        <f>CUBEVALUE(ConnectionString,ReportMonth,Table1[[#This Row],[Site ID (from DATIM)]],"[Measures].[MMS_90_179_F_P]")</f>
        <v/>
      </c>
      <c r="BZ211" s="68" t="str" vm="18165">
        <f>CUBEVALUE(ConnectionString,ReportMonth,Table1[[#This Row],[Site ID (from DATIM)]],"[Measures].[MMS_90_179_M_P]")</f>
        <v/>
      </c>
      <c r="CA211" s="68" t="str" vm="17301">
        <f>CUBEVALUE(ConnectionString,ReportMonth,Table1[[#This Row],[Site ID (from DATIM)]],"[Measures].[MMS_90_179_F_A]")</f>
        <v/>
      </c>
      <c r="CB211" s="68" t="str" vm="14580">
        <f>CUBEVALUE(ConnectionString,ReportMonth,Table1[[#This Row],[Site ID (from DATIM)]],"[Measures].[MMS_90_179_M_A]")</f>
        <v/>
      </c>
      <c r="CC211" s="68" t="str" vm="15054">
        <f>CUBEVALUE(ConnectionString,ReportMonth,Table1[[#This Row],[Site ID (from DATIM)]],"[Measures].[MMS_180+_F_P]")</f>
        <v/>
      </c>
      <c r="CD211" s="68" t="str" vm="15777">
        <f>CUBEVALUE(ConnectionString,ReportMonth,Table1[[#This Row],[Site ID (from DATIM)]],"[Measures].[MMS_180+_M_P]")</f>
        <v/>
      </c>
      <c r="CE211" s="68" t="str" vm="14974">
        <f>CUBEVALUE(ConnectionString,ReportMonth,Table1[[#This Row],[Site ID (from DATIM)]],"[Measures].[MMS_180+_F_A]")</f>
        <v/>
      </c>
      <c r="CF211" s="68" t="str" vm="149">
        <f>CUBEVALUE(ConnectionString,ReportMonth,Table1[[#This Row],[Site ID (from DATIM)]],"[Measures].[MMS_180+_M_A]")</f>
        <v/>
      </c>
      <c r="CG211" s="68" t="str" vm="5134">
        <f>CUBEVALUE(ConnectionString,ReportMonth,Table1[[#This Row],[Site ID (from DATIM)]],"[Measures].[MISSEDAPP]")</f>
        <v/>
      </c>
      <c r="CH211" s="68" t="str" vm="13278">
        <f>CUBEVALUE(ConnectionString,ReportMonth,Table1[[#This Row],[Site ID (from DATIM)]],"[Measures].[MMS_180+_P]")</f>
        <v/>
      </c>
      <c r="CI211" s="68" t="str" vm="10996">
        <f>CUBEVALUE(ConnectionString,ReportMonth,Table1[[#This Row],[Site ID (from DATIM)]],"[Measures].[MMS_180+_A]")</f>
        <v/>
      </c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</row>
    <row r="212" spans="1:107" x14ac:dyDescent="0.25">
      <c r="A212" s="66">
        <v>4</v>
      </c>
      <c r="B212" s="67" t="str" vm="4">
        <f t="shared" si="4"/>
        <v>Mar-2021</v>
      </c>
      <c r="C212" s="67"/>
      <c r="D212" s="67" t="s">
        <v>232</v>
      </c>
      <c r="E212" s="67" t="s">
        <v>233</v>
      </c>
      <c r="F212" s="67" t="s">
        <v>437</v>
      </c>
      <c r="G212" s="67"/>
      <c r="H212" s="67" t="s">
        <v>488</v>
      </c>
      <c r="I212" s="67" t="s">
        <v>634</v>
      </c>
      <c r="J212" s="67" t="s">
        <v>635</v>
      </c>
      <c r="K212" s="67" t="s">
        <v>636</v>
      </c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 t="str" vm="1024">
        <f>CUBEVALUE(ConnectionString,ReportMonth,Table1[[#This Row],[Site ID (from DATIM)]],"TX_NEW_2VIS")</f>
        <v/>
      </c>
      <c r="AE212" s="67" t="str" vm="1117">
        <f>CUBEVALUE(ConnectionString,ReportMonth,Table1[[#This Row],[Site ID (from DATIM)]],INDEX(SDI_Measures,1))</f>
        <v/>
      </c>
      <c r="AF212" s="67" t="str" vm="2589">
        <f>CUBEVALUE(ConnectionString,ReportMonth,Table1[[#This Row],[Site ID (from DATIM)]],INDEX(SDI_Measures,2))</f>
        <v/>
      </c>
      <c r="AG212" s="67" t="str" vm="784">
        <f>CUBEVALUE(ConnectionString,ReportMonth,Table1[[#This Row],[Site ID (from DATIM)]],INDEX(SDI_Measures,3))</f>
        <v/>
      </c>
      <c r="AH212" s="67" t="str" vm="2746">
        <f>CUBEVALUE(ConnectionString,ReportMonth,Table1[[#This Row],[Site ID (from DATIM)]],"TX_CURR_PRIOR_MONTH")</f>
        <v/>
      </c>
      <c r="AI212" s="67" t="str" vm="1273">
        <f>CUBEVALUE(ConnectionString,ReportMonth,Table1[[#This Row],[Site ID (from DATIM)]],"TX_CURR")</f>
        <v/>
      </c>
      <c r="AJ212" s="67" t="str" vm="3403">
        <f>CUBEVALUE(ConnectionString,ReportMonth,Table1[[#This Row],[Site ID (from DATIM)]],"[Measures].[TI]")</f>
        <v/>
      </c>
      <c r="AK212" s="67" t="str" vm="1848">
        <f>CUBEVALUE(ConnectionString,ReportMonth,Table1[[#This Row],[Site ID (from DATIM)]],"[Measures].[TO]")</f>
        <v/>
      </c>
      <c r="AL212" s="67" t="str" vm="4533">
        <f>CUBEVALUE(ConnectionString,ReportMonth,Table1[[#This Row],[Site ID (from DATIM)]],"[Measures].[DIED]")</f>
        <v/>
      </c>
      <c r="AM212" s="67" t="str" vm="4026">
        <f>CUBEVALUE(ConnectionString,ReportMonth,Table1[[#This Row],[Site ID (from DATIM)]],"[Measures].[MMS_01_31]")</f>
        <v/>
      </c>
      <c r="AN212" s="67" t="str" vm="5793">
        <f>CUBEVALUE(ConnectionString,ReportMonth,Table1[[#This Row],[Site ID (from DATIM)]],"[Measures].[MMS_32_62]")</f>
        <v/>
      </c>
      <c r="AO212" s="67" t="str" vm="5451">
        <f>CUBEVALUE(ConnectionString,ReportMonth,Table1[[#This Row],[Site ID (from DATIM)]],"[Measures].[MMS_63+]")</f>
        <v/>
      </c>
      <c r="AP212" s="67" t="str" vm="5802">
        <f>CUBEVALUE(ConnectionString,ReportMonth,Table1[[#This Row],[Site ID (from DATIM)]],"[Measures].[TBPREV_D]")</f>
        <v/>
      </c>
      <c r="AQ212" s="67" t="str" vm="7091">
        <f>CUBEVALUE(ConnectionString,ReportMonth,Table1[[#This Row],[Site ID (from DATIM)]],"[Measures].[TBPREV_N]")</f>
        <v/>
      </c>
      <c r="AR212" s="67" t="str" vm="6522">
        <f>CUBEVALUE(ConnectionString,ReportMonth,Table1[[#This Row],[Site ID (from DATIM)]],"[Measures].[TBPREV_NEW]")</f>
        <v/>
      </c>
      <c r="AS212" s="67" t="str" vm="7443">
        <f>CUBEVALUE(ConnectionString,ReportMonth,Table1[[#This Row],[Site ID (from DATIM)]],"[Measures].[HVL_ELIG_P]")</f>
        <v/>
      </c>
      <c r="AT212" s="67" t="str" vm="6267">
        <f>CUBEVALUE(ConnectionString,ReportMonth,Table1[[#This Row],[Site ID (from DATIM)]],"[Measures].[HVL_D_P]")</f>
        <v/>
      </c>
      <c r="AU212" s="67" t="str" vm="11848">
        <f>CUBEVALUE(ConnectionString,ReportMonth,Table1[[#This Row],[Site ID (from DATIM)]],"[Measures].[HVL_N_P]")</f>
        <v/>
      </c>
      <c r="AV212" s="68" t="str" vm="8952">
        <f>CUBEVALUE(ConnectionString,ReportMonth,Table1[[#This Row],[Site ID (from DATIM)]],"[Measures].[HVL_ELIG_A]")</f>
        <v/>
      </c>
      <c r="AW212" s="68" t="str" vm="8169">
        <f>CUBEVALUE(ConnectionString,ReportMonth,Table1[[#This Row],[Site ID (from DATIM)]],"[Measures].[HVL_D_A]")</f>
        <v/>
      </c>
      <c r="AX212" s="68" t="str" vm="13385">
        <f>CUBEVALUE(ConnectionString,ReportMonth,Table1[[#This Row],[Site ID (from DATIM)]],"[Measures].[HVL_N_A]")</f>
        <v/>
      </c>
      <c r="AY212" s="67"/>
      <c r="AZ212" s="67"/>
      <c r="BA212" s="67"/>
      <c r="BB212" s="67"/>
      <c r="BC212" s="67"/>
      <c r="BD212" s="67"/>
      <c r="BE212" s="67"/>
      <c r="BF212" s="67"/>
      <c r="BG212" s="67" t="str" vm="11906">
        <f>CUBEVALUE(ConnectionString,ReportMonth,Table1[[#This Row],[Site ID (from DATIM)]],"[Measures].[TX_NEW_F_A]")</f>
        <v/>
      </c>
      <c r="BH212" s="67" t="str" vm="13355">
        <f>CUBEVALUE(ConnectionString,ReportMonth,Table1[[#This Row],[Site ID (from DATIM)]],"[Measures].[TX_NEW_M_A]")</f>
        <v/>
      </c>
      <c r="BI212" s="67" t="str" vm="14272">
        <f>CUBEVALUE(ConnectionString,ReportMonth,Table1[[#This Row],[Site ID (from DATIM)]],"[Measures].[TX_NEW_F_P]")</f>
        <v/>
      </c>
      <c r="BJ212" s="68" t="str" vm="14215">
        <f>CUBEVALUE(ConnectionString,ReportMonth,Table1[[#This Row],[Site ID (from DATIM)]],"[Measures].[TX_NEW_M_P]")</f>
        <v/>
      </c>
      <c r="BK212" s="68"/>
      <c r="BL212" s="68"/>
      <c r="BM212" s="68"/>
      <c r="BN212" s="68"/>
      <c r="BO212" s="68"/>
      <c r="BP212" s="68"/>
      <c r="BQ212" s="68" t="str" vm="10994">
        <f>CUBEVALUE(ConnectionString,ReportMonth,Table1[[#This Row],[Site ID (from DATIM)]],"[Measures].[TX_CURR_F_P]")</f>
        <v/>
      </c>
      <c r="BR212" s="68" t="str" vm="8644">
        <f>CUBEVALUE(ConnectionString,ReportMonth,Table1[[#This Row],[Site ID (from DATIM)]],"[Measures].[TX_CURR_M_P]")</f>
        <v/>
      </c>
      <c r="BS212" s="68" t="str" vm="8094">
        <f>CUBEVALUE(ConnectionString,ReportMonth,Table1[[#This Row],[Site ID (from DATIM)]],"[Measures].[TX_CURR_F_A]")</f>
        <v/>
      </c>
      <c r="BT212" s="68" t="str" vm="13370">
        <f>CUBEVALUE(ConnectionString,ReportMonth,Table1[[#This Row],[Site ID (from DATIM)]],"[Measures].[TX_CURR_M_A]")</f>
        <v/>
      </c>
      <c r="BU212" s="68" t="str" vm="20153">
        <f>CUBEVALUE(ConnectionString,ReportMonth,Table1[[#This Row],[Site ID (from DATIM)]],"[Measures].[MMS_01_89_F_P]")</f>
        <v/>
      </c>
      <c r="BV212" s="68" t="str" vm="19028">
        <f>CUBEVALUE(ConnectionString,ReportMonth,Table1[[#This Row],[Site ID (from DATIM)]],"[Measures].[MMS_01_89_M_P]")</f>
        <v/>
      </c>
      <c r="BW212" s="68" t="str" vm="20013">
        <f>CUBEVALUE(ConnectionString,ReportMonth,Table1[[#This Row],[Site ID (from DATIM)]],"[Measures].[MMS_01_89_F_A]")</f>
        <v/>
      </c>
      <c r="BX212" s="68" t="str" vm="17828">
        <f>CUBEVALUE(ConnectionString,ReportMonth,Table1[[#This Row],[Site ID (from DATIM)]],"[Measures].[MMS_01_89_M_A]")</f>
        <v/>
      </c>
      <c r="BY212" s="68" t="str" vm="17790">
        <f>CUBEVALUE(ConnectionString,ReportMonth,Table1[[#This Row],[Site ID (from DATIM)]],"[Measures].[MMS_90_179_F_P]")</f>
        <v/>
      </c>
      <c r="BZ212" s="68" t="str" vm="14756">
        <f>CUBEVALUE(ConnectionString,ReportMonth,Table1[[#This Row],[Site ID (from DATIM)]],"[Measures].[MMS_90_179_M_P]")</f>
        <v/>
      </c>
      <c r="CA212" s="68" t="str" vm="15606">
        <f>CUBEVALUE(ConnectionString,ReportMonth,Table1[[#This Row],[Site ID (from DATIM)]],"[Measures].[MMS_90_179_F_A]")</f>
        <v/>
      </c>
      <c r="CB212" s="68" t="str" vm="14655">
        <f>CUBEVALUE(ConnectionString,ReportMonth,Table1[[#This Row],[Site ID (from DATIM)]],"[Measures].[MMS_90_179_M_A]")</f>
        <v/>
      </c>
      <c r="CC212" s="68" t="str" vm="15877">
        <f>CUBEVALUE(ConnectionString,ReportMonth,Table1[[#This Row],[Site ID (from DATIM)]],"[Measures].[MMS_180+_F_P]")</f>
        <v/>
      </c>
      <c r="CD212" s="68" t="str" vm="15744">
        <f>CUBEVALUE(ConnectionString,ReportMonth,Table1[[#This Row],[Site ID (from DATIM)]],"[Measures].[MMS_180+_M_P]")</f>
        <v/>
      </c>
      <c r="CE212" s="68" t="str" vm="112">
        <f>CUBEVALUE(ConnectionString,ReportMonth,Table1[[#This Row],[Site ID (from DATIM)]],"[Measures].[MMS_180+_F_A]")</f>
        <v/>
      </c>
      <c r="CF212" s="68" t="str" vm="17100">
        <f>CUBEVALUE(ConnectionString,ReportMonth,Table1[[#This Row],[Site ID (from DATIM)]],"[Measures].[MMS_180+_M_A]")</f>
        <v/>
      </c>
      <c r="CG212" s="68" t="str" vm="5697">
        <f>CUBEVALUE(ConnectionString,ReportMonth,Table1[[#This Row],[Site ID (from DATIM)]],"[Measures].[MISSEDAPP]")</f>
        <v/>
      </c>
      <c r="CH212" s="68" t="str" vm="11939">
        <f>CUBEVALUE(ConnectionString,ReportMonth,Table1[[#This Row],[Site ID (from DATIM)]],"[Measures].[MMS_180+_P]")</f>
        <v/>
      </c>
      <c r="CI212" s="68" t="str" vm="11998">
        <f>CUBEVALUE(ConnectionString,ReportMonth,Table1[[#This Row],[Site ID (from DATIM)]],"[Measures].[MMS_180+_A]")</f>
        <v/>
      </c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  <c r="CW212" s="68"/>
      <c r="CX212" s="68"/>
      <c r="CY212" s="68"/>
      <c r="CZ212" s="68"/>
      <c r="DA212" s="68"/>
      <c r="DB212" s="68"/>
      <c r="DC212" s="68"/>
    </row>
    <row r="213" spans="1:107" x14ac:dyDescent="0.25">
      <c r="A213" s="66">
        <v>4</v>
      </c>
      <c r="B213" s="67" t="str" vm="4">
        <f t="shared" si="4"/>
        <v>Mar-2021</v>
      </c>
      <c r="C213" s="67"/>
      <c r="D213" s="67" t="s">
        <v>232</v>
      </c>
      <c r="E213" s="67" t="s">
        <v>233</v>
      </c>
      <c r="F213" s="67" t="s">
        <v>234</v>
      </c>
      <c r="G213" s="67"/>
      <c r="H213" s="67" t="s">
        <v>249</v>
      </c>
      <c r="I213" s="67" t="s">
        <v>314</v>
      </c>
      <c r="J213" s="67" t="s">
        <v>315</v>
      </c>
      <c r="K213" s="67" t="s">
        <v>316</v>
      </c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 t="str" vm="2186">
        <f>CUBEVALUE(ConnectionString,ReportMonth,Table1[[#This Row],[Site ID (from DATIM)]],"TX_NEW_2VIS")</f>
        <v/>
      </c>
      <c r="AE213" s="67" t="str" vm="3618">
        <f>CUBEVALUE(ConnectionString,ReportMonth,Table1[[#This Row],[Site ID (from DATIM)]],INDEX(SDI_Measures,1))</f>
        <v/>
      </c>
      <c r="AF213" s="67" t="str" vm="494">
        <f>CUBEVALUE(ConnectionString,ReportMonth,Table1[[#This Row],[Site ID (from DATIM)]],INDEX(SDI_Measures,2))</f>
        <v/>
      </c>
      <c r="AG213" s="67" t="str" vm="569">
        <f>CUBEVALUE(ConnectionString,ReportMonth,Table1[[#This Row],[Site ID (from DATIM)]],INDEX(SDI_Measures,3))</f>
        <v/>
      </c>
      <c r="AH213" s="67" vm="7148">
        <f>CUBEVALUE(ConnectionString,ReportMonth,Table1[[#This Row],[Site ID (from DATIM)]],"TX_CURR_PRIOR_MONTH")</f>
        <v>52</v>
      </c>
      <c r="AI213" s="67" vm="3208">
        <f>CUBEVALUE(ConnectionString,ReportMonth,Table1[[#This Row],[Site ID (from DATIM)]],"TX_CURR")</f>
        <v>50</v>
      </c>
      <c r="AJ213" s="67" t="str" vm="3851">
        <f>CUBEVALUE(ConnectionString,ReportMonth,Table1[[#This Row],[Site ID (from DATIM)]],"[Measures].[TI]")</f>
        <v/>
      </c>
      <c r="AK213" s="67" t="str" vm="1616">
        <f>CUBEVALUE(ConnectionString,ReportMonth,Table1[[#This Row],[Site ID (from DATIM)]],"[Measures].[TO]")</f>
        <v/>
      </c>
      <c r="AL213" s="67" t="str" vm="3091">
        <f>CUBEVALUE(ConnectionString,ReportMonth,Table1[[#This Row],[Site ID (from DATIM)]],"[Measures].[DIED]")</f>
        <v/>
      </c>
      <c r="AM213" s="67" vm="7755">
        <f>CUBEVALUE(ConnectionString,ReportMonth,Table1[[#This Row],[Site ID (from DATIM)]],"[Measures].[MMS_01_31]")</f>
        <v>13</v>
      </c>
      <c r="AN213" s="67" vm="5007">
        <f>CUBEVALUE(ConnectionString,ReportMonth,Table1[[#This Row],[Site ID (from DATIM)]],"[Measures].[MMS_32_62]")</f>
        <v>1</v>
      </c>
      <c r="AO213" s="67" vm="6876">
        <f>CUBEVALUE(ConnectionString,ReportMonth,Table1[[#This Row],[Site ID (from DATIM)]],"[Measures].[MMS_63+]")</f>
        <v>36</v>
      </c>
      <c r="AP213" s="67" vm="6539">
        <f>CUBEVALUE(ConnectionString,ReportMonth,Table1[[#This Row],[Site ID (from DATIM)]],"[Measures].[TBPREV_D]")</f>
        <v>1</v>
      </c>
      <c r="AQ213" s="67" t="str" vm="6647">
        <f>CUBEVALUE(ConnectionString,ReportMonth,Table1[[#This Row],[Site ID (from DATIM)]],"[Measures].[TBPREV_N]")</f>
        <v/>
      </c>
      <c r="AR213" s="67" t="str" vm="5795">
        <f>CUBEVALUE(ConnectionString,ReportMonth,Table1[[#This Row],[Site ID (from DATIM)]],"[Measures].[TBPREV_NEW]")</f>
        <v/>
      </c>
      <c r="AS213" s="67" vm="9279">
        <f>CUBEVALUE(ConnectionString,ReportMonth,Table1[[#This Row],[Site ID (from DATIM)]],"[Measures].[HVL_ELIG_P]")</f>
        <v>1</v>
      </c>
      <c r="AT213" s="67" vm="7637">
        <f>CUBEVALUE(ConnectionString,ReportMonth,Table1[[#This Row],[Site ID (from DATIM)]],"[Measures].[HVL_D_P]")</f>
        <v>2</v>
      </c>
      <c r="AU213" s="67" vm="11377">
        <f>CUBEVALUE(ConnectionString,ReportMonth,Table1[[#This Row],[Site ID (from DATIM)]],"[Measures].[HVL_N_P]")</f>
        <v>1</v>
      </c>
      <c r="AV213" s="68" vm="14102">
        <f>CUBEVALUE(ConnectionString,ReportMonth,Table1[[#This Row],[Site ID (from DATIM)]],"[Measures].[HVL_ELIG_A]")</f>
        <v>45</v>
      </c>
      <c r="AW213" s="68" vm="11552">
        <f>CUBEVALUE(ConnectionString,ReportMonth,Table1[[#This Row],[Site ID (from DATIM)]],"[Measures].[HVL_D_A]")</f>
        <v>27</v>
      </c>
      <c r="AX213" s="68" vm="9971">
        <f>CUBEVALUE(ConnectionString,ReportMonth,Table1[[#This Row],[Site ID (from DATIM)]],"[Measures].[HVL_N_A]")</f>
        <v>24</v>
      </c>
      <c r="AY213" s="67"/>
      <c r="AZ213" s="67"/>
      <c r="BA213" s="67"/>
      <c r="BB213" s="67"/>
      <c r="BC213" s="67"/>
      <c r="BD213" s="67"/>
      <c r="BE213" s="67"/>
      <c r="BF213" s="67"/>
      <c r="BG213" s="67" t="str" vm="13940">
        <f>CUBEVALUE(ConnectionString,ReportMonth,Table1[[#This Row],[Site ID (from DATIM)]],"[Measures].[TX_NEW_F_A]")</f>
        <v/>
      </c>
      <c r="BH213" s="67" t="str" vm="12952">
        <f>CUBEVALUE(ConnectionString,ReportMonth,Table1[[#This Row],[Site ID (from DATIM)]],"[Measures].[TX_NEW_M_A]")</f>
        <v/>
      </c>
      <c r="BI213" s="67" t="str" vm="13122">
        <f>CUBEVALUE(ConnectionString,ReportMonth,Table1[[#This Row],[Site ID (from DATIM)]],"[Measures].[TX_NEW_F_P]")</f>
        <v/>
      </c>
      <c r="BJ213" s="68" t="str" vm="14359">
        <f>CUBEVALUE(ConnectionString,ReportMonth,Table1[[#This Row],[Site ID (from DATIM)]],"[Measures].[TX_NEW_M_P]")</f>
        <v/>
      </c>
      <c r="BK213" s="68"/>
      <c r="BL213" s="68"/>
      <c r="BM213" s="68"/>
      <c r="BN213" s="68"/>
      <c r="BO213" s="68"/>
      <c r="BP213" s="68"/>
      <c r="BQ213" s="68" vm="8209">
        <f>CUBEVALUE(ConnectionString,ReportMonth,Table1[[#This Row],[Site ID (from DATIM)]],"[Measures].[TX_CURR_F_P]")</f>
        <v>1</v>
      </c>
      <c r="BR213" s="68" t="str" vm="11548">
        <f>CUBEVALUE(ConnectionString,ReportMonth,Table1[[#This Row],[Site ID (from DATIM)]],"[Measures].[TX_CURR_M_P]")</f>
        <v/>
      </c>
      <c r="BS213" s="68" vm="8722">
        <f>CUBEVALUE(ConnectionString,ReportMonth,Table1[[#This Row],[Site ID (from DATIM)]],"[Measures].[TX_CURR_F_A]")</f>
        <v>30</v>
      </c>
      <c r="BT213" s="68" vm="13485">
        <f>CUBEVALUE(ConnectionString,ReportMonth,Table1[[#This Row],[Site ID (from DATIM)]],"[Measures].[TX_CURR_M_A]")</f>
        <v>19</v>
      </c>
      <c r="BU213" s="68" vm="20156">
        <f>CUBEVALUE(ConnectionString,ReportMonth,Table1[[#This Row],[Site ID (from DATIM)]],"[Measures].[MMS_01_89_F_P]")</f>
        <v>1</v>
      </c>
      <c r="BV213" s="68" t="str" vm="19274">
        <f>CUBEVALUE(ConnectionString,ReportMonth,Table1[[#This Row],[Site ID (from DATIM)]],"[Measures].[MMS_01_89_M_P]")</f>
        <v/>
      </c>
      <c r="BW213" s="68" vm="17796">
        <f>CUBEVALUE(ConnectionString,ReportMonth,Table1[[#This Row],[Site ID (from DATIM)]],"[Measures].[MMS_01_89_F_A]")</f>
        <v>9</v>
      </c>
      <c r="BX213" s="68" vm="19969">
        <f>CUBEVALUE(ConnectionString,ReportMonth,Table1[[#This Row],[Site ID (from DATIM)]],"[Measures].[MMS_01_89_M_A]")</f>
        <v>4</v>
      </c>
      <c r="BY213" s="68" t="str" vm="18460">
        <f>CUBEVALUE(ConnectionString,ReportMonth,Table1[[#This Row],[Site ID (from DATIM)]],"[Measures].[MMS_90_179_F_P]")</f>
        <v/>
      </c>
      <c r="BZ213" s="68" t="str" vm="16939">
        <f>CUBEVALUE(ConnectionString,ReportMonth,Table1[[#This Row],[Site ID (from DATIM)]],"[Measures].[MMS_90_179_M_P]")</f>
        <v/>
      </c>
      <c r="CA213" s="68" vm="16014">
        <f>CUBEVALUE(ConnectionString,ReportMonth,Table1[[#This Row],[Site ID (from DATIM)]],"[Measures].[MMS_90_179_F_A]")</f>
        <v>21</v>
      </c>
      <c r="CB213" s="68" vm="15941">
        <f>CUBEVALUE(ConnectionString,ReportMonth,Table1[[#This Row],[Site ID (from DATIM)]],"[Measures].[MMS_90_179_M_A]")</f>
        <v>14</v>
      </c>
      <c r="CC213" s="68" t="str" vm="15460">
        <f>CUBEVALUE(ConnectionString,ReportMonth,Table1[[#This Row],[Site ID (from DATIM)]],"[Measures].[MMS_180+_F_P]")</f>
        <v/>
      </c>
      <c r="CD213" s="68" t="str" vm="16676">
        <f>CUBEVALUE(ConnectionString,ReportMonth,Table1[[#This Row],[Site ID (from DATIM)]],"[Measures].[MMS_180+_M_P]")</f>
        <v/>
      </c>
      <c r="CE213" s="68" t="str" vm="204">
        <f>CUBEVALUE(ConnectionString,ReportMonth,Table1[[#This Row],[Site ID (from DATIM)]],"[Measures].[MMS_180+_F_A]")</f>
        <v/>
      </c>
      <c r="CF213" s="68" vm="20220">
        <f>CUBEVALUE(ConnectionString,ReportMonth,Table1[[#This Row],[Site ID (from DATIM)]],"[Measures].[MMS_180+_M_A]")</f>
        <v>1</v>
      </c>
      <c r="CG213" s="68" vm="10277">
        <f>CUBEVALUE(ConnectionString,ReportMonth,Table1[[#This Row],[Site ID (from DATIM)]],"[Measures].[MISSEDAPP]")</f>
        <v>24</v>
      </c>
      <c r="CH213" s="68" t="str" vm="11394">
        <f>CUBEVALUE(ConnectionString,ReportMonth,Table1[[#This Row],[Site ID (from DATIM)]],"[Measures].[MMS_180+_P]")</f>
        <v/>
      </c>
      <c r="CI213" s="68" vm="13763">
        <f>CUBEVALUE(ConnectionString,ReportMonth,Table1[[#This Row],[Site ID (from DATIM)]],"[Measures].[MMS_180+_A]")</f>
        <v>1</v>
      </c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  <c r="CW213" s="68"/>
      <c r="CX213" s="68"/>
      <c r="CY213" s="68"/>
      <c r="CZ213" s="68"/>
      <c r="DA213" s="68"/>
      <c r="DB213" s="68"/>
      <c r="DC213" s="68"/>
    </row>
    <row r="214" spans="1:107" x14ac:dyDescent="0.25">
      <c r="A214" s="66">
        <v>3</v>
      </c>
      <c r="B214" s="67" t="str" vm="4">
        <f t="shared" si="4"/>
        <v>Mar-2021</v>
      </c>
      <c r="C214" s="67"/>
      <c r="D214" s="67" t="s">
        <v>232</v>
      </c>
      <c r="E214" s="67" t="s">
        <v>233</v>
      </c>
      <c r="F214" s="67" t="s">
        <v>234</v>
      </c>
      <c r="G214" s="67"/>
      <c r="H214" s="67" t="s">
        <v>305</v>
      </c>
      <c r="I214" s="67" t="s">
        <v>317</v>
      </c>
      <c r="J214" s="67" t="s">
        <v>318</v>
      </c>
      <c r="K214" s="67" t="s">
        <v>319</v>
      </c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 t="str" vm="2836">
        <f>CUBEVALUE(ConnectionString,ReportMonth,Table1[[#This Row],[Site ID (from DATIM)]],"TX_NEW_2VIS")</f>
        <v/>
      </c>
      <c r="AE214" s="67" t="str" vm="6119">
        <f>CUBEVALUE(ConnectionString,ReportMonth,Table1[[#This Row],[Site ID (from DATIM)]],INDEX(SDI_Measures,1))</f>
        <v/>
      </c>
      <c r="AF214" s="67" t="str" vm="1755">
        <f>CUBEVALUE(ConnectionString,ReportMonth,Table1[[#This Row],[Site ID (from DATIM)]],INDEX(SDI_Measures,2))</f>
        <v/>
      </c>
      <c r="AG214" s="67" vm="1203">
        <f>CUBEVALUE(ConnectionString,ReportMonth,Table1[[#This Row],[Site ID (from DATIM)]],INDEX(SDI_Measures,3))</f>
        <v>1</v>
      </c>
      <c r="AH214" s="67" vm="1240">
        <f>CUBEVALUE(ConnectionString,ReportMonth,Table1[[#This Row],[Site ID (from DATIM)]],"TX_CURR_PRIOR_MONTH")</f>
        <v>85</v>
      </c>
      <c r="AI214" s="67" vm="1342">
        <f>CUBEVALUE(ConnectionString,ReportMonth,Table1[[#This Row],[Site ID (from DATIM)]],"TX_CURR")</f>
        <v>79</v>
      </c>
      <c r="AJ214" s="67" t="str" vm="2602">
        <f>CUBEVALUE(ConnectionString,ReportMonth,Table1[[#This Row],[Site ID (from DATIM)]],"[Measures].[TI]")</f>
        <v/>
      </c>
      <c r="AK214" s="67" t="str" vm="1880">
        <f>CUBEVALUE(ConnectionString,ReportMonth,Table1[[#This Row],[Site ID (from DATIM)]],"[Measures].[TO]")</f>
        <v/>
      </c>
      <c r="AL214" s="67" t="str" vm="3488">
        <f>CUBEVALUE(ConnectionString,ReportMonth,Table1[[#This Row],[Site ID (from DATIM)]],"[Measures].[DIED]")</f>
        <v/>
      </c>
      <c r="AM214" s="67" vm="9334">
        <f>CUBEVALUE(ConnectionString,ReportMonth,Table1[[#This Row],[Site ID (from DATIM)]],"[Measures].[MMS_01_31]")</f>
        <v>19</v>
      </c>
      <c r="AN214" s="67" vm="6123">
        <f>CUBEVALUE(ConnectionString,ReportMonth,Table1[[#This Row],[Site ID (from DATIM)]],"[Measures].[MMS_32_62]")</f>
        <v>10</v>
      </c>
      <c r="AO214" s="67" vm="6149">
        <f>CUBEVALUE(ConnectionString,ReportMonth,Table1[[#This Row],[Site ID (from DATIM)]],"[Measures].[MMS_63+]")</f>
        <v>50</v>
      </c>
      <c r="AP214" s="67" vm="7872">
        <f>CUBEVALUE(ConnectionString,ReportMonth,Table1[[#This Row],[Site ID (from DATIM)]],"[Measures].[TBPREV_D]")</f>
        <v>2</v>
      </c>
      <c r="AQ214" s="67" vm="7859">
        <f>CUBEVALUE(ConnectionString,ReportMonth,Table1[[#This Row],[Site ID (from DATIM)]],"[Measures].[TBPREV_N]")</f>
        <v>1</v>
      </c>
      <c r="AR214" s="67" t="str" vm="9170">
        <f>CUBEVALUE(ConnectionString,ReportMonth,Table1[[#This Row],[Site ID (from DATIM)]],"[Measures].[TBPREV_NEW]")</f>
        <v/>
      </c>
      <c r="AS214" s="67" vm="9042">
        <f>CUBEVALUE(ConnectionString,ReportMonth,Table1[[#This Row],[Site ID (from DATIM)]],"[Measures].[HVL_ELIG_P]")</f>
        <v>11</v>
      </c>
      <c r="AT214" s="67" vm="7749">
        <f>CUBEVALUE(ConnectionString,ReportMonth,Table1[[#This Row],[Site ID (from DATIM)]],"[Measures].[HVL_D_P]")</f>
        <v>7</v>
      </c>
      <c r="AU214" s="67" vm="8842">
        <f>CUBEVALUE(ConnectionString,ReportMonth,Table1[[#This Row],[Site ID (from DATIM)]],"[Measures].[HVL_N_P]")</f>
        <v>4</v>
      </c>
      <c r="AV214" s="68" vm="9642">
        <f>CUBEVALUE(ConnectionString,ReportMonth,Table1[[#This Row],[Site ID (from DATIM)]],"[Measures].[HVL_ELIG_A]")</f>
        <v>64</v>
      </c>
      <c r="AW214" s="68" vm="12513">
        <f>CUBEVALUE(ConnectionString,ReportMonth,Table1[[#This Row],[Site ID (from DATIM)]],"[Measures].[HVL_D_A]")</f>
        <v>62</v>
      </c>
      <c r="AX214" s="68" vm="10086">
        <f>CUBEVALUE(ConnectionString,ReportMonth,Table1[[#This Row],[Site ID (from DATIM)]],"[Measures].[HVL_N_A]")</f>
        <v>53</v>
      </c>
      <c r="AY214" s="67"/>
      <c r="AZ214" s="67"/>
      <c r="BA214" s="67"/>
      <c r="BB214" s="67"/>
      <c r="BC214" s="67"/>
      <c r="BD214" s="67"/>
      <c r="BE214" s="67"/>
      <c r="BF214" s="67"/>
      <c r="BG214" s="67" t="str" vm="13187">
        <f>CUBEVALUE(ConnectionString,ReportMonth,Table1[[#This Row],[Site ID (from DATIM)]],"[Measures].[TX_NEW_F_A]")</f>
        <v/>
      </c>
      <c r="BH214" s="67" vm="13064">
        <f>CUBEVALUE(ConnectionString,ReportMonth,Table1[[#This Row],[Site ID (from DATIM)]],"[Measures].[TX_NEW_M_A]")</f>
        <v>1</v>
      </c>
      <c r="BI214" s="67" t="str" vm="15701">
        <f>CUBEVALUE(ConnectionString,ReportMonth,Table1[[#This Row],[Site ID (from DATIM)]],"[Measures].[TX_NEW_F_P]")</f>
        <v/>
      </c>
      <c r="BJ214" s="68" t="str" vm="12326">
        <f>CUBEVALUE(ConnectionString,ReportMonth,Table1[[#This Row],[Site ID (from DATIM)]],"[Measures].[TX_NEW_M_P]")</f>
        <v/>
      </c>
      <c r="BK214" s="68"/>
      <c r="BL214" s="68"/>
      <c r="BM214" s="68"/>
      <c r="BN214" s="68"/>
      <c r="BO214" s="68"/>
      <c r="BP214" s="68"/>
      <c r="BQ214" s="68" vm="10876">
        <f>CUBEVALUE(ConnectionString,ReportMonth,Table1[[#This Row],[Site ID (from DATIM)]],"[Measures].[TX_CURR_F_P]")</f>
        <v>6</v>
      </c>
      <c r="BR214" s="68" vm="10934">
        <f>CUBEVALUE(ConnectionString,ReportMonth,Table1[[#This Row],[Site ID (from DATIM)]],"[Measures].[TX_CURR_M_P]")</f>
        <v>6</v>
      </c>
      <c r="BS214" s="68" vm="11929">
        <f>CUBEVALUE(ConnectionString,ReportMonth,Table1[[#This Row],[Site ID (from DATIM)]],"[Measures].[TX_CURR_F_A]")</f>
        <v>51</v>
      </c>
      <c r="BT214" s="68" vm="11742">
        <f>CUBEVALUE(ConnectionString,ReportMonth,Table1[[#This Row],[Site ID (from DATIM)]],"[Measures].[TX_CURR_M_A]")</f>
        <v>16</v>
      </c>
      <c r="BU214" s="68" vm="18361">
        <f>CUBEVALUE(ConnectionString,ReportMonth,Table1[[#This Row],[Site ID (from DATIM)]],"[Measures].[MMS_01_89_F_P]")</f>
        <v>3</v>
      </c>
      <c r="BV214" s="68" vm="19035">
        <f>CUBEVALUE(ConnectionString,ReportMonth,Table1[[#This Row],[Site ID (from DATIM)]],"[Measures].[MMS_01_89_M_P]")</f>
        <v>3</v>
      </c>
      <c r="BW214" s="68" vm="18030">
        <f>CUBEVALUE(ConnectionString,ReportMonth,Table1[[#This Row],[Site ID (from DATIM)]],"[Measures].[MMS_01_89_F_A]")</f>
        <v>18</v>
      </c>
      <c r="BX214" s="68" vm="19624">
        <f>CUBEVALUE(ConnectionString,ReportMonth,Table1[[#This Row],[Site ID (from DATIM)]],"[Measures].[MMS_01_89_M_A]")</f>
        <v>6</v>
      </c>
      <c r="BY214" s="68" vm="19618">
        <f>CUBEVALUE(ConnectionString,ReportMonth,Table1[[#This Row],[Site ID (from DATIM)]],"[Measures].[MMS_90_179_F_P]")</f>
        <v>3</v>
      </c>
      <c r="BZ214" s="68" vm="16093">
        <f>CUBEVALUE(ConnectionString,ReportMonth,Table1[[#This Row],[Site ID (from DATIM)]],"[Measures].[MMS_90_179_M_P]")</f>
        <v>3</v>
      </c>
      <c r="CA214" s="68" vm="14708">
        <f>CUBEVALUE(ConnectionString,ReportMonth,Table1[[#This Row],[Site ID (from DATIM)]],"[Measures].[MMS_90_179_F_A]")</f>
        <v>33</v>
      </c>
      <c r="CB214" s="68" vm="15884">
        <f>CUBEVALUE(ConnectionString,ReportMonth,Table1[[#This Row],[Site ID (from DATIM)]],"[Measures].[MMS_90_179_M_A]")</f>
        <v>10</v>
      </c>
      <c r="CC214" s="68" t="str" vm="16871">
        <f>CUBEVALUE(ConnectionString,ReportMonth,Table1[[#This Row],[Site ID (from DATIM)]],"[Measures].[MMS_180+_F_P]")</f>
        <v/>
      </c>
      <c r="CD214" s="68" t="str" vm="15501">
        <f>CUBEVALUE(ConnectionString,ReportMonth,Table1[[#This Row],[Site ID (from DATIM)]],"[Measures].[MMS_180+_M_P]")</f>
        <v/>
      </c>
      <c r="CE214" s="68" t="str" vm="16306">
        <f>CUBEVALUE(ConnectionString,ReportMonth,Table1[[#This Row],[Site ID (from DATIM)]],"[Measures].[MMS_180+_F_A]")</f>
        <v/>
      </c>
      <c r="CF214" s="68" t="str" vm="14448">
        <f>CUBEVALUE(ConnectionString,ReportMonth,Table1[[#This Row],[Site ID (from DATIM)]],"[Measures].[MMS_180+_M_A]")</f>
        <v/>
      </c>
      <c r="CG214" s="68" vm="5851">
        <f>CUBEVALUE(ConnectionString,ReportMonth,Table1[[#This Row],[Site ID (from DATIM)]],"[Measures].[MISSEDAPP]")</f>
        <v>32</v>
      </c>
      <c r="CH214" s="68" t="str" vm="11279">
        <f>CUBEVALUE(ConnectionString,ReportMonth,Table1[[#This Row],[Site ID (from DATIM)]],"[Measures].[MMS_180+_P]")</f>
        <v/>
      </c>
      <c r="CI214" s="68" t="str" vm="10960">
        <f>CUBEVALUE(ConnectionString,ReportMonth,Table1[[#This Row],[Site ID (from DATIM)]],"[Measures].[MMS_180+_A]")</f>
        <v/>
      </c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  <c r="CW214" s="68"/>
      <c r="CX214" s="68"/>
      <c r="CY214" s="68"/>
      <c r="CZ214" s="68"/>
      <c r="DA214" s="68"/>
      <c r="DB214" s="68"/>
      <c r="DC214" s="68"/>
    </row>
    <row r="215" spans="1:107" x14ac:dyDescent="0.25">
      <c r="A215" s="66">
        <v>4</v>
      </c>
      <c r="B215" s="67" t="str" vm="4">
        <f t="shared" si="4"/>
        <v>Mar-2021</v>
      </c>
      <c r="C215" s="67"/>
      <c r="D215" s="67" t="s">
        <v>232</v>
      </c>
      <c r="E215" s="67" t="s">
        <v>233</v>
      </c>
      <c r="F215" s="67" t="s">
        <v>1286</v>
      </c>
      <c r="G215" s="67"/>
      <c r="H215" s="67" t="s">
        <v>1291</v>
      </c>
      <c r="I215" s="67" t="s">
        <v>1398</v>
      </c>
      <c r="J215" s="67" t="s">
        <v>1399</v>
      </c>
      <c r="K215" s="67" t="s">
        <v>1400</v>
      </c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 t="str" vm="4346">
        <f>CUBEVALUE(ConnectionString,ReportMonth,Table1[[#This Row],[Site ID (from DATIM)]],"TX_NEW_2VIS")</f>
        <v/>
      </c>
      <c r="AE215" s="67" t="str" vm="380">
        <f>CUBEVALUE(ConnectionString,ReportMonth,Table1[[#This Row],[Site ID (from DATIM)]],INDEX(SDI_Measures,1))</f>
        <v/>
      </c>
      <c r="AF215" s="67" t="str" vm="2231">
        <f>CUBEVALUE(ConnectionString,ReportMonth,Table1[[#This Row],[Site ID (from DATIM)]],INDEX(SDI_Measures,2))</f>
        <v/>
      </c>
      <c r="AG215" s="67" t="str" vm="3115">
        <f>CUBEVALUE(ConnectionString,ReportMonth,Table1[[#This Row],[Site ID (from DATIM)]],INDEX(SDI_Measures,3))</f>
        <v/>
      </c>
      <c r="AH215" s="67" t="str" vm="2010">
        <f>CUBEVALUE(ConnectionString,ReportMonth,Table1[[#This Row],[Site ID (from DATIM)]],"TX_CURR_PRIOR_MONTH")</f>
        <v/>
      </c>
      <c r="AI215" s="67" t="str" vm="2211">
        <f>CUBEVALUE(ConnectionString,ReportMonth,Table1[[#This Row],[Site ID (from DATIM)]],"TX_CURR")</f>
        <v/>
      </c>
      <c r="AJ215" s="67" t="str" vm="2346">
        <f>CUBEVALUE(ConnectionString,ReportMonth,Table1[[#This Row],[Site ID (from DATIM)]],"[Measures].[TI]")</f>
        <v/>
      </c>
      <c r="AK215" s="67" t="str" vm="4450">
        <f>CUBEVALUE(ConnectionString,ReportMonth,Table1[[#This Row],[Site ID (from DATIM)]],"[Measures].[TO]")</f>
        <v/>
      </c>
      <c r="AL215" s="67" t="str" vm="3195">
        <f>CUBEVALUE(ConnectionString,ReportMonth,Table1[[#This Row],[Site ID (from DATIM)]],"[Measures].[DIED]")</f>
        <v/>
      </c>
      <c r="AM215" s="67" t="str" vm="6515">
        <f>CUBEVALUE(ConnectionString,ReportMonth,Table1[[#This Row],[Site ID (from DATIM)]],"[Measures].[MMS_01_31]")</f>
        <v/>
      </c>
      <c r="AN215" s="67" t="str" vm="5733">
        <f>CUBEVALUE(ConnectionString,ReportMonth,Table1[[#This Row],[Site ID (from DATIM)]],"[Measures].[MMS_32_62]")</f>
        <v/>
      </c>
      <c r="AO215" s="67" t="str" vm="6088">
        <f>CUBEVALUE(ConnectionString,ReportMonth,Table1[[#This Row],[Site ID (from DATIM)]],"[Measures].[MMS_63+]")</f>
        <v/>
      </c>
      <c r="AP215" s="67" t="str" vm="7652">
        <f>CUBEVALUE(ConnectionString,ReportMonth,Table1[[#This Row],[Site ID (from DATIM)]],"[Measures].[TBPREV_D]")</f>
        <v/>
      </c>
      <c r="AQ215" s="67" t="str" vm="6482">
        <f>CUBEVALUE(ConnectionString,ReportMonth,Table1[[#This Row],[Site ID (from DATIM)]],"[Measures].[TBPREV_N]")</f>
        <v/>
      </c>
      <c r="AR215" s="67" t="str" vm="4718">
        <f>CUBEVALUE(ConnectionString,ReportMonth,Table1[[#This Row],[Site ID (from DATIM)]],"[Measures].[TBPREV_NEW]")</f>
        <v/>
      </c>
      <c r="AS215" s="67" t="str" vm="5848">
        <f>CUBEVALUE(ConnectionString,ReportMonth,Table1[[#This Row],[Site ID (from DATIM)]],"[Measures].[HVL_ELIG_P]")</f>
        <v/>
      </c>
      <c r="AT215" s="67" t="str" vm="7912">
        <f>CUBEVALUE(ConnectionString,ReportMonth,Table1[[#This Row],[Site ID (from DATIM)]],"[Measures].[HVL_D_P]")</f>
        <v/>
      </c>
      <c r="AU215" s="67" t="str" vm="6592">
        <f>CUBEVALUE(ConnectionString,ReportMonth,Table1[[#This Row],[Site ID (from DATIM)]],"[Measures].[HVL_N_P]")</f>
        <v/>
      </c>
      <c r="AV215" s="68" t="str" vm="13908">
        <f>CUBEVALUE(ConnectionString,ReportMonth,Table1[[#This Row],[Site ID (from DATIM)]],"[Measures].[HVL_ELIG_A]")</f>
        <v/>
      </c>
      <c r="AW215" s="68" t="str" vm="7028">
        <f>CUBEVALUE(ConnectionString,ReportMonth,Table1[[#This Row],[Site ID (from DATIM)]],"[Measures].[HVL_D_A]")</f>
        <v/>
      </c>
      <c r="AX215" s="68" t="str" vm="13983">
        <f>CUBEVALUE(ConnectionString,ReportMonth,Table1[[#This Row],[Site ID (from DATIM)]],"[Measures].[HVL_N_A]")</f>
        <v/>
      </c>
      <c r="AY215" s="67"/>
      <c r="AZ215" s="67"/>
      <c r="BA215" s="67"/>
      <c r="BB215" s="67"/>
      <c r="BC215" s="67"/>
      <c r="BD215" s="67"/>
      <c r="BE215" s="67"/>
      <c r="BF215" s="67"/>
      <c r="BG215" s="67" t="str" vm="12394">
        <f>CUBEVALUE(ConnectionString,ReportMonth,Table1[[#This Row],[Site ID (from DATIM)]],"[Measures].[TX_NEW_F_A]")</f>
        <v/>
      </c>
      <c r="BH215" s="67" t="str" vm="14030">
        <f>CUBEVALUE(ConnectionString,ReportMonth,Table1[[#This Row],[Site ID (from DATIM)]],"[Measures].[TX_NEW_M_A]")</f>
        <v/>
      </c>
      <c r="BI215" s="67" t="str" vm="14193">
        <f>CUBEVALUE(ConnectionString,ReportMonth,Table1[[#This Row],[Site ID (from DATIM)]],"[Measures].[TX_NEW_F_P]")</f>
        <v/>
      </c>
      <c r="BJ215" s="68" t="str" vm="17450">
        <f>CUBEVALUE(ConnectionString,ReportMonth,Table1[[#This Row],[Site ID (from DATIM)]],"[Measures].[TX_NEW_M_P]")</f>
        <v/>
      </c>
      <c r="BK215" s="68"/>
      <c r="BL215" s="68"/>
      <c r="BM215" s="68"/>
      <c r="BN215" s="68"/>
      <c r="BO215" s="68"/>
      <c r="BP215" s="68"/>
      <c r="BQ215" s="68" t="str" vm="10043">
        <f>CUBEVALUE(ConnectionString,ReportMonth,Table1[[#This Row],[Site ID (from DATIM)]],"[Measures].[TX_CURR_F_P]")</f>
        <v/>
      </c>
      <c r="BR215" s="68" t="str" vm="11386">
        <f>CUBEVALUE(ConnectionString,ReportMonth,Table1[[#This Row],[Site ID (from DATIM)]],"[Measures].[TX_CURR_M_P]")</f>
        <v/>
      </c>
      <c r="BS215" s="68" t="str" vm="11634">
        <f>CUBEVALUE(ConnectionString,ReportMonth,Table1[[#This Row],[Site ID (from DATIM)]],"[Measures].[TX_CURR_F_A]")</f>
        <v/>
      </c>
      <c r="BT215" s="68" t="str" vm="12097">
        <f>CUBEVALUE(ConnectionString,ReportMonth,Table1[[#This Row],[Site ID (from DATIM)]],"[Measures].[TX_CURR_M_A]")</f>
        <v/>
      </c>
      <c r="BU215" s="68" t="str" vm="19800">
        <f>CUBEVALUE(ConnectionString,ReportMonth,Table1[[#This Row],[Site ID (from DATIM)]],"[Measures].[MMS_01_89_F_P]")</f>
        <v/>
      </c>
      <c r="BV215" s="68" t="str" vm="18092">
        <f>CUBEVALUE(ConnectionString,ReportMonth,Table1[[#This Row],[Site ID (from DATIM)]],"[Measures].[MMS_01_89_M_P]")</f>
        <v/>
      </c>
      <c r="BW215" s="68" t="str" vm="18950">
        <f>CUBEVALUE(ConnectionString,ReportMonth,Table1[[#This Row],[Site ID (from DATIM)]],"[Measures].[MMS_01_89_F_A]")</f>
        <v/>
      </c>
      <c r="BX215" s="68" t="str" vm="14749">
        <f>CUBEVALUE(ConnectionString,ReportMonth,Table1[[#This Row],[Site ID (from DATIM)]],"[Measures].[MMS_01_89_M_A]")</f>
        <v/>
      </c>
      <c r="BY215" s="68" t="str" vm="19136">
        <f>CUBEVALUE(ConnectionString,ReportMonth,Table1[[#This Row],[Site ID (from DATIM)]],"[Measures].[MMS_90_179_F_P]")</f>
        <v/>
      </c>
      <c r="BZ215" s="68" t="str" vm="15626">
        <f>CUBEVALUE(ConnectionString,ReportMonth,Table1[[#This Row],[Site ID (from DATIM)]],"[Measures].[MMS_90_179_M_P]")</f>
        <v/>
      </c>
      <c r="CA215" s="68" t="str" vm="16493">
        <f>CUBEVALUE(ConnectionString,ReportMonth,Table1[[#This Row],[Site ID (from DATIM)]],"[Measures].[MMS_90_179_F_A]")</f>
        <v/>
      </c>
      <c r="CB215" s="68" t="str" vm="16459">
        <f>CUBEVALUE(ConnectionString,ReportMonth,Table1[[#This Row],[Site ID (from DATIM)]],"[Measures].[MMS_90_179_M_A]")</f>
        <v/>
      </c>
      <c r="CC215" s="68" t="str" vm="15055">
        <f>CUBEVALUE(ConnectionString,ReportMonth,Table1[[#This Row],[Site ID (from DATIM)]],"[Measures].[MMS_180+_F_P]")</f>
        <v/>
      </c>
      <c r="CD215" s="68" t="str" vm="17276">
        <f>CUBEVALUE(ConnectionString,ReportMonth,Table1[[#This Row],[Site ID (from DATIM)]],"[Measures].[MMS_180+_M_P]")</f>
        <v/>
      </c>
      <c r="CE215" s="68" t="str" vm="16724">
        <f>CUBEVALUE(ConnectionString,ReportMonth,Table1[[#This Row],[Site ID (from DATIM)]],"[Measures].[MMS_180+_F_A]")</f>
        <v/>
      </c>
      <c r="CF215" s="68" t="str" vm="15380">
        <f>CUBEVALUE(ConnectionString,ReportMonth,Table1[[#This Row],[Site ID (from DATIM)]],"[Measures].[MMS_180+_M_A]")</f>
        <v/>
      </c>
      <c r="CG215" s="68" t="str" vm="6381">
        <f>CUBEVALUE(ConnectionString,ReportMonth,Table1[[#This Row],[Site ID (from DATIM)]],"[Measures].[MISSEDAPP]")</f>
        <v/>
      </c>
      <c r="CH215" s="68" t="str" vm="14841">
        <f>CUBEVALUE(ConnectionString,ReportMonth,Table1[[#This Row],[Site ID (from DATIM)]],"[Measures].[MMS_180+_P]")</f>
        <v/>
      </c>
      <c r="CI215" s="68" t="str" vm="13399">
        <f>CUBEVALUE(ConnectionString,ReportMonth,Table1[[#This Row],[Site ID (from DATIM)]],"[Measures].[MMS_180+_A]")</f>
        <v/>
      </c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  <c r="CW215" s="68"/>
      <c r="CX215" s="68"/>
      <c r="CY215" s="68"/>
      <c r="CZ215" s="68"/>
      <c r="DA215" s="68"/>
      <c r="DB215" s="68"/>
      <c r="DC215" s="68"/>
    </row>
    <row r="216" spans="1:107" x14ac:dyDescent="0.25">
      <c r="A216" s="66">
        <v>3</v>
      </c>
      <c r="B216" s="67" t="str" vm="4">
        <f t="shared" si="4"/>
        <v>Mar-2021</v>
      </c>
      <c r="C216" s="67"/>
      <c r="D216" s="67" t="s">
        <v>232</v>
      </c>
      <c r="E216" s="67" t="s">
        <v>233</v>
      </c>
      <c r="F216" s="67" t="s">
        <v>234</v>
      </c>
      <c r="G216" s="67"/>
      <c r="H216" s="67" t="s">
        <v>263</v>
      </c>
      <c r="I216" s="67" t="s">
        <v>320</v>
      </c>
      <c r="J216" s="67" t="s">
        <v>321</v>
      </c>
      <c r="K216" s="67" t="s">
        <v>322</v>
      </c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 t="str" vm="3994">
        <f>CUBEVALUE(ConnectionString,ReportMonth,Table1[[#This Row],[Site ID (from DATIM)]],"TX_NEW_2VIS")</f>
        <v/>
      </c>
      <c r="AE216" s="67" t="str" vm="1700">
        <f>CUBEVALUE(ConnectionString,ReportMonth,Table1[[#This Row],[Site ID (from DATIM)]],INDEX(SDI_Measures,1))</f>
        <v/>
      </c>
      <c r="AF216" s="67" t="str" vm="933">
        <f>CUBEVALUE(ConnectionString,ReportMonth,Table1[[#This Row],[Site ID (from DATIM)]],INDEX(SDI_Measures,2))</f>
        <v/>
      </c>
      <c r="AG216" s="67" t="str" vm="3233">
        <f>CUBEVALUE(ConnectionString,ReportMonth,Table1[[#This Row],[Site ID (from DATIM)]],INDEX(SDI_Measures,3))</f>
        <v/>
      </c>
      <c r="AH216" s="67" vm="2972">
        <f>CUBEVALUE(ConnectionString,ReportMonth,Table1[[#This Row],[Site ID (from DATIM)]],"TX_CURR_PRIOR_MONTH")</f>
        <v>306</v>
      </c>
      <c r="AI216" s="67" vm="877">
        <f>CUBEVALUE(ConnectionString,ReportMonth,Table1[[#This Row],[Site ID (from DATIM)]],"TX_CURR")</f>
        <v>268</v>
      </c>
      <c r="AJ216" s="67" vm="3188">
        <f>CUBEVALUE(ConnectionString,ReportMonth,Table1[[#This Row],[Site ID (from DATIM)]],"[Measures].[TI]")</f>
        <v>1</v>
      </c>
      <c r="AK216" s="67" t="str" vm="2410">
        <f>CUBEVALUE(ConnectionString,ReportMonth,Table1[[#This Row],[Site ID (from DATIM)]],"[Measures].[TO]")</f>
        <v/>
      </c>
      <c r="AL216" s="67" t="str" vm="3460">
        <f>CUBEVALUE(ConnectionString,ReportMonth,Table1[[#This Row],[Site ID (from DATIM)]],"[Measures].[DIED]")</f>
        <v/>
      </c>
      <c r="AM216" s="67" vm="7590">
        <f>CUBEVALUE(ConnectionString,ReportMonth,Table1[[#This Row],[Site ID (from DATIM)]],"[Measures].[MMS_01_31]")</f>
        <v>111</v>
      </c>
      <c r="AN216" s="67" vm="7075">
        <f>CUBEVALUE(ConnectionString,ReportMonth,Table1[[#This Row],[Site ID (from DATIM)]],"[Measures].[MMS_32_62]")</f>
        <v>7</v>
      </c>
      <c r="AO216" s="67" vm="10612">
        <f>CUBEVALUE(ConnectionString,ReportMonth,Table1[[#This Row],[Site ID (from DATIM)]],"[Measures].[MMS_63+]")</f>
        <v>150</v>
      </c>
      <c r="AP216" s="67" vm="5302">
        <f>CUBEVALUE(ConnectionString,ReportMonth,Table1[[#This Row],[Site ID (from DATIM)]],"[Measures].[TBPREV_D]")</f>
        <v>3</v>
      </c>
      <c r="AQ216" s="67" t="str" vm="5827">
        <f>CUBEVALUE(ConnectionString,ReportMonth,Table1[[#This Row],[Site ID (from DATIM)]],"[Measures].[TBPREV_N]")</f>
        <v/>
      </c>
      <c r="AR216" s="67" t="str" vm="4693">
        <f>CUBEVALUE(ConnectionString,ReportMonth,Table1[[#This Row],[Site ID (from DATIM)]],"[Measures].[TBPREV_NEW]")</f>
        <v/>
      </c>
      <c r="AS216" s="67" vm="6090">
        <f>CUBEVALUE(ConnectionString,ReportMonth,Table1[[#This Row],[Site ID (from DATIM)]],"[Measures].[HVL_ELIG_P]")</f>
        <v>24</v>
      </c>
      <c r="AT216" s="67" vm="8569">
        <f>CUBEVALUE(ConnectionString,ReportMonth,Table1[[#This Row],[Site ID (from DATIM)]],"[Measures].[HVL_D_P]")</f>
        <v>19</v>
      </c>
      <c r="AU216" s="67" vm="9754">
        <f>CUBEVALUE(ConnectionString,ReportMonth,Table1[[#This Row],[Site ID (from DATIM)]],"[Measures].[HVL_N_P]")</f>
        <v>13</v>
      </c>
      <c r="AV216" s="68" vm="11342">
        <f>CUBEVALUE(ConnectionString,ReportMonth,Table1[[#This Row],[Site ID (from DATIM)]],"[Measures].[HVL_ELIG_A]")</f>
        <v>216</v>
      </c>
      <c r="AW216" s="68" vm="14175">
        <f>CUBEVALUE(ConnectionString,ReportMonth,Table1[[#This Row],[Site ID (from DATIM)]],"[Measures].[HVL_D_A]")</f>
        <v>165</v>
      </c>
      <c r="AX216" s="68" vm="9581">
        <f>CUBEVALUE(ConnectionString,ReportMonth,Table1[[#This Row],[Site ID (from DATIM)]],"[Measures].[HVL_N_A]")</f>
        <v>141</v>
      </c>
      <c r="AY216" s="67"/>
      <c r="AZ216" s="67"/>
      <c r="BA216" s="67"/>
      <c r="BB216" s="67"/>
      <c r="BC216" s="67"/>
      <c r="BD216" s="67"/>
      <c r="BE216" s="67"/>
      <c r="BF216" s="67"/>
      <c r="BG216" s="67" t="str" vm="10425">
        <f>CUBEVALUE(ConnectionString,ReportMonth,Table1[[#This Row],[Site ID (from DATIM)]],"[Measures].[TX_NEW_F_A]")</f>
        <v/>
      </c>
      <c r="BH216" s="67" t="str" vm="13844">
        <f>CUBEVALUE(ConnectionString,ReportMonth,Table1[[#This Row],[Site ID (from DATIM)]],"[Measures].[TX_NEW_M_A]")</f>
        <v/>
      </c>
      <c r="BI216" s="67" t="str" vm="12304">
        <f>CUBEVALUE(ConnectionString,ReportMonth,Table1[[#This Row],[Site ID (from DATIM)]],"[Measures].[TX_NEW_F_P]")</f>
        <v/>
      </c>
      <c r="BJ216" s="68" t="str" vm="14261">
        <f>CUBEVALUE(ConnectionString,ReportMonth,Table1[[#This Row],[Site ID (from DATIM)]],"[Measures].[TX_NEW_M_P]")</f>
        <v/>
      </c>
      <c r="BK216" s="68"/>
      <c r="BL216" s="68"/>
      <c r="BM216" s="68"/>
      <c r="BN216" s="68"/>
      <c r="BO216" s="68"/>
      <c r="BP216" s="68"/>
      <c r="BQ216" s="68" vm="9205">
        <f>CUBEVALUE(ConnectionString,ReportMonth,Table1[[#This Row],[Site ID (from DATIM)]],"[Measures].[TX_CURR_F_P]")</f>
        <v>11</v>
      </c>
      <c r="BR216" s="68" vm="6350">
        <f>CUBEVALUE(ConnectionString,ReportMonth,Table1[[#This Row],[Site ID (from DATIM)]],"[Measures].[TX_CURR_M_P]")</f>
        <v>17</v>
      </c>
      <c r="BS216" s="68" vm="7995">
        <f>CUBEVALUE(ConnectionString,ReportMonth,Table1[[#This Row],[Site ID (from DATIM)]],"[Measures].[TX_CURR_F_A]")</f>
        <v>191</v>
      </c>
      <c r="BT216" s="68" vm="10152">
        <f>CUBEVALUE(ConnectionString,ReportMonth,Table1[[#This Row],[Site ID (from DATIM)]],"[Measures].[TX_CURR_M_A]")</f>
        <v>49</v>
      </c>
      <c r="BU216" s="68" vm="18075">
        <f>CUBEVALUE(ConnectionString,ReportMonth,Table1[[#This Row],[Site ID (from DATIM)]],"[Measures].[MMS_01_89_F_P]")</f>
        <v>6</v>
      </c>
      <c r="BV216" s="68" vm="18200">
        <f>CUBEVALUE(ConnectionString,ReportMonth,Table1[[#This Row],[Site ID (from DATIM)]],"[Measures].[MMS_01_89_M_P]")</f>
        <v>12</v>
      </c>
      <c r="BW216" s="68" vm="19658">
        <f>CUBEVALUE(ConnectionString,ReportMonth,Table1[[#This Row],[Site ID (from DATIM)]],"[Measures].[MMS_01_89_F_A]")</f>
        <v>83</v>
      </c>
      <c r="BX216" s="68" vm="19925">
        <f>CUBEVALUE(ConnectionString,ReportMonth,Table1[[#This Row],[Site ID (from DATIM)]],"[Measures].[MMS_01_89_M_A]")</f>
        <v>17</v>
      </c>
      <c r="BY216" s="68" vm="18898">
        <f>CUBEVALUE(ConnectionString,ReportMonth,Table1[[#This Row],[Site ID (from DATIM)]],"[Measures].[MMS_90_179_F_P]")</f>
        <v>5</v>
      </c>
      <c r="BZ216" s="68" vm="18500">
        <f>CUBEVALUE(ConnectionString,ReportMonth,Table1[[#This Row],[Site ID (from DATIM)]],"[Measures].[MMS_90_179_M_P]")</f>
        <v>5</v>
      </c>
      <c r="CA216" s="68" vm="18152">
        <f>CUBEVALUE(ConnectionString,ReportMonth,Table1[[#This Row],[Site ID (from DATIM)]],"[Measures].[MMS_90_179_F_A]")</f>
        <v>108</v>
      </c>
      <c r="CB216" s="68" vm="15964">
        <f>CUBEVALUE(ConnectionString,ReportMonth,Table1[[#This Row],[Site ID (from DATIM)]],"[Measures].[MMS_90_179_M_A]")</f>
        <v>32</v>
      </c>
      <c r="CC216" s="68" t="str" vm="15880">
        <f>CUBEVALUE(ConnectionString,ReportMonth,Table1[[#This Row],[Site ID (from DATIM)]],"[Measures].[MMS_180+_F_P]")</f>
        <v/>
      </c>
      <c r="CD216" s="68" t="str" vm="20178">
        <f>CUBEVALUE(ConnectionString,ReportMonth,Table1[[#This Row],[Site ID (from DATIM)]],"[Measures].[MMS_180+_M_P]")</f>
        <v/>
      </c>
      <c r="CE216" s="68" t="str" vm="15463">
        <f>CUBEVALUE(ConnectionString,ReportMonth,Table1[[#This Row],[Site ID (from DATIM)]],"[Measures].[MMS_180+_F_A]")</f>
        <v/>
      </c>
      <c r="CF216" s="68" t="str" vm="16701">
        <f>CUBEVALUE(ConnectionString,ReportMonth,Table1[[#This Row],[Site ID (from DATIM)]],"[Measures].[MMS_180+_M_A]")</f>
        <v/>
      </c>
      <c r="CG216" s="68" vm="5032">
        <f>CUBEVALUE(ConnectionString,ReportMonth,Table1[[#This Row],[Site ID (from DATIM)]],"[Measures].[MISSEDAPP]")</f>
        <v>128</v>
      </c>
      <c r="CH216" s="68" t="str" vm="13290">
        <f>CUBEVALUE(ConnectionString,ReportMonth,Table1[[#This Row],[Site ID (from DATIM)]],"[Measures].[MMS_180+_P]")</f>
        <v/>
      </c>
      <c r="CI216" s="68" t="str" vm="16570">
        <f>CUBEVALUE(ConnectionString,ReportMonth,Table1[[#This Row],[Site ID (from DATIM)]],"[Measures].[MMS_180+_A]")</f>
        <v/>
      </c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  <c r="CW216" s="68"/>
      <c r="CX216" s="68"/>
      <c r="CY216" s="68"/>
      <c r="CZ216" s="68"/>
      <c r="DA216" s="68"/>
      <c r="DB216" s="68"/>
      <c r="DC216" s="68"/>
    </row>
    <row r="217" spans="1:107" x14ac:dyDescent="0.25">
      <c r="A217" s="66">
        <v>4</v>
      </c>
      <c r="B217" s="67" t="str" vm="4">
        <f t="shared" si="4"/>
        <v>Mar-2021</v>
      </c>
      <c r="C217" s="67"/>
      <c r="D217" s="67" t="s">
        <v>232</v>
      </c>
      <c r="E217" s="67" t="s">
        <v>233</v>
      </c>
      <c r="F217" s="67" t="s">
        <v>437</v>
      </c>
      <c r="G217" s="67"/>
      <c r="H217" s="67" t="s">
        <v>513</v>
      </c>
      <c r="I217" s="67" t="s">
        <v>637</v>
      </c>
      <c r="J217" s="67" t="s">
        <v>638</v>
      </c>
      <c r="K217" s="67" t="s">
        <v>639</v>
      </c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 t="str" vm="2463">
        <f>CUBEVALUE(ConnectionString,ReportMonth,Table1[[#This Row],[Site ID (from DATIM)]],"TX_NEW_2VIS")</f>
        <v/>
      </c>
      <c r="AE217" s="67" t="str" vm="1207">
        <f>CUBEVALUE(ConnectionString,ReportMonth,Table1[[#This Row],[Site ID (from DATIM)]],INDEX(SDI_Measures,1))</f>
        <v/>
      </c>
      <c r="AF217" s="67" t="str" vm="1474">
        <f>CUBEVALUE(ConnectionString,ReportMonth,Table1[[#This Row],[Site ID (from DATIM)]],INDEX(SDI_Measures,2))</f>
        <v/>
      </c>
      <c r="AG217" s="67" t="str" vm="1450">
        <f>CUBEVALUE(ConnectionString,ReportMonth,Table1[[#This Row],[Site ID (from DATIM)]],INDEX(SDI_Measures,3))</f>
        <v/>
      </c>
      <c r="AH217" s="67" t="str" vm="3879">
        <f>CUBEVALUE(ConnectionString,ReportMonth,Table1[[#This Row],[Site ID (from DATIM)]],"TX_CURR_PRIOR_MONTH")</f>
        <v/>
      </c>
      <c r="AI217" s="67" t="str" vm="1448">
        <f>CUBEVALUE(ConnectionString,ReportMonth,Table1[[#This Row],[Site ID (from DATIM)]],"TX_CURR")</f>
        <v/>
      </c>
      <c r="AJ217" s="67" t="str" vm="772">
        <f>CUBEVALUE(ConnectionString,ReportMonth,Table1[[#This Row],[Site ID (from DATIM)]],"[Measures].[TI]")</f>
        <v/>
      </c>
      <c r="AK217" s="67" t="str" vm="3849">
        <f>CUBEVALUE(ConnectionString,ReportMonth,Table1[[#This Row],[Site ID (from DATIM)]],"[Measures].[TO]")</f>
        <v/>
      </c>
      <c r="AL217" s="67" t="str" vm="2888">
        <f>CUBEVALUE(ConnectionString,ReportMonth,Table1[[#This Row],[Site ID (from DATIM)]],"[Measures].[DIED]")</f>
        <v/>
      </c>
      <c r="AM217" s="67" t="str" vm="3546">
        <f>CUBEVALUE(ConnectionString,ReportMonth,Table1[[#This Row],[Site ID (from DATIM)]],"[Measures].[MMS_01_31]")</f>
        <v/>
      </c>
      <c r="AN217" s="67" t="str" vm="4191">
        <f>CUBEVALUE(ConnectionString,ReportMonth,Table1[[#This Row],[Site ID (from DATIM)]],"[Measures].[MMS_32_62]")</f>
        <v/>
      </c>
      <c r="AO217" s="67" t="str" vm="9872">
        <f>CUBEVALUE(ConnectionString,ReportMonth,Table1[[#This Row],[Site ID (from DATIM)]],"[Measures].[MMS_63+]")</f>
        <v/>
      </c>
      <c r="AP217" s="67" t="str" vm="8537">
        <f>CUBEVALUE(ConnectionString,ReportMonth,Table1[[#This Row],[Site ID (from DATIM)]],"[Measures].[TBPREV_D]")</f>
        <v/>
      </c>
      <c r="AQ217" s="67" t="str" vm="7808">
        <f>CUBEVALUE(ConnectionString,ReportMonth,Table1[[#This Row],[Site ID (from DATIM)]],"[Measures].[TBPREV_N]")</f>
        <v/>
      </c>
      <c r="AR217" s="67" t="str" vm="5305">
        <f>CUBEVALUE(ConnectionString,ReportMonth,Table1[[#This Row],[Site ID (from DATIM)]],"[Measures].[TBPREV_NEW]")</f>
        <v/>
      </c>
      <c r="AS217" s="67" t="str" vm="7982">
        <f>CUBEVALUE(ConnectionString,ReportMonth,Table1[[#This Row],[Site ID (from DATIM)]],"[Measures].[HVL_ELIG_P]")</f>
        <v/>
      </c>
      <c r="AT217" s="67" t="str" vm="6653">
        <f>CUBEVALUE(ConnectionString,ReportMonth,Table1[[#This Row],[Site ID (from DATIM)]],"[Measures].[HVL_D_P]")</f>
        <v/>
      </c>
      <c r="AU217" s="67" t="str" vm="9377">
        <f>CUBEVALUE(ConnectionString,ReportMonth,Table1[[#This Row],[Site ID (from DATIM)]],"[Measures].[HVL_N_P]")</f>
        <v/>
      </c>
      <c r="AV217" s="68" t="str" vm="9721">
        <f>CUBEVALUE(ConnectionString,ReportMonth,Table1[[#This Row],[Site ID (from DATIM)]],"[Measures].[HVL_ELIG_A]")</f>
        <v/>
      </c>
      <c r="AW217" s="68" t="str" vm="9027">
        <f>CUBEVALUE(ConnectionString,ReportMonth,Table1[[#This Row],[Site ID (from DATIM)]],"[Measures].[HVL_D_A]")</f>
        <v/>
      </c>
      <c r="AX217" s="68" t="str" vm="8560">
        <f>CUBEVALUE(ConnectionString,ReportMonth,Table1[[#This Row],[Site ID (from DATIM)]],"[Measures].[HVL_N_A]")</f>
        <v/>
      </c>
      <c r="AY217" s="67"/>
      <c r="AZ217" s="67"/>
      <c r="BA217" s="67"/>
      <c r="BB217" s="67"/>
      <c r="BC217" s="67"/>
      <c r="BD217" s="67"/>
      <c r="BE217" s="67"/>
      <c r="BF217" s="67"/>
      <c r="BG217" s="67" t="str" vm="14075">
        <f>CUBEVALUE(ConnectionString,ReportMonth,Table1[[#This Row],[Site ID (from DATIM)]],"[Measures].[TX_NEW_F_A]")</f>
        <v/>
      </c>
      <c r="BH217" s="67" t="str" vm="12228">
        <f>CUBEVALUE(ConnectionString,ReportMonth,Table1[[#This Row],[Site ID (from DATIM)]],"[Measures].[TX_NEW_M_A]")</f>
        <v/>
      </c>
      <c r="BI217" s="67" t="str" vm="12833">
        <f>CUBEVALUE(ConnectionString,ReportMonth,Table1[[#This Row],[Site ID (from DATIM)]],"[Measures].[TX_NEW_F_P]")</f>
        <v/>
      </c>
      <c r="BJ217" s="68" t="str" vm="14420">
        <f>CUBEVALUE(ConnectionString,ReportMonth,Table1[[#This Row],[Site ID (from DATIM)]],"[Measures].[TX_NEW_M_P]")</f>
        <v/>
      </c>
      <c r="BK217" s="68"/>
      <c r="BL217" s="68"/>
      <c r="BM217" s="68"/>
      <c r="BN217" s="68"/>
      <c r="BO217" s="68"/>
      <c r="BP217" s="68"/>
      <c r="BQ217" s="68" t="str" vm="8225">
        <f>CUBEVALUE(ConnectionString,ReportMonth,Table1[[#This Row],[Site ID (from DATIM)]],"[Measures].[TX_CURR_F_P]")</f>
        <v/>
      </c>
      <c r="BR217" s="68" t="str" vm="7499">
        <f>CUBEVALUE(ConnectionString,ReportMonth,Table1[[#This Row],[Site ID (from DATIM)]],"[Measures].[TX_CURR_M_P]")</f>
        <v/>
      </c>
      <c r="BS217" s="68" t="str" vm="8509">
        <f>CUBEVALUE(ConnectionString,ReportMonth,Table1[[#This Row],[Site ID (from DATIM)]],"[Measures].[TX_CURR_F_A]")</f>
        <v/>
      </c>
      <c r="BT217" s="68" t="str" vm="16605">
        <f>CUBEVALUE(ConnectionString,ReportMonth,Table1[[#This Row],[Site ID (from DATIM)]],"[Measures].[TX_CURR_M_A]")</f>
        <v/>
      </c>
      <c r="BU217" s="68" t="str" vm="19015">
        <f>CUBEVALUE(ConnectionString,ReportMonth,Table1[[#This Row],[Site ID (from DATIM)]],"[Measures].[MMS_01_89_F_P]")</f>
        <v/>
      </c>
      <c r="BV217" s="68" t="str" vm="19743">
        <f>CUBEVALUE(ConnectionString,ReportMonth,Table1[[#This Row],[Site ID (from DATIM)]],"[Measures].[MMS_01_89_M_P]")</f>
        <v/>
      </c>
      <c r="BW217" s="68" t="str" vm="19487">
        <f>CUBEVALUE(ConnectionString,ReportMonth,Table1[[#This Row],[Site ID (from DATIM)]],"[Measures].[MMS_01_89_F_A]")</f>
        <v/>
      </c>
      <c r="BX217" s="68" t="str" vm="17969">
        <f>CUBEVALUE(ConnectionString,ReportMonth,Table1[[#This Row],[Site ID (from DATIM)]],"[Measures].[MMS_01_89_M_A]")</f>
        <v/>
      </c>
      <c r="BY217" s="68" t="str" vm="18552">
        <f>CUBEVALUE(ConnectionString,ReportMonth,Table1[[#This Row],[Site ID (from DATIM)]],"[Measures].[MMS_90_179_F_P]")</f>
        <v/>
      </c>
      <c r="BZ217" s="68" t="str" vm="17834">
        <f>CUBEVALUE(ConnectionString,ReportMonth,Table1[[#This Row],[Site ID (from DATIM)]],"[Measures].[MMS_90_179_M_P]")</f>
        <v/>
      </c>
      <c r="CA217" s="68" t="str" vm="17694">
        <f>CUBEVALUE(ConnectionString,ReportMonth,Table1[[#This Row],[Site ID (from DATIM)]],"[Measures].[MMS_90_179_F_A]")</f>
        <v/>
      </c>
      <c r="CB217" s="68" t="str" vm="16244">
        <f>CUBEVALUE(ConnectionString,ReportMonth,Table1[[#This Row],[Site ID (from DATIM)]],"[Measures].[MMS_90_179_M_A]")</f>
        <v/>
      </c>
      <c r="CC217" s="68" t="str" vm="17512">
        <f>CUBEVALUE(ConnectionString,ReportMonth,Table1[[#This Row],[Site ID (from DATIM)]],"[Measures].[MMS_180+_F_P]")</f>
        <v/>
      </c>
      <c r="CD217" s="68" t="str" vm="14998">
        <f>CUBEVALUE(ConnectionString,ReportMonth,Table1[[#This Row],[Site ID (from DATIM)]],"[Measures].[MMS_180+_M_P]")</f>
        <v/>
      </c>
      <c r="CE217" s="68" t="str" vm="17482">
        <f>CUBEVALUE(ConnectionString,ReportMonth,Table1[[#This Row],[Site ID (from DATIM)]],"[Measures].[MMS_180+_F_A]")</f>
        <v/>
      </c>
      <c r="CF217" s="68" t="str" vm="17094">
        <f>CUBEVALUE(ConnectionString,ReportMonth,Table1[[#This Row],[Site ID (from DATIM)]],"[Measures].[MMS_180+_M_A]")</f>
        <v/>
      </c>
      <c r="CG217" s="68" t="str" vm="6544">
        <f>CUBEVALUE(ConnectionString,ReportMonth,Table1[[#This Row],[Site ID (from DATIM)]],"[Measures].[MISSEDAPP]")</f>
        <v/>
      </c>
      <c r="CH217" s="68" t="str" vm="11459">
        <f>CUBEVALUE(ConnectionString,ReportMonth,Table1[[#This Row],[Site ID (from DATIM)]],"[Measures].[MMS_180+_P]")</f>
        <v/>
      </c>
      <c r="CI217" s="68" t="str" vm="13326">
        <f>CUBEVALUE(ConnectionString,ReportMonth,Table1[[#This Row],[Site ID (from DATIM)]],"[Measures].[MMS_180+_A]")</f>
        <v/>
      </c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  <c r="CW217" s="68"/>
      <c r="CX217" s="68"/>
      <c r="CY217" s="68"/>
      <c r="CZ217" s="68"/>
      <c r="DA217" s="68"/>
      <c r="DB217" s="68"/>
      <c r="DC217" s="68"/>
    </row>
    <row r="218" spans="1:107" x14ac:dyDescent="0.25">
      <c r="A218" s="66">
        <v>4</v>
      </c>
      <c r="B218" s="67" t="str" vm="4">
        <f t="shared" si="4"/>
        <v>Mar-2021</v>
      </c>
      <c r="C218" s="67"/>
      <c r="D218" s="67" t="s">
        <v>232</v>
      </c>
      <c r="E218" s="67" t="s">
        <v>233</v>
      </c>
      <c r="F218" s="67" t="s">
        <v>437</v>
      </c>
      <c r="G218" s="67"/>
      <c r="H218" s="67" t="s">
        <v>513</v>
      </c>
      <c r="I218" s="67" t="s">
        <v>640</v>
      </c>
      <c r="J218" s="67" t="s">
        <v>641</v>
      </c>
      <c r="K218" s="67" t="s">
        <v>642</v>
      </c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 vm="1410">
        <f>CUBEVALUE(ConnectionString,ReportMonth,Table1[[#This Row],[Site ID (from DATIM)]],"TX_NEW_2VIS")</f>
        <v>1</v>
      </c>
      <c r="AE218" s="67" vm="2114">
        <f>CUBEVALUE(ConnectionString,ReportMonth,Table1[[#This Row],[Site ID (from DATIM)]],INDEX(SDI_Measures,1))</f>
        <v>5</v>
      </c>
      <c r="AF218" s="67" t="str" vm="4408">
        <f>CUBEVALUE(ConnectionString,ReportMonth,Table1[[#This Row],[Site ID (from DATIM)]],INDEX(SDI_Measures,2))</f>
        <v/>
      </c>
      <c r="AG218" s="67" t="str" vm="1498">
        <f>CUBEVALUE(ConnectionString,ReportMonth,Table1[[#This Row],[Site ID (from DATIM)]],INDEX(SDI_Measures,3))</f>
        <v/>
      </c>
      <c r="AH218" s="67" vm="2690">
        <f>CUBEVALUE(ConnectionString,ReportMonth,Table1[[#This Row],[Site ID (from DATIM)]],"TX_CURR_PRIOR_MONTH")</f>
        <v>287</v>
      </c>
      <c r="AI218" s="67" vm="1189">
        <f>CUBEVALUE(ConnectionString,ReportMonth,Table1[[#This Row],[Site ID (from DATIM)]],"TX_CURR")</f>
        <v>268</v>
      </c>
      <c r="AJ218" s="67" t="str" vm="2877">
        <f>CUBEVALUE(ConnectionString,ReportMonth,Table1[[#This Row],[Site ID (from DATIM)]],"[Measures].[TI]")</f>
        <v/>
      </c>
      <c r="AK218" s="67" vm="3700">
        <f>CUBEVALUE(ConnectionString,ReportMonth,Table1[[#This Row],[Site ID (from DATIM)]],"[Measures].[TO]")</f>
        <v>2</v>
      </c>
      <c r="AL218" s="67" vm="2542">
        <f>CUBEVALUE(ConnectionString,ReportMonth,Table1[[#This Row],[Site ID (from DATIM)]],"[Measures].[DIED]")</f>
        <v>1</v>
      </c>
      <c r="AM218" s="67" vm="4234">
        <f>CUBEVALUE(ConnectionString,ReportMonth,Table1[[#This Row],[Site ID (from DATIM)]],"[Measures].[MMS_01_31]")</f>
        <v>56</v>
      </c>
      <c r="AN218" s="67" vm="4763">
        <f>CUBEVALUE(ConnectionString,ReportMonth,Table1[[#This Row],[Site ID (from DATIM)]],"[Measures].[MMS_32_62]")</f>
        <v>7</v>
      </c>
      <c r="AO218" s="67" vm="7898">
        <f>CUBEVALUE(ConnectionString,ReportMonth,Table1[[#This Row],[Site ID (from DATIM)]],"[Measures].[MMS_63+]")</f>
        <v>205</v>
      </c>
      <c r="AP218" s="67" vm="5780">
        <f>CUBEVALUE(ConnectionString,ReportMonth,Table1[[#This Row],[Site ID (from DATIM)]],"[Measures].[TBPREV_D]")</f>
        <v>1</v>
      </c>
      <c r="AQ218" s="67" vm="5835">
        <f>CUBEVALUE(ConnectionString,ReportMonth,Table1[[#This Row],[Site ID (from DATIM)]],"[Measures].[TBPREV_N]")</f>
        <v>1</v>
      </c>
      <c r="AR218" s="67" vm="7074">
        <f>CUBEVALUE(ConnectionString,ReportMonth,Table1[[#This Row],[Site ID (from DATIM)]],"[Measures].[TBPREV_NEW]")</f>
        <v>4</v>
      </c>
      <c r="AS218" s="67" vm="13484">
        <f>CUBEVALUE(ConnectionString,ReportMonth,Table1[[#This Row],[Site ID (from DATIM)]],"[Measures].[HVL_ELIG_P]")</f>
        <v>9</v>
      </c>
      <c r="AT218" s="67" vm="5136">
        <f>CUBEVALUE(ConnectionString,ReportMonth,Table1[[#This Row],[Site ID (from DATIM)]],"[Measures].[HVL_D_P]")</f>
        <v>8</v>
      </c>
      <c r="AU218" s="67" vm="12205">
        <f>CUBEVALUE(ConnectionString,ReportMonth,Table1[[#This Row],[Site ID (from DATIM)]],"[Measures].[HVL_N_P]")</f>
        <v>6</v>
      </c>
      <c r="AV218" s="68" vm="12512">
        <f>CUBEVALUE(ConnectionString,ReportMonth,Table1[[#This Row],[Site ID (from DATIM)]],"[Measures].[HVL_ELIG_A]")</f>
        <v>237</v>
      </c>
      <c r="AW218" s="68" vm="9826">
        <f>CUBEVALUE(ConnectionString,ReportMonth,Table1[[#This Row],[Site ID (from DATIM)]],"[Measures].[HVL_D_A]")</f>
        <v>121</v>
      </c>
      <c r="AX218" s="68" vm="9425">
        <f>CUBEVALUE(ConnectionString,ReportMonth,Table1[[#This Row],[Site ID (from DATIM)]],"[Measures].[HVL_N_A]")</f>
        <v>119</v>
      </c>
      <c r="AY218" s="67"/>
      <c r="AZ218" s="67"/>
      <c r="BA218" s="67"/>
      <c r="BB218" s="67"/>
      <c r="BC218" s="67"/>
      <c r="BD218" s="67"/>
      <c r="BE218" s="67"/>
      <c r="BF218" s="67"/>
      <c r="BG218" s="67" vm="13682">
        <f>CUBEVALUE(ConnectionString,ReportMonth,Table1[[#This Row],[Site ID (from DATIM)]],"[Measures].[TX_NEW_F_A]")</f>
        <v>3</v>
      </c>
      <c r="BH218" s="67" vm="10430">
        <f>CUBEVALUE(ConnectionString,ReportMonth,Table1[[#This Row],[Site ID (from DATIM)]],"[Measures].[TX_NEW_M_A]")</f>
        <v>2</v>
      </c>
      <c r="BI218" s="67" t="str" vm="14794">
        <f>CUBEVALUE(ConnectionString,ReportMonth,Table1[[#This Row],[Site ID (from DATIM)]],"[Measures].[TX_NEW_F_P]")</f>
        <v/>
      </c>
      <c r="BJ218" s="68" t="str" vm="14328">
        <f>CUBEVALUE(ConnectionString,ReportMonth,Table1[[#This Row],[Site ID (from DATIM)]],"[Measures].[TX_NEW_M_P]")</f>
        <v/>
      </c>
      <c r="BK218" s="68"/>
      <c r="BL218" s="68"/>
      <c r="BM218" s="68"/>
      <c r="BN218" s="68"/>
      <c r="BO218" s="68"/>
      <c r="BP218" s="68"/>
      <c r="BQ218" s="68" vm="12727">
        <f>CUBEVALUE(ConnectionString,ReportMonth,Table1[[#This Row],[Site ID (from DATIM)]],"[Measures].[TX_CURR_F_P]")</f>
        <v>5</v>
      </c>
      <c r="BR218" s="68" vm="7731">
        <f>CUBEVALUE(ConnectionString,ReportMonth,Table1[[#This Row],[Site ID (from DATIM)]],"[Measures].[TX_CURR_M_P]")</f>
        <v>6</v>
      </c>
      <c r="BS218" s="68" vm="13074">
        <f>CUBEVALUE(ConnectionString,ReportMonth,Table1[[#This Row],[Site ID (from DATIM)]],"[Measures].[TX_CURR_F_A]")</f>
        <v>166</v>
      </c>
      <c r="BT218" s="68" vm="11392">
        <f>CUBEVALUE(ConnectionString,ReportMonth,Table1[[#This Row],[Site ID (from DATIM)]],"[Measures].[TX_CURR_M_A]")</f>
        <v>91</v>
      </c>
      <c r="BU218" s="68" t="str" vm="19501">
        <f>CUBEVALUE(ConnectionString,ReportMonth,Table1[[#This Row],[Site ID (from DATIM)]],"[Measures].[MMS_01_89_F_P]")</f>
        <v/>
      </c>
      <c r="BV218" s="68" vm="20114">
        <f>CUBEVALUE(ConnectionString,ReportMonth,Table1[[#This Row],[Site ID (from DATIM)]],"[Measures].[MMS_01_89_M_P]")</f>
        <v>4</v>
      </c>
      <c r="BW218" s="68" vm="19893">
        <f>CUBEVALUE(ConnectionString,ReportMonth,Table1[[#This Row],[Site ID (from DATIM)]],"[Measures].[MMS_01_89_F_A]")</f>
        <v>37</v>
      </c>
      <c r="BX218" s="68" vm="18841">
        <f>CUBEVALUE(ConnectionString,ReportMonth,Table1[[#This Row],[Site ID (from DATIM)]],"[Measures].[MMS_01_89_M_A]")</f>
        <v>22</v>
      </c>
      <c r="BY218" s="68" vm="17928">
        <f>CUBEVALUE(ConnectionString,ReportMonth,Table1[[#This Row],[Site ID (from DATIM)]],"[Measures].[MMS_90_179_F_P]")</f>
        <v>5</v>
      </c>
      <c r="BZ218" s="68" vm="19867">
        <f>CUBEVALUE(ConnectionString,ReportMonth,Table1[[#This Row],[Site ID (from DATIM)]],"[Measures].[MMS_90_179_M_P]")</f>
        <v>2</v>
      </c>
      <c r="CA218" s="68" vm="16510">
        <f>CUBEVALUE(ConnectionString,ReportMonth,Table1[[#This Row],[Site ID (from DATIM)]],"[Measures].[MMS_90_179_F_A]")</f>
        <v>129</v>
      </c>
      <c r="CB218" s="68" vm="16395">
        <f>CUBEVALUE(ConnectionString,ReportMonth,Table1[[#This Row],[Site ID (from DATIM)]],"[Measures].[MMS_90_179_M_A]")</f>
        <v>69</v>
      </c>
      <c r="CC218" s="68" t="str" vm="17621">
        <f>CUBEVALUE(ConnectionString,ReportMonth,Table1[[#This Row],[Site ID (from DATIM)]],"[Measures].[MMS_180+_F_P]")</f>
        <v/>
      </c>
      <c r="CD218" s="68" t="str" vm="16259">
        <f>CUBEVALUE(ConnectionString,ReportMonth,Table1[[#This Row],[Site ID (from DATIM)]],"[Measures].[MMS_180+_M_P]")</f>
        <v/>
      </c>
      <c r="CE218" s="68" t="str" vm="14905">
        <f>CUBEVALUE(ConnectionString,ReportMonth,Table1[[#This Row],[Site ID (from DATIM)]],"[Measures].[MMS_180+_F_A]")</f>
        <v/>
      </c>
      <c r="CF218" s="68" t="str" vm="42">
        <f>CUBEVALUE(ConnectionString,ReportMonth,Table1[[#This Row],[Site ID (from DATIM)]],"[Measures].[MMS_180+_M_A]")</f>
        <v/>
      </c>
      <c r="CG218" s="68" vm="5091">
        <f>CUBEVALUE(ConnectionString,ReportMonth,Table1[[#This Row],[Site ID (from DATIM)]],"[Measures].[MISSEDAPP]")</f>
        <v>47</v>
      </c>
      <c r="CH218" s="68" t="str" vm="13096">
        <f>CUBEVALUE(ConnectionString,ReportMonth,Table1[[#This Row],[Site ID (from DATIM)]],"[Measures].[MMS_180+_P]")</f>
        <v/>
      </c>
      <c r="CI218" s="68" t="str" vm="10223">
        <f>CUBEVALUE(ConnectionString,ReportMonth,Table1[[#This Row],[Site ID (from DATIM)]],"[Measures].[MMS_180+_A]")</f>
        <v/>
      </c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  <c r="CW218" s="68"/>
      <c r="CX218" s="68"/>
      <c r="CY218" s="68"/>
      <c r="CZ218" s="68"/>
      <c r="DA218" s="68"/>
      <c r="DB218" s="68"/>
      <c r="DC218" s="68"/>
    </row>
    <row r="219" spans="1:107" x14ac:dyDescent="0.25">
      <c r="A219" s="66">
        <v>4</v>
      </c>
      <c r="B219" s="67" t="str" vm="4">
        <f t="shared" si="4"/>
        <v>Mar-2021</v>
      </c>
      <c r="C219" s="67"/>
      <c r="D219" s="67" t="s">
        <v>232</v>
      </c>
      <c r="E219" s="67" t="s">
        <v>233</v>
      </c>
      <c r="F219" s="67" t="s">
        <v>1286</v>
      </c>
      <c r="G219" s="67"/>
      <c r="H219" s="67" t="s">
        <v>1287</v>
      </c>
      <c r="I219" s="67" t="s">
        <v>1363</v>
      </c>
      <c r="J219" s="67" t="s">
        <v>1401</v>
      </c>
      <c r="K219" s="67" t="s">
        <v>1402</v>
      </c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 t="str" vm="3251">
        <f>CUBEVALUE(ConnectionString,ReportMonth,Table1[[#This Row],[Site ID (from DATIM)]],"TX_NEW_2VIS")</f>
        <v/>
      </c>
      <c r="AE219" s="67" t="str" vm="3299">
        <f>CUBEVALUE(ConnectionString,ReportMonth,Table1[[#This Row],[Site ID (from DATIM)]],INDEX(SDI_Measures,1))</f>
        <v/>
      </c>
      <c r="AF219" s="67" t="str" vm="3322">
        <f>CUBEVALUE(ConnectionString,ReportMonth,Table1[[#This Row],[Site ID (from DATIM)]],INDEX(SDI_Measures,2))</f>
        <v/>
      </c>
      <c r="AG219" s="67" t="str" vm="1595">
        <f>CUBEVALUE(ConnectionString,ReportMonth,Table1[[#This Row],[Site ID (from DATIM)]],INDEX(SDI_Measures,3))</f>
        <v/>
      </c>
      <c r="AH219" s="67" t="str" vm="385">
        <f>CUBEVALUE(ConnectionString,ReportMonth,Table1[[#This Row],[Site ID (from DATIM)]],"TX_CURR_PRIOR_MONTH")</f>
        <v/>
      </c>
      <c r="AI219" s="67" t="str" vm="982">
        <f>CUBEVALUE(ConnectionString,ReportMonth,Table1[[#This Row],[Site ID (from DATIM)]],"TX_CURR")</f>
        <v/>
      </c>
      <c r="AJ219" s="67" t="str" vm="1736">
        <f>CUBEVALUE(ConnectionString,ReportMonth,Table1[[#This Row],[Site ID (from DATIM)]],"[Measures].[TI]")</f>
        <v/>
      </c>
      <c r="AK219" s="67" t="str" vm="3776">
        <f>CUBEVALUE(ConnectionString,ReportMonth,Table1[[#This Row],[Site ID (from DATIM)]],"[Measures].[TO]")</f>
        <v/>
      </c>
      <c r="AL219" s="67" t="str" vm="3138">
        <f>CUBEVALUE(ConnectionString,ReportMonth,Table1[[#This Row],[Site ID (from DATIM)]],"[Measures].[DIED]")</f>
        <v/>
      </c>
      <c r="AM219" s="67" t="str" vm="4551">
        <f>CUBEVALUE(ConnectionString,ReportMonth,Table1[[#This Row],[Site ID (from DATIM)]],"[Measures].[MMS_01_31]")</f>
        <v/>
      </c>
      <c r="AN219" s="67" t="str" vm="7370">
        <f>CUBEVALUE(ConnectionString,ReportMonth,Table1[[#This Row],[Site ID (from DATIM)]],"[Measures].[MMS_32_62]")</f>
        <v/>
      </c>
      <c r="AO219" s="67" t="str" vm="10140">
        <f>CUBEVALUE(ConnectionString,ReportMonth,Table1[[#This Row],[Site ID (from DATIM)]],"[Measures].[MMS_63+]")</f>
        <v/>
      </c>
      <c r="AP219" s="67" t="str" vm="7415">
        <f>CUBEVALUE(ConnectionString,ReportMonth,Table1[[#This Row],[Site ID (from DATIM)]],"[Measures].[TBPREV_D]")</f>
        <v/>
      </c>
      <c r="AQ219" s="67" t="str" vm="5013">
        <f>CUBEVALUE(ConnectionString,ReportMonth,Table1[[#This Row],[Site ID (from DATIM)]],"[Measures].[TBPREV_N]")</f>
        <v/>
      </c>
      <c r="AR219" s="67" t="str" vm="4969">
        <f>CUBEVALUE(ConnectionString,ReportMonth,Table1[[#This Row],[Site ID (from DATIM)]],"[Measures].[TBPREV_NEW]")</f>
        <v/>
      </c>
      <c r="AS219" s="67" t="str" vm="14167">
        <f>CUBEVALUE(ConnectionString,ReportMonth,Table1[[#This Row],[Site ID (from DATIM)]],"[Measures].[HVL_ELIG_P]")</f>
        <v/>
      </c>
      <c r="AT219" s="67" t="str" vm="8415">
        <f>CUBEVALUE(ConnectionString,ReportMonth,Table1[[#This Row],[Site ID (from DATIM)]],"[Measures].[HVL_D_P]")</f>
        <v/>
      </c>
      <c r="AU219" s="67" t="str" vm="9258">
        <f>CUBEVALUE(ConnectionString,ReportMonth,Table1[[#This Row],[Site ID (from DATIM)]],"[Measures].[HVL_N_P]")</f>
        <v/>
      </c>
      <c r="AV219" s="68" t="str" vm="9535">
        <f>CUBEVALUE(ConnectionString,ReportMonth,Table1[[#This Row],[Site ID (from DATIM)]],"[Measures].[HVL_ELIG_A]")</f>
        <v/>
      </c>
      <c r="AW219" s="68" t="str" vm="8730">
        <f>CUBEVALUE(ConnectionString,ReportMonth,Table1[[#This Row],[Site ID (from DATIM)]],"[Measures].[HVL_D_A]")</f>
        <v/>
      </c>
      <c r="AX219" s="68" t="str" vm="9288">
        <f>CUBEVALUE(ConnectionString,ReportMonth,Table1[[#This Row],[Site ID (from DATIM)]],"[Measures].[HVL_N_A]")</f>
        <v/>
      </c>
      <c r="AY219" s="67"/>
      <c r="AZ219" s="67"/>
      <c r="BA219" s="67"/>
      <c r="BB219" s="67"/>
      <c r="BC219" s="67"/>
      <c r="BD219" s="67"/>
      <c r="BE219" s="67"/>
      <c r="BF219" s="67"/>
      <c r="BG219" s="67" t="str" vm="15302">
        <f>CUBEVALUE(ConnectionString,ReportMonth,Table1[[#This Row],[Site ID (from DATIM)]],"[Measures].[TX_NEW_F_A]")</f>
        <v/>
      </c>
      <c r="BH219" s="67" t="str" vm="11010">
        <f>CUBEVALUE(ConnectionString,ReportMonth,Table1[[#This Row],[Site ID (from DATIM)]],"[Measures].[TX_NEW_M_A]")</f>
        <v/>
      </c>
      <c r="BI219" s="67" t="str" vm="16583">
        <f>CUBEVALUE(ConnectionString,ReportMonth,Table1[[#This Row],[Site ID (from DATIM)]],"[Measures].[TX_NEW_F_P]")</f>
        <v/>
      </c>
      <c r="BJ219" s="68" t="str" vm="14360">
        <f>CUBEVALUE(ConnectionString,ReportMonth,Table1[[#This Row],[Site ID (from DATIM)]],"[Measures].[TX_NEW_M_P]")</f>
        <v/>
      </c>
      <c r="BK219" s="68"/>
      <c r="BL219" s="68"/>
      <c r="BM219" s="68"/>
      <c r="BN219" s="68"/>
      <c r="BO219" s="68"/>
      <c r="BP219" s="68"/>
      <c r="BQ219" s="68" t="str" vm="11533">
        <f>CUBEVALUE(ConnectionString,ReportMonth,Table1[[#This Row],[Site ID (from DATIM)]],"[Measures].[TX_CURR_F_P]")</f>
        <v/>
      </c>
      <c r="BR219" s="68" t="str" vm="13586">
        <f>CUBEVALUE(ConnectionString,ReportMonth,Table1[[#This Row],[Site ID (from DATIM)]],"[Measures].[TX_CURR_M_P]")</f>
        <v/>
      </c>
      <c r="BS219" s="68" t="str" vm="11149">
        <f>CUBEVALUE(ConnectionString,ReportMonth,Table1[[#This Row],[Site ID (from DATIM)]],"[Measures].[TX_CURR_F_A]")</f>
        <v/>
      </c>
      <c r="BT219" s="68" t="str" vm="10749">
        <f>CUBEVALUE(ConnectionString,ReportMonth,Table1[[#This Row],[Site ID (from DATIM)]],"[Measures].[TX_CURR_M_A]")</f>
        <v/>
      </c>
      <c r="BU219" s="68" t="str" vm="17975">
        <f>CUBEVALUE(ConnectionString,ReportMonth,Table1[[#This Row],[Site ID (from DATIM)]],"[Measures].[MMS_01_89_F_P]")</f>
        <v/>
      </c>
      <c r="BV219" s="68" t="str" vm="19220">
        <f>CUBEVALUE(ConnectionString,ReportMonth,Table1[[#This Row],[Site ID (from DATIM)]],"[Measures].[MMS_01_89_M_P]")</f>
        <v/>
      </c>
      <c r="BW219" s="68" t="str" vm="19975">
        <f>CUBEVALUE(ConnectionString,ReportMonth,Table1[[#This Row],[Site ID (from DATIM)]],"[Measures].[MMS_01_89_F_A]")</f>
        <v/>
      </c>
      <c r="BX219" s="68" t="str" vm="18259">
        <f>CUBEVALUE(ConnectionString,ReportMonth,Table1[[#This Row],[Site ID (from DATIM)]],"[Measures].[MMS_01_89_M_A]")</f>
        <v/>
      </c>
      <c r="BY219" s="68" t="str" vm="19870">
        <f>CUBEVALUE(ConnectionString,ReportMonth,Table1[[#This Row],[Site ID (from DATIM)]],"[Measures].[MMS_90_179_F_P]")</f>
        <v/>
      </c>
      <c r="BZ219" s="68" t="str" vm="17833">
        <f>CUBEVALUE(ConnectionString,ReportMonth,Table1[[#This Row],[Site ID (from DATIM)]],"[Measures].[MMS_90_179_M_P]")</f>
        <v/>
      </c>
      <c r="CA219" s="68" t="str" vm="16928">
        <f>CUBEVALUE(ConnectionString,ReportMonth,Table1[[#This Row],[Site ID (from DATIM)]],"[Measures].[MMS_90_179_F_A]")</f>
        <v/>
      </c>
      <c r="CB219" s="68" t="str" vm="14605">
        <f>CUBEVALUE(ConnectionString,ReportMonth,Table1[[#This Row],[Site ID (from DATIM)]],"[Measures].[MMS_90_179_M_A]")</f>
        <v/>
      </c>
      <c r="CC219" s="68" t="str" vm="16774">
        <f>CUBEVALUE(ConnectionString,ReportMonth,Table1[[#This Row],[Site ID (from DATIM)]],"[Measures].[MMS_180+_F_P]")</f>
        <v/>
      </c>
      <c r="CD219" s="68" t="str" vm="17613">
        <f>CUBEVALUE(ConnectionString,ReportMonth,Table1[[#This Row],[Site ID (from DATIM)]],"[Measures].[MMS_180+_M_P]")</f>
        <v/>
      </c>
      <c r="CE219" s="68" t="str" vm="15418">
        <f>CUBEVALUE(ConnectionString,ReportMonth,Table1[[#This Row],[Site ID (from DATIM)]],"[Measures].[MMS_180+_F_A]")</f>
        <v/>
      </c>
      <c r="CF219" s="68" t="str" vm="17456">
        <f>CUBEVALUE(ConnectionString,ReportMonth,Table1[[#This Row],[Site ID (from DATIM)]],"[Measures].[MMS_180+_M_A]")</f>
        <v/>
      </c>
      <c r="CG219" s="68" t="str" vm="6709">
        <f>CUBEVALUE(ConnectionString,ReportMonth,Table1[[#This Row],[Site ID (from DATIM)]],"[Measures].[MISSEDAPP]")</f>
        <v/>
      </c>
      <c r="CH219" s="68" t="str" vm="12103">
        <f>CUBEVALUE(ConnectionString,ReportMonth,Table1[[#This Row],[Site ID (from DATIM)]],"[Measures].[MMS_180+_P]")</f>
        <v/>
      </c>
      <c r="CI219" s="68" t="str" vm="14225">
        <f>CUBEVALUE(ConnectionString,ReportMonth,Table1[[#This Row],[Site ID (from DATIM)]],"[Measures].[MMS_180+_A]")</f>
        <v/>
      </c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  <c r="CW219" s="68"/>
      <c r="CX219" s="68"/>
      <c r="CY219" s="68"/>
      <c r="CZ219" s="68"/>
      <c r="DA219" s="68"/>
      <c r="DB219" s="68"/>
      <c r="DC219" s="68"/>
    </row>
    <row r="220" spans="1:107" x14ac:dyDescent="0.25">
      <c r="A220" s="66">
        <v>4</v>
      </c>
      <c r="B220" s="67" t="str" vm="4">
        <f t="shared" si="4"/>
        <v>Mar-2021</v>
      </c>
      <c r="C220" s="67"/>
      <c r="D220" s="67" t="s">
        <v>232</v>
      </c>
      <c r="E220" s="67" t="s">
        <v>233</v>
      </c>
      <c r="F220" s="67" t="s">
        <v>831</v>
      </c>
      <c r="G220" s="67"/>
      <c r="H220" s="67" t="s">
        <v>856</v>
      </c>
      <c r="I220" s="67" t="s">
        <v>954</v>
      </c>
      <c r="J220" s="67" t="s">
        <v>955</v>
      </c>
      <c r="K220" s="67" t="s">
        <v>956</v>
      </c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 t="str" vm="2247">
        <f>CUBEVALUE(ConnectionString,ReportMonth,Table1[[#This Row],[Site ID (from DATIM)]],"TX_NEW_2VIS")</f>
        <v/>
      </c>
      <c r="AE220" s="67" t="str" vm="446">
        <f>CUBEVALUE(ConnectionString,ReportMonth,Table1[[#This Row],[Site ID (from DATIM)]],INDEX(SDI_Measures,1))</f>
        <v/>
      </c>
      <c r="AF220" s="67" t="str" vm="491">
        <f>CUBEVALUE(ConnectionString,ReportMonth,Table1[[#This Row],[Site ID (from DATIM)]],INDEX(SDI_Measures,2))</f>
        <v/>
      </c>
      <c r="AG220" s="67" t="str" vm="2279">
        <f>CUBEVALUE(ConnectionString,ReportMonth,Table1[[#This Row],[Site ID (from DATIM)]],INDEX(SDI_Measures,3))</f>
        <v/>
      </c>
      <c r="AH220" s="67" t="str" vm="3120">
        <f>CUBEVALUE(ConnectionString,ReportMonth,Table1[[#This Row],[Site ID (from DATIM)]],"TX_CURR_PRIOR_MONTH")</f>
        <v/>
      </c>
      <c r="AI220" s="67" t="str" vm="2322">
        <f>CUBEVALUE(ConnectionString,ReportMonth,Table1[[#This Row],[Site ID (from DATIM)]],"TX_CURR")</f>
        <v/>
      </c>
      <c r="AJ220" s="67" t="str" vm="967">
        <f>CUBEVALUE(ConnectionString,ReportMonth,Table1[[#This Row],[Site ID (from DATIM)]],"[Measures].[TI]")</f>
        <v/>
      </c>
      <c r="AK220" s="67" t="str" vm="2483">
        <f>CUBEVALUE(ConnectionString,ReportMonth,Table1[[#This Row],[Site ID (from DATIM)]],"[Measures].[TO]")</f>
        <v/>
      </c>
      <c r="AL220" s="67" t="str" vm="1394">
        <f>CUBEVALUE(ConnectionString,ReportMonth,Table1[[#This Row],[Site ID (from DATIM)]],"[Measures].[DIED]")</f>
        <v/>
      </c>
      <c r="AM220" s="67" t="str" vm="4602">
        <f>CUBEVALUE(ConnectionString,ReportMonth,Table1[[#This Row],[Site ID (from DATIM)]],"[Measures].[MMS_01_31]")</f>
        <v/>
      </c>
      <c r="AN220" s="67" t="str" vm="4971">
        <f>CUBEVALUE(ConnectionString,ReportMonth,Table1[[#This Row],[Site ID (from DATIM)]],"[Measures].[MMS_32_62]")</f>
        <v/>
      </c>
      <c r="AO220" s="67" t="str" vm="5040">
        <f>CUBEVALUE(ConnectionString,ReportMonth,Table1[[#This Row],[Site ID (from DATIM)]],"[Measures].[MMS_63+]")</f>
        <v/>
      </c>
      <c r="AP220" s="67" t="str" vm="5524">
        <f>CUBEVALUE(ConnectionString,ReportMonth,Table1[[#This Row],[Site ID (from DATIM)]],"[Measures].[TBPREV_D]")</f>
        <v/>
      </c>
      <c r="AQ220" s="67" t="str" vm="6143">
        <f>CUBEVALUE(ConnectionString,ReportMonth,Table1[[#This Row],[Site ID (from DATIM)]],"[Measures].[TBPREV_N]")</f>
        <v/>
      </c>
      <c r="AR220" s="67" t="str" vm="7522">
        <f>CUBEVALUE(ConnectionString,ReportMonth,Table1[[#This Row],[Site ID (from DATIM)]],"[Measures].[TBPREV_NEW]")</f>
        <v/>
      </c>
      <c r="AS220" s="67" t="str" vm="6702">
        <f>CUBEVALUE(ConnectionString,ReportMonth,Table1[[#This Row],[Site ID (from DATIM)]],"[Measures].[HVL_ELIG_P]")</f>
        <v/>
      </c>
      <c r="AT220" s="67" t="str" vm="7782">
        <f>CUBEVALUE(ConnectionString,ReportMonth,Table1[[#This Row],[Site ID (from DATIM)]],"[Measures].[HVL_D_P]")</f>
        <v/>
      </c>
      <c r="AU220" s="67" t="str" vm="8430">
        <f>CUBEVALUE(ConnectionString,ReportMonth,Table1[[#This Row],[Site ID (from DATIM)]],"[Measures].[HVL_N_P]")</f>
        <v/>
      </c>
      <c r="AV220" s="68" t="str" vm="12892">
        <f>CUBEVALUE(ConnectionString,ReportMonth,Table1[[#This Row],[Site ID (from DATIM)]],"[Measures].[HVL_ELIG_A]")</f>
        <v/>
      </c>
      <c r="AW220" s="68" t="str" vm="7043">
        <f>CUBEVALUE(ConnectionString,ReportMonth,Table1[[#This Row],[Site ID (from DATIM)]],"[Measures].[HVL_D_A]")</f>
        <v/>
      </c>
      <c r="AX220" s="68" t="str" vm="10270">
        <f>CUBEVALUE(ConnectionString,ReportMonth,Table1[[#This Row],[Site ID (from DATIM)]],"[Measures].[HVL_N_A]")</f>
        <v/>
      </c>
      <c r="AY220" s="67"/>
      <c r="AZ220" s="67"/>
      <c r="BA220" s="67"/>
      <c r="BB220" s="67"/>
      <c r="BC220" s="67"/>
      <c r="BD220" s="67"/>
      <c r="BE220" s="67"/>
      <c r="BF220" s="67"/>
      <c r="BG220" s="67" t="str" vm="14248">
        <f>CUBEVALUE(ConnectionString,ReportMonth,Table1[[#This Row],[Site ID (from DATIM)]],"[Measures].[TX_NEW_F_A]")</f>
        <v/>
      </c>
      <c r="BH220" s="67" t="str" vm="13301">
        <f>CUBEVALUE(ConnectionString,ReportMonth,Table1[[#This Row],[Site ID (from DATIM)]],"[Measures].[TX_NEW_M_A]")</f>
        <v/>
      </c>
      <c r="BI220" s="67" t="str" vm="14252">
        <f>CUBEVALUE(ConnectionString,ReportMonth,Table1[[#This Row],[Site ID (from DATIM)]],"[Measures].[TX_NEW_F_P]")</f>
        <v/>
      </c>
      <c r="BJ220" s="68" t="str" vm="17454">
        <f>CUBEVALUE(ConnectionString,ReportMonth,Table1[[#This Row],[Site ID (from DATIM)]],"[Measures].[TX_NEW_M_P]")</f>
        <v/>
      </c>
      <c r="BK220" s="68"/>
      <c r="BL220" s="68"/>
      <c r="BM220" s="68"/>
      <c r="BN220" s="68"/>
      <c r="BO220" s="68"/>
      <c r="BP220" s="68"/>
      <c r="BQ220" s="68" t="str" vm="11686">
        <f>CUBEVALUE(ConnectionString,ReportMonth,Table1[[#This Row],[Site ID (from DATIM)]],"[Measures].[TX_CURR_F_P]")</f>
        <v/>
      </c>
      <c r="BR220" s="68" t="str" vm="12793">
        <f>CUBEVALUE(ConnectionString,ReportMonth,Table1[[#This Row],[Site ID (from DATIM)]],"[Measures].[TX_CURR_M_P]")</f>
        <v/>
      </c>
      <c r="BS220" s="68" t="str" vm="9374">
        <f>CUBEVALUE(ConnectionString,ReportMonth,Table1[[#This Row],[Site ID (from DATIM)]],"[Measures].[TX_CURR_F_A]")</f>
        <v/>
      </c>
      <c r="BT220" s="68" t="str" vm="9692">
        <f>CUBEVALUE(ConnectionString,ReportMonth,Table1[[#This Row],[Site ID (from DATIM)]],"[Measures].[TX_CURR_M_A]")</f>
        <v/>
      </c>
      <c r="BU220" s="68" t="str" vm="18431">
        <f>CUBEVALUE(ConnectionString,ReportMonth,Table1[[#This Row],[Site ID (from DATIM)]],"[Measures].[MMS_01_89_F_P]")</f>
        <v/>
      </c>
      <c r="BV220" s="68" t="str" vm="19508">
        <f>CUBEVALUE(ConnectionString,ReportMonth,Table1[[#This Row],[Site ID (from DATIM)]],"[Measures].[MMS_01_89_M_P]")</f>
        <v/>
      </c>
      <c r="BW220" s="68" t="str" vm="19997">
        <f>CUBEVALUE(ConnectionString,ReportMonth,Table1[[#This Row],[Site ID (from DATIM)]],"[Measures].[MMS_01_89_F_A]")</f>
        <v/>
      </c>
      <c r="BX220" s="68" t="str" vm="19564">
        <f>CUBEVALUE(ConnectionString,ReportMonth,Table1[[#This Row],[Site ID (from DATIM)]],"[Measures].[MMS_01_89_M_A]")</f>
        <v/>
      </c>
      <c r="BY220" s="68" t="str" vm="14745">
        <f>CUBEVALUE(ConnectionString,ReportMonth,Table1[[#This Row],[Site ID (from DATIM)]],"[Measures].[MMS_90_179_F_P]")</f>
        <v/>
      </c>
      <c r="BZ220" s="68" t="str" vm="17787">
        <f>CUBEVALUE(ConnectionString,ReportMonth,Table1[[#This Row],[Site ID (from DATIM)]],"[Measures].[MMS_90_179_M_P]")</f>
        <v/>
      </c>
      <c r="CA220" s="68" t="str" vm="14681">
        <f>CUBEVALUE(ConnectionString,ReportMonth,Table1[[#This Row],[Site ID (from DATIM)]],"[Measures].[MMS_90_179_F_A]")</f>
        <v/>
      </c>
      <c r="CB220" s="68" t="str" vm="17271">
        <f>CUBEVALUE(ConnectionString,ReportMonth,Table1[[#This Row],[Site ID (from DATIM)]],"[Measures].[MMS_90_179_M_A]")</f>
        <v/>
      </c>
      <c r="CC220" s="68" t="str" vm="15835">
        <f>CUBEVALUE(ConnectionString,ReportMonth,Table1[[#This Row],[Site ID (from DATIM)]],"[Measures].[MMS_180+_F_P]")</f>
        <v/>
      </c>
      <c r="CD220" s="68" t="str" vm="159">
        <f>CUBEVALUE(ConnectionString,ReportMonth,Table1[[#This Row],[Site ID (from DATIM)]],"[Measures].[MMS_180+_M_P]")</f>
        <v/>
      </c>
      <c r="CE220" s="68" t="str" vm="15822">
        <f>CUBEVALUE(ConnectionString,ReportMonth,Table1[[#This Row],[Site ID (from DATIM)]],"[Measures].[MMS_180+_F_A]")</f>
        <v/>
      </c>
      <c r="CF220" s="68" t="str" vm="16278">
        <f>CUBEVALUE(ConnectionString,ReportMonth,Table1[[#This Row],[Site ID (from DATIM)]],"[Measures].[MMS_180+_M_A]")</f>
        <v/>
      </c>
      <c r="CG220" s="68" t="str" vm="7198">
        <f>CUBEVALUE(ConnectionString,ReportMonth,Table1[[#This Row],[Site ID (from DATIM)]],"[Measures].[MISSEDAPP]")</f>
        <v/>
      </c>
      <c r="CH220" s="68" t="str" vm="12780">
        <f>CUBEVALUE(ConnectionString,ReportMonth,Table1[[#This Row],[Site ID (from DATIM)]],"[Measures].[MMS_180+_P]")</f>
        <v/>
      </c>
      <c r="CI220" s="68" t="str" vm="11892">
        <f>CUBEVALUE(ConnectionString,ReportMonth,Table1[[#This Row],[Site ID (from DATIM)]],"[Measures].[MMS_180+_A]")</f>
        <v/>
      </c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  <c r="CW220" s="68"/>
      <c r="CX220" s="68"/>
      <c r="CY220" s="68"/>
      <c r="CZ220" s="68"/>
      <c r="DA220" s="68"/>
      <c r="DB220" s="68"/>
      <c r="DC220" s="68"/>
    </row>
    <row r="221" spans="1:107" x14ac:dyDescent="0.25">
      <c r="A221" s="66">
        <v>4</v>
      </c>
      <c r="B221" s="67" t="str" vm="4">
        <f t="shared" si="4"/>
        <v>Mar-2021</v>
      </c>
      <c r="C221" s="67"/>
      <c r="D221" s="67" t="s">
        <v>232</v>
      </c>
      <c r="E221" s="67" t="s">
        <v>233</v>
      </c>
      <c r="F221" s="67" t="s">
        <v>234</v>
      </c>
      <c r="G221" s="67"/>
      <c r="H221" s="67" t="s">
        <v>270</v>
      </c>
      <c r="I221" s="67" t="s">
        <v>323</v>
      </c>
      <c r="J221" s="67" t="s">
        <v>324</v>
      </c>
      <c r="K221" s="67" t="s">
        <v>325</v>
      </c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 vm="2520">
        <f>CUBEVALUE(ConnectionString,ReportMonth,Table1[[#This Row],[Site ID (from DATIM)]],"TX_NEW_2VIS")</f>
        <v>2</v>
      </c>
      <c r="AE221" s="67" t="str" vm="1685">
        <f>CUBEVALUE(ConnectionString,ReportMonth,Table1[[#This Row],[Site ID (from DATIM)]],INDEX(SDI_Measures,1))</f>
        <v/>
      </c>
      <c r="AF221" s="67" t="str" vm="3794">
        <f>CUBEVALUE(ConnectionString,ReportMonth,Table1[[#This Row],[Site ID (from DATIM)]],INDEX(SDI_Measures,2))</f>
        <v/>
      </c>
      <c r="AG221" s="67" t="str" vm="1112">
        <f>CUBEVALUE(ConnectionString,ReportMonth,Table1[[#This Row],[Site ID (from DATIM)]],INDEX(SDI_Measures,3))</f>
        <v/>
      </c>
      <c r="AH221" s="67" vm="4360">
        <f>CUBEVALUE(ConnectionString,ReportMonth,Table1[[#This Row],[Site ID (from DATIM)]],"TX_CURR_PRIOR_MONTH")</f>
        <v>41</v>
      </c>
      <c r="AI221" s="67" vm="869">
        <f>CUBEVALUE(ConnectionString,ReportMonth,Table1[[#This Row],[Site ID (from DATIM)]],"TX_CURR")</f>
        <v>37</v>
      </c>
      <c r="AJ221" s="67" t="str" vm="2419">
        <f>CUBEVALUE(ConnectionString,ReportMonth,Table1[[#This Row],[Site ID (from DATIM)]],"[Measures].[TI]")</f>
        <v/>
      </c>
      <c r="AK221" s="67" t="str" vm="1679">
        <f>CUBEVALUE(ConnectionString,ReportMonth,Table1[[#This Row],[Site ID (from DATIM)]],"[Measures].[TO]")</f>
        <v/>
      </c>
      <c r="AL221" s="67" t="str" vm="2547">
        <f>CUBEVALUE(ConnectionString,ReportMonth,Table1[[#This Row],[Site ID (from DATIM)]],"[Measures].[DIED]")</f>
        <v/>
      </c>
      <c r="AM221" s="67" vm="5413">
        <f>CUBEVALUE(ConnectionString,ReportMonth,Table1[[#This Row],[Site ID (from DATIM)]],"[Measures].[MMS_01_31]")</f>
        <v>28</v>
      </c>
      <c r="AN221" s="67" vm="6750">
        <f>CUBEVALUE(ConnectionString,ReportMonth,Table1[[#This Row],[Site ID (from DATIM)]],"[Measures].[MMS_32_62]")</f>
        <v>5</v>
      </c>
      <c r="AO221" s="67" vm="6153">
        <f>CUBEVALUE(ConnectionString,ReportMonth,Table1[[#This Row],[Site ID (from DATIM)]],"[Measures].[MMS_63+]")</f>
        <v>4</v>
      </c>
      <c r="AP221" s="67" t="str" vm="7964">
        <f>CUBEVALUE(ConnectionString,ReportMonth,Table1[[#This Row],[Site ID (from DATIM)]],"[Measures].[TBPREV_D]")</f>
        <v/>
      </c>
      <c r="AQ221" s="67" t="str" vm="7122">
        <f>CUBEVALUE(ConnectionString,ReportMonth,Table1[[#This Row],[Site ID (from DATIM)]],"[Measures].[TBPREV_N]")</f>
        <v/>
      </c>
      <c r="AR221" s="67" t="str" vm="5434">
        <f>CUBEVALUE(ConnectionString,ReportMonth,Table1[[#This Row],[Site ID (from DATIM)]],"[Measures].[TBPREV_NEW]")</f>
        <v/>
      </c>
      <c r="AS221" s="67" t="str" vm="7848">
        <f>CUBEVALUE(ConnectionString,ReportMonth,Table1[[#This Row],[Site ID (from DATIM)]],"[Measures].[HVL_ELIG_P]")</f>
        <v/>
      </c>
      <c r="AT221" s="67" t="str" vm="12372">
        <f>CUBEVALUE(ConnectionString,ReportMonth,Table1[[#This Row],[Site ID (from DATIM)]],"[Measures].[HVL_D_P]")</f>
        <v/>
      </c>
      <c r="AU221" s="67" t="str" vm="9633">
        <f>CUBEVALUE(ConnectionString,ReportMonth,Table1[[#This Row],[Site ID (from DATIM)]],"[Measures].[HVL_N_P]")</f>
        <v/>
      </c>
      <c r="AV221" s="68" vm="8168">
        <f>CUBEVALUE(ConnectionString,ReportMonth,Table1[[#This Row],[Site ID (from DATIM)]],"[Measures].[HVL_ELIG_A]")</f>
        <v>5</v>
      </c>
      <c r="AW221" s="68" t="str" vm="10795">
        <f>CUBEVALUE(ConnectionString,ReportMonth,Table1[[#This Row],[Site ID (from DATIM)]],"[Measures].[HVL_D_A]")</f>
        <v/>
      </c>
      <c r="AX221" s="68" t="str" vm="10554">
        <f>CUBEVALUE(ConnectionString,ReportMonth,Table1[[#This Row],[Site ID (from DATIM)]],"[Measures].[HVL_N_A]")</f>
        <v/>
      </c>
      <c r="AY221" s="67"/>
      <c r="AZ221" s="67"/>
      <c r="BA221" s="67"/>
      <c r="BB221" s="67"/>
      <c r="BC221" s="67"/>
      <c r="BD221" s="67"/>
      <c r="BE221" s="67"/>
      <c r="BF221" s="67"/>
      <c r="BG221" s="67" t="str" vm="14024">
        <f>CUBEVALUE(ConnectionString,ReportMonth,Table1[[#This Row],[Site ID (from DATIM)]],"[Measures].[TX_NEW_F_A]")</f>
        <v/>
      </c>
      <c r="BH221" s="67" t="str" vm="11008">
        <f>CUBEVALUE(ConnectionString,ReportMonth,Table1[[#This Row],[Site ID (from DATIM)]],"[Measures].[TX_NEW_M_A]")</f>
        <v/>
      </c>
      <c r="BI221" s="67" t="str" vm="12596">
        <f>CUBEVALUE(ConnectionString,ReportMonth,Table1[[#This Row],[Site ID (from DATIM)]],"[Measures].[TX_NEW_F_P]")</f>
        <v/>
      </c>
      <c r="BJ221" s="68" t="str" vm="12293">
        <f>CUBEVALUE(ConnectionString,ReportMonth,Table1[[#This Row],[Site ID (from DATIM)]],"[Measures].[TX_NEW_M_P]")</f>
        <v/>
      </c>
      <c r="BK221" s="68"/>
      <c r="BL221" s="68"/>
      <c r="BM221" s="68"/>
      <c r="BN221" s="68"/>
      <c r="BO221" s="68"/>
      <c r="BP221" s="68"/>
      <c r="BQ221" s="68" t="str" vm="10248">
        <f>CUBEVALUE(ConnectionString,ReportMonth,Table1[[#This Row],[Site ID (from DATIM)]],"[Measures].[TX_CURR_F_P]")</f>
        <v/>
      </c>
      <c r="BR221" s="68" t="str" vm="8636">
        <f>CUBEVALUE(ConnectionString,ReportMonth,Table1[[#This Row],[Site ID (from DATIM)]],"[Measures].[TX_CURR_M_P]")</f>
        <v/>
      </c>
      <c r="BS221" s="68" vm="12420">
        <f>CUBEVALUE(ConnectionString,ReportMonth,Table1[[#This Row],[Site ID (from DATIM)]],"[Measures].[TX_CURR_F_A]")</f>
        <v>29</v>
      </c>
      <c r="BT221" s="68" vm="9882">
        <f>CUBEVALUE(ConnectionString,ReportMonth,Table1[[#This Row],[Site ID (from DATIM)]],"[Measures].[TX_CURR_M_A]")</f>
        <v>8</v>
      </c>
      <c r="BU221" s="68" t="str" vm="19816">
        <f>CUBEVALUE(ConnectionString,ReportMonth,Table1[[#This Row],[Site ID (from DATIM)]],"[Measures].[MMS_01_89_F_P]")</f>
        <v/>
      </c>
      <c r="BV221" s="68" t="str" vm="19507">
        <f>CUBEVALUE(ConnectionString,ReportMonth,Table1[[#This Row],[Site ID (from DATIM)]],"[Measures].[MMS_01_89_M_P]")</f>
        <v/>
      </c>
      <c r="BW221" s="68" vm="18515">
        <f>CUBEVALUE(ConnectionString,ReportMonth,Table1[[#This Row],[Site ID (from DATIM)]],"[Measures].[MMS_01_89_F_A]")</f>
        <v>25</v>
      </c>
      <c r="BX221" s="68" vm="17981">
        <f>CUBEVALUE(ConnectionString,ReportMonth,Table1[[#This Row],[Site ID (from DATIM)]],"[Measures].[MMS_01_89_M_A]")</f>
        <v>8</v>
      </c>
      <c r="BY221" s="68" t="str" vm="19101">
        <f>CUBEVALUE(ConnectionString,ReportMonth,Table1[[#This Row],[Site ID (from DATIM)]],"[Measures].[MMS_90_179_F_P]")</f>
        <v/>
      </c>
      <c r="BZ221" s="68" t="str" vm="16913">
        <f>CUBEVALUE(ConnectionString,ReportMonth,Table1[[#This Row],[Site ID (from DATIM)]],"[Measures].[MMS_90_179_M_P]")</f>
        <v/>
      </c>
      <c r="CA221" s="68" vm="16489">
        <f>CUBEVALUE(ConnectionString,ReportMonth,Table1[[#This Row],[Site ID (from DATIM)]],"[Measures].[MMS_90_179_F_A]")</f>
        <v>4</v>
      </c>
      <c r="CB221" s="68" t="str" vm="15476">
        <f>CUBEVALUE(ConnectionString,ReportMonth,Table1[[#This Row],[Site ID (from DATIM)]],"[Measures].[MMS_90_179_M_A]")</f>
        <v/>
      </c>
      <c r="CC221" s="68" t="str" vm="16370">
        <f>CUBEVALUE(ConnectionString,ReportMonth,Table1[[#This Row],[Site ID (from DATIM)]],"[Measures].[MMS_180+_F_P]")</f>
        <v/>
      </c>
      <c r="CD221" s="68" t="str" vm="17114">
        <f>CUBEVALUE(ConnectionString,ReportMonth,Table1[[#This Row],[Site ID (from DATIM)]],"[Measures].[MMS_180+_M_P]")</f>
        <v/>
      </c>
      <c r="CE221" s="68" t="str" vm="14922">
        <f>CUBEVALUE(ConnectionString,ReportMonth,Table1[[#This Row],[Site ID (from DATIM)]],"[Measures].[MMS_180+_F_A]")</f>
        <v/>
      </c>
      <c r="CF221" s="68" t="str" vm="143">
        <f>CUBEVALUE(ConnectionString,ReportMonth,Table1[[#This Row],[Site ID (from DATIM)]],"[Measures].[MMS_180+_M_A]")</f>
        <v/>
      </c>
      <c r="CG221" s="68" vm="9226">
        <f>CUBEVALUE(ConnectionString,ReportMonth,Table1[[#This Row],[Site ID (from DATIM)]],"[Measures].[MISSEDAPP]")</f>
        <v>28</v>
      </c>
      <c r="CH221" s="68" t="str" vm="11607">
        <f>CUBEVALUE(ConnectionString,ReportMonth,Table1[[#This Row],[Site ID (from DATIM)]],"[Measures].[MMS_180+_P]")</f>
        <v/>
      </c>
      <c r="CI221" s="68" t="str" vm="14163">
        <f>CUBEVALUE(ConnectionString,ReportMonth,Table1[[#This Row],[Site ID (from DATIM)]],"[Measures].[MMS_180+_A]")</f>
        <v/>
      </c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  <c r="CW221" s="68"/>
      <c r="CX221" s="68"/>
      <c r="CY221" s="68"/>
      <c r="CZ221" s="68"/>
      <c r="DA221" s="68"/>
      <c r="DB221" s="68"/>
      <c r="DC221" s="68"/>
    </row>
    <row r="222" spans="1:107" x14ac:dyDescent="0.25">
      <c r="A222" s="66">
        <v>4</v>
      </c>
      <c r="B222" s="67" t="str" vm="4">
        <f t="shared" si="4"/>
        <v>Mar-2021</v>
      </c>
      <c r="C222" s="67"/>
      <c r="D222" s="67" t="s">
        <v>232</v>
      </c>
      <c r="E222" s="67" t="s">
        <v>233</v>
      </c>
      <c r="F222" s="67" t="s">
        <v>831</v>
      </c>
      <c r="G222" s="67"/>
      <c r="H222" s="67" t="s">
        <v>847</v>
      </c>
      <c r="I222" s="67" t="s">
        <v>848</v>
      </c>
      <c r="J222" s="67" t="s">
        <v>957</v>
      </c>
      <c r="K222" s="67" t="s">
        <v>958</v>
      </c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 t="str" vm="1099">
        <f>CUBEVALUE(ConnectionString,ReportMonth,Table1[[#This Row],[Site ID (from DATIM)]],"TX_NEW_2VIS")</f>
        <v/>
      </c>
      <c r="AE222" s="67" t="str" vm="352">
        <f>CUBEVALUE(ConnectionString,ReportMonth,Table1[[#This Row],[Site ID (from DATIM)]],INDEX(SDI_Measures,1))</f>
        <v/>
      </c>
      <c r="AF222" s="67" t="str" vm="2441">
        <f>CUBEVALUE(ConnectionString,ReportMonth,Table1[[#This Row],[Site ID (from DATIM)]],INDEX(SDI_Measures,2))</f>
        <v/>
      </c>
      <c r="AG222" s="67" t="str" vm="1543">
        <f>CUBEVALUE(ConnectionString,ReportMonth,Table1[[#This Row],[Site ID (from DATIM)]],INDEX(SDI_Measures,3))</f>
        <v/>
      </c>
      <c r="AH222" s="67" vm="2344">
        <f>CUBEVALUE(ConnectionString,ReportMonth,Table1[[#This Row],[Site ID (from DATIM)]],"TX_CURR_PRIOR_MONTH")</f>
        <v>26</v>
      </c>
      <c r="AI222" s="67" vm="575">
        <f>CUBEVALUE(ConnectionString,ReportMonth,Table1[[#This Row],[Site ID (from DATIM)]],"TX_CURR")</f>
        <v>25</v>
      </c>
      <c r="AJ222" s="67" t="str" vm="3445">
        <f>CUBEVALUE(ConnectionString,ReportMonth,Table1[[#This Row],[Site ID (from DATIM)]],"[Measures].[TI]")</f>
        <v/>
      </c>
      <c r="AK222" s="67" t="str" vm="3295">
        <f>CUBEVALUE(ConnectionString,ReportMonth,Table1[[#This Row],[Site ID (from DATIM)]],"[Measures].[TO]")</f>
        <v/>
      </c>
      <c r="AL222" s="67" t="str" vm="3771">
        <f>CUBEVALUE(ConnectionString,ReportMonth,Table1[[#This Row],[Site ID (from DATIM)]],"[Measures].[DIED]")</f>
        <v/>
      </c>
      <c r="AM222" s="67" vm="3385">
        <f>CUBEVALUE(ConnectionString,ReportMonth,Table1[[#This Row],[Site ID (from DATIM)]],"[Measures].[MMS_01_31]")</f>
        <v>14</v>
      </c>
      <c r="AN222" s="67" vm="7539">
        <f>CUBEVALUE(ConnectionString,ReportMonth,Table1[[#This Row],[Site ID (from DATIM)]],"[Measures].[MMS_32_62]")</f>
        <v>1</v>
      </c>
      <c r="AO222" s="67" vm="5899">
        <f>CUBEVALUE(ConnectionString,ReportMonth,Table1[[#This Row],[Site ID (from DATIM)]],"[Measures].[MMS_63+]")</f>
        <v>10</v>
      </c>
      <c r="AP222" s="67" t="str" vm="6477">
        <f>CUBEVALUE(ConnectionString,ReportMonth,Table1[[#This Row],[Site ID (from DATIM)]],"[Measures].[TBPREV_D]")</f>
        <v/>
      </c>
      <c r="AQ222" s="67" t="str" vm="13094">
        <f>CUBEVALUE(ConnectionString,ReportMonth,Table1[[#This Row],[Site ID (from DATIM)]],"[Measures].[TBPREV_N]")</f>
        <v/>
      </c>
      <c r="AR222" s="67" t="str" vm="4827">
        <f>CUBEVALUE(ConnectionString,ReportMonth,Table1[[#This Row],[Site ID (from DATIM)]],"[Measures].[TBPREV_NEW]")</f>
        <v/>
      </c>
      <c r="AS222" s="67" t="str" vm="5041">
        <f>CUBEVALUE(ConnectionString,ReportMonth,Table1[[#This Row],[Site ID (from DATIM)]],"[Measures].[HVL_ELIG_P]")</f>
        <v/>
      </c>
      <c r="AT222" s="67" t="str" vm="10017">
        <f>CUBEVALUE(ConnectionString,ReportMonth,Table1[[#This Row],[Site ID (from DATIM)]],"[Measures].[HVL_D_P]")</f>
        <v/>
      </c>
      <c r="AU222" s="67" t="str" vm="9861">
        <f>CUBEVALUE(ConnectionString,ReportMonth,Table1[[#This Row],[Site ID (from DATIM)]],"[Measures].[HVL_N_P]")</f>
        <v/>
      </c>
      <c r="AV222" s="68" vm="6615">
        <f>CUBEVALUE(ConnectionString,ReportMonth,Table1[[#This Row],[Site ID (from DATIM)]],"[Measures].[HVL_ELIG_A]")</f>
        <v>15</v>
      </c>
      <c r="AW222" s="68" vm="8034">
        <f>CUBEVALUE(ConnectionString,ReportMonth,Table1[[#This Row],[Site ID (from DATIM)]],"[Measures].[HVL_D_A]")</f>
        <v>5</v>
      </c>
      <c r="AX222" s="68" vm="8401">
        <f>CUBEVALUE(ConnectionString,ReportMonth,Table1[[#This Row],[Site ID (from DATIM)]],"[Measures].[HVL_N_A]")</f>
        <v>5</v>
      </c>
      <c r="AY222" s="67"/>
      <c r="AZ222" s="67"/>
      <c r="BA222" s="67"/>
      <c r="BB222" s="67"/>
      <c r="BC222" s="67"/>
      <c r="BD222" s="67"/>
      <c r="BE222" s="67"/>
      <c r="BF222" s="67"/>
      <c r="BG222" s="67" t="str" vm="11960">
        <f>CUBEVALUE(ConnectionString,ReportMonth,Table1[[#This Row],[Site ID (from DATIM)]],"[Measures].[TX_NEW_F_A]")</f>
        <v/>
      </c>
      <c r="BH222" s="67" t="str" vm="13011">
        <f>CUBEVALUE(ConnectionString,ReportMonth,Table1[[#This Row],[Site ID (from DATIM)]],"[Measures].[TX_NEW_M_A]")</f>
        <v/>
      </c>
      <c r="BI222" s="67" t="str" vm="17425">
        <f>CUBEVALUE(ConnectionString,ReportMonth,Table1[[#This Row],[Site ID (from DATIM)]],"[Measures].[TX_NEW_F_P]")</f>
        <v/>
      </c>
      <c r="BJ222" s="68" t="str" vm="17039">
        <f>CUBEVALUE(ConnectionString,ReportMonth,Table1[[#This Row],[Site ID (from DATIM)]],"[Measures].[TX_NEW_M_P]")</f>
        <v/>
      </c>
      <c r="BK222" s="68"/>
      <c r="BL222" s="68"/>
      <c r="BM222" s="68"/>
      <c r="BN222" s="68"/>
      <c r="BO222" s="68"/>
      <c r="BP222" s="68"/>
      <c r="BQ222" s="68" t="str" vm="6825">
        <f>CUBEVALUE(ConnectionString,ReportMonth,Table1[[#This Row],[Site ID (from DATIM)]],"[Measures].[TX_CURR_F_P]")</f>
        <v/>
      </c>
      <c r="BR222" s="68" t="str" vm="10814">
        <f>CUBEVALUE(ConnectionString,ReportMonth,Table1[[#This Row],[Site ID (from DATIM)]],"[Measures].[TX_CURR_M_P]")</f>
        <v/>
      </c>
      <c r="BS222" s="68" vm="8645">
        <f>CUBEVALUE(ConnectionString,ReportMonth,Table1[[#This Row],[Site ID (from DATIM)]],"[Measures].[TX_CURR_F_A]")</f>
        <v>25</v>
      </c>
      <c r="BT222" s="68" t="str" vm="9435">
        <f>CUBEVALUE(ConnectionString,ReportMonth,Table1[[#This Row],[Site ID (from DATIM)]],"[Measures].[TX_CURR_M_A]")</f>
        <v/>
      </c>
      <c r="BU222" s="68" t="str" vm="19762">
        <f>CUBEVALUE(ConnectionString,ReportMonth,Table1[[#This Row],[Site ID (from DATIM)]],"[Measures].[MMS_01_89_F_P]")</f>
        <v/>
      </c>
      <c r="BV222" s="68" t="str" vm="19245">
        <f>CUBEVALUE(ConnectionString,ReportMonth,Table1[[#This Row],[Site ID (from DATIM)]],"[Measures].[MMS_01_89_M_P]")</f>
        <v/>
      </c>
      <c r="BW222" s="68" vm="16951">
        <f>CUBEVALUE(ConnectionString,ReportMonth,Table1[[#This Row],[Site ID (from DATIM)]],"[Measures].[MMS_01_89_F_A]")</f>
        <v>15</v>
      </c>
      <c r="BX222" s="68" t="str" vm="18062">
        <f>CUBEVALUE(ConnectionString,ReportMonth,Table1[[#This Row],[Site ID (from DATIM)]],"[Measures].[MMS_01_89_M_A]")</f>
        <v/>
      </c>
      <c r="BY222" s="68" t="str" vm="16097">
        <f>CUBEVALUE(ConnectionString,ReportMonth,Table1[[#This Row],[Site ID (from DATIM)]],"[Measures].[MMS_90_179_F_P]")</f>
        <v/>
      </c>
      <c r="BZ222" s="68" t="str" vm="15241">
        <f>CUBEVALUE(ConnectionString,ReportMonth,Table1[[#This Row],[Site ID (from DATIM)]],"[Measures].[MMS_90_179_M_P]")</f>
        <v/>
      </c>
      <c r="CA222" s="68" vm="15933">
        <f>CUBEVALUE(ConnectionString,ReportMonth,Table1[[#This Row],[Site ID (from DATIM)]],"[Measures].[MMS_90_179_F_A]")</f>
        <v>10</v>
      </c>
      <c r="CB222" s="68" t="str" vm="14936">
        <f>CUBEVALUE(ConnectionString,ReportMonth,Table1[[#This Row],[Site ID (from DATIM)]],"[Measures].[MMS_90_179_M_A]")</f>
        <v/>
      </c>
      <c r="CC222" s="68" t="str" vm="17310">
        <f>CUBEVALUE(ConnectionString,ReportMonth,Table1[[#This Row],[Site ID (from DATIM)]],"[Measures].[MMS_180+_F_P]")</f>
        <v/>
      </c>
      <c r="CD222" s="68" t="str" vm="20226">
        <f>CUBEVALUE(ConnectionString,ReportMonth,Table1[[#This Row],[Site ID (from DATIM)]],"[Measures].[MMS_180+_M_P]")</f>
        <v/>
      </c>
      <c r="CE222" s="68" t="str" vm="16709">
        <f>CUBEVALUE(ConnectionString,ReportMonth,Table1[[#This Row],[Site ID (from DATIM)]],"[Measures].[MMS_180+_F_A]")</f>
        <v/>
      </c>
      <c r="CF222" s="68" t="str" vm="223">
        <f>CUBEVALUE(ConnectionString,ReportMonth,Table1[[#This Row],[Site ID (from DATIM)]],"[Measures].[MMS_180+_M_A]")</f>
        <v/>
      </c>
      <c r="CG222" s="68" vm="7340">
        <f>CUBEVALUE(ConnectionString,ReportMonth,Table1[[#This Row],[Site ID (from DATIM)]],"[Measures].[MISSEDAPP]")</f>
        <v>13</v>
      </c>
      <c r="CH222" s="68" t="str" vm="14019">
        <f>CUBEVALUE(ConnectionString,ReportMonth,Table1[[#This Row],[Site ID (from DATIM)]],"[Measures].[MMS_180+_P]")</f>
        <v/>
      </c>
      <c r="CI222" s="68" t="str" vm="14066">
        <f>CUBEVALUE(ConnectionString,ReportMonth,Table1[[#This Row],[Site ID (from DATIM)]],"[Measures].[MMS_180+_A]")</f>
        <v/>
      </c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  <c r="CW222" s="68"/>
      <c r="CX222" s="68"/>
      <c r="CY222" s="68"/>
      <c r="CZ222" s="68"/>
      <c r="DA222" s="68"/>
      <c r="DB222" s="68"/>
      <c r="DC222" s="68"/>
    </row>
    <row r="223" spans="1:107" x14ac:dyDescent="0.25">
      <c r="A223" s="66">
        <v>2</v>
      </c>
      <c r="B223" s="67" t="str" vm="4">
        <f t="shared" si="4"/>
        <v>Mar-2021</v>
      </c>
      <c r="C223" s="67"/>
      <c r="D223" s="67" t="s">
        <v>232</v>
      </c>
      <c r="E223" s="67" t="s">
        <v>233</v>
      </c>
      <c r="F223" s="67" t="s">
        <v>831</v>
      </c>
      <c r="G223" s="67"/>
      <c r="H223" s="67" t="s">
        <v>856</v>
      </c>
      <c r="I223" s="67" t="s">
        <v>939</v>
      </c>
      <c r="J223" s="67" t="s">
        <v>959</v>
      </c>
      <c r="K223" s="67" t="s">
        <v>960</v>
      </c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 vm="2737">
        <f>CUBEVALUE(ConnectionString,ReportMonth,Table1[[#This Row],[Site ID (from DATIM)]],"TX_NEW_2VIS")</f>
        <v>2</v>
      </c>
      <c r="AE223" s="67" t="str" vm="3747">
        <f>CUBEVALUE(ConnectionString,ReportMonth,Table1[[#This Row],[Site ID (from DATIM)]],INDEX(SDI_Measures,1))</f>
        <v/>
      </c>
      <c r="AF223" s="67" t="str" vm="4422">
        <f>CUBEVALUE(ConnectionString,ReportMonth,Table1[[#This Row],[Site ID (from DATIM)]],INDEX(SDI_Measures,2))</f>
        <v/>
      </c>
      <c r="AG223" s="67" t="str" vm="2105">
        <f>CUBEVALUE(ConnectionString,ReportMonth,Table1[[#This Row],[Site ID (from DATIM)]],INDEX(SDI_Measures,3))</f>
        <v/>
      </c>
      <c r="AH223" s="67" vm="2085">
        <f>CUBEVALUE(ConnectionString,ReportMonth,Table1[[#This Row],[Site ID (from DATIM)]],"TX_CURR_PRIOR_MONTH")</f>
        <v>736</v>
      </c>
      <c r="AI223" s="67" vm="1638">
        <f>CUBEVALUE(ConnectionString,ReportMonth,Table1[[#This Row],[Site ID (from DATIM)]],"TX_CURR")</f>
        <v>689</v>
      </c>
      <c r="AJ223" s="67" vm="842">
        <f>CUBEVALUE(ConnectionString,ReportMonth,Table1[[#This Row],[Site ID (from DATIM)]],"[Measures].[TI]")</f>
        <v>1</v>
      </c>
      <c r="AK223" s="67" t="str" vm="6287">
        <f>CUBEVALUE(ConnectionString,ReportMonth,Table1[[#This Row],[Site ID (from DATIM)]],"[Measures].[TO]")</f>
        <v/>
      </c>
      <c r="AL223" s="67" t="str" vm="2534">
        <f>CUBEVALUE(ConnectionString,ReportMonth,Table1[[#This Row],[Site ID (from DATIM)]],"[Measures].[DIED]")</f>
        <v/>
      </c>
      <c r="AM223" s="67" vm="3833">
        <f>CUBEVALUE(ConnectionString,ReportMonth,Table1[[#This Row],[Site ID (from DATIM)]],"[Measures].[MMS_01_31]")</f>
        <v>59</v>
      </c>
      <c r="AN223" s="67" vm="5109">
        <f>CUBEVALUE(ConnectionString,ReportMonth,Table1[[#This Row],[Site ID (from DATIM)]],"[Measures].[MMS_32_62]")</f>
        <v>21</v>
      </c>
      <c r="AO223" s="67" vm="5838">
        <f>CUBEVALUE(ConnectionString,ReportMonth,Table1[[#This Row],[Site ID (from DATIM)]],"[Measures].[MMS_63+]")</f>
        <v>609</v>
      </c>
      <c r="AP223" s="67" vm="6567">
        <f>CUBEVALUE(ConnectionString,ReportMonth,Table1[[#This Row],[Site ID (from DATIM)]],"[Measures].[TBPREV_D]")</f>
        <v>3</v>
      </c>
      <c r="AQ223" s="67" vm="7320">
        <f>CUBEVALUE(ConnectionString,ReportMonth,Table1[[#This Row],[Site ID (from DATIM)]],"[Measures].[TBPREV_N]")</f>
        <v>3</v>
      </c>
      <c r="AR223" s="67" vm="5589">
        <f>CUBEVALUE(ConnectionString,ReportMonth,Table1[[#This Row],[Site ID (from DATIM)]],"[Measures].[TBPREV_NEW]")</f>
        <v>2</v>
      </c>
      <c r="AS223" s="67" vm="6768">
        <f>CUBEVALUE(ConnectionString,ReportMonth,Table1[[#This Row],[Site ID (from DATIM)]],"[Measures].[HVL_ELIG_P]")</f>
        <v>25</v>
      </c>
      <c r="AT223" s="67" vm="12416">
        <f>CUBEVALUE(ConnectionString,ReportMonth,Table1[[#This Row],[Site ID (from DATIM)]],"[Measures].[HVL_D_P]")</f>
        <v>25</v>
      </c>
      <c r="AU223" s="67" vm="16165">
        <f>CUBEVALUE(ConnectionString,ReportMonth,Table1[[#This Row],[Site ID (from DATIM)]],"[Measures].[HVL_N_P]")</f>
        <v>24</v>
      </c>
      <c r="AV223" s="68" vm="8619">
        <f>CUBEVALUE(ConnectionString,ReportMonth,Table1[[#This Row],[Site ID (from DATIM)]],"[Measures].[HVL_ELIG_A]")</f>
        <v>642</v>
      </c>
      <c r="AW223" s="68" vm="9497">
        <f>CUBEVALUE(ConnectionString,ReportMonth,Table1[[#This Row],[Site ID (from DATIM)]],"[Measures].[HVL_D_A]")</f>
        <v>605</v>
      </c>
      <c r="AX223" s="68" vm="10199">
        <f>CUBEVALUE(ConnectionString,ReportMonth,Table1[[#This Row],[Site ID (from DATIM)]],"[Measures].[HVL_N_A]")</f>
        <v>593</v>
      </c>
      <c r="AY223" s="67"/>
      <c r="AZ223" s="67"/>
      <c r="BA223" s="67"/>
      <c r="BB223" s="67"/>
      <c r="BC223" s="67"/>
      <c r="BD223" s="67"/>
      <c r="BE223" s="67"/>
      <c r="BF223" s="67"/>
      <c r="BG223" s="67" t="str" vm="12615">
        <f>CUBEVALUE(ConnectionString,ReportMonth,Table1[[#This Row],[Site ID (from DATIM)]],"[Measures].[TX_NEW_F_A]")</f>
        <v/>
      </c>
      <c r="BH223" s="67" t="str" vm="12830">
        <f>CUBEVALUE(ConnectionString,ReportMonth,Table1[[#This Row],[Site ID (from DATIM)]],"[Measures].[TX_NEW_M_A]")</f>
        <v/>
      </c>
      <c r="BI223" s="67" t="str" vm="12325">
        <f>CUBEVALUE(ConnectionString,ReportMonth,Table1[[#This Row],[Site ID (from DATIM)]],"[Measures].[TX_NEW_F_P]")</f>
        <v/>
      </c>
      <c r="BJ223" s="68" t="str" vm="15685">
        <f>CUBEVALUE(ConnectionString,ReportMonth,Table1[[#This Row],[Site ID (from DATIM)]],"[Measures].[TX_NEW_M_P]")</f>
        <v/>
      </c>
      <c r="BK223" s="68"/>
      <c r="BL223" s="68"/>
      <c r="BM223" s="68"/>
      <c r="BN223" s="68"/>
      <c r="BO223" s="68"/>
      <c r="BP223" s="68"/>
      <c r="BQ223" s="68" vm="10790">
        <f>CUBEVALUE(ConnectionString,ReportMonth,Table1[[#This Row],[Site ID (from DATIM)]],"[Measures].[TX_CURR_F_P]")</f>
        <v>13</v>
      </c>
      <c r="BR223" s="68" vm="6811">
        <f>CUBEVALUE(ConnectionString,ReportMonth,Table1[[#This Row],[Site ID (from DATIM)]],"[Measures].[TX_CURR_M_P]")</f>
        <v>13</v>
      </c>
      <c r="BS223" s="68" vm="8923">
        <f>CUBEVALUE(ConnectionString,ReportMonth,Table1[[#This Row],[Site ID (from DATIM)]],"[Measures].[TX_CURR_F_A]")</f>
        <v>449</v>
      </c>
      <c r="BT223" s="68" vm="11561">
        <f>CUBEVALUE(ConnectionString,ReportMonth,Table1[[#This Row],[Site ID (from DATIM)]],"[Measures].[TX_CURR_M_A]")</f>
        <v>214</v>
      </c>
      <c r="BU223" s="68" vm="19272">
        <f>CUBEVALUE(ConnectionString,ReportMonth,Table1[[#This Row],[Site ID (from DATIM)]],"[Measures].[MMS_01_89_F_P]")</f>
        <v>7</v>
      </c>
      <c r="BV223" s="68" vm="19479">
        <f>CUBEVALUE(ConnectionString,ReportMonth,Table1[[#This Row],[Site ID (from DATIM)]],"[Measures].[MMS_01_89_M_P]")</f>
        <v>3</v>
      </c>
      <c r="BW223" s="68" vm="19273">
        <f>CUBEVALUE(ConnectionString,ReportMonth,Table1[[#This Row],[Site ID (from DATIM)]],"[Measures].[MMS_01_89_F_A]")</f>
        <v>39</v>
      </c>
      <c r="BX223" s="68" vm="19234">
        <f>CUBEVALUE(ConnectionString,ReportMonth,Table1[[#This Row],[Site ID (from DATIM)]],"[Measures].[MMS_01_89_M_A]")</f>
        <v>32</v>
      </c>
      <c r="BY223" s="68" vm="18856">
        <f>CUBEVALUE(ConnectionString,ReportMonth,Table1[[#This Row],[Site ID (from DATIM)]],"[Measures].[MMS_90_179_F_P]")</f>
        <v>6</v>
      </c>
      <c r="BZ223" s="68" vm="15197">
        <f>CUBEVALUE(ConnectionString,ReportMonth,Table1[[#This Row],[Site ID (from DATIM)]],"[Measures].[MMS_90_179_M_P]")</f>
        <v>10</v>
      </c>
      <c r="CA223" s="68" vm="18456">
        <f>CUBEVALUE(ConnectionString,ReportMonth,Table1[[#This Row],[Site ID (from DATIM)]],"[Measures].[MMS_90_179_F_A]")</f>
        <v>408</v>
      </c>
      <c r="CB223" s="68" vm="16434">
        <f>CUBEVALUE(ConnectionString,ReportMonth,Table1[[#This Row],[Site ID (from DATIM)]],"[Measures].[MMS_90_179_M_A]")</f>
        <v>181</v>
      </c>
      <c r="CC223" s="68" t="str" vm="16004">
        <f>CUBEVALUE(ConnectionString,ReportMonth,Table1[[#This Row],[Site ID (from DATIM)]],"[Measures].[MMS_180+_F_P]")</f>
        <v/>
      </c>
      <c r="CD223" s="68" t="str" vm="17490">
        <f>CUBEVALUE(ConnectionString,ReportMonth,Table1[[#This Row],[Site ID (from DATIM)]],"[Measures].[MMS_180+_M_P]")</f>
        <v/>
      </c>
      <c r="CE223" s="68" vm="17166">
        <f>CUBEVALUE(ConnectionString,ReportMonth,Table1[[#This Row],[Site ID (from DATIM)]],"[Measures].[MMS_180+_F_A]")</f>
        <v>2</v>
      </c>
      <c r="CF223" s="68" vm="16625">
        <f>CUBEVALUE(ConnectionString,ReportMonth,Table1[[#This Row],[Site ID (from DATIM)]],"[Measures].[MMS_180+_M_A]")</f>
        <v>1</v>
      </c>
      <c r="CG223" s="68" vm="13852">
        <f>CUBEVALUE(ConnectionString,ReportMonth,Table1[[#This Row],[Site ID (from DATIM)]],"[Measures].[MISSEDAPP]")</f>
        <v>149</v>
      </c>
      <c r="CH223" s="68" t="str" vm="12106">
        <f>CUBEVALUE(ConnectionString,ReportMonth,Table1[[#This Row],[Site ID (from DATIM)]],"[Measures].[MMS_180+_P]")</f>
        <v/>
      </c>
      <c r="CI223" s="68" vm="10365">
        <f>CUBEVALUE(ConnectionString,ReportMonth,Table1[[#This Row],[Site ID (from DATIM)]],"[Measures].[MMS_180+_A]")</f>
        <v>3</v>
      </c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</row>
    <row r="224" spans="1:107" x14ac:dyDescent="0.25">
      <c r="A224" s="66">
        <v>4</v>
      </c>
      <c r="B224" s="67" t="str" vm="4">
        <f t="shared" si="4"/>
        <v>Mar-2021</v>
      </c>
      <c r="C224" s="67"/>
      <c r="D224" s="67" t="s">
        <v>232</v>
      </c>
      <c r="E224" s="67" t="s">
        <v>233</v>
      </c>
      <c r="F224" s="67" t="s">
        <v>1083</v>
      </c>
      <c r="G224" s="67"/>
      <c r="H224" s="67" t="s">
        <v>1099</v>
      </c>
      <c r="I224" s="67" t="s">
        <v>1207</v>
      </c>
      <c r="J224" s="67" t="s">
        <v>1208</v>
      </c>
      <c r="K224" s="67" t="s">
        <v>1209</v>
      </c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 t="str" vm="1090">
        <f>CUBEVALUE(ConnectionString,ReportMonth,Table1[[#This Row],[Site ID (from DATIM)]],"TX_NEW_2VIS")</f>
        <v/>
      </c>
      <c r="AE224" s="67" t="str" vm="484">
        <f>CUBEVALUE(ConnectionString,ReportMonth,Table1[[#This Row],[Site ID (from DATIM)]],INDEX(SDI_Measures,1))</f>
        <v/>
      </c>
      <c r="AF224" s="67" t="str" vm="2457">
        <f>CUBEVALUE(ConnectionString,ReportMonth,Table1[[#This Row],[Site ID (from DATIM)]],INDEX(SDI_Measures,2))</f>
        <v/>
      </c>
      <c r="AG224" s="67" t="str" vm="765">
        <f>CUBEVALUE(ConnectionString,ReportMonth,Table1[[#This Row],[Site ID (from DATIM)]],INDEX(SDI_Measures,3))</f>
        <v/>
      </c>
      <c r="AH224" s="67" vm="1270">
        <f>CUBEVALUE(ConnectionString,ReportMonth,Table1[[#This Row],[Site ID (from DATIM)]],"TX_CURR_PRIOR_MONTH")</f>
        <v>102</v>
      </c>
      <c r="AI224" s="67" vm="3741">
        <f>CUBEVALUE(ConnectionString,ReportMonth,Table1[[#This Row],[Site ID (from DATIM)]],"TX_CURR")</f>
        <v>100</v>
      </c>
      <c r="AJ224" s="67" t="str" vm="2339">
        <f>CUBEVALUE(ConnectionString,ReportMonth,Table1[[#This Row],[Site ID (from DATIM)]],"[Measures].[TI]")</f>
        <v/>
      </c>
      <c r="AK224" s="67" t="str" vm="1637">
        <f>CUBEVALUE(ConnectionString,ReportMonth,Table1[[#This Row],[Site ID (from DATIM)]],"[Measures].[TO]")</f>
        <v/>
      </c>
      <c r="AL224" s="67" t="str" vm="3655">
        <f>CUBEVALUE(ConnectionString,ReportMonth,Table1[[#This Row],[Site ID (from DATIM)]],"[Measures].[DIED]")</f>
        <v/>
      </c>
      <c r="AM224" s="67" vm="4005">
        <f>CUBEVALUE(ConnectionString,ReportMonth,Table1[[#This Row],[Site ID (from DATIM)]],"[Measures].[MMS_01_31]")</f>
        <v>35</v>
      </c>
      <c r="AN224" s="67" vm="11432">
        <f>CUBEVALUE(ConnectionString,ReportMonth,Table1[[#This Row],[Site ID (from DATIM)]],"[Measures].[MMS_32_62]")</f>
        <v>1</v>
      </c>
      <c r="AO224" s="67" vm="13804">
        <f>CUBEVALUE(ConnectionString,ReportMonth,Table1[[#This Row],[Site ID (from DATIM)]],"[Measures].[MMS_63+]")</f>
        <v>64</v>
      </c>
      <c r="AP224" s="67" t="str" vm="4189">
        <f>CUBEVALUE(ConnectionString,ReportMonth,Table1[[#This Row],[Site ID (from DATIM)]],"[Measures].[TBPREV_D]")</f>
        <v/>
      </c>
      <c r="AQ224" s="67" t="str" vm="9222">
        <f>CUBEVALUE(ConnectionString,ReportMonth,Table1[[#This Row],[Site ID (from DATIM)]],"[Measures].[TBPREV_N]")</f>
        <v/>
      </c>
      <c r="AR224" s="67" t="str" vm="6414">
        <f>CUBEVALUE(ConnectionString,ReportMonth,Table1[[#This Row],[Site ID (from DATIM)]],"[Measures].[TBPREV_NEW]")</f>
        <v/>
      </c>
      <c r="AS224" s="67" vm="13384">
        <f>CUBEVALUE(ConnectionString,ReportMonth,Table1[[#This Row],[Site ID (from DATIM)]],"[Measures].[HVL_ELIG_P]")</f>
        <v>11</v>
      </c>
      <c r="AT224" s="67" vm="5951">
        <f>CUBEVALUE(ConnectionString,ReportMonth,Table1[[#This Row],[Site ID (from DATIM)]],"[Measures].[HVL_D_P]")</f>
        <v>3</v>
      </c>
      <c r="AU224" s="67" vm="7706">
        <f>CUBEVALUE(ConnectionString,ReportMonth,Table1[[#This Row],[Site ID (from DATIM)]],"[Measures].[HVL_N_P]")</f>
        <v>3</v>
      </c>
      <c r="AV224" s="68" vm="8302">
        <f>CUBEVALUE(ConnectionString,ReportMonth,Table1[[#This Row],[Site ID (from DATIM)]],"[Measures].[HVL_ELIG_A]")</f>
        <v>79</v>
      </c>
      <c r="AW224" s="68" vm="6838">
        <f>CUBEVALUE(ConnectionString,ReportMonth,Table1[[#This Row],[Site ID (from DATIM)]],"[Measures].[HVL_D_A]")</f>
        <v>21</v>
      </c>
      <c r="AX224" s="68" vm="12240">
        <f>CUBEVALUE(ConnectionString,ReportMonth,Table1[[#This Row],[Site ID (from DATIM)]],"[Measures].[HVL_N_A]")</f>
        <v>20</v>
      </c>
      <c r="AY224" s="67"/>
      <c r="AZ224" s="67"/>
      <c r="BA224" s="67"/>
      <c r="BB224" s="67"/>
      <c r="BC224" s="67"/>
      <c r="BD224" s="67"/>
      <c r="BE224" s="67"/>
      <c r="BF224" s="67"/>
      <c r="BG224" s="67" t="str" vm="11181">
        <f>CUBEVALUE(ConnectionString,ReportMonth,Table1[[#This Row],[Site ID (from DATIM)]],"[Measures].[TX_NEW_F_A]")</f>
        <v/>
      </c>
      <c r="BH224" s="67" t="str" vm="12904">
        <f>CUBEVALUE(ConnectionString,ReportMonth,Table1[[#This Row],[Site ID (from DATIM)]],"[Measures].[TX_NEW_M_A]")</f>
        <v/>
      </c>
      <c r="BI224" s="67" t="str" vm="16566">
        <f>CUBEVALUE(ConnectionString,ReportMonth,Table1[[#This Row],[Site ID (from DATIM)]],"[Measures].[TX_NEW_F_P]")</f>
        <v/>
      </c>
      <c r="BJ224" s="68" t="str" vm="13739">
        <f>CUBEVALUE(ConnectionString,ReportMonth,Table1[[#This Row],[Site ID (from DATIM)]],"[Measures].[TX_NEW_M_P]")</f>
        <v/>
      </c>
      <c r="BK224" s="68"/>
      <c r="BL224" s="68"/>
      <c r="BM224" s="68"/>
      <c r="BN224" s="68"/>
      <c r="BO224" s="68"/>
      <c r="BP224" s="68"/>
      <c r="BQ224" s="68" vm="8976">
        <f>CUBEVALUE(ConnectionString,ReportMonth,Table1[[#This Row],[Site ID (from DATIM)]],"[Measures].[TX_CURR_F_P]")</f>
        <v>6</v>
      </c>
      <c r="BR224" s="68" vm="12976">
        <f>CUBEVALUE(ConnectionString,ReportMonth,Table1[[#This Row],[Site ID (from DATIM)]],"[Measures].[TX_CURR_M_P]")</f>
        <v>7</v>
      </c>
      <c r="BS224" s="68" vm="10099">
        <f>CUBEVALUE(ConnectionString,ReportMonth,Table1[[#This Row],[Site ID (from DATIM)]],"[Measures].[TX_CURR_F_A]")</f>
        <v>56</v>
      </c>
      <c r="BT224" s="68" vm="8793">
        <f>CUBEVALUE(ConnectionString,ReportMonth,Table1[[#This Row],[Site ID (from DATIM)]],"[Measures].[TX_CURR_M_A]")</f>
        <v>31</v>
      </c>
      <c r="BU224" s="68" vm="18240">
        <f>CUBEVALUE(ConnectionString,ReportMonth,Table1[[#This Row],[Site ID (from DATIM)]],"[Measures].[MMS_01_89_F_P]")</f>
        <v>4</v>
      </c>
      <c r="BV224" s="68" vm="18106">
        <f>CUBEVALUE(ConnectionString,ReportMonth,Table1[[#This Row],[Site ID (from DATIM)]],"[Measures].[MMS_01_89_M_P]")</f>
        <v>3</v>
      </c>
      <c r="BW224" s="68" vm="18643">
        <f>CUBEVALUE(ConnectionString,ReportMonth,Table1[[#This Row],[Site ID (from DATIM)]],"[Measures].[MMS_01_89_F_A]")</f>
        <v>18</v>
      </c>
      <c r="BX224" s="68" vm="17938">
        <f>CUBEVALUE(ConnectionString,ReportMonth,Table1[[#This Row],[Site ID (from DATIM)]],"[Measures].[MMS_01_89_M_A]")</f>
        <v>13</v>
      </c>
      <c r="BY224" s="68" vm="19150">
        <f>CUBEVALUE(ConnectionString,ReportMonth,Table1[[#This Row],[Site ID (from DATIM)]],"[Measures].[MMS_90_179_F_P]")</f>
        <v>2</v>
      </c>
      <c r="BZ224" s="68" vm="15213">
        <f>CUBEVALUE(ConnectionString,ReportMonth,Table1[[#This Row],[Site ID (from DATIM)]],"[Measures].[MMS_90_179_M_P]")</f>
        <v>4</v>
      </c>
      <c r="CA224" s="68" vm="16441">
        <f>CUBEVALUE(ConnectionString,ReportMonth,Table1[[#This Row],[Site ID (from DATIM)]],"[Measures].[MMS_90_179_F_A]")</f>
        <v>38</v>
      </c>
      <c r="CB224" s="68" vm="16439">
        <f>CUBEVALUE(ConnectionString,ReportMonth,Table1[[#This Row],[Site ID (from DATIM)]],"[Measures].[MMS_90_179_M_A]")</f>
        <v>18</v>
      </c>
      <c r="CC224" s="68" t="str" vm="16392">
        <f>CUBEVALUE(ConnectionString,ReportMonth,Table1[[#This Row],[Site ID (from DATIM)]],"[Measures].[MMS_180+_F_P]")</f>
        <v/>
      </c>
      <c r="CD224" s="68" t="str" vm="17244">
        <f>CUBEVALUE(ConnectionString,ReportMonth,Table1[[#This Row],[Site ID (from DATIM)]],"[Measures].[MMS_180+_M_P]")</f>
        <v/>
      </c>
      <c r="CE224" s="68" t="str" vm="14539">
        <f>CUBEVALUE(ConnectionString,ReportMonth,Table1[[#This Row],[Site ID (from DATIM)]],"[Measures].[MMS_180+_F_A]")</f>
        <v/>
      </c>
      <c r="CF224" s="68" t="str" vm="289">
        <f>CUBEVALUE(ConnectionString,ReportMonth,Table1[[#This Row],[Site ID (from DATIM)]],"[Measures].[MMS_180+_M_A]")</f>
        <v/>
      </c>
      <c r="CG224" s="68" vm="11874">
        <f>CUBEVALUE(ConnectionString,ReportMonth,Table1[[#This Row],[Site ID (from DATIM)]],"[Measures].[MISSEDAPP]")</f>
        <v>65</v>
      </c>
      <c r="CH224" s="68" t="str" vm="13934">
        <f>CUBEVALUE(ConnectionString,ReportMonth,Table1[[#This Row],[Site ID (from DATIM)]],"[Measures].[MMS_180+_P]")</f>
        <v/>
      </c>
      <c r="CI224" s="68" t="str" vm="12204">
        <f>CUBEVALUE(ConnectionString,ReportMonth,Table1[[#This Row],[Site ID (from DATIM)]],"[Measures].[MMS_180+_A]")</f>
        <v/>
      </c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</row>
    <row r="225" spans="1:107" x14ac:dyDescent="0.25">
      <c r="A225" s="66">
        <v>2</v>
      </c>
      <c r="B225" s="67" t="str" vm="4">
        <f t="shared" si="4"/>
        <v>Mar-2021</v>
      </c>
      <c r="C225" s="67"/>
      <c r="D225" s="67" t="s">
        <v>232</v>
      </c>
      <c r="E225" s="67" t="s">
        <v>233</v>
      </c>
      <c r="F225" s="67" t="s">
        <v>1083</v>
      </c>
      <c r="G225" s="67"/>
      <c r="H225" s="67" t="s">
        <v>1099</v>
      </c>
      <c r="I225" s="67" t="s">
        <v>1210</v>
      </c>
      <c r="J225" s="67" t="s">
        <v>1211</v>
      </c>
      <c r="K225" s="67" t="s">
        <v>1212</v>
      </c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 vm="781">
        <f>CUBEVALUE(ConnectionString,ReportMonth,Table1[[#This Row],[Site ID (from DATIM)]],"TX_NEW_2VIS")</f>
        <v>1</v>
      </c>
      <c r="AE225" s="67" t="str" vm="1130">
        <f>CUBEVALUE(ConnectionString,ReportMonth,Table1[[#This Row],[Site ID (from DATIM)]],INDEX(SDI_Measures,1))</f>
        <v/>
      </c>
      <c r="AF225" s="67" t="str" vm="5871">
        <f>CUBEVALUE(ConnectionString,ReportMonth,Table1[[#This Row],[Site ID (from DATIM)]],INDEX(SDI_Measures,2))</f>
        <v/>
      </c>
      <c r="AG225" s="67" t="str" vm="3266">
        <f>CUBEVALUE(ConnectionString,ReportMonth,Table1[[#This Row],[Site ID (from DATIM)]],INDEX(SDI_Measures,3))</f>
        <v/>
      </c>
      <c r="AH225" s="67" vm="2134">
        <f>CUBEVALUE(ConnectionString,ReportMonth,Table1[[#This Row],[Site ID (from DATIM)]],"TX_CURR_PRIOR_MONTH")</f>
        <v>720</v>
      </c>
      <c r="AI225" s="67" vm="583">
        <f>CUBEVALUE(ConnectionString,ReportMonth,Table1[[#This Row],[Site ID (from DATIM)]],"TX_CURR")</f>
        <v>671</v>
      </c>
      <c r="AJ225" s="67" t="str" vm="4239">
        <f>CUBEVALUE(ConnectionString,ReportMonth,Table1[[#This Row],[Site ID (from DATIM)]],"[Measures].[TI]")</f>
        <v/>
      </c>
      <c r="AK225" s="67" vm="3572">
        <f>CUBEVALUE(ConnectionString,ReportMonth,Table1[[#This Row],[Site ID (from DATIM)]],"[Measures].[TO]")</f>
        <v>1</v>
      </c>
      <c r="AL225" s="67" t="str" vm="908">
        <f>CUBEVALUE(ConnectionString,ReportMonth,Table1[[#This Row],[Site ID (from DATIM)]],"[Measures].[DIED]")</f>
        <v/>
      </c>
      <c r="AM225" s="67" vm="4822">
        <f>CUBEVALUE(ConnectionString,ReportMonth,Table1[[#This Row],[Site ID (from DATIM)]],"[Measures].[MMS_01_31]")</f>
        <v>248</v>
      </c>
      <c r="AN225" s="67" vm="5063">
        <f>CUBEVALUE(ConnectionString,ReportMonth,Table1[[#This Row],[Site ID (from DATIM)]],"[Measures].[MMS_32_62]")</f>
        <v>3</v>
      </c>
      <c r="AO225" s="67" vm="9344">
        <f>CUBEVALUE(ConnectionString,ReportMonth,Table1[[#This Row],[Site ID (from DATIM)]],"[Measures].[MMS_63+]")</f>
        <v>420</v>
      </c>
      <c r="AP225" s="67" vm="5285">
        <f>CUBEVALUE(ConnectionString,ReportMonth,Table1[[#This Row],[Site ID (from DATIM)]],"[Measures].[TBPREV_D]")</f>
        <v>7</v>
      </c>
      <c r="AQ225" s="67" vm="6943">
        <f>CUBEVALUE(ConnectionString,ReportMonth,Table1[[#This Row],[Site ID (from DATIM)]],"[Measures].[TBPREV_N]")</f>
        <v>3</v>
      </c>
      <c r="AR225" s="67" t="str" vm="6237">
        <f>CUBEVALUE(ConnectionString,ReportMonth,Table1[[#This Row],[Site ID (from DATIM)]],"[Measures].[TBPREV_NEW]")</f>
        <v/>
      </c>
      <c r="AS225" s="67" vm="10038">
        <f>CUBEVALUE(ConnectionString,ReportMonth,Table1[[#This Row],[Site ID (from DATIM)]],"[Measures].[HVL_ELIG_P]")</f>
        <v>33</v>
      </c>
      <c r="AT225" s="67" vm="6799">
        <f>CUBEVALUE(ConnectionString,ReportMonth,Table1[[#This Row],[Site ID (from DATIM)]],"[Measures].[HVL_D_P]")</f>
        <v>23</v>
      </c>
      <c r="AU225" s="67" vm="9897">
        <f>CUBEVALUE(ConnectionString,ReportMonth,Table1[[#This Row],[Site ID (from DATIM)]],"[Measures].[HVL_N_P]")</f>
        <v>19</v>
      </c>
      <c r="AV225" s="68" vm="8316">
        <f>CUBEVALUE(ConnectionString,ReportMonth,Table1[[#This Row],[Site ID (from DATIM)]],"[Measures].[HVL_ELIG_A]")</f>
        <v>544</v>
      </c>
      <c r="AW225" s="68" vm="9557">
        <f>CUBEVALUE(ConnectionString,ReportMonth,Table1[[#This Row],[Site ID (from DATIM)]],"[Measures].[HVL_D_A]")</f>
        <v>358</v>
      </c>
      <c r="AX225" s="68" vm="11822">
        <f>CUBEVALUE(ConnectionString,ReportMonth,Table1[[#This Row],[Site ID (from DATIM)]],"[Measures].[HVL_N_A]")</f>
        <v>349</v>
      </c>
      <c r="AY225" s="67"/>
      <c r="AZ225" s="67"/>
      <c r="BA225" s="67"/>
      <c r="BB225" s="67"/>
      <c r="BC225" s="67"/>
      <c r="BD225" s="67"/>
      <c r="BE225" s="67"/>
      <c r="BF225" s="67"/>
      <c r="BG225" s="67" t="str" vm="12050">
        <f>CUBEVALUE(ConnectionString,ReportMonth,Table1[[#This Row],[Site ID (from DATIM)]],"[Measures].[TX_NEW_F_A]")</f>
        <v/>
      </c>
      <c r="BH225" s="67" t="str" vm="12174">
        <f>CUBEVALUE(ConnectionString,ReportMonth,Table1[[#This Row],[Site ID (from DATIM)]],"[Measures].[TX_NEW_M_A]")</f>
        <v/>
      </c>
      <c r="BI225" s="67" t="str" vm="13205">
        <f>CUBEVALUE(ConnectionString,ReportMonth,Table1[[#This Row],[Site ID (from DATIM)]],"[Measures].[TX_NEW_F_P]")</f>
        <v/>
      </c>
      <c r="BJ225" s="68" t="str" vm="13199">
        <f>CUBEVALUE(ConnectionString,ReportMonth,Table1[[#This Row],[Site ID (from DATIM)]],"[Measures].[TX_NEW_M_P]")</f>
        <v/>
      </c>
      <c r="BK225" s="68"/>
      <c r="BL225" s="68"/>
      <c r="BM225" s="68"/>
      <c r="BN225" s="68"/>
      <c r="BO225" s="68"/>
      <c r="BP225" s="68"/>
      <c r="BQ225" s="68" vm="11145">
        <f>CUBEVALUE(ConnectionString,ReportMonth,Table1[[#This Row],[Site ID (from DATIM)]],"[Measures].[TX_CURR_F_P]")</f>
        <v>15</v>
      </c>
      <c r="BR225" s="68" vm="8732">
        <f>CUBEVALUE(ConnectionString,ReportMonth,Table1[[#This Row],[Site ID (from DATIM)]],"[Measures].[TX_CURR_M_P]")</f>
        <v>25</v>
      </c>
      <c r="BS225" s="68" vm="11534">
        <f>CUBEVALUE(ConnectionString,ReportMonth,Table1[[#This Row],[Site ID (from DATIM)]],"[Measures].[TX_CURR_F_A]")</f>
        <v>443</v>
      </c>
      <c r="BT225" s="68" vm="12735">
        <f>CUBEVALUE(ConnectionString,ReportMonth,Table1[[#This Row],[Site ID (from DATIM)]],"[Measures].[TX_CURR_M_A]")</f>
        <v>188</v>
      </c>
      <c r="BU225" s="68" vm="19012">
        <f>CUBEVALUE(ConnectionString,ReportMonth,Table1[[#This Row],[Site ID (from DATIM)]],"[Measures].[MMS_01_89_F_P]")</f>
        <v>7</v>
      </c>
      <c r="BV225" s="68" vm="18953">
        <f>CUBEVALUE(ConnectionString,ReportMonth,Table1[[#This Row],[Site ID (from DATIM)]],"[Measures].[MMS_01_89_M_P]")</f>
        <v>16</v>
      </c>
      <c r="BW225" s="68" vm="18330">
        <f>CUBEVALUE(ConnectionString,ReportMonth,Table1[[#This Row],[Site ID (from DATIM)]],"[Measures].[MMS_01_89_F_A]")</f>
        <v>168</v>
      </c>
      <c r="BX225" s="68" vm="19929">
        <f>CUBEVALUE(ConnectionString,ReportMonth,Table1[[#This Row],[Site ID (from DATIM)]],"[Measures].[MMS_01_89_M_A]")</f>
        <v>71</v>
      </c>
      <c r="BY225" s="68" vm="14763">
        <f>CUBEVALUE(ConnectionString,ReportMonth,Table1[[#This Row],[Site ID (from DATIM)]],"[Measures].[MMS_90_179_F_P]")</f>
        <v>8</v>
      </c>
      <c r="BZ225" s="68" vm="19861">
        <f>CUBEVALUE(ConnectionString,ReportMonth,Table1[[#This Row],[Site ID (from DATIM)]],"[Measures].[MMS_90_179_M_P]")</f>
        <v>9</v>
      </c>
      <c r="CA225" s="68" vm="17224">
        <f>CUBEVALUE(ConnectionString,ReportMonth,Table1[[#This Row],[Site ID (from DATIM)]],"[Measures].[MMS_90_179_F_A]")</f>
        <v>275</v>
      </c>
      <c r="CB225" s="68" vm="17868">
        <f>CUBEVALUE(ConnectionString,ReportMonth,Table1[[#This Row],[Site ID (from DATIM)]],"[Measures].[MMS_90_179_M_A]")</f>
        <v>117</v>
      </c>
      <c r="CC225" s="68" t="str" vm="17290">
        <f>CUBEVALUE(ConnectionString,ReportMonth,Table1[[#This Row],[Site ID (from DATIM)]],"[Measures].[MMS_180+_F_P]")</f>
        <v/>
      </c>
      <c r="CD225" s="68" t="str" vm="14530">
        <f>CUBEVALUE(ConnectionString,ReportMonth,Table1[[#This Row],[Site ID (from DATIM)]],"[Measures].[MMS_180+_M_P]")</f>
        <v/>
      </c>
      <c r="CE225" s="68" t="str" vm="315">
        <f>CUBEVALUE(ConnectionString,ReportMonth,Table1[[#This Row],[Site ID (from DATIM)]],"[Measures].[MMS_180+_F_A]")</f>
        <v/>
      </c>
      <c r="CF225" s="68" t="str" vm="16665">
        <f>CUBEVALUE(ConnectionString,ReportMonth,Table1[[#This Row],[Site ID (from DATIM)]],"[Measures].[MMS_180+_M_A]")</f>
        <v/>
      </c>
      <c r="CG225" s="68" vm="8080">
        <f>CUBEVALUE(ConnectionString,ReportMonth,Table1[[#This Row],[Site ID (from DATIM)]],"[Measures].[MISSEDAPP]")</f>
        <v>368</v>
      </c>
      <c r="CH225" s="68" t="str" vm="15673">
        <f>CUBEVALUE(ConnectionString,ReportMonth,Table1[[#This Row],[Site ID (from DATIM)]],"[Measures].[MMS_180+_P]")</f>
        <v/>
      </c>
      <c r="CI225" s="68" t="str" vm="12386">
        <f>CUBEVALUE(ConnectionString,ReportMonth,Table1[[#This Row],[Site ID (from DATIM)]],"[Measures].[MMS_180+_A]")</f>
        <v/>
      </c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68"/>
    </row>
    <row r="226" spans="1:107" x14ac:dyDescent="0.25">
      <c r="A226" s="66">
        <v>4</v>
      </c>
      <c r="B226" s="67" t="str" vm="4">
        <f t="shared" si="4"/>
        <v>Mar-2021</v>
      </c>
      <c r="C226" s="67"/>
      <c r="D226" s="67" t="s">
        <v>232</v>
      </c>
      <c r="E226" s="67" t="s">
        <v>233</v>
      </c>
      <c r="F226" s="67" t="s">
        <v>831</v>
      </c>
      <c r="G226" s="67"/>
      <c r="H226" s="67" t="s">
        <v>856</v>
      </c>
      <c r="I226" s="67" t="s">
        <v>961</v>
      </c>
      <c r="J226" s="67" t="s">
        <v>962</v>
      </c>
      <c r="K226" s="67" t="s">
        <v>963</v>
      </c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 t="str" vm="2034">
        <f>CUBEVALUE(ConnectionString,ReportMonth,Table1[[#This Row],[Site ID (from DATIM)]],"TX_NEW_2VIS")</f>
        <v/>
      </c>
      <c r="AE226" s="67" t="str" vm="391">
        <f>CUBEVALUE(ConnectionString,ReportMonth,Table1[[#This Row],[Site ID (from DATIM)]],INDEX(SDI_Measures,1))</f>
        <v/>
      </c>
      <c r="AF226" s="67" t="str" vm="5581">
        <f>CUBEVALUE(ConnectionString,ReportMonth,Table1[[#This Row],[Site ID (from DATIM)]],INDEX(SDI_Measures,2))</f>
        <v/>
      </c>
      <c r="AG226" s="67" t="str" vm="4420">
        <f>CUBEVALUE(ConnectionString,ReportMonth,Table1[[#This Row],[Site ID (from DATIM)]],INDEX(SDI_Measures,3))</f>
        <v/>
      </c>
      <c r="AH226" s="67" vm="2106">
        <f>CUBEVALUE(ConnectionString,ReportMonth,Table1[[#This Row],[Site ID (from DATIM)]],"TX_CURR_PRIOR_MONTH")</f>
        <v>47</v>
      </c>
      <c r="AI226" s="67" vm="2238">
        <f>CUBEVALUE(ConnectionString,ReportMonth,Table1[[#This Row],[Site ID (from DATIM)]],"TX_CURR")</f>
        <v>45</v>
      </c>
      <c r="AJ226" s="67" t="str" vm="4393">
        <f>CUBEVALUE(ConnectionString,ReportMonth,Table1[[#This Row],[Site ID (from DATIM)]],"[Measures].[TI]")</f>
        <v/>
      </c>
      <c r="AK226" s="67" t="str" vm="2609">
        <f>CUBEVALUE(ConnectionString,ReportMonth,Table1[[#This Row],[Site ID (from DATIM)]],"[Measures].[TO]")</f>
        <v/>
      </c>
      <c r="AL226" s="67" t="str" vm="1404">
        <f>CUBEVALUE(ConnectionString,ReportMonth,Table1[[#This Row],[Site ID (from DATIM)]],"[Measures].[DIED]")</f>
        <v/>
      </c>
      <c r="AM226" s="67" vm="4317">
        <f>CUBEVALUE(ConnectionString,ReportMonth,Table1[[#This Row],[Site ID (from DATIM)]],"[Measures].[MMS_01_31]")</f>
        <v>15</v>
      </c>
      <c r="AN226" s="67" vm="7414">
        <f>CUBEVALUE(ConnectionString,ReportMonth,Table1[[#This Row],[Site ID (from DATIM)]],"[Measures].[MMS_32_62]")</f>
        <v>1</v>
      </c>
      <c r="AO226" s="67" vm="9227">
        <f>CUBEVALUE(ConnectionString,ReportMonth,Table1[[#This Row],[Site ID (from DATIM)]],"[Measures].[MMS_63+]")</f>
        <v>29</v>
      </c>
      <c r="AP226" s="67" t="str" vm="5416">
        <f>CUBEVALUE(ConnectionString,ReportMonth,Table1[[#This Row],[Site ID (from DATIM)]],"[Measures].[TBPREV_D]")</f>
        <v/>
      </c>
      <c r="AQ226" s="67" t="str" vm="4765">
        <f>CUBEVALUE(ConnectionString,ReportMonth,Table1[[#This Row],[Site ID (from DATIM)]],"[Measures].[TBPREV_N]")</f>
        <v/>
      </c>
      <c r="AR226" s="67" t="str" vm="5936">
        <f>CUBEVALUE(ConnectionString,ReportMonth,Table1[[#This Row],[Site ID (from DATIM)]],"[Measures].[TBPREV_NEW]")</f>
        <v/>
      </c>
      <c r="AS226" s="67" t="str" vm="9107">
        <f>CUBEVALUE(ConnectionString,ReportMonth,Table1[[#This Row],[Site ID (from DATIM)]],"[Measures].[HVL_ELIG_P]")</f>
        <v/>
      </c>
      <c r="AT226" s="67" t="str" vm="6711">
        <f>CUBEVALUE(ConnectionString,ReportMonth,Table1[[#This Row],[Site ID (from DATIM)]],"[Measures].[HVL_D_P]")</f>
        <v/>
      </c>
      <c r="AU226" s="67" t="str" vm="10083">
        <f>CUBEVALUE(ConnectionString,ReportMonth,Table1[[#This Row],[Site ID (from DATIM)]],"[Measures].[HVL_N_P]")</f>
        <v/>
      </c>
      <c r="AV226" s="68" t="str" vm="9114">
        <f>CUBEVALUE(ConnectionString,ReportMonth,Table1[[#This Row],[Site ID (from DATIM)]],"[Measures].[HVL_ELIG_A]")</f>
        <v/>
      </c>
      <c r="AW226" s="68" vm="11972">
        <f>CUBEVALUE(ConnectionString,ReportMonth,Table1[[#This Row],[Site ID (from DATIM)]],"[Measures].[HVL_D_A]")</f>
        <v>13</v>
      </c>
      <c r="AX226" s="68" vm="8311">
        <f>CUBEVALUE(ConnectionString,ReportMonth,Table1[[#This Row],[Site ID (from DATIM)]],"[Measures].[HVL_N_A]")</f>
        <v>13</v>
      </c>
      <c r="AY226" s="67"/>
      <c r="AZ226" s="67"/>
      <c r="BA226" s="67"/>
      <c r="BB226" s="67"/>
      <c r="BC226" s="67"/>
      <c r="BD226" s="67"/>
      <c r="BE226" s="67"/>
      <c r="BF226" s="67"/>
      <c r="BG226" s="67" t="str" vm="11231">
        <f>CUBEVALUE(ConnectionString,ReportMonth,Table1[[#This Row],[Site ID (from DATIM)]],"[Measures].[TX_NEW_F_A]")</f>
        <v/>
      </c>
      <c r="BH226" s="67" t="str" vm="11186">
        <f>CUBEVALUE(ConnectionString,ReportMonth,Table1[[#This Row],[Site ID (from DATIM)]],"[Measures].[TX_NEW_M_A]")</f>
        <v/>
      </c>
      <c r="BI226" s="67" t="str" vm="12564">
        <f>CUBEVALUE(ConnectionString,ReportMonth,Table1[[#This Row],[Site ID (from DATIM)]],"[Measures].[TX_NEW_F_P]")</f>
        <v/>
      </c>
      <c r="BJ226" s="68" t="str" vm="14831">
        <f>CUBEVALUE(ConnectionString,ReportMonth,Table1[[#This Row],[Site ID (from DATIM)]],"[Measures].[TX_NEW_M_P]")</f>
        <v/>
      </c>
      <c r="BK226" s="68"/>
      <c r="BL226" s="68"/>
      <c r="BM226" s="68"/>
      <c r="BN226" s="68"/>
      <c r="BO226" s="68"/>
      <c r="BP226" s="68"/>
      <c r="BQ226" s="68" t="str" vm="14313">
        <f>CUBEVALUE(ConnectionString,ReportMonth,Table1[[#This Row],[Site ID (from DATIM)]],"[Measures].[TX_CURR_F_P]")</f>
        <v/>
      </c>
      <c r="BR226" s="68" vm="7710">
        <f>CUBEVALUE(ConnectionString,ReportMonth,Table1[[#This Row],[Site ID (from DATIM)]],"[Measures].[TX_CURR_M_P]")</f>
        <v>1</v>
      </c>
      <c r="BS226" s="68" vm="17394">
        <f>CUBEVALUE(ConnectionString,ReportMonth,Table1[[#This Row],[Site ID (from DATIM)]],"[Measures].[TX_CURR_F_A]")</f>
        <v>38</v>
      </c>
      <c r="BT226" s="68" vm="7248">
        <f>CUBEVALUE(ConnectionString,ReportMonth,Table1[[#This Row],[Site ID (from DATIM)]],"[Measures].[TX_CURR_M_A]")</f>
        <v>6</v>
      </c>
      <c r="BU226" s="68" t="str" vm="19442">
        <f>CUBEVALUE(ConnectionString,ReportMonth,Table1[[#This Row],[Site ID (from DATIM)]],"[Measures].[MMS_01_89_F_P]")</f>
        <v/>
      </c>
      <c r="BV226" s="68" t="str" vm="18403">
        <f>CUBEVALUE(ConnectionString,ReportMonth,Table1[[#This Row],[Site ID (from DATIM)]],"[Measures].[MMS_01_89_M_P]")</f>
        <v/>
      </c>
      <c r="BW226" s="68" vm="19699">
        <f>CUBEVALUE(ConnectionString,ReportMonth,Table1[[#This Row],[Site ID (from DATIM)]],"[Measures].[MMS_01_89_F_A]")</f>
        <v>13</v>
      </c>
      <c r="BX226" s="68" vm="15252">
        <f>CUBEVALUE(ConnectionString,ReportMonth,Table1[[#This Row],[Site ID (from DATIM)]],"[Measures].[MMS_01_89_M_A]")</f>
        <v>3</v>
      </c>
      <c r="BY226" s="68" t="str" vm="18795">
        <f>CUBEVALUE(ConnectionString,ReportMonth,Table1[[#This Row],[Site ID (from DATIM)]],"[Measures].[MMS_90_179_F_P]")</f>
        <v/>
      </c>
      <c r="BZ226" s="68" vm="16001">
        <f>CUBEVALUE(ConnectionString,ReportMonth,Table1[[#This Row],[Site ID (from DATIM)]],"[Measures].[MMS_90_179_M_P]")</f>
        <v>1</v>
      </c>
      <c r="CA226" s="68" vm="16379">
        <f>CUBEVALUE(ConnectionString,ReportMonth,Table1[[#This Row],[Site ID (from DATIM)]],"[Measures].[MMS_90_179_F_A]")</f>
        <v>25</v>
      </c>
      <c r="CB226" s="68" vm="15991">
        <f>CUBEVALUE(ConnectionString,ReportMonth,Table1[[#This Row],[Site ID (from DATIM)]],"[Measures].[MMS_90_179_M_A]")</f>
        <v>3</v>
      </c>
      <c r="CC226" s="68" t="str" vm="17605">
        <f>CUBEVALUE(ConnectionString,ReportMonth,Table1[[#This Row],[Site ID (from DATIM)]],"[Measures].[MMS_180+_F_P]")</f>
        <v/>
      </c>
      <c r="CD226" s="68" t="str" vm="17171">
        <f>CUBEVALUE(ConnectionString,ReportMonth,Table1[[#This Row],[Site ID (from DATIM)]],"[Measures].[MMS_180+_M_P]")</f>
        <v/>
      </c>
      <c r="CE226" s="68" t="str" vm="16212">
        <f>CUBEVALUE(ConnectionString,ReportMonth,Table1[[#This Row],[Site ID (from DATIM)]],"[Measures].[MMS_180+_F_A]")</f>
        <v/>
      </c>
      <c r="CF226" s="68" t="str" vm="17528">
        <f>CUBEVALUE(ConnectionString,ReportMonth,Table1[[#This Row],[Site ID (from DATIM)]],"[Measures].[MMS_180+_M_A]")</f>
        <v/>
      </c>
      <c r="CG226" s="68" vm="5322">
        <f>CUBEVALUE(ConnectionString,ReportMonth,Table1[[#This Row],[Site ID (from DATIM)]],"[Measures].[MISSEDAPP]")</f>
        <v>31</v>
      </c>
      <c r="CH226" s="68" t="str" vm="11203">
        <f>CUBEVALUE(ConnectionString,ReportMonth,Table1[[#This Row],[Site ID (from DATIM)]],"[Measures].[MMS_180+_P]")</f>
        <v/>
      </c>
      <c r="CI226" s="68" t="str" vm="13391">
        <f>CUBEVALUE(ConnectionString,ReportMonth,Table1[[#This Row],[Site ID (from DATIM)]],"[Measures].[MMS_180+_A]")</f>
        <v/>
      </c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68"/>
      <c r="DA226" s="68"/>
      <c r="DB226" s="68"/>
      <c r="DC226" s="68"/>
    </row>
    <row r="227" spans="1:107" x14ac:dyDescent="0.25">
      <c r="A227" s="66">
        <v>2</v>
      </c>
      <c r="B227" s="67" t="str" vm="4">
        <f t="shared" si="4"/>
        <v>Mar-2021</v>
      </c>
      <c r="C227" s="67"/>
      <c r="D227" s="67" t="s">
        <v>232</v>
      </c>
      <c r="E227" s="67" t="s">
        <v>233</v>
      </c>
      <c r="F227" s="67" t="s">
        <v>831</v>
      </c>
      <c r="G227" s="67"/>
      <c r="H227" s="67" t="s">
        <v>836</v>
      </c>
      <c r="I227" s="67" t="s">
        <v>306</v>
      </c>
      <c r="J227" s="67" t="s">
        <v>964</v>
      </c>
      <c r="K227" s="67" t="s">
        <v>965</v>
      </c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 vm="3158">
        <f>CUBEVALUE(ConnectionString,ReportMonth,Table1[[#This Row],[Site ID (from DATIM)]],"TX_NEW_2VIS")</f>
        <v>3</v>
      </c>
      <c r="AE227" s="67" vm="2094">
        <f>CUBEVALUE(ConnectionString,ReportMonth,Table1[[#This Row],[Site ID (from DATIM)]],INDEX(SDI_Measures,1))</f>
        <v>5</v>
      </c>
      <c r="AF227" s="67" t="str" vm="3723">
        <f>CUBEVALUE(ConnectionString,ReportMonth,Table1[[#This Row],[Site ID (from DATIM)]],INDEX(SDI_Measures,2))</f>
        <v/>
      </c>
      <c r="AG227" s="67" t="str" vm="939">
        <f>CUBEVALUE(ConnectionString,ReportMonth,Table1[[#This Row],[Site ID (from DATIM)]],INDEX(SDI_Measures,3))</f>
        <v/>
      </c>
      <c r="AH227" s="67" vm="1434">
        <f>CUBEVALUE(ConnectionString,ReportMonth,Table1[[#This Row],[Site ID (from DATIM)]],"TX_CURR_PRIOR_MONTH")</f>
        <v>1248</v>
      </c>
      <c r="AI227" s="67" vm="2080">
        <f>CUBEVALUE(ConnectionString,ReportMonth,Table1[[#This Row],[Site ID (from DATIM)]],"TX_CURR")</f>
        <v>1213</v>
      </c>
      <c r="AJ227" s="67" t="str" vm="3809">
        <f>CUBEVALUE(ConnectionString,ReportMonth,Table1[[#This Row],[Site ID (from DATIM)]],"[Measures].[TI]")</f>
        <v/>
      </c>
      <c r="AK227" s="67" vm="2514">
        <f>CUBEVALUE(ConnectionString,ReportMonth,Table1[[#This Row],[Site ID (from DATIM)]],"[Measures].[TO]")</f>
        <v>2</v>
      </c>
      <c r="AL227" s="67" t="str" vm="2376">
        <f>CUBEVALUE(ConnectionString,ReportMonth,Table1[[#This Row],[Site ID (from DATIM)]],"[Measures].[DIED]")</f>
        <v/>
      </c>
      <c r="AM227" s="67" vm="6861">
        <f>CUBEVALUE(ConnectionString,ReportMonth,Table1[[#This Row],[Site ID (from DATIM)]],"[Measures].[MMS_01_31]")</f>
        <v>136</v>
      </c>
      <c r="AN227" s="67" vm="5343">
        <f>CUBEVALUE(ConnectionString,ReportMonth,Table1[[#This Row],[Site ID (from DATIM)]],"[Measures].[MMS_32_62]")</f>
        <v>120</v>
      </c>
      <c r="AO227" s="67" vm="5837">
        <f>CUBEVALUE(ConnectionString,ReportMonth,Table1[[#This Row],[Site ID (from DATIM)]],"[Measures].[MMS_63+]")</f>
        <v>957</v>
      </c>
      <c r="AP227" s="67" vm="7398">
        <f>CUBEVALUE(ConnectionString,ReportMonth,Table1[[#This Row],[Site ID (from DATIM)]],"[Measures].[TBPREV_D]")</f>
        <v>17</v>
      </c>
      <c r="AQ227" s="67" vm="5884">
        <f>CUBEVALUE(ConnectionString,ReportMonth,Table1[[#This Row],[Site ID (from DATIM)]],"[Measures].[TBPREV_N]")</f>
        <v>14</v>
      </c>
      <c r="AR227" s="67" vm="5237">
        <f>CUBEVALUE(ConnectionString,ReportMonth,Table1[[#This Row],[Site ID (from DATIM)]],"[Measures].[TBPREV_NEW]")</f>
        <v>3</v>
      </c>
      <c r="AS227" s="67" vm="11817">
        <f>CUBEVALUE(ConnectionString,ReportMonth,Table1[[#This Row],[Site ID (from DATIM)]],"[Measures].[HVL_ELIG_P]")</f>
        <v>35</v>
      </c>
      <c r="AT227" s="67" vm="6275">
        <f>CUBEVALUE(ConnectionString,ReportMonth,Table1[[#This Row],[Site ID (from DATIM)]],"[Measures].[HVL_D_P]")</f>
        <v>34</v>
      </c>
      <c r="AU227" s="67" vm="8774">
        <f>CUBEVALUE(ConnectionString,ReportMonth,Table1[[#This Row],[Site ID (from DATIM)]],"[Measures].[HVL_N_P]")</f>
        <v>29</v>
      </c>
      <c r="AV227" s="68" vm="9330">
        <f>CUBEVALUE(ConnectionString,ReportMonth,Table1[[#This Row],[Site ID (from DATIM)]],"[Measures].[HVL_ELIG_A]")</f>
        <v>1107</v>
      </c>
      <c r="AW227" s="68" vm="8844">
        <f>CUBEVALUE(ConnectionString,ReportMonth,Table1[[#This Row],[Site ID (from DATIM)]],"[Measures].[HVL_D_A]")</f>
        <v>944</v>
      </c>
      <c r="AX227" s="68" vm="8070">
        <f>CUBEVALUE(ConnectionString,ReportMonth,Table1[[#This Row],[Site ID (from DATIM)]],"[Measures].[HVL_N_A]")</f>
        <v>935</v>
      </c>
      <c r="AY227" s="67"/>
      <c r="AZ227" s="67"/>
      <c r="BA227" s="67"/>
      <c r="BB227" s="67"/>
      <c r="BC227" s="67"/>
      <c r="BD227" s="67"/>
      <c r="BE227" s="67"/>
      <c r="BF227" s="67"/>
      <c r="BG227" s="67" vm="13942">
        <f>CUBEVALUE(ConnectionString,ReportMonth,Table1[[#This Row],[Site ID (from DATIM)]],"[Measures].[TX_NEW_F_A]")</f>
        <v>3</v>
      </c>
      <c r="BH227" s="67" vm="17066">
        <f>CUBEVALUE(ConnectionString,ReportMonth,Table1[[#This Row],[Site ID (from DATIM)]],"[Measures].[TX_NEW_M_A]")</f>
        <v>1</v>
      </c>
      <c r="BI227" s="67" vm="12287">
        <f>CUBEVALUE(ConnectionString,ReportMonth,Table1[[#This Row],[Site ID (from DATIM)]],"[Measures].[TX_NEW_F_P]")</f>
        <v>1</v>
      </c>
      <c r="BJ227" s="68" t="str" vm="12349">
        <f>CUBEVALUE(ConnectionString,ReportMonth,Table1[[#This Row],[Site ID (from DATIM)]],"[Measures].[TX_NEW_M_P]")</f>
        <v/>
      </c>
      <c r="BK227" s="68"/>
      <c r="BL227" s="68"/>
      <c r="BM227" s="68"/>
      <c r="BN227" s="68"/>
      <c r="BO227" s="68"/>
      <c r="BP227" s="68"/>
      <c r="BQ227" s="68" vm="8253">
        <f>CUBEVALUE(ConnectionString,ReportMonth,Table1[[#This Row],[Site ID (from DATIM)]],"[Measures].[TX_CURR_F_P]")</f>
        <v>19</v>
      </c>
      <c r="BR227" s="68" vm="10051">
        <f>CUBEVALUE(ConnectionString,ReportMonth,Table1[[#This Row],[Site ID (from DATIM)]],"[Measures].[TX_CURR_M_P]")</f>
        <v>17</v>
      </c>
      <c r="BS227" s="68" vm="9214">
        <f>CUBEVALUE(ConnectionString,ReportMonth,Table1[[#This Row],[Site ID (from DATIM)]],"[Measures].[TX_CURR_F_A]")</f>
        <v>893</v>
      </c>
      <c r="BT227" s="68" vm="11376">
        <f>CUBEVALUE(ConnectionString,ReportMonth,Table1[[#This Row],[Site ID (from DATIM)]],"[Measures].[TX_CURR_M_A]")</f>
        <v>284</v>
      </c>
      <c r="BU227" s="68" vm="18649">
        <f>CUBEVALUE(ConnectionString,ReportMonth,Table1[[#This Row],[Site ID (from DATIM)]],"[Measures].[MMS_01_89_F_P]")</f>
        <v>4</v>
      </c>
      <c r="BV227" s="68" vm="19204">
        <f>CUBEVALUE(ConnectionString,ReportMonth,Table1[[#This Row],[Site ID (from DATIM)]],"[Measures].[MMS_01_89_M_P]")</f>
        <v>8</v>
      </c>
      <c r="BW227" s="68" vm="19698">
        <f>CUBEVALUE(ConnectionString,ReportMonth,Table1[[#This Row],[Site ID (from DATIM)]],"[Measures].[MMS_01_89_F_A]")</f>
        <v>238</v>
      </c>
      <c r="BX227" s="68" vm="19908">
        <f>CUBEVALUE(ConnectionString,ReportMonth,Table1[[#This Row],[Site ID (from DATIM)]],"[Measures].[MMS_01_89_M_A]")</f>
        <v>74</v>
      </c>
      <c r="BY227" s="68" vm="18853">
        <f>CUBEVALUE(ConnectionString,ReportMonth,Table1[[#This Row],[Site ID (from DATIM)]],"[Measures].[MMS_90_179_F_P]")</f>
        <v>15</v>
      </c>
      <c r="BZ227" s="68" vm="17819">
        <f>CUBEVALUE(ConnectionString,ReportMonth,Table1[[#This Row],[Site ID (from DATIM)]],"[Measures].[MMS_90_179_M_P]")</f>
        <v>9</v>
      </c>
      <c r="CA227" s="68" vm="14534">
        <f>CUBEVALUE(ConnectionString,ReportMonth,Table1[[#This Row],[Site ID (from DATIM)]],"[Measures].[MMS_90_179_F_A]")</f>
        <v>655</v>
      </c>
      <c r="CB227" s="68" vm="16855">
        <f>CUBEVALUE(ConnectionString,ReportMonth,Table1[[#This Row],[Site ID (from DATIM)]],"[Measures].[MMS_90_179_M_A]")</f>
        <v>210</v>
      </c>
      <c r="CC227" s="68" t="str" vm="15878">
        <f>CUBEVALUE(ConnectionString,ReportMonth,Table1[[#This Row],[Site ID (from DATIM)]],"[Measures].[MMS_180+_F_P]")</f>
        <v/>
      </c>
      <c r="CD227" s="68" t="str" vm="15391">
        <f>CUBEVALUE(ConnectionString,ReportMonth,Table1[[#This Row],[Site ID (from DATIM)]],"[Measures].[MMS_180+_M_P]")</f>
        <v/>
      </c>
      <c r="CE227" s="68" t="str" vm="234">
        <f>CUBEVALUE(ConnectionString,ReportMonth,Table1[[#This Row],[Site ID (from DATIM)]],"[Measures].[MMS_180+_F_A]")</f>
        <v/>
      </c>
      <c r="CF227" s="68" t="str" vm="16699">
        <f>CUBEVALUE(ConnectionString,ReportMonth,Table1[[#This Row],[Site ID (from DATIM)]],"[Measures].[MMS_180+_M_A]")</f>
        <v/>
      </c>
      <c r="CG227" s="68" vm="6216">
        <f>CUBEVALUE(ConnectionString,ReportMonth,Table1[[#This Row],[Site ID (from DATIM)]],"[Measures].[MISSEDAPP]")</f>
        <v>335</v>
      </c>
      <c r="CH227" s="68" t="str" vm="13597">
        <f>CUBEVALUE(ConnectionString,ReportMonth,Table1[[#This Row],[Site ID (from DATIM)]],"[Measures].[MMS_180+_P]")</f>
        <v/>
      </c>
      <c r="CI227" s="68" t="str" vm="13608">
        <f>CUBEVALUE(ConnectionString,ReportMonth,Table1[[#This Row],[Site ID (from DATIM)]],"[Measures].[MMS_180+_A]")</f>
        <v/>
      </c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  <c r="CW227" s="68"/>
      <c r="CX227" s="68"/>
      <c r="CY227" s="68"/>
      <c r="CZ227" s="68"/>
      <c r="DA227" s="68"/>
      <c r="DB227" s="68"/>
      <c r="DC227" s="68"/>
    </row>
    <row r="228" spans="1:107" x14ac:dyDescent="0.25">
      <c r="A228" s="66">
        <v>4</v>
      </c>
      <c r="B228" s="67" t="str" vm="4">
        <f t="shared" si="4"/>
        <v>Mar-2021</v>
      </c>
      <c r="C228" s="67"/>
      <c r="D228" s="67" t="s">
        <v>232</v>
      </c>
      <c r="E228" s="67" t="s">
        <v>233</v>
      </c>
      <c r="F228" s="67" t="s">
        <v>831</v>
      </c>
      <c r="G228" s="67"/>
      <c r="H228" s="67" t="s">
        <v>847</v>
      </c>
      <c r="I228" s="67" t="s">
        <v>966</v>
      </c>
      <c r="J228" s="67" t="s">
        <v>967</v>
      </c>
      <c r="K228" s="67" t="s">
        <v>968</v>
      </c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 t="str" vm="3574">
        <f>CUBEVALUE(ConnectionString,ReportMonth,Table1[[#This Row],[Site ID (from DATIM)]],"TX_NEW_2VIS")</f>
        <v/>
      </c>
      <c r="AE228" s="67" vm="2169">
        <f>CUBEVALUE(ConnectionString,ReportMonth,Table1[[#This Row],[Site ID (from DATIM)]],INDEX(SDI_Measures,1))</f>
        <v>1</v>
      </c>
      <c r="AF228" s="67" t="str" vm="325">
        <f>CUBEVALUE(ConnectionString,ReportMonth,Table1[[#This Row],[Site ID (from DATIM)]],INDEX(SDI_Measures,2))</f>
        <v/>
      </c>
      <c r="AG228" s="67" t="str" vm="3558">
        <f>CUBEVALUE(ConnectionString,ReportMonth,Table1[[#This Row],[Site ID (from DATIM)]],INDEX(SDI_Measures,3))</f>
        <v/>
      </c>
      <c r="AH228" s="67" vm="1894">
        <f>CUBEVALUE(ConnectionString,ReportMonth,Table1[[#This Row],[Site ID (from DATIM)]],"TX_CURR_PRIOR_MONTH")</f>
        <v>12</v>
      </c>
      <c r="AI228" s="67" vm="3553">
        <f>CUBEVALUE(ConnectionString,ReportMonth,Table1[[#This Row],[Site ID (from DATIM)]],"TX_CURR")</f>
        <v>12</v>
      </c>
      <c r="AJ228" s="67" t="str" vm="4052">
        <f>CUBEVALUE(ConnectionString,ReportMonth,Table1[[#This Row],[Site ID (from DATIM)]],"[Measures].[TI]")</f>
        <v/>
      </c>
      <c r="AK228" s="67" t="str" vm="3300">
        <f>CUBEVALUE(ConnectionString,ReportMonth,Table1[[#This Row],[Site ID (from DATIM)]],"[Measures].[TO]")</f>
        <v/>
      </c>
      <c r="AL228" s="67" t="str" vm="3548">
        <f>CUBEVALUE(ConnectionString,ReportMonth,Table1[[#This Row],[Site ID (from DATIM)]],"[Measures].[DIED]")</f>
        <v/>
      </c>
      <c r="AM228" s="67" vm="4002">
        <f>CUBEVALUE(ConnectionString,ReportMonth,Table1[[#This Row],[Site ID (from DATIM)]],"[Measures].[MMS_01_31]")</f>
        <v>5</v>
      </c>
      <c r="AN228" s="67" vm="6026">
        <f>CUBEVALUE(ConnectionString,ReportMonth,Table1[[#This Row],[Site ID (from DATIM)]],"[Measures].[MMS_32_62]")</f>
        <v>5</v>
      </c>
      <c r="AO228" s="67" vm="7894">
        <f>CUBEVALUE(ConnectionString,ReportMonth,Table1[[#This Row],[Site ID (from DATIM)]],"[Measures].[MMS_63+]")</f>
        <v>2</v>
      </c>
      <c r="AP228" s="67" t="str" vm="6164">
        <f>CUBEVALUE(ConnectionString,ReportMonth,Table1[[#This Row],[Site ID (from DATIM)]],"[Measures].[TBPREV_D]")</f>
        <v/>
      </c>
      <c r="AQ228" s="67" t="str" vm="6863">
        <f>CUBEVALUE(ConnectionString,ReportMonth,Table1[[#This Row],[Site ID (from DATIM)]],"[Measures].[TBPREV_N]")</f>
        <v/>
      </c>
      <c r="AR228" s="67" vm="16124">
        <f>CUBEVALUE(ConnectionString,ReportMonth,Table1[[#This Row],[Site ID (from DATIM)]],"[Measures].[TBPREV_NEW]")</f>
        <v>1</v>
      </c>
      <c r="AS228" s="67" t="str" vm="7719">
        <f>CUBEVALUE(ConnectionString,ReportMonth,Table1[[#This Row],[Site ID (from DATIM)]],"[Measures].[HVL_ELIG_P]")</f>
        <v/>
      </c>
      <c r="AT228" s="67" t="str" vm="10728">
        <f>CUBEVALUE(ConnectionString,ReportMonth,Table1[[#This Row],[Site ID (from DATIM)]],"[Measures].[HVL_D_P]")</f>
        <v/>
      </c>
      <c r="AU228" s="67" t="str" vm="12236">
        <f>CUBEVALUE(ConnectionString,ReportMonth,Table1[[#This Row],[Site ID (from DATIM)]],"[Measures].[HVL_N_P]")</f>
        <v/>
      </c>
      <c r="AV228" s="68" vm="7957">
        <f>CUBEVALUE(ConnectionString,ReportMonth,Table1[[#This Row],[Site ID (from DATIM)]],"[Measures].[HVL_ELIG_A]")</f>
        <v>8</v>
      </c>
      <c r="AW228" s="68" t="str" vm="8154">
        <f>CUBEVALUE(ConnectionString,ReportMonth,Table1[[#This Row],[Site ID (from DATIM)]],"[Measures].[HVL_D_A]")</f>
        <v/>
      </c>
      <c r="AX228" s="68" t="str" vm="9793">
        <f>CUBEVALUE(ConnectionString,ReportMonth,Table1[[#This Row],[Site ID (from DATIM)]],"[Measures].[HVL_N_A]")</f>
        <v/>
      </c>
      <c r="AY228" s="67"/>
      <c r="AZ228" s="67"/>
      <c r="BA228" s="67"/>
      <c r="BB228" s="67"/>
      <c r="BC228" s="67"/>
      <c r="BD228" s="67"/>
      <c r="BE228" s="67"/>
      <c r="BF228" s="67"/>
      <c r="BG228" s="67" t="str" vm="13401">
        <f>CUBEVALUE(ConnectionString,ReportMonth,Table1[[#This Row],[Site ID (from DATIM)]],"[Measures].[TX_NEW_F_A]")</f>
        <v/>
      </c>
      <c r="BH228" s="67" vm="14027">
        <f>CUBEVALUE(ConnectionString,ReportMonth,Table1[[#This Row],[Site ID (from DATIM)]],"[Measures].[TX_NEW_M_A]")</f>
        <v>1</v>
      </c>
      <c r="BI228" s="67" t="str" vm="13730">
        <f>CUBEVALUE(ConnectionString,ReportMonth,Table1[[#This Row],[Site ID (from DATIM)]],"[Measures].[TX_NEW_F_P]")</f>
        <v/>
      </c>
      <c r="BJ228" s="68" t="str" vm="14870">
        <f>CUBEVALUE(ConnectionString,ReportMonth,Table1[[#This Row],[Site ID (from DATIM)]],"[Measures].[TX_NEW_M_P]")</f>
        <v/>
      </c>
      <c r="BK228" s="68"/>
      <c r="BL228" s="68"/>
      <c r="BM228" s="68"/>
      <c r="BN228" s="68"/>
      <c r="BO228" s="68"/>
      <c r="BP228" s="68"/>
      <c r="BQ228" s="68" t="str" vm="9697">
        <f>CUBEVALUE(ConnectionString,ReportMonth,Table1[[#This Row],[Site ID (from DATIM)]],"[Measures].[TX_CURR_F_P]")</f>
        <v/>
      </c>
      <c r="BR228" s="68" t="str" vm="10717">
        <f>CUBEVALUE(ConnectionString,ReportMonth,Table1[[#This Row],[Site ID (from DATIM)]],"[Measures].[TX_CURR_M_P]")</f>
        <v/>
      </c>
      <c r="BS228" s="68" vm="8442">
        <f>CUBEVALUE(ConnectionString,ReportMonth,Table1[[#This Row],[Site ID (from DATIM)]],"[Measures].[TX_CURR_F_A]")</f>
        <v>10</v>
      </c>
      <c r="BT228" s="68" vm="10500">
        <f>CUBEVALUE(ConnectionString,ReportMonth,Table1[[#This Row],[Site ID (from DATIM)]],"[Measures].[TX_CURR_M_A]")</f>
        <v>2</v>
      </c>
      <c r="BU228" s="68" t="str" vm="19278">
        <f>CUBEVALUE(ConnectionString,ReportMonth,Table1[[#This Row],[Site ID (from DATIM)]],"[Measures].[MMS_01_89_F_P]")</f>
        <v/>
      </c>
      <c r="BV228" s="68" t="str" vm="18018">
        <f>CUBEVALUE(ConnectionString,ReportMonth,Table1[[#This Row],[Site ID (from DATIM)]],"[Measures].[MMS_01_89_M_P]")</f>
        <v/>
      </c>
      <c r="BW228" s="68" vm="18907">
        <f>CUBEVALUE(ConnectionString,ReportMonth,Table1[[#This Row],[Site ID (from DATIM)]],"[Measures].[MMS_01_89_F_A]")</f>
        <v>9</v>
      </c>
      <c r="BX228" s="68" vm="16998">
        <f>CUBEVALUE(ConnectionString,ReportMonth,Table1[[#This Row],[Site ID (from DATIM)]],"[Measures].[MMS_01_89_M_A]")</f>
        <v>2</v>
      </c>
      <c r="BY228" s="68" t="str" vm="19366">
        <f>CUBEVALUE(ConnectionString,ReportMonth,Table1[[#This Row],[Site ID (from DATIM)]],"[Measures].[MMS_90_179_F_P]")</f>
        <v/>
      </c>
      <c r="BZ228" s="68" t="str" vm="17715">
        <f>CUBEVALUE(ConnectionString,ReportMonth,Table1[[#This Row],[Site ID (from DATIM)]],"[Measures].[MMS_90_179_M_P]")</f>
        <v/>
      </c>
      <c r="CA228" s="68" vm="15115">
        <f>CUBEVALUE(ConnectionString,ReportMonth,Table1[[#This Row],[Site ID (from DATIM)]],"[Measures].[MMS_90_179_F_A]")</f>
        <v>1</v>
      </c>
      <c r="CB228" s="68" t="str" vm="14604">
        <f>CUBEVALUE(ConnectionString,ReportMonth,Table1[[#This Row],[Site ID (from DATIM)]],"[Measures].[MMS_90_179_M_A]")</f>
        <v/>
      </c>
      <c r="CC228" s="68" t="str" vm="15044">
        <f>CUBEVALUE(ConnectionString,ReportMonth,Table1[[#This Row],[Site ID (from DATIM)]],"[Measures].[MMS_180+_F_P]")</f>
        <v/>
      </c>
      <c r="CD228" s="68" t="str" vm="14554">
        <f>CUBEVALUE(ConnectionString,ReportMonth,Table1[[#This Row],[Site ID (from DATIM)]],"[Measures].[MMS_180+_M_P]")</f>
        <v/>
      </c>
      <c r="CE228" s="68" t="str" vm="15433">
        <f>CUBEVALUE(ConnectionString,ReportMonth,Table1[[#This Row],[Site ID (from DATIM)]],"[Measures].[MMS_180+_F_A]")</f>
        <v/>
      </c>
      <c r="CF228" s="68" t="str" vm="14428">
        <f>CUBEVALUE(ConnectionString,ReportMonth,Table1[[#This Row],[Site ID (from DATIM)]],"[Measures].[MMS_180+_M_A]")</f>
        <v/>
      </c>
      <c r="CG228" s="68" vm="8178">
        <f>CUBEVALUE(ConnectionString,ReportMonth,Table1[[#This Row],[Site ID (from DATIM)]],"[Measures].[MISSEDAPP]")</f>
        <v>4</v>
      </c>
      <c r="CH228" s="68" t="str" vm="11640">
        <f>CUBEVALUE(ConnectionString,ReportMonth,Table1[[#This Row],[Site ID (from DATIM)]],"[Measures].[MMS_180+_P]")</f>
        <v/>
      </c>
      <c r="CI228" s="68" t="str" vm="11698">
        <f>CUBEVALUE(ConnectionString,ReportMonth,Table1[[#This Row],[Site ID (from DATIM)]],"[Measures].[MMS_180+_A]")</f>
        <v/>
      </c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  <c r="CW228" s="68"/>
      <c r="CX228" s="68"/>
      <c r="CY228" s="68"/>
      <c r="CZ228" s="68"/>
      <c r="DA228" s="68"/>
      <c r="DB228" s="68"/>
      <c r="DC228" s="68"/>
    </row>
    <row r="229" spans="1:107" x14ac:dyDescent="0.25">
      <c r="A229" s="66">
        <v>4</v>
      </c>
      <c r="B229" s="67" t="str" vm="4">
        <f t="shared" si="4"/>
        <v>Mar-2021</v>
      </c>
      <c r="C229" s="67"/>
      <c r="D229" s="67" t="s">
        <v>232</v>
      </c>
      <c r="E229" s="67" t="s">
        <v>233</v>
      </c>
      <c r="F229" s="67" t="s">
        <v>831</v>
      </c>
      <c r="G229" s="67"/>
      <c r="H229" s="67" t="s">
        <v>840</v>
      </c>
      <c r="I229" s="67" t="s">
        <v>969</v>
      </c>
      <c r="J229" s="67" t="s">
        <v>970</v>
      </c>
      <c r="K229" s="67" t="s">
        <v>971</v>
      </c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 t="str" vm="3875">
        <f>CUBEVALUE(ConnectionString,ReportMonth,Table1[[#This Row],[Site ID (from DATIM)]],"TX_NEW_2VIS")</f>
        <v/>
      </c>
      <c r="AE229" s="67" t="str" vm="1233">
        <f>CUBEVALUE(ConnectionString,ReportMonth,Table1[[#This Row],[Site ID (from DATIM)]],INDEX(SDI_Measures,1))</f>
        <v/>
      </c>
      <c r="AF229" s="67" t="str" vm="1655">
        <f>CUBEVALUE(ConnectionString,ReportMonth,Table1[[#This Row],[Site ID (from DATIM)]],INDEX(SDI_Measures,2))</f>
        <v/>
      </c>
      <c r="AG229" s="67" t="str" vm="3654">
        <f>CUBEVALUE(ConnectionString,ReportMonth,Table1[[#This Row],[Site ID (from DATIM)]],INDEX(SDI_Measures,3))</f>
        <v/>
      </c>
      <c r="AH229" s="67" vm="4407">
        <f>CUBEVALUE(ConnectionString,ReportMonth,Table1[[#This Row],[Site ID (from DATIM)]],"TX_CURR_PRIOR_MONTH")</f>
        <v>15</v>
      </c>
      <c r="AI229" s="67" vm="584">
        <f>CUBEVALUE(ConnectionString,ReportMonth,Table1[[#This Row],[Site ID (from DATIM)]],"TX_CURR")</f>
        <v>12</v>
      </c>
      <c r="AJ229" s="67" t="str" vm="1831">
        <f>CUBEVALUE(ConnectionString,ReportMonth,Table1[[#This Row],[Site ID (from DATIM)]],"[Measures].[TI]")</f>
        <v/>
      </c>
      <c r="AK229" s="67" t="str" vm="4085">
        <f>CUBEVALUE(ConnectionString,ReportMonth,Table1[[#This Row],[Site ID (from DATIM)]],"[Measures].[TO]")</f>
        <v/>
      </c>
      <c r="AL229" s="67" t="str" vm="2024">
        <f>CUBEVALUE(ConnectionString,ReportMonth,Table1[[#This Row],[Site ID (from DATIM)]],"[Measures].[DIED]")</f>
        <v/>
      </c>
      <c r="AM229" s="67" vm="7356">
        <f>CUBEVALUE(ConnectionString,ReportMonth,Table1[[#This Row],[Site ID (from DATIM)]],"[Measures].[MMS_01_31]")</f>
        <v>12</v>
      </c>
      <c r="AN229" s="67" t="str" vm="3864">
        <f>CUBEVALUE(ConnectionString,ReportMonth,Table1[[#This Row],[Site ID (from DATIM)]],"[Measures].[MMS_32_62]")</f>
        <v/>
      </c>
      <c r="AO229" s="67" t="str" vm="12180">
        <f>CUBEVALUE(ConnectionString,ReportMonth,Table1[[#This Row],[Site ID (from DATIM)]],"[Measures].[MMS_63+]")</f>
        <v/>
      </c>
      <c r="AP229" s="67" vm="7868">
        <f>CUBEVALUE(ConnectionString,ReportMonth,Table1[[#This Row],[Site ID (from DATIM)]],"[Measures].[TBPREV_D]")</f>
        <v>1</v>
      </c>
      <c r="AQ229" s="67" t="str" vm="6202">
        <f>CUBEVALUE(ConnectionString,ReportMonth,Table1[[#This Row],[Site ID (from DATIM)]],"[Measures].[TBPREV_N]")</f>
        <v/>
      </c>
      <c r="AR229" s="67" t="str" vm="4186">
        <f>CUBEVALUE(ConnectionString,ReportMonth,Table1[[#This Row],[Site ID (from DATIM)]],"[Measures].[TBPREV_NEW]")</f>
        <v/>
      </c>
      <c r="AS229" s="67" t="str" vm="6982">
        <f>CUBEVALUE(ConnectionString,ReportMonth,Table1[[#This Row],[Site ID (from DATIM)]],"[Measures].[HVL_ELIG_P]")</f>
        <v/>
      </c>
      <c r="AT229" s="67" t="str" vm="6769">
        <f>CUBEVALUE(ConnectionString,ReportMonth,Table1[[#This Row],[Site ID (from DATIM)]],"[Measures].[HVL_D_P]")</f>
        <v/>
      </c>
      <c r="AU229" s="67" t="str" vm="11362">
        <f>CUBEVALUE(ConnectionString,ReportMonth,Table1[[#This Row],[Site ID (from DATIM)]],"[Measures].[HVL_N_P]")</f>
        <v/>
      </c>
      <c r="AV229" s="68" vm="7042">
        <f>CUBEVALUE(ConnectionString,ReportMonth,Table1[[#This Row],[Site ID (from DATIM)]],"[Measures].[HVL_ELIG_A]")</f>
        <v>8</v>
      </c>
      <c r="AW229" s="68" vm="10825">
        <f>CUBEVALUE(ConnectionString,ReportMonth,Table1[[#This Row],[Site ID (from DATIM)]],"[Measures].[HVL_D_A]")</f>
        <v>10</v>
      </c>
      <c r="AX229" s="68" vm="14283">
        <f>CUBEVALUE(ConnectionString,ReportMonth,Table1[[#This Row],[Site ID (from DATIM)]],"[Measures].[HVL_N_A]")</f>
        <v>6</v>
      </c>
      <c r="AY229" s="67"/>
      <c r="AZ229" s="67"/>
      <c r="BA229" s="67"/>
      <c r="BB229" s="67"/>
      <c r="BC229" s="67"/>
      <c r="BD229" s="67"/>
      <c r="BE229" s="67"/>
      <c r="BF229" s="67"/>
      <c r="BG229" s="67" t="str" vm="12442">
        <f>CUBEVALUE(ConnectionString,ReportMonth,Table1[[#This Row],[Site ID (from DATIM)]],"[Measures].[TX_NEW_F_A]")</f>
        <v/>
      </c>
      <c r="BH229" s="67" t="str" vm="15322">
        <f>CUBEVALUE(ConnectionString,ReportMonth,Table1[[#This Row],[Site ID (from DATIM)]],"[Measures].[TX_NEW_M_A]")</f>
        <v/>
      </c>
      <c r="BI229" s="67" t="str" vm="13065">
        <f>CUBEVALUE(ConnectionString,ReportMonth,Table1[[#This Row],[Site ID (from DATIM)]],"[Measures].[TX_NEW_F_P]")</f>
        <v/>
      </c>
      <c r="BJ229" s="68" t="str" vm="14347">
        <f>CUBEVALUE(ConnectionString,ReportMonth,Table1[[#This Row],[Site ID (from DATIM)]],"[Measures].[TX_NEW_M_P]")</f>
        <v/>
      </c>
      <c r="BK229" s="68"/>
      <c r="BL229" s="68"/>
      <c r="BM229" s="68"/>
      <c r="BN229" s="68"/>
      <c r="BO229" s="68"/>
      <c r="BP229" s="68"/>
      <c r="BQ229" s="68" t="str" vm="8839">
        <f>CUBEVALUE(ConnectionString,ReportMonth,Table1[[#This Row],[Site ID (from DATIM)]],"[Measures].[TX_CURR_F_P]")</f>
        <v/>
      </c>
      <c r="BR229" s="68" t="str" vm="7038">
        <f>CUBEVALUE(ConnectionString,ReportMonth,Table1[[#This Row],[Site ID (from DATIM)]],"[Measures].[TX_CURR_M_P]")</f>
        <v/>
      </c>
      <c r="BS229" s="68" vm="12189">
        <f>CUBEVALUE(ConnectionString,ReportMonth,Table1[[#This Row],[Site ID (from DATIM)]],"[Measures].[TX_CURR_F_A]")</f>
        <v>12</v>
      </c>
      <c r="BT229" s="68" t="str" vm="11690">
        <f>CUBEVALUE(ConnectionString,ReportMonth,Table1[[#This Row],[Site ID (from DATIM)]],"[Measures].[TX_CURR_M_A]")</f>
        <v/>
      </c>
      <c r="BU229" s="68" t="str" vm="19802">
        <f>CUBEVALUE(ConnectionString,ReportMonth,Table1[[#This Row],[Site ID (from DATIM)]],"[Measures].[MMS_01_89_F_P]")</f>
        <v/>
      </c>
      <c r="BV229" s="68" t="str" vm="19190">
        <f>CUBEVALUE(ConnectionString,ReportMonth,Table1[[#This Row],[Site ID (from DATIM)]],"[Measures].[MMS_01_89_M_P]")</f>
        <v/>
      </c>
      <c r="BW229" s="68" vm="18063">
        <f>CUBEVALUE(ConnectionString,ReportMonth,Table1[[#This Row],[Site ID (from DATIM)]],"[Measures].[MMS_01_89_F_A]")</f>
        <v>12</v>
      </c>
      <c r="BX229" s="68" t="str" vm="19651">
        <f>CUBEVALUE(ConnectionString,ReportMonth,Table1[[#This Row],[Site ID (from DATIM)]],"[Measures].[MMS_01_89_M_A]")</f>
        <v/>
      </c>
      <c r="BY229" s="68" t="str" vm="19662">
        <f>CUBEVALUE(ConnectionString,ReportMonth,Table1[[#This Row],[Site ID (from DATIM)]],"[Measures].[MMS_90_179_F_P]")</f>
        <v/>
      </c>
      <c r="BZ229" s="68" t="str" vm="17355">
        <f>CUBEVALUE(ConnectionString,ReportMonth,Table1[[#This Row],[Site ID (from DATIM)]],"[Measures].[MMS_90_179_M_P]")</f>
        <v/>
      </c>
      <c r="CA229" s="68" t="str" vm="16892">
        <f>CUBEVALUE(ConnectionString,ReportMonth,Table1[[#This Row],[Site ID (from DATIM)]],"[Measures].[MMS_90_179_F_A]")</f>
        <v/>
      </c>
      <c r="CB229" s="68" t="str" vm="17175">
        <f>CUBEVALUE(ConnectionString,ReportMonth,Table1[[#This Row],[Site ID (from DATIM)]],"[Measures].[MMS_90_179_M_A]")</f>
        <v/>
      </c>
      <c r="CC229" s="68" t="str" vm="16354">
        <f>CUBEVALUE(ConnectionString,ReportMonth,Table1[[#This Row],[Site ID (from DATIM)]],"[Measures].[MMS_180+_F_P]")</f>
        <v/>
      </c>
      <c r="CD229" s="68" t="str" vm="15727">
        <f>CUBEVALUE(ConnectionString,ReportMonth,Table1[[#This Row],[Site ID (from DATIM)]],"[Measures].[MMS_180+_M_P]")</f>
        <v/>
      </c>
      <c r="CE229" s="68" t="str" vm="15362">
        <f>CUBEVALUE(ConnectionString,ReportMonth,Table1[[#This Row],[Site ID (from DATIM)]],"[Measures].[MMS_180+_F_A]")</f>
        <v/>
      </c>
      <c r="CF229" s="68" t="str" vm="222">
        <f>CUBEVALUE(ConnectionString,ReportMonth,Table1[[#This Row],[Site ID (from DATIM)]],"[Measures].[MMS_180+_M_A]")</f>
        <v/>
      </c>
      <c r="CG229" s="68" vm="4686">
        <f>CUBEVALUE(ConnectionString,ReportMonth,Table1[[#This Row],[Site ID (from DATIM)]],"[Measures].[MISSEDAPP]")</f>
        <v>10</v>
      </c>
      <c r="CH229" s="68" t="str" vm="13334">
        <f>CUBEVALUE(ConnectionString,ReportMonth,Table1[[#This Row],[Site ID (from DATIM)]],"[Measures].[MMS_180+_P]")</f>
        <v/>
      </c>
      <c r="CI229" s="68" t="str" vm="14177">
        <f>CUBEVALUE(ConnectionString,ReportMonth,Table1[[#This Row],[Site ID (from DATIM)]],"[Measures].[MMS_180+_A]")</f>
        <v/>
      </c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  <c r="CW229" s="68"/>
      <c r="CX229" s="68"/>
      <c r="CY229" s="68"/>
      <c r="CZ229" s="68"/>
      <c r="DA229" s="68"/>
      <c r="DB229" s="68"/>
      <c r="DC229" s="68"/>
    </row>
    <row r="230" spans="1:107" x14ac:dyDescent="0.25">
      <c r="A230" s="66">
        <v>4</v>
      </c>
      <c r="B230" s="67" t="str" vm="4">
        <f t="shared" si="4"/>
        <v>Mar-2021</v>
      </c>
      <c r="C230" s="67"/>
      <c r="D230" s="67" t="s">
        <v>232</v>
      </c>
      <c r="E230" s="67" t="s">
        <v>233</v>
      </c>
      <c r="F230" s="67" t="s">
        <v>831</v>
      </c>
      <c r="G230" s="67"/>
      <c r="H230" s="67" t="s">
        <v>840</v>
      </c>
      <c r="I230" s="67" t="s">
        <v>969</v>
      </c>
      <c r="J230" s="67" t="s">
        <v>972</v>
      </c>
      <c r="K230" s="67" t="s">
        <v>973</v>
      </c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 t="str" vm="238">
        <f>CUBEVALUE(ConnectionString,ReportMonth,Table1[[#This Row],[Site ID (from DATIM)]],"TX_NEW_2VIS")</f>
        <v/>
      </c>
      <c r="AE230" s="67" t="str" vm="280">
        <f>CUBEVALUE(ConnectionString,ReportMonth,Table1[[#This Row],[Site ID (from DATIM)]],INDEX(SDI_Measures,1))</f>
        <v/>
      </c>
      <c r="AF230" s="67" t="str" vm="2995">
        <f>CUBEVALUE(ConnectionString,ReportMonth,Table1[[#This Row],[Site ID (from DATIM)]],INDEX(SDI_Measures,2))</f>
        <v/>
      </c>
      <c r="AG230" s="67" t="str" vm="1412">
        <f>CUBEVALUE(ConnectionString,ReportMonth,Table1[[#This Row],[Site ID (from DATIM)]],INDEX(SDI_Measures,3))</f>
        <v/>
      </c>
      <c r="AH230" s="67" vm="4293">
        <f>CUBEVALUE(ConnectionString,ReportMonth,Table1[[#This Row],[Site ID (from DATIM)]],"TX_CURR_PRIOR_MONTH")</f>
        <v>143</v>
      </c>
      <c r="AI230" s="67" vm="3004">
        <f>CUBEVALUE(ConnectionString,ReportMonth,Table1[[#This Row],[Site ID (from DATIM)]],"TX_CURR")</f>
        <v>105</v>
      </c>
      <c r="AJ230" s="67" vm="4365">
        <f>CUBEVALUE(ConnectionString,ReportMonth,Table1[[#This Row],[Site ID (from DATIM)]],"[Measures].[TI]")</f>
        <v>1</v>
      </c>
      <c r="AK230" s="67" t="str" vm="2789">
        <f>CUBEVALUE(ConnectionString,ReportMonth,Table1[[#This Row],[Site ID (from DATIM)]],"[Measures].[TO]")</f>
        <v/>
      </c>
      <c r="AL230" s="67" t="str" vm="2600">
        <f>CUBEVALUE(ConnectionString,ReportMonth,Table1[[#This Row],[Site ID (from DATIM)]],"[Measures].[DIED]")</f>
        <v/>
      </c>
      <c r="AM230" s="67" vm="3798">
        <f>CUBEVALUE(ConnectionString,ReportMonth,Table1[[#This Row],[Site ID (from DATIM)]],"[Measures].[MMS_01_31]")</f>
        <v>28</v>
      </c>
      <c r="AN230" s="67" vm="6156">
        <f>CUBEVALUE(ConnectionString,ReportMonth,Table1[[#This Row],[Site ID (from DATIM)]],"[Measures].[MMS_32_62]")</f>
        <v>1</v>
      </c>
      <c r="AO230" s="67" vm="9336">
        <f>CUBEVALUE(ConnectionString,ReportMonth,Table1[[#This Row],[Site ID (from DATIM)]],"[Measures].[MMS_63+]")</f>
        <v>76</v>
      </c>
      <c r="AP230" s="67" t="str" vm="6130">
        <f>CUBEVALUE(ConnectionString,ReportMonth,Table1[[#This Row],[Site ID (from DATIM)]],"[Measures].[TBPREV_D]")</f>
        <v/>
      </c>
      <c r="AQ230" s="67" t="str" vm="8480">
        <f>CUBEVALUE(ConnectionString,ReportMonth,Table1[[#This Row],[Site ID (from DATIM)]],"[Measures].[TBPREV_N]")</f>
        <v/>
      </c>
      <c r="AR230" s="67" t="str" vm="7866">
        <f>CUBEVALUE(ConnectionString,ReportMonth,Table1[[#This Row],[Site ID (from DATIM)]],"[Measures].[TBPREV_NEW]")</f>
        <v/>
      </c>
      <c r="AS230" s="67" vm="6971">
        <f>CUBEVALUE(ConnectionString,ReportMonth,Table1[[#This Row],[Site ID (from DATIM)]],"[Measures].[HVL_ELIG_P]")</f>
        <v>8</v>
      </c>
      <c r="AT230" s="67" vm="7734">
        <f>CUBEVALUE(ConnectionString,ReportMonth,Table1[[#This Row],[Site ID (from DATIM)]],"[Measures].[HVL_D_P]")</f>
        <v>2</v>
      </c>
      <c r="AU230" s="67" vm="9710">
        <f>CUBEVALUE(ConnectionString,ReportMonth,Table1[[#This Row],[Site ID (from DATIM)]],"[Measures].[HVL_N_P]")</f>
        <v>2</v>
      </c>
      <c r="AV230" s="68" vm="9627">
        <f>CUBEVALUE(ConnectionString,ReportMonth,Table1[[#This Row],[Site ID (from DATIM)]],"[Measures].[HVL_ELIG_A]")</f>
        <v>67</v>
      </c>
      <c r="AW230" s="68" vm="8961">
        <f>CUBEVALUE(ConnectionString,ReportMonth,Table1[[#This Row],[Site ID (from DATIM)]],"[Measures].[HVL_D_A]")</f>
        <v>36</v>
      </c>
      <c r="AX230" s="68" vm="10071">
        <f>CUBEVALUE(ConnectionString,ReportMonth,Table1[[#This Row],[Site ID (from DATIM)]],"[Measures].[HVL_N_A]")</f>
        <v>35</v>
      </c>
      <c r="AY230" s="67"/>
      <c r="AZ230" s="67"/>
      <c r="BA230" s="67"/>
      <c r="BB230" s="67"/>
      <c r="BC230" s="67"/>
      <c r="BD230" s="67"/>
      <c r="BE230" s="67"/>
      <c r="BF230" s="67"/>
      <c r="BG230" s="67" t="str" vm="14861">
        <f>CUBEVALUE(ConnectionString,ReportMonth,Table1[[#This Row],[Site ID (from DATIM)]],"[Measures].[TX_NEW_F_A]")</f>
        <v/>
      </c>
      <c r="BH230" s="67" t="str" vm="12958">
        <f>CUBEVALUE(ConnectionString,ReportMonth,Table1[[#This Row],[Site ID (from DATIM)]],"[Measures].[TX_NEW_M_A]")</f>
        <v/>
      </c>
      <c r="BI230" s="67" t="str" vm="16576">
        <f>CUBEVALUE(ConnectionString,ReportMonth,Table1[[#This Row],[Site ID (from DATIM)]],"[Measures].[TX_NEW_F_P]")</f>
        <v/>
      </c>
      <c r="BJ230" s="68" t="str" vm="13533">
        <f>CUBEVALUE(ConnectionString,ReportMonth,Table1[[#This Row],[Site ID (from DATIM)]],"[Measures].[TX_NEW_M_P]")</f>
        <v/>
      </c>
      <c r="BK230" s="68"/>
      <c r="BL230" s="68"/>
      <c r="BM230" s="68"/>
      <c r="BN230" s="68"/>
      <c r="BO230" s="68"/>
      <c r="BP230" s="68"/>
      <c r="BQ230" s="68" vm="9820">
        <f>CUBEVALUE(ConnectionString,ReportMonth,Table1[[#This Row],[Site ID (from DATIM)]],"[Measures].[TX_CURR_F_P]")</f>
        <v>7</v>
      </c>
      <c r="BR230" s="68" vm="9030">
        <f>CUBEVALUE(ConnectionString,ReportMonth,Table1[[#This Row],[Site ID (from DATIM)]],"[Measures].[TX_CURR_M_P]")</f>
        <v>2</v>
      </c>
      <c r="BS230" s="68" vm="10266">
        <f>CUBEVALUE(ConnectionString,ReportMonth,Table1[[#This Row],[Site ID (from DATIM)]],"[Measures].[TX_CURR_F_A]")</f>
        <v>70</v>
      </c>
      <c r="BT230" s="68" vm="11361">
        <f>CUBEVALUE(ConnectionString,ReportMonth,Table1[[#This Row],[Site ID (from DATIM)]],"[Measures].[TX_CURR_M_A]")</f>
        <v>26</v>
      </c>
      <c r="BU230" s="68" vm="18911">
        <f>CUBEVALUE(ConnectionString,ReportMonth,Table1[[#This Row],[Site ID (from DATIM)]],"[Measures].[MMS_01_89_F_P]")</f>
        <v>1</v>
      </c>
      <c r="BV230" s="68" t="str" vm="19529">
        <f>CUBEVALUE(ConnectionString,ReportMonth,Table1[[#This Row],[Site ID (from DATIM)]],"[Measures].[MMS_01_89_M_P]")</f>
        <v/>
      </c>
      <c r="BW230" s="68" vm="19989">
        <f>CUBEVALUE(ConnectionString,ReportMonth,Table1[[#This Row],[Site ID (from DATIM)]],"[Measures].[MMS_01_89_F_A]")</f>
        <v>19</v>
      </c>
      <c r="BX230" s="68" vm="18495">
        <f>CUBEVALUE(ConnectionString,ReportMonth,Table1[[#This Row],[Site ID (from DATIM)]],"[Measures].[MMS_01_89_M_A]")</f>
        <v>9</v>
      </c>
      <c r="BY230" s="68" vm="19168">
        <f>CUBEVALUE(ConnectionString,ReportMonth,Table1[[#This Row],[Site ID (from DATIM)]],"[Measures].[MMS_90_179_F_P]")</f>
        <v>6</v>
      </c>
      <c r="BZ230" s="68" vm="19346">
        <f>CUBEVALUE(ConnectionString,ReportMonth,Table1[[#This Row],[Site ID (from DATIM)]],"[Measures].[MMS_90_179_M_P]")</f>
        <v>2</v>
      </c>
      <c r="CA230" s="68" vm="15145">
        <f>CUBEVALUE(ConnectionString,ReportMonth,Table1[[#This Row],[Site ID (from DATIM)]],"[Measures].[MMS_90_179_F_A]")</f>
        <v>51</v>
      </c>
      <c r="CB230" s="68" vm="15927">
        <f>CUBEVALUE(ConnectionString,ReportMonth,Table1[[#This Row],[Site ID (from DATIM)]],"[Measures].[MMS_90_179_M_A]")</f>
        <v>17</v>
      </c>
      <c r="CC230" s="68" t="str" vm="15507">
        <f>CUBEVALUE(ConnectionString,ReportMonth,Table1[[#This Row],[Site ID (from DATIM)]],"[Measures].[MMS_180+_F_P]")</f>
        <v/>
      </c>
      <c r="CD230" s="68" t="str" vm="15485">
        <f>CUBEVALUE(ConnectionString,ReportMonth,Table1[[#This Row],[Site ID (from DATIM)]],"[Measures].[MMS_180+_M_P]")</f>
        <v/>
      </c>
      <c r="CE230" s="68" t="str" vm="14940">
        <f>CUBEVALUE(ConnectionString,ReportMonth,Table1[[#This Row],[Site ID (from DATIM)]],"[Measures].[MMS_180+_F_A]")</f>
        <v/>
      </c>
      <c r="CF230" s="68" t="str" vm="14891">
        <f>CUBEVALUE(ConnectionString,ReportMonth,Table1[[#This Row],[Site ID (from DATIM)]],"[Measures].[MMS_180+_M_A]")</f>
        <v/>
      </c>
      <c r="CG230" s="68" vm="4989">
        <f>CUBEVALUE(ConnectionString,ReportMonth,Table1[[#This Row],[Site ID (from DATIM)]],"[Measures].[MISSEDAPP]")</f>
        <v>66</v>
      </c>
      <c r="CH230" s="68" t="str" vm="12211">
        <f>CUBEVALUE(ConnectionString,ReportMonth,Table1[[#This Row],[Site ID (from DATIM)]],"[Measures].[MMS_180+_P]")</f>
        <v/>
      </c>
      <c r="CI230" s="68" t="str" vm="12433">
        <f>CUBEVALUE(ConnectionString,ReportMonth,Table1[[#This Row],[Site ID (from DATIM)]],"[Measures].[MMS_180+_A]")</f>
        <v/>
      </c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  <c r="CW230" s="68"/>
      <c r="CX230" s="68"/>
      <c r="CY230" s="68"/>
      <c r="CZ230" s="68"/>
      <c r="DA230" s="68"/>
      <c r="DB230" s="68"/>
      <c r="DC230" s="68"/>
    </row>
    <row r="231" spans="1:107" x14ac:dyDescent="0.25">
      <c r="A231" s="66">
        <v>4</v>
      </c>
      <c r="B231" s="67" t="str" vm="4">
        <f t="shared" si="4"/>
        <v>Mar-2021</v>
      </c>
      <c r="C231" s="67"/>
      <c r="D231" s="67" t="s">
        <v>232</v>
      </c>
      <c r="E231" s="67" t="s">
        <v>233</v>
      </c>
      <c r="F231" s="67" t="s">
        <v>437</v>
      </c>
      <c r="G231" s="67"/>
      <c r="H231" s="67" t="s">
        <v>454</v>
      </c>
      <c r="I231" s="67" t="s">
        <v>643</v>
      </c>
      <c r="J231" s="67" t="s">
        <v>644</v>
      </c>
      <c r="K231" s="67" t="s">
        <v>645</v>
      </c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 t="str" vm="717">
        <f>CUBEVALUE(ConnectionString,ReportMonth,Table1[[#This Row],[Site ID (from DATIM)]],"TX_NEW_2VIS")</f>
        <v/>
      </c>
      <c r="AE231" s="67" t="str" vm="320">
        <f>CUBEVALUE(ConnectionString,ReportMonth,Table1[[#This Row],[Site ID (from DATIM)]],INDEX(SDI_Measures,1))</f>
        <v/>
      </c>
      <c r="AF231" s="67" t="str" vm="135">
        <f>CUBEVALUE(ConnectionString,ReportMonth,Table1[[#This Row],[Site ID (from DATIM)]],INDEX(SDI_Measures,2))</f>
        <v/>
      </c>
      <c r="AG231" s="67" t="str" vm="3899">
        <f>CUBEVALUE(ConnectionString,ReportMonth,Table1[[#This Row],[Site ID (from DATIM)]],INDEX(SDI_Measures,3))</f>
        <v/>
      </c>
      <c r="AH231" s="67" t="str" vm="2058">
        <f>CUBEVALUE(ConnectionString,ReportMonth,Table1[[#This Row],[Site ID (from DATIM)]],"TX_CURR_PRIOR_MONTH")</f>
        <v/>
      </c>
      <c r="AI231" s="67" t="str" vm="3409">
        <f>CUBEVALUE(ConnectionString,ReportMonth,Table1[[#This Row],[Site ID (from DATIM)]],"TX_CURR")</f>
        <v/>
      </c>
      <c r="AJ231" s="67" t="str" vm="1234">
        <f>CUBEVALUE(ConnectionString,ReportMonth,Table1[[#This Row],[Site ID (from DATIM)]],"[Measures].[TI]")</f>
        <v/>
      </c>
      <c r="AK231" s="67" t="str" vm="2281">
        <f>CUBEVALUE(ConnectionString,ReportMonth,Table1[[#This Row],[Site ID (from DATIM)]],"[Measures].[TO]")</f>
        <v/>
      </c>
      <c r="AL231" s="67" t="str" vm="4066">
        <f>CUBEVALUE(ConnectionString,ReportMonth,Table1[[#This Row],[Site ID (from DATIM)]],"[Measures].[DIED]")</f>
        <v/>
      </c>
      <c r="AM231" s="67" t="str" vm="3468">
        <f>CUBEVALUE(ConnectionString,ReportMonth,Table1[[#This Row],[Site ID (from DATIM)]],"[Measures].[MMS_01_31]")</f>
        <v/>
      </c>
      <c r="AN231" s="67" t="str" vm="5587">
        <f>CUBEVALUE(ConnectionString,ReportMonth,Table1[[#This Row],[Site ID (from DATIM)]],"[Measures].[MMS_32_62]")</f>
        <v/>
      </c>
      <c r="AO231" s="67" t="str" vm="5903">
        <f>CUBEVALUE(ConnectionString,ReportMonth,Table1[[#This Row],[Site ID (from DATIM)]],"[Measures].[MMS_63+]")</f>
        <v/>
      </c>
      <c r="AP231" s="67" t="str" vm="5585">
        <f>CUBEVALUE(ConnectionString,ReportMonth,Table1[[#This Row],[Site ID (from DATIM)]],"[Measures].[TBPREV_D]")</f>
        <v/>
      </c>
      <c r="AQ231" s="67" t="str" vm="5473">
        <f>CUBEVALUE(ConnectionString,ReportMonth,Table1[[#This Row],[Site ID (from DATIM)]],"[Measures].[TBPREV_N]")</f>
        <v/>
      </c>
      <c r="AR231" s="67" t="str" vm="11569">
        <f>CUBEVALUE(ConnectionString,ReportMonth,Table1[[#This Row],[Site ID (from DATIM)]],"[Measures].[TBPREV_NEW]")</f>
        <v/>
      </c>
      <c r="AS231" s="67" t="str" vm="4590">
        <f>CUBEVALUE(ConnectionString,ReportMonth,Table1[[#This Row],[Site ID (from DATIM)]],"[Measures].[HVL_ELIG_P]")</f>
        <v/>
      </c>
      <c r="AT231" s="67" t="str" vm="9343">
        <f>CUBEVALUE(ConnectionString,ReportMonth,Table1[[#This Row],[Site ID (from DATIM)]],"[Measures].[HVL_D_P]")</f>
        <v/>
      </c>
      <c r="AU231" s="67" t="str" vm="11314">
        <f>CUBEVALUE(ConnectionString,ReportMonth,Table1[[#This Row],[Site ID (from DATIM)]],"[Measures].[HVL_N_P]")</f>
        <v/>
      </c>
      <c r="AV231" s="68" t="str" vm="13178">
        <f>CUBEVALUE(ConnectionString,ReportMonth,Table1[[#This Row],[Site ID (from DATIM)]],"[Measures].[HVL_ELIG_A]")</f>
        <v/>
      </c>
      <c r="AW231" s="68" t="str" vm="11384">
        <f>CUBEVALUE(ConnectionString,ReportMonth,Table1[[#This Row],[Site ID (from DATIM)]],"[Measures].[HVL_D_A]")</f>
        <v/>
      </c>
      <c r="AX231" s="68" t="str" vm="9351">
        <f>CUBEVALUE(ConnectionString,ReportMonth,Table1[[#This Row],[Site ID (from DATIM)]],"[Measures].[HVL_N_A]")</f>
        <v/>
      </c>
      <c r="AY231" s="67"/>
      <c r="AZ231" s="67"/>
      <c r="BA231" s="67"/>
      <c r="BB231" s="67"/>
      <c r="BC231" s="67"/>
      <c r="BD231" s="67"/>
      <c r="BE231" s="67"/>
      <c r="BF231" s="67"/>
      <c r="BG231" s="67" t="str" vm="10183">
        <f>CUBEVALUE(ConnectionString,ReportMonth,Table1[[#This Row],[Site ID (from DATIM)]],"[Measures].[TX_NEW_F_A]")</f>
        <v/>
      </c>
      <c r="BH231" s="67" t="str" vm="10923">
        <f>CUBEVALUE(ConnectionString,ReportMonth,Table1[[#This Row],[Site ID (from DATIM)]],"[Measures].[TX_NEW_M_A]")</f>
        <v/>
      </c>
      <c r="BI231" s="67" t="str" vm="14255">
        <f>CUBEVALUE(ConnectionString,ReportMonth,Table1[[#This Row],[Site ID (from DATIM)]],"[Measures].[TX_NEW_F_P]")</f>
        <v/>
      </c>
      <c r="BJ231" s="68" t="str" vm="14833">
        <f>CUBEVALUE(ConnectionString,ReportMonth,Table1[[#This Row],[Site ID (from DATIM)]],"[Measures].[TX_NEW_M_P]")</f>
        <v/>
      </c>
      <c r="BK231" s="68"/>
      <c r="BL231" s="68"/>
      <c r="BM231" s="68"/>
      <c r="BN231" s="68"/>
      <c r="BO231" s="68"/>
      <c r="BP231" s="68"/>
      <c r="BQ231" s="68" t="str" vm="8806">
        <f>CUBEVALUE(ConnectionString,ReportMonth,Table1[[#This Row],[Site ID (from DATIM)]],"[Measures].[TX_CURR_F_P]")</f>
        <v/>
      </c>
      <c r="BR231" s="68" t="str" vm="10543">
        <f>CUBEVALUE(ConnectionString,ReportMonth,Table1[[#This Row],[Site ID (from DATIM)]],"[Measures].[TX_CURR_M_P]")</f>
        <v/>
      </c>
      <c r="BS231" s="68" t="str" vm="10010">
        <f>CUBEVALUE(ConnectionString,ReportMonth,Table1[[#This Row],[Site ID (from DATIM)]],"[Measures].[TX_CURR_F_A]")</f>
        <v/>
      </c>
      <c r="BT231" s="68" t="str" vm="13761">
        <f>CUBEVALUE(ConnectionString,ReportMonth,Table1[[#This Row],[Site ID (from DATIM)]],"[Measures].[TX_CURR_M_A]")</f>
        <v/>
      </c>
      <c r="BU231" s="68" t="str" vm="20071">
        <f>CUBEVALUE(ConnectionString,ReportMonth,Table1[[#This Row],[Site ID (from DATIM)]],"[Measures].[MMS_01_89_F_P]")</f>
        <v/>
      </c>
      <c r="BV231" s="68" t="str" vm="18625">
        <f>CUBEVALUE(ConnectionString,ReportMonth,Table1[[#This Row],[Site ID (from DATIM)]],"[Measures].[MMS_01_89_M_P]")</f>
        <v/>
      </c>
      <c r="BW231" s="68" t="str" vm="19505">
        <f>CUBEVALUE(ConnectionString,ReportMonth,Table1[[#This Row],[Site ID (from DATIM)]],"[Measures].[MMS_01_89_F_A]")</f>
        <v/>
      </c>
      <c r="BX231" s="68" t="str" vm="18215">
        <f>CUBEVALUE(ConnectionString,ReportMonth,Table1[[#This Row],[Site ID (from DATIM)]],"[Measures].[MMS_01_89_M_A]")</f>
        <v/>
      </c>
      <c r="BY231" s="68" t="str" vm="17916">
        <f>CUBEVALUE(ConnectionString,ReportMonth,Table1[[#This Row],[Site ID (from DATIM)]],"[Measures].[MMS_90_179_F_P]")</f>
        <v/>
      </c>
      <c r="BZ231" s="68" t="str" vm="18501">
        <f>CUBEVALUE(ConnectionString,ReportMonth,Table1[[#This Row],[Site ID (from DATIM)]],"[Measures].[MMS_90_179_M_P]")</f>
        <v/>
      </c>
      <c r="CA231" s="68" t="str" vm="16507">
        <f>CUBEVALUE(ConnectionString,ReportMonth,Table1[[#This Row],[Site ID (from DATIM)]],"[Measures].[MMS_90_179_F_A]")</f>
        <v/>
      </c>
      <c r="CB231" s="68" t="str" vm="14725">
        <f>CUBEVALUE(ConnectionString,ReportMonth,Table1[[#This Row],[Site ID (from DATIM)]],"[Measures].[MMS_90_179_M_A]")</f>
        <v/>
      </c>
      <c r="CC231" s="68" t="str" vm="14573">
        <f>CUBEVALUE(ConnectionString,ReportMonth,Table1[[#This Row],[Site ID (from DATIM)]],"[Measures].[MMS_180+_F_P]")</f>
        <v/>
      </c>
      <c r="CD231" s="68" t="str" vm="17133">
        <f>CUBEVALUE(ConnectionString,ReportMonth,Table1[[#This Row],[Site ID (from DATIM)]],"[Measures].[MMS_180+_M_P]")</f>
        <v/>
      </c>
      <c r="CE231" s="68" t="str" vm="15399">
        <f>CUBEVALUE(ConnectionString,ReportMonth,Table1[[#This Row],[Site ID (from DATIM)]],"[Measures].[MMS_180+_F_A]")</f>
        <v/>
      </c>
      <c r="CF231" s="68" t="str" vm="107">
        <f>CUBEVALUE(ConnectionString,ReportMonth,Table1[[#This Row],[Site ID (from DATIM)]],"[Measures].[MMS_180+_M_A]")</f>
        <v/>
      </c>
      <c r="CG231" s="68" t="str" vm="7332">
        <f>CUBEVALUE(ConnectionString,ReportMonth,Table1[[#This Row],[Site ID (from DATIM)]],"[Measures].[MISSEDAPP]")</f>
        <v/>
      </c>
      <c r="CH231" s="68" t="str" vm="10407">
        <f>CUBEVALUE(ConnectionString,ReportMonth,Table1[[#This Row],[Site ID (from DATIM)]],"[Measures].[MMS_180+_P]")</f>
        <v/>
      </c>
      <c r="CI231" s="68" t="str" vm="14062">
        <f>CUBEVALUE(ConnectionString,ReportMonth,Table1[[#This Row],[Site ID (from DATIM)]],"[Measures].[MMS_180+_A]")</f>
        <v/>
      </c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  <c r="CW231" s="68"/>
      <c r="CX231" s="68"/>
      <c r="CY231" s="68"/>
      <c r="CZ231" s="68"/>
      <c r="DA231" s="68"/>
      <c r="DB231" s="68"/>
      <c r="DC231" s="68"/>
    </row>
    <row r="232" spans="1:107" x14ac:dyDescent="0.25">
      <c r="A232" s="66">
        <v>4</v>
      </c>
      <c r="B232" s="67" t="str" vm="4">
        <f t="shared" si="4"/>
        <v>Mar-2021</v>
      </c>
      <c r="C232" s="67"/>
      <c r="D232" s="67" t="s">
        <v>232</v>
      </c>
      <c r="E232" s="67" t="s">
        <v>233</v>
      </c>
      <c r="F232" s="67" t="s">
        <v>234</v>
      </c>
      <c r="G232" s="67"/>
      <c r="H232" s="67" t="s">
        <v>235</v>
      </c>
      <c r="I232" s="67" t="s">
        <v>326</v>
      </c>
      <c r="J232" s="67" t="s">
        <v>327</v>
      </c>
      <c r="K232" s="67" t="s">
        <v>328</v>
      </c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 t="str" vm="1627">
        <f>CUBEVALUE(ConnectionString,ReportMonth,Table1[[#This Row],[Site ID (from DATIM)]],"TX_NEW_2VIS")</f>
        <v/>
      </c>
      <c r="AE232" s="67" t="str" vm="546">
        <f>CUBEVALUE(ConnectionString,ReportMonth,Table1[[#This Row],[Site ID (from DATIM)]],INDEX(SDI_Measures,1))</f>
        <v/>
      </c>
      <c r="AF232" s="67" t="str" vm="1932">
        <f>CUBEVALUE(ConnectionString,ReportMonth,Table1[[#This Row],[Site ID (from DATIM)]],INDEX(SDI_Measures,2))</f>
        <v/>
      </c>
      <c r="AG232" s="67" t="str" vm="4481">
        <f>CUBEVALUE(ConnectionString,ReportMonth,Table1[[#This Row],[Site ID (from DATIM)]],INDEX(SDI_Measures,3))</f>
        <v/>
      </c>
      <c r="AH232" s="67" vm="2867">
        <f>CUBEVALUE(ConnectionString,ReportMonth,Table1[[#This Row],[Site ID (from DATIM)]],"TX_CURR_PRIOR_MONTH")</f>
        <v>45</v>
      </c>
      <c r="AI232" s="67" vm="3621">
        <f>CUBEVALUE(ConnectionString,ReportMonth,Table1[[#This Row],[Site ID (from DATIM)]],"TX_CURR")</f>
        <v>42</v>
      </c>
      <c r="AJ232" s="67" t="str" vm="3753">
        <f>CUBEVALUE(ConnectionString,ReportMonth,Table1[[#This Row],[Site ID (from DATIM)]],"[Measures].[TI]")</f>
        <v/>
      </c>
      <c r="AK232" s="67" t="str" vm="3665">
        <f>CUBEVALUE(ConnectionString,ReportMonth,Table1[[#This Row],[Site ID (from DATIM)]],"[Measures].[TO]")</f>
        <v/>
      </c>
      <c r="AL232" s="67" t="str" vm="3938">
        <f>CUBEVALUE(ConnectionString,ReportMonth,Table1[[#This Row],[Site ID (from DATIM)]],"[Measures].[DIED]")</f>
        <v/>
      </c>
      <c r="AM232" s="67" vm="3674">
        <f>CUBEVALUE(ConnectionString,ReportMonth,Table1[[#This Row],[Site ID (from DATIM)]],"[Measures].[MMS_01_31]")</f>
        <v>23</v>
      </c>
      <c r="AN232" s="67" t="str" vm="6890">
        <f>CUBEVALUE(ConnectionString,ReportMonth,Table1[[#This Row],[Site ID (from DATIM)]],"[Measures].[MMS_32_62]")</f>
        <v/>
      </c>
      <c r="AO232" s="67" vm="5646">
        <f>CUBEVALUE(ConnectionString,ReportMonth,Table1[[#This Row],[Site ID (from DATIM)]],"[Measures].[MMS_63+]")</f>
        <v>19</v>
      </c>
      <c r="AP232" s="67" vm="10762">
        <f>CUBEVALUE(ConnectionString,ReportMonth,Table1[[#This Row],[Site ID (from DATIM)]],"[Measures].[TBPREV_D]")</f>
        <v>3</v>
      </c>
      <c r="AQ232" s="67" vm="7365">
        <f>CUBEVALUE(ConnectionString,ReportMonth,Table1[[#This Row],[Site ID (from DATIM)]],"[Measures].[TBPREV_N]")</f>
        <v>2</v>
      </c>
      <c r="AR232" s="67" t="str" vm="4944">
        <f>CUBEVALUE(ConnectionString,ReportMonth,Table1[[#This Row],[Site ID (from DATIM)]],"[Measures].[TBPREV_NEW]")</f>
        <v/>
      </c>
      <c r="AS232" s="67" vm="9874">
        <f>CUBEVALUE(ConnectionString,ReportMonth,Table1[[#This Row],[Site ID (from DATIM)]],"[Measures].[HVL_ELIG_P]")</f>
        <v>2</v>
      </c>
      <c r="AT232" s="67" vm="5898">
        <f>CUBEVALUE(ConnectionString,ReportMonth,Table1[[#This Row],[Site ID (from DATIM)]],"[Measures].[HVL_D_P]")</f>
        <v>1</v>
      </c>
      <c r="AU232" s="67" vm="9329">
        <f>CUBEVALUE(ConnectionString,ReportMonth,Table1[[#This Row],[Site ID (from DATIM)]],"[Measures].[HVL_N_P]")</f>
        <v>1</v>
      </c>
      <c r="AV232" s="68" vm="10986">
        <f>CUBEVALUE(ConnectionString,ReportMonth,Table1[[#This Row],[Site ID (from DATIM)]],"[Measures].[HVL_ELIG_A]")</f>
        <v>34</v>
      </c>
      <c r="AW232" s="68" vm="11799">
        <f>CUBEVALUE(ConnectionString,ReportMonth,Table1[[#This Row],[Site ID (from DATIM)]],"[Measures].[HVL_D_A]")</f>
        <v>7</v>
      </c>
      <c r="AX232" s="68" vm="9566">
        <f>CUBEVALUE(ConnectionString,ReportMonth,Table1[[#This Row],[Site ID (from DATIM)]],"[Measures].[HVL_N_A]")</f>
        <v>5</v>
      </c>
      <c r="AY232" s="67"/>
      <c r="AZ232" s="67"/>
      <c r="BA232" s="67"/>
      <c r="BB232" s="67"/>
      <c r="BC232" s="67"/>
      <c r="BD232" s="67"/>
      <c r="BE232" s="67"/>
      <c r="BF232" s="67"/>
      <c r="BG232" s="67" t="str" vm="14269">
        <f>CUBEVALUE(ConnectionString,ReportMonth,Table1[[#This Row],[Site ID (from DATIM)]],"[Measures].[TX_NEW_F_A]")</f>
        <v/>
      </c>
      <c r="BH232" s="67" t="str" vm="17403">
        <f>CUBEVALUE(ConnectionString,ReportMonth,Table1[[#This Row],[Site ID (from DATIM)]],"[Measures].[TX_NEW_M_A]")</f>
        <v/>
      </c>
      <c r="BI232" s="67" t="str" vm="14035">
        <f>CUBEVALUE(ConnectionString,ReportMonth,Table1[[#This Row],[Site ID (from DATIM)]],"[Measures].[TX_NEW_F_P]")</f>
        <v/>
      </c>
      <c r="BJ232" s="68" t="str" vm="13091">
        <f>CUBEVALUE(ConnectionString,ReportMonth,Table1[[#This Row],[Site ID (from DATIM)]],"[Measures].[TX_NEW_M_P]")</f>
        <v/>
      </c>
      <c r="BK232" s="68"/>
      <c r="BL232" s="68"/>
      <c r="BM232" s="68"/>
      <c r="BN232" s="68"/>
      <c r="BO232" s="68"/>
      <c r="BP232" s="68"/>
      <c r="BQ232" s="68" vm="10057">
        <f>CUBEVALUE(ConnectionString,ReportMonth,Table1[[#This Row],[Site ID (from DATIM)]],"[Measures].[TX_CURR_F_P]")</f>
        <v>2</v>
      </c>
      <c r="BR232" s="68" vm="12412">
        <f>CUBEVALUE(ConnectionString,ReportMonth,Table1[[#This Row],[Site ID (from DATIM)]],"[Measures].[TX_CURR_M_P]")</f>
        <v>1</v>
      </c>
      <c r="BS232" s="68" vm="8616">
        <f>CUBEVALUE(ConnectionString,ReportMonth,Table1[[#This Row],[Site ID (from DATIM)]],"[Measures].[TX_CURR_F_A]")</f>
        <v>29</v>
      </c>
      <c r="BT232" s="68" vm="12380">
        <f>CUBEVALUE(ConnectionString,ReportMonth,Table1[[#This Row],[Site ID (from DATIM)]],"[Measures].[TX_CURR_M_A]")</f>
        <v>10</v>
      </c>
      <c r="BU232" s="68" vm="19836">
        <f>CUBEVALUE(ConnectionString,ReportMonth,Table1[[#This Row],[Site ID (from DATIM)]],"[Measures].[MMS_01_89_F_P]")</f>
        <v>2</v>
      </c>
      <c r="BV232" s="68" vm="18368">
        <f>CUBEVALUE(ConnectionString,ReportMonth,Table1[[#This Row],[Site ID (from DATIM)]],"[Measures].[MMS_01_89_M_P]")</f>
        <v>1</v>
      </c>
      <c r="BW232" s="68" vm="19739">
        <f>CUBEVALUE(ConnectionString,ReportMonth,Table1[[#This Row],[Site ID (from DATIM)]],"[Measures].[MMS_01_89_F_A]")</f>
        <v>13</v>
      </c>
      <c r="BX232" s="68" vm="19587">
        <f>CUBEVALUE(ConnectionString,ReportMonth,Table1[[#This Row],[Site ID (from DATIM)]],"[Measures].[MMS_01_89_M_A]")</f>
        <v>7</v>
      </c>
      <c r="BY232" s="68" t="str" vm="16963">
        <f>CUBEVALUE(ConnectionString,ReportMonth,Table1[[#This Row],[Site ID (from DATIM)]],"[Measures].[MMS_90_179_F_P]")</f>
        <v/>
      </c>
      <c r="BZ232" s="68" t="str" vm="16886">
        <f>CUBEVALUE(ConnectionString,ReportMonth,Table1[[#This Row],[Site ID (from DATIM)]],"[Measures].[MMS_90_179_M_P]")</f>
        <v/>
      </c>
      <c r="CA232" s="68" vm="16968">
        <f>CUBEVALUE(ConnectionString,ReportMonth,Table1[[#This Row],[Site ID (from DATIM)]],"[Measures].[MMS_90_179_F_A]")</f>
        <v>16</v>
      </c>
      <c r="CB232" s="68" vm="15172">
        <f>CUBEVALUE(ConnectionString,ReportMonth,Table1[[#This Row],[Site ID (from DATIM)]],"[Measures].[MMS_90_179_M_A]")</f>
        <v>3</v>
      </c>
      <c r="CC232" s="68" t="str" vm="17246">
        <f>CUBEVALUE(ConnectionString,ReportMonth,Table1[[#This Row],[Site ID (from DATIM)]],"[Measures].[MMS_180+_F_P]")</f>
        <v/>
      </c>
      <c r="CD232" s="68" t="str" vm="17228">
        <f>CUBEVALUE(ConnectionString,ReportMonth,Table1[[#This Row],[Site ID (from DATIM)]],"[Measures].[MMS_180+_M_P]")</f>
        <v/>
      </c>
      <c r="CE232" s="68" t="str" vm="17553">
        <f>CUBEVALUE(ConnectionString,ReportMonth,Table1[[#This Row],[Site ID (from DATIM)]],"[Measures].[MMS_180+_F_A]")</f>
        <v/>
      </c>
      <c r="CF232" s="68" t="str" vm="209">
        <f>CUBEVALUE(ConnectionString,ReportMonth,Table1[[#This Row],[Site ID (from DATIM)]],"[Measures].[MMS_180+_M_A]")</f>
        <v/>
      </c>
      <c r="CG232" s="68" vm="8298">
        <f>CUBEVALUE(ConnectionString,ReportMonth,Table1[[#This Row],[Site ID (from DATIM)]],"[Measures].[MISSEDAPP]")</f>
        <v>19</v>
      </c>
      <c r="CH232" s="68" t="str" vm="10952">
        <f>CUBEVALUE(ConnectionString,ReportMonth,Table1[[#This Row],[Site ID (from DATIM)]],"[Measures].[MMS_180+_P]")</f>
        <v/>
      </c>
      <c r="CI232" s="68" t="str" vm="12785">
        <f>CUBEVALUE(ConnectionString,ReportMonth,Table1[[#This Row],[Site ID (from DATIM)]],"[Measures].[MMS_180+_A]")</f>
        <v/>
      </c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  <c r="CW232" s="68"/>
      <c r="CX232" s="68"/>
      <c r="CY232" s="68"/>
      <c r="CZ232" s="68"/>
      <c r="DA232" s="68"/>
      <c r="DB232" s="68"/>
      <c r="DC232" s="68"/>
    </row>
    <row r="233" spans="1:107" x14ac:dyDescent="0.25">
      <c r="A233" s="66">
        <v>4</v>
      </c>
      <c r="B233" s="67" t="str" vm="4">
        <f t="shared" si="4"/>
        <v>Mar-2021</v>
      </c>
      <c r="C233" s="67"/>
      <c r="D233" s="67" t="s">
        <v>232</v>
      </c>
      <c r="E233" s="67" t="s">
        <v>233</v>
      </c>
      <c r="F233" s="67" t="s">
        <v>1286</v>
      </c>
      <c r="G233" s="67"/>
      <c r="H233" s="67" t="s">
        <v>1323</v>
      </c>
      <c r="I233" s="67" t="s">
        <v>1403</v>
      </c>
      <c r="J233" s="67" t="s">
        <v>1404</v>
      </c>
      <c r="K233" s="67" t="s">
        <v>1405</v>
      </c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 t="str" vm="3073">
        <f>CUBEVALUE(ConnectionString,ReportMonth,Table1[[#This Row],[Site ID (from DATIM)]],"TX_NEW_2VIS")</f>
        <v/>
      </c>
      <c r="AE233" s="67" t="str" vm="2117">
        <f>CUBEVALUE(ConnectionString,ReportMonth,Table1[[#This Row],[Site ID (from DATIM)]],INDEX(SDI_Measures,1))</f>
        <v/>
      </c>
      <c r="AF233" s="67" t="str" vm="240">
        <f>CUBEVALUE(ConnectionString,ReportMonth,Table1[[#This Row],[Site ID (from DATIM)]],INDEX(SDI_Measures,2))</f>
        <v/>
      </c>
      <c r="AG233" s="67" t="str" vm="874">
        <f>CUBEVALUE(ConnectionString,ReportMonth,Table1[[#This Row],[Site ID (from DATIM)]],INDEX(SDI_Measures,3))</f>
        <v/>
      </c>
      <c r="AH233" s="67" t="str" vm="406">
        <f>CUBEVALUE(ConnectionString,ReportMonth,Table1[[#This Row],[Site ID (from DATIM)]],"TX_CURR_PRIOR_MONTH")</f>
        <v/>
      </c>
      <c r="AI233" s="67" t="str" vm="7639">
        <f>CUBEVALUE(ConnectionString,ReportMonth,Table1[[#This Row],[Site ID (from DATIM)]],"TX_CURR")</f>
        <v/>
      </c>
      <c r="AJ233" s="67" t="str" vm="2713">
        <f>CUBEVALUE(ConnectionString,ReportMonth,Table1[[#This Row],[Site ID (from DATIM)]],"[Measures].[TI]")</f>
        <v/>
      </c>
      <c r="AK233" s="67" t="str" vm="3168">
        <f>CUBEVALUE(ConnectionString,ReportMonth,Table1[[#This Row],[Site ID (from DATIM)]],"[Measures].[TO]")</f>
        <v/>
      </c>
      <c r="AL233" s="67" t="str" vm="2452">
        <f>CUBEVALUE(ConnectionString,ReportMonth,Table1[[#This Row],[Site ID (from DATIM)]],"[Measures].[DIED]")</f>
        <v/>
      </c>
      <c r="AM233" s="67" t="str" vm="7584">
        <f>CUBEVALUE(ConnectionString,ReportMonth,Table1[[#This Row],[Site ID (from DATIM)]],"[Measures].[MMS_01_31]")</f>
        <v/>
      </c>
      <c r="AN233" s="67" t="str" vm="5981">
        <f>CUBEVALUE(ConnectionString,ReportMonth,Table1[[#This Row],[Site ID (from DATIM)]],"[Measures].[MMS_32_62]")</f>
        <v/>
      </c>
      <c r="AO233" s="67" t="str" vm="4584">
        <f>CUBEVALUE(ConnectionString,ReportMonth,Table1[[#This Row],[Site ID (from DATIM)]],"[Measures].[MMS_63+]")</f>
        <v/>
      </c>
      <c r="AP233" s="67" t="str" vm="5513">
        <f>CUBEVALUE(ConnectionString,ReportMonth,Table1[[#This Row],[Site ID (from DATIM)]],"[Measures].[TBPREV_D]")</f>
        <v/>
      </c>
      <c r="AQ233" s="67" t="str" vm="4801">
        <f>CUBEVALUE(ConnectionString,ReportMonth,Table1[[#This Row],[Site ID (from DATIM)]],"[Measures].[TBPREV_N]")</f>
        <v/>
      </c>
      <c r="AR233" s="67" t="str" vm="11506">
        <f>CUBEVALUE(ConnectionString,ReportMonth,Table1[[#This Row],[Site ID (from DATIM)]],"[Measures].[TBPREV_NEW]")</f>
        <v/>
      </c>
      <c r="AS233" s="67" t="str" vm="10965">
        <f>CUBEVALUE(ConnectionString,ReportMonth,Table1[[#This Row],[Site ID (from DATIM)]],"[Measures].[HVL_ELIG_P]")</f>
        <v/>
      </c>
      <c r="AT233" s="67" t="str" vm="11818">
        <f>CUBEVALUE(ConnectionString,ReportMonth,Table1[[#This Row],[Site ID (from DATIM)]],"[Measures].[HVL_D_P]")</f>
        <v/>
      </c>
      <c r="AU233" s="67" t="str" vm="11540">
        <f>CUBEVALUE(ConnectionString,ReportMonth,Table1[[#This Row],[Site ID (from DATIM)]],"[Measures].[HVL_N_P]")</f>
        <v/>
      </c>
      <c r="AV233" s="68" t="str" vm="7921">
        <f>CUBEVALUE(ConnectionString,ReportMonth,Table1[[#This Row],[Site ID (from DATIM)]],"[Measures].[HVL_ELIG_A]")</f>
        <v/>
      </c>
      <c r="AW233" s="68" t="str" vm="9364">
        <f>CUBEVALUE(ConnectionString,ReportMonth,Table1[[#This Row],[Site ID (from DATIM)]],"[Measures].[HVL_D_A]")</f>
        <v/>
      </c>
      <c r="AX233" s="68" t="str" vm="10455">
        <f>CUBEVALUE(ConnectionString,ReportMonth,Table1[[#This Row],[Site ID (from DATIM)]],"[Measures].[HVL_N_A]")</f>
        <v/>
      </c>
      <c r="AY233" s="67"/>
      <c r="AZ233" s="67"/>
      <c r="BA233" s="67"/>
      <c r="BB233" s="67"/>
      <c r="BC233" s="67"/>
      <c r="BD233" s="67"/>
      <c r="BE233" s="67"/>
      <c r="BF233" s="67"/>
      <c r="BG233" s="67" t="str" vm="16607">
        <f>CUBEVALUE(ConnectionString,ReportMonth,Table1[[#This Row],[Site ID (from DATIM)]],"[Measures].[TX_NEW_F_A]")</f>
        <v/>
      </c>
      <c r="BH233" s="67" t="str" vm="13790">
        <f>CUBEVALUE(ConnectionString,ReportMonth,Table1[[#This Row],[Site ID (from DATIM)]],"[Measures].[TX_NEW_M_A]")</f>
        <v/>
      </c>
      <c r="BI233" s="67" t="str" vm="12403">
        <f>CUBEVALUE(ConnectionString,ReportMonth,Table1[[#This Row],[Site ID (from DATIM)]],"[Measures].[TX_NEW_F_P]")</f>
        <v/>
      </c>
      <c r="BJ233" s="68" t="str" vm="14832">
        <f>CUBEVALUE(ConnectionString,ReportMonth,Table1[[#This Row],[Site ID (from DATIM)]],"[Measures].[TX_NEW_M_P]")</f>
        <v/>
      </c>
      <c r="BK233" s="68"/>
      <c r="BL233" s="68"/>
      <c r="BM233" s="68"/>
      <c r="BN233" s="68"/>
      <c r="BO233" s="68"/>
      <c r="BP233" s="68"/>
      <c r="BQ233" s="68" t="str" vm="6370">
        <f>CUBEVALUE(ConnectionString,ReportMonth,Table1[[#This Row],[Site ID (from DATIM)]],"[Measures].[TX_CURR_F_P]")</f>
        <v/>
      </c>
      <c r="BR233" s="68" t="str" vm="10437">
        <f>CUBEVALUE(ConnectionString,ReportMonth,Table1[[#This Row],[Site ID (from DATIM)]],"[Measures].[TX_CURR_M_P]")</f>
        <v/>
      </c>
      <c r="BS233" s="68" t="str" vm="12004">
        <f>CUBEVALUE(ConnectionString,ReportMonth,Table1[[#This Row],[Site ID (from DATIM)]],"[Measures].[TX_CURR_F_A]")</f>
        <v/>
      </c>
      <c r="BT233" s="68" t="str" vm="13382">
        <f>CUBEVALUE(ConnectionString,ReportMonth,Table1[[#This Row],[Site ID (from DATIM)]],"[Measures].[TX_CURR_M_A]")</f>
        <v/>
      </c>
      <c r="BU233" s="68" t="str" vm="19270">
        <f>CUBEVALUE(ConnectionString,ReportMonth,Table1[[#This Row],[Site ID (from DATIM)]],"[Measures].[MMS_01_89_F_P]")</f>
        <v/>
      </c>
      <c r="BV233" s="68" t="str" vm="18937">
        <f>CUBEVALUE(ConnectionString,ReportMonth,Table1[[#This Row],[Site ID (from DATIM)]],"[Measures].[MMS_01_89_M_P]")</f>
        <v/>
      </c>
      <c r="BW233" s="68" t="str" vm="19729">
        <f>CUBEVALUE(ConnectionString,ReportMonth,Table1[[#This Row],[Site ID (from DATIM)]],"[Measures].[MMS_01_89_F_A]")</f>
        <v/>
      </c>
      <c r="BX233" s="68" t="str" vm="20009">
        <f>CUBEVALUE(ConnectionString,ReportMonth,Table1[[#This Row],[Site ID (from DATIM)]],"[Measures].[MMS_01_89_M_A]")</f>
        <v/>
      </c>
      <c r="BY233" s="68" t="str" vm="19921">
        <f>CUBEVALUE(ConnectionString,ReportMonth,Table1[[#This Row],[Site ID (from DATIM)]],"[Measures].[MMS_90_179_F_P]")</f>
        <v/>
      </c>
      <c r="BZ233" s="68" t="str" vm="17804">
        <f>CUBEVALUE(ConnectionString,ReportMonth,Table1[[#This Row],[Site ID (from DATIM)]],"[Measures].[MMS_90_179_M_P]")</f>
        <v/>
      </c>
      <c r="CA233" s="68" t="str" vm="15558">
        <f>CUBEVALUE(ConnectionString,ReportMonth,Table1[[#This Row],[Site ID (from DATIM)]],"[Measures].[MMS_90_179_F_A]")</f>
        <v/>
      </c>
      <c r="CB233" s="68" t="str" vm="17734">
        <f>CUBEVALUE(ConnectionString,ReportMonth,Table1[[#This Row],[Site ID (from DATIM)]],"[Measures].[MMS_90_179_M_A]")</f>
        <v/>
      </c>
      <c r="CC233" s="68" t="str" vm="18143">
        <f>CUBEVALUE(ConnectionString,ReportMonth,Table1[[#This Row],[Site ID (from DATIM)]],"[Measures].[MMS_180+_F_P]")</f>
        <v/>
      </c>
      <c r="CD233" s="68" t="str" vm="14967">
        <f>CUBEVALUE(ConnectionString,ReportMonth,Table1[[#This Row],[Site ID (from DATIM)]],"[Measures].[MMS_180+_M_P]")</f>
        <v/>
      </c>
      <c r="CE233" s="68" t="str" vm="16330">
        <f>CUBEVALUE(ConnectionString,ReportMonth,Table1[[#This Row],[Site ID (from DATIM)]],"[Measures].[MMS_180+_F_A]")</f>
        <v/>
      </c>
      <c r="CF233" s="68" t="str" vm="17103">
        <f>CUBEVALUE(ConnectionString,ReportMonth,Table1[[#This Row],[Site ID (from DATIM)]],"[Measures].[MMS_180+_M_A]")</f>
        <v/>
      </c>
      <c r="CG233" s="68" t="str" vm="7002">
        <f>CUBEVALUE(ConnectionString,ReportMonth,Table1[[#This Row],[Site ID (from DATIM)]],"[Measures].[MISSEDAPP]")</f>
        <v/>
      </c>
      <c r="CH233" s="68" t="str" vm="11159">
        <f>CUBEVALUE(ConnectionString,ReportMonth,Table1[[#This Row],[Site ID (from DATIM)]],"[Measures].[MMS_180+_P]")</f>
        <v/>
      </c>
      <c r="CI233" s="68" t="str" vm="13230">
        <f>CUBEVALUE(ConnectionString,ReportMonth,Table1[[#This Row],[Site ID (from DATIM)]],"[Measures].[MMS_180+_A]")</f>
        <v/>
      </c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  <c r="CW233" s="68"/>
      <c r="CX233" s="68"/>
      <c r="CY233" s="68"/>
      <c r="CZ233" s="68"/>
      <c r="DA233" s="68"/>
      <c r="DB233" s="68"/>
      <c r="DC233" s="68"/>
    </row>
    <row r="234" spans="1:107" x14ac:dyDescent="0.25">
      <c r="A234" s="66">
        <v>2</v>
      </c>
      <c r="B234" s="67" t="str" vm="4">
        <f t="shared" si="4"/>
        <v>Mar-2021</v>
      </c>
      <c r="C234" s="67"/>
      <c r="D234" s="67" t="s">
        <v>232</v>
      </c>
      <c r="E234" s="67" t="s">
        <v>233</v>
      </c>
      <c r="F234" s="67" t="s">
        <v>1286</v>
      </c>
      <c r="G234" s="67"/>
      <c r="H234" s="67" t="s">
        <v>1323</v>
      </c>
      <c r="I234" s="67" t="s">
        <v>1406</v>
      </c>
      <c r="J234" s="67" t="s">
        <v>1407</v>
      </c>
      <c r="K234" s="67" t="s">
        <v>1408</v>
      </c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 t="str" vm="860">
        <f>CUBEVALUE(ConnectionString,ReportMonth,Table1[[#This Row],[Site ID (from DATIM)]],"TX_NEW_2VIS")</f>
        <v/>
      </c>
      <c r="AE234" s="67" t="str" vm="4143">
        <f>CUBEVALUE(ConnectionString,ReportMonth,Table1[[#This Row],[Site ID (from DATIM)]],INDEX(SDI_Measures,1))</f>
        <v/>
      </c>
      <c r="AF234" s="67" t="str" vm="1052">
        <f>CUBEVALUE(ConnectionString,ReportMonth,Table1[[#This Row],[Site ID (from DATIM)]],INDEX(SDI_Measures,2))</f>
        <v/>
      </c>
      <c r="AG234" s="67" t="str" vm="2189">
        <f>CUBEVALUE(ConnectionString,ReportMonth,Table1[[#This Row],[Site ID (from DATIM)]],INDEX(SDI_Measures,3))</f>
        <v/>
      </c>
      <c r="AH234" s="67" t="str" vm="2380">
        <f>CUBEVALUE(ConnectionString,ReportMonth,Table1[[#This Row],[Site ID (from DATIM)]],"TX_CURR_PRIOR_MONTH")</f>
        <v/>
      </c>
      <c r="AI234" s="67" t="str" vm="3353">
        <f>CUBEVALUE(ConnectionString,ReportMonth,Table1[[#This Row],[Site ID (from DATIM)]],"TX_CURR")</f>
        <v/>
      </c>
      <c r="AJ234" s="67" t="str" vm="1235">
        <f>CUBEVALUE(ConnectionString,ReportMonth,Table1[[#This Row],[Site ID (from DATIM)]],"[Measures].[TI]")</f>
        <v/>
      </c>
      <c r="AK234" s="67" t="str" vm="3559">
        <f>CUBEVALUE(ConnectionString,ReportMonth,Table1[[#This Row],[Site ID (from DATIM)]],"[Measures].[TO]")</f>
        <v/>
      </c>
      <c r="AL234" s="67" t="str" vm="3144">
        <f>CUBEVALUE(ConnectionString,ReportMonth,Table1[[#This Row],[Site ID (from DATIM)]],"[Measures].[DIED]")</f>
        <v/>
      </c>
      <c r="AM234" s="67" t="str" vm="4003">
        <f>CUBEVALUE(ConnectionString,ReportMonth,Table1[[#This Row],[Site ID (from DATIM)]],"[Measures].[MMS_01_31]")</f>
        <v/>
      </c>
      <c r="AN234" s="67" t="str" vm="9926">
        <f>CUBEVALUE(ConnectionString,ReportMonth,Table1[[#This Row],[Site ID (from DATIM)]],"[Measures].[MMS_32_62]")</f>
        <v/>
      </c>
      <c r="AO234" s="67" t="str" vm="11127">
        <f>CUBEVALUE(ConnectionString,ReportMonth,Table1[[#This Row],[Site ID (from DATIM)]],"[Measures].[MMS_63+]")</f>
        <v/>
      </c>
      <c r="AP234" s="67" t="str" vm="5990">
        <f>CUBEVALUE(ConnectionString,ReportMonth,Table1[[#This Row],[Site ID (from DATIM)]],"[Measures].[TBPREV_D]")</f>
        <v/>
      </c>
      <c r="AQ234" s="67" t="str" vm="5107">
        <f>CUBEVALUE(ConnectionString,ReportMonth,Table1[[#This Row],[Site ID (from DATIM)]],"[Measures].[TBPREV_N]")</f>
        <v/>
      </c>
      <c r="AR234" s="67" t="str" vm="4660">
        <f>CUBEVALUE(ConnectionString,ReportMonth,Table1[[#This Row],[Site ID (from DATIM)]],"[Measures].[TBPREV_NEW]")</f>
        <v/>
      </c>
      <c r="AS234" s="67" t="str" vm="5556">
        <f>CUBEVALUE(ConnectionString,ReportMonth,Table1[[#This Row],[Site ID (from DATIM)]],"[Measures].[HVL_ELIG_P]")</f>
        <v/>
      </c>
      <c r="AT234" s="67" t="str" vm="6218">
        <f>CUBEVALUE(ConnectionString,ReportMonth,Table1[[#This Row],[Site ID (from DATIM)]],"[Measures].[HVL_D_P]")</f>
        <v/>
      </c>
      <c r="AU234" s="67" t="str" vm="8398">
        <f>CUBEVALUE(ConnectionString,ReportMonth,Table1[[#This Row],[Site ID (from DATIM)]],"[Measures].[HVL_N_P]")</f>
        <v/>
      </c>
      <c r="AV234" s="68" t="str" vm="13508">
        <f>CUBEVALUE(ConnectionString,ReportMonth,Table1[[#This Row],[Site ID (from DATIM)]],"[Measures].[HVL_ELIG_A]")</f>
        <v/>
      </c>
      <c r="AW234" s="68" t="str" vm="10395">
        <f>CUBEVALUE(ConnectionString,ReportMonth,Table1[[#This Row],[Site ID (from DATIM)]],"[Measures].[HVL_D_A]")</f>
        <v/>
      </c>
      <c r="AX234" s="68" t="str" vm="11582">
        <f>CUBEVALUE(ConnectionString,ReportMonth,Table1[[#This Row],[Site ID (from DATIM)]],"[Measures].[HVL_N_A]")</f>
        <v/>
      </c>
      <c r="AY234" s="67"/>
      <c r="AZ234" s="67"/>
      <c r="BA234" s="67"/>
      <c r="BB234" s="67"/>
      <c r="BC234" s="67"/>
      <c r="BD234" s="67"/>
      <c r="BE234" s="67"/>
      <c r="BF234" s="67"/>
      <c r="BG234" s="67" t="str" vm="12804">
        <f>CUBEVALUE(ConnectionString,ReportMonth,Table1[[#This Row],[Site ID (from DATIM)]],"[Measures].[TX_NEW_F_A]")</f>
        <v/>
      </c>
      <c r="BH234" s="67" t="str" vm="14806">
        <f>CUBEVALUE(ConnectionString,ReportMonth,Table1[[#This Row],[Site ID (from DATIM)]],"[Measures].[TX_NEW_M_A]")</f>
        <v/>
      </c>
      <c r="BI234" s="67" t="str" vm="13433">
        <f>CUBEVALUE(ConnectionString,ReportMonth,Table1[[#This Row],[Site ID (from DATIM)]],"[Measures].[TX_NEW_F_P]")</f>
        <v/>
      </c>
      <c r="BJ234" s="68" t="str" vm="14279">
        <f>CUBEVALUE(ConnectionString,ReportMonth,Table1[[#This Row],[Site ID (from DATIM)]],"[Measures].[TX_NEW_M_P]")</f>
        <v/>
      </c>
      <c r="BK234" s="68"/>
      <c r="BL234" s="68"/>
      <c r="BM234" s="68"/>
      <c r="BN234" s="68"/>
      <c r="BO234" s="68"/>
      <c r="BP234" s="68"/>
      <c r="BQ234" s="68" t="str" vm="8394">
        <f>CUBEVALUE(ConnectionString,ReportMonth,Table1[[#This Row],[Site ID (from DATIM)]],"[Measures].[TX_CURR_F_P]")</f>
        <v/>
      </c>
      <c r="BR234" s="68" t="str" vm="9924">
        <f>CUBEVALUE(ConnectionString,ReportMonth,Table1[[#This Row],[Site ID (from DATIM)]],"[Measures].[TX_CURR_M_P]")</f>
        <v/>
      </c>
      <c r="BS234" s="68" t="str" vm="8870">
        <f>CUBEVALUE(ConnectionString,ReportMonth,Table1[[#This Row],[Site ID (from DATIM)]],"[Measures].[TX_CURR_F_A]")</f>
        <v/>
      </c>
      <c r="BT234" s="68" t="str" vm="9725">
        <f>CUBEVALUE(ConnectionString,ReportMonth,Table1[[#This Row],[Site ID (from DATIM)]],"[Measures].[TX_CURR_M_A]")</f>
        <v/>
      </c>
      <c r="BU234" s="68" t="str" vm="17963">
        <f>CUBEVALUE(ConnectionString,ReportMonth,Table1[[#This Row],[Site ID (from DATIM)]],"[Measures].[MMS_01_89_F_P]")</f>
        <v/>
      </c>
      <c r="BV234" s="68" t="str" vm="19756">
        <f>CUBEVALUE(ConnectionString,ReportMonth,Table1[[#This Row],[Site ID (from DATIM)]],"[Measures].[MMS_01_89_M_P]")</f>
        <v/>
      </c>
      <c r="BW234" s="68" t="str" vm="18579">
        <f>CUBEVALUE(ConnectionString,ReportMonth,Table1[[#This Row],[Site ID (from DATIM)]],"[Measures].[MMS_01_89_F_A]")</f>
        <v/>
      </c>
      <c r="BX234" s="68" t="str" vm="19456">
        <f>CUBEVALUE(ConnectionString,ReportMonth,Table1[[#This Row],[Site ID (from DATIM)]],"[Measures].[MMS_01_89_M_A]")</f>
        <v/>
      </c>
      <c r="BY234" s="68" t="str" vm="19676">
        <f>CUBEVALUE(ConnectionString,ReportMonth,Table1[[#This Row],[Site ID (from DATIM)]],"[Measures].[MMS_90_179_F_P]")</f>
        <v/>
      </c>
      <c r="BZ234" s="68" t="str" vm="16990">
        <f>CUBEVALUE(ConnectionString,ReportMonth,Table1[[#This Row],[Site ID (from DATIM)]],"[Measures].[MMS_90_179_M_P]")</f>
        <v/>
      </c>
      <c r="CA234" s="68" t="str" vm="16910">
        <f>CUBEVALUE(ConnectionString,ReportMonth,Table1[[#This Row],[Site ID (from DATIM)]],"[Measures].[MMS_90_179_F_A]")</f>
        <v/>
      </c>
      <c r="CB234" s="68" t="str" vm="16469">
        <f>CUBEVALUE(ConnectionString,ReportMonth,Table1[[#This Row],[Site ID (from DATIM)]],"[Measures].[MMS_90_179_M_A]")</f>
        <v/>
      </c>
      <c r="CC234" s="68" t="str" vm="15461">
        <f>CUBEVALUE(ConnectionString,ReportMonth,Table1[[#This Row],[Site ID (from DATIM)]],"[Measures].[MMS_180+_F_P]")</f>
        <v/>
      </c>
      <c r="CD234" s="68" t="str" vm="16658">
        <f>CUBEVALUE(ConnectionString,ReportMonth,Table1[[#This Row],[Site ID (from DATIM)]],"[Measures].[MMS_180+_M_P]")</f>
        <v/>
      </c>
      <c r="CE234" s="68" t="str" vm="191">
        <f>CUBEVALUE(ConnectionString,ReportMonth,Table1[[#This Row],[Site ID (from DATIM)]],"[Measures].[MMS_180+_F_A]")</f>
        <v/>
      </c>
      <c r="CF234" s="68" t="str" vm="243">
        <f>CUBEVALUE(ConnectionString,ReportMonth,Table1[[#This Row],[Site ID (from DATIM)]],"[Measures].[MMS_180+_M_A]")</f>
        <v/>
      </c>
      <c r="CG234" s="68" t="str" vm="5551">
        <f>CUBEVALUE(ConnectionString,ReportMonth,Table1[[#This Row],[Site ID (from DATIM)]],"[Measures].[MISSEDAPP]")</f>
        <v/>
      </c>
      <c r="CH234" s="68" t="str" vm="11502">
        <f>CUBEVALUE(ConnectionString,ReportMonth,Table1[[#This Row],[Site ID (from DATIM)]],"[Measures].[MMS_180+_P]")</f>
        <v/>
      </c>
      <c r="CI234" s="68" t="str" vm="13819">
        <f>CUBEVALUE(ConnectionString,ReportMonth,Table1[[#This Row],[Site ID (from DATIM)]],"[Measures].[MMS_180+_A]")</f>
        <v/>
      </c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  <c r="CW234" s="68"/>
      <c r="CX234" s="68"/>
      <c r="CY234" s="68"/>
      <c r="CZ234" s="68"/>
      <c r="DA234" s="68"/>
      <c r="DB234" s="68"/>
      <c r="DC234" s="68"/>
    </row>
    <row r="235" spans="1:107" x14ac:dyDescent="0.25">
      <c r="A235" s="66">
        <v>4</v>
      </c>
      <c r="B235" s="67" t="str" vm="4">
        <f t="shared" si="4"/>
        <v>Mar-2021</v>
      </c>
      <c r="C235" s="67"/>
      <c r="D235" s="67" t="s">
        <v>232</v>
      </c>
      <c r="E235" s="67" t="s">
        <v>233</v>
      </c>
      <c r="F235" s="67" t="s">
        <v>437</v>
      </c>
      <c r="G235" s="67"/>
      <c r="H235" s="67" t="s">
        <v>438</v>
      </c>
      <c r="I235" s="67" t="s">
        <v>646</v>
      </c>
      <c r="J235" s="67" t="s">
        <v>647</v>
      </c>
      <c r="K235" s="67" t="s">
        <v>648</v>
      </c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 t="str" vm="2549">
        <f>CUBEVALUE(ConnectionString,ReportMonth,Table1[[#This Row],[Site ID (from DATIM)]],"TX_NEW_2VIS")</f>
        <v/>
      </c>
      <c r="AE235" s="67" t="str" vm="3715">
        <f>CUBEVALUE(ConnectionString,ReportMonth,Table1[[#This Row],[Site ID (from DATIM)]],INDEX(SDI_Measures,1))</f>
        <v/>
      </c>
      <c r="AF235" s="67" t="str" vm="731">
        <f>CUBEVALUE(ConnectionString,ReportMonth,Table1[[#This Row],[Site ID (from DATIM)]],INDEX(SDI_Measures,2))</f>
        <v/>
      </c>
      <c r="AG235" s="67" t="str" vm="1085">
        <f>CUBEVALUE(ConnectionString,ReportMonth,Table1[[#This Row],[Site ID (from DATIM)]],INDEX(SDI_Measures,3))</f>
        <v/>
      </c>
      <c r="AH235" s="67" t="str" vm="1121">
        <f>CUBEVALUE(ConnectionString,ReportMonth,Table1[[#This Row],[Site ID (from DATIM)]],"TX_CURR_PRIOR_MONTH")</f>
        <v/>
      </c>
      <c r="AI235" s="67" t="str" vm="1488">
        <f>CUBEVALUE(ConnectionString,ReportMonth,Table1[[#This Row],[Site ID (from DATIM)]],"TX_CURR")</f>
        <v/>
      </c>
      <c r="AJ235" s="67" t="str" vm="2544">
        <f>CUBEVALUE(ConnectionString,ReportMonth,Table1[[#This Row],[Site ID (from DATIM)]],"[Measures].[TI]")</f>
        <v/>
      </c>
      <c r="AK235" s="67" t="str" vm="365">
        <f>CUBEVALUE(ConnectionString,ReportMonth,Table1[[#This Row],[Site ID (from DATIM)]],"[Measures].[TO]")</f>
        <v/>
      </c>
      <c r="AL235" s="67" t="str" vm="1088">
        <f>CUBEVALUE(ConnectionString,ReportMonth,Table1[[#This Row],[Site ID (from DATIM)]],"[Measures].[DIED]")</f>
        <v/>
      </c>
      <c r="AM235" s="67" t="str" vm="3902">
        <f>CUBEVALUE(ConnectionString,ReportMonth,Table1[[#This Row],[Site ID (from DATIM)]],"[Measures].[MMS_01_31]")</f>
        <v/>
      </c>
      <c r="AN235" s="67" t="str" vm="5055">
        <f>CUBEVALUE(ConnectionString,ReportMonth,Table1[[#This Row],[Site ID (from DATIM)]],"[Measures].[MMS_32_62]")</f>
        <v/>
      </c>
      <c r="AO235" s="67" t="str" vm="4583">
        <f>CUBEVALUE(ConnectionString,ReportMonth,Table1[[#This Row],[Site ID (from DATIM)]],"[Measures].[MMS_63+]")</f>
        <v/>
      </c>
      <c r="AP235" s="67" t="str" vm="6245">
        <f>CUBEVALUE(ConnectionString,ReportMonth,Table1[[#This Row],[Site ID (from DATIM)]],"[Measures].[TBPREV_D]")</f>
        <v/>
      </c>
      <c r="AQ235" s="67" t="str" vm="5121">
        <f>CUBEVALUE(ConnectionString,ReportMonth,Table1[[#This Row],[Site ID (from DATIM)]],"[Measures].[TBPREV_N]")</f>
        <v/>
      </c>
      <c r="AR235" s="67" t="str" vm="6184">
        <f>CUBEVALUE(ConnectionString,ReportMonth,Table1[[#This Row],[Site ID (from DATIM)]],"[Measures].[TBPREV_NEW]")</f>
        <v/>
      </c>
      <c r="AS235" s="67" t="str" vm="12668">
        <f>CUBEVALUE(ConnectionString,ReportMonth,Table1[[#This Row],[Site ID (from DATIM)]],"[Measures].[HVL_ELIG_P]")</f>
        <v/>
      </c>
      <c r="AT235" s="67" t="str" vm="4206">
        <f>CUBEVALUE(ConnectionString,ReportMonth,Table1[[#This Row],[Site ID (from DATIM)]],"[Measures].[HVL_D_P]")</f>
        <v/>
      </c>
      <c r="AU235" s="67" t="str" vm="9775">
        <f>CUBEVALUE(ConnectionString,ReportMonth,Table1[[#This Row],[Site ID (from DATIM)]],"[Measures].[HVL_N_P]")</f>
        <v/>
      </c>
      <c r="AV235" s="68" t="str" vm="11403">
        <f>CUBEVALUE(ConnectionString,ReportMonth,Table1[[#This Row],[Site ID (from DATIM)]],"[Measures].[HVL_ELIG_A]")</f>
        <v/>
      </c>
      <c r="AW235" s="68" t="str" vm="12715">
        <f>CUBEVALUE(ConnectionString,ReportMonth,Table1[[#This Row],[Site ID (from DATIM)]],"[Measures].[HVL_D_A]")</f>
        <v/>
      </c>
      <c r="AX235" s="68" t="str" vm="13117">
        <f>CUBEVALUE(ConnectionString,ReportMonth,Table1[[#This Row],[Site ID (from DATIM)]],"[Measures].[HVL_N_A]")</f>
        <v/>
      </c>
      <c r="AY235" s="67"/>
      <c r="AZ235" s="67"/>
      <c r="BA235" s="67"/>
      <c r="BB235" s="67"/>
      <c r="BC235" s="67"/>
      <c r="BD235" s="67"/>
      <c r="BE235" s="67"/>
      <c r="BF235" s="67"/>
      <c r="BG235" s="67" t="str" vm="13888">
        <f>CUBEVALUE(ConnectionString,ReportMonth,Table1[[#This Row],[Site ID (from DATIM)]],"[Measures].[TX_NEW_F_A]")</f>
        <v/>
      </c>
      <c r="BH235" s="67" t="str" vm="10676">
        <f>CUBEVALUE(ConnectionString,ReportMonth,Table1[[#This Row],[Site ID (from DATIM)]],"[Measures].[TX_NEW_M_A]")</f>
        <v/>
      </c>
      <c r="BI235" s="67" t="str" vm="12125">
        <f>CUBEVALUE(ConnectionString,ReportMonth,Table1[[#This Row],[Site ID (from DATIM)]],"[Measures].[TX_NEW_F_P]")</f>
        <v/>
      </c>
      <c r="BJ235" s="68" t="str" vm="17001">
        <f>CUBEVALUE(ConnectionString,ReportMonth,Table1[[#This Row],[Site ID (from DATIM)]],"[Measures].[TX_NEW_M_P]")</f>
        <v/>
      </c>
      <c r="BK235" s="68"/>
      <c r="BL235" s="68"/>
      <c r="BM235" s="68"/>
      <c r="BN235" s="68"/>
      <c r="BO235" s="68"/>
      <c r="BP235" s="68"/>
      <c r="BQ235" s="68" t="str" vm="8955">
        <f>CUBEVALUE(ConnectionString,ReportMonth,Table1[[#This Row],[Site ID (from DATIM)]],"[Measures].[TX_CURR_F_P]")</f>
        <v/>
      </c>
      <c r="BR235" s="68" t="str" vm="8956">
        <f>CUBEVALUE(ConnectionString,ReportMonth,Table1[[#This Row],[Site ID (from DATIM)]],"[Measures].[TX_CURR_M_P]")</f>
        <v/>
      </c>
      <c r="BS235" s="68" t="str" vm="11028">
        <f>CUBEVALUE(ConnectionString,ReportMonth,Table1[[#This Row],[Site ID (from DATIM)]],"[Measures].[TX_CURR_F_A]")</f>
        <v/>
      </c>
      <c r="BT235" s="68" t="str" vm="15653">
        <f>CUBEVALUE(ConnectionString,ReportMonth,Table1[[#This Row],[Site ID (from DATIM)]],"[Measures].[TX_CURR_M_A]")</f>
        <v/>
      </c>
      <c r="BU235" s="68" t="str" vm="18096">
        <f>CUBEVALUE(ConnectionString,ReportMonth,Table1[[#This Row],[Site ID (from DATIM)]],"[Measures].[MMS_01_89_F_P]")</f>
        <v/>
      </c>
      <c r="BV235" s="68" t="str" vm="20141">
        <f>CUBEVALUE(ConnectionString,ReportMonth,Table1[[#This Row],[Site ID (from DATIM)]],"[Measures].[MMS_01_89_M_P]")</f>
        <v/>
      </c>
      <c r="BW235" s="68" t="str" vm="17987">
        <f>CUBEVALUE(ConnectionString,ReportMonth,Table1[[#This Row],[Site ID (from DATIM)]],"[Measures].[MMS_01_89_F_A]")</f>
        <v/>
      </c>
      <c r="BX235" s="68" t="str" vm="18941">
        <f>CUBEVALUE(ConnectionString,ReportMonth,Table1[[#This Row],[Site ID (from DATIM)]],"[Measures].[MMS_01_89_M_A]")</f>
        <v/>
      </c>
      <c r="BY235" s="68" t="str" vm="16050">
        <f>CUBEVALUE(ConnectionString,ReportMonth,Table1[[#This Row],[Site ID (from DATIM)]],"[Measures].[MMS_90_179_F_P]")</f>
        <v/>
      </c>
      <c r="BZ235" s="68" t="str" vm="17802">
        <f>CUBEVALUE(ConnectionString,ReportMonth,Table1[[#This Row],[Site ID (from DATIM)]],"[Measures].[MMS_90_179_M_P]")</f>
        <v/>
      </c>
      <c r="CA235" s="68" t="str" vm="15577">
        <f>CUBEVALUE(ConnectionString,ReportMonth,Table1[[#This Row],[Site ID (from DATIM)]],"[Measures].[MMS_90_179_F_A]")</f>
        <v/>
      </c>
      <c r="CB235" s="68" t="str" vm="14675">
        <f>CUBEVALUE(ConnectionString,ReportMonth,Table1[[#This Row],[Site ID (from DATIM)]],"[Measures].[MMS_90_179_M_A]")</f>
        <v/>
      </c>
      <c r="CC235" s="68" t="str" vm="17546">
        <f>CUBEVALUE(ConnectionString,ReportMonth,Table1[[#This Row],[Site ID (from DATIM)]],"[Measures].[MMS_180+_F_P]")</f>
        <v/>
      </c>
      <c r="CD235" s="68" t="str" vm="17213">
        <f>CUBEVALUE(ConnectionString,ReportMonth,Table1[[#This Row],[Site ID (from DATIM)]],"[Measures].[MMS_180+_M_P]")</f>
        <v/>
      </c>
      <c r="CE235" s="68" t="str" vm="16670">
        <f>CUBEVALUE(ConnectionString,ReportMonth,Table1[[#This Row],[Site ID (from DATIM)]],"[Measures].[MMS_180+_F_A]")</f>
        <v/>
      </c>
      <c r="CF235" s="68" t="str" vm="480">
        <f>CUBEVALUE(ConnectionString,ReportMonth,Table1[[#This Row],[Site ID (from DATIM)]],"[Measures].[MMS_180+_M_A]")</f>
        <v/>
      </c>
      <c r="CG235" s="68" t="str" vm="5741">
        <f>CUBEVALUE(ConnectionString,ReportMonth,Table1[[#This Row],[Site ID (from DATIM)]],"[Measures].[MISSEDAPP]")</f>
        <v/>
      </c>
      <c r="CH235" s="68" t="str" vm="12736">
        <f>CUBEVALUE(ConnectionString,ReportMonth,Table1[[#This Row],[Site ID (from DATIM)]],"[Measures].[MMS_180+_P]")</f>
        <v/>
      </c>
      <c r="CI235" s="68" t="str" vm="13235">
        <f>CUBEVALUE(ConnectionString,ReportMonth,Table1[[#This Row],[Site ID (from DATIM)]],"[Measures].[MMS_180+_A]")</f>
        <v/>
      </c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  <c r="CW235" s="68"/>
      <c r="CX235" s="68"/>
      <c r="CY235" s="68"/>
      <c r="CZ235" s="68"/>
      <c r="DA235" s="68"/>
      <c r="DB235" s="68"/>
      <c r="DC235" s="68"/>
    </row>
    <row r="236" spans="1:107" x14ac:dyDescent="0.25">
      <c r="A236" s="66">
        <v>1</v>
      </c>
      <c r="B236" s="67" t="str" vm="4">
        <f t="shared" si="4"/>
        <v>Mar-2021</v>
      </c>
      <c r="C236" s="67"/>
      <c r="D236" s="67" t="s">
        <v>232</v>
      </c>
      <c r="E236" s="67" t="s">
        <v>233</v>
      </c>
      <c r="F236" s="67" t="s">
        <v>437</v>
      </c>
      <c r="G236" s="67"/>
      <c r="H236" s="67" t="s">
        <v>438</v>
      </c>
      <c r="I236" s="67" t="s">
        <v>649</v>
      </c>
      <c r="J236" s="67" t="s">
        <v>650</v>
      </c>
      <c r="K236" s="67" t="s">
        <v>651</v>
      </c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 vm="2241">
        <f>CUBEVALUE(ConnectionString,ReportMonth,Table1[[#This Row],[Site ID (from DATIM)]],"TX_NEW_2VIS")</f>
        <v>29</v>
      </c>
      <c r="AE236" s="67" vm="482">
        <f>CUBEVALUE(ConnectionString,ReportMonth,Table1[[#This Row],[Site ID (from DATIM)]],INDEX(SDI_Measures,1))</f>
        <v>28</v>
      </c>
      <c r="AF236" s="67" t="str" vm="450">
        <f>CUBEVALUE(ConnectionString,ReportMonth,Table1[[#This Row],[Site ID (from DATIM)]],INDEX(SDI_Measures,2))</f>
        <v/>
      </c>
      <c r="AG236" s="67" vm="1307">
        <f>CUBEVALUE(ConnectionString,ReportMonth,Table1[[#This Row],[Site ID (from DATIM)]],INDEX(SDI_Measures,3))</f>
        <v>2</v>
      </c>
      <c r="AH236" s="67" vm="2326">
        <f>CUBEVALUE(ConnectionString,ReportMonth,Table1[[#This Row],[Site ID (from DATIM)]],"TX_CURR_PRIOR_MONTH")</f>
        <v>3808</v>
      </c>
      <c r="AI236" s="67" vm="871">
        <f>CUBEVALUE(ConnectionString,ReportMonth,Table1[[#This Row],[Site ID (from DATIM)]],"TX_CURR")</f>
        <v>3699</v>
      </c>
      <c r="AJ236" s="67" vm="3352">
        <f>CUBEVALUE(ConnectionString,ReportMonth,Table1[[#This Row],[Site ID (from DATIM)]],"[Measures].[TI]")</f>
        <v>14</v>
      </c>
      <c r="AK236" s="67" vm="3264">
        <f>CUBEVALUE(ConnectionString,ReportMonth,Table1[[#This Row],[Site ID (from DATIM)]],"[Measures].[TO]")</f>
        <v>11</v>
      </c>
      <c r="AL236" s="67" t="str" vm="5712">
        <f>CUBEVALUE(ConnectionString,ReportMonth,Table1[[#This Row],[Site ID (from DATIM)]],"[Measures].[DIED]")</f>
        <v/>
      </c>
      <c r="AM236" s="67" vm="4752">
        <f>CUBEVALUE(ConnectionString,ReportMonth,Table1[[#This Row],[Site ID (from DATIM)]],"[Measures].[MMS_01_31]")</f>
        <v>544</v>
      </c>
      <c r="AN236" s="67" vm="4979">
        <f>CUBEVALUE(ConnectionString,ReportMonth,Table1[[#This Row],[Site ID (from DATIM)]],"[Measures].[MMS_32_62]")</f>
        <v>466</v>
      </c>
      <c r="AO236" s="67" vm="8056">
        <f>CUBEVALUE(ConnectionString,ReportMonth,Table1[[#This Row],[Site ID (from DATIM)]],"[Measures].[MMS_63+]")</f>
        <v>2689</v>
      </c>
      <c r="AP236" s="67" vm="4907">
        <f>CUBEVALUE(ConnectionString,ReportMonth,Table1[[#This Row],[Site ID (from DATIM)]],"[Measures].[TBPREV_D]")</f>
        <v>67</v>
      </c>
      <c r="AQ236" s="67" vm="5731">
        <f>CUBEVALUE(ConnectionString,ReportMonth,Table1[[#This Row],[Site ID (from DATIM)]],"[Measures].[TBPREV_N]")</f>
        <v>64</v>
      </c>
      <c r="AR236" s="67" vm="6310">
        <f>CUBEVALUE(ConnectionString,ReportMonth,Table1[[#This Row],[Site ID (from DATIM)]],"[Measures].[TBPREV_NEW]")</f>
        <v>36</v>
      </c>
      <c r="AS236" s="67" vm="10334">
        <f>CUBEVALUE(ConnectionString,ReportMonth,Table1[[#This Row],[Site ID (from DATIM)]],"[Measures].[HVL_ELIG_P]")</f>
        <v>127</v>
      </c>
      <c r="AT236" s="67" vm="11090">
        <f>CUBEVALUE(ConnectionString,ReportMonth,Table1[[#This Row],[Site ID (from DATIM)]],"[Measures].[HVL_D_P]")</f>
        <v>116</v>
      </c>
      <c r="AU236" s="67" vm="10685">
        <f>CUBEVALUE(ConnectionString,ReportMonth,Table1[[#This Row],[Site ID (from DATIM)]],"[Measures].[HVL_N_P]")</f>
        <v>106</v>
      </c>
      <c r="AV236" s="68" vm="11798">
        <f>CUBEVALUE(ConnectionString,ReportMonth,Table1[[#This Row],[Site ID (from DATIM)]],"[Measures].[HVL_ELIG_A]")</f>
        <v>3154</v>
      </c>
      <c r="AW236" s="68" vm="8692">
        <f>CUBEVALUE(ConnectionString,ReportMonth,Table1[[#This Row],[Site ID (from DATIM)]],"[Measures].[HVL_D_A]")</f>
        <v>2913</v>
      </c>
      <c r="AX236" s="68" vm="11065">
        <f>CUBEVALUE(ConnectionString,ReportMonth,Table1[[#This Row],[Site ID (from DATIM)]],"[Measures].[HVL_N_A]")</f>
        <v>2810</v>
      </c>
      <c r="AY236" s="67"/>
      <c r="AZ236" s="67"/>
      <c r="BA236" s="67"/>
      <c r="BB236" s="67"/>
      <c r="BC236" s="67"/>
      <c r="BD236" s="67"/>
      <c r="BE236" s="67"/>
      <c r="BF236" s="67"/>
      <c r="BG236" s="67" vm="13347">
        <f>CUBEVALUE(ConnectionString,ReportMonth,Table1[[#This Row],[Site ID (from DATIM)]],"[Measures].[TX_NEW_F_A]")</f>
        <v>26</v>
      </c>
      <c r="BH236" s="67" vm="12829">
        <f>CUBEVALUE(ConnectionString,ReportMonth,Table1[[#This Row],[Site ID (from DATIM)]],"[Measures].[TX_NEW_M_A]")</f>
        <v>4</v>
      </c>
      <c r="BI236" s="67" t="str" vm="13066">
        <f>CUBEVALUE(ConnectionString,ReportMonth,Table1[[#This Row],[Site ID (from DATIM)]],"[Measures].[TX_NEW_F_P]")</f>
        <v/>
      </c>
      <c r="BJ236" s="68" t="str" vm="14849">
        <f>CUBEVALUE(ConnectionString,ReportMonth,Table1[[#This Row],[Site ID (from DATIM)]],"[Measures].[TX_NEW_M_P]")</f>
        <v/>
      </c>
      <c r="BK236" s="68"/>
      <c r="BL236" s="68"/>
      <c r="BM236" s="68"/>
      <c r="BN236" s="68"/>
      <c r="BO236" s="68"/>
      <c r="BP236" s="68"/>
      <c r="BQ236" s="68" vm="11928">
        <f>CUBEVALUE(ConnectionString,ReportMonth,Table1[[#This Row],[Site ID (from DATIM)]],"[Measures].[TX_CURR_F_P]")</f>
        <v>84</v>
      </c>
      <c r="BR236" s="68" vm="9708">
        <f>CUBEVALUE(ConnectionString,ReportMonth,Table1[[#This Row],[Site ID (from DATIM)]],"[Measures].[TX_CURR_M_P]")</f>
        <v>66</v>
      </c>
      <c r="BS236" s="68" vm="9298">
        <f>CUBEVALUE(ConnectionString,ReportMonth,Table1[[#This Row],[Site ID (from DATIM)]],"[Measures].[TX_CURR_F_A]")</f>
        <v>2765</v>
      </c>
      <c r="BT236" s="68" vm="7040">
        <f>CUBEVALUE(ConnectionString,ReportMonth,Table1[[#This Row],[Site ID (from DATIM)]],"[Measures].[TX_CURR_M_A]")</f>
        <v>784</v>
      </c>
      <c r="BU236" s="68" vm="19515">
        <f>CUBEVALUE(ConnectionString,ReportMonth,Table1[[#This Row],[Site ID (from DATIM)]],"[Measures].[MMS_01_89_F_P]")</f>
        <v>31</v>
      </c>
      <c r="BV236" s="68" vm="19659">
        <f>CUBEVALUE(ConnectionString,ReportMonth,Table1[[#This Row],[Site ID (from DATIM)]],"[Measures].[MMS_01_89_M_P]")</f>
        <v>28</v>
      </c>
      <c r="BW236" s="68" vm="19697">
        <f>CUBEVALUE(ConnectionString,ReportMonth,Table1[[#This Row],[Site ID (from DATIM)]],"[Measures].[MMS_01_89_F_A]")</f>
        <v>780</v>
      </c>
      <c r="BX236" s="68" vm="19857">
        <f>CUBEVALUE(ConnectionString,ReportMonth,Table1[[#This Row],[Site ID (from DATIM)]],"[Measures].[MMS_01_89_M_A]")</f>
        <v>172</v>
      </c>
      <c r="BY236" s="68" vm="19043">
        <f>CUBEVALUE(ConnectionString,ReportMonth,Table1[[#This Row],[Site ID (from DATIM)]],"[Measures].[MMS_90_179_F_P]")</f>
        <v>53</v>
      </c>
      <c r="BZ236" s="68" vm="15193">
        <f>CUBEVALUE(ConnectionString,ReportMonth,Table1[[#This Row],[Site ID (from DATIM)]],"[Measures].[MMS_90_179_M_P]")</f>
        <v>38</v>
      </c>
      <c r="CA236" s="68" vm="15529">
        <f>CUBEVALUE(ConnectionString,ReportMonth,Table1[[#This Row],[Site ID (from DATIM)]],"[Measures].[MMS_90_179_F_A]")</f>
        <v>1985</v>
      </c>
      <c r="CB236" s="68" vm="15882">
        <f>CUBEVALUE(ConnectionString,ReportMonth,Table1[[#This Row],[Site ID (from DATIM)]],"[Measures].[MMS_90_179_M_A]")</f>
        <v>612</v>
      </c>
      <c r="CC236" s="68" t="str" vm="14915">
        <f>CUBEVALUE(ConnectionString,ReportMonth,Table1[[#This Row],[Site ID (from DATIM)]],"[Measures].[MMS_180+_F_P]")</f>
        <v/>
      </c>
      <c r="CD236" s="68" t="str" vm="17200">
        <f>CUBEVALUE(ConnectionString,ReportMonth,Table1[[#This Row],[Site ID (from DATIM)]],"[Measures].[MMS_180+_M_P]")</f>
        <v/>
      </c>
      <c r="CE236" s="68" t="str" vm="15791">
        <f>CUBEVALUE(ConnectionString,ReportMonth,Table1[[#This Row],[Site ID (from DATIM)]],"[Measures].[MMS_180+_F_A]")</f>
        <v/>
      </c>
      <c r="CF236" s="68" t="str" vm="217">
        <f>CUBEVALUE(ConnectionString,ReportMonth,Table1[[#This Row],[Site ID (from DATIM)]],"[Measures].[MMS_180+_M_A]")</f>
        <v/>
      </c>
      <c r="CG236" s="68" vm="7055">
        <f>CUBEVALUE(ConnectionString,ReportMonth,Table1[[#This Row],[Site ID (from DATIM)]],"[Measures].[MISSEDAPP]")</f>
        <v>1005</v>
      </c>
      <c r="CH236" s="68" t="str" vm="10416">
        <f>CUBEVALUE(ConnectionString,ReportMonth,Table1[[#This Row],[Site ID (from DATIM)]],"[Measures].[MMS_180+_P]")</f>
        <v/>
      </c>
      <c r="CI236" s="68" t="str" vm="12526">
        <f>CUBEVALUE(ConnectionString,ReportMonth,Table1[[#This Row],[Site ID (from DATIM)]],"[Measures].[MMS_180+_A]")</f>
        <v/>
      </c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  <c r="CW236" s="68"/>
      <c r="CX236" s="68"/>
      <c r="CY236" s="68"/>
      <c r="CZ236" s="68"/>
      <c r="DA236" s="68"/>
      <c r="DB236" s="68"/>
      <c r="DC236" s="68"/>
    </row>
    <row r="237" spans="1:107" x14ac:dyDescent="0.25">
      <c r="A237" s="66">
        <v>4</v>
      </c>
      <c r="B237" s="67" t="str" vm="4">
        <f t="shared" si="4"/>
        <v>Mar-2021</v>
      </c>
      <c r="C237" s="67"/>
      <c r="D237" s="67" t="s">
        <v>232</v>
      </c>
      <c r="E237" s="67" t="s">
        <v>233</v>
      </c>
      <c r="F237" s="67" t="s">
        <v>437</v>
      </c>
      <c r="G237" s="67"/>
      <c r="H237" s="67" t="s">
        <v>478</v>
      </c>
      <c r="I237" s="67" t="s">
        <v>652</v>
      </c>
      <c r="J237" s="67" t="s">
        <v>653</v>
      </c>
      <c r="K237" s="67" t="s">
        <v>654</v>
      </c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 t="str" vm="1853">
        <f>CUBEVALUE(ConnectionString,ReportMonth,Table1[[#This Row],[Site ID (from DATIM)]],"TX_NEW_2VIS")</f>
        <v/>
      </c>
      <c r="AE237" s="67" t="str" vm="1082">
        <f>CUBEVALUE(ConnectionString,ReportMonth,Table1[[#This Row],[Site ID (from DATIM)]],INDEX(SDI_Measures,1))</f>
        <v/>
      </c>
      <c r="AF237" s="67" t="str" vm="4330">
        <f>CUBEVALUE(ConnectionString,ReportMonth,Table1[[#This Row],[Site ID (from DATIM)]],INDEX(SDI_Measures,2))</f>
        <v/>
      </c>
      <c r="AG237" s="67" t="str" vm="4114">
        <f>CUBEVALUE(ConnectionString,ReportMonth,Table1[[#This Row],[Site ID (from DATIM)]],INDEX(SDI_Measures,3))</f>
        <v/>
      </c>
      <c r="AH237" s="67" t="str" vm="3821">
        <f>CUBEVALUE(ConnectionString,ReportMonth,Table1[[#This Row],[Site ID (from DATIM)]],"TX_CURR_PRIOR_MONTH")</f>
        <v/>
      </c>
      <c r="AI237" s="67" t="str" vm="6109">
        <f>CUBEVALUE(ConnectionString,ReportMonth,Table1[[#This Row],[Site ID (from DATIM)]],"TX_CURR")</f>
        <v/>
      </c>
      <c r="AJ237" s="67" t="str" vm="3400">
        <f>CUBEVALUE(ConnectionString,ReportMonth,Table1[[#This Row],[Site ID (from DATIM)]],"[Measures].[TI]")</f>
        <v/>
      </c>
      <c r="AK237" s="67" t="str" vm="3119">
        <f>CUBEVALUE(ConnectionString,ReportMonth,Table1[[#This Row],[Site ID (from DATIM)]],"[Measures].[TO]")</f>
        <v/>
      </c>
      <c r="AL237" s="67" t="str" vm="4347">
        <f>CUBEVALUE(ConnectionString,ReportMonth,Table1[[#This Row],[Site ID (from DATIM)]],"[Measures].[DIED]")</f>
        <v/>
      </c>
      <c r="AM237" s="67" t="str" vm="5890">
        <f>CUBEVALUE(ConnectionString,ReportMonth,Table1[[#This Row],[Site ID (from DATIM)]],"[Measures].[MMS_01_31]")</f>
        <v/>
      </c>
      <c r="AN237" s="67" t="str" vm="9274">
        <f>CUBEVALUE(ConnectionString,ReportMonth,Table1[[#This Row],[Site ID (from DATIM)]],"[Measures].[MMS_32_62]")</f>
        <v/>
      </c>
      <c r="AO237" s="67" t="str" vm="9401">
        <f>CUBEVALUE(ConnectionString,ReportMonth,Table1[[#This Row],[Site ID (from DATIM)]],"[Measures].[MMS_63+]")</f>
        <v/>
      </c>
      <c r="AP237" s="67" t="str" vm="7314">
        <f>CUBEVALUE(ConnectionString,ReportMonth,Table1[[#This Row],[Site ID (from DATIM)]],"[Measures].[TBPREV_D]")</f>
        <v/>
      </c>
      <c r="AQ237" s="67" t="str" vm="6074">
        <f>CUBEVALUE(ConnectionString,ReportMonth,Table1[[#This Row],[Site ID (from DATIM)]],"[Measures].[TBPREV_N]")</f>
        <v/>
      </c>
      <c r="AR237" s="67" t="str" vm="6528">
        <f>CUBEVALUE(ConnectionString,ReportMonth,Table1[[#This Row],[Site ID (from DATIM)]],"[Measures].[TBPREV_NEW]")</f>
        <v/>
      </c>
      <c r="AS237" s="67" t="str" vm="4885">
        <f>CUBEVALUE(ConnectionString,ReportMonth,Table1[[#This Row],[Site ID (from DATIM)]],"[Measures].[HVL_ELIG_P]")</f>
        <v/>
      </c>
      <c r="AT237" s="67" t="str" vm="8421">
        <f>CUBEVALUE(ConnectionString,ReportMonth,Table1[[#This Row],[Site ID (from DATIM)]],"[Measures].[HVL_D_P]")</f>
        <v/>
      </c>
      <c r="AU237" s="67" t="str" vm="10091">
        <f>CUBEVALUE(ConnectionString,ReportMonth,Table1[[#This Row],[Site ID (from DATIM)]],"[Measures].[HVL_N_P]")</f>
        <v/>
      </c>
      <c r="AV237" s="68" t="str" vm="8153">
        <f>CUBEVALUE(ConnectionString,ReportMonth,Table1[[#This Row],[Site ID (from DATIM)]],"[Measures].[HVL_ELIG_A]")</f>
        <v/>
      </c>
      <c r="AW237" s="68" t="str" vm="11536">
        <f>CUBEVALUE(ConnectionString,ReportMonth,Table1[[#This Row],[Site ID (from DATIM)]],"[Measures].[HVL_D_A]")</f>
        <v/>
      </c>
      <c r="AX237" s="68" t="str" vm="10730">
        <f>CUBEVALUE(ConnectionString,ReportMonth,Table1[[#This Row],[Site ID (from DATIM)]],"[Measures].[HVL_N_A]")</f>
        <v/>
      </c>
      <c r="AY237" s="67"/>
      <c r="AZ237" s="67"/>
      <c r="BA237" s="67"/>
      <c r="BB237" s="67"/>
      <c r="BC237" s="67"/>
      <c r="BD237" s="67"/>
      <c r="BE237" s="67"/>
      <c r="BF237" s="67"/>
      <c r="BG237" s="67" t="str" vm="17059">
        <f>CUBEVALUE(ConnectionString,ReportMonth,Table1[[#This Row],[Site ID (from DATIM)]],"[Measures].[TX_NEW_F_A]")</f>
        <v/>
      </c>
      <c r="BH237" s="67" t="str" vm="10674">
        <f>CUBEVALUE(ConnectionString,ReportMonth,Table1[[#This Row],[Site ID (from DATIM)]],"[Measures].[TX_NEW_M_A]")</f>
        <v/>
      </c>
      <c r="BI237" s="67" t="str" vm="13012">
        <f>CUBEVALUE(ConnectionString,ReportMonth,Table1[[#This Row],[Site ID (from DATIM)]],"[Measures].[TX_NEW_F_P]")</f>
        <v/>
      </c>
      <c r="BJ237" s="68" t="str" vm="13107">
        <f>CUBEVALUE(ConnectionString,ReportMonth,Table1[[#This Row],[Site ID (from DATIM)]],"[Measures].[TX_NEW_M_P]")</f>
        <v/>
      </c>
      <c r="BK237" s="68"/>
      <c r="BL237" s="68"/>
      <c r="BM237" s="68"/>
      <c r="BN237" s="68"/>
      <c r="BO237" s="68"/>
      <c r="BP237" s="68"/>
      <c r="BQ237" s="68" t="str" vm="13365">
        <f>CUBEVALUE(ConnectionString,ReportMonth,Table1[[#This Row],[Site ID (from DATIM)]],"[Measures].[TX_CURR_F_P]")</f>
        <v/>
      </c>
      <c r="BR237" s="68" t="str" vm="8991">
        <f>CUBEVALUE(ConnectionString,ReportMonth,Table1[[#This Row],[Site ID (from DATIM)]],"[Measures].[TX_CURR_M_P]")</f>
        <v/>
      </c>
      <c r="BS237" s="68" t="str" vm="8534">
        <f>CUBEVALUE(ConnectionString,ReportMonth,Table1[[#This Row],[Site ID (from DATIM)]],"[Measures].[TX_CURR_F_A]")</f>
        <v/>
      </c>
      <c r="BT237" s="68" t="str" vm="10590">
        <f>CUBEVALUE(ConnectionString,ReportMonth,Table1[[#This Row],[Site ID (from DATIM)]],"[Measures].[TX_CURR_M_A]")</f>
        <v/>
      </c>
      <c r="BU237" s="68" t="str" vm="19795">
        <f>CUBEVALUE(ConnectionString,ReportMonth,Table1[[#This Row],[Site ID (from DATIM)]],"[Measures].[MMS_01_89_F_P]")</f>
        <v/>
      </c>
      <c r="BV237" s="68" t="str" vm="19914">
        <f>CUBEVALUE(ConnectionString,ReportMonth,Table1[[#This Row],[Site ID (from DATIM)]],"[Measures].[MMS_01_89_M_P]")</f>
        <v/>
      </c>
      <c r="BW237" s="68" t="str" vm="19340">
        <f>CUBEVALUE(ConnectionString,ReportMonth,Table1[[#This Row],[Site ID (from DATIM)]],"[Measures].[MMS_01_89_F_A]")</f>
        <v/>
      </c>
      <c r="BX237" s="68" t="str" vm="19374">
        <f>CUBEVALUE(ConnectionString,ReportMonth,Table1[[#This Row],[Site ID (from DATIM)]],"[Measures].[MMS_01_89_M_A]")</f>
        <v/>
      </c>
      <c r="BY237" s="68" t="str" vm="18223">
        <f>CUBEVALUE(ConnectionString,ReportMonth,Table1[[#This Row],[Site ID (from DATIM)]],"[Measures].[MMS_90_179_F_P]")</f>
        <v/>
      </c>
      <c r="BZ237" s="68" t="str" vm="19324">
        <f>CUBEVALUE(ConnectionString,ReportMonth,Table1[[#This Row],[Site ID (from DATIM)]],"[Measures].[MMS_90_179_M_P]")</f>
        <v/>
      </c>
      <c r="CA237" s="68" t="str" vm="15967">
        <f>CUBEVALUE(ConnectionString,ReportMonth,Table1[[#This Row],[Site ID (from DATIM)]],"[Measures].[MMS_90_179_F_A]")</f>
        <v/>
      </c>
      <c r="CB237" s="68" t="str" vm="14635">
        <f>CUBEVALUE(ConnectionString,ReportMonth,Table1[[#This Row],[Site ID (from DATIM)]],"[Measures].[MMS_90_179_M_A]")</f>
        <v/>
      </c>
      <c r="CC237" s="68" t="str" vm="14985">
        <f>CUBEVALUE(ConnectionString,ReportMonth,Table1[[#This Row],[Site ID (from DATIM)]],"[Measures].[MMS_180+_F_P]")</f>
        <v/>
      </c>
      <c r="CD237" s="68" t="str" vm="15840">
        <f>CUBEVALUE(ConnectionString,ReportMonth,Table1[[#This Row],[Site ID (from DATIM)]],"[Measures].[MMS_180+_M_P]")</f>
        <v/>
      </c>
      <c r="CE237" s="68" t="str" vm="89">
        <f>CUBEVALUE(ConnectionString,ReportMonth,Table1[[#This Row],[Site ID (from DATIM)]],"[Measures].[MMS_180+_F_A]")</f>
        <v/>
      </c>
      <c r="CF237" s="68" t="str" vm="16696">
        <f>CUBEVALUE(ConnectionString,ReportMonth,Table1[[#This Row],[Site ID (from DATIM)]],"[Measures].[MMS_180+_M_A]")</f>
        <v/>
      </c>
      <c r="CG237" s="68" t="str" vm="7788">
        <f>CUBEVALUE(ConnectionString,ReportMonth,Table1[[#This Row],[Site ID (from DATIM)]],"[Measures].[MISSEDAPP]")</f>
        <v/>
      </c>
      <c r="CH237" s="68" t="str" vm="12646">
        <f>CUBEVALUE(ConnectionString,ReportMonth,Table1[[#This Row],[Site ID (from DATIM)]],"[Measures].[MMS_180+_P]")</f>
        <v/>
      </c>
      <c r="CI237" s="68" t="str" vm="11171">
        <f>CUBEVALUE(ConnectionString,ReportMonth,Table1[[#This Row],[Site ID (from DATIM)]],"[Measures].[MMS_180+_A]")</f>
        <v/>
      </c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</row>
    <row r="238" spans="1:107" x14ac:dyDescent="0.25">
      <c r="A238" s="66">
        <v>4</v>
      </c>
      <c r="B238" s="67" t="str" vm="4">
        <f t="shared" si="4"/>
        <v>Mar-2021</v>
      </c>
      <c r="C238" s="67"/>
      <c r="D238" s="67" t="s">
        <v>232</v>
      </c>
      <c r="E238" s="67" t="s">
        <v>233</v>
      </c>
      <c r="F238" s="67" t="s">
        <v>234</v>
      </c>
      <c r="G238" s="67"/>
      <c r="H238" s="67" t="s">
        <v>305</v>
      </c>
      <c r="I238" s="67" t="s">
        <v>329</v>
      </c>
      <c r="J238" s="67" t="s">
        <v>330</v>
      </c>
      <c r="K238" s="67" t="s">
        <v>331</v>
      </c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 t="str" vm="437">
        <f>CUBEVALUE(ConnectionString,ReportMonth,Table1[[#This Row],[Site ID (from DATIM)]],"TX_NEW_2VIS")</f>
        <v/>
      </c>
      <c r="AE238" s="67" t="str" vm="1310">
        <f>CUBEVALUE(ConnectionString,ReportMonth,Table1[[#This Row],[Site ID (from DATIM)]],INDEX(SDI_Measures,1))</f>
        <v/>
      </c>
      <c r="AF238" s="67" t="str" vm="4102">
        <f>CUBEVALUE(ConnectionString,ReportMonth,Table1[[#This Row],[Site ID (from DATIM)]],INDEX(SDI_Measures,2))</f>
        <v/>
      </c>
      <c r="AG238" s="67" t="str" vm="2729">
        <f>CUBEVALUE(ConnectionString,ReportMonth,Table1[[#This Row],[Site ID (from DATIM)]],INDEX(SDI_Measures,3))</f>
        <v/>
      </c>
      <c r="AH238" s="67" vm="1620">
        <f>CUBEVALUE(ConnectionString,ReportMonth,Table1[[#This Row],[Site ID (from DATIM)]],"TX_CURR_PRIOR_MONTH")</f>
        <v>117</v>
      </c>
      <c r="AI238" s="67" vm="3701">
        <f>CUBEVALUE(ConnectionString,ReportMonth,Table1[[#This Row],[Site ID (from DATIM)]],"TX_CURR")</f>
        <v>105</v>
      </c>
      <c r="AJ238" s="67" t="str" vm="3711">
        <f>CUBEVALUE(ConnectionString,ReportMonth,Table1[[#This Row],[Site ID (from DATIM)]],"[Measures].[TI]")</f>
        <v/>
      </c>
      <c r="AK238" s="67" t="str" vm="984">
        <f>CUBEVALUE(ConnectionString,ReportMonth,Table1[[#This Row],[Site ID (from DATIM)]],"[Measures].[TO]")</f>
        <v/>
      </c>
      <c r="AL238" s="67" t="str" vm="1306">
        <f>CUBEVALUE(ConnectionString,ReportMonth,Table1[[#This Row],[Site ID (from DATIM)]],"[Measures].[DIED]")</f>
        <v/>
      </c>
      <c r="AM238" s="67" vm="4559">
        <f>CUBEVALUE(ConnectionString,ReportMonth,Table1[[#This Row],[Site ID (from DATIM)]],"[Measures].[MMS_01_31]")</f>
        <v>43</v>
      </c>
      <c r="AN238" s="67" vm="5941">
        <f>CUBEVALUE(ConnectionString,ReportMonth,Table1[[#This Row],[Site ID (from DATIM)]],"[Measures].[MMS_32_62]")</f>
        <v>5</v>
      </c>
      <c r="AO238" s="67" vm="6955">
        <f>CUBEVALUE(ConnectionString,ReportMonth,Table1[[#This Row],[Site ID (from DATIM)]],"[Measures].[MMS_63+]")</f>
        <v>57</v>
      </c>
      <c r="AP238" s="67" vm="4858">
        <f>CUBEVALUE(ConnectionString,ReportMonth,Table1[[#This Row],[Site ID (from DATIM)]],"[Measures].[TBPREV_D]")</f>
        <v>1</v>
      </c>
      <c r="AQ238" s="67" vm="7667">
        <f>CUBEVALUE(ConnectionString,ReportMonth,Table1[[#This Row],[Site ID (from DATIM)]],"[Measures].[TBPREV_N]")</f>
        <v>1</v>
      </c>
      <c r="AR238" s="67" t="str" vm="7197">
        <f>CUBEVALUE(ConnectionString,ReportMonth,Table1[[#This Row],[Site ID (from DATIM)]],"[Measures].[TBPREV_NEW]")</f>
        <v/>
      </c>
      <c r="AS238" s="67" vm="5183">
        <f>CUBEVALUE(ConnectionString,ReportMonth,Table1[[#This Row],[Site ID (from DATIM)]],"[Measures].[HVL_ELIG_P]")</f>
        <v>4</v>
      </c>
      <c r="AT238" s="67" t="str" vm="7296">
        <f>CUBEVALUE(ConnectionString,ReportMonth,Table1[[#This Row],[Site ID (from DATIM)]],"[Measures].[HVL_D_P]")</f>
        <v/>
      </c>
      <c r="AU238" s="67" t="str" vm="8951">
        <f>CUBEVALUE(ConnectionString,ReportMonth,Table1[[#This Row],[Site ID (from DATIM)]],"[Measures].[HVL_N_P]")</f>
        <v/>
      </c>
      <c r="AV238" s="68" vm="8207">
        <f>CUBEVALUE(ConnectionString,ReportMonth,Table1[[#This Row],[Site ID (from DATIM)]],"[Measures].[HVL_ELIG_A]")</f>
        <v>87</v>
      </c>
      <c r="AW238" s="68" t="str" vm="8501">
        <f>CUBEVALUE(ConnectionString,ReportMonth,Table1[[#This Row],[Site ID (from DATIM)]],"[Measures].[HVL_D_A]")</f>
        <v/>
      </c>
      <c r="AX238" s="68" t="str" vm="13996">
        <f>CUBEVALUE(ConnectionString,ReportMonth,Table1[[#This Row],[Site ID (from DATIM)]],"[Measures].[HVL_N_A]")</f>
        <v/>
      </c>
      <c r="AY238" s="67"/>
      <c r="AZ238" s="67"/>
      <c r="BA238" s="67"/>
      <c r="BB238" s="67"/>
      <c r="BC238" s="67"/>
      <c r="BD238" s="67"/>
      <c r="BE238" s="67"/>
      <c r="BF238" s="67"/>
      <c r="BG238" s="67" t="str" vm="10472">
        <f>CUBEVALUE(ConnectionString,ReportMonth,Table1[[#This Row],[Site ID (from DATIM)]],"[Measures].[TX_NEW_F_A]")</f>
        <v/>
      </c>
      <c r="BH238" s="67" t="str" vm="11014">
        <f>CUBEVALUE(ConnectionString,ReportMonth,Table1[[#This Row],[Site ID (from DATIM)]],"[Measures].[TX_NEW_M_A]")</f>
        <v/>
      </c>
      <c r="BI238" s="67" t="str" vm="14810">
        <f>CUBEVALUE(ConnectionString,ReportMonth,Table1[[#This Row],[Site ID (from DATIM)]],"[Measures].[TX_NEW_F_P]")</f>
        <v/>
      </c>
      <c r="BJ238" s="68" t="str" vm="13152">
        <f>CUBEVALUE(ConnectionString,ReportMonth,Table1[[#This Row],[Site ID (from DATIM)]],"[Measures].[TX_NEW_M_P]")</f>
        <v/>
      </c>
      <c r="BK238" s="68"/>
      <c r="BL238" s="68"/>
      <c r="BM238" s="68"/>
      <c r="BN238" s="68"/>
      <c r="BO238" s="68"/>
      <c r="BP238" s="68"/>
      <c r="BQ238" s="68" vm="8269">
        <f>CUBEVALUE(ConnectionString,ReportMonth,Table1[[#This Row],[Site ID (from DATIM)]],"[Measures].[TX_CURR_F_P]")</f>
        <v>1</v>
      </c>
      <c r="BR238" s="68" vm="9560">
        <f>CUBEVALUE(ConnectionString,ReportMonth,Table1[[#This Row],[Site ID (from DATIM)]],"[Measures].[TX_CURR_M_P]")</f>
        <v>4</v>
      </c>
      <c r="BS238" s="68" vm="9200">
        <f>CUBEVALUE(ConnectionString,ReportMonth,Table1[[#This Row],[Site ID (from DATIM)]],"[Measures].[TX_CURR_F_A]")</f>
        <v>79</v>
      </c>
      <c r="BT238" s="68" vm="15319">
        <f>CUBEVALUE(ConnectionString,ReportMonth,Table1[[#This Row],[Site ID (from DATIM)]],"[Measures].[TX_CURR_M_A]")</f>
        <v>21</v>
      </c>
      <c r="BU238" s="68" t="str" vm="20157">
        <f>CUBEVALUE(ConnectionString,ReportMonth,Table1[[#This Row],[Site ID (from DATIM)]],"[Measures].[MMS_01_89_F_P]")</f>
        <v/>
      </c>
      <c r="BV238" s="68" vm="19778">
        <f>CUBEVALUE(ConnectionString,ReportMonth,Table1[[#This Row],[Site ID (from DATIM)]],"[Measures].[MMS_01_89_M_P]")</f>
        <v>2</v>
      </c>
      <c r="BW238" s="68" vm="18415">
        <f>CUBEVALUE(ConnectionString,ReportMonth,Table1[[#This Row],[Site ID (from DATIM)]],"[Measures].[MMS_01_89_F_A]")</f>
        <v>36</v>
      </c>
      <c r="BX238" s="68" vm="18316">
        <f>CUBEVALUE(ConnectionString,ReportMonth,Table1[[#This Row],[Site ID (from DATIM)]],"[Measures].[MMS_01_89_M_A]")</f>
        <v>11</v>
      </c>
      <c r="BY238" s="68" vm="19400">
        <f>CUBEVALUE(ConnectionString,ReportMonth,Table1[[#This Row],[Site ID (from DATIM)]],"[Measures].[MMS_90_179_F_P]")</f>
        <v>1</v>
      </c>
      <c r="BZ238" s="68" vm="19853">
        <f>CUBEVALUE(ConnectionString,ReportMonth,Table1[[#This Row],[Site ID (from DATIM)]],"[Measures].[MMS_90_179_M_P]")</f>
        <v>2</v>
      </c>
      <c r="CA238" s="68" vm="17612">
        <f>CUBEVALUE(ConnectionString,ReportMonth,Table1[[#This Row],[Site ID (from DATIM)]],"[Measures].[MMS_90_179_F_A]")</f>
        <v>43</v>
      </c>
      <c r="CB238" s="68" vm="15868">
        <f>CUBEVALUE(ConnectionString,ReportMonth,Table1[[#This Row],[Site ID (from DATIM)]],"[Measures].[MMS_90_179_M_A]")</f>
        <v>10</v>
      </c>
      <c r="CC238" s="68" t="str" vm="15491">
        <f>CUBEVALUE(ConnectionString,ReportMonth,Table1[[#This Row],[Site ID (from DATIM)]],"[Measures].[MMS_180+_F_P]")</f>
        <v/>
      </c>
      <c r="CD238" s="68" t="str" vm="17582">
        <f>CUBEVALUE(ConnectionString,ReportMonth,Table1[[#This Row],[Site ID (from DATIM)]],"[Measures].[MMS_180+_M_P]")</f>
        <v/>
      </c>
      <c r="CE238" s="68" t="str" vm="14475">
        <f>CUBEVALUE(ConnectionString,ReportMonth,Table1[[#This Row],[Site ID (from DATIM)]],"[Measures].[MMS_180+_F_A]")</f>
        <v/>
      </c>
      <c r="CF238" s="68" t="str" vm="17459">
        <f>CUBEVALUE(ConnectionString,ReportMonth,Table1[[#This Row],[Site ID (from DATIM)]],"[Measures].[MMS_180+_M_A]")</f>
        <v/>
      </c>
      <c r="CG238" s="68" vm="4930">
        <f>CUBEVALUE(ConnectionString,ReportMonth,Table1[[#This Row],[Site ID (from DATIM)]],"[Measures].[MISSEDAPP]")</f>
        <v>55</v>
      </c>
      <c r="CH238" s="68" t="str" vm="10167">
        <f>CUBEVALUE(ConnectionString,ReportMonth,Table1[[#This Row],[Site ID (from DATIM)]],"[Measures].[MMS_180+_P]")</f>
        <v/>
      </c>
      <c r="CI238" s="68" t="str" vm="13774">
        <f>CUBEVALUE(ConnectionString,ReportMonth,Table1[[#This Row],[Site ID (from DATIM)]],"[Measures].[MMS_180+_A]")</f>
        <v/>
      </c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</row>
    <row r="239" spans="1:107" x14ac:dyDescent="0.25">
      <c r="A239" s="66">
        <v>4</v>
      </c>
      <c r="B239" s="67" t="str" vm="4">
        <f t="shared" si="4"/>
        <v>Mar-2021</v>
      </c>
      <c r="C239" s="67"/>
      <c r="D239" s="67" t="s">
        <v>232</v>
      </c>
      <c r="E239" s="67" t="s">
        <v>233</v>
      </c>
      <c r="F239" s="67" t="s">
        <v>831</v>
      </c>
      <c r="G239" s="67"/>
      <c r="H239" s="67" t="s">
        <v>847</v>
      </c>
      <c r="I239" s="67" t="s">
        <v>329</v>
      </c>
      <c r="J239" s="67" t="s">
        <v>330</v>
      </c>
      <c r="K239" s="67" t="s">
        <v>974</v>
      </c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 t="str" vm="1150">
        <f>CUBEVALUE(ConnectionString,ReportMonth,Table1[[#This Row],[Site ID (from DATIM)]],"TX_NEW_2VIS")</f>
        <v/>
      </c>
      <c r="AE239" s="67" t="str" vm="1002">
        <f>CUBEVALUE(ConnectionString,ReportMonth,Table1[[#This Row],[Site ID (from DATIM)]],INDEX(SDI_Measures,1))</f>
        <v/>
      </c>
      <c r="AF239" s="67" t="str" vm="293">
        <f>CUBEVALUE(ConnectionString,ReportMonth,Table1[[#This Row],[Site ID (from DATIM)]],INDEX(SDI_Measures,2))</f>
        <v/>
      </c>
      <c r="AG239" s="67" t="str" vm="3263">
        <f>CUBEVALUE(ConnectionString,ReportMonth,Table1[[#This Row],[Site ID (from DATIM)]],INDEX(SDI_Measures,3))</f>
        <v/>
      </c>
      <c r="AH239" s="67" vm="6936">
        <f>CUBEVALUE(ConnectionString,ReportMonth,Table1[[#This Row],[Site ID (from DATIM)]],"TX_CURR_PRIOR_MONTH")</f>
        <v>19</v>
      </c>
      <c r="AI239" s="67" vm="2164">
        <f>CUBEVALUE(ConnectionString,ReportMonth,Table1[[#This Row],[Site ID (from DATIM)]],"TX_CURR")</f>
        <v>19</v>
      </c>
      <c r="AJ239" s="67" t="str" vm="2869">
        <f>CUBEVALUE(ConnectionString,ReportMonth,Table1[[#This Row],[Site ID (from DATIM)]],"[Measures].[TI]")</f>
        <v/>
      </c>
      <c r="AK239" s="67" t="str" vm="2647">
        <f>CUBEVALUE(ConnectionString,ReportMonth,Table1[[#This Row],[Site ID (from DATIM)]],"[Measures].[TO]")</f>
        <v/>
      </c>
      <c r="AL239" s="67" t="str" vm="3697">
        <f>CUBEVALUE(ConnectionString,ReportMonth,Table1[[#This Row],[Site ID (from DATIM)]],"[Measures].[DIED]")</f>
        <v/>
      </c>
      <c r="AM239" s="67" vm="3934">
        <f>CUBEVALUE(ConnectionString,ReportMonth,Table1[[#This Row],[Site ID (from DATIM)]],"[Measures].[MMS_01_31]")</f>
        <v>16</v>
      </c>
      <c r="AN239" s="67" t="str" vm="5421">
        <f>CUBEVALUE(ConnectionString,ReportMonth,Table1[[#This Row],[Site ID (from DATIM)]],"[Measures].[MMS_32_62]")</f>
        <v/>
      </c>
      <c r="AO239" s="67" vm="6931">
        <f>CUBEVALUE(ConnectionString,ReportMonth,Table1[[#This Row],[Site ID (from DATIM)]],"[Measures].[MMS_63+]")</f>
        <v>3</v>
      </c>
      <c r="AP239" s="67" vm="5814">
        <f>CUBEVALUE(ConnectionString,ReportMonth,Table1[[#This Row],[Site ID (from DATIM)]],"[Measures].[TBPREV_D]")</f>
        <v>1</v>
      </c>
      <c r="AQ239" s="67" vm="5018">
        <f>CUBEVALUE(ConnectionString,ReportMonth,Table1[[#This Row],[Site ID (from DATIM)]],"[Measures].[TBPREV_N]")</f>
        <v>1</v>
      </c>
      <c r="AR239" s="67" t="str" vm="11847">
        <f>CUBEVALUE(ConnectionString,ReportMonth,Table1[[#This Row],[Site ID (from DATIM)]],"[Measures].[TBPREV_NEW]")</f>
        <v/>
      </c>
      <c r="AS239" s="67" t="str" vm="7625">
        <f>CUBEVALUE(ConnectionString,ReportMonth,Table1[[#This Row],[Site ID (from DATIM)]],"[Measures].[HVL_ELIG_P]")</f>
        <v/>
      </c>
      <c r="AT239" s="67" t="str" vm="6934">
        <f>CUBEVALUE(ConnectionString,ReportMonth,Table1[[#This Row],[Site ID (from DATIM)]],"[Measures].[HVL_D_P]")</f>
        <v/>
      </c>
      <c r="AU239" s="67" t="str" vm="10291">
        <f>CUBEVALUE(ConnectionString,ReportMonth,Table1[[#This Row],[Site ID (from DATIM)]],"[Measures].[HVL_N_P]")</f>
        <v/>
      </c>
      <c r="AV239" s="68" vm="7727">
        <f>CUBEVALUE(ConnectionString,ReportMonth,Table1[[#This Row],[Site ID (from DATIM)]],"[Measures].[HVL_ELIG_A]")</f>
        <v>16</v>
      </c>
      <c r="AW239" s="68" t="str" vm="9599">
        <f>CUBEVALUE(ConnectionString,ReportMonth,Table1[[#This Row],[Site ID (from DATIM)]],"[Measures].[HVL_D_A]")</f>
        <v/>
      </c>
      <c r="AX239" s="68" t="str" vm="11858">
        <f>CUBEVALUE(ConnectionString,ReportMonth,Table1[[#This Row],[Site ID (from DATIM)]],"[Measures].[HVL_N_A]")</f>
        <v/>
      </c>
      <c r="AY239" s="67"/>
      <c r="AZ239" s="67"/>
      <c r="BA239" s="67"/>
      <c r="BB239" s="67"/>
      <c r="BC239" s="67"/>
      <c r="BD239" s="67"/>
      <c r="BE239" s="67"/>
      <c r="BF239" s="67"/>
      <c r="BG239" s="67" t="str" vm="10865">
        <f>CUBEVALUE(ConnectionString,ReportMonth,Table1[[#This Row],[Site ID (from DATIM)]],"[Measures].[TX_NEW_F_A]")</f>
        <v/>
      </c>
      <c r="BH239" s="67" t="str" vm="11676">
        <f>CUBEVALUE(ConnectionString,ReportMonth,Table1[[#This Row],[Site ID (from DATIM)]],"[Measures].[TX_NEW_M_A]")</f>
        <v/>
      </c>
      <c r="BI239" s="67" t="str" vm="14194">
        <f>CUBEVALUE(ConnectionString,ReportMonth,Table1[[#This Row],[Site ID (from DATIM)]],"[Measures].[TX_NEW_F_P]")</f>
        <v/>
      </c>
      <c r="BJ239" s="68" t="str" vm="13258">
        <f>CUBEVALUE(ConnectionString,ReportMonth,Table1[[#This Row],[Site ID (from DATIM)]],"[Measures].[TX_NEW_M_P]")</f>
        <v/>
      </c>
      <c r="BK239" s="68"/>
      <c r="BL239" s="68"/>
      <c r="BM239" s="68"/>
      <c r="BN239" s="68"/>
      <c r="BO239" s="68"/>
      <c r="BP239" s="68"/>
      <c r="BQ239" s="68" t="str" vm="12266">
        <f>CUBEVALUE(ConnectionString,ReportMonth,Table1[[#This Row],[Site ID (from DATIM)]],"[Measures].[TX_CURR_F_P]")</f>
        <v/>
      </c>
      <c r="BR239" s="68" t="str" vm="9539">
        <f>CUBEVALUE(ConnectionString,ReportMonth,Table1[[#This Row],[Site ID (from DATIM)]],"[Measures].[TX_CURR_M_P]")</f>
        <v/>
      </c>
      <c r="BS239" s="68" vm="14387">
        <f>CUBEVALUE(ConnectionString,ReportMonth,Table1[[#This Row],[Site ID (from DATIM)]],"[Measures].[TX_CURR_F_A]")</f>
        <v>15</v>
      </c>
      <c r="BT239" s="68" vm="12468">
        <f>CUBEVALUE(ConnectionString,ReportMonth,Table1[[#This Row],[Site ID (from DATIM)]],"[Measures].[TX_CURR_M_A]")</f>
        <v>4</v>
      </c>
      <c r="BU239" s="68" t="str" vm="18706">
        <f>CUBEVALUE(ConnectionString,ReportMonth,Table1[[#This Row],[Site ID (from DATIM)]],"[Measures].[MMS_01_89_F_P]")</f>
        <v/>
      </c>
      <c r="BV239" s="68" t="str" vm="18609">
        <f>CUBEVALUE(ConnectionString,ReportMonth,Table1[[#This Row],[Site ID (from DATIM)]],"[Measures].[MMS_01_89_M_P]")</f>
        <v/>
      </c>
      <c r="BW239" s="68" vm="18934">
        <f>CUBEVALUE(ConnectionString,ReportMonth,Table1[[#This Row],[Site ID (from DATIM)]],"[Measures].[MMS_01_89_F_A]")</f>
        <v>12</v>
      </c>
      <c r="BX239" s="68" vm="19291">
        <f>CUBEVALUE(ConnectionString,ReportMonth,Table1[[#This Row],[Site ID (from DATIM)]],"[Measures].[MMS_01_89_M_A]")</f>
        <v>4</v>
      </c>
      <c r="BY239" s="68" t="str" vm="18486">
        <f>CUBEVALUE(ConnectionString,ReportMonth,Table1[[#This Row],[Site ID (from DATIM)]],"[Measures].[MMS_90_179_F_P]")</f>
        <v/>
      </c>
      <c r="BZ239" s="68" t="str" vm="19875">
        <f>CUBEVALUE(ConnectionString,ReportMonth,Table1[[#This Row],[Site ID (from DATIM)]],"[Measures].[MMS_90_179_M_P]")</f>
        <v/>
      </c>
      <c r="CA239" s="68" vm="15239">
        <f>CUBEVALUE(ConnectionString,ReportMonth,Table1[[#This Row],[Site ID (from DATIM)]],"[Measures].[MMS_90_179_F_A]")</f>
        <v>3</v>
      </c>
      <c r="CB239" s="68" t="str" vm="14613">
        <f>CUBEVALUE(ConnectionString,ReportMonth,Table1[[#This Row],[Site ID (from DATIM)]],"[Measures].[MMS_90_179_M_A]")</f>
        <v/>
      </c>
      <c r="CC239" s="68" t="str" vm="16374">
        <f>CUBEVALUE(ConnectionString,ReportMonth,Table1[[#This Row],[Site ID (from DATIM)]],"[Measures].[MMS_180+_F_P]")</f>
        <v/>
      </c>
      <c r="CD239" s="68" t="str" vm="15767">
        <f>CUBEVALUE(ConnectionString,ReportMonth,Table1[[#This Row],[Site ID (from DATIM)]],"[Measures].[MMS_180+_M_P]")</f>
        <v/>
      </c>
      <c r="CE239" s="68" t="str" vm="14927">
        <f>CUBEVALUE(ConnectionString,ReportMonth,Table1[[#This Row],[Site ID (from DATIM)]],"[Measures].[MMS_180+_F_A]")</f>
        <v/>
      </c>
      <c r="CF239" s="68" t="str" vm="158">
        <f>CUBEVALUE(ConnectionString,ReportMonth,Table1[[#This Row],[Site ID (from DATIM)]],"[Measures].[MMS_180+_M_A]")</f>
        <v/>
      </c>
      <c r="CG239" s="68" vm="8547">
        <f>CUBEVALUE(ConnectionString,ReportMonth,Table1[[#This Row],[Site ID (from DATIM)]],"[Measures].[MISSEDAPP]")</f>
        <v>14</v>
      </c>
      <c r="CH239" s="68" t="str" vm="10211">
        <f>CUBEVALUE(ConnectionString,ReportMonth,Table1[[#This Row],[Site ID (from DATIM)]],"[Measures].[MMS_180+_P]")</f>
        <v/>
      </c>
      <c r="CI239" s="68" t="str" vm="10368">
        <f>CUBEVALUE(ConnectionString,ReportMonth,Table1[[#This Row],[Site ID (from DATIM)]],"[Measures].[MMS_180+_A]")</f>
        <v/>
      </c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  <c r="CW239" s="68"/>
      <c r="CX239" s="68"/>
      <c r="CY239" s="68"/>
      <c r="CZ239" s="68"/>
      <c r="DA239" s="68"/>
      <c r="DB239" s="68"/>
      <c r="DC239" s="68"/>
    </row>
    <row r="240" spans="1:107" x14ac:dyDescent="0.25">
      <c r="A240" s="66">
        <v>4</v>
      </c>
      <c r="B240" s="67" t="str" vm="4">
        <f t="shared" si="4"/>
        <v>Mar-2021</v>
      </c>
      <c r="C240" s="67"/>
      <c r="D240" s="67" t="s">
        <v>232</v>
      </c>
      <c r="E240" s="67" t="s">
        <v>233</v>
      </c>
      <c r="F240" s="67" t="s">
        <v>234</v>
      </c>
      <c r="G240" s="67"/>
      <c r="H240" s="67" t="s">
        <v>249</v>
      </c>
      <c r="I240" s="67" t="s">
        <v>332</v>
      </c>
      <c r="J240" s="67" t="s">
        <v>333</v>
      </c>
      <c r="K240" s="67" t="s">
        <v>334</v>
      </c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 t="str" vm="646">
        <f>CUBEVALUE(ConnectionString,ReportMonth,Table1[[#This Row],[Site ID (from DATIM)]],"TX_NEW_2VIS")</f>
        <v/>
      </c>
      <c r="AE240" s="67" t="str" vm="4027">
        <f>CUBEVALUE(ConnectionString,ReportMonth,Table1[[#This Row],[Site ID (from DATIM)]],INDEX(SDI_Measures,1))</f>
        <v/>
      </c>
      <c r="AF240" s="67" t="str" vm="1787">
        <f>CUBEVALUE(ConnectionString,ReportMonth,Table1[[#This Row],[Site ID (from DATIM)]],INDEX(SDI_Measures,2))</f>
        <v/>
      </c>
      <c r="AG240" s="67" t="str" vm="624">
        <f>CUBEVALUE(ConnectionString,ReportMonth,Table1[[#This Row],[Site ID (from DATIM)]],INDEX(SDI_Measures,3))</f>
        <v/>
      </c>
      <c r="AH240" s="67" vm="2953">
        <f>CUBEVALUE(ConnectionString,ReportMonth,Table1[[#This Row],[Site ID (from DATIM)]],"TX_CURR_PRIOR_MONTH")</f>
        <v>49</v>
      </c>
      <c r="AI240" s="67" vm="3002">
        <f>CUBEVALUE(ConnectionString,ReportMonth,Table1[[#This Row],[Site ID (from DATIM)]],"TX_CURR")</f>
        <v>48</v>
      </c>
      <c r="AJ240" s="67" t="str" vm="2426">
        <f>CUBEVALUE(ConnectionString,ReportMonth,Table1[[#This Row],[Site ID (from DATIM)]],"[Measures].[TI]")</f>
        <v/>
      </c>
      <c r="AK240" s="67" t="str" vm="2907">
        <f>CUBEVALUE(ConnectionString,ReportMonth,Table1[[#This Row],[Site ID (from DATIM)]],"[Measures].[TO]")</f>
        <v/>
      </c>
      <c r="AL240" s="67" t="str" vm="3090">
        <f>CUBEVALUE(ConnectionString,ReportMonth,Table1[[#This Row],[Site ID (from DATIM)]],"[Measures].[DIED]")</f>
        <v/>
      </c>
      <c r="AM240" s="67" vm="3685">
        <f>CUBEVALUE(ConnectionString,ReportMonth,Table1[[#This Row],[Site ID (from DATIM)]],"[Measures].[MMS_01_31]")</f>
        <v>26</v>
      </c>
      <c r="AN240" s="67" t="str" vm="4831">
        <f>CUBEVALUE(ConnectionString,ReportMonth,Table1[[#This Row],[Site ID (from DATIM)]],"[Measures].[MMS_32_62]")</f>
        <v/>
      </c>
      <c r="AO240" s="67" vm="7890">
        <f>CUBEVALUE(ConnectionString,ReportMonth,Table1[[#This Row],[Site ID (from DATIM)]],"[Measures].[MMS_63+]")</f>
        <v>22</v>
      </c>
      <c r="AP240" s="67" vm="6195">
        <f>CUBEVALUE(ConnectionString,ReportMonth,Table1[[#This Row],[Site ID (from DATIM)]],"[Measures].[TBPREV_D]")</f>
        <v>1</v>
      </c>
      <c r="AQ240" s="67" t="str" vm="5382">
        <f>CUBEVALUE(ConnectionString,ReportMonth,Table1[[#This Row],[Site ID (from DATIM)]],"[Measures].[TBPREV_N]")</f>
        <v/>
      </c>
      <c r="AR240" s="67" t="str" vm="5172">
        <f>CUBEVALUE(ConnectionString,ReportMonth,Table1[[#This Row],[Site ID (from DATIM)]],"[Measures].[TBPREV_NEW]")</f>
        <v/>
      </c>
      <c r="AS240" s="67" vm="9989">
        <f>CUBEVALUE(ConnectionString,ReportMonth,Table1[[#This Row],[Site ID (from DATIM)]],"[Measures].[HVL_ELIG_P]")</f>
        <v>5</v>
      </c>
      <c r="AT240" s="67" vm="8375">
        <f>CUBEVALUE(ConnectionString,ReportMonth,Table1[[#This Row],[Site ID (from DATIM)]],"[Measures].[HVL_D_P]")</f>
        <v>1</v>
      </c>
      <c r="AU240" s="67" t="str" vm="11272">
        <f>CUBEVALUE(ConnectionString,ReportMonth,Table1[[#This Row],[Site ID (from DATIM)]],"[Measures].[HVL_N_P]")</f>
        <v/>
      </c>
      <c r="AV240" s="68" vm="11563">
        <f>CUBEVALUE(ConnectionString,ReportMonth,Table1[[#This Row],[Site ID (from DATIM)]],"[Measures].[HVL_ELIG_A]")</f>
        <v>39</v>
      </c>
      <c r="AW240" s="68" vm="6823">
        <f>CUBEVALUE(ConnectionString,ReportMonth,Table1[[#This Row],[Site ID (from DATIM)]],"[Measures].[HVL_D_A]")</f>
        <v>16</v>
      </c>
      <c r="AX240" s="68" vm="8852">
        <f>CUBEVALUE(ConnectionString,ReportMonth,Table1[[#This Row],[Site ID (from DATIM)]],"[Measures].[HVL_N_A]")</f>
        <v>11</v>
      </c>
      <c r="AY240" s="67"/>
      <c r="AZ240" s="67"/>
      <c r="BA240" s="67"/>
      <c r="BB240" s="67"/>
      <c r="BC240" s="67"/>
      <c r="BD240" s="67"/>
      <c r="BE240" s="67"/>
      <c r="BF240" s="67"/>
      <c r="BG240" s="67" t="str" vm="12552">
        <f>CUBEVALUE(ConnectionString,ReportMonth,Table1[[#This Row],[Site ID (from DATIM)]],"[Measures].[TX_NEW_F_A]")</f>
        <v/>
      </c>
      <c r="BH240" s="67" t="str" vm="11482">
        <f>CUBEVALUE(ConnectionString,ReportMonth,Table1[[#This Row],[Site ID (from DATIM)]],"[Measures].[TX_NEW_M_A]")</f>
        <v/>
      </c>
      <c r="BI240" s="67" t="str" vm="15327">
        <f>CUBEVALUE(ConnectionString,ReportMonth,Table1[[#This Row],[Site ID (from DATIM)]],"[Measures].[TX_NEW_F_P]")</f>
        <v/>
      </c>
      <c r="BJ240" s="68" t="str" vm="12608">
        <f>CUBEVALUE(ConnectionString,ReportMonth,Table1[[#This Row],[Site ID (from DATIM)]],"[Measures].[TX_NEW_M_P]")</f>
        <v/>
      </c>
      <c r="BK240" s="68"/>
      <c r="BL240" s="68"/>
      <c r="BM240" s="68"/>
      <c r="BN240" s="68"/>
      <c r="BO240" s="68"/>
      <c r="BP240" s="68"/>
      <c r="BQ240" s="68" vm="8434">
        <f>CUBEVALUE(ConnectionString,ReportMonth,Table1[[#This Row],[Site ID (from DATIM)]],"[Measures].[TX_CURR_F_P]")</f>
        <v>2</v>
      </c>
      <c r="BR240" s="68" vm="7046">
        <f>CUBEVALUE(ConnectionString,ReportMonth,Table1[[#This Row],[Site ID (from DATIM)]],"[Measures].[TX_CURR_M_P]")</f>
        <v>5</v>
      </c>
      <c r="BS240" s="68" vm="13831">
        <f>CUBEVALUE(ConnectionString,ReportMonth,Table1[[#This Row],[Site ID (from DATIM)]],"[Measures].[TX_CURR_F_A]")</f>
        <v>30</v>
      </c>
      <c r="BT240" s="68" vm="13829">
        <f>CUBEVALUE(ConnectionString,ReportMonth,Table1[[#This Row],[Site ID (from DATIM)]],"[Measures].[TX_CURR_M_A]")</f>
        <v>11</v>
      </c>
      <c r="BU240" s="68" vm="18123">
        <f>CUBEVALUE(ConnectionString,ReportMonth,Table1[[#This Row],[Site ID (from DATIM)]],"[Measures].[MMS_01_89_F_P]")</f>
        <v>1</v>
      </c>
      <c r="BV240" s="68" vm="19705">
        <f>CUBEVALUE(ConnectionString,ReportMonth,Table1[[#This Row],[Site ID (from DATIM)]],"[Measures].[MMS_01_89_M_P]")</f>
        <v>5</v>
      </c>
      <c r="BW240" s="68" vm="18949">
        <f>CUBEVALUE(ConnectionString,ReportMonth,Table1[[#This Row],[Site ID (from DATIM)]],"[Measures].[MMS_01_89_F_A]")</f>
        <v>13</v>
      </c>
      <c r="BX240" s="68" vm="18874">
        <f>CUBEVALUE(ConnectionString,ReportMonth,Table1[[#This Row],[Site ID (from DATIM)]],"[Measures].[MMS_01_89_M_A]")</f>
        <v>7</v>
      </c>
      <c r="BY240" s="68" vm="18227">
        <f>CUBEVALUE(ConnectionString,ReportMonth,Table1[[#This Row],[Site ID (from DATIM)]],"[Measures].[MMS_90_179_F_P]")</f>
        <v>1</v>
      </c>
      <c r="BZ240" s="68" t="str" vm="16025">
        <f>CUBEVALUE(ConnectionString,ReportMonth,Table1[[#This Row],[Site ID (from DATIM)]],"[Measures].[MMS_90_179_M_P]")</f>
        <v/>
      </c>
      <c r="CA240" s="68" vm="16023">
        <f>CUBEVALUE(ConnectionString,ReportMonth,Table1[[#This Row],[Site ID (from DATIM)]],"[Measures].[MMS_90_179_F_A]")</f>
        <v>17</v>
      </c>
      <c r="CB240" s="68" vm="15541">
        <f>CUBEVALUE(ConnectionString,ReportMonth,Table1[[#This Row],[Site ID (from DATIM)]],"[Measures].[MMS_90_179_M_A]")</f>
        <v>4</v>
      </c>
      <c r="CC240" s="68" t="str" vm="17747">
        <f>CUBEVALUE(ConnectionString,ReportMonth,Table1[[#This Row],[Site ID (from DATIM)]],"[Measures].[MMS_180+_F_P]")</f>
        <v/>
      </c>
      <c r="CD240" s="68" t="str" vm="15839">
        <f>CUBEVALUE(ConnectionString,ReportMonth,Table1[[#This Row],[Site ID (from DATIM)]],"[Measures].[MMS_180+_M_P]")</f>
        <v/>
      </c>
      <c r="CE240" s="68" t="str" vm="14508">
        <f>CUBEVALUE(ConnectionString,ReportMonth,Table1[[#This Row],[Site ID (from DATIM)]],"[Measures].[MMS_180+_F_A]")</f>
        <v/>
      </c>
      <c r="CF240" s="68" t="str" vm="17158">
        <f>CUBEVALUE(ConnectionString,ReportMonth,Table1[[#This Row],[Site ID (from DATIM)]],"[Measures].[MMS_180+_M_A]")</f>
        <v/>
      </c>
      <c r="CG240" s="68" vm="7699">
        <f>CUBEVALUE(ConnectionString,ReportMonth,Table1[[#This Row],[Site ID (from DATIM)]],"[Measures].[MISSEDAPP]")</f>
        <v>24</v>
      </c>
      <c r="CH240" s="68" t="str" vm="10845">
        <f>CUBEVALUE(ConnectionString,ReportMonth,Table1[[#This Row],[Site ID (from DATIM)]],"[Measures].[MMS_180+_P]")</f>
        <v/>
      </c>
      <c r="CI240" s="68" t="str" vm="12633">
        <f>CUBEVALUE(ConnectionString,ReportMonth,Table1[[#This Row],[Site ID (from DATIM)]],"[Measures].[MMS_180+_A]")</f>
        <v/>
      </c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  <c r="CW240" s="68"/>
      <c r="CX240" s="68"/>
      <c r="CY240" s="68"/>
      <c r="CZ240" s="68"/>
      <c r="DA240" s="68"/>
      <c r="DB240" s="68"/>
      <c r="DC240" s="68"/>
    </row>
    <row r="241" spans="1:107" x14ac:dyDescent="0.25">
      <c r="A241" s="66">
        <v>4</v>
      </c>
      <c r="B241" s="67" t="str" vm="4">
        <f t="shared" si="4"/>
        <v>Mar-2021</v>
      </c>
      <c r="C241" s="67"/>
      <c r="D241" s="67" t="s">
        <v>232</v>
      </c>
      <c r="E241" s="67" t="s">
        <v>233</v>
      </c>
      <c r="F241" s="67" t="s">
        <v>1083</v>
      </c>
      <c r="G241" s="67"/>
      <c r="H241" s="67" t="s">
        <v>1088</v>
      </c>
      <c r="I241" s="67" t="s">
        <v>1179</v>
      </c>
      <c r="J241" s="67" t="s">
        <v>1213</v>
      </c>
      <c r="K241" s="67" t="s">
        <v>1214</v>
      </c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 t="str" vm="3206">
        <f>CUBEVALUE(ConnectionString,ReportMonth,Table1[[#This Row],[Site ID (from DATIM)]],"TX_NEW_2VIS")</f>
        <v/>
      </c>
      <c r="AE241" s="67" t="str" vm="2471">
        <f>CUBEVALUE(ConnectionString,ReportMonth,Table1[[#This Row],[Site ID (from DATIM)]],INDEX(SDI_Measures,1))</f>
        <v/>
      </c>
      <c r="AF241" s="67" t="str" vm="262">
        <f>CUBEVALUE(ConnectionString,ReportMonth,Table1[[#This Row],[Site ID (from DATIM)]],INDEX(SDI_Measures,2))</f>
        <v/>
      </c>
      <c r="AG241" s="67" t="str" vm="1166">
        <f>CUBEVALUE(ConnectionString,ReportMonth,Table1[[#This Row],[Site ID (from DATIM)]],INDEX(SDI_Measures,3))</f>
        <v/>
      </c>
      <c r="AH241" s="67" vm="490">
        <f>CUBEVALUE(ConnectionString,ReportMonth,Table1[[#This Row],[Site ID (from DATIM)]],"TX_CURR_PRIOR_MONTH")</f>
        <v>16</v>
      </c>
      <c r="AI241" s="67" vm="2565">
        <f>CUBEVALUE(ConnectionString,ReportMonth,Table1[[#This Row],[Site ID (from DATIM)]],"TX_CURR")</f>
        <v>16</v>
      </c>
      <c r="AJ241" s="67" t="str" vm="4110">
        <f>CUBEVALUE(ConnectionString,ReportMonth,Table1[[#This Row],[Site ID (from DATIM)]],"[Measures].[TI]")</f>
        <v/>
      </c>
      <c r="AK241" s="67" t="str" vm="3677">
        <f>CUBEVALUE(ConnectionString,ReportMonth,Table1[[#This Row],[Site ID (from DATIM)]],"[Measures].[TO]")</f>
        <v/>
      </c>
      <c r="AL241" s="67" t="str" vm="2056">
        <f>CUBEVALUE(ConnectionString,ReportMonth,Table1[[#This Row],[Site ID (from DATIM)]],"[Measures].[DIED]")</f>
        <v/>
      </c>
      <c r="AM241" s="67" vm="4139">
        <f>CUBEVALUE(ConnectionString,ReportMonth,Table1[[#This Row],[Site ID (from DATIM)]],"[Measures].[MMS_01_31]")</f>
        <v>15</v>
      </c>
      <c r="AN241" s="67" t="str" vm="7863">
        <f>CUBEVALUE(ConnectionString,ReportMonth,Table1[[#This Row],[Site ID (from DATIM)]],"[Measures].[MMS_32_62]")</f>
        <v/>
      </c>
      <c r="AO241" s="67" vm="5650">
        <f>CUBEVALUE(ConnectionString,ReportMonth,Table1[[#This Row],[Site ID (from DATIM)]],"[Measures].[MMS_63+]")</f>
        <v>1</v>
      </c>
      <c r="AP241" s="67" t="str" vm="4991">
        <f>CUBEVALUE(ConnectionString,ReportMonth,Table1[[#This Row],[Site ID (from DATIM)]],"[Measures].[TBPREV_D]")</f>
        <v/>
      </c>
      <c r="AQ241" s="67" t="str" vm="7616">
        <f>CUBEVALUE(ConnectionString,ReportMonth,Table1[[#This Row],[Site ID (from DATIM)]],"[Measures].[TBPREV_N]")</f>
        <v/>
      </c>
      <c r="AR241" s="67" t="str" vm="7329">
        <f>CUBEVALUE(ConnectionString,ReportMonth,Table1[[#This Row],[Site ID (from DATIM)]],"[Measures].[TBPREV_NEW]")</f>
        <v/>
      </c>
      <c r="AS241" s="67" t="str" vm="5272">
        <f>CUBEVALUE(ConnectionString,ReportMonth,Table1[[#This Row],[Site ID (from DATIM)]],"[Measures].[HVL_ELIG_P]")</f>
        <v/>
      </c>
      <c r="AT241" s="67" t="str" vm="10192">
        <f>CUBEVALUE(ConnectionString,ReportMonth,Table1[[#This Row],[Site ID (from DATIM)]],"[Measures].[HVL_D_P]")</f>
        <v/>
      </c>
      <c r="AU241" s="67" t="str" vm="8618">
        <f>CUBEVALUE(ConnectionString,ReportMonth,Table1[[#This Row],[Site ID (from DATIM)]],"[Measures].[HVL_N_P]")</f>
        <v/>
      </c>
      <c r="AV241" s="68" vm="9877">
        <f>CUBEVALUE(ConnectionString,ReportMonth,Table1[[#This Row],[Site ID (from DATIM)]],"[Measures].[HVL_ELIG_A]")</f>
        <v>5</v>
      </c>
      <c r="AW241" s="68" vm="7285">
        <f>CUBEVALUE(ConnectionString,ReportMonth,Table1[[#This Row],[Site ID (from DATIM)]],"[Measures].[HVL_D_A]")</f>
        <v>1</v>
      </c>
      <c r="AX241" s="68" vm="11876">
        <f>CUBEVALUE(ConnectionString,ReportMonth,Table1[[#This Row],[Site ID (from DATIM)]],"[Measures].[HVL_N_A]")</f>
        <v>1</v>
      </c>
      <c r="AY241" s="67"/>
      <c r="AZ241" s="67"/>
      <c r="BA241" s="67"/>
      <c r="BB241" s="67"/>
      <c r="BC241" s="67"/>
      <c r="BD241" s="67"/>
      <c r="BE241" s="67"/>
      <c r="BF241" s="67"/>
      <c r="BG241" s="67" t="str" vm="11719">
        <f>CUBEVALUE(ConnectionString,ReportMonth,Table1[[#This Row],[Site ID (from DATIM)]],"[Measures].[TX_NEW_F_A]")</f>
        <v/>
      </c>
      <c r="BH241" s="67" t="str" vm="14208">
        <f>CUBEVALUE(ConnectionString,ReportMonth,Table1[[#This Row],[Site ID (from DATIM)]],"[Measures].[TX_NEW_M_A]")</f>
        <v/>
      </c>
      <c r="BI241" s="67" t="str" vm="16193">
        <f>CUBEVALUE(ConnectionString,ReportMonth,Table1[[#This Row],[Site ID (from DATIM)]],"[Measures].[TX_NEW_F_P]")</f>
        <v/>
      </c>
      <c r="BJ241" s="68" t="str" vm="16562">
        <f>CUBEVALUE(ConnectionString,ReportMonth,Table1[[#This Row],[Site ID (from DATIM)]],"[Measures].[TX_NEW_M_P]")</f>
        <v/>
      </c>
      <c r="BK241" s="68"/>
      <c r="BL241" s="68"/>
      <c r="BM241" s="68"/>
      <c r="BN241" s="68"/>
      <c r="BO241" s="68"/>
      <c r="BP241" s="68"/>
      <c r="BQ241" s="68" t="str" vm="9718">
        <f>CUBEVALUE(ConnectionString,ReportMonth,Table1[[#This Row],[Site ID (from DATIM)]],"[Measures].[TX_CURR_F_P]")</f>
        <v/>
      </c>
      <c r="BR241" s="68" t="str" vm="8128">
        <f>CUBEVALUE(ConnectionString,ReportMonth,Table1[[#This Row],[Site ID (from DATIM)]],"[Measures].[TX_CURR_M_P]")</f>
        <v/>
      </c>
      <c r="BS241" s="68" vm="10883">
        <f>CUBEVALUE(ConnectionString,ReportMonth,Table1[[#This Row],[Site ID (from DATIM)]],"[Measures].[TX_CURR_F_A]")</f>
        <v>9</v>
      </c>
      <c r="BT241" s="68" vm="12024">
        <f>CUBEVALUE(ConnectionString,ReportMonth,Table1[[#This Row],[Site ID (from DATIM)]],"[Measures].[TX_CURR_M_A]")</f>
        <v>7</v>
      </c>
      <c r="BU241" s="68" t="str" vm="19502">
        <f>CUBEVALUE(ConnectionString,ReportMonth,Table1[[#This Row],[Site ID (from DATIM)]],"[Measures].[MMS_01_89_F_P]")</f>
        <v/>
      </c>
      <c r="BV241" s="68" t="str" vm="19828">
        <f>CUBEVALUE(ConnectionString,ReportMonth,Table1[[#This Row],[Site ID (from DATIM)]],"[Measures].[MMS_01_89_M_P]")</f>
        <v/>
      </c>
      <c r="BW241" s="68" vm="19713">
        <f>CUBEVALUE(ConnectionString,ReportMonth,Table1[[#This Row],[Site ID (from DATIM)]],"[Measures].[MMS_01_89_F_A]")</f>
        <v>8</v>
      </c>
      <c r="BX241" s="68" vm="15235">
        <f>CUBEVALUE(ConnectionString,ReportMonth,Table1[[#This Row],[Site ID (from DATIM)]],"[Measures].[MMS_01_89_M_A]")</f>
        <v>7</v>
      </c>
      <c r="BY241" s="68" t="str" vm="15200">
        <f>CUBEVALUE(ConnectionString,ReportMonth,Table1[[#This Row],[Site ID (from DATIM)]],"[Measures].[MMS_90_179_F_P]")</f>
        <v/>
      </c>
      <c r="BZ241" s="68" t="str" vm="14759">
        <f>CUBEVALUE(ConnectionString,ReportMonth,Table1[[#This Row],[Site ID (from DATIM)]],"[Measures].[MMS_90_179_M_P]")</f>
        <v/>
      </c>
      <c r="CA241" s="68" vm="15354">
        <f>CUBEVALUE(ConnectionString,ReportMonth,Table1[[#This Row],[Site ID (from DATIM)]],"[Measures].[MMS_90_179_F_A]")</f>
        <v>1</v>
      </c>
      <c r="CB241" s="68" t="str" vm="14689">
        <f>CUBEVALUE(ConnectionString,ReportMonth,Table1[[#This Row],[Site ID (from DATIM)]],"[Measures].[MMS_90_179_M_A]")</f>
        <v/>
      </c>
      <c r="CC241" s="68" t="str" vm="15077">
        <f>CUBEVALUE(ConnectionString,ReportMonth,Table1[[#This Row],[Site ID (from DATIM)]],"[Measures].[MMS_180+_F_P]")</f>
        <v/>
      </c>
      <c r="CD241" s="68" t="str" vm="16691">
        <f>CUBEVALUE(ConnectionString,ReportMonth,Table1[[#This Row],[Site ID (from DATIM)]],"[Measures].[MMS_180+_M_P]")</f>
        <v/>
      </c>
      <c r="CE241" s="68" t="str" vm="15451">
        <f>CUBEVALUE(ConnectionString,ReportMonth,Table1[[#This Row],[Site ID (from DATIM)]],"[Measures].[MMS_180+_F_A]")</f>
        <v/>
      </c>
      <c r="CF241" s="68" t="str" vm="16209">
        <f>CUBEVALUE(ConnectionString,ReportMonth,Table1[[#This Row],[Site ID (from DATIM)]],"[Measures].[MMS_180+_M_A]")</f>
        <v/>
      </c>
      <c r="CG241" s="68" vm="5507">
        <f>CUBEVALUE(ConnectionString,ReportMonth,Table1[[#This Row],[Site ID (from DATIM)]],"[Measures].[MISSEDAPP]")</f>
        <v>15</v>
      </c>
      <c r="CH241" s="68" t="str" vm="13325">
        <f>CUBEVALUE(ConnectionString,ReportMonth,Table1[[#This Row],[Site ID (from DATIM)]],"[Measures].[MMS_180+_P]")</f>
        <v/>
      </c>
      <c r="CI241" s="68" t="str" vm="12006">
        <f>CUBEVALUE(ConnectionString,ReportMonth,Table1[[#This Row],[Site ID (from DATIM)]],"[Measures].[MMS_180+_A]")</f>
        <v/>
      </c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  <c r="CW241" s="68"/>
      <c r="CX241" s="68"/>
      <c r="CY241" s="68"/>
      <c r="CZ241" s="68"/>
      <c r="DA241" s="68"/>
      <c r="DB241" s="68"/>
      <c r="DC241" s="68"/>
    </row>
    <row r="242" spans="1:107" x14ac:dyDescent="0.25">
      <c r="A242" s="66">
        <v>4</v>
      </c>
      <c r="B242" s="67" t="str" vm="4">
        <f t="shared" si="4"/>
        <v>Mar-2021</v>
      </c>
      <c r="C242" s="67"/>
      <c r="D242" s="67" t="s">
        <v>232</v>
      </c>
      <c r="E242" s="67" t="s">
        <v>233</v>
      </c>
      <c r="F242" s="67" t="s">
        <v>1286</v>
      </c>
      <c r="G242" s="67"/>
      <c r="H242" s="67" t="s">
        <v>1287</v>
      </c>
      <c r="I242" s="67" t="s">
        <v>1369</v>
      </c>
      <c r="J242" s="67" t="s">
        <v>1409</v>
      </c>
      <c r="K242" s="67" t="s">
        <v>1410</v>
      </c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 t="str" vm="1455">
        <f>CUBEVALUE(ConnectionString,ReportMonth,Table1[[#This Row],[Site ID (from DATIM)]],"TX_NEW_2VIS")</f>
        <v/>
      </c>
      <c r="AE242" s="67" t="str" vm="228">
        <f>CUBEVALUE(ConnectionString,ReportMonth,Table1[[#This Row],[Site ID (from DATIM)]],INDEX(SDI_Measures,1))</f>
        <v/>
      </c>
      <c r="AF242" s="67" t="str" vm="430">
        <f>CUBEVALUE(ConnectionString,ReportMonth,Table1[[#This Row],[Site ID (from DATIM)]],INDEX(SDI_Measures,2))</f>
        <v/>
      </c>
      <c r="AG242" s="67" t="str" vm="5278">
        <f>CUBEVALUE(ConnectionString,ReportMonth,Table1[[#This Row],[Site ID (from DATIM)]],INDEX(SDI_Measures,3))</f>
        <v/>
      </c>
      <c r="AH242" s="67" t="str" vm="4477">
        <f>CUBEVALUE(ConnectionString,ReportMonth,Table1[[#This Row],[Site ID (from DATIM)]],"TX_CURR_PRIOR_MONTH")</f>
        <v/>
      </c>
      <c r="AI242" s="67" t="str" vm="3478">
        <f>CUBEVALUE(ConnectionString,ReportMonth,Table1[[#This Row],[Site ID (from DATIM)]],"TX_CURR")</f>
        <v/>
      </c>
      <c r="AJ242" s="67" t="str" vm="2152">
        <f>CUBEVALUE(ConnectionString,ReportMonth,Table1[[#This Row],[Site ID (from DATIM)]],"[Measures].[TI]")</f>
        <v/>
      </c>
      <c r="AK242" s="67" t="str" vm="2648">
        <f>CUBEVALUE(ConnectionString,ReportMonth,Table1[[#This Row],[Site ID (from DATIM)]],"[Measures].[TO]")</f>
        <v/>
      </c>
      <c r="AL242" s="67" t="str" vm="3997">
        <f>CUBEVALUE(ConnectionString,ReportMonth,Table1[[#This Row],[Site ID (from DATIM)]],"[Measures].[DIED]")</f>
        <v/>
      </c>
      <c r="AM242" s="67" t="str" vm="9864">
        <f>CUBEVALUE(ConnectionString,ReportMonth,Table1[[#This Row],[Site ID (from DATIM)]],"[Measures].[MMS_01_31]")</f>
        <v/>
      </c>
      <c r="AN242" s="67" t="str" vm="9592">
        <f>CUBEVALUE(ConnectionString,ReportMonth,Table1[[#This Row],[Site ID (from DATIM)]],"[Measures].[MMS_32_62]")</f>
        <v/>
      </c>
      <c r="AO242" s="67" t="str" vm="5215">
        <f>CUBEVALUE(ConnectionString,ReportMonth,Table1[[#This Row],[Site ID (from DATIM)]],"[Measures].[MMS_63+]")</f>
        <v/>
      </c>
      <c r="AP242" s="67" t="str" vm="5597">
        <f>CUBEVALUE(ConnectionString,ReportMonth,Table1[[#This Row],[Site ID (from DATIM)]],"[Measures].[TBPREV_D]")</f>
        <v/>
      </c>
      <c r="AQ242" s="67" t="str" vm="5303">
        <f>CUBEVALUE(ConnectionString,ReportMonth,Table1[[#This Row],[Site ID (from DATIM)]],"[Measures].[TBPREV_N]")</f>
        <v/>
      </c>
      <c r="AR242" s="67" t="str" vm="7346">
        <f>CUBEVALUE(ConnectionString,ReportMonth,Table1[[#This Row],[Site ID (from DATIM)]],"[Measures].[TBPREV_NEW]")</f>
        <v/>
      </c>
      <c r="AS242" s="67" t="str" vm="8826">
        <f>CUBEVALUE(ConnectionString,ReportMonth,Table1[[#This Row],[Site ID (from DATIM)]],"[Measures].[HVL_ELIG_P]")</f>
        <v/>
      </c>
      <c r="AT242" s="67" t="str" vm="5743">
        <f>CUBEVALUE(ConnectionString,ReportMonth,Table1[[#This Row],[Site ID (from DATIM)]],"[Measures].[HVL_D_P]")</f>
        <v/>
      </c>
      <c r="AU242" s="67" t="str" vm="10068">
        <f>CUBEVALUE(ConnectionString,ReportMonth,Table1[[#This Row],[Site ID (from DATIM)]],"[Measures].[HVL_N_P]")</f>
        <v/>
      </c>
      <c r="AV242" s="68" t="str" vm="11624">
        <f>CUBEVALUE(ConnectionString,ReportMonth,Table1[[#This Row],[Site ID (from DATIM)]],"[Measures].[HVL_ELIG_A]")</f>
        <v/>
      </c>
      <c r="AW242" s="68" t="str" vm="9331">
        <f>CUBEVALUE(ConnectionString,ReportMonth,Table1[[#This Row],[Site ID (from DATIM)]],"[Measures].[HVL_D_A]")</f>
        <v/>
      </c>
      <c r="AX242" s="68" t="str" vm="10123">
        <f>CUBEVALUE(ConnectionString,ReportMonth,Table1[[#This Row],[Site ID (from DATIM)]],"[Measures].[HVL_N_A]")</f>
        <v/>
      </c>
      <c r="AY242" s="67"/>
      <c r="AZ242" s="67"/>
      <c r="BA242" s="67"/>
      <c r="BB242" s="67"/>
      <c r="BC242" s="67"/>
      <c r="BD242" s="67"/>
      <c r="BE242" s="67"/>
      <c r="BF242" s="67"/>
      <c r="BG242" s="67" t="str" vm="13627">
        <f>CUBEVALUE(ConnectionString,ReportMonth,Table1[[#This Row],[Site ID (from DATIM)]],"[Measures].[TX_NEW_F_A]")</f>
        <v/>
      </c>
      <c r="BH242" s="67" t="str" vm="12557">
        <f>CUBEVALUE(ConnectionString,ReportMonth,Table1[[#This Row],[Site ID (from DATIM)]],"[Measures].[TX_NEW_M_A]")</f>
        <v/>
      </c>
      <c r="BI242" s="67" t="str" vm="15650">
        <f>CUBEVALUE(ConnectionString,ReportMonth,Table1[[#This Row],[Site ID (from DATIM)]],"[Measures].[TX_NEW_F_P]")</f>
        <v/>
      </c>
      <c r="BJ242" s="68" t="str" vm="17037">
        <f>CUBEVALUE(ConnectionString,ReportMonth,Table1[[#This Row],[Site ID (from DATIM)]],"[Measures].[TX_NEW_M_P]")</f>
        <v/>
      </c>
      <c r="BK242" s="68"/>
      <c r="BL242" s="68"/>
      <c r="BM242" s="68"/>
      <c r="BN242" s="68"/>
      <c r="BO242" s="68"/>
      <c r="BP242" s="68"/>
      <c r="BQ242" s="68" t="str" vm="7045">
        <f>CUBEVALUE(ConnectionString,ReportMonth,Table1[[#This Row],[Site ID (from DATIM)]],"[Measures].[TX_CURR_F_P]")</f>
        <v/>
      </c>
      <c r="BR242" s="68" t="str" vm="8751">
        <f>CUBEVALUE(ConnectionString,ReportMonth,Table1[[#This Row],[Site ID (from DATIM)]],"[Measures].[TX_CURR_M_P]")</f>
        <v/>
      </c>
      <c r="BS242" s="68" t="str" vm="12971">
        <f>CUBEVALUE(ConnectionString,ReportMonth,Table1[[#This Row],[Site ID (from DATIM)]],"[Measures].[TX_CURR_F_A]")</f>
        <v/>
      </c>
      <c r="BT242" s="68" t="str" vm="12152">
        <f>CUBEVALUE(ConnectionString,ReportMonth,Table1[[#This Row],[Site ID (from DATIM)]],"[Measures].[TX_CURR_M_A]")</f>
        <v/>
      </c>
      <c r="BU242" s="68" t="str" vm="18129">
        <f>CUBEVALUE(ConnectionString,ReportMonth,Table1[[#This Row],[Site ID (from DATIM)]],"[Measures].[MMS_01_89_F_P]")</f>
        <v/>
      </c>
      <c r="BV242" s="68" t="str" vm="18382">
        <f>CUBEVALUE(ConnectionString,ReportMonth,Table1[[#This Row],[Site ID (from DATIM)]],"[Measures].[MMS_01_89_M_P]")</f>
        <v/>
      </c>
      <c r="BW242" s="68" t="str" vm="18892">
        <f>CUBEVALUE(ConnectionString,ReportMonth,Table1[[#This Row],[Site ID (from DATIM)]],"[Measures].[MMS_01_89_F_A]")</f>
        <v/>
      </c>
      <c r="BX242" s="68" t="str" vm="18276">
        <f>CUBEVALUE(ConnectionString,ReportMonth,Table1[[#This Row],[Site ID (from DATIM)]],"[Measures].[MMS_01_89_M_A]")</f>
        <v/>
      </c>
      <c r="BY242" s="68" t="str" vm="15231">
        <f>CUBEVALUE(ConnectionString,ReportMonth,Table1[[#This Row],[Site ID (from DATIM)]],"[Measures].[MMS_90_179_F_P]")</f>
        <v/>
      </c>
      <c r="BZ242" s="68" t="str" vm="16479">
        <f>CUBEVALUE(ConnectionString,ReportMonth,Table1[[#This Row],[Site ID (from DATIM)]],"[Measures].[MMS_90_179_M_P]")</f>
        <v/>
      </c>
      <c r="CA242" s="68" t="str" vm="17674">
        <f>CUBEVALUE(ConnectionString,ReportMonth,Table1[[#This Row],[Site ID (from DATIM)]],"[Measures].[MMS_90_179_F_A]")</f>
        <v/>
      </c>
      <c r="CB242" s="68" t="str" vm="17262">
        <f>CUBEVALUE(ConnectionString,ReportMonth,Table1[[#This Row],[Site ID (from DATIM)]],"[Measures].[MMS_90_179_M_A]")</f>
        <v/>
      </c>
      <c r="CC242" s="68" t="str" vm="14986">
        <f>CUBEVALUE(ConnectionString,ReportMonth,Table1[[#This Row],[Site ID (from DATIM)]],"[Measures].[MMS_180+_F_P]")</f>
        <v/>
      </c>
      <c r="CD242" s="68" t="str" vm="17242">
        <f>CUBEVALUE(ConnectionString,ReportMonth,Table1[[#This Row],[Site ID (from DATIM)]],"[Measures].[MMS_180+_M_P]")</f>
        <v/>
      </c>
      <c r="CE242" s="68" t="str" vm="16318">
        <f>CUBEVALUE(ConnectionString,ReportMonth,Table1[[#This Row],[Site ID (from DATIM)]],"[Measures].[MMS_180+_F_A]")</f>
        <v/>
      </c>
      <c r="CF242" s="68" t="str" vm="15377">
        <f>CUBEVALUE(ConnectionString,ReportMonth,Table1[[#This Row],[Site ID (from DATIM)]],"[Measures].[MMS_180+_M_A]")</f>
        <v/>
      </c>
      <c r="CG242" s="68" t="str" vm="7887">
        <f>CUBEVALUE(ConnectionString,ReportMonth,Table1[[#This Row],[Site ID (from DATIM)]],"[Measures].[MISSEDAPP]")</f>
        <v/>
      </c>
      <c r="CH242" s="68" t="str" vm="12695">
        <f>CUBEVALUE(ConnectionString,ReportMonth,Table1[[#This Row],[Site ID (from DATIM)]],"[Measures].[MMS_180+_P]")</f>
        <v/>
      </c>
      <c r="CI242" s="68" t="str" vm="10890">
        <f>CUBEVALUE(ConnectionString,ReportMonth,Table1[[#This Row],[Site ID (from DATIM)]],"[Measures].[MMS_180+_A]")</f>
        <v/>
      </c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  <c r="CW242" s="68"/>
      <c r="CX242" s="68"/>
      <c r="CY242" s="68"/>
      <c r="CZ242" s="68"/>
      <c r="DA242" s="68"/>
      <c r="DB242" s="68"/>
      <c r="DC242" s="68"/>
    </row>
    <row r="243" spans="1:107" x14ac:dyDescent="0.25">
      <c r="A243" s="66">
        <v>4</v>
      </c>
      <c r="B243" s="67" t="str" vm="4">
        <f t="shared" si="4"/>
        <v>Mar-2021</v>
      </c>
      <c r="C243" s="67"/>
      <c r="D243" s="67" t="s">
        <v>232</v>
      </c>
      <c r="E243" s="67" t="s">
        <v>233</v>
      </c>
      <c r="F243" s="67" t="s">
        <v>1083</v>
      </c>
      <c r="G243" s="67"/>
      <c r="H243" s="67" t="s">
        <v>1099</v>
      </c>
      <c r="I243" s="67" t="s">
        <v>1215</v>
      </c>
      <c r="J243" s="67" t="s">
        <v>1216</v>
      </c>
      <c r="K243" s="67" t="s">
        <v>1217</v>
      </c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 t="str" vm="1735">
        <f>CUBEVALUE(ConnectionString,ReportMonth,Table1[[#This Row],[Site ID (from DATIM)]],"TX_NEW_2VIS")</f>
        <v/>
      </c>
      <c r="AE243" s="67" t="str" vm="2364">
        <f>CUBEVALUE(ConnectionString,ReportMonth,Table1[[#This Row],[Site ID (from DATIM)]],INDEX(SDI_Measures,1))</f>
        <v/>
      </c>
      <c r="AF243" s="67" t="str" vm="319">
        <f>CUBEVALUE(ConnectionString,ReportMonth,Table1[[#This Row],[Site ID (from DATIM)]],INDEX(SDI_Measures,2))</f>
        <v/>
      </c>
      <c r="AG243" s="67" t="str" vm="2329">
        <f>CUBEVALUE(ConnectionString,ReportMonth,Table1[[#This Row],[Site ID (from DATIM)]],INDEX(SDI_Measures,3))</f>
        <v/>
      </c>
      <c r="AH243" s="67" vm="2660">
        <f>CUBEVALUE(ConnectionString,ReportMonth,Table1[[#This Row],[Site ID (from DATIM)]],"TX_CURR_PRIOR_MONTH")</f>
        <v>85</v>
      </c>
      <c r="AI243" s="67" vm="1357">
        <f>CUBEVALUE(ConnectionString,ReportMonth,Table1[[#This Row],[Site ID (from DATIM)]],"TX_CURR")</f>
        <v>75</v>
      </c>
      <c r="AJ243" s="67" t="str" vm="1558">
        <f>CUBEVALUE(ConnectionString,ReportMonth,Table1[[#This Row],[Site ID (from DATIM)]],"[Measures].[TI]")</f>
        <v/>
      </c>
      <c r="AK243" s="67" t="str" vm="2932">
        <f>CUBEVALUE(ConnectionString,ReportMonth,Table1[[#This Row],[Site ID (from DATIM)]],"[Measures].[TO]")</f>
        <v/>
      </c>
      <c r="AL243" s="67" t="str" vm="3837">
        <f>CUBEVALUE(ConnectionString,ReportMonth,Table1[[#This Row],[Site ID (from DATIM)]],"[Measures].[DIED]")</f>
        <v/>
      </c>
      <c r="AM243" s="67" vm="4966">
        <f>CUBEVALUE(ConnectionString,ReportMonth,Table1[[#This Row],[Site ID (from DATIM)]],"[Measures].[MMS_01_31]")</f>
        <v>16</v>
      </c>
      <c r="AN243" s="67" t="str" vm="5622">
        <f>CUBEVALUE(ConnectionString,ReportMonth,Table1[[#This Row],[Site ID (from DATIM)]],"[Measures].[MMS_32_62]")</f>
        <v/>
      </c>
      <c r="AO243" s="67" vm="8998">
        <f>CUBEVALUE(ConnectionString,ReportMonth,Table1[[#This Row],[Site ID (from DATIM)]],"[Measures].[MMS_63+]")</f>
        <v>59</v>
      </c>
      <c r="AP243" s="67" t="str" vm="7327">
        <f>CUBEVALUE(ConnectionString,ReportMonth,Table1[[#This Row],[Site ID (from DATIM)]],"[Measures].[TBPREV_D]")</f>
        <v/>
      </c>
      <c r="AQ243" s="67" t="str" vm="7171">
        <f>CUBEVALUE(ConnectionString,ReportMonth,Table1[[#This Row],[Site ID (from DATIM)]],"[Measures].[TBPREV_N]")</f>
        <v/>
      </c>
      <c r="AR243" s="67" t="str" vm="7593">
        <f>CUBEVALUE(ConnectionString,ReportMonth,Table1[[#This Row],[Site ID (from DATIM)]],"[Measures].[TBPREV_NEW]")</f>
        <v/>
      </c>
      <c r="AS243" s="67" vm="9172">
        <f>CUBEVALUE(ConnectionString,ReportMonth,Table1[[#This Row],[Site ID (from DATIM)]],"[Measures].[HVL_ELIG_P]")</f>
        <v>3</v>
      </c>
      <c r="AT243" s="67" vm="4845">
        <f>CUBEVALUE(ConnectionString,ReportMonth,Table1[[#This Row],[Site ID (from DATIM)]],"[Measures].[HVL_D_P]")</f>
        <v>2</v>
      </c>
      <c r="AU243" s="67" vm="10039">
        <f>CUBEVALUE(ConnectionString,ReportMonth,Table1[[#This Row],[Site ID (from DATIM)]],"[Measures].[HVL_N_P]")</f>
        <v>2</v>
      </c>
      <c r="AV243" s="68" vm="13855">
        <f>CUBEVALUE(ConnectionString,ReportMonth,Table1[[#This Row],[Site ID (from DATIM)]],"[Measures].[HVL_ELIG_A]")</f>
        <v>67</v>
      </c>
      <c r="AW243" s="68" vm="8725">
        <f>CUBEVALUE(ConnectionString,ReportMonth,Table1[[#This Row],[Site ID (from DATIM)]],"[Measures].[HVL_D_A]")</f>
        <v>23</v>
      </c>
      <c r="AX243" s="68" vm="11336">
        <f>CUBEVALUE(ConnectionString,ReportMonth,Table1[[#This Row],[Site ID (from DATIM)]],"[Measures].[HVL_N_A]")</f>
        <v>20</v>
      </c>
      <c r="AY243" s="67"/>
      <c r="AZ243" s="67"/>
      <c r="BA243" s="67"/>
      <c r="BB243" s="67"/>
      <c r="BC243" s="67"/>
      <c r="BD243" s="67"/>
      <c r="BE243" s="67"/>
      <c r="BF243" s="67"/>
      <c r="BG243" s="67" t="str" vm="13834">
        <f>CUBEVALUE(ConnectionString,ReportMonth,Table1[[#This Row],[Site ID (from DATIM)]],"[Measures].[TX_NEW_F_A]")</f>
        <v/>
      </c>
      <c r="BH243" s="67" t="str" vm="11427">
        <f>CUBEVALUE(ConnectionString,ReportMonth,Table1[[#This Row],[Site ID (from DATIM)]],"[Measures].[TX_NEW_M_A]")</f>
        <v/>
      </c>
      <c r="BI243" s="67" t="str" vm="15698">
        <f>CUBEVALUE(ConnectionString,ReportMonth,Table1[[#This Row],[Site ID (from DATIM)]],"[Measures].[TX_NEW_F_P]")</f>
        <v/>
      </c>
      <c r="BJ243" s="68" t="str" vm="13438">
        <f>CUBEVALUE(ConnectionString,ReportMonth,Table1[[#This Row],[Site ID (from DATIM)]],"[Measures].[TX_NEW_M_P]")</f>
        <v/>
      </c>
      <c r="BK243" s="68"/>
      <c r="BL243" s="68"/>
      <c r="BM243" s="68"/>
      <c r="BN243" s="68"/>
      <c r="BO243" s="68"/>
      <c r="BP243" s="68"/>
      <c r="BQ243" s="68" vm="11518">
        <f>CUBEVALUE(ConnectionString,ReportMonth,Table1[[#This Row],[Site ID (from DATIM)]],"[Measures].[TX_CURR_F_P]")</f>
        <v>2</v>
      </c>
      <c r="BR243" s="68" vm="8977">
        <f>CUBEVALUE(ConnectionString,ReportMonth,Table1[[#This Row],[Site ID (from DATIM)]],"[Measures].[TX_CURR_M_P]")</f>
        <v>1</v>
      </c>
      <c r="BS243" s="68" vm="9126">
        <f>CUBEVALUE(ConnectionString,ReportMonth,Table1[[#This Row],[Site ID (from DATIM)]],"[Measures].[TX_CURR_F_A]")</f>
        <v>54</v>
      </c>
      <c r="BT243" s="68" vm="10311">
        <f>CUBEVALUE(ConnectionString,ReportMonth,Table1[[#This Row],[Site ID (from DATIM)]],"[Measures].[TX_CURR_M_A]")</f>
        <v>18</v>
      </c>
      <c r="BU243" s="68" vm="20120">
        <f>CUBEVALUE(ConnectionString,ReportMonth,Table1[[#This Row],[Site ID (from DATIM)]],"[Measures].[MMS_01_89_F_P]")</f>
        <v>2</v>
      </c>
      <c r="BV243" s="68" t="str" vm="18701">
        <f>CUBEVALUE(ConnectionString,ReportMonth,Table1[[#This Row],[Site ID (from DATIM)]],"[Measures].[MMS_01_89_M_P]")</f>
        <v/>
      </c>
      <c r="BW243" s="68" vm="19657">
        <f>CUBEVALUE(ConnectionString,ReportMonth,Table1[[#This Row],[Site ID (from DATIM)]],"[Measures].[MMS_01_89_F_A]")</f>
        <v>9</v>
      </c>
      <c r="BX243" s="68" vm="19939">
        <f>CUBEVALUE(ConnectionString,ReportMonth,Table1[[#This Row],[Site ID (from DATIM)]],"[Measures].[MMS_01_89_M_A]")</f>
        <v>5</v>
      </c>
      <c r="BY243" s="68" t="str" vm="17763">
        <f>CUBEVALUE(ConnectionString,ReportMonth,Table1[[#This Row],[Site ID (from DATIM)]],"[Measures].[MMS_90_179_F_P]")</f>
        <v/>
      </c>
      <c r="BZ243" s="68" vm="19061">
        <f>CUBEVALUE(ConnectionString,ReportMonth,Table1[[#This Row],[Site ID (from DATIM)]],"[Measures].[MMS_90_179_M_P]")</f>
        <v>1</v>
      </c>
      <c r="CA243" s="68" vm="17367">
        <f>CUBEVALUE(ConnectionString,ReportMonth,Table1[[#This Row],[Site ID (from DATIM)]],"[Measures].[MMS_90_179_F_A]")</f>
        <v>45</v>
      </c>
      <c r="CB243" s="68" vm="15883">
        <f>CUBEVALUE(ConnectionString,ReportMonth,Table1[[#This Row],[Site ID (from DATIM)]],"[Measures].[MMS_90_179_M_A]")</f>
        <v>13</v>
      </c>
      <c r="CC243" s="68" t="str" vm="15862">
        <f>CUBEVALUE(ConnectionString,ReportMonth,Table1[[#This Row],[Site ID (from DATIM)]],"[Measures].[MMS_180+_F_P]")</f>
        <v/>
      </c>
      <c r="CD243" s="68" t="str" vm="17597">
        <f>CUBEVALUE(ConnectionString,ReportMonth,Table1[[#This Row],[Site ID (from DATIM)]],"[Measures].[MMS_180+_M_P]")</f>
        <v/>
      </c>
      <c r="CE243" s="68" t="str" vm="16252">
        <f>CUBEVALUE(ConnectionString,ReportMonth,Table1[[#This Row],[Site ID (from DATIM)]],"[Measures].[MMS_180+_F_A]")</f>
        <v/>
      </c>
      <c r="CF243" s="68" t="str" vm="85">
        <f>CUBEVALUE(ConnectionString,ReportMonth,Table1[[#This Row],[Site ID (from DATIM)]],"[Measures].[MMS_180+_M_A]")</f>
        <v/>
      </c>
      <c r="CG243" s="68" vm="8825">
        <f>CUBEVALUE(ConnectionString,ReportMonth,Table1[[#This Row],[Site ID (from DATIM)]],"[Measures].[MISSEDAPP]")</f>
        <v>28</v>
      </c>
      <c r="CH243" s="68" t="str" vm="17374">
        <f>CUBEVALUE(ConnectionString,ReportMonth,Table1[[#This Row],[Site ID (from DATIM)]],"[Measures].[MMS_180+_P]")</f>
        <v/>
      </c>
      <c r="CI243" s="68" t="str" vm="14162">
        <f>CUBEVALUE(ConnectionString,ReportMonth,Table1[[#This Row],[Site ID (from DATIM)]],"[Measures].[MMS_180+_A]")</f>
        <v/>
      </c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  <c r="CW243" s="68"/>
      <c r="CX243" s="68"/>
      <c r="CY243" s="68"/>
      <c r="CZ243" s="68"/>
      <c r="DA243" s="68"/>
      <c r="DB243" s="68"/>
      <c r="DC243" s="68"/>
    </row>
    <row r="244" spans="1:107" x14ac:dyDescent="0.25">
      <c r="A244" s="66">
        <v>4</v>
      </c>
      <c r="B244" s="67" t="str" vm="4">
        <f t="shared" si="4"/>
        <v>Mar-2021</v>
      </c>
      <c r="C244" s="67"/>
      <c r="D244" s="67" t="s">
        <v>232</v>
      </c>
      <c r="E244" s="67" t="s">
        <v>233</v>
      </c>
      <c r="F244" s="67" t="s">
        <v>437</v>
      </c>
      <c r="G244" s="67"/>
      <c r="H244" s="67" t="s">
        <v>488</v>
      </c>
      <c r="I244" s="67" t="s">
        <v>655</v>
      </c>
      <c r="J244" s="67" t="s">
        <v>656</v>
      </c>
      <c r="K244" s="67" t="s">
        <v>657</v>
      </c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 t="str" vm="1670">
        <f>CUBEVALUE(ConnectionString,ReportMonth,Table1[[#This Row],[Site ID (from DATIM)]],"TX_NEW_2VIS")</f>
        <v/>
      </c>
      <c r="AE244" s="67" t="str" vm="3272">
        <f>CUBEVALUE(ConnectionString,ReportMonth,Table1[[#This Row],[Site ID (from DATIM)]],INDEX(SDI_Measures,1))</f>
        <v/>
      </c>
      <c r="AF244" s="67" t="str" vm="3033">
        <f>CUBEVALUE(ConnectionString,ReportMonth,Table1[[#This Row],[Site ID (from DATIM)]],INDEX(SDI_Measures,2))</f>
        <v/>
      </c>
      <c r="AG244" s="67" t="str" vm="294">
        <f>CUBEVALUE(ConnectionString,ReportMonth,Table1[[#This Row],[Site ID (from DATIM)]],INDEX(SDI_Measures,3))</f>
        <v/>
      </c>
      <c r="AH244" s="67" vm="2277">
        <f>CUBEVALUE(ConnectionString,ReportMonth,Table1[[#This Row],[Site ID (from DATIM)]],"TX_CURR_PRIOR_MONTH")</f>
        <v>90</v>
      </c>
      <c r="AI244" s="67" vm="606">
        <f>CUBEVALUE(ConnectionString,ReportMonth,Table1[[#This Row],[Site ID (from DATIM)]],"TX_CURR")</f>
        <v>90</v>
      </c>
      <c r="AJ244" s="67" t="str" vm="1281">
        <f>CUBEVALUE(ConnectionString,ReportMonth,Table1[[#This Row],[Site ID (from DATIM)]],"[Measures].[TI]")</f>
        <v/>
      </c>
      <c r="AK244" s="67" t="str" vm="3705">
        <f>CUBEVALUE(ConnectionString,ReportMonth,Table1[[#This Row],[Site ID (from DATIM)]],"[Measures].[TO]")</f>
        <v/>
      </c>
      <c r="AL244" s="67" t="str" vm="1521">
        <f>CUBEVALUE(ConnectionString,ReportMonth,Table1[[#This Row],[Site ID (from DATIM)]],"[Measures].[DIED]")</f>
        <v/>
      </c>
      <c r="AM244" s="67" vm="4014">
        <f>CUBEVALUE(ConnectionString,ReportMonth,Table1[[#This Row],[Site ID (from DATIM)]],"[Measures].[MMS_01_31]")</f>
        <v>55</v>
      </c>
      <c r="AN244" s="67" t="str" vm="4669">
        <f>CUBEVALUE(ConnectionString,ReportMonth,Table1[[#This Row],[Site ID (from DATIM)]],"[Measures].[MMS_32_62]")</f>
        <v/>
      </c>
      <c r="AO244" s="67" vm="7965">
        <f>CUBEVALUE(ConnectionString,ReportMonth,Table1[[#This Row],[Site ID (from DATIM)]],"[Measures].[MMS_63+]")</f>
        <v>35</v>
      </c>
      <c r="AP244" s="67" vm="6085">
        <f>CUBEVALUE(ConnectionString,ReportMonth,Table1[[#This Row],[Site ID (from DATIM)]],"[Measures].[TBPREV_D]")</f>
        <v>2</v>
      </c>
      <c r="AQ244" s="67" vm="6019">
        <f>CUBEVALUE(ConnectionString,ReportMonth,Table1[[#This Row],[Site ID (from DATIM)]],"[Measures].[TBPREV_N]")</f>
        <v>2</v>
      </c>
      <c r="AR244" s="67" t="str" vm="6994">
        <f>CUBEVALUE(ConnectionString,ReportMonth,Table1[[#This Row],[Site ID (from DATIM)]],"[Measures].[TBPREV_NEW]")</f>
        <v/>
      </c>
      <c r="AS244" s="67" vm="11573">
        <f>CUBEVALUE(ConnectionString,ReportMonth,Table1[[#This Row],[Site ID (from DATIM)]],"[Measures].[HVL_ELIG_P]")</f>
        <v>4</v>
      </c>
      <c r="AT244" s="67" vm="13444">
        <f>CUBEVALUE(ConnectionString,ReportMonth,Table1[[#This Row],[Site ID (from DATIM)]],"[Measures].[HVL_D_P]")</f>
        <v>3</v>
      </c>
      <c r="AU244" s="67" vm="6792">
        <f>CUBEVALUE(ConnectionString,ReportMonth,Table1[[#This Row],[Site ID (from DATIM)]],"[Measures].[HVL_N_P]")</f>
        <v>3</v>
      </c>
      <c r="AV244" s="68" vm="7942">
        <f>CUBEVALUE(ConnectionString,ReportMonth,Table1[[#This Row],[Site ID (from DATIM)]],"[Measures].[HVL_ELIG_A]")</f>
        <v>61</v>
      </c>
      <c r="AW244" s="68" vm="8967">
        <f>CUBEVALUE(ConnectionString,ReportMonth,Table1[[#This Row],[Site ID (from DATIM)]],"[Measures].[HVL_D_A]")</f>
        <v>12</v>
      </c>
      <c r="AX244" s="68" vm="10796">
        <f>CUBEVALUE(ConnectionString,ReportMonth,Table1[[#This Row],[Site ID (from DATIM)]],"[Measures].[HVL_N_A]")</f>
        <v>12</v>
      </c>
      <c r="AY244" s="67"/>
      <c r="AZ244" s="67"/>
      <c r="BA244" s="67"/>
      <c r="BB244" s="67"/>
      <c r="BC244" s="67"/>
      <c r="BD244" s="67"/>
      <c r="BE244" s="67"/>
      <c r="BF244" s="67"/>
      <c r="BG244" s="67" t="str" vm="13293">
        <f>CUBEVALUE(ConnectionString,ReportMonth,Table1[[#This Row],[Site ID (from DATIM)]],"[Measures].[TX_NEW_F_A]")</f>
        <v/>
      </c>
      <c r="BH244" s="67" t="str" vm="10919">
        <f>CUBEVALUE(ConnectionString,ReportMonth,Table1[[#This Row],[Site ID (from DATIM)]],"[Measures].[TX_NEW_M_A]")</f>
        <v/>
      </c>
      <c r="BI244" s="67" t="str" vm="13013">
        <f>CUBEVALUE(ConnectionString,ReportMonth,Table1[[#This Row],[Site ID (from DATIM)]],"[Measures].[TX_NEW_F_P]")</f>
        <v/>
      </c>
      <c r="BJ244" s="68" t="str" vm="14301">
        <f>CUBEVALUE(ConnectionString,ReportMonth,Table1[[#This Row],[Site ID (from DATIM)]],"[Measures].[TX_NEW_M_P]")</f>
        <v/>
      </c>
      <c r="BK244" s="68"/>
      <c r="BL244" s="68"/>
      <c r="BM244" s="68"/>
      <c r="BN244" s="68"/>
      <c r="BO244" s="68"/>
      <c r="BP244" s="68"/>
      <c r="BQ244" s="68" vm="9448">
        <f>CUBEVALUE(ConnectionString,ReportMonth,Table1[[#This Row],[Site ID (from DATIM)]],"[Measures].[TX_CURR_F_P]")</f>
        <v>2</v>
      </c>
      <c r="BR244" s="68" vm="11554">
        <f>CUBEVALUE(ConnectionString,ReportMonth,Table1[[#This Row],[Site ID (from DATIM)]],"[Measures].[TX_CURR_M_P]")</f>
        <v>2</v>
      </c>
      <c r="BS244" s="68" vm="10536">
        <f>CUBEVALUE(ConnectionString,ReportMonth,Table1[[#This Row],[Site ID (from DATIM)]],"[Measures].[TX_CURR_F_A]")</f>
        <v>63</v>
      </c>
      <c r="BT244" s="68" vm="7712">
        <f>CUBEVALUE(ConnectionString,ReportMonth,Table1[[#This Row],[Site ID (from DATIM)]],"[Measures].[TX_CURR_M_A]")</f>
        <v>23</v>
      </c>
      <c r="BU244" s="68" vm="19764">
        <f>CUBEVALUE(ConnectionString,ReportMonth,Table1[[#This Row],[Site ID (from DATIM)]],"[Measures].[MMS_01_89_F_P]")</f>
        <v>2</v>
      </c>
      <c r="BV244" s="68" vm="19382">
        <f>CUBEVALUE(ConnectionString,ReportMonth,Table1[[#This Row],[Site ID (from DATIM)]],"[Measures].[MMS_01_89_M_P]")</f>
        <v>2</v>
      </c>
      <c r="BW244" s="68" vm="19159">
        <f>CUBEVALUE(ConnectionString,ReportMonth,Table1[[#This Row],[Site ID (from DATIM)]],"[Measures].[MMS_01_89_F_A]")</f>
        <v>34</v>
      </c>
      <c r="BX244" s="68" vm="16120">
        <f>CUBEVALUE(ConnectionString,ReportMonth,Table1[[#This Row],[Site ID (from DATIM)]],"[Measures].[MMS_01_89_M_A]")</f>
        <v>17</v>
      </c>
      <c r="BY244" s="68" t="str" vm="19086">
        <f>CUBEVALUE(ConnectionString,ReportMonth,Table1[[#This Row],[Site ID (from DATIM)]],"[Measures].[MMS_90_179_F_P]")</f>
        <v/>
      </c>
      <c r="BZ244" s="68" t="str" vm="14742">
        <f>CUBEVALUE(ConnectionString,ReportMonth,Table1[[#This Row],[Site ID (from DATIM)]],"[Measures].[MMS_90_179_M_P]")</f>
        <v/>
      </c>
      <c r="CA244" s="68" vm="14683">
        <f>CUBEVALUE(ConnectionString,ReportMonth,Table1[[#This Row],[Site ID (from DATIM)]],"[Measures].[MMS_90_179_F_A]")</f>
        <v>29</v>
      </c>
      <c r="CB244" s="68" vm="18443">
        <f>CUBEVALUE(ConnectionString,ReportMonth,Table1[[#This Row],[Site ID (from DATIM)]],"[Measures].[MMS_90_179_M_A]")</f>
        <v>6</v>
      </c>
      <c r="CC244" s="68" t="str" vm="15446">
        <f>CUBEVALUE(ConnectionString,ReportMonth,Table1[[#This Row],[Site ID (from DATIM)]],"[Measures].[MMS_180+_F_P]")</f>
        <v/>
      </c>
      <c r="CD244" s="68" t="str" vm="16727">
        <f>CUBEVALUE(ConnectionString,ReportMonth,Table1[[#This Row],[Site ID (from DATIM)]],"[Measures].[MMS_180+_M_P]")</f>
        <v/>
      </c>
      <c r="CE244" s="68" t="str" vm="14">
        <f>CUBEVALUE(ConnectionString,ReportMonth,Table1[[#This Row],[Site ID (from DATIM)]],"[Measures].[MMS_180+_F_A]")</f>
        <v/>
      </c>
      <c r="CF244" s="68" t="str" vm="93">
        <f>CUBEVALUE(ConnectionString,ReportMonth,Table1[[#This Row],[Site ID (from DATIM)]],"[Measures].[MMS_180+_M_A]")</f>
        <v/>
      </c>
      <c r="CG244" s="68" vm="9462">
        <f>CUBEVALUE(ConnectionString,ReportMonth,Table1[[#This Row],[Site ID (from DATIM)]],"[Measures].[MISSEDAPP]")</f>
        <v>6</v>
      </c>
      <c r="CH244" s="68" t="str" vm="12893">
        <f>CUBEVALUE(ConnectionString,ReportMonth,Table1[[#This Row],[Site ID (from DATIM)]],"[Measures].[MMS_180+_P]")</f>
        <v/>
      </c>
      <c r="CI244" s="68" t="str" vm="11395">
        <f>CUBEVALUE(ConnectionString,ReportMonth,Table1[[#This Row],[Site ID (from DATIM)]],"[Measures].[MMS_180+_A]")</f>
        <v/>
      </c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  <c r="CW244" s="68"/>
      <c r="CX244" s="68"/>
      <c r="CY244" s="68"/>
      <c r="CZ244" s="68"/>
      <c r="DA244" s="68"/>
      <c r="DB244" s="68"/>
      <c r="DC244" s="68"/>
    </row>
    <row r="245" spans="1:107" x14ac:dyDescent="0.25">
      <c r="A245" s="66">
        <v>3</v>
      </c>
      <c r="B245" s="67" t="str" vm="4">
        <f t="shared" si="4"/>
        <v>Mar-2021</v>
      </c>
      <c r="C245" s="67"/>
      <c r="D245" s="67" t="s">
        <v>232</v>
      </c>
      <c r="E245" s="67" t="s">
        <v>233</v>
      </c>
      <c r="F245" s="67" t="s">
        <v>234</v>
      </c>
      <c r="G245" s="67"/>
      <c r="H245" s="67" t="s">
        <v>256</v>
      </c>
      <c r="I245" s="67" t="s">
        <v>335</v>
      </c>
      <c r="J245" s="67" t="s">
        <v>336</v>
      </c>
      <c r="K245" s="67" t="s">
        <v>337</v>
      </c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 t="str" vm="3181">
        <f>CUBEVALUE(ConnectionString,ReportMonth,Table1[[#This Row],[Site ID (from DATIM)]],"TX_NEW_2VIS")</f>
        <v/>
      </c>
      <c r="AE245" s="67" t="str" vm="2383">
        <f>CUBEVALUE(ConnectionString,ReportMonth,Table1[[#This Row],[Site ID (from DATIM)]],INDEX(SDI_Measures,1))</f>
        <v/>
      </c>
      <c r="AF245" s="67" t="str" vm="4479">
        <f>CUBEVALUE(ConnectionString,ReportMonth,Table1[[#This Row],[Site ID (from DATIM)]],INDEX(SDI_Measures,2))</f>
        <v/>
      </c>
      <c r="AG245" s="67" t="str" vm="2816">
        <f>CUBEVALUE(ConnectionString,ReportMonth,Table1[[#This Row],[Site ID (from DATIM)]],INDEX(SDI_Measures,3))</f>
        <v/>
      </c>
      <c r="AH245" s="67" t="str" vm="2928">
        <f>CUBEVALUE(ConnectionString,ReportMonth,Table1[[#This Row],[Site ID (from DATIM)]],"TX_CURR_PRIOR_MONTH")</f>
        <v/>
      </c>
      <c r="AI245" s="67" t="str" vm="1580">
        <f>CUBEVALUE(ConnectionString,ReportMonth,Table1[[#This Row],[Site ID (from DATIM)]],"TX_CURR")</f>
        <v/>
      </c>
      <c r="AJ245" s="67" t="str" vm="848">
        <f>CUBEVALUE(ConnectionString,ReportMonth,Table1[[#This Row],[Site ID (from DATIM)]],"[Measures].[TI]")</f>
        <v/>
      </c>
      <c r="AK245" s="67" t="str" vm="4496">
        <f>CUBEVALUE(ConnectionString,ReportMonth,Table1[[#This Row],[Site ID (from DATIM)]],"[Measures].[TO]")</f>
        <v/>
      </c>
      <c r="AL245" s="67" t="str" vm="2949">
        <f>CUBEVALUE(ConnectionString,ReportMonth,Table1[[#This Row],[Site ID (from DATIM)]],"[Measures].[DIED]")</f>
        <v/>
      </c>
      <c r="AM245" s="67" t="str" vm="4077">
        <f>CUBEVALUE(ConnectionString,ReportMonth,Table1[[#This Row],[Site ID (from DATIM)]],"[Measures].[MMS_01_31]")</f>
        <v/>
      </c>
      <c r="AN245" s="67" t="str" vm="4315">
        <f>CUBEVALUE(ConnectionString,ReportMonth,Table1[[#This Row],[Site ID (from DATIM)]],"[Measures].[MMS_32_62]")</f>
        <v/>
      </c>
      <c r="AO245" s="67" t="str" vm="9257">
        <f>CUBEVALUE(ConnectionString,ReportMonth,Table1[[#This Row],[Site ID (from DATIM)]],"[Measures].[MMS_63+]")</f>
        <v/>
      </c>
      <c r="AP245" s="67" t="str" vm="5468">
        <f>CUBEVALUE(ConnectionString,ReportMonth,Table1[[#This Row],[Site ID (from DATIM)]],"[Measures].[TBPREV_D]")</f>
        <v/>
      </c>
      <c r="AQ245" s="67" t="str" vm="4178">
        <f>CUBEVALUE(ConnectionString,ReportMonth,Table1[[#This Row],[Site ID (from DATIM)]],"[Measures].[TBPREV_N]")</f>
        <v/>
      </c>
      <c r="AR245" s="67" t="str" vm="6852">
        <f>CUBEVALUE(ConnectionString,ReportMonth,Table1[[#This Row],[Site ID (from DATIM)]],"[Measures].[TBPREV_NEW]")</f>
        <v/>
      </c>
      <c r="AS245" s="67" t="str" vm="5402">
        <f>CUBEVALUE(ConnectionString,ReportMonth,Table1[[#This Row],[Site ID (from DATIM)]],"[Measures].[HVL_ELIG_P]")</f>
        <v/>
      </c>
      <c r="AT245" s="67" t="str" vm="4684">
        <f>CUBEVALUE(ConnectionString,ReportMonth,Table1[[#This Row],[Site ID (from DATIM)]],"[Measures].[HVL_D_P]")</f>
        <v/>
      </c>
      <c r="AU245" s="67" t="str" vm="6806">
        <f>CUBEVALUE(ConnectionString,ReportMonth,Table1[[#This Row],[Site ID (from DATIM)]],"[Measures].[HVL_N_P]")</f>
        <v/>
      </c>
      <c r="AV245" s="68" t="str" vm="8691">
        <f>CUBEVALUE(ConnectionString,ReportMonth,Table1[[#This Row],[Site ID (from DATIM)]],"[Measures].[HVL_ELIG_A]")</f>
        <v/>
      </c>
      <c r="AW245" s="68" t="str" vm="9237">
        <f>CUBEVALUE(ConnectionString,ReportMonth,Table1[[#This Row],[Site ID (from DATIM)]],"[Measures].[HVL_D_A]")</f>
        <v/>
      </c>
      <c r="AX245" s="68" t="str" vm="7278">
        <f>CUBEVALUE(ConnectionString,ReportMonth,Table1[[#This Row],[Site ID (from DATIM)]],"[Measures].[HVL_N_A]")</f>
        <v/>
      </c>
      <c r="AY245" s="67"/>
      <c r="AZ245" s="67"/>
      <c r="BA245" s="67"/>
      <c r="BB245" s="67"/>
      <c r="BC245" s="67"/>
      <c r="BD245" s="67"/>
      <c r="BE245" s="67"/>
      <c r="BF245" s="67"/>
      <c r="BG245" s="67" t="str" vm="10421">
        <f>CUBEVALUE(ConnectionString,ReportMonth,Table1[[#This Row],[Site ID (from DATIM)]],"[Measures].[TX_NEW_F_A]")</f>
        <v/>
      </c>
      <c r="BH245" s="67" t="str" vm="11425">
        <f>CUBEVALUE(ConnectionString,ReportMonth,Table1[[#This Row],[Site ID (from DATIM)]],"[Measures].[TX_NEW_M_A]")</f>
        <v/>
      </c>
      <c r="BI245" s="67" t="str" vm="12959">
        <f>CUBEVALUE(ConnectionString,ReportMonth,Table1[[#This Row],[Site ID (from DATIM)]],"[Measures].[TX_NEW_F_P]")</f>
        <v/>
      </c>
      <c r="BJ245" s="68" t="str" vm="12129">
        <f>CUBEVALUE(ConnectionString,ReportMonth,Table1[[#This Row],[Site ID (from DATIM)]],"[Measures].[TX_NEW_M_P]")</f>
        <v/>
      </c>
      <c r="BK245" s="68"/>
      <c r="BL245" s="68"/>
      <c r="BM245" s="68"/>
      <c r="BN245" s="68"/>
      <c r="BO245" s="68"/>
      <c r="BP245" s="68"/>
      <c r="BQ245" s="68" t="str" vm="12973">
        <f>CUBEVALUE(ConnectionString,ReportMonth,Table1[[#This Row],[Site ID (from DATIM)]],"[Measures].[TX_CURR_F_P]")</f>
        <v/>
      </c>
      <c r="BR245" s="68" t="str" vm="9850">
        <f>CUBEVALUE(ConnectionString,ReportMonth,Table1[[#This Row],[Site ID (from DATIM)]],"[Measures].[TX_CURR_M_P]")</f>
        <v/>
      </c>
      <c r="BS245" s="68" t="str" vm="9691">
        <f>CUBEVALUE(ConnectionString,ReportMonth,Table1[[#This Row],[Site ID (from DATIM)]],"[Measures].[TX_CURR_F_A]")</f>
        <v/>
      </c>
      <c r="BT245" s="68" t="str" vm="10230">
        <f>CUBEVALUE(ConnectionString,ReportMonth,Table1[[#This Row],[Site ID (from DATIM)]],"[Measures].[TX_CURR_M_A]")</f>
        <v/>
      </c>
      <c r="BU245" s="68" t="str" vm="20066">
        <f>CUBEVALUE(ConnectionString,ReportMonth,Table1[[#This Row],[Site ID (from DATIM)]],"[Measures].[MMS_01_89_F_P]")</f>
        <v/>
      </c>
      <c r="BV245" s="68" t="str" vm="18498">
        <f>CUBEVALUE(ConnectionString,ReportMonth,Table1[[#This Row],[Site ID (from DATIM)]],"[Measures].[MMS_01_89_M_P]")</f>
        <v/>
      </c>
      <c r="BW245" s="68" t="str" vm="18317">
        <f>CUBEVALUE(ConnectionString,ReportMonth,Table1[[#This Row],[Site ID (from DATIM)]],"[Measures].[MMS_01_89_F_A]")</f>
        <v/>
      </c>
      <c r="BX245" s="68" t="str" vm="17840">
        <f>CUBEVALUE(ConnectionString,ReportMonth,Table1[[#This Row],[Site ID (from DATIM)]],"[Measures].[MMS_01_89_M_A]")</f>
        <v/>
      </c>
      <c r="BY245" s="68" t="str" vm="18788">
        <f>CUBEVALUE(ConnectionString,ReportMonth,Table1[[#This Row],[Site ID (from DATIM)]],"[Measures].[MMS_90_179_F_P]")</f>
        <v/>
      </c>
      <c r="BZ245" s="68" t="str" vm="18798">
        <f>CUBEVALUE(ConnectionString,ReportMonth,Table1[[#This Row],[Site ID (from DATIM)]],"[Measures].[MMS_90_179_M_P]")</f>
        <v/>
      </c>
      <c r="CA245" s="68" t="str" vm="16442">
        <f>CUBEVALUE(ConnectionString,ReportMonth,Table1[[#This Row],[Site ID (from DATIM)]],"[Measures].[MMS_90_179_F_A]")</f>
        <v/>
      </c>
      <c r="CB245" s="68" t="str" vm="15173">
        <f>CUBEVALUE(ConnectionString,ReportMonth,Table1[[#This Row],[Site ID (from DATIM)]],"[Measures].[MMS_90_179_M_A]")</f>
        <v/>
      </c>
      <c r="CC245" s="68" t="str" vm="15429">
        <f>CUBEVALUE(ConnectionString,ReportMonth,Table1[[#This Row],[Site ID (from DATIM)]],"[Measures].[MMS_180+_F_P]")</f>
        <v/>
      </c>
      <c r="CD245" s="68" t="str" vm="14995">
        <f>CUBEVALUE(ConnectionString,ReportMonth,Table1[[#This Row],[Site ID (from DATIM)]],"[Measures].[MMS_180+_M_P]")</f>
        <v/>
      </c>
      <c r="CE245" s="68" t="str" vm="129">
        <f>CUBEVALUE(ConnectionString,ReportMonth,Table1[[#This Row],[Site ID (from DATIM)]],"[Measures].[MMS_180+_F_A]")</f>
        <v/>
      </c>
      <c r="CF245" s="68" t="str" vm="1023">
        <f>CUBEVALUE(ConnectionString,ReportMonth,Table1[[#This Row],[Site ID (from DATIM)]],"[Measures].[MMS_180+_M_A]")</f>
        <v/>
      </c>
      <c r="CG245" s="68" t="str" vm="5364">
        <f>CUBEVALUE(ConnectionString,ReportMonth,Table1[[#This Row],[Site ID (from DATIM)]],"[Measures].[MISSEDAPP]")</f>
        <v/>
      </c>
      <c r="CH245" s="68" t="str" vm="12743">
        <f>CUBEVALUE(ConnectionString,ReportMonth,Table1[[#This Row],[Site ID (from DATIM)]],"[Measures].[MMS_180+_P]")</f>
        <v/>
      </c>
      <c r="CI245" s="68" t="str" vm="12688">
        <f>CUBEVALUE(ConnectionString,ReportMonth,Table1[[#This Row],[Site ID (from DATIM)]],"[Measures].[MMS_180+_A]")</f>
        <v/>
      </c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  <c r="CW245" s="68"/>
      <c r="CX245" s="68"/>
      <c r="CY245" s="68"/>
      <c r="CZ245" s="68"/>
      <c r="DA245" s="68"/>
      <c r="DB245" s="68"/>
      <c r="DC245" s="68"/>
    </row>
    <row r="246" spans="1:107" x14ac:dyDescent="0.25">
      <c r="A246" s="66">
        <v>3</v>
      </c>
      <c r="B246" s="67" t="str" vm="4">
        <f t="shared" si="4"/>
        <v>Mar-2021</v>
      </c>
      <c r="C246" s="67"/>
      <c r="D246" s="67" t="s">
        <v>232</v>
      </c>
      <c r="E246" s="67" t="s">
        <v>233</v>
      </c>
      <c r="F246" s="67" t="s">
        <v>1083</v>
      </c>
      <c r="G246" s="67"/>
      <c r="H246" s="67" t="s">
        <v>1088</v>
      </c>
      <c r="I246" s="67" t="s">
        <v>1089</v>
      </c>
      <c r="J246" s="67" t="s">
        <v>1218</v>
      </c>
      <c r="K246" s="67" t="s">
        <v>1219</v>
      </c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 vm="2120">
        <f>CUBEVALUE(ConnectionString,ReportMonth,Table1[[#This Row],[Site ID (from DATIM)]],"TX_NEW_2VIS")</f>
        <v>3</v>
      </c>
      <c r="AE246" s="67" vm="400">
        <f>CUBEVALUE(ConnectionString,ReportMonth,Table1[[#This Row],[Site ID (from DATIM)]],INDEX(SDI_Measures,1))</f>
        <v>5</v>
      </c>
      <c r="AF246" s="67" t="str" vm="3906">
        <f>CUBEVALUE(ConnectionString,ReportMonth,Table1[[#This Row],[Site ID (from DATIM)]],INDEX(SDI_Measures,2))</f>
        <v/>
      </c>
      <c r="AG246" s="67" t="str" vm="1264">
        <f>CUBEVALUE(ConnectionString,ReportMonth,Table1[[#This Row],[Site ID (from DATIM)]],INDEX(SDI_Measures,3))</f>
        <v/>
      </c>
      <c r="AH246" s="67" vm="2177">
        <f>CUBEVALUE(ConnectionString,ReportMonth,Table1[[#This Row],[Site ID (from DATIM)]],"TX_CURR_PRIOR_MONTH")</f>
        <v>243</v>
      </c>
      <c r="AI246" s="67" vm="2115">
        <f>CUBEVALUE(ConnectionString,ReportMonth,Table1[[#This Row],[Site ID (from DATIM)]],"TX_CURR")</f>
        <v>244</v>
      </c>
      <c r="AJ246" s="67" vm="1468">
        <f>CUBEVALUE(ConnectionString,ReportMonth,Table1[[#This Row],[Site ID (from DATIM)]],"[Measures].[TI]")</f>
        <v>1</v>
      </c>
      <c r="AK246" s="67" vm="2548">
        <f>CUBEVALUE(ConnectionString,ReportMonth,Table1[[#This Row],[Site ID (from DATIM)]],"[Measures].[TO]")</f>
        <v>1</v>
      </c>
      <c r="AL246" s="67" t="str" vm="2269">
        <f>CUBEVALUE(ConnectionString,ReportMonth,Table1[[#This Row],[Site ID (from DATIM)]],"[Measures].[DIED]")</f>
        <v/>
      </c>
      <c r="AM246" s="67" vm="4265">
        <f>CUBEVALUE(ConnectionString,ReportMonth,Table1[[#This Row],[Site ID (from DATIM)]],"[Measures].[MMS_01_31]")</f>
        <v>69</v>
      </c>
      <c r="AN246" s="67" vm="6643">
        <f>CUBEVALUE(ConnectionString,ReportMonth,Table1[[#This Row],[Site ID (from DATIM)]],"[Measures].[MMS_32_62]")</f>
        <v>10</v>
      </c>
      <c r="AO246" s="67" vm="7817">
        <f>CUBEVALUE(ConnectionString,ReportMonth,Table1[[#This Row],[Site ID (from DATIM)]],"[Measures].[MMS_63+]")</f>
        <v>165</v>
      </c>
      <c r="AP246" s="67" vm="7759">
        <f>CUBEVALUE(ConnectionString,ReportMonth,Table1[[#This Row],[Site ID (from DATIM)]],"[Measures].[TBPREV_D]")</f>
        <v>15</v>
      </c>
      <c r="AQ246" s="67" vm="10029">
        <f>CUBEVALUE(ConnectionString,ReportMonth,Table1[[#This Row],[Site ID (from DATIM)]],"[Measures].[TBPREV_N]")</f>
        <v>15</v>
      </c>
      <c r="AR246" s="67" vm="6433">
        <f>CUBEVALUE(ConnectionString,ReportMonth,Table1[[#This Row],[Site ID (from DATIM)]],"[Measures].[TBPREV_NEW]")</f>
        <v>6</v>
      </c>
      <c r="AS246" s="67" vm="8205">
        <f>CUBEVALUE(ConnectionString,ReportMonth,Table1[[#This Row],[Site ID (from DATIM)]],"[Measures].[HVL_ELIG_P]")</f>
        <v>10</v>
      </c>
      <c r="AT246" s="67" vm="9299">
        <f>CUBEVALUE(ConnectionString,ReportMonth,Table1[[#This Row],[Site ID (from DATIM)]],"[Measures].[HVL_D_P]")</f>
        <v>6</v>
      </c>
      <c r="AU246" s="67" vm="6829">
        <f>CUBEVALUE(ConnectionString,ReportMonth,Table1[[#This Row],[Site ID (from DATIM)]],"[Measures].[HVL_N_P]")</f>
        <v>5</v>
      </c>
      <c r="AV246" s="68" vm="11298">
        <f>CUBEVALUE(ConnectionString,ReportMonth,Table1[[#This Row],[Site ID (from DATIM)]],"[Measures].[HVL_ELIG_A]")</f>
        <v>213</v>
      </c>
      <c r="AW246" s="68" vm="8571">
        <f>CUBEVALUE(ConnectionString,ReportMonth,Table1[[#This Row],[Site ID (from DATIM)]],"[Measures].[HVL_D_A]")</f>
        <v>158</v>
      </c>
      <c r="AX246" s="68" vm="7491">
        <f>CUBEVALUE(ConnectionString,ReportMonth,Table1[[#This Row],[Site ID (from DATIM)]],"[Measures].[HVL_N_A]")</f>
        <v>150</v>
      </c>
      <c r="AY246" s="67"/>
      <c r="AZ246" s="67"/>
      <c r="BA246" s="67"/>
      <c r="BB246" s="67"/>
      <c r="BC246" s="67"/>
      <c r="BD246" s="67"/>
      <c r="BE246" s="67"/>
      <c r="BF246" s="67"/>
      <c r="BG246" s="67" vm="11005">
        <f>CUBEVALUE(ConnectionString,ReportMonth,Table1[[#This Row],[Site ID (from DATIM)]],"[Measures].[TX_NEW_F_A]")</f>
        <v>3</v>
      </c>
      <c r="BH246" s="67" vm="17067">
        <f>CUBEVALUE(ConnectionString,ReportMonth,Table1[[#This Row],[Site ID (from DATIM)]],"[Measures].[TX_NEW_M_A]")</f>
        <v>2</v>
      </c>
      <c r="BI246" s="67" t="str" vm="13421">
        <f>CUBEVALUE(ConnectionString,ReportMonth,Table1[[#This Row],[Site ID (from DATIM)]],"[Measures].[TX_NEW_F_P]")</f>
        <v/>
      </c>
      <c r="BJ246" s="68" t="str" vm="13975">
        <f>CUBEVALUE(ConnectionString,ReportMonth,Table1[[#This Row],[Site ID (from DATIM)]],"[Measures].[TX_NEW_M_P]")</f>
        <v/>
      </c>
      <c r="BK246" s="68"/>
      <c r="BL246" s="68"/>
      <c r="BM246" s="68"/>
      <c r="BN246" s="68"/>
      <c r="BO246" s="68"/>
      <c r="BP246" s="68"/>
      <c r="BQ246" s="68" vm="13040">
        <f>CUBEVALUE(ConnectionString,ReportMonth,Table1[[#This Row],[Site ID (from DATIM)]],"[Measures].[TX_CURR_F_P]")</f>
        <v>4</v>
      </c>
      <c r="BR246" s="68" vm="9367">
        <f>CUBEVALUE(ConnectionString,ReportMonth,Table1[[#This Row],[Site ID (from DATIM)]],"[Measures].[TX_CURR_M_P]")</f>
        <v>6</v>
      </c>
      <c r="BS246" s="68" vm="6826">
        <f>CUBEVALUE(ConnectionString,ReportMonth,Table1[[#This Row],[Site ID (from DATIM)]],"[Measures].[TX_CURR_F_A]")</f>
        <v>164</v>
      </c>
      <c r="BT246" s="68" vm="12542">
        <f>CUBEVALUE(ConnectionString,ReportMonth,Table1[[#This Row],[Site ID (from DATIM)]],"[Measures].[TX_CURR_M_A]")</f>
        <v>70</v>
      </c>
      <c r="BU246" s="68" vm="19822">
        <f>CUBEVALUE(ConnectionString,ReportMonth,Table1[[#This Row],[Site ID (from DATIM)]],"[Measures].[MMS_01_89_F_P]")</f>
        <v>3</v>
      </c>
      <c r="BV246" s="68" vm="18059">
        <f>CUBEVALUE(ConnectionString,ReportMonth,Table1[[#This Row],[Site ID (from DATIM)]],"[Measures].[MMS_01_89_M_P]")</f>
        <v>4</v>
      </c>
      <c r="BW246" s="68" vm="16887">
        <f>CUBEVALUE(ConnectionString,ReportMonth,Table1[[#This Row],[Site ID (from DATIM)]],"[Measures].[MMS_01_89_F_A]")</f>
        <v>49</v>
      </c>
      <c r="BX246" s="68" vm="18300">
        <f>CUBEVALUE(ConnectionString,ReportMonth,Table1[[#This Row],[Site ID (from DATIM)]],"[Measures].[MMS_01_89_M_A]")</f>
        <v>23</v>
      </c>
      <c r="BY246" s="68" vm="18869">
        <f>CUBEVALUE(ConnectionString,ReportMonth,Table1[[#This Row],[Site ID (from DATIM)]],"[Measures].[MMS_90_179_F_P]")</f>
        <v>1</v>
      </c>
      <c r="BZ246" s="68" vm="19062">
        <f>CUBEVALUE(ConnectionString,ReportMonth,Table1[[#This Row],[Site ID (from DATIM)]],"[Measures].[MMS_90_179_M_P]")</f>
        <v>2</v>
      </c>
      <c r="CA246" s="68" vm="17709">
        <f>CUBEVALUE(ConnectionString,ReportMonth,Table1[[#This Row],[Site ID (from DATIM)]],"[Measures].[MMS_90_179_F_A]")</f>
        <v>115</v>
      </c>
      <c r="CB246" s="68" vm="17292">
        <f>CUBEVALUE(ConnectionString,ReportMonth,Table1[[#This Row],[Site ID (from DATIM)]],"[Measures].[MMS_90_179_M_A]")</f>
        <v>47</v>
      </c>
      <c r="CC246" s="68" t="str" vm="15849">
        <f>CUBEVALUE(ConnectionString,ReportMonth,Table1[[#This Row],[Site ID (from DATIM)]],"[Measures].[MMS_180+_F_P]")</f>
        <v/>
      </c>
      <c r="CD246" s="68" t="str" vm="14493">
        <f>CUBEVALUE(ConnectionString,ReportMonth,Table1[[#This Row],[Site ID (from DATIM)]],"[Measures].[MMS_180+_M_P]")</f>
        <v/>
      </c>
      <c r="CE246" s="68" t="str" vm="14908">
        <f>CUBEVALUE(ConnectionString,ReportMonth,Table1[[#This Row],[Site ID (from DATIM)]],"[Measures].[MMS_180+_F_A]")</f>
        <v/>
      </c>
      <c r="CF246" s="68" t="str" vm="82">
        <f>CUBEVALUE(ConnectionString,ReportMonth,Table1[[#This Row],[Site ID (from DATIM)]],"[Measures].[MMS_180+_M_A]")</f>
        <v/>
      </c>
      <c r="CG246" s="68" vm="5004">
        <f>CUBEVALUE(ConnectionString,ReportMonth,Table1[[#This Row],[Site ID (from DATIM)]],"[Measures].[MISSEDAPP]")</f>
        <v>48</v>
      </c>
      <c r="CH246" s="68" t="str" vm="12571">
        <f>CUBEVALUE(ConnectionString,ReportMonth,Table1[[#This Row],[Site ID (from DATIM)]],"[Measures].[MMS_180+_P]")</f>
        <v/>
      </c>
      <c r="CI246" s="68" t="str" vm="11167">
        <f>CUBEVALUE(ConnectionString,ReportMonth,Table1[[#This Row],[Site ID (from DATIM)]],"[Measures].[MMS_180+_A]")</f>
        <v/>
      </c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  <c r="CW246" s="68"/>
      <c r="CX246" s="68"/>
      <c r="CY246" s="68"/>
      <c r="CZ246" s="68"/>
      <c r="DA246" s="68"/>
      <c r="DB246" s="68"/>
      <c r="DC246" s="68"/>
    </row>
    <row r="247" spans="1:107" x14ac:dyDescent="0.25">
      <c r="A247" s="66">
        <v>1</v>
      </c>
      <c r="B247" s="67" t="str" vm="4">
        <f t="shared" si="4"/>
        <v>Mar-2021</v>
      </c>
      <c r="C247" s="67"/>
      <c r="D247" s="67" t="s">
        <v>232</v>
      </c>
      <c r="E247" s="67" t="s">
        <v>233</v>
      </c>
      <c r="F247" s="67" t="s">
        <v>1286</v>
      </c>
      <c r="G247" s="67"/>
      <c r="H247" s="67" t="s">
        <v>1291</v>
      </c>
      <c r="I247" s="67" t="s">
        <v>1411</v>
      </c>
      <c r="J247" s="67" t="s">
        <v>1412</v>
      </c>
      <c r="K247" s="67" t="s">
        <v>1413</v>
      </c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 t="str" vm="3490">
        <f>CUBEVALUE(ConnectionString,ReportMonth,Table1[[#This Row],[Site ID (from DATIM)]],"TX_NEW_2VIS")</f>
        <v/>
      </c>
      <c r="AE247" s="67" t="str" vm="3846">
        <f>CUBEVALUE(ConnectionString,ReportMonth,Table1[[#This Row],[Site ID (from DATIM)]],INDEX(SDI_Measures,1))</f>
        <v/>
      </c>
      <c r="AF247" s="67" t="str" vm="1355">
        <f>CUBEVALUE(ConnectionString,ReportMonth,Table1[[#This Row],[Site ID (from DATIM)]],INDEX(SDI_Measures,2))</f>
        <v/>
      </c>
      <c r="AG247" s="67" t="str" vm="2974">
        <f>CUBEVALUE(ConnectionString,ReportMonth,Table1[[#This Row],[Site ID (from DATIM)]],INDEX(SDI_Measures,3))</f>
        <v/>
      </c>
      <c r="AH247" s="67" t="str" vm="2043">
        <f>CUBEVALUE(ConnectionString,ReportMonth,Table1[[#This Row],[Site ID (from DATIM)]],"TX_CURR_PRIOR_MONTH")</f>
        <v/>
      </c>
      <c r="AI247" s="67" t="str" vm="2436">
        <f>CUBEVALUE(ConnectionString,ReportMonth,Table1[[#This Row],[Site ID (from DATIM)]],"TX_CURR")</f>
        <v/>
      </c>
      <c r="AJ247" s="67" t="str" vm="2741">
        <f>CUBEVALUE(ConnectionString,ReportMonth,Table1[[#This Row],[Site ID (from DATIM)]],"[Measures].[TI]")</f>
        <v/>
      </c>
      <c r="AK247" s="67" t="str" vm="2220">
        <f>CUBEVALUE(ConnectionString,ReportMonth,Table1[[#This Row],[Site ID (from DATIM)]],"[Measures].[TO]")</f>
        <v/>
      </c>
      <c r="AL247" s="67" t="str" vm="2916">
        <f>CUBEVALUE(ConnectionString,ReportMonth,Table1[[#This Row],[Site ID (from DATIM)]],"[Measures].[DIED]")</f>
        <v/>
      </c>
      <c r="AM247" s="67" t="str" vm="8349">
        <f>CUBEVALUE(ConnectionString,ReportMonth,Table1[[#This Row],[Site ID (from DATIM)]],"[Measures].[MMS_01_31]")</f>
        <v/>
      </c>
      <c r="AN247" s="67" t="str" vm="5194">
        <f>CUBEVALUE(ConnectionString,ReportMonth,Table1[[#This Row],[Site ID (from DATIM)]],"[Measures].[MMS_32_62]")</f>
        <v/>
      </c>
      <c r="AO247" s="67" t="str" vm="9234">
        <f>CUBEVALUE(ConnectionString,ReportMonth,Table1[[#This Row],[Site ID (from DATIM)]],"[Measures].[MMS_63+]")</f>
        <v/>
      </c>
      <c r="AP247" s="67" t="str" vm="6242">
        <f>CUBEVALUE(ConnectionString,ReportMonth,Table1[[#This Row],[Site ID (from DATIM)]],"[Measures].[TBPREV_D]")</f>
        <v/>
      </c>
      <c r="AQ247" s="67" t="str" vm="5518">
        <f>CUBEVALUE(ConnectionString,ReportMonth,Table1[[#This Row],[Site ID (from DATIM)]],"[Measures].[TBPREV_N]")</f>
        <v/>
      </c>
      <c r="AR247" s="67" t="str" vm="5283">
        <f>CUBEVALUE(ConnectionString,ReportMonth,Table1[[#This Row],[Site ID (from DATIM)]],"[Measures].[TBPREV_NEW]")</f>
        <v/>
      </c>
      <c r="AS247" s="67" t="str" vm="8050">
        <f>CUBEVALUE(ConnectionString,ReportMonth,Table1[[#This Row],[Site ID (from DATIM)]],"[Measures].[HVL_ELIG_P]")</f>
        <v/>
      </c>
      <c r="AT247" s="67" t="str" vm="7893">
        <f>CUBEVALUE(ConnectionString,ReportMonth,Table1[[#This Row],[Site ID (from DATIM)]],"[Measures].[HVL_D_P]")</f>
        <v/>
      </c>
      <c r="AU247" s="67" t="str" vm="11776">
        <f>CUBEVALUE(ConnectionString,ReportMonth,Table1[[#This Row],[Site ID (from DATIM)]],"[Measures].[HVL_N_P]")</f>
        <v/>
      </c>
      <c r="AV247" s="68" t="str" vm="12714">
        <f>CUBEVALUE(ConnectionString,ReportMonth,Table1[[#This Row],[Site ID (from DATIM)]],"[Measures].[HVL_ELIG_A]")</f>
        <v/>
      </c>
      <c r="AW247" s="68" t="str" vm="12738">
        <f>CUBEVALUE(ConnectionString,ReportMonth,Table1[[#This Row],[Site ID (from DATIM)]],"[Measures].[HVL_D_A]")</f>
        <v/>
      </c>
      <c r="AX247" s="68" t="str" vm="12934">
        <f>CUBEVALUE(ConnectionString,ReportMonth,Table1[[#This Row],[Site ID (from DATIM)]],"[Measures].[HVL_N_A]")</f>
        <v/>
      </c>
      <c r="AY247" s="67"/>
      <c r="AZ247" s="67"/>
      <c r="BA247" s="67"/>
      <c r="BB247" s="67"/>
      <c r="BC247" s="67"/>
      <c r="BD247" s="67"/>
      <c r="BE247" s="67"/>
      <c r="BF247" s="67"/>
      <c r="BG247" s="67" t="str" vm="14228">
        <f>CUBEVALUE(ConnectionString,ReportMonth,Table1[[#This Row],[Site ID (from DATIM)]],"[Measures].[TX_NEW_F_A]")</f>
        <v/>
      </c>
      <c r="BH247" s="67" t="str" vm="17395">
        <f>CUBEVALUE(ConnectionString,ReportMonth,Table1[[#This Row],[Site ID (from DATIM)]],"[Measures].[TX_NEW_M_A]")</f>
        <v/>
      </c>
      <c r="BI247" s="67" t="str" vm="13733">
        <f>CUBEVALUE(ConnectionString,ReportMonth,Table1[[#This Row],[Site ID (from DATIM)]],"[Measures].[TX_NEW_F_P]")</f>
        <v/>
      </c>
      <c r="BJ247" s="68" t="str" vm="16563">
        <f>CUBEVALUE(ConnectionString,ReportMonth,Table1[[#This Row],[Site ID (from DATIM)]],"[Measures].[TX_NEW_M_P]")</f>
        <v/>
      </c>
      <c r="BK247" s="68"/>
      <c r="BL247" s="68"/>
      <c r="BM247" s="68"/>
      <c r="BN247" s="68"/>
      <c r="BO247" s="68"/>
      <c r="BP247" s="68"/>
      <c r="BQ247" s="68" t="str" vm="9184">
        <f>CUBEVALUE(ConnectionString,ReportMonth,Table1[[#This Row],[Site ID (from DATIM)]],"[Measures].[TX_CURR_F_P]")</f>
        <v/>
      </c>
      <c r="BR247" s="68" t="str" vm="10355">
        <f>CUBEVALUE(ConnectionString,ReportMonth,Table1[[#This Row],[Site ID (from DATIM)]],"[Measures].[TX_CURR_M_P]")</f>
        <v/>
      </c>
      <c r="BS247" s="68" t="str" vm="8745">
        <f>CUBEVALUE(ConnectionString,ReportMonth,Table1[[#This Row],[Site ID (from DATIM)]],"[Measures].[TX_CURR_F_A]")</f>
        <v/>
      </c>
      <c r="BT247" s="68" t="str" vm="6612">
        <f>CUBEVALUE(ConnectionString,ReportMonth,Table1[[#This Row],[Site ID (from DATIM)]],"[Measures].[TX_CURR_M_A]")</f>
        <v/>
      </c>
      <c r="BU247" s="68" t="str" vm="18083">
        <f>CUBEVALUE(ConnectionString,ReportMonth,Table1[[#This Row],[Site ID (from DATIM)]],"[Measures].[MMS_01_89_F_P]")</f>
        <v/>
      </c>
      <c r="BV247" s="68" t="str" vm="18436">
        <f>CUBEVALUE(ConnectionString,ReportMonth,Table1[[#This Row],[Site ID (from DATIM)]],"[Measures].[MMS_01_89_M_P]")</f>
        <v/>
      </c>
      <c r="BW247" s="68" t="str" vm="17961">
        <f>CUBEVALUE(ConnectionString,ReportMonth,Table1[[#This Row],[Site ID (from DATIM)]],"[Measures].[MMS_01_89_F_A]")</f>
        <v/>
      </c>
      <c r="BX247" s="68" t="str" vm="18038">
        <f>CUBEVALUE(ConnectionString,ReportMonth,Table1[[#This Row],[Site ID (from DATIM)]],"[Measures].[MMS_01_89_M_A]")</f>
        <v/>
      </c>
      <c r="BY247" s="68" t="str" vm="19617">
        <f>CUBEVALUE(ConnectionString,ReportMonth,Table1[[#This Row],[Site ID (from DATIM)]],"[Measures].[MMS_90_179_F_P]")</f>
        <v/>
      </c>
      <c r="BZ247" s="68" t="str" vm="19897">
        <f>CUBEVALUE(ConnectionString,ReportMonth,Table1[[#This Row],[Site ID (from DATIM)]],"[Measures].[MMS_90_179_M_P]")</f>
        <v/>
      </c>
      <c r="CA247" s="68" t="str" vm="16907">
        <f>CUBEVALUE(ConnectionString,ReportMonth,Table1[[#This Row],[Site ID (from DATIM)]],"[Measures].[MMS_90_179_F_A]")</f>
        <v/>
      </c>
      <c r="CB247" s="68" t="str" vm="16859">
        <f>CUBEVALUE(ConnectionString,ReportMonth,Table1[[#This Row],[Site ID (from DATIM)]],"[Measures].[MMS_90_179_M_A]")</f>
        <v/>
      </c>
      <c r="CC247" s="68" t="str" vm="15124">
        <f>CUBEVALUE(ConnectionString,ReportMonth,Table1[[#This Row],[Site ID (from DATIM)]],"[Measures].[MMS_180+_F_P]")</f>
        <v/>
      </c>
      <c r="CD247" s="68" t="str" vm="295">
        <f>CUBEVALUE(ConnectionString,ReportMonth,Table1[[#This Row],[Site ID (from DATIM)]],"[Measures].[MMS_180+_M_P]")</f>
        <v/>
      </c>
      <c r="CE247" s="68" t="str" vm="15367">
        <f>CUBEVALUE(ConnectionString,ReportMonth,Table1[[#This Row],[Site ID (from DATIM)]],"[Measures].[MMS_180+_F_A]")</f>
        <v/>
      </c>
      <c r="CF247" s="68" t="str" vm="15734">
        <f>CUBEVALUE(ConnectionString,ReportMonth,Table1[[#This Row],[Site ID (from DATIM)]],"[Measures].[MMS_180+_M_A]")</f>
        <v/>
      </c>
      <c r="CG247" s="68" t="str" vm="14802">
        <f>CUBEVALUE(ConnectionString,ReportMonth,Table1[[#This Row],[Site ID (from DATIM)]],"[Measures].[MISSEDAPP]")</f>
        <v/>
      </c>
      <c r="CH247" s="68" t="str" vm="16148">
        <f>CUBEVALUE(ConnectionString,ReportMonth,Table1[[#This Row],[Site ID (from DATIM)]],"[Measures].[MMS_180+_P]")</f>
        <v/>
      </c>
      <c r="CI247" s="68" t="str" vm="11509">
        <f>CUBEVALUE(ConnectionString,ReportMonth,Table1[[#This Row],[Site ID (from DATIM)]],"[Measures].[MMS_180+_A]")</f>
        <v/>
      </c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  <c r="CW247" s="68"/>
      <c r="CX247" s="68"/>
      <c r="CY247" s="68"/>
      <c r="CZ247" s="68"/>
      <c r="DA247" s="68"/>
      <c r="DB247" s="68"/>
      <c r="DC247" s="68"/>
    </row>
    <row r="248" spans="1:107" x14ac:dyDescent="0.25">
      <c r="A248" s="66">
        <v>4</v>
      </c>
      <c r="B248" s="67" t="str" vm="4">
        <f t="shared" si="4"/>
        <v>Mar-2021</v>
      </c>
      <c r="C248" s="67"/>
      <c r="D248" s="67" t="s">
        <v>232</v>
      </c>
      <c r="E248" s="67" t="s">
        <v>233</v>
      </c>
      <c r="F248" s="67" t="s">
        <v>831</v>
      </c>
      <c r="G248" s="67"/>
      <c r="H248" s="67" t="s">
        <v>840</v>
      </c>
      <c r="I248" s="67" t="s">
        <v>975</v>
      </c>
      <c r="J248" s="67" t="s">
        <v>976</v>
      </c>
      <c r="K248" s="67" t="s">
        <v>977</v>
      </c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 t="str" vm="3141">
        <f>CUBEVALUE(ConnectionString,ReportMonth,Table1[[#This Row],[Site ID (from DATIM)]],"TX_NEW_2VIS")</f>
        <v/>
      </c>
      <c r="AE248" s="67" t="str" vm="3569">
        <f>CUBEVALUE(ConnectionString,ReportMonth,Table1[[#This Row],[Site ID (from DATIM)]],INDEX(SDI_Measures,1))</f>
        <v/>
      </c>
      <c r="AF248" s="67" t="str" vm="1493">
        <f>CUBEVALUE(ConnectionString,ReportMonth,Table1[[#This Row],[Site ID (from DATIM)]],INDEX(SDI_Measures,2))</f>
        <v/>
      </c>
      <c r="AG248" s="67" t="str" vm="4359">
        <f>CUBEVALUE(ConnectionString,ReportMonth,Table1[[#This Row],[Site ID (from DATIM)]],INDEX(SDI_Measures,3))</f>
        <v/>
      </c>
      <c r="AH248" s="67" vm="4132">
        <f>CUBEVALUE(ConnectionString,ReportMonth,Table1[[#This Row],[Site ID (from DATIM)]],"TX_CURR_PRIOR_MONTH")</f>
        <v>40</v>
      </c>
      <c r="AI248" s="67" vm="500">
        <f>CUBEVALUE(ConnectionString,ReportMonth,Table1[[#This Row],[Site ID (from DATIM)]],"TX_CURR")</f>
        <v>39</v>
      </c>
      <c r="AJ248" s="67" t="str" vm="2725">
        <f>CUBEVALUE(ConnectionString,ReportMonth,Table1[[#This Row],[Site ID (from DATIM)]],"[Measures].[TI]")</f>
        <v/>
      </c>
      <c r="AK248" s="67" t="str" vm="3198">
        <f>CUBEVALUE(ConnectionString,ReportMonth,Table1[[#This Row],[Site ID (from DATIM)]],"[Measures].[TO]")</f>
        <v/>
      </c>
      <c r="AL248" s="67" t="str" vm="2812">
        <f>CUBEVALUE(ConnectionString,ReportMonth,Table1[[#This Row],[Site ID (from DATIM)]],"[Measures].[DIED]")</f>
        <v/>
      </c>
      <c r="AM248" s="67" vm="4591">
        <f>CUBEVALUE(ConnectionString,ReportMonth,Table1[[#This Row],[Site ID (from DATIM)]],"[Measures].[MMS_01_31]")</f>
        <v>38</v>
      </c>
      <c r="AN248" s="67" vm="4368">
        <f>CUBEVALUE(ConnectionString,ReportMonth,Table1[[#This Row],[Site ID (from DATIM)]],"[Measures].[MMS_32_62]")</f>
        <v>1</v>
      </c>
      <c r="AO248" s="67" t="str" vm="5760">
        <f>CUBEVALUE(ConnectionString,ReportMonth,Table1[[#This Row],[Site ID (from DATIM)]],"[Measures].[MMS_63+]")</f>
        <v/>
      </c>
      <c r="AP248" s="67" t="str" vm="5532">
        <f>CUBEVALUE(ConnectionString,ReportMonth,Table1[[#This Row],[Site ID (from DATIM)]],"[Measures].[TBPREV_D]")</f>
        <v/>
      </c>
      <c r="AQ248" s="67" t="str" vm="5047">
        <f>CUBEVALUE(ConnectionString,ReportMonth,Table1[[#This Row],[Site ID (from DATIM)]],"[Measures].[TBPREV_N]")</f>
        <v/>
      </c>
      <c r="AR248" s="67" t="str" vm="7556">
        <f>CUBEVALUE(ConnectionString,ReportMonth,Table1[[#This Row],[Site ID (from DATIM)]],"[Measures].[TBPREV_NEW]")</f>
        <v/>
      </c>
      <c r="AS248" s="67" t="str" vm="8177">
        <f>CUBEVALUE(ConnectionString,ReportMonth,Table1[[#This Row],[Site ID (from DATIM)]],"[Measures].[HVL_ELIG_P]")</f>
        <v/>
      </c>
      <c r="AT248" s="67" t="str" vm="9656">
        <f>CUBEVALUE(ConnectionString,ReportMonth,Table1[[#This Row],[Site ID (from DATIM)]],"[Measures].[HVL_D_P]")</f>
        <v/>
      </c>
      <c r="AU248" s="67" t="str" vm="11645">
        <f>CUBEVALUE(ConnectionString,ReportMonth,Table1[[#This Row],[Site ID (from DATIM)]],"[Measures].[HVL_N_P]")</f>
        <v/>
      </c>
      <c r="AV248" s="68" vm="9089">
        <f>CUBEVALUE(ConnectionString,ReportMonth,Table1[[#This Row],[Site ID (from DATIM)]],"[Measures].[HVL_ELIG_A]")</f>
        <v>8</v>
      </c>
      <c r="AW248" s="68" t="str" vm="9253">
        <f>CUBEVALUE(ConnectionString,ReportMonth,Table1[[#This Row],[Site ID (from DATIM)]],"[Measures].[HVL_D_A]")</f>
        <v/>
      </c>
      <c r="AX248" s="68" t="str" vm="9893">
        <f>CUBEVALUE(ConnectionString,ReportMonth,Table1[[#This Row],[Site ID (from DATIM)]],"[Measures].[HVL_N_A]")</f>
        <v/>
      </c>
      <c r="AY248" s="67"/>
      <c r="AZ248" s="67"/>
      <c r="BA248" s="67"/>
      <c r="BB248" s="67"/>
      <c r="BC248" s="67"/>
      <c r="BD248" s="67"/>
      <c r="BE248" s="67"/>
      <c r="BF248" s="67"/>
      <c r="BG248" s="67" t="str" vm="12498">
        <f>CUBEVALUE(ConnectionString,ReportMonth,Table1[[#This Row],[Site ID (from DATIM)]],"[Measures].[TX_NEW_F_A]")</f>
        <v/>
      </c>
      <c r="BH248" s="67" t="str" vm="10137">
        <f>CUBEVALUE(ConnectionString,ReportMonth,Table1[[#This Row],[Site ID (from DATIM)]],"[Measures].[TX_NEW_M_A]")</f>
        <v/>
      </c>
      <c r="BI248" s="67" t="str" vm="14395">
        <f>CUBEVALUE(ConnectionString,ReportMonth,Table1[[#This Row],[Site ID (from DATIM)]],"[Measures].[TX_NEW_F_P]")</f>
        <v/>
      </c>
      <c r="BJ248" s="68" t="str" vm="16619">
        <f>CUBEVALUE(ConnectionString,ReportMonth,Table1[[#This Row],[Site ID (from DATIM)]],"[Measures].[TX_NEW_M_P]")</f>
        <v/>
      </c>
      <c r="BK248" s="68"/>
      <c r="BL248" s="68"/>
      <c r="BM248" s="68"/>
      <c r="BN248" s="68"/>
      <c r="BO248" s="68"/>
      <c r="BP248" s="68"/>
      <c r="BQ248" s="68" t="str" vm="13311">
        <f>CUBEVALUE(ConnectionString,ReportMonth,Table1[[#This Row],[Site ID (from DATIM)]],"[Measures].[TX_CURR_F_P]")</f>
        <v/>
      </c>
      <c r="BR248" s="68" t="str" vm="8157">
        <f>CUBEVALUE(ConnectionString,ReportMonth,Table1[[#This Row],[Site ID (from DATIM)]],"[Measures].[TX_CURR_M_P]")</f>
        <v/>
      </c>
      <c r="BS248" s="68" vm="14244">
        <f>CUBEVALUE(ConnectionString,ReportMonth,Table1[[#This Row],[Site ID (from DATIM)]],"[Measures].[TX_CURR_F_A]")</f>
        <v>32</v>
      </c>
      <c r="BT248" s="68" vm="12264">
        <f>CUBEVALUE(ConnectionString,ReportMonth,Table1[[#This Row],[Site ID (from DATIM)]],"[Measures].[TX_CURR_M_A]")</f>
        <v>7</v>
      </c>
      <c r="BU248" s="68" t="str" vm="20130">
        <f>CUBEVALUE(ConnectionString,ReportMonth,Table1[[#This Row],[Site ID (from DATIM)]],"[Measures].[MMS_01_89_F_P]")</f>
        <v/>
      </c>
      <c r="BV248" s="68" t="str" vm="19178">
        <f>CUBEVALUE(ConnectionString,ReportMonth,Table1[[#This Row],[Site ID (from DATIM)]],"[Measures].[MMS_01_89_M_P]")</f>
        <v/>
      </c>
      <c r="BW248" s="68" vm="18933">
        <f>CUBEVALUE(ConnectionString,ReportMonth,Table1[[#This Row],[Site ID (from DATIM)]],"[Measures].[MMS_01_89_F_A]")</f>
        <v>32</v>
      </c>
      <c r="BX248" s="68" vm="16069">
        <f>CUBEVALUE(ConnectionString,ReportMonth,Table1[[#This Row],[Site ID (from DATIM)]],"[Measures].[MMS_01_89_M_A]")</f>
        <v>7</v>
      </c>
      <c r="BY248" s="68" t="str" vm="17874">
        <f>CUBEVALUE(ConnectionString,ReportMonth,Table1[[#This Row],[Site ID (from DATIM)]],"[Measures].[MMS_90_179_F_P]")</f>
        <v/>
      </c>
      <c r="BZ248" s="68" t="str" vm="16540">
        <f>CUBEVALUE(ConnectionString,ReportMonth,Table1[[#This Row],[Site ID (from DATIM)]],"[Measures].[MMS_90_179_M_P]")</f>
        <v/>
      </c>
      <c r="CA248" s="68" t="str" vm="16024">
        <f>CUBEVALUE(ConnectionString,ReportMonth,Table1[[#This Row],[Site ID (from DATIM)]],"[Measures].[MMS_90_179_F_A]")</f>
        <v/>
      </c>
      <c r="CB248" s="68" t="str" vm="15143">
        <f>CUBEVALUE(ConnectionString,ReportMonth,Table1[[#This Row],[Site ID (from DATIM)]],"[Measures].[MMS_90_179_M_A]")</f>
        <v/>
      </c>
      <c r="CC248" s="68" t="str" vm="15864">
        <f>CUBEVALUE(ConnectionString,ReportMonth,Table1[[#This Row],[Site ID (from DATIM)]],"[Measures].[MMS_180+_F_P]")</f>
        <v/>
      </c>
      <c r="CD248" s="68" t="str" vm="16680">
        <f>CUBEVALUE(ConnectionString,ReportMonth,Table1[[#This Row],[Site ID (from DATIM)]],"[Measures].[MMS_180+_M_P]")</f>
        <v/>
      </c>
      <c r="CE248" s="68" t="str" vm="16266">
        <f>CUBEVALUE(ConnectionString,ReportMonth,Table1[[#This Row],[Site ID (from DATIM)]],"[Measures].[MMS_180+_F_A]")</f>
        <v/>
      </c>
      <c r="CF248" s="68" t="str" vm="15716">
        <f>CUBEVALUE(ConnectionString,ReportMonth,Table1[[#This Row],[Site ID (from DATIM)]],"[Measures].[MMS_180+_M_A]")</f>
        <v/>
      </c>
      <c r="CG248" s="68" vm="7145">
        <f>CUBEVALUE(ConnectionString,ReportMonth,Table1[[#This Row],[Site ID (from DATIM)]],"[Measures].[MISSEDAPP]")</f>
        <v>39</v>
      </c>
      <c r="CH248" s="68" t="str" vm="10650">
        <f>CUBEVALUE(ConnectionString,ReportMonth,Table1[[#This Row],[Site ID (from DATIM)]],"[Measures].[MMS_180+_P]")</f>
        <v/>
      </c>
      <c r="CI248" s="68" t="str" vm="13878">
        <f>CUBEVALUE(ConnectionString,ReportMonth,Table1[[#This Row],[Site ID (from DATIM)]],"[Measures].[MMS_180+_A]")</f>
        <v/>
      </c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  <c r="CW248" s="68"/>
      <c r="CX248" s="68"/>
      <c r="CY248" s="68"/>
      <c r="CZ248" s="68"/>
      <c r="DA248" s="68"/>
      <c r="DB248" s="68"/>
      <c r="DC248" s="68"/>
    </row>
    <row r="249" spans="1:107" x14ac:dyDescent="0.25">
      <c r="A249" s="66">
        <v>2</v>
      </c>
      <c r="B249" s="67" t="str" vm="4">
        <f t="shared" si="4"/>
        <v>Mar-2021</v>
      </c>
      <c r="C249" s="67"/>
      <c r="D249" s="67" t="s">
        <v>232</v>
      </c>
      <c r="E249" s="67" t="s">
        <v>233</v>
      </c>
      <c r="F249" s="67" t="s">
        <v>831</v>
      </c>
      <c r="G249" s="67"/>
      <c r="H249" s="67" t="s">
        <v>847</v>
      </c>
      <c r="I249" s="67" t="s">
        <v>978</v>
      </c>
      <c r="J249" s="67" t="s">
        <v>979</v>
      </c>
      <c r="K249" s="67" t="s">
        <v>980</v>
      </c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 vm="1820">
        <f>CUBEVALUE(ConnectionString,ReportMonth,Table1[[#This Row],[Site ID (from DATIM)]],"TX_NEW_2VIS")</f>
        <v>2</v>
      </c>
      <c r="AE249" s="67" t="str" vm="841">
        <f>CUBEVALUE(ConnectionString,ReportMonth,Table1[[#This Row],[Site ID (from DATIM)]],INDEX(SDI_Measures,1))</f>
        <v/>
      </c>
      <c r="AF249" s="67" t="str" vm="591">
        <f>CUBEVALUE(ConnectionString,ReportMonth,Table1[[#This Row],[Site ID (from DATIM)]],INDEX(SDI_Measures,2))</f>
        <v/>
      </c>
      <c r="AG249" s="67" t="str" vm="1486">
        <f>CUBEVALUE(ConnectionString,ReportMonth,Table1[[#This Row],[Site ID (from DATIM)]],INDEX(SDI_Measures,3))</f>
        <v/>
      </c>
      <c r="AH249" s="67" vm="1076">
        <f>CUBEVALUE(ConnectionString,ReportMonth,Table1[[#This Row],[Site ID (from DATIM)]],"TX_CURR_PRIOR_MONTH")</f>
        <v>999</v>
      </c>
      <c r="AI249" s="67" vm="3551">
        <f>CUBEVALUE(ConnectionString,ReportMonth,Table1[[#This Row],[Site ID (from DATIM)]],"TX_CURR")</f>
        <v>958</v>
      </c>
      <c r="AJ249" s="67" t="str" vm="4342">
        <f>CUBEVALUE(ConnectionString,ReportMonth,Table1[[#This Row],[Site ID (from DATIM)]],"[Measures].[TI]")</f>
        <v/>
      </c>
      <c r="AK249" s="67" vm="3620">
        <f>CUBEVALUE(ConnectionString,ReportMonth,Table1[[#This Row],[Site ID (from DATIM)]],"[Measures].[TO]")</f>
        <v>1</v>
      </c>
      <c r="AL249" s="67" t="str" vm="3519">
        <f>CUBEVALUE(ConnectionString,ReportMonth,Table1[[#This Row],[Site ID (from DATIM)]],"[Measures].[DIED]")</f>
        <v/>
      </c>
      <c r="AM249" s="67" vm="7151">
        <f>CUBEVALUE(ConnectionString,ReportMonth,Table1[[#This Row],[Site ID (from DATIM)]],"[Measures].[MMS_01_31]")</f>
        <v>73</v>
      </c>
      <c r="AN249" s="67" vm="7311">
        <f>CUBEVALUE(ConnectionString,ReportMonth,Table1[[#This Row],[Site ID (from DATIM)]],"[Measures].[MMS_32_62]")</f>
        <v>5</v>
      </c>
      <c r="AO249" s="67" vm="6451">
        <f>CUBEVALUE(ConnectionString,ReportMonth,Table1[[#This Row],[Site ID (from DATIM)]],"[Measures].[MMS_63+]")</f>
        <v>880</v>
      </c>
      <c r="AP249" s="67" vm="5118">
        <f>CUBEVALUE(ConnectionString,ReportMonth,Table1[[#This Row],[Site ID (from DATIM)]],"[Measures].[TBPREV_D]")</f>
        <v>14</v>
      </c>
      <c r="AQ249" s="67" vm="6748">
        <f>CUBEVALUE(ConnectionString,ReportMonth,Table1[[#This Row],[Site ID (from DATIM)]],"[Measures].[TBPREV_N]")</f>
        <v>11</v>
      </c>
      <c r="AR249" s="67" vm="7825">
        <f>CUBEVALUE(ConnectionString,ReportMonth,Table1[[#This Row],[Site ID (from DATIM)]],"[Measures].[TBPREV_NEW]")</f>
        <v>2</v>
      </c>
      <c r="AS249" s="67" vm="5500">
        <f>CUBEVALUE(ConnectionString,ReportMonth,Table1[[#This Row],[Site ID (from DATIM)]],"[Measures].[HVL_ELIG_P]")</f>
        <v>42</v>
      </c>
      <c r="AT249" s="67" vm="5089">
        <f>CUBEVALUE(ConnectionString,ReportMonth,Table1[[#This Row],[Site ID (from DATIM)]],"[Measures].[HVL_D_P]")</f>
        <v>31</v>
      </c>
      <c r="AU249" s="67" vm="12457">
        <f>CUBEVALUE(ConnectionString,ReportMonth,Table1[[#This Row],[Site ID (from DATIM)]],"[Measures].[HVL_N_P]")</f>
        <v>30</v>
      </c>
      <c r="AV249" s="68" vm="10851">
        <f>CUBEVALUE(ConnectionString,ReportMonth,Table1[[#This Row],[Site ID (from DATIM)]],"[Measures].[HVL_ELIG_A]")</f>
        <v>862</v>
      </c>
      <c r="AW249" s="68" vm="9472">
        <f>CUBEVALUE(ConnectionString,ReportMonth,Table1[[#This Row],[Site ID (from DATIM)]],"[Measures].[HVL_D_A]")</f>
        <v>651</v>
      </c>
      <c r="AX249" s="68" vm="10570">
        <f>CUBEVALUE(ConnectionString,ReportMonth,Table1[[#This Row],[Site ID (from DATIM)]],"[Measures].[HVL_N_A]")</f>
        <v>634</v>
      </c>
      <c r="AY249" s="67"/>
      <c r="AZ249" s="67"/>
      <c r="BA249" s="67"/>
      <c r="BB249" s="67"/>
      <c r="BC249" s="67"/>
      <c r="BD249" s="67"/>
      <c r="BE249" s="67"/>
      <c r="BF249" s="67"/>
      <c r="BG249" s="67" t="str" vm="10374">
        <f>CUBEVALUE(ConnectionString,ReportMonth,Table1[[#This Row],[Site ID (from DATIM)]],"[Measures].[TX_NEW_F_A]")</f>
        <v/>
      </c>
      <c r="BH249" s="67" t="str" vm="11968">
        <f>CUBEVALUE(ConnectionString,ReportMonth,Table1[[#This Row],[Site ID (from DATIM)]],"[Measures].[TX_NEW_M_A]")</f>
        <v/>
      </c>
      <c r="BI249" s="67" t="str" vm="14322">
        <f>CUBEVALUE(ConnectionString,ReportMonth,Table1[[#This Row],[Site ID (from DATIM)]],"[Measures].[TX_NEW_F_P]")</f>
        <v/>
      </c>
      <c r="BJ249" s="68" t="str" vm="17007">
        <f>CUBEVALUE(ConnectionString,ReportMonth,Table1[[#This Row],[Site ID (from DATIM)]],"[Measures].[TX_NEW_M_P]")</f>
        <v/>
      </c>
      <c r="BK249" s="68"/>
      <c r="BL249" s="68"/>
      <c r="BM249" s="68"/>
      <c r="BN249" s="68"/>
      <c r="BO249" s="68"/>
      <c r="BP249" s="68"/>
      <c r="BQ249" s="68" vm="13312">
        <f>CUBEVALUE(ConnectionString,ReportMonth,Table1[[#This Row],[Site ID (from DATIM)]],"[Measures].[TX_CURR_F_P]")</f>
        <v>24</v>
      </c>
      <c r="BR249" s="68" vm="14246">
        <f>CUBEVALUE(ConnectionString,ReportMonth,Table1[[#This Row],[Site ID (from DATIM)]],"[Measures].[TX_CURR_M_P]")</f>
        <v>20</v>
      </c>
      <c r="BS249" s="68" vm="11073">
        <f>CUBEVALUE(ConnectionString,ReportMonth,Table1[[#This Row],[Site ID (from DATIM)]],"[Measures].[TX_CURR_F_A]")</f>
        <v>617</v>
      </c>
      <c r="BT249" s="68" vm="11033">
        <f>CUBEVALUE(ConnectionString,ReportMonth,Table1[[#This Row],[Site ID (from DATIM)]],"[Measures].[TX_CURR_M_A]")</f>
        <v>298</v>
      </c>
      <c r="BU249" s="68" vm="19994">
        <f>CUBEVALUE(ConnectionString,ReportMonth,Table1[[#This Row],[Site ID (from DATIM)]],"[Measures].[MMS_01_89_F_P]")</f>
        <v>3</v>
      </c>
      <c r="BV249" s="68" vm="18119">
        <f>CUBEVALUE(ConnectionString,ReportMonth,Table1[[#This Row],[Site ID (from DATIM)]],"[Measures].[MMS_01_89_M_P]")</f>
        <v>7</v>
      </c>
      <c r="BW249" s="68" vm="19145">
        <f>CUBEVALUE(ConnectionString,ReportMonth,Table1[[#This Row],[Site ID (from DATIM)]],"[Measures].[MMS_01_89_F_A]")</f>
        <v>44</v>
      </c>
      <c r="BX249" s="68" vm="18156">
        <f>CUBEVALUE(ConnectionString,ReportMonth,Table1[[#This Row],[Site ID (from DATIM)]],"[Measures].[MMS_01_89_M_A]")</f>
        <v>34</v>
      </c>
      <c r="BY249" s="68" vm="17288">
        <f>CUBEVALUE(ConnectionString,ReportMonth,Table1[[#This Row],[Site ID (from DATIM)]],"[Measures].[MMS_90_179_F_P]")</f>
        <v>21</v>
      </c>
      <c r="BZ249" s="68" vm="15196">
        <f>CUBEVALUE(ConnectionString,ReportMonth,Table1[[#This Row],[Site ID (from DATIM)]],"[Measures].[MMS_90_179_M_P]")</f>
        <v>13</v>
      </c>
      <c r="CA249" s="68" vm="17814">
        <f>CUBEVALUE(ConnectionString,ReportMonth,Table1[[#This Row],[Site ID (from DATIM)]],"[Measures].[MMS_90_179_F_A]")</f>
        <v>573</v>
      </c>
      <c r="CB249" s="68" vm="17334">
        <f>CUBEVALUE(ConnectionString,ReportMonth,Table1[[#This Row],[Site ID (from DATIM)]],"[Measures].[MMS_90_179_M_A]")</f>
        <v>263</v>
      </c>
      <c r="CC249" s="68" t="str" vm="15064">
        <f>CUBEVALUE(ConnectionString,ReportMonth,Table1[[#This Row],[Site ID (from DATIM)]],"[Measures].[MMS_180+_F_P]")</f>
        <v/>
      </c>
      <c r="CD249" s="68" t="str" vm="15039">
        <f>CUBEVALUE(ConnectionString,ReportMonth,Table1[[#This Row],[Site ID (from DATIM)]],"[Measures].[MMS_180+_M_P]")</f>
        <v/>
      </c>
      <c r="CE249" s="68" t="str" vm="14976">
        <f>CUBEVALUE(ConnectionString,ReportMonth,Table1[[#This Row],[Site ID (from DATIM)]],"[Measures].[MMS_180+_F_A]")</f>
        <v/>
      </c>
      <c r="CF249" s="68" vm="229">
        <f>CUBEVALUE(ConnectionString,ReportMonth,Table1[[#This Row],[Site ID (from DATIM)]],"[Measures].[MMS_180+_M_A]")</f>
        <v>1</v>
      </c>
      <c r="CG249" s="68" vm="5757">
        <f>CUBEVALUE(ConnectionString,ReportMonth,Table1[[#This Row],[Site ID (from DATIM)]],"[Measures].[MISSEDAPP]")</f>
        <v>392</v>
      </c>
      <c r="CH249" s="68" t="str" vm="17381">
        <f>CUBEVALUE(ConnectionString,ReportMonth,Table1[[#This Row],[Site ID (from DATIM)]],"[Measures].[MMS_180+_P]")</f>
        <v/>
      </c>
      <c r="CI249" s="68" vm="13561">
        <f>CUBEVALUE(ConnectionString,ReportMonth,Table1[[#This Row],[Site ID (from DATIM)]],"[Measures].[MMS_180+_A]")</f>
        <v>1</v>
      </c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  <c r="CW249" s="68"/>
      <c r="CX249" s="68"/>
      <c r="CY249" s="68"/>
      <c r="CZ249" s="68"/>
      <c r="DA249" s="68"/>
      <c r="DB249" s="68"/>
      <c r="DC249" s="68"/>
    </row>
    <row r="250" spans="1:107" x14ac:dyDescent="0.25">
      <c r="A250" s="66">
        <v>4</v>
      </c>
      <c r="B250" s="67" t="str" vm="4">
        <f t="shared" si="4"/>
        <v>Mar-2021</v>
      </c>
      <c r="C250" s="67"/>
      <c r="D250" s="67" t="s">
        <v>232</v>
      </c>
      <c r="E250" s="67" t="s">
        <v>233</v>
      </c>
      <c r="F250" s="67" t="s">
        <v>1083</v>
      </c>
      <c r="G250" s="67"/>
      <c r="H250" s="67" t="s">
        <v>1095</v>
      </c>
      <c r="I250" s="67" t="s">
        <v>1220</v>
      </c>
      <c r="J250" s="67" t="s">
        <v>1221</v>
      </c>
      <c r="K250" s="67" t="s">
        <v>1222</v>
      </c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 t="str" vm="2289">
        <f>CUBEVALUE(ConnectionString,ReportMonth,Table1[[#This Row],[Site ID (from DATIM)]],"TX_NEW_2VIS")</f>
        <v/>
      </c>
      <c r="AE250" s="67" t="str" vm="950">
        <f>CUBEVALUE(ConnectionString,ReportMonth,Table1[[#This Row],[Site ID (from DATIM)]],INDEX(SDI_Measures,1))</f>
        <v/>
      </c>
      <c r="AF250" s="67" t="str" vm="1190">
        <f>CUBEVALUE(ConnectionString,ReportMonth,Table1[[#This Row],[Site ID (from DATIM)]],INDEX(SDI_Measures,2))</f>
        <v/>
      </c>
      <c r="AG250" s="67" t="str" vm="3356">
        <f>CUBEVALUE(ConnectionString,ReportMonth,Table1[[#This Row],[Site ID (from DATIM)]],INDEX(SDI_Measures,3))</f>
        <v/>
      </c>
      <c r="AH250" s="67" vm="3401">
        <f>CUBEVALUE(ConnectionString,ReportMonth,Table1[[#This Row],[Site ID (from DATIM)]],"TX_CURR_PRIOR_MONTH")</f>
        <v>31</v>
      </c>
      <c r="AI250" s="67" vm="2371">
        <f>CUBEVALUE(ConnectionString,ReportMonth,Table1[[#This Row],[Site ID (from DATIM)]],"TX_CURR")</f>
        <v>5</v>
      </c>
      <c r="AJ250" s="67" t="str" vm="2529">
        <f>CUBEVALUE(ConnectionString,ReportMonth,Table1[[#This Row],[Site ID (from DATIM)]],"[Measures].[TI]")</f>
        <v/>
      </c>
      <c r="AK250" s="67" t="str" vm="3271">
        <f>CUBEVALUE(ConnectionString,ReportMonth,Table1[[#This Row],[Site ID (from DATIM)]],"[Measures].[TO]")</f>
        <v/>
      </c>
      <c r="AL250" s="67" t="str" vm="3030">
        <f>CUBEVALUE(ConnectionString,ReportMonth,Table1[[#This Row],[Site ID (from DATIM)]],"[Measures].[DIED]")</f>
        <v/>
      </c>
      <c r="AM250" s="67" vm="9229">
        <f>CUBEVALUE(ConnectionString,ReportMonth,Table1[[#This Row],[Site ID (from DATIM)]],"[Measures].[MMS_01_31]")</f>
        <v>1</v>
      </c>
      <c r="AN250" s="67" vm="7173">
        <f>CUBEVALUE(ConnectionString,ReportMonth,Table1[[#This Row],[Site ID (from DATIM)]],"[Measures].[MMS_32_62]")</f>
        <v>1</v>
      </c>
      <c r="AO250" s="67" vm="6927">
        <f>CUBEVALUE(ConnectionString,ReportMonth,Table1[[#This Row],[Site ID (from DATIM)]],"[Measures].[MMS_63+]")</f>
        <v>3</v>
      </c>
      <c r="AP250" s="67" vm="4666">
        <f>CUBEVALUE(ConnectionString,ReportMonth,Table1[[#This Row],[Site ID (from DATIM)]],"[Measures].[TBPREV_D]")</f>
        <v>10</v>
      </c>
      <c r="AQ250" s="67" t="str" vm="6082">
        <f>CUBEVALUE(ConnectionString,ReportMonth,Table1[[#This Row],[Site ID (from DATIM)]],"[Measures].[TBPREV_N]")</f>
        <v/>
      </c>
      <c r="AR250" s="67" t="str" vm="6984">
        <f>CUBEVALUE(ConnectionString,ReportMonth,Table1[[#This Row],[Site ID (from DATIM)]],"[Measures].[TBPREV_NEW]")</f>
        <v/>
      </c>
      <c r="AS250" s="67" t="str" vm="6225">
        <f>CUBEVALUE(ConnectionString,ReportMonth,Table1[[#This Row],[Site ID (from DATIM)]],"[Measures].[HVL_ELIG_P]")</f>
        <v/>
      </c>
      <c r="AT250" s="67" t="str" vm="8123">
        <f>CUBEVALUE(ConnectionString,ReportMonth,Table1[[#This Row],[Site ID (from DATIM)]],"[Measures].[HVL_D_P]")</f>
        <v/>
      </c>
      <c r="AU250" s="67" t="str" vm="13492">
        <f>CUBEVALUE(ConnectionString,ReportMonth,Table1[[#This Row],[Site ID (from DATIM)]],"[Measures].[HVL_N_P]")</f>
        <v/>
      </c>
      <c r="AV250" s="68" vm="9854">
        <f>CUBEVALUE(ConnectionString,ReportMonth,Table1[[#This Row],[Site ID (from DATIM)]],"[Measures].[HVL_ELIG_A]")</f>
        <v>5</v>
      </c>
      <c r="AW250" s="68" t="str" vm="14094">
        <f>CUBEVALUE(ConnectionString,ReportMonth,Table1[[#This Row],[Site ID (from DATIM)]],"[Measures].[HVL_D_A]")</f>
        <v/>
      </c>
      <c r="AX250" s="68" t="str" vm="13371">
        <f>CUBEVALUE(ConnectionString,ReportMonth,Table1[[#This Row],[Site ID (from DATIM)]],"[Measures].[HVL_N_A]")</f>
        <v/>
      </c>
      <c r="AY250" s="67"/>
      <c r="AZ250" s="67"/>
      <c r="BA250" s="67"/>
      <c r="BB250" s="67"/>
      <c r="BC250" s="67"/>
      <c r="BD250" s="67"/>
      <c r="BE250" s="67"/>
      <c r="BF250" s="67"/>
      <c r="BG250" s="67" t="str" vm="11908">
        <f>CUBEVALUE(ConnectionString,ReportMonth,Table1[[#This Row],[Site ID (from DATIM)]],"[Measures].[TX_NEW_F_A]")</f>
        <v/>
      </c>
      <c r="BH250" s="67" t="str" vm="12503">
        <f>CUBEVALUE(ConnectionString,ReportMonth,Table1[[#This Row],[Site ID (from DATIM)]],"[Measures].[TX_NEW_M_A]")</f>
        <v/>
      </c>
      <c r="BI250" s="67" t="str" vm="12908">
        <f>CUBEVALUE(ConnectionString,ReportMonth,Table1[[#This Row],[Site ID (from DATIM)]],"[Measures].[TX_NEW_F_P]")</f>
        <v/>
      </c>
      <c r="BJ250" s="68" t="str" vm="14259">
        <f>CUBEVALUE(ConnectionString,ReportMonth,Table1[[#This Row],[Site ID (from DATIM)]],"[Measures].[TX_NEW_M_P]")</f>
        <v/>
      </c>
      <c r="BK250" s="68"/>
      <c r="BL250" s="68"/>
      <c r="BM250" s="68"/>
      <c r="BN250" s="68"/>
      <c r="BO250" s="68"/>
      <c r="BP250" s="68"/>
      <c r="BQ250" s="68" t="str" vm="8913">
        <f>CUBEVALUE(ConnectionString,ReportMonth,Table1[[#This Row],[Site ID (from DATIM)]],"[Measures].[TX_CURR_F_P]")</f>
        <v/>
      </c>
      <c r="BR250" s="68" t="str" vm="9909">
        <f>CUBEVALUE(ConnectionString,ReportMonth,Table1[[#This Row],[Site ID (from DATIM)]],"[Measures].[TX_CURR_M_P]")</f>
        <v/>
      </c>
      <c r="BS250" s="68" vm="10565">
        <f>CUBEVALUE(ConnectionString,ReportMonth,Table1[[#This Row],[Site ID (from DATIM)]],"[Measures].[TX_CURR_F_A]")</f>
        <v>2</v>
      </c>
      <c r="BT250" s="68" vm="11646">
        <f>CUBEVALUE(ConnectionString,ReportMonth,Table1[[#This Row],[Site ID (from DATIM)]],"[Measures].[TX_CURR_M_A]")</f>
        <v>3</v>
      </c>
      <c r="BU250" s="68" t="str" vm="18709">
        <f>CUBEVALUE(ConnectionString,ReportMonth,Table1[[#This Row],[Site ID (from DATIM)]],"[Measures].[MMS_01_89_F_P]")</f>
        <v/>
      </c>
      <c r="BV250" s="68" t="str" vm="18665">
        <f>CUBEVALUE(ConnectionString,ReportMonth,Table1[[#This Row],[Site ID (from DATIM)]],"[Measures].[MMS_01_89_M_P]")</f>
        <v/>
      </c>
      <c r="BW250" s="68" t="str" vm="19486">
        <f>CUBEVALUE(ConnectionString,ReportMonth,Table1[[#This Row],[Site ID (from DATIM)]],"[Measures].[MMS_01_89_F_A]")</f>
        <v/>
      </c>
      <c r="BX250" s="68" vm="18559">
        <f>CUBEVALUE(ConnectionString,ReportMonth,Table1[[#This Row],[Site ID (from DATIM)]],"[Measures].[MMS_01_89_M_A]")</f>
        <v>2</v>
      </c>
      <c r="BY250" s="68" t="str" vm="19298">
        <f>CUBEVALUE(ConnectionString,ReportMonth,Table1[[#This Row],[Site ID (from DATIM)]],"[Measures].[MMS_90_179_F_P]")</f>
        <v/>
      </c>
      <c r="BZ250" s="68" t="str" vm="19567">
        <f>CUBEVALUE(ConnectionString,ReportMonth,Table1[[#This Row],[Site ID (from DATIM)]],"[Measures].[MMS_90_179_M_P]")</f>
        <v/>
      </c>
      <c r="CA250" s="68" vm="17352">
        <f>CUBEVALUE(ConnectionString,ReportMonth,Table1[[#This Row],[Site ID (from DATIM)]],"[Measures].[MMS_90_179_F_A]")</f>
        <v>2</v>
      </c>
      <c r="CB250" s="68" vm="15589">
        <f>CUBEVALUE(ConnectionString,ReportMonth,Table1[[#This Row],[Site ID (from DATIM)]],"[Measures].[MMS_90_179_M_A]")</f>
        <v>1</v>
      </c>
      <c r="CC250" s="68" t="str" vm="17289">
        <f>CUBEVALUE(ConnectionString,ReportMonth,Table1[[#This Row],[Site ID (from DATIM)]],"[Measures].[MMS_180+_F_P]")</f>
        <v/>
      </c>
      <c r="CD250" s="68" t="str" vm="15404">
        <f>CUBEVALUE(ConnectionString,ReportMonth,Table1[[#This Row],[Site ID (from DATIM)]],"[Measures].[MMS_180+_M_P]")</f>
        <v/>
      </c>
      <c r="CE250" s="68" t="str" vm="15809">
        <f>CUBEVALUE(ConnectionString,ReportMonth,Table1[[#This Row],[Site ID (from DATIM)]],"[Measures].[MMS_180+_F_A]")</f>
        <v/>
      </c>
      <c r="CF250" s="68" t="str" vm="15731">
        <f>CUBEVALUE(ConnectionString,ReportMonth,Table1[[#This Row],[Site ID (from DATIM)]],"[Measures].[MMS_180+_M_A]")</f>
        <v/>
      </c>
      <c r="CG250" s="68" vm="6920">
        <f>CUBEVALUE(ConnectionString,ReportMonth,Table1[[#This Row],[Site ID (from DATIM)]],"[Measures].[MISSEDAPP]")</f>
        <v>4</v>
      </c>
      <c r="CH250" s="68" t="str" vm="13394">
        <f>CUBEVALUE(ConnectionString,ReportMonth,Table1[[#This Row],[Site ID (from DATIM)]],"[Measures].[MMS_180+_P]")</f>
        <v/>
      </c>
      <c r="CI250" s="68" t="str" vm="12200">
        <f>CUBEVALUE(ConnectionString,ReportMonth,Table1[[#This Row],[Site ID (from DATIM)]],"[Measures].[MMS_180+_A]")</f>
        <v/>
      </c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  <c r="CW250" s="68"/>
      <c r="CX250" s="68"/>
      <c r="CY250" s="68"/>
      <c r="CZ250" s="68"/>
      <c r="DA250" s="68"/>
      <c r="DB250" s="68"/>
      <c r="DC250" s="68"/>
    </row>
    <row r="251" spans="1:107" x14ac:dyDescent="0.25">
      <c r="A251" s="66">
        <v>4</v>
      </c>
      <c r="B251" s="67" t="str" vm="4">
        <f t="shared" si="4"/>
        <v>Mar-2021</v>
      </c>
      <c r="C251" s="67"/>
      <c r="D251" s="67" t="s">
        <v>232</v>
      </c>
      <c r="E251" s="67" t="s">
        <v>233</v>
      </c>
      <c r="F251" s="67" t="s">
        <v>234</v>
      </c>
      <c r="G251" s="67"/>
      <c r="H251" s="67" t="s">
        <v>235</v>
      </c>
      <c r="I251" s="67" t="s">
        <v>338</v>
      </c>
      <c r="J251" s="67" t="s">
        <v>339</v>
      </c>
      <c r="K251" s="67" t="s">
        <v>340</v>
      </c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 t="str" vm="971">
        <f>CUBEVALUE(ConnectionString,ReportMonth,Table1[[#This Row],[Site ID (from DATIM)]],"TX_NEW_2VIS")</f>
        <v/>
      </c>
      <c r="AE251" s="67" t="str" vm="1138">
        <f>CUBEVALUE(ConnectionString,ReportMonth,Table1[[#This Row],[Site ID (from DATIM)]],INDEX(SDI_Measures,1))</f>
        <v/>
      </c>
      <c r="AF251" s="67" t="str" vm="743">
        <f>CUBEVALUE(ConnectionString,ReportMonth,Table1[[#This Row],[Site ID (from DATIM)]],INDEX(SDI_Measures,2))</f>
        <v/>
      </c>
      <c r="AG251" s="67" t="str" vm="2036">
        <f>CUBEVALUE(ConnectionString,ReportMonth,Table1[[#This Row],[Site ID (from DATIM)]],INDEX(SDI_Measures,3))</f>
        <v/>
      </c>
      <c r="AH251" s="67" vm="3658">
        <f>CUBEVALUE(ConnectionString,ReportMonth,Table1[[#This Row],[Site ID (from DATIM)]],"TX_CURR_PRIOR_MONTH")</f>
        <v>65</v>
      </c>
      <c r="AI251" s="67" vm="1304">
        <f>CUBEVALUE(ConnectionString,ReportMonth,Table1[[#This Row],[Site ID (from DATIM)]],"TX_CURR")</f>
        <v>64</v>
      </c>
      <c r="AJ251" s="67" t="str" vm="1274">
        <f>CUBEVALUE(ConnectionString,ReportMonth,Table1[[#This Row],[Site ID (from DATIM)]],"[Measures].[TI]")</f>
        <v/>
      </c>
      <c r="AK251" s="67" t="str" vm="1591">
        <f>CUBEVALUE(ConnectionString,ReportMonth,Table1[[#This Row],[Site ID (from DATIM)]],"[Measures].[TO]")</f>
        <v/>
      </c>
      <c r="AL251" s="67" t="str" vm="1060">
        <f>CUBEVALUE(ConnectionString,ReportMonth,Table1[[#This Row],[Site ID (from DATIM)]],"[Measures].[DIED]")</f>
        <v/>
      </c>
      <c r="AM251" s="67" vm="4216">
        <f>CUBEVALUE(ConnectionString,ReportMonth,Table1[[#This Row],[Site ID (from DATIM)]],"[Measures].[MMS_01_31]")</f>
        <v>35</v>
      </c>
      <c r="AN251" s="67" t="str" vm="7541">
        <f>CUBEVALUE(ConnectionString,ReportMonth,Table1[[#This Row],[Site ID (from DATIM)]],"[Measures].[MMS_32_62]")</f>
        <v/>
      </c>
      <c r="AO251" s="67" vm="6542">
        <f>CUBEVALUE(ConnectionString,ReportMonth,Table1[[#This Row],[Site ID (from DATIM)]],"[Measures].[MMS_63+]")</f>
        <v>29</v>
      </c>
      <c r="AP251" s="67" vm="8235">
        <f>CUBEVALUE(ConnectionString,ReportMonth,Table1[[#This Row],[Site ID (from DATIM)]],"[Measures].[TBPREV_D]")</f>
        <v>3</v>
      </c>
      <c r="AQ251" s="67" vm="11785">
        <f>CUBEVALUE(ConnectionString,ReportMonth,Table1[[#This Row],[Site ID (from DATIM)]],"[Measures].[TBPREV_N]")</f>
        <v>3</v>
      </c>
      <c r="AR251" s="67" t="str" vm="4999">
        <f>CUBEVALUE(ConnectionString,ReportMonth,Table1[[#This Row],[Site ID (from DATIM)]],"[Measures].[TBPREV_NEW]")</f>
        <v/>
      </c>
      <c r="AS251" s="67" vm="6402">
        <f>CUBEVALUE(ConnectionString,ReportMonth,Table1[[#This Row],[Site ID (from DATIM)]],"[Measures].[HVL_ELIG_P]")</f>
        <v>3</v>
      </c>
      <c r="AT251" s="67" vm="10233">
        <f>CUBEVALUE(ConnectionString,ReportMonth,Table1[[#This Row],[Site ID (from DATIM)]],"[Measures].[HVL_D_P]")</f>
        <v>2</v>
      </c>
      <c r="AU251" s="67" vm="9611">
        <f>CUBEVALUE(ConnectionString,ReportMonth,Table1[[#This Row],[Site ID (from DATIM)]],"[Measures].[HVL_N_P]")</f>
        <v>1</v>
      </c>
      <c r="AV251" s="68" vm="10299">
        <f>CUBEVALUE(ConnectionString,ReportMonth,Table1[[#This Row],[Site ID (from DATIM)]],"[Measures].[HVL_ELIG_A]")</f>
        <v>51</v>
      </c>
      <c r="AW251" s="68" vm="8830">
        <f>CUBEVALUE(ConnectionString,ReportMonth,Table1[[#This Row],[Site ID (from DATIM)]],"[Measures].[HVL_D_A]")</f>
        <v>20</v>
      </c>
      <c r="AX251" s="68" vm="10144">
        <f>CUBEVALUE(ConnectionString,ReportMonth,Table1[[#This Row],[Site ID (from DATIM)]],"[Measures].[HVL_N_A]")</f>
        <v>18</v>
      </c>
      <c r="AY251" s="67"/>
      <c r="AZ251" s="67"/>
      <c r="BA251" s="67"/>
      <c r="BB251" s="67"/>
      <c r="BC251" s="67"/>
      <c r="BD251" s="67"/>
      <c r="BE251" s="67"/>
      <c r="BF251" s="67"/>
      <c r="BG251" s="67" t="str" vm="14022">
        <f>CUBEVALUE(ConnectionString,ReportMonth,Table1[[#This Row],[Site ID (from DATIM)]],"[Measures].[TX_NEW_F_A]")</f>
        <v/>
      </c>
      <c r="BH251" s="67" t="str" vm="16589">
        <f>CUBEVALUE(ConnectionString,ReportMonth,Table1[[#This Row],[Site ID (from DATIM)]],"[Measures].[TX_NEW_M_A]")</f>
        <v/>
      </c>
      <c r="BI251" s="67" t="str" vm="12233">
        <f>CUBEVALUE(ConnectionString,ReportMonth,Table1[[#This Row],[Site ID (from DATIM)]],"[Measures].[TX_NEW_F_P]")</f>
        <v/>
      </c>
      <c r="BJ251" s="68" t="str" vm="16140">
        <f>CUBEVALUE(ConnectionString,ReportMonth,Table1[[#This Row],[Site ID (from DATIM)]],"[Measures].[TX_NEW_M_P]")</f>
        <v/>
      </c>
      <c r="BK251" s="68"/>
      <c r="BL251" s="68"/>
      <c r="BM251" s="68"/>
      <c r="BN251" s="68"/>
      <c r="BO251" s="68"/>
      <c r="BP251" s="68"/>
      <c r="BQ251" s="68" vm="13514">
        <f>CUBEVALUE(ConnectionString,ReportMonth,Table1[[#This Row],[Site ID (from DATIM)]],"[Measures].[TX_CURR_F_P]")</f>
        <v>1</v>
      </c>
      <c r="BR251" s="68" vm="12921">
        <f>CUBEVALUE(ConnectionString,ReportMonth,Table1[[#This Row],[Site ID (from DATIM)]],"[Measures].[TX_CURR_M_P]")</f>
        <v>2</v>
      </c>
      <c r="BS251" s="68" vm="7239">
        <f>CUBEVALUE(ConnectionString,ReportMonth,Table1[[#This Row],[Site ID (from DATIM)]],"[Measures].[TX_CURR_F_A]")</f>
        <v>37</v>
      </c>
      <c r="BT251" s="68" vm="11932">
        <f>CUBEVALUE(ConnectionString,ReportMonth,Table1[[#This Row],[Site ID (from DATIM)]],"[Measures].[TX_CURR_M_A]")</f>
        <v>24</v>
      </c>
      <c r="BU251" s="68" vm="18409">
        <f>CUBEVALUE(ConnectionString,ReportMonth,Table1[[#This Row],[Site ID (from DATIM)]],"[Measures].[MMS_01_89_F_P]")</f>
        <v>1</v>
      </c>
      <c r="BV251" s="68" vm="18005">
        <f>CUBEVALUE(ConnectionString,ReportMonth,Table1[[#This Row],[Site ID (from DATIM)]],"[Measures].[MMS_01_89_M_P]")</f>
        <v>2</v>
      </c>
      <c r="BW251" s="68" vm="19485">
        <f>CUBEVALUE(ConnectionString,ReportMonth,Table1[[#This Row],[Site ID (from DATIM)]],"[Measures].[MMS_01_89_F_A]")</f>
        <v>19</v>
      </c>
      <c r="BX251" s="68" vm="16496">
        <f>CUBEVALUE(ConnectionString,ReportMonth,Table1[[#This Row],[Site ID (from DATIM)]],"[Measures].[MMS_01_89_M_A]")</f>
        <v>13</v>
      </c>
      <c r="BY251" s="68" t="str" vm="18851">
        <f>CUBEVALUE(ConnectionString,ReportMonth,Table1[[#This Row],[Site ID (from DATIM)]],"[Measures].[MMS_90_179_F_P]")</f>
        <v/>
      </c>
      <c r="BZ251" s="68" t="str" vm="19054">
        <f>CUBEVALUE(ConnectionString,ReportMonth,Table1[[#This Row],[Site ID (from DATIM)]],"[Measures].[MMS_90_179_M_P]")</f>
        <v/>
      </c>
      <c r="CA251" s="68" vm="15182">
        <f>CUBEVALUE(ConnectionString,ReportMonth,Table1[[#This Row],[Site ID (from DATIM)]],"[Measures].[MMS_90_179_F_A]")</f>
        <v>18</v>
      </c>
      <c r="CB251" s="68" vm="15109">
        <f>CUBEVALUE(ConnectionString,ReportMonth,Table1[[#This Row],[Site ID (from DATIM)]],"[Measures].[MMS_90_179_M_A]")</f>
        <v>11</v>
      </c>
      <c r="CC251" s="68" t="str" vm="15781">
        <f>CUBEVALUE(ConnectionString,ReportMonth,Table1[[#This Row],[Site ID (from DATIM)]],"[Measures].[MMS_180+_F_P]")</f>
        <v/>
      </c>
      <c r="CD251" s="68" t="str" vm="15745">
        <f>CUBEVALUE(ConnectionString,ReportMonth,Table1[[#This Row],[Site ID (from DATIM)]],"[Measures].[MMS_180+_M_P]")</f>
        <v/>
      </c>
      <c r="CE251" s="68" t="str" vm="17108">
        <f>CUBEVALUE(ConnectionString,ReportMonth,Table1[[#This Row],[Site ID (from DATIM)]],"[Measures].[MMS_180+_F_A]")</f>
        <v/>
      </c>
      <c r="CF251" s="68" t="str" vm="16216">
        <f>CUBEVALUE(ConnectionString,ReportMonth,Table1[[#This Row],[Site ID (from DATIM)]],"[Measures].[MMS_180+_M_A]")</f>
        <v/>
      </c>
      <c r="CG251" s="68" vm="9596">
        <f>CUBEVALUE(ConnectionString,ReportMonth,Table1[[#This Row],[Site ID (from DATIM)]],"[Measures].[MISSEDAPP]")</f>
        <v>34</v>
      </c>
      <c r="CH251" s="68" t="str" vm="10839">
        <f>CUBEVALUE(ConnectionString,ReportMonth,Table1[[#This Row],[Site ID (from DATIM)]],"[Measures].[MMS_180+_P]")</f>
        <v/>
      </c>
      <c r="CI251" s="68" t="str" vm="10705">
        <f>CUBEVALUE(ConnectionString,ReportMonth,Table1[[#This Row],[Site ID (from DATIM)]],"[Measures].[MMS_180+_A]")</f>
        <v/>
      </c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  <c r="CW251" s="68"/>
      <c r="CX251" s="68"/>
      <c r="CY251" s="68"/>
      <c r="CZ251" s="68"/>
      <c r="DA251" s="68"/>
      <c r="DB251" s="68"/>
      <c r="DC251" s="68"/>
    </row>
    <row r="252" spans="1:107" x14ac:dyDescent="0.25">
      <c r="A252" s="66">
        <v>4</v>
      </c>
      <c r="B252" s="67" t="str" vm="4">
        <f t="shared" si="4"/>
        <v>Mar-2021</v>
      </c>
      <c r="C252" s="67"/>
      <c r="D252" s="67" t="s">
        <v>232</v>
      </c>
      <c r="E252" s="67" t="s">
        <v>233</v>
      </c>
      <c r="F252" s="67" t="s">
        <v>437</v>
      </c>
      <c r="G252" s="67"/>
      <c r="H252" s="67" t="s">
        <v>438</v>
      </c>
      <c r="I252" s="67" t="s">
        <v>658</v>
      </c>
      <c r="J252" s="67" t="s">
        <v>659</v>
      </c>
      <c r="K252" s="67" t="s">
        <v>660</v>
      </c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 t="str" vm="1495">
        <f>CUBEVALUE(ConnectionString,ReportMonth,Table1[[#This Row],[Site ID (from DATIM)]],"TX_NEW_2VIS")</f>
        <v/>
      </c>
      <c r="AE252" s="67" t="str" vm="1214">
        <f>CUBEVALUE(ConnectionString,ReportMonth,Table1[[#This Row],[Site ID (from DATIM)]],INDEX(SDI_Measures,1))</f>
        <v/>
      </c>
      <c r="AF252" s="67" t="str" vm="3304">
        <f>CUBEVALUE(ConnectionString,ReportMonth,Table1[[#This Row],[Site ID (from DATIM)]],INDEX(SDI_Measures,2))</f>
        <v/>
      </c>
      <c r="AG252" s="67" t="str" vm="1919">
        <f>CUBEVALUE(ConnectionString,ReportMonth,Table1[[#This Row],[Site ID (from DATIM)]],INDEX(SDI_Measures,3))</f>
        <v/>
      </c>
      <c r="AH252" s="67" t="str" vm="1782">
        <f>CUBEVALUE(ConnectionString,ReportMonth,Table1[[#This Row],[Site ID (from DATIM)]],"TX_CURR_PRIOR_MONTH")</f>
        <v/>
      </c>
      <c r="AI252" s="67" t="str" vm="3806">
        <f>CUBEVALUE(ConnectionString,ReportMonth,Table1[[#This Row],[Site ID (from DATIM)]],"TX_CURR")</f>
        <v/>
      </c>
      <c r="AJ252" s="67" t="str" vm="4095">
        <f>CUBEVALUE(ConnectionString,ReportMonth,Table1[[#This Row],[Site ID (from DATIM)]],"[Measures].[TI]")</f>
        <v/>
      </c>
      <c r="AK252" s="67" t="str" vm="2055">
        <f>CUBEVALUE(ConnectionString,ReportMonth,Table1[[#This Row],[Site ID (from DATIM)]],"[Measures].[TO]")</f>
        <v/>
      </c>
      <c r="AL252" s="67" t="str" vm="1940">
        <f>CUBEVALUE(ConnectionString,ReportMonth,Table1[[#This Row],[Site ID (from DATIM)]],"[Measures].[DIED]")</f>
        <v/>
      </c>
      <c r="AM252" s="67" t="str" vm="3384">
        <f>CUBEVALUE(ConnectionString,ReportMonth,Table1[[#This Row],[Site ID (from DATIM)]],"[Measures].[MMS_01_31]")</f>
        <v/>
      </c>
      <c r="AN252" s="67" t="str" vm="5238">
        <f>CUBEVALUE(ConnectionString,ReportMonth,Table1[[#This Row],[Site ID (from DATIM)]],"[Measures].[MMS_32_62]")</f>
        <v/>
      </c>
      <c r="AO252" s="67" t="str" vm="5218">
        <f>CUBEVALUE(ConnectionString,ReportMonth,Table1[[#This Row],[Site ID (from DATIM)]],"[Measures].[MMS_63+]")</f>
        <v/>
      </c>
      <c r="AP252" s="67" t="str" vm="5818">
        <f>CUBEVALUE(ConnectionString,ReportMonth,Table1[[#This Row],[Site ID (from DATIM)]],"[Measures].[TBPREV_D]")</f>
        <v/>
      </c>
      <c r="AQ252" s="67" t="str" vm="10760">
        <f>CUBEVALUE(ConnectionString,ReportMonth,Table1[[#This Row],[Site ID (from DATIM)]],"[Measures].[TBPREV_N]")</f>
        <v/>
      </c>
      <c r="AR252" s="67" t="str" vm="7661">
        <f>CUBEVALUE(ConnectionString,ReportMonth,Table1[[#This Row],[Site ID (from DATIM)]],"[Measures].[TBPREV_NEW]")</f>
        <v/>
      </c>
      <c r="AS252" s="67" t="str" vm="4946">
        <f>CUBEVALUE(ConnectionString,ReportMonth,Table1[[#This Row],[Site ID (from DATIM)]],"[Measures].[HVL_ELIG_P]")</f>
        <v/>
      </c>
      <c r="AT252" s="67" t="str" vm="6052">
        <f>CUBEVALUE(ConnectionString,ReportMonth,Table1[[#This Row],[Site ID (from DATIM)]],"[Measures].[HVL_D_P]")</f>
        <v/>
      </c>
      <c r="AU252" s="67" t="str" vm="7227">
        <f>CUBEVALUE(ConnectionString,ReportMonth,Table1[[#This Row],[Site ID (from DATIM)]],"[Measures].[HVL_N_P]")</f>
        <v/>
      </c>
      <c r="AV252" s="68" t="str" vm="9252">
        <f>CUBEVALUE(ConnectionString,ReportMonth,Table1[[#This Row],[Site ID (from DATIM)]],"[Measures].[HVL_ELIG_A]")</f>
        <v/>
      </c>
      <c r="AW252" s="68" t="str" vm="9357">
        <f>CUBEVALUE(ConnectionString,ReportMonth,Table1[[#This Row],[Site ID (from DATIM)]],"[Measures].[HVL_D_A]")</f>
        <v/>
      </c>
      <c r="AX252" s="68" t="str" vm="11143">
        <f>CUBEVALUE(ConnectionString,ReportMonth,Table1[[#This Row],[Site ID (from DATIM)]],"[Measures].[HVL_N_A]")</f>
        <v/>
      </c>
      <c r="AY252" s="67"/>
      <c r="AZ252" s="67"/>
      <c r="BA252" s="67"/>
      <c r="BB252" s="67"/>
      <c r="BC252" s="67"/>
      <c r="BD252" s="67"/>
      <c r="BE252" s="67"/>
      <c r="BF252" s="67"/>
      <c r="BG252" s="67" t="str" vm="14021">
        <f>CUBEVALUE(ConnectionString,ReportMonth,Table1[[#This Row],[Site ID (from DATIM)]],"[Measures].[TX_NEW_F_A]")</f>
        <v/>
      </c>
      <c r="BH252" s="67" t="str" vm="11672">
        <f>CUBEVALUE(ConnectionString,ReportMonth,Table1[[#This Row],[Site ID (from DATIM)]],"[Measures].[TX_NEW_M_A]")</f>
        <v/>
      </c>
      <c r="BI252" s="67" t="str" vm="12960">
        <f>CUBEVALUE(ConnectionString,ReportMonth,Table1[[#This Row],[Site ID (from DATIM)]],"[Measures].[TX_NEW_F_P]")</f>
        <v/>
      </c>
      <c r="BJ252" s="68" t="str" vm="16139">
        <f>CUBEVALUE(ConnectionString,ReportMonth,Table1[[#This Row],[Site ID (from DATIM)]],"[Measures].[TX_NEW_M_P]")</f>
        <v/>
      </c>
      <c r="BK252" s="68"/>
      <c r="BL252" s="68"/>
      <c r="BM252" s="68"/>
      <c r="BN252" s="68"/>
      <c r="BO252" s="68"/>
      <c r="BP252" s="68"/>
      <c r="BQ252" s="68" t="str" vm="12017">
        <f>CUBEVALUE(ConnectionString,ReportMonth,Table1[[#This Row],[Site ID (from DATIM)]],"[Measures].[TX_CURR_F_P]")</f>
        <v/>
      </c>
      <c r="BR252" s="68" t="str" vm="9178">
        <f>CUBEVALUE(ConnectionString,ReportMonth,Table1[[#This Row],[Site ID (from DATIM)]],"[Measures].[TX_CURR_M_P]")</f>
        <v/>
      </c>
      <c r="BS252" s="68" t="str" vm="13605">
        <f>CUBEVALUE(ConnectionString,ReportMonth,Table1[[#This Row],[Site ID (from DATIM)]],"[Measures].[TX_CURR_F_A]")</f>
        <v/>
      </c>
      <c r="BT252" s="68" t="str" vm="7480">
        <f>CUBEVALUE(ConnectionString,ReportMonth,Table1[[#This Row],[Site ID (from DATIM)]],"[Measures].[TX_CURR_M_A]")</f>
        <v/>
      </c>
      <c r="BU252" s="68" t="str" vm="18610">
        <f>CUBEVALUE(ConnectionString,ReportMonth,Table1[[#This Row],[Site ID (from DATIM)]],"[Measures].[MMS_01_89_F_P]")</f>
        <v/>
      </c>
      <c r="BV252" s="68" t="str" vm="18417">
        <f>CUBEVALUE(ConnectionString,ReportMonth,Table1[[#This Row],[Site ID (from DATIM)]],"[Measures].[MMS_01_89_M_P]")</f>
        <v/>
      </c>
      <c r="BW252" s="68" t="str" vm="18547">
        <f>CUBEVALUE(ConnectionString,ReportMonth,Table1[[#This Row],[Site ID (from DATIM)]],"[Measures].[MMS_01_89_F_A]")</f>
        <v/>
      </c>
      <c r="BX252" s="68" t="str" vm="18902">
        <f>CUBEVALUE(ConnectionString,ReportMonth,Table1[[#This Row],[Site ID (from DATIM)]],"[Measures].[MMS_01_89_M_A]")</f>
        <v/>
      </c>
      <c r="BY252" s="68" t="str" vm="17926">
        <f>CUBEVALUE(ConnectionString,ReportMonth,Table1[[#This Row],[Site ID (from DATIM)]],"[Measures].[MMS_90_179_F_P]")</f>
        <v/>
      </c>
      <c r="BZ252" s="68" t="str" vm="17743">
        <f>CUBEVALUE(ConnectionString,ReportMonth,Table1[[#This Row],[Site ID (from DATIM)]],"[Measures].[MMS_90_179_M_P]")</f>
        <v/>
      </c>
      <c r="CA252" s="68" t="str" vm="16423">
        <f>CUBEVALUE(ConnectionString,ReportMonth,Table1[[#This Row],[Site ID (from DATIM)]],"[Measures].[MMS_90_179_F_A]")</f>
        <v/>
      </c>
      <c r="CB252" s="68" t="str" vm="17731">
        <f>CUBEVALUE(ConnectionString,ReportMonth,Table1[[#This Row],[Site ID (from DATIM)]],"[Measures].[MMS_90_179_M_A]")</f>
        <v/>
      </c>
      <c r="CC252" s="68" t="str" vm="15028">
        <f>CUBEVALUE(ConnectionString,ReportMonth,Table1[[#This Row],[Site ID (from DATIM)]],"[Measures].[MMS_180+_F_P]")</f>
        <v/>
      </c>
      <c r="CD252" s="68" t="str" vm="17169">
        <f>CUBEVALUE(ConnectionString,ReportMonth,Table1[[#This Row],[Site ID (from DATIM)]],"[Measures].[MMS_180+_M_P]")</f>
        <v/>
      </c>
      <c r="CE252" s="68" t="str" vm="17535">
        <f>CUBEVALUE(ConnectionString,ReportMonth,Table1[[#This Row],[Site ID (from DATIM)]],"[Measures].[MMS_180+_F_A]")</f>
        <v/>
      </c>
      <c r="CF252" s="68" t="str" vm="20211">
        <f>CUBEVALUE(ConnectionString,ReportMonth,Table1[[#This Row],[Site ID (from DATIM)]],"[Measures].[MMS_180+_M_A]")</f>
        <v/>
      </c>
      <c r="CG252" s="68" t="str" vm="5643">
        <f>CUBEVALUE(ConnectionString,ReportMonth,Table1[[#This Row],[Site ID (from DATIM)]],"[Measures].[MISSEDAPP]")</f>
        <v/>
      </c>
      <c r="CH252" s="68" t="str" vm="12992">
        <f>CUBEVALUE(ConnectionString,ReportMonth,Table1[[#This Row],[Site ID (from DATIM)]],"[Measures].[MMS_180+_P]")</f>
        <v/>
      </c>
      <c r="CI252" s="68" t="str" vm="10401">
        <f>CUBEVALUE(ConnectionString,ReportMonth,Table1[[#This Row],[Site ID (from DATIM)]],"[Measures].[MMS_180+_A]")</f>
        <v/>
      </c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  <c r="CW252" s="68"/>
      <c r="CX252" s="68"/>
      <c r="CY252" s="68"/>
      <c r="CZ252" s="68"/>
      <c r="DA252" s="68"/>
      <c r="DB252" s="68"/>
      <c r="DC252" s="68"/>
    </row>
    <row r="253" spans="1:107" x14ac:dyDescent="0.25">
      <c r="A253" s="66">
        <v>4</v>
      </c>
      <c r="B253" s="67" t="str" vm="4">
        <f t="shared" si="4"/>
        <v>Mar-2021</v>
      </c>
      <c r="C253" s="67"/>
      <c r="D253" s="67" t="s">
        <v>232</v>
      </c>
      <c r="E253" s="67" t="s">
        <v>233</v>
      </c>
      <c r="F253" s="67" t="s">
        <v>831</v>
      </c>
      <c r="G253" s="67"/>
      <c r="H253" s="67" t="s">
        <v>856</v>
      </c>
      <c r="I253" s="67" t="s">
        <v>981</v>
      </c>
      <c r="J253" s="67" t="s">
        <v>982</v>
      </c>
      <c r="K253" s="67" t="s">
        <v>983</v>
      </c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 t="str" vm="1751">
        <f>CUBEVALUE(ConnectionString,ReportMonth,Table1[[#This Row],[Site ID (from DATIM)]],"TX_NEW_2VIS")</f>
        <v/>
      </c>
      <c r="AE253" s="67" t="str" vm="71">
        <f>CUBEVALUE(ConnectionString,ReportMonth,Table1[[#This Row],[Site ID (from DATIM)]],INDEX(SDI_Measures,1))</f>
        <v/>
      </c>
      <c r="AF253" s="67" t="str" vm="864">
        <f>CUBEVALUE(ConnectionString,ReportMonth,Table1[[#This Row],[Site ID (from DATIM)]],INDEX(SDI_Measures,2))</f>
        <v/>
      </c>
      <c r="AG253" s="67" t="str" vm="596">
        <f>CUBEVALUE(ConnectionString,ReportMonth,Table1[[#This Row],[Site ID (from DATIM)]],INDEX(SDI_Measures,3))</f>
        <v/>
      </c>
      <c r="AH253" s="67" vm="3276">
        <f>CUBEVALUE(ConnectionString,ReportMonth,Table1[[#This Row],[Site ID (from DATIM)]],"TX_CURR_PRIOR_MONTH")</f>
        <v>227</v>
      </c>
      <c r="AI253" s="67" vm="1006">
        <f>CUBEVALUE(ConnectionString,ReportMonth,Table1[[#This Row],[Site ID (from DATIM)]],"TX_CURR")</f>
        <v>216</v>
      </c>
      <c r="AJ253" s="67" t="str" vm="3287">
        <f>CUBEVALUE(ConnectionString,ReportMonth,Table1[[#This Row],[Site ID (from DATIM)]],"[Measures].[TI]")</f>
        <v/>
      </c>
      <c r="AK253" s="67" t="str" vm="5916">
        <f>CUBEVALUE(ConnectionString,ReportMonth,Table1[[#This Row],[Site ID (from DATIM)]],"[Measures].[TO]")</f>
        <v/>
      </c>
      <c r="AL253" s="67" vm="4130">
        <f>CUBEVALUE(ConnectionString,ReportMonth,Table1[[#This Row],[Site ID (from DATIM)]],"[Measures].[DIED]")</f>
        <v>2</v>
      </c>
      <c r="AM253" s="67" vm="6534">
        <f>CUBEVALUE(ConnectionString,ReportMonth,Table1[[#This Row],[Site ID (from DATIM)]],"[Measures].[MMS_01_31]")</f>
        <v>40</v>
      </c>
      <c r="AN253" s="67" vm="6301">
        <f>CUBEVALUE(ConnectionString,ReportMonth,Table1[[#This Row],[Site ID (from DATIM)]],"[Measures].[MMS_32_62]")</f>
        <v>3</v>
      </c>
      <c r="AO253" s="67" vm="7464">
        <f>CUBEVALUE(ConnectionString,ReportMonth,Table1[[#This Row],[Site ID (from DATIM)]],"[Measures].[MMS_63+]")</f>
        <v>173</v>
      </c>
      <c r="AP253" s="67" vm="7595">
        <f>CUBEVALUE(ConnectionString,ReportMonth,Table1[[#This Row],[Site ID (from DATIM)]],"[Measures].[TBPREV_D]")</f>
        <v>3</v>
      </c>
      <c r="AQ253" s="67" vm="6124">
        <f>CUBEVALUE(ConnectionString,ReportMonth,Table1[[#This Row],[Site ID (from DATIM)]],"[Measures].[TBPREV_N]")</f>
        <v>2</v>
      </c>
      <c r="AR253" s="67" t="str" vm="6992">
        <f>CUBEVALUE(ConnectionString,ReportMonth,Table1[[#This Row],[Site ID (from DATIM)]],"[Measures].[TBPREV_NEW]")</f>
        <v/>
      </c>
      <c r="AS253" s="67" vm="9460">
        <f>CUBEVALUE(ConnectionString,ReportMonth,Table1[[#This Row],[Site ID (from DATIM)]],"[Measures].[HVL_ELIG_P]")</f>
        <v>15</v>
      </c>
      <c r="AT253" s="67" vm="4839">
        <f>CUBEVALUE(ConnectionString,ReportMonth,Table1[[#This Row],[Site ID (from DATIM)]],"[Measures].[HVL_D_P]")</f>
        <v>15</v>
      </c>
      <c r="AU253" s="67" vm="10538">
        <f>CUBEVALUE(ConnectionString,ReportMonth,Table1[[#This Row],[Site ID (from DATIM)]],"[Measures].[HVL_N_P]")</f>
        <v>12</v>
      </c>
      <c r="AV253" s="68" vm="8966">
        <f>CUBEVALUE(ConnectionString,ReportMonth,Table1[[#This Row],[Site ID (from DATIM)]],"[Measures].[HVL_ELIG_A]")</f>
        <v>194</v>
      </c>
      <c r="AW253" s="68" vm="14265">
        <f>CUBEVALUE(ConnectionString,ReportMonth,Table1[[#This Row],[Site ID (from DATIM)]],"[Measures].[HVL_D_A]")</f>
        <v>188</v>
      </c>
      <c r="AX253" s="68" vm="13921">
        <f>CUBEVALUE(ConnectionString,ReportMonth,Table1[[#This Row],[Site ID (from DATIM)]],"[Measures].[HVL_N_A]")</f>
        <v>175</v>
      </c>
      <c r="AY253" s="67"/>
      <c r="AZ253" s="67"/>
      <c r="BA253" s="67"/>
      <c r="BB253" s="67"/>
      <c r="BC253" s="67"/>
      <c r="BD253" s="67"/>
      <c r="BE253" s="67"/>
      <c r="BF253" s="67"/>
      <c r="BG253" s="67" t="str" vm="13886">
        <f>CUBEVALUE(ConnectionString,ReportMonth,Table1[[#This Row],[Site ID (from DATIM)]],"[Measures].[TX_NEW_F_A]")</f>
        <v/>
      </c>
      <c r="BH253" s="67" t="str" vm="15303">
        <f>CUBEVALUE(ConnectionString,ReportMonth,Table1[[#This Row],[Site ID (from DATIM)]],"[Measures].[TX_NEW_M_A]")</f>
        <v/>
      </c>
      <c r="BI253" s="67" t="str" vm="11015">
        <f>CUBEVALUE(ConnectionString,ReportMonth,Table1[[#This Row],[Site ID (from DATIM)]],"[Measures].[TX_NEW_F_P]")</f>
        <v/>
      </c>
      <c r="BJ253" s="68" t="str" vm="12581">
        <f>CUBEVALUE(ConnectionString,ReportMonth,Table1[[#This Row],[Site ID (from DATIM)]],"[Measures].[TX_NEW_M_P]")</f>
        <v/>
      </c>
      <c r="BK253" s="68"/>
      <c r="BL253" s="68"/>
      <c r="BM253" s="68"/>
      <c r="BN253" s="68"/>
      <c r="BO253" s="68"/>
      <c r="BP253" s="68"/>
      <c r="BQ253" s="68" vm="8347">
        <f>CUBEVALUE(ConnectionString,ReportMonth,Table1[[#This Row],[Site ID (from DATIM)]],"[Measures].[TX_CURR_F_P]")</f>
        <v>8</v>
      </c>
      <c r="BR253" s="68" vm="10549">
        <f>CUBEVALUE(ConnectionString,ReportMonth,Table1[[#This Row],[Site ID (from DATIM)]],"[Measures].[TX_CURR_M_P]")</f>
        <v>7</v>
      </c>
      <c r="BS253" s="68" vm="11061">
        <f>CUBEVALUE(ConnectionString,ReportMonth,Table1[[#This Row],[Site ID (from DATIM)]],"[Measures].[TX_CURR_F_A]")</f>
        <v>141</v>
      </c>
      <c r="BT253" s="68" vm="10197">
        <f>CUBEVALUE(ConnectionString,ReportMonth,Table1[[#This Row],[Site ID (from DATIM)]],"[Measures].[TX_CURR_M_A]")</f>
        <v>60</v>
      </c>
      <c r="BU253" s="68" vm="18078">
        <f>CUBEVALUE(ConnectionString,ReportMonth,Table1[[#This Row],[Site ID (from DATIM)]],"[Measures].[MMS_01_89_F_P]")</f>
        <v>3</v>
      </c>
      <c r="BV253" s="68" vm="18416">
        <f>CUBEVALUE(ConnectionString,ReportMonth,Table1[[#This Row],[Site ID (from DATIM)]],"[Measures].[MMS_01_89_M_P]")</f>
        <v>4</v>
      </c>
      <c r="BW253" s="68" vm="18301">
        <f>CUBEVALUE(ConnectionString,ReportMonth,Table1[[#This Row],[Site ID (from DATIM)]],"[Measures].[MMS_01_89_F_A]")</f>
        <v>25</v>
      </c>
      <c r="BX253" s="68" vm="19577">
        <f>CUBEVALUE(ConnectionString,ReportMonth,Table1[[#This Row],[Site ID (from DATIM)]],"[Measures].[MMS_01_89_M_A]")</f>
        <v>12</v>
      </c>
      <c r="BY253" s="68" vm="19966">
        <f>CUBEVALUE(ConnectionString,ReportMonth,Table1[[#This Row],[Site ID (from DATIM)]],"[Measures].[MMS_90_179_F_P]")</f>
        <v>5</v>
      </c>
      <c r="BZ253" s="68" vm="16988">
        <f>CUBEVALUE(ConnectionString,ReportMonth,Table1[[#This Row],[Site ID (from DATIM)]],"[Measures].[MMS_90_179_M_P]")</f>
        <v>3</v>
      </c>
      <c r="CA253" s="68" vm="17255">
        <f>CUBEVALUE(ConnectionString,ReportMonth,Table1[[#This Row],[Site ID (from DATIM)]],"[Measures].[MMS_90_179_F_A]")</f>
        <v>116</v>
      </c>
      <c r="CB253" s="68" vm="15614">
        <f>CUBEVALUE(ConnectionString,ReportMonth,Table1[[#This Row],[Site ID (from DATIM)]],"[Measures].[MMS_90_179_M_A]")</f>
        <v>48</v>
      </c>
      <c r="CC253" s="68" t="str" vm="17151">
        <f>CUBEVALUE(ConnectionString,ReportMonth,Table1[[#This Row],[Site ID (from DATIM)]],"[Measures].[MMS_180+_F_P]")</f>
        <v/>
      </c>
      <c r="CD253" s="68" t="str" vm="14527">
        <f>CUBEVALUE(ConnectionString,ReportMonth,Table1[[#This Row],[Site ID (from DATIM)]],"[Measures].[MMS_180+_M_P]")</f>
        <v/>
      </c>
      <c r="CE253" s="68" t="str" vm="16734">
        <f>CUBEVALUE(ConnectionString,ReportMonth,Table1[[#This Row],[Site ID (from DATIM)]],"[Measures].[MMS_180+_F_A]")</f>
        <v/>
      </c>
      <c r="CF253" s="68" t="str" vm="15347">
        <f>CUBEVALUE(ConnectionString,ReportMonth,Table1[[#This Row],[Site ID (from DATIM)]],"[Measures].[MMS_180+_M_A]")</f>
        <v/>
      </c>
      <c r="CG253" s="68" vm="5306">
        <f>CUBEVALUE(ConnectionString,ReportMonth,Table1[[#This Row],[Site ID (from DATIM)]],"[Measures].[MISSEDAPP]")</f>
        <v>84</v>
      </c>
      <c r="CH253" s="68" t="str" vm="10657">
        <f>CUBEVALUE(ConnectionString,ReportMonth,Table1[[#This Row],[Site ID (from DATIM)]],"[Measures].[MMS_180+_P]")</f>
        <v/>
      </c>
      <c r="CI253" s="68" t="str" vm="10215">
        <f>CUBEVALUE(ConnectionString,ReportMonth,Table1[[#This Row],[Site ID (from DATIM)]],"[Measures].[MMS_180+_A]")</f>
        <v/>
      </c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  <c r="CW253" s="68"/>
      <c r="CX253" s="68"/>
      <c r="CY253" s="68"/>
      <c r="CZ253" s="68"/>
      <c r="DA253" s="68"/>
      <c r="DB253" s="68"/>
      <c r="DC253" s="68"/>
    </row>
    <row r="254" spans="1:107" x14ac:dyDescent="0.25">
      <c r="A254" s="66">
        <v>4</v>
      </c>
      <c r="B254" s="67" t="str" vm="4">
        <f t="shared" si="4"/>
        <v>Mar-2021</v>
      </c>
      <c r="C254" s="67"/>
      <c r="D254" s="67" t="s">
        <v>232</v>
      </c>
      <c r="E254" s="67" t="s">
        <v>233</v>
      </c>
      <c r="F254" s="67" t="s">
        <v>1286</v>
      </c>
      <c r="G254" s="67"/>
      <c r="H254" s="67" t="s">
        <v>1323</v>
      </c>
      <c r="I254" s="67" t="s">
        <v>1341</v>
      </c>
      <c r="J254" s="67" t="s">
        <v>1414</v>
      </c>
      <c r="K254" s="67" t="s">
        <v>1415</v>
      </c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 t="str" vm="3323">
        <f>CUBEVALUE(ConnectionString,ReportMonth,Table1[[#This Row],[Site ID (from DATIM)]],"TX_NEW_2VIS")</f>
        <v/>
      </c>
      <c r="AE254" s="67" t="str" vm="1666">
        <f>CUBEVALUE(ConnectionString,ReportMonth,Table1[[#This Row],[Site ID (from DATIM)]],INDEX(SDI_Measures,1))</f>
        <v/>
      </c>
      <c r="AF254" s="67" t="str" vm="1151">
        <f>CUBEVALUE(ConnectionString,ReportMonth,Table1[[#This Row],[Site ID (from DATIM)]],INDEX(SDI_Measures,2))</f>
        <v/>
      </c>
      <c r="AG254" s="67" t="str" vm="1452">
        <f>CUBEVALUE(ConnectionString,ReportMonth,Table1[[#This Row],[Site ID (from DATIM)]],INDEX(SDI_Measures,3))</f>
        <v/>
      </c>
      <c r="AH254" s="67" t="str" vm="1962">
        <f>CUBEVALUE(ConnectionString,ReportMonth,Table1[[#This Row],[Site ID (from DATIM)]],"TX_CURR_PRIOR_MONTH")</f>
        <v/>
      </c>
      <c r="AI254" s="67" t="str" vm="3267">
        <f>CUBEVALUE(ConnectionString,ReportMonth,Table1[[#This Row],[Site ID (from DATIM)]],"TX_CURR")</f>
        <v/>
      </c>
      <c r="AJ254" s="67" t="str" vm="3755">
        <f>CUBEVALUE(ConnectionString,ReportMonth,Table1[[#This Row],[Site ID (from DATIM)]],"[Measures].[TI]")</f>
        <v/>
      </c>
      <c r="AK254" s="67" t="str" vm="1658">
        <f>CUBEVALUE(ConnectionString,ReportMonth,Table1[[#This Row],[Site ID (from DATIM)]],"[Measures].[TO]")</f>
        <v/>
      </c>
      <c r="AL254" s="67" t="str" vm="4517">
        <f>CUBEVALUE(ConnectionString,ReportMonth,Table1[[#This Row],[Site ID (from DATIM)]],"[Measures].[DIED]")</f>
        <v/>
      </c>
      <c r="AM254" s="67" t="str" vm="4007">
        <f>CUBEVALUE(ConnectionString,ReportMonth,Table1[[#This Row],[Site ID (from DATIM)]],"[Measures].[MMS_01_31]")</f>
        <v/>
      </c>
      <c r="AN254" s="67" t="str" vm="5528">
        <f>CUBEVALUE(ConnectionString,ReportMonth,Table1[[#This Row],[Site ID (from DATIM)]],"[Measures].[MMS_32_62]")</f>
        <v/>
      </c>
      <c r="AO254" s="67" t="str" vm="7317">
        <f>CUBEVALUE(ConnectionString,ReportMonth,Table1[[#This Row],[Site ID (from DATIM)]],"[Measures].[MMS_63+]")</f>
        <v/>
      </c>
      <c r="AP254" s="67" t="str" vm="7105">
        <f>CUBEVALUE(ConnectionString,ReportMonth,Table1[[#This Row],[Site ID (from DATIM)]],"[Measures].[TBPREV_D]")</f>
        <v/>
      </c>
      <c r="AQ254" s="67" t="str" vm="7168">
        <f>CUBEVALUE(ConnectionString,ReportMonth,Table1[[#This Row],[Site ID (from DATIM)]],"[Measures].[TBPREV_N]")</f>
        <v/>
      </c>
      <c r="AR254" s="67" t="str" vm="9166">
        <f>CUBEVALUE(ConnectionString,ReportMonth,Table1[[#This Row],[Site ID (from DATIM)]],"[Measures].[TBPREV_NEW]")</f>
        <v/>
      </c>
      <c r="AS254" s="67" t="str" vm="4934">
        <f>CUBEVALUE(ConnectionString,ReportMonth,Table1[[#This Row],[Site ID (from DATIM)]],"[Measures].[HVL_ELIG_P]")</f>
        <v/>
      </c>
      <c r="AT254" s="67" t="str" vm="7012">
        <f>CUBEVALUE(ConnectionString,ReportMonth,Table1[[#This Row],[Site ID (from DATIM)]],"[Measures].[HVL_D_P]")</f>
        <v/>
      </c>
      <c r="AU254" s="67" t="str" vm="12645">
        <f>CUBEVALUE(ConnectionString,ReportMonth,Table1[[#This Row],[Site ID (from DATIM)]],"[Measures].[HVL_N_P]")</f>
        <v/>
      </c>
      <c r="AV254" s="68" t="str" vm="8837">
        <f>CUBEVALUE(ConnectionString,ReportMonth,Table1[[#This Row],[Site ID (from DATIM)]],"[Measures].[HVL_ELIG_A]")</f>
        <v/>
      </c>
      <c r="AW254" s="68" t="str" vm="13867">
        <f>CUBEVALUE(ConnectionString,ReportMonth,Table1[[#This Row],[Site ID (from DATIM)]],"[Measures].[HVL_D_A]")</f>
        <v/>
      </c>
      <c r="AX254" s="68" t="str" vm="11344">
        <f>CUBEVALUE(ConnectionString,ReportMonth,Table1[[#This Row],[Site ID (from DATIM)]],"[Measures].[HVL_N_A]")</f>
        <v/>
      </c>
      <c r="AY254" s="67"/>
      <c r="AZ254" s="67"/>
      <c r="BA254" s="67"/>
      <c r="BB254" s="67"/>
      <c r="BC254" s="67"/>
      <c r="BD254" s="67"/>
      <c r="BE254" s="67"/>
      <c r="BF254" s="67"/>
      <c r="BG254" s="67" t="str" vm="13407">
        <f>CUBEVALUE(ConnectionString,ReportMonth,Table1[[#This Row],[Site ID (from DATIM)]],"[Measures].[TX_NEW_F_A]")</f>
        <v/>
      </c>
      <c r="BH254" s="67" t="str" vm="10680">
        <f>CUBEVALUE(ConnectionString,ReportMonth,Table1[[#This Row],[Site ID (from DATIM)]],"[Measures].[TX_NEW_M_A]")</f>
        <v/>
      </c>
      <c r="BI254" s="67" t="str" vm="13476">
        <f>CUBEVALUE(ConnectionString,ReportMonth,Table1[[#This Row],[Site ID (from DATIM)]],"[Measures].[TX_NEW_F_P]")</f>
        <v/>
      </c>
      <c r="BJ254" s="68" t="str" vm="15297">
        <f>CUBEVALUE(ConnectionString,ReportMonth,Table1[[#This Row],[Site ID (from DATIM)]],"[Measures].[TX_NEW_M_P]")</f>
        <v/>
      </c>
      <c r="BK254" s="68"/>
      <c r="BL254" s="68"/>
      <c r="BM254" s="68"/>
      <c r="BN254" s="68"/>
      <c r="BO254" s="68"/>
      <c r="BP254" s="68"/>
      <c r="BQ254" s="68" t="str" vm="8319">
        <f>CUBEVALUE(ConnectionString,ReportMonth,Table1[[#This Row],[Site ID (from DATIM)]],"[Measures].[TX_CURR_F_P]")</f>
        <v/>
      </c>
      <c r="BR254" s="68" t="str" vm="7288">
        <f>CUBEVALUE(ConnectionString,ReportMonth,Table1[[#This Row],[Site ID (from DATIM)]],"[Measures].[TX_CURR_M_P]")</f>
        <v/>
      </c>
      <c r="BS254" s="68" t="str" vm="12148">
        <f>CUBEVALUE(ConnectionString,ReportMonth,Table1[[#This Row],[Site ID (from DATIM)]],"[Measures].[TX_CURR_F_A]")</f>
        <v/>
      </c>
      <c r="BT254" s="68" t="str" vm="11400">
        <f>CUBEVALUE(ConnectionString,ReportMonth,Table1[[#This Row],[Site ID (from DATIM)]],"[Measures].[TX_CURR_M_A]")</f>
        <v/>
      </c>
      <c r="BU254" s="68" t="str" vm="19808">
        <f>CUBEVALUE(ConnectionString,ReportMonth,Table1[[#This Row],[Site ID (from DATIM)]],"[Measures].[MMS_01_89_F_P]")</f>
        <v/>
      </c>
      <c r="BV254" s="68" t="str" vm="19470">
        <f>CUBEVALUE(ConnectionString,ReportMonth,Table1[[#This Row],[Site ID (from DATIM)]],"[Measures].[MMS_01_89_M_P]")</f>
        <v/>
      </c>
      <c r="BW254" s="68" t="str" vm="19362">
        <f>CUBEVALUE(ConnectionString,ReportMonth,Table1[[#This Row],[Site ID (from DATIM)]],"[Measures].[MMS_01_89_F_A]")</f>
        <v/>
      </c>
      <c r="BX254" s="68" t="str" vm="19174">
        <f>CUBEVALUE(ConnectionString,ReportMonth,Table1[[#This Row],[Site ID (from DATIM)]],"[Measures].[MMS_01_89_M_A]")</f>
        <v/>
      </c>
      <c r="BY254" s="68" t="str" vm="18528">
        <f>CUBEVALUE(ConnectionString,ReportMonth,Table1[[#This Row],[Site ID (from DATIM)]],"[Measures].[MMS_90_179_F_P]")</f>
        <v/>
      </c>
      <c r="BZ254" s="68" t="str" vm="17784">
        <f>CUBEVALUE(ConnectionString,ReportMonth,Table1[[#This Row],[Site ID (from DATIM)]],"[Measures].[MMS_90_179_M_P]")</f>
        <v/>
      </c>
      <c r="CA254" s="68" t="str" vm="17870">
        <f>CUBEVALUE(ConnectionString,ReportMonth,Table1[[#This Row],[Site ID (from DATIM)]],"[Measures].[MMS_90_179_F_A]")</f>
        <v/>
      </c>
      <c r="CB254" s="68" t="str" vm="19041">
        <f>CUBEVALUE(ConnectionString,ReportMonth,Table1[[#This Row],[Site ID (from DATIM)]],"[Measures].[MMS_90_179_M_A]")</f>
        <v/>
      </c>
      <c r="CC254" s="68" t="str" vm="16499">
        <f>CUBEVALUE(ConnectionString,ReportMonth,Table1[[#This Row],[Site ID (from DATIM)]],"[Measures].[MMS_180+_F_P]")</f>
        <v/>
      </c>
      <c r="CD254" s="68" t="str" vm="16741">
        <f>CUBEVALUE(ConnectionString,ReportMonth,Table1[[#This Row],[Site ID (from DATIM)]],"[Measures].[MMS_180+_M_P]")</f>
        <v/>
      </c>
      <c r="CE254" s="68" t="str" vm="146">
        <f>CUBEVALUE(ConnectionString,ReportMonth,Table1[[#This Row],[Site ID (from DATIM)]],"[Measures].[MMS_180+_F_A]")</f>
        <v/>
      </c>
      <c r="CF254" s="68" t="str" vm="15789">
        <f>CUBEVALUE(ConnectionString,ReportMonth,Table1[[#This Row],[Site ID (from DATIM)]],"[Measures].[MMS_180+_M_A]")</f>
        <v/>
      </c>
      <c r="CG254" s="68" t="str" vm="10695">
        <f>CUBEVALUE(ConnectionString,ReportMonth,Table1[[#This Row],[Site ID (from DATIM)]],"[Measures].[MISSEDAPP]")</f>
        <v/>
      </c>
      <c r="CH254" s="68" t="str" vm="11888">
        <f>CUBEVALUE(ConnectionString,ReportMonth,Table1[[#This Row],[Site ID (from DATIM)]],"[Measures].[MMS_180+_P]")</f>
        <v/>
      </c>
      <c r="CI254" s="68" t="str" vm="10408">
        <f>CUBEVALUE(ConnectionString,ReportMonth,Table1[[#This Row],[Site ID (from DATIM)]],"[Measures].[MMS_180+_A]")</f>
        <v/>
      </c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  <c r="CW254" s="68"/>
      <c r="CX254" s="68"/>
      <c r="CY254" s="68"/>
      <c r="CZ254" s="68"/>
      <c r="DA254" s="68"/>
      <c r="DB254" s="68"/>
      <c r="DC254" s="68"/>
    </row>
    <row r="255" spans="1:107" x14ac:dyDescent="0.25">
      <c r="A255" s="66">
        <v>4</v>
      </c>
      <c r="B255" s="67" t="str" vm="4">
        <f t="shared" si="4"/>
        <v>Mar-2021</v>
      </c>
      <c r="C255" s="67"/>
      <c r="D255" s="67" t="s">
        <v>232</v>
      </c>
      <c r="E255" s="67" t="s">
        <v>233</v>
      </c>
      <c r="F255" s="67" t="s">
        <v>437</v>
      </c>
      <c r="G255" s="67"/>
      <c r="H255" s="67" t="s">
        <v>438</v>
      </c>
      <c r="I255" s="67" t="s">
        <v>661</v>
      </c>
      <c r="J255" s="67" t="s">
        <v>662</v>
      </c>
      <c r="K255" s="67" t="s">
        <v>663</v>
      </c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 t="str" vm="1986">
        <f>CUBEVALUE(ConnectionString,ReportMonth,Table1[[#This Row],[Site ID (from DATIM)]],"TX_NEW_2VIS")</f>
        <v/>
      </c>
      <c r="AE255" s="67" t="str" vm="4160">
        <f>CUBEVALUE(ConnectionString,ReportMonth,Table1[[#This Row],[Site ID (from DATIM)]],INDEX(SDI_Measures,1))</f>
        <v/>
      </c>
      <c r="AF255" s="67" t="str" vm="3966">
        <f>CUBEVALUE(ConnectionString,ReportMonth,Table1[[#This Row],[Site ID (from DATIM)]],INDEX(SDI_Measures,2))</f>
        <v/>
      </c>
      <c r="AG255" s="67" t="str" vm="427">
        <f>CUBEVALUE(ConnectionString,ReportMonth,Table1[[#This Row],[Site ID (from DATIM)]],INDEX(SDI_Measures,3))</f>
        <v/>
      </c>
      <c r="AH255" s="67" t="str" vm="2293">
        <f>CUBEVALUE(ConnectionString,ReportMonth,Table1[[#This Row],[Site ID (from DATIM)]],"TX_CURR_PRIOR_MONTH")</f>
        <v/>
      </c>
      <c r="AI255" s="67" t="str" vm="3953">
        <f>CUBEVALUE(ConnectionString,ReportMonth,Table1[[#This Row],[Site ID (from DATIM)]],"TX_CURR")</f>
        <v/>
      </c>
      <c r="AJ255" s="67" t="str" vm="6458">
        <f>CUBEVALUE(ConnectionString,ReportMonth,Table1[[#This Row],[Site ID (from DATIM)]],"[Measures].[TI]")</f>
        <v/>
      </c>
      <c r="AK255" s="67" t="str" vm="888">
        <f>CUBEVALUE(ConnectionString,ReportMonth,Table1[[#This Row],[Site ID (from DATIM)]],"[Measures].[TO]")</f>
        <v/>
      </c>
      <c r="AL255" s="67" t="str" vm="6168">
        <f>CUBEVALUE(ConnectionString,ReportMonth,Table1[[#This Row],[Site ID (from DATIM)]],"[Measures].[DIED]")</f>
        <v/>
      </c>
      <c r="AM255" s="67" t="str" vm="3535">
        <f>CUBEVALUE(ConnectionString,ReportMonth,Table1[[#This Row],[Site ID (from DATIM)]],"[Measures].[MMS_01_31]")</f>
        <v/>
      </c>
      <c r="AN255" s="67" t="str" vm="7159">
        <f>CUBEVALUE(ConnectionString,ReportMonth,Table1[[#This Row],[Site ID (from DATIM)]],"[Measures].[MMS_32_62]")</f>
        <v/>
      </c>
      <c r="AO255" s="67" t="str" vm="6543">
        <f>CUBEVALUE(ConnectionString,ReportMonth,Table1[[#This Row],[Site ID (from DATIM)]],"[Measures].[MMS_63+]")</f>
        <v/>
      </c>
      <c r="AP255" s="67" t="str" vm="5719">
        <f>CUBEVALUE(ConnectionString,ReportMonth,Table1[[#This Row],[Site ID (from DATIM)]],"[Measures].[TBPREV_D]")</f>
        <v/>
      </c>
      <c r="AQ255" s="67" t="str" vm="7307">
        <f>CUBEVALUE(ConnectionString,ReportMonth,Table1[[#This Row],[Site ID (from DATIM)]],"[Measures].[TBPREV_N]")</f>
        <v/>
      </c>
      <c r="AR255" s="67" t="str" vm="9001">
        <f>CUBEVALUE(ConnectionString,ReportMonth,Table1[[#This Row],[Site ID (from DATIM)]],"[Measures].[TBPREV_NEW]")</f>
        <v/>
      </c>
      <c r="AS255" s="67" t="str" vm="8328">
        <f>CUBEVALUE(ConnectionString,ReportMonth,Table1[[#This Row],[Site ID (from DATIM)]],"[Measures].[HVL_ELIG_P]")</f>
        <v/>
      </c>
      <c r="AT255" s="67" t="str" vm="9860">
        <f>CUBEVALUE(ConnectionString,ReportMonth,Table1[[#This Row],[Site ID (from DATIM)]],"[Measures].[HVL_D_P]")</f>
        <v/>
      </c>
      <c r="AU255" s="67" t="str" vm="7503">
        <f>CUBEVALUE(ConnectionString,ReportMonth,Table1[[#This Row],[Site ID (from DATIM)]],"[Measures].[HVL_N_P]")</f>
        <v/>
      </c>
      <c r="AV255" s="68" t="str" vm="9210">
        <f>CUBEVALUE(ConnectionString,ReportMonth,Table1[[#This Row],[Site ID (from DATIM)]],"[Measures].[HVL_ELIG_A]")</f>
        <v/>
      </c>
      <c r="AW255" s="68" t="str" vm="10085">
        <f>CUBEVALUE(ConnectionString,ReportMonth,Table1[[#This Row],[Site ID (from DATIM)]],"[Measures].[HVL_D_A]")</f>
        <v/>
      </c>
      <c r="AX255" s="68" t="str" vm="8140">
        <f>CUBEVALUE(ConnectionString,ReportMonth,Table1[[#This Row],[Site ID (from DATIM)]],"[Measures].[HVL_N_A]")</f>
        <v/>
      </c>
      <c r="AY255" s="67"/>
      <c r="AZ255" s="67"/>
      <c r="BA255" s="67"/>
      <c r="BB255" s="67"/>
      <c r="BC255" s="67"/>
      <c r="BD255" s="67"/>
      <c r="BE255" s="67"/>
      <c r="BF255" s="67"/>
      <c r="BG255" s="67" t="str" vm="12277">
        <f>CUBEVALUE(ConnectionString,ReportMonth,Table1[[#This Row],[Site ID (from DATIM)]],"[Measures].[TX_NEW_F_A]")</f>
        <v/>
      </c>
      <c r="BH255" s="67" t="str" vm="13063">
        <f>CUBEVALUE(ConnectionString,ReportMonth,Table1[[#This Row],[Site ID (from DATIM)]],"[Measures].[TX_NEW_M_A]")</f>
        <v/>
      </c>
      <c r="BI255" s="67" t="str" vm="13697">
        <f>CUBEVALUE(ConnectionString,ReportMonth,Table1[[#This Row],[Site ID (from DATIM)]],"[Measures].[TX_NEW_F_P]")</f>
        <v/>
      </c>
      <c r="BJ255" s="68" t="str" vm="13201">
        <f>CUBEVALUE(ConnectionString,ReportMonth,Table1[[#This Row],[Site ID (from DATIM)]],"[Measures].[TX_NEW_M_P]")</f>
        <v/>
      </c>
      <c r="BK255" s="68"/>
      <c r="BL255" s="68"/>
      <c r="BM255" s="68"/>
      <c r="BN255" s="68"/>
      <c r="BO255" s="68"/>
      <c r="BP255" s="68"/>
      <c r="BQ255" s="68" t="str" vm="11311">
        <f>CUBEVALUE(ConnectionString,ReportMonth,Table1[[#This Row],[Site ID (from DATIM)]],"[Measures].[TX_CURR_F_P]")</f>
        <v/>
      </c>
      <c r="BR255" s="68" t="str" vm="13648">
        <f>CUBEVALUE(ConnectionString,ReportMonth,Table1[[#This Row],[Site ID (from DATIM)]],"[Measures].[TX_CURR_M_P]")</f>
        <v/>
      </c>
      <c r="BS255" s="68" t="str" vm="12995">
        <f>CUBEVALUE(ConnectionString,ReportMonth,Table1[[#This Row],[Site ID (from DATIM)]],"[Measures].[TX_CURR_F_A]")</f>
        <v/>
      </c>
      <c r="BT255" s="68" t="str" vm="12883">
        <f>CUBEVALUE(ConnectionString,ReportMonth,Table1[[#This Row],[Site ID (from DATIM)]],"[Measures].[TX_CURR_M_A]")</f>
        <v/>
      </c>
      <c r="BU255" s="68" t="str" vm="19496">
        <f>CUBEVALUE(ConnectionString,ReportMonth,Table1[[#This Row],[Site ID (from DATIM)]],"[Measures].[MMS_01_89_F_P]")</f>
        <v/>
      </c>
      <c r="BV255" s="68" t="str" vm="19814">
        <f>CUBEVALUE(ConnectionString,ReportMonth,Table1[[#This Row],[Site ID (from DATIM)]],"[Measures].[MMS_01_89_M_P]")</f>
        <v/>
      </c>
      <c r="BW255" s="68" t="str" vm="18592">
        <f>CUBEVALUE(ConnectionString,ReportMonth,Table1[[#This Row],[Site ID (from DATIM)]],"[Measures].[MMS_01_89_F_A]")</f>
        <v/>
      </c>
      <c r="BX255" s="68" t="str" vm="17919">
        <f>CUBEVALUE(ConnectionString,ReportMonth,Table1[[#This Row],[Site ID (from DATIM)]],"[Measures].[MMS_01_89_M_A]")</f>
        <v/>
      </c>
      <c r="BY255" s="68" t="str" vm="19872">
        <f>CUBEVALUE(ConnectionString,ReportMonth,Table1[[#This Row],[Site ID (from DATIM)]],"[Measures].[MMS_90_179_F_P]")</f>
        <v/>
      </c>
      <c r="BZ255" s="68" t="str" vm="18154">
        <f>CUBEVALUE(ConnectionString,ReportMonth,Table1[[#This Row],[Site ID (from DATIM)]],"[Measures].[MMS_90_179_M_P]")</f>
        <v/>
      </c>
      <c r="CA255" s="68" t="str" vm="16040">
        <f>CUBEVALUE(ConnectionString,ReportMonth,Table1[[#This Row],[Site ID (from DATIM)]],"[Measures].[MMS_90_179_F_A]")</f>
        <v/>
      </c>
      <c r="CB255" s="68" t="str" vm="15159">
        <f>CUBEVALUE(ConnectionString,ReportMonth,Table1[[#This Row],[Site ID (from DATIM)]],"[Measures].[MMS_90_179_M_A]")</f>
        <v/>
      </c>
      <c r="CC255" s="68" t="str" vm="16242">
        <f>CUBEVALUE(ConnectionString,ReportMonth,Table1[[#This Row],[Site ID (from DATIM)]],"[Measures].[MMS_180+_F_P]")</f>
        <v/>
      </c>
      <c r="CD255" s="68" t="str" vm="17485">
        <f>CUBEVALUE(ConnectionString,ReportMonth,Table1[[#This Row],[Site ID (from DATIM)]],"[Measures].[MMS_180+_M_P]")</f>
        <v/>
      </c>
      <c r="CE255" s="68" t="str" vm="22">
        <f>CUBEVALUE(ConnectionString,ReportMonth,Table1[[#This Row],[Site ID (from DATIM)]],"[Measures].[MMS_180+_F_A]")</f>
        <v/>
      </c>
      <c r="CF255" s="68" t="str" vm="187">
        <f>CUBEVALUE(ConnectionString,ReportMonth,Table1[[#This Row],[Site ID (from DATIM)]],"[Measures].[MMS_180+_M_A]")</f>
        <v/>
      </c>
      <c r="CG255" s="68" t="str" vm="8617">
        <f>CUBEVALUE(ConnectionString,ReportMonth,Table1[[#This Row],[Site ID (from DATIM)]],"[Measures].[MISSEDAPP]")</f>
        <v/>
      </c>
      <c r="CH255" s="68" t="str" vm="11933">
        <f>CUBEVALUE(ConnectionString,ReportMonth,Table1[[#This Row],[Site ID (from DATIM)]],"[Measures].[MMS_180+_P]")</f>
        <v/>
      </c>
      <c r="CI255" s="68" t="str" vm="12041">
        <f>CUBEVALUE(ConnectionString,ReportMonth,Table1[[#This Row],[Site ID (from DATIM)]],"[Measures].[MMS_180+_A]")</f>
        <v/>
      </c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  <c r="CW255" s="68"/>
      <c r="CX255" s="68"/>
      <c r="CY255" s="68"/>
      <c r="CZ255" s="68"/>
      <c r="DA255" s="68"/>
      <c r="DB255" s="68"/>
      <c r="DC255" s="68"/>
    </row>
    <row r="256" spans="1:107" x14ac:dyDescent="0.25">
      <c r="A256" s="66">
        <v>4</v>
      </c>
      <c r="B256" s="67" t="str" vm="4">
        <f t="shared" si="4"/>
        <v>Mar-2021</v>
      </c>
      <c r="C256" s="67"/>
      <c r="D256" s="67" t="s">
        <v>232</v>
      </c>
      <c r="E256" s="67" t="s">
        <v>233</v>
      </c>
      <c r="F256" s="67" t="s">
        <v>1083</v>
      </c>
      <c r="G256" s="67"/>
      <c r="H256" s="67" t="s">
        <v>1084</v>
      </c>
      <c r="I256" s="67" t="s">
        <v>1223</v>
      </c>
      <c r="J256" s="67" t="s">
        <v>1224</v>
      </c>
      <c r="K256" s="67" t="s">
        <v>1225</v>
      </c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 t="str" vm="853">
        <f>CUBEVALUE(ConnectionString,ReportMonth,Table1[[#This Row],[Site ID (from DATIM)]],"TX_NEW_2VIS")</f>
        <v/>
      </c>
      <c r="AE256" s="67" vm="7100">
        <f>CUBEVALUE(ConnectionString,ReportMonth,Table1[[#This Row],[Site ID (from DATIM)]],INDEX(SDI_Measures,1))</f>
        <v>1</v>
      </c>
      <c r="AF256" s="67" t="str" vm="6175">
        <f>CUBEVALUE(ConnectionString,ReportMonth,Table1[[#This Row],[Site ID (from DATIM)]],INDEX(SDI_Measures,2))</f>
        <v/>
      </c>
      <c r="AG256" s="67" t="str" vm="1012">
        <f>CUBEVALUE(ConnectionString,ReportMonth,Table1[[#This Row],[Site ID (from DATIM)]],INDEX(SDI_Measures,3))</f>
        <v/>
      </c>
      <c r="AH256" s="67" vm="508">
        <f>CUBEVALUE(ConnectionString,ReportMonth,Table1[[#This Row],[Site ID (from DATIM)]],"TX_CURR_PRIOR_MONTH")</f>
        <v>332</v>
      </c>
      <c r="AI256" s="67" vm="979">
        <f>CUBEVALUE(ConnectionString,ReportMonth,Table1[[#This Row],[Site ID (from DATIM)]],"TX_CURR")</f>
        <v>330</v>
      </c>
      <c r="AJ256" s="67" t="str" vm="2561">
        <f>CUBEVALUE(ConnectionString,ReportMonth,Table1[[#This Row],[Site ID (from DATIM)]],"[Measures].[TI]")</f>
        <v/>
      </c>
      <c r="AK256" s="67" t="str" vm="1534">
        <f>CUBEVALUE(ConnectionString,ReportMonth,Table1[[#This Row],[Site ID (from DATIM)]],"[Measures].[TO]")</f>
        <v/>
      </c>
      <c r="AL256" s="67" t="str" vm="3070">
        <f>CUBEVALUE(ConnectionString,ReportMonth,Table1[[#This Row],[Site ID (from DATIM)]],"[Measures].[DIED]")</f>
        <v/>
      </c>
      <c r="AM256" s="67" vm="4331">
        <f>CUBEVALUE(ConnectionString,ReportMonth,Table1[[#This Row],[Site ID (from DATIM)]],"[Measures].[MMS_01_31]")</f>
        <v>58</v>
      </c>
      <c r="AN256" s="67" vm="5611">
        <f>CUBEVALUE(ConnectionString,ReportMonth,Table1[[#This Row],[Site ID (from DATIM)]],"[Measures].[MMS_32_62]")</f>
        <v>57</v>
      </c>
      <c r="AO256" s="67" vm="9774">
        <f>CUBEVALUE(ConnectionString,ReportMonth,Table1[[#This Row],[Site ID (from DATIM)]],"[Measures].[MMS_63+]")</f>
        <v>215</v>
      </c>
      <c r="AP256" s="67" vm="9805">
        <f>CUBEVALUE(ConnectionString,ReportMonth,Table1[[#This Row],[Site ID (from DATIM)]],"[Measures].[TBPREV_D]")</f>
        <v>13</v>
      </c>
      <c r="AQ256" s="67" vm="4631">
        <f>CUBEVALUE(ConnectionString,ReportMonth,Table1[[#This Row],[Site ID (from DATIM)]],"[Measures].[TBPREV_N]")</f>
        <v>7</v>
      </c>
      <c r="AR256" s="67" t="str" vm="4773">
        <f>CUBEVALUE(ConnectionString,ReportMonth,Table1[[#This Row],[Site ID (from DATIM)]],"[Measures].[TBPREV_NEW]")</f>
        <v/>
      </c>
      <c r="AS256" s="67" vm="5807">
        <f>CUBEVALUE(ConnectionString,ReportMonth,Table1[[#This Row],[Site ID (from DATIM)]],"[Measures].[HVL_ELIG_P]")</f>
        <v>20</v>
      </c>
      <c r="AT256" s="67" vm="9465">
        <f>CUBEVALUE(ConnectionString,ReportMonth,Table1[[#This Row],[Site ID (from DATIM)]],"[Measures].[HVL_D_P]")</f>
        <v>15</v>
      </c>
      <c r="AU256" s="67" vm="8729">
        <f>CUBEVALUE(ConnectionString,ReportMonth,Table1[[#This Row],[Site ID (from DATIM)]],"[Measures].[HVL_N_P]")</f>
        <v>12</v>
      </c>
      <c r="AV256" s="68" vm="11064">
        <f>CUBEVALUE(ConnectionString,ReportMonth,Table1[[#This Row],[Site ID (from DATIM)]],"[Measures].[HVL_ELIG_A]")</f>
        <v>276</v>
      </c>
      <c r="AW256" s="68" vm="8317">
        <f>CUBEVALUE(ConnectionString,ReportMonth,Table1[[#This Row],[Site ID (from DATIM)]],"[Measures].[HVL_D_A]")</f>
        <v>163</v>
      </c>
      <c r="AX256" s="68" vm="8777">
        <f>CUBEVALUE(ConnectionString,ReportMonth,Table1[[#This Row],[Site ID (from DATIM)]],"[Measures].[HVL_N_A]")</f>
        <v>152</v>
      </c>
      <c r="AY256" s="67"/>
      <c r="AZ256" s="67"/>
      <c r="BA256" s="67"/>
      <c r="BB256" s="67"/>
      <c r="BC256" s="67"/>
      <c r="BD256" s="67"/>
      <c r="BE256" s="67"/>
      <c r="BF256" s="67"/>
      <c r="BG256" s="67" t="str" vm="12444">
        <f>CUBEVALUE(ConnectionString,ReportMonth,Table1[[#This Row],[Site ID (from DATIM)]],"[Measures].[TX_NEW_F_A]")</f>
        <v/>
      </c>
      <c r="BH256" s="67" vm="15640">
        <f>CUBEVALUE(ConnectionString,ReportMonth,Table1[[#This Row],[Site ID (from DATIM)]],"[Measures].[TX_NEW_M_A]")</f>
        <v>1</v>
      </c>
      <c r="BI256" s="67" t="str" vm="17033">
        <f>CUBEVALUE(ConnectionString,ReportMonth,Table1[[#This Row],[Site ID (from DATIM)]],"[Measures].[TX_NEW_F_P]")</f>
        <v/>
      </c>
      <c r="BJ256" s="68" t="str" vm="17056">
        <f>CUBEVALUE(ConnectionString,ReportMonth,Table1[[#This Row],[Site ID (from DATIM)]],"[Measures].[TX_NEW_M_P]")</f>
        <v/>
      </c>
      <c r="BK256" s="68"/>
      <c r="BL256" s="68"/>
      <c r="BM256" s="68"/>
      <c r="BN256" s="68"/>
      <c r="BO256" s="68"/>
      <c r="BP256" s="68"/>
      <c r="BQ256" s="68" vm="10302">
        <f>CUBEVALUE(ConnectionString,ReportMonth,Table1[[#This Row],[Site ID (from DATIM)]],"[Measures].[TX_CURR_F_P]")</f>
        <v>7</v>
      </c>
      <c r="BR256" s="68" vm="8695">
        <f>CUBEVALUE(ConnectionString,ReportMonth,Table1[[#This Row],[Site ID (from DATIM)]],"[Measures].[TX_CURR_M_P]")</f>
        <v>14</v>
      </c>
      <c r="BS256" s="68" vm="9390">
        <f>CUBEVALUE(ConnectionString,ReportMonth,Table1[[#This Row],[Site ID (from DATIM)]],"[Measures].[TX_CURR_F_A]")</f>
        <v>223</v>
      </c>
      <c r="BT256" s="68" vm="11511">
        <f>CUBEVALUE(ConnectionString,ReportMonth,Table1[[#This Row],[Site ID (from DATIM)]],"[Measures].[TX_CURR_M_A]")</f>
        <v>86</v>
      </c>
      <c r="BU256" s="68" vm="18113">
        <f>CUBEVALUE(ConnectionString,ReportMonth,Table1[[#This Row],[Site ID (from DATIM)]],"[Measures].[MMS_01_89_F_P]")</f>
        <v>5</v>
      </c>
      <c r="BV256" s="68" vm="19410">
        <f>CUBEVALUE(ConnectionString,ReportMonth,Table1[[#This Row],[Site ID (from DATIM)]],"[Measures].[MMS_01_89_M_P]")</f>
        <v>6</v>
      </c>
      <c r="BW256" s="68" vm="19381">
        <f>CUBEVALUE(ConnectionString,ReportMonth,Table1[[#This Row],[Site ID (from DATIM)]],"[Measures].[MMS_01_89_F_A]")</f>
        <v>79</v>
      </c>
      <c r="BX256" s="68" vm="16980">
        <f>CUBEVALUE(ConnectionString,ReportMonth,Table1[[#This Row],[Site ID (from DATIM)]],"[Measures].[MMS_01_89_M_A]")</f>
        <v>25</v>
      </c>
      <c r="BY256" s="68" vm="15986">
        <f>CUBEVALUE(ConnectionString,ReportMonth,Table1[[#This Row],[Site ID (from DATIM)]],"[Measures].[MMS_90_179_F_P]")</f>
        <v>2</v>
      </c>
      <c r="BZ256" s="68" vm="17325">
        <f>CUBEVALUE(ConnectionString,ReportMonth,Table1[[#This Row],[Site ID (from DATIM)]],"[Measures].[MMS_90_179_M_P]")</f>
        <v>8</v>
      </c>
      <c r="CA256" s="68" vm="16845">
        <f>CUBEVALUE(ConnectionString,ReportMonth,Table1[[#This Row],[Site ID (from DATIM)]],"[Measures].[MMS_90_179_F_A]")</f>
        <v>144</v>
      </c>
      <c r="CB256" s="68" vm="15510">
        <f>CUBEVALUE(ConnectionString,ReportMonth,Table1[[#This Row],[Site ID (from DATIM)]],"[Measures].[MMS_90_179_M_A]")</f>
        <v>61</v>
      </c>
      <c r="CC256" s="68" t="str" vm="17259">
        <f>CUBEVALUE(ConnectionString,ReportMonth,Table1[[#This Row],[Site ID (from DATIM)]],"[Measures].[MMS_180+_F_P]")</f>
        <v/>
      </c>
      <c r="CD256" s="68" t="str" vm="17214">
        <f>CUBEVALUE(ConnectionString,ReportMonth,Table1[[#This Row],[Site ID (from DATIM)]],"[Measures].[MMS_180+_M_P]")</f>
        <v/>
      </c>
      <c r="CE256" s="68" t="str" vm="15760">
        <f>CUBEVALUE(ConnectionString,ReportMonth,Table1[[#This Row],[Site ID (from DATIM)]],"[Measures].[MMS_180+_F_A]")</f>
        <v/>
      </c>
      <c r="CF256" s="68" t="str" vm="317">
        <f>CUBEVALUE(ConnectionString,ReportMonth,Table1[[#This Row],[Site ID (from DATIM)]],"[Measures].[MMS_180+_M_A]")</f>
        <v/>
      </c>
      <c r="CG256" s="68" vm="6324">
        <f>CUBEVALUE(ConnectionString,ReportMonth,Table1[[#This Row],[Site ID (from DATIM)]],"[Measures].[MISSEDAPP]")</f>
        <v>145</v>
      </c>
      <c r="CH256" s="68" t="str" vm="13655">
        <f>CUBEVALUE(ConnectionString,ReportMonth,Table1[[#This Row],[Site ID (from DATIM)]],"[Measures].[MMS_180+_P]")</f>
        <v/>
      </c>
      <c r="CI256" s="68" t="str" vm="12147">
        <f>CUBEVALUE(ConnectionString,ReportMonth,Table1[[#This Row],[Site ID (from DATIM)]],"[Measures].[MMS_180+_A]")</f>
        <v/>
      </c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</row>
    <row r="257" spans="1:107" x14ac:dyDescent="0.25">
      <c r="A257" s="66">
        <v>4</v>
      </c>
      <c r="B257" s="67" t="str" vm="4">
        <f t="shared" si="4"/>
        <v>Mar-2021</v>
      </c>
      <c r="C257" s="67"/>
      <c r="D257" s="67" t="s">
        <v>232</v>
      </c>
      <c r="E257" s="67" t="s">
        <v>233</v>
      </c>
      <c r="F257" s="67" t="s">
        <v>437</v>
      </c>
      <c r="G257" s="67"/>
      <c r="H257" s="67" t="s">
        <v>438</v>
      </c>
      <c r="I257" s="67" t="s">
        <v>664</v>
      </c>
      <c r="J257" s="67" t="s">
        <v>665</v>
      </c>
      <c r="K257" s="67" t="s">
        <v>666</v>
      </c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 vm="851">
        <f>CUBEVALUE(ConnectionString,ReportMonth,Table1[[#This Row],[Site ID (from DATIM)]],"TX_NEW_2VIS")</f>
        <v>3</v>
      </c>
      <c r="AE257" s="67" t="str" vm="3820">
        <f>CUBEVALUE(ConnectionString,ReportMonth,Table1[[#This Row],[Site ID (from DATIM)]],INDEX(SDI_Measures,1))</f>
        <v/>
      </c>
      <c r="AF257" s="67" t="str" vm="328">
        <f>CUBEVALUE(ConnectionString,ReportMonth,Table1[[#This Row],[Site ID (from DATIM)]],INDEX(SDI_Measures,2))</f>
        <v/>
      </c>
      <c r="AG257" s="67" t="str" vm="3710">
        <f>CUBEVALUE(ConnectionString,ReportMonth,Table1[[#This Row],[Site ID (from DATIM)]],INDEX(SDI_Measures,3))</f>
        <v/>
      </c>
      <c r="AH257" s="67" vm="846">
        <f>CUBEVALUE(ConnectionString,ReportMonth,Table1[[#This Row],[Site ID (from DATIM)]],"TX_CURR_PRIOR_MONTH")</f>
        <v>394</v>
      </c>
      <c r="AI257" s="67" vm="4109">
        <f>CUBEVALUE(ConnectionString,ReportMonth,Table1[[#This Row],[Site ID (from DATIM)]],"TX_CURR")</f>
        <v>398</v>
      </c>
      <c r="AJ257" s="67" vm="2234">
        <f>CUBEVALUE(ConnectionString,ReportMonth,Table1[[#This Row],[Site ID (from DATIM)]],"[Measures].[TI]")</f>
        <v>4</v>
      </c>
      <c r="AK257" s="67" vm="3111">
        <f>CUBEVALUE(ConnectionString,ReportMonth,Table1[[#This Row],[Site ID (from DATIM)]],"[Measures].[TO]")</f>
        <v>1</v>
      </c>
      <c r="AL257" s="67" t="str" vm="3193">
        <f>CUBEVALUE(ConnectionString,ReportMonth,Table1[[#This Row],[Site ID (from DATIM)]],"[Measures].[DIED]")</f>
        <v/>
      </c>
      <c r="AM257" s="67" vm="5933">
        <f>CUBEVALUE(ConnectionString,ReportMonth,Table1[[#This Row],[Site ID (from DATIM)]],"[Measures].[MMS_01_31]")</f>
        <v>95</v>
      </c>
      <c r="AN257" s="67" vm="11566">
        <f>CUBEVALUE(ConnectionString,ReportMonth,Table1[[#This Row],[Site ID (from DATIM)]],"[Measures].[MMS_32_62]")</f>
        <v>56</v>
      </c>
      <c r="AO257" s="67" vm="7001">
        <f>CUBEVALUE(ConnectionString,ReportMonth,Table1[[#This Row],[Site ID (from DATIM)]],"[Measures].[MMS_63+]")</f>
        <v>247</v>
      </c>
      <c r="AP257" s="67" vm="5352">
        <f>CUBEVALUE(ConnectionString,ReportMonth,Table1[[#This Row],[Site ID (from DATIM)]],"[Measures].[TBPREV_D]")</f>
        <v>6</v>
      </c>
      <c r="AQ257" s="67" vm="7119">
        <f>CUBEVALUE(ConnectionString,ReportMonth,Table1[[#This Row],[Site ID (from DATIM)]],"[Measures].[TBPREV_N]")</f>
        <v>2</v>
      </c>
      <c r="AR257" s="67" t="str" vm="6860">
        <f>CUBEVALUE(ConnectionString,ReportMonth,Table1[[#This Row],[Site ID (from DATIM)]],"[Measures].[TBPREV_NEW]")</f>
        <v/>
      </c>
      <c r="AS257" s="67" vm="7138">
        <f>CUBEVALUE(ConnectionString,ReportMonth,Table1[[#This Row],[Site ID (from DATIM)]],"[Measures].[HVL_ELIG_P]")</f>
        <v>32</v>
      </c>
      <c r="AT257" s="67" vm="5320">
        <f>CUBEVALUE(ConnectionString,ReportMonth,Table1[[#This Row],[Site ID (from DATIM)]],"[Measures].[HVL_D_P]")</f>
        <v>19</v>
      </c>
      <c r="AU257" s="67" vm="12138">
        <f>CUBEVALUE(ConnectionString,ReportMonth,Table1[[#This Row],[Site ID (from DATIM)]],"[Measures].[HVL_N_P]")</f>
        <v>12</v>
      </c>
      <c r="AV257" s="68" vm="12367">
        <f>CUBEVALUE(ConnectionString,ReportMonth,Table1[[#This Row],[Site ID (from DATIM)]],"[Measures].[HVL_ELIG_A]")</f>
        <v>347</v>
      </c>
      <c r="AW257" s="68" vm="14121">
        <f>CUBEVALUE(ConnectionString,ReportMonth,Table1[[#This Row],[Site ID (from DATIM)]],"[Measures].[HVL_D_A]")</f>
        <v>172</v>
      </c>
      <c r="AX257" s="68" vm="8742">
        <f>CUBEVALUE(ConnectionString,ReportMonth,Table1[[#This Row],[Site ID (from DATIM)]],"[Measures].[HVL_N_A]")</f>
        <v>157</v>
      </c>
      <c r="AY257" s="67"/>
      <c r="AZ257" s="67"/>
      <c r="BA257" s="67"/>
      <c r="BB257" s="67"/>
      <c r="BC257" s="67"/>
      <c r="BD257" s="67"/>
      <c r="BE257" s="67"/>
      <c r="BF257" s="67"/>
      <c r="BG257" s="67" t="str" vm="16588">
        <f>CUBEVALUE(ConnectionString,ReportMonth,Table1[[#This Row],[Site ID (from DATIM)]],"[Measures].[TX_NEW_F_A]")</f>
        <v/>
      </c>
      <c r="BH257" s="67" t="str" vm="10628">
        <f>CUBEVALUE(ConnectionString,ReportMonth,Table1[[#This Row],[Site ID (from DATIM)]],"[Measures].[TX_NEW_M_A]")</f>
        <v/>
      </c>
      <c r="BI257" s="67" t="str" vm="15287">
        <f>CUBEVALUE(ConnectionString,ReportMonth,Table1[[#This Row],[Site ID (from DATIM)]],"[Measures].[TX_NEW_F_P]")</f>
        <v/>
      </c>
      <c r="BJ257" s="68" t="str" vm="14239">
        <f>CUBEVALUE(ConnectionString,ReportMonth,Table1[[#This Row],[Site ID (from DATIM)]],"[Measures].[TX_NEW_M_P]")</f>
        <v/>
      </c>
      <c r="BK257" s="68"/>
      <c r="BL257" s="68"/>
      <c r="BM257" s="68"/>
      <c r="BN257" s="68"/>
      <c r="BO257" s="68"/>
      <c r="BP257" s="68"/>
      <c r="BQ257" s="68" vm="8832">
        <f>CUBEVALUE(ConnectionString,ReportMonth,Table1[[#This Row],[Site ID (from DATIM)]],"[Measures].[TX_CURR_F_P]")</f>
        <v>13</v>
      </c>
      <c r="BR257" s="68" vm="10579">
        <f>CUBEVALUE(ConnectionString,ReportMonth,Table1[[#This Row],[Site ID (from DATIM)]],"[Measures].[TX_CURR_M_P]")</f>
        <v>19</v>
      </c>
      <c r="BS257" s="68" vm="7740">
        <f>CUBEVALUE(ConnectionString,ReportMonth,Table1[[#This Row],[Site ID (from DATIM)]],"[Measures].[TX_CURR_F_A]")</f>
        <v>254</v>
      </c>
      <c r="BT257" s="68" vm="12192">
        <f>CUBEVALUE(ConnectionString,ReportMonth,Table1[[#This Row],[Site ID (from DATIM)]],"[Measures].[TX_CURR_M_A]")</f>
        <v>112</v>
      </c>
      <c r="BU257" s="68" vm="19116">
        <f>CUBEVALUE(ConnectionString,ReportMonth,Table1[[#This Row],[Site ID (from DATIM)]],"[Measures].[MMS_01_89_F_P]")</f>
        <v>9</v>
      </c>
      <c r="BV257" s="68" vm="18239">
        <f>CUBEVALUE(ConnectionString,ReportMonth,Table1[[#This Row],[Site ID (from DATIM)]],"[Measures].[MMS_01_89_M_P]")</f>
        <v>10</v>
      </c>
      <c r="BW257" s="68" vm="19435">
        <f>CUBEVALUE(ConnectionString,ReportMonth,Table1[[#This Row],[Site ID (from DATIM)]],"[Measures].[MMS_01_89_F_A]")</f>
        <v>88</v>
      </c>
      <c r="BX257" s="68" vm="19693">
        <f>CUBEVALUE(ConnectionString,ReportMonth,Table1[[#This Row],[Site ID (from DATIM)]],"[Measures].[MMS_01_89_M_A]")</f>
        <v>46</v>
      </c>
      <c r="BY257" s="68" vm="18505">
        <f>CUBEVALUE(ConnectionString,ReportMonth,Table1[[#This Row],[Site ID (from DATIM)]],"[Measures].[MMS_90_179_F_P]")</f>
        <v>4</v>
      </c>
      <c r="BZ257" s="68" vm="16495">
        <f>CUBEVALUE(ConnectionString,ReportMonth,Table1[[#This Row],[Site ID (from DATIM)]],"[Measures].[MMS_90_179_M_P]")</f>
        <v>9</v>
      </c>
      <c r="CA257" s="68" vm="16930">
        <f>CUBEVALUE(ConnectionString,ReportMonth,Table1[[#This Row],[Site ID (from DATIM)]],"[Measures].[MMS_90_179_F_A]")</f>
        <v>166</v>
      </c>
      <c r="CB257" s="68" vm="17687">
        <f>CUBEVALUE(ConnectionString,ReportMonth,Table1[[#This Row],[Site ID (from DATIM)]],"[Measures].[MMS_90_179_M_A]")</f>
        <v>66</v>
      </c>
      <c r="CC257" s="68" t="str" vm="15582">
        <f>CUBEVALUE(ConnectionString,ReportMonth,Table1[[#This Row],[Site ID (from DATIM)]],"[Measures].[MMS_180+_F_P]")</f>
        <v/>
      </c>
      <c r="CD257" s="68" t="str" vm="15023">
        <f>CUBEVALUE(ConnectionString,ReportMonth,Table1[[#This Row],[Site ID (from DATIM)]],"[Measures].[MMS_180+_M_P]")</f>
        <v/>
      </c>
      <c r="CE257" s="68" t="str" vm="15420">
        <f>CUBEVALUE(ConnectionString,ReportMonth,Table1[[#This Row],[Site ID (from DATIM)]],"[Measures].[MMS_180+_F_A]")</f>
        <v/>
      </c>
      <c r="CF257" s="68" t="str" vm="91">
        <f>CUBEVALUE(ConnectionString,ReportMonth,Table1[[#This Row],[Site ID (from DATIM)]],"[Measures].[MMS_180+_M_A]")</f>
        <v/>
      </c>
      <c r="CG257" s="68" vm="6448">
        <f>CUBEVALUE(ConnectionString,ReportMonth,Table1[[#This Row],[Site ID (from DATIM)]],"[Measures].[MISSEDAPP]")</f>
        <v>122</v>
      </c>
      <c r="CH257" s="68" t="str" vm="11215">
        <f>CUBEVALUE(ConnectionString,ReportMonth,Table1[[#This Row],[Site ID (from DATIM)]],"[Measures].[MMS_180+_P]")</f>
        <v/>
      </c>
      <c r="CI257" s="68" t="str" vm="10115">
        <f>CUBEVALUE(ConnectionString,ReportMonth,Table1[[#This Row],[Site ID (from DATIM)]],"[Measures].[MMS_180+_A]")</f>
        <v/>
      </c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  <c r="CW257" s="68"/>
      <c r="CX257" s="68"/>
      <c r="CY257" s="68"/>
      <c r="CZ257" s="68"/>
      <c r="DA257" s="68"/>
      <c r="DB257" s="68"/>
      <c r="DC257" s="68"/>
    </row>
    <row r="258" spans="1:107" x14ac:dyDescent="0.25">
      <c r="A258" s="66">
        <v>1</v>
      </c>
      <c r="B258" s="67" t="str" vm="4">
        <f t="shared" si="4"/>
        <v>Mar-2021</v>
      </c>
      <c r="C258" s="67"/>
      <c r="D258" s="67" t="s">
        <v>232</v>
      </c>
      <c r="E258" s="67" t="s">
        <v>233</v>
      </c>
      <c r="F258" s="67" t="s">
        <v>831</v>
      </c>
      <c r="G258" s="67"/>
      <c r="H258" s="67" t="s">
        <v>836</v>
      </c>
      <c r="I258" s="67" t="s">
        <v>984</v>
      </c>
      <c r="J258" s="67" t="s">
        <v>985</v>
      </c>
      <c r="K258" s="67" t="s">
        <v>986</v>
      </c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 vm="3451">
        <f>CUBEVALUE(ConnectionString,ReportMonth,Table1[[#This Row],[Site ID (from DATIM)]],"TX_NEW_2VIS")</f>
        <v>6</v>
      </c>
      <c r="AE258" s="67" vm="5527">
        <f>CUBEVALUE(ConnectionString,ReportMonth,Table1[[#This Row],[Site ID (from DATIM)]],INDEX(SDI_Measures,1))</f>
        <v>6</v>
      </c>
      <c r="AF258" s="67" t="str" vm="3121">
        <f>CUBEVALUE(ConnectionString,ReportMonth,Table1[[#This Row],[Site ID (from DATIM)]],INDEX(SDI_Measures,2))</f>
        <v/>
      </c>
      <c r="AG258" s="67" vm="989">
        <f>CUBEVALUE(ConnectionString,ReportMonth,Table1[[#This Row],[Site ID (from DATIM)]],INDEX(SDI_Measures,3))</f>
        <v>1</v>
      </c>
      <c r="AH258" s="67" vm="1960">
        <f>CUBEVALUE(ConnectionString,ReportMonth,Table1[[#This Row],[Site ID (from DATIM)]],"TX_CURR_PRIOR_MONTH")</f>
        <v>3549</v>
      </c>
      <c r="AI258" s="67" vm="4246">
        <f>CUBEVALUE(ConnectionString,ReportMonth,Table1[[#This Row],[Site ID (from DATIM)]],"TX_CURR")</f>
        <v>3430</v>
      </c>
      <c r="AJ258" s="67" vm="1725">
        <f>CUBEVALUE(ConnectionString,ReportMonth,Table1[[#This Row],[Site ID (from DATIM)]],"[Measures].[TI]")</f>
        <v>4</v>
      </c>
      <c r="AK258" s="67" vm="809">
        <f>CUBEVALUE(ConnectionString,ReportMonth,Table1[[#This Row],[Site ID (from DATIM)]],"[Measures].[TO]")</f>
        <v>1</v>
      </c>
      <c r="AL258" s="67" vm="1687">
        <f>CUBEVALUE(ConnectionString,ReportMonth,Table1[[#This Row],[Site ID (from DATIM)]],"[Measures].[DIED]")</f>
        <v>2</v>
      </c>
      <c r="AM258" s="67" vm="6725">
        <f>CUBEVALUE(ConnectionString,ReportMonth,Table1[[#This Row],[Site ID (from DATIM)]],"[Measures].[MMS_01_31]")</f>
        <v>507</v>
      </c>
      <c r="AN258" s="67" vm="9163">
        <f>CUBEVALUE(ConnectionString,ReportMonth,Table1[[#This Row],[Site ID (from DATIM)]],"[Measures].[MMS_32_62]")</f>
        <v>70</v>
      </c>
      <c r="AO258" s="67" vm="5506">
        <f>CUBEVALUE(ConnectionString,ReportMonth,Table1[[#This Row],[Site ID (from DATIM)]],"[Measures].[MMS_63+]")</f>
        <v>2853</v>
      </c>
      <c r="AP258" s="67" vm="4572">
        <f>CUBEVALUE(ConnectionString,ReportMonth,Table1[[#This Row],[Site ID (from DATIM)]],"[Measures].[TBPREV_D]")</f>
        <v>55</v>
      </c>
      <c r="AQ258" s="67" vm="7416">
        <f>CUBEVALUE(ConnectionString,ReportMonth,Table1[[#This Row],[Site ID (from DATIM)]],"[Measures].[TBPREV_N]")</f>
        <v>31</v>
      </c>
      <c r="AR258" s="67" vm="4706">
        <f>CUBEVALUE(ConnectionString,ReportMonth,Table1[[#This Row],[Site ID (from DATIM)]],"[Measures].[TBPREV_NEW]")</f>
        <v>22</v>
      </c>
      <c r="AS258" s="67" vm="11971">
        <f>CUBEVALUE(ConnectionString,ReportMonth,Table1[[#This Row],[Site ID (from DATIM)]],"[Measures].[HVL_ELIG_P]")</f>
        <v>96</v>
      </c>
      <c r="AT258" s="67" vm="8950">
        <f>CUBEVALUE(ConnectionString,ReportMonth,Table1[[#This Row],[Site ID (from DATIM)]],"[Measures].[HVL_D_P]")</f>
        <v>104</v>
      </c>
      <c r="AU258" s="67" vm="7488">
        <f>CUBEVALUE(ConnectionString,ReportMonth,Table1[[#This Row],[Site ID (from DATIM)]],"[Measures].[HVL_N_P]")</f>
        <v>97</v>
      </c>
      <c r="AV258" s="68" vm="11609">
        <f>CUBEVALUE(ConnectionString,ReportMonth,Table1[[#This Row],[Site ID (from DATIM)]],"[Measures].[HVL_ELIG_A]")</f>
        <v>3183</v>
      </c>
      <c r="AW258" s="68" vm="9316">
        <f>CUBEVALUE(ConnectionString,ReportMonth,Table1[[#This Row],[Site ID (from DATIM)]],"[Measures].[HVL_D_A]")</f>
        <v>2875</v>
      </c>
      <c r="AX258" s="68" vm="10323">
        <f>CUBEVALUE(ConnectionString,ReportMonth,Table1[[#This Row],[Site ID (from DATIM)]],"[Measures].[HVL_N_A]")</f>
        <v>2786</v>
      </c>
      <c r="AY258" s="67"/>
      <c r="AZ258" s="67"/>
      <c r="BA258" s="67"/>
      <c r="BB258" s="67"/>
      <c r="BC258" s="67"/>
      <c r="BD258" s="67"/>
      <c r="BE258" s="67"/>
      <c r="BF258" s="67"/>
      <c r="BG258" s="67" vm="12752">
        <f>CUBEVALUE(ConnectionString,ReportMonth,Table1[[#This Row],[Site ID (from DATIM)]],"[Measures].[TX_NEW_F_A]")</f>
        <v>7</v>
      </c>
      <c r="BH258" s="67" t="str" vm="12449">
        <f>CUBEVALUE(ConnectionString,ReportMonth,Table1[[#This Row],[Site ID (from DATIM)]],"[Measures].[TX_NEW_M_A]")</f>
        <v/>
      </c>
      <c r="BI258" s="67" t="str" vm="17069">
        <f>CUBEVALUE(ConnectionString,ReportMonth,Table1[[#This Row],[Site ID (from DATIM)]],"[Measures].[TX_NEW_F_P]")</f>
        <v/>
      </c>
      <c r="BJ258" s="68" t="str" vm="15273">
        <f>CUBEVALUE(ConnectionString,ReportMonth,Table1[[#This Row],[Site ID (from DATIM)]],"[Measures].[TX_NEW_M_P]")</f>
        <v/>
      </c>
      <c r="BK258" s="68"/>
      <c r="BL258" s="68"/>
      <c r="BM258" s="68"/>
      <c r="BN258" s="68"/>
      <c r="BO258" s="68"/>
      <c r="BP258" s="68"/>
      <c r="BQ258" s="68" vm="8156">
        <f>CUBEVALUE(ConnectionString,ReportMonth,Table1[[#This Row],[Site ID (from DATIM)]],"[Measures].[TX_CURR_F_P]")</f>
        <v>45</v>
      </c>
      <c r="BR258" s="68" vm="8387">
        <f>CUBEVALUE(ConnectionString,ReportMonth,Table1[[#This Row],[Site ID (from DATIM)]],"[Measures].[TX_CURR_M_P]")</f>
        <v>55</v>
      </c>
      <c r="BS258" s="68" vm="12966">
        <f>CUBEVALUE(ConnectionString,ReportMonth,Table1[[#This Row],[Site ID (from DATIM)]],"[Measures].[TX_CURR_F_A]")</f>
        <v>2357</v>
      </c>
      <c r="BT258" s="68" vm="13315">
        <f>CUBEVALUE(ConnectionString,ReportMonth,Table1[[#This Row],[Site ID (from DATIM)]],"[Measures].[TX_CURR_M_A]")</f>
        <v>977</v>
      </c>
      <c r="BU258" s="68" vm="18695">
        <f>CUBEVALUE(ConnectionString,ReportMonth,Table1[[#This Row],[Site ID (from DATIM)]],"[Measures].[MMS_01_89_F_P]")</f>
        <v>14</v>
      </c>
      <c r="BV258" s="68" vm="18633">
        <f>CUBEVALUE(ConnectionString,ReportMonth,Table1[[#This Row],[Site ID (from DATIM)]],"[Measures].[MMS_01_89_M_P]")</f>
        <v>21</v>
      </c>
      <c r="BW258" s="68" vm="18329">
        <f>CUBEVALUE(ConnectionString,ReportMonth,Table1[[#This Row],[Site ID (from DATIM)]],"[Measures].[MMS_01_89_F_A]")</f>
        <v>366</v>
      </c>
      <c r="BX258" s="68" vm="19179">
        <f>CUBEVALUE(ConnectionString,ReportMonth,Table1[[#This Row],[Site ID (from DATIM)]],"[Measures].[MMS_01_89_M_A]")</f>
        <v>183</v>
      </c>
      <c r="BY258" s="68" vm="19120">
        <f>CUBEVALUE(ConnectionString,ReportMonth,Table1[[#This Row],[Site ID (from DATIM)]],"[Measures].[MMS_90_179_F_P]")</f>
        <v>31</v>
      </c>
      <c r="BZ258" s="68" vm="19878">
        <f>CUBEVALUE(ConnectionString,ReportMonth,Table1[[#This Row],[Site ID (from DATIM)]],"[Measures].[MMS_90_179_M_P]")</f>
        <v>34</v>
      </c>
      <c r="CA258" s="68" vm="16363">
        <f>CUBEVALUE(ConnectionString,ReportMonth,Table1[[#This Row],[Site ID (from DATIM)]],"[Measures].[MMS_90_179_F_A]")</f>
        <v>1989</v>
      </c>
      <c r="CB258" s="68" vm="15049">
        <f>CUBEVALUE(ConnectionString,ReportMonth,Table1[[#This Row],[Site ID (from DATIM)]],"[Measures].[MMS_90_179_M_A]")</f>
        <v>793</v>
      </c>
      <c r="CC258" s="68" t="str" vm="15076">
        <f>CUBEVALUE(ConnectionString,ReportMonth,Table1[[#This Row],[Site ID (from DATIM)]],"[Measures].[MMS_180+_F_P]")</f>
        <v/>
      </c>
      <c r="CD258" s="68" t="str" vm="17226">
        <f>CUBEVALUE(ConnectionString,ReportMonth,Table1[[#This Row],[Site ID (from DATIM)]],"[Measures].[MMS_180+_M_P]")</f>
        <v/>
      </c>
      <c r="CE258" s="68" vm="16287">
        <f>CUBEVALUE(ConnectionString,ReportMonth,Table1[[#This Row],[Site ID (from DATIM)]],"[Measures].[MMS_180+_F_A]")</f>
        <v>2</v>
      </c>
      <c r="CF258" s="68" vm="17465">
        <f>CUBEVALUE(ConnectionString,ReportMonth,Table1[[#This Row],[Site ID (from DATIM)]],"[Measures].[MMS_180+_M_A]")</f>
        <v>1</v>
      </c>
      <c r="CG258" s="68" vm="6651">
        <f>CUBEVALUE(ConnectionString,ReportMonth,Table1[[#This Row],[Site ID (from DATIM)]],"[Measures].[MISSEDAPP]")</f>
        <v>888</v>
      </c>
      <c r="CH258" s="68" t="str" vm="10461">
        <f>CUBEVALUE(ConnectionString,ReportMonth,Table1[[#This Row],[Site ID (from DATIM)]],"[Measures].[MMS_180+_P]")</f>
        <v/>
      </c>
      <c r="CI258" s="68" vm="11987">
        <f>CUBEVALUE(ConnectionString,ReportMonth,Table1[[#This Row],[Site ID (from DATIM)]],"[Measures].[MMS_180+_A]")</f>
        <v>3</v>
      </c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  <c r="CW258" s="68"/>
      <c r="CX258" s="68"/>
      <c r="CY258" s="68"/>
      <c r="CZ258" s="68"/>
      <c r="DA258" s="68"/>
      <c r="DB258" s="68"/>
      <c r="DC258" s="68"/>
    </row>
    <row r="259" spans="1:107" x14ac:dyDescent="0.25">
      <c r="A259" s="66">
        <v>4</v>
      </c>
      <c r="B259" s="67" t="str" vm="4">
        <f t="shared" si="4"/>
        <v>Mar-2021</v>
      </c>
      <c r="C259" s="67"/>
      <c r="D259" s="67" t="s">
        <v>232</v>
      </c>
      <c r="E259" s="67" t="s">
        <v>233</v>
      </c>
      <c r="F259" s="67" t="s">
        <v>437</v>
      </c>
      <c r="G259" s="67"/>
      <c r="H259" s="67" t="s">
        <v>438</v>
      </c>
      <c r="I259" s="67" t="s">
        <v>667</v>
      </c>
      <c r="J259" s="67" t="s">
        <v>668</v>
      </c>
      <c r="K259" s="67" t="s">
        <v>669</v>
      </c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 t="str" vm="1197">
        <f>CUBEVALUE(ConnectionString,ReportMonth,Table1[[#This Row],[Site ID (from DATIM)]],"TX_NEW_2VIS")</f>
        <v/>
      </c>
      <c r="AE259" s="67" t="str" vm="2666">
        <f>CUBEVALUE(ConnectionString,ReportMonth,Table1[[#This Row],[Site ID (from DATIM)]],INDEX(SDI_Measures,1))</f>
        <v/>
      </c>
      <c r="AF259" s="67" t="str" vm="1540">
        <f>CUBEVALUE(ConnectionString,ReportMonth,Table1[[#This Row],[Site ID (from DATIM)]],INDEX(SDI_Measures,2))</f>
        <v/>
      </c>
      <c r="AG259" s="67" t="str" vm="2340">
        <f>CUBEVALUE(ConnectionString,ReportMonth,Table1[[#This Row],[Site ID (from DATIM)]],INDEX(SDI_Measures,3))</f>
        <v/>
      </c>
      <c r="AH259" s="67" t="str" vm="4391">
        <f>CUBEVALUE(ConnectionString,ReportMonth,Table1[[#This Row],[Site ID (from DATIM)]],"TX_CURR_PRIOR_MONTH")</f>
        <v/>
      </c>
      <c r="AI259" s="67" t="str" vm="3392">
        <f>CUBEVALUE(ConnectionString,ReportMonth,Table1[[#This Row],[Site ID (from DATIM)]],"TX_CURR")</f>
        <v/>
      </c>
      <c r="AJ259" s="67" t="str" vm="3682">
        <f>CUBEVALUE(ConnectionString,ReportMonth,Table1[[#This Row],[Site ID (from DATIM)]],"[Measures].[TI]")</f>
        <v/>
      </c>
      <c r="AK259" s="67" t="str" vm="3855">
        <f>CUBEVALUE(ConnectionString,ReportMonth,Table1[[#This Row],[Site ID (from DATIM)]],"[Measures].[TO]")</f>
        <v/>
      </c>
      <c r="AL259" s="67" t="str" vm="9335">
        <f>CUBEVALUE(ConnectionString,ReportMonth,Table1[[#This Row],[Site ID (from DATIM)]],"[Measures].[DIED]")</f>
        <v/>
      </c>
      <c r="AM259" s="67" t="str" vm="9272">
        <f>CUBEVALUE(ConnectionString,ReportMonth,Table1[[#This Row],[Site ID (from DATIM)]],"[Measures].[MMS_01_31]")</f>
        <v/>
      </c>
      <c r="AN259" s="67" t="str" vm="8493">
        <f>CUBEVALUE(ConnectionString,ReportMonth,Table1[[#This Row],[Site ID (from DATIM)]],"[Measures].[MMS_32_62]")</f>
        <v/>
      </c>
      <c r="AO259" s="67" t="str" vm="7382">
        <f>CUBEVALUE(ConnectionString,ReportMonth,Table1[[#This Row],[Site ID (from DATIM)]],"[Measures].[MMS_63+]")</f>
        <v/>
      </c>
      <c r="AP259" s="67" t="str" vm="5927">
        <f>CUBEVALUE(ConnectionString,ReportMonth,Table1[[#This Row],[Site ID (from DATIM)]],"[Measures].[TBPREV_D]")</f>
        <v/>
      </c>
      <c r="AQ259" s="67" t="str" vm="5785">
        <f>CUBEVALUE(ConnectionString,ReportMonth,Table1[[#This Row],[Site ID (from DATIM)]],"[Measures].[TBPREV_N]")</f>
        <v/>
      </c>
      <c r="AR259" s="67" t="str" vm="6868">
        <f>CUBEVALUE(ConnectionString,ReportMonth,Table1[[#This Row],[Site ID (from DATIM)]],"[Measures].[TBPREV_NEW]")</f>
        <v/>
      </c>
      <c r="AS259" s="67" t="str" vm="7199">
        <f>CUBEVALUE(ConnectionString,ReportMonth,Table1[[#This Row],[Site ID (from DATIM)]],"[Measures].[HVL_ELIG_P]")</f>
        <v/>
      </c>
      <c r="AT259" s="67" t="str" vm="5370">
        <f>CUBEVALUE(ConnectionString,ReportMonth,Table1[[#This Row],[Site ID (from DATIM)]],"[Measures].[HVL_D_P]")</f>
        <v/>
      </c>
      <c r="AU259" s="67" t="str" vm="13565">
        <f>CUBEVALUE(ConnectionString,ReportMonth,Table1[[#This Row],[Site ID (from DATIM)]],"[Measures].[HVL_N_P]")</f>
        <v/>
      </c>
      <c r="AV259" s="68" t="str" vm="11075">
        <f>CUBEVALUE(ConnectionString,ReportMonth,Table1[[#This Row],[Site ID (from DATIM)]],"[Measures].[HVL_ELIG_A]")</f>
        <v/>
      </c>
      <c r="AW259" s="68" t="str" vm="8953">
        <f>CUBEVALUE(ConnectionString,ReportMonth,Table1[[#This Row],[Site ID (from DATIM)]],"[Measures].[HVL_D_A]")</f>
        <v/>
      </c>
      <c r="AX259" s="68" t="str" vm="10515">
        <f>CUBEVALUE(ConnectionString,ReportMonth,Table1[[#This Row],[Site ID (from DATIM)]],"[Measures].[HVL_N_A]")</f>
        <v/>
      </c>
      <c r="AY259" s="67"/>
      <c r="AZ259" s="67"/>
      <c r="BA259" s="67"/>
      <c r="BB259" s="67"/>
      <c r="BC259" s="67"/>
      <c r="BD259" s="67"/>
      <c r="BE259" s="67"/>
      <c r="BF259" s="67"/>
      <c r="BG259" s="67" t="str" vm="14371">
        <f>CUBEVALUE(ConnectionString,ReportMonth,Table1[[#This Row],[Site ID (from DATIM)]],"[Measures].[TX_NEW_F_A]")</f>
        <v/>
      </c>
      <c r="BH259" s="67" t="str" vm="12810">
        <f>CUBEVALUE(ConnectionString,ReportMonth,Table1[[#This Row],[Site ID (from DATIM)]],"[Measures].[TX_NEW_M_A]")</f>
        <v/>
      </c>
      <c r="BI259" s="67" t="str" vm="16591">
        <f>CUBEVALUE(ConnectionString,ReportMonth,Table1[[#This Row],[Site ID (from DATIM)]],"[Measures].[TX_NEW_F_P]")</f>
        <v/>
      </c>
      <c r="BJ259" s="68" t="str" vm="13720">
        <f>CUBEVALUE(ConnectionString,ReportMonth,Table1[[#This Row],[Site ID (from DATIM)]],"[Measures].[TX_NEW_M_P]")</f>
        <v/>
      </c>
      <c r="BK259" s="68"/>
      <c r="BL259" s="68"/>
      <c r="BM259" s="68"/>
      <c r="BN259" s="68"/>
      <c r="BO259" s="68"/>
      <c r="BP259" s="68"/>
      <c r="BQ259" s="68" t="str" vm="17418">
        <f>CUBEVALUE(ConnectionString,ReportMonth,Table1[[#This Row],[Site ID (from DATIM)]],"[Measures].[TX_CURR_F_P]")</f>
        <v/>
      </c>
      <c r="BR259" s="68" t="str" vm="10390">
        <f>CUBEVALUE(ConnectionString,ReportMonth,Table1[[#This Row],[Site ID (from DATIM)]],"[Measures].[TX_CURR_M_P]")</f>
        <v/>
      </c>
      <c r="BS259" s="68" t="str" vm="11977">
        <f>CUBEVALUE(ConnectionString,ReportMonth,Table1[[#This Row],[Site ID (from DATIM)]],"[Measures].[TX_CURR_F_A]")</f>
        <v/>
      </c>
      <c r="BT259" s="68" t="str" vm="9513">
        <f>CUBEVALUE(ConnectionString,ReportMonth,Table1[[#This Row],[Site ID (from DATIM)]],"[Measures].[TX_CURR_M_A]")</f>
        <v/>
      </c>
      <c r="BU259" s="68" t="str" vm="18395">
        <f>CUBEVALUE(ConnectionString,ReportMonth,Table1[[#This Row],[Site ID (from DATIM)]],"[Measures].[MMS_01_89_F_P]")</f>
        <v/>
      </c>
      <c r="BV259" s="68" t="str" vm="18680">
        <f>CUBEVALUE(ConnectionString,ReportMonth,Table1[[#This Row],[Site ID (from DATIM)]],"[Measures].[MMS_01_89_M_P]")</f>
        <v/>
      </c>
      <c r="BW259" s="68" t="str" vm="19380">
        <f>CUBEVALUE(ConnectionString,ReportMonth,Table1[[#This Row],[Site ID (from DATIM)]],"[Measures].[MMS_01_89_F_A]")</f>
        <v/>
      </c>
      <c r="BX259" s="68" t="str" vm="15219">
        <f>CUBEVALUE(ConnectionString,ReportMonth,Table1[[#This Row],[Site ID (from DATIM)]],"[Measures].[MMS_01_89_M_A]")</f>
        <v/>
      </c>
      <c r="BY259" s="68" t="str" vm="17776">
        <f>CUBEVALUE(ConnectionString,ReportMonth,Table1[[#This Row],[Site ID (from DATIM)]],"[Measures].[MMS_90_179_F_P]")</f>
        <v/>
      </c>
      <c r="BZ259" s="68" t="str" vm="14757">
        <f>CUBEVALUE(ConnectionString,ReportMonth,Table1[[#This Row],[Site ID (from DATIM)]],"[Measures].[MMS_90_179_M_P]")</f>
        <v/>
      </c>
      <c r="CA259" s="68" t="str" vm="15925">
        <f>CUBEVALUE(ConnectionString,ReportMonth,Table1[[#This Row],[Site ID (from DATIM)]],"[Measures].[MMS_90_179_F_A]")</f>
        <v/>
      </c>
      <c r="CB259" s="68" t="str" vm="17593">
        <f>CUBEVALUE(ConnectionString,ReportMonth,Table1[[#This Row],[Site ID (from DATIM)]],"[Measures].[MMS_90_179_M_A]")</f>
        <v/>
      </c>
      <c r="CC259" s="68" t="str" vm="15395">
        <f>CUBEVALUE(ConnectionString,ReportMonth,Table1[[#This Row],[Site ID (from DATIM)]],"[Measures].[MMS_180+_F_P]")</f>
        <v/>
      </c>
      <c r="CD259" s="68" t="str" vm="15872">
        <f>CUBEVALUE(ConnectionString,ReportMonth,Table1[[#This Row],[Site ID (from DATIM)]],"[Measures].[MMS_180+_M_P]")</f>
        <v/>
      </c>
      <c r="CE259" s="68" t="str" vm="410">
        <f>CUBEVALUE(ConnectionString,ReportMonth,Table1[[#This Row],[Site ID (from DATIM)]],"[Measures].[MMS_180+_F_A]")</f>
        <v/>
      </c>
      <c r="CF259" s="68" t="str" vm="14881">
        <f>CUBEVALUE(ConnectionString,ReportMonth,Table1[[#This Row],[Site ID (from DATIM)]],"[Measures].[MMS_180+_M_A]")</f>
        <v/>
      </c>
      <c r="CG259" s="68" t="str" vm="9292">
        <f>CUBEVALUE(ConnectionString,ReportMonth,Table1[[#This Row],[Site ID (from DATIM)]],"[Measures].[MISSEDAPP]")</f>
        <v/>
      </c>
      <c r="CH259" s="68" t="str" vm="14169">
        <f>CUBEVALUE(ConnectionString,ReportMonth,Table1[[#This Row],[Site ID (from DATIM)]],"[Measures].[MMS_180+_P]")</f>
        <v/>
      </c>
      <c r="CI259" s="68" t="str" vm="12098">
        <f>CUBEVALUE(ConnectionString,ReportMonth,Table1[[#This Row],[Site ID (from DATIM)]],"[Measures].[MMS_180+_A]")</f>
        <v/>
      </c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  <c r="CW259" s="68"/>
      <c r="CX259" s="68"/>
      <c r="CY259" s="68"/>
      <c r="CZ259" s="68"/>
      <c r="DA259" s="68"/>
      <c r="DB259" s="68"/>
      <c r="DC259" s="68"/>
    </row>
    <row r="260" spans="1:107" x14ac:dyDescent="0.25">
      <c r="A260" s="66">
        <v>4</v>
      </c>
      <c r="B260" s="67" t="str" vm="4">
        <f t="shared" si="4"/>
        <v>Mar-2021</v>
      </c>
      <c r="C260" s="67"/>
      <c r="D260" s="67" t="s">
        <v>232</v>
      </c>
      <c r="E260" s="67" t="s">
        <v>233</v>
      </c>
      <c r="F260" s="67" t="s">
        <v>437</v>
      </c>
      <c r="G260" s="67"/>
      <c r="H260" s="67" t="s">
        <v>454</v>
      </c>
      <c r="I260" s="67" t="s">
        <v>670</v>
      </c>
      <c r="J260" s="67" t="s">
        <v>671</v>
      </c>
      <c r="K260" s="67" t="s">
        <v>672</v>
      </c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 t="str" vm="1263">
        <f>CUBEVALUE(ConnectionString,ReportMonth,Table1[[#This Row],[Site ID (from DATIM)]],"TX_NEW_2VIS")</f>
        <v/>
      </c>
      <c r="AE260" s="67" t="str" vm="1319">
        <f>CUBEVALUE(ConnectionString,ReportMonth,Table1[[#This Row],[Site ID (from DATIM)]],INDEX(SDI_Measures,1))</f>
        <v/>
      </c>
      <c r="AF260" s="67" t="str" vm="3184">
        <f>CUBEVALUE(ConnectionString,ReportMonth,Table1[[#This Row],[Site ID (from DATIM)]],INDEX(SDI_Measures,2))</f>
        <v/>
      </c>
      <c r="AG260" s="67" t="str" vm="1774">
        <f>CUBEVALUE(ConnectionString,ReportMonth,Table1[[#This Row],[Site ID (from DATIM)]],INDEX(SDI_Measures,3))</f>
        <v/>
      </c>
      <c r="AH260" s="67" vm="3390">
        <f>CUBEVALUE(ConnectionString,ReportMonth,Table1[[#This Row],[Site ID (from DATIM)]],"TX_CURR_PRIOR_MONTH")</f>
        <v>21</v>
      </c>
      <c r="AI260" s="67" vm="488">
        <f>CUBEVALUE(ConnectionString,ReportMonth,Table1[[#This Row],[Site ID (from DATIM)]],"TX_CURR")</f>
        <v>10</v>
      </c>
      <c r="AJ260" s="67" t="str" vm="3858">
        <f>CUBEVALUE(ConnectionString,ReportMonth,Table1[[#This Row],[Site ID (from DATIM)]],"[Measures].[TI]")</f>
        <v/>
      </c>
      <c r="AK260" s="67" t="str" vm="2389">
        <f>CUBEVALUE(ConnectionString,ReportMonth,Table1[[#This Row],[Site ID (from DATIM)]],"[Measures].[TO]")</f>
        <v/>
      </c>
      <c r="AL260" s="67" t="str" vm="2692">
        <f>CUBEVALUE(ConnectionString,ReportMonth,Table1[[#This Row],[Site ID (from DATIM)]],"[Measures].[DIED]")</f>
        <v/>
      </c>
      <c r="AM260" s="67" vm="5467">
        <f>CUBEVALUE(ConnectionString,ReportMonth,Table1[[#This Row],[Site ID (from DATIM)]],"[Measures].[MMS_01_31]")</f>
        <v>6</v>
      </c>
      <c r="AN260" s="67" vm="5590">
        <f>CUBEVALUE(ConnectionString,ReportMonth,Table1[[#This Row],[Site ID (from DATIM)]],"[Measures].[MMS_32_62]")</f>
        <v>3</v>
      </c>
      <c r="AO260" s="67" vm="5756">
        <f>CUBEVALUE(ConnectionString,ReportMonth,Table1[[#This Row],[Site ID (from DATIM)]],"[Measures].[MMS_63+]")</f>
        <v>1</v>
      </c>
      <c r="AP260" s="67" vm="7615">
        <f>CUBEVALUE(ConnectionString,ReportMonth,Table1[[#This Row],[Site ID (from DATIM)]],"[Measures].[TBPREV_D]")</f>
        <v>2</v>
      </c>
      <c r="AQ260" s="67" t="str" vm="6068">
        <f>CUBEVALUE(ConnectionString,ReportMonth,Table1[[#This Row],[Site ID (from DATIM)]],"[Measures].[TBPREV_N]")</f>
        <v/>
      </c>
      <c r="AR260" s="67" t="str" vm="7065">
        <f>CUBEVALUE(ConnectionString,ReportMonth,Table1[[#This Row],[Site ID (from DATIM)]],"[Measures].[TBPREV_NEW]")</f>
        <v/>
      </c>
      <c r="AS260" s="67" t="str" vm="5187">
        <f>CUBEVALUE(ConnectionString,ReportMonth,Table1[[#This Row],[Site ID (from DATIM)]],"[Measures].[HVL_ELIG_P]")</f>
        <v/>
      </c>
      <c r="AT260" s="67" t="str" vm="4742">
        <f>CUBEVALUE(ConnectionString,ReportMonth,Table1[[#This Row],[Site ID (from DATIM)]],"[Measures].[HVL_D_P]")</f>
        <v/>
      </c>
      <c r="AU260" s="67" t="str" vm="9113">
        <f>CUBEVALUE(ConnectionString,ReportMonth,Table1[[#This Row],[Site ID (from DATIM)]],"[Measures].[HVL_N_P]")</f>
        <v/>
      </c>
      <c r="AV260" s="68" vm="9549">
        <f>CUBEVALUE(ConnectionString,ReportMonth,Table1[[#This Row],[Site ID (from DATIM)]],"[Measures].[HVL_ELIG_A]")</f>
        <v>8</v>
      </c>
      <c r="AW260" s="68" vm="11383">
        <f>CUBEVALUE(ConnectionString,ReportMonth,Table1[[#This Row],[Site ID (from DATIM)]],"[Measures].[HVL_D_A]")</f>
        <v>5</v>
      </c>
      <c r="AX260" s="68" vm="11049">
        <f>CUBEVALUE(ConnectionString,ReportMonth,Table1[[#This Row],[Site ID (from DATIM)]],"[Measures].[HVL_N_A]")</f>
        <v>5</v>
      </c>
      <c r="AY260" s="67"/>
      <c r="AZ260" s="67"/>
      <c r="BA260" s="67"/>
      <c r="BB260" s="67"/>
      <c r="BC260" s="67"/>
      <c r="BD260" s="67"/>
      <c r="BE260" s="67"/>
      <c r="BF260" s="67"/>
      <c r="BG260" s="67" t="str" vm="10229">
        <f>CUBEVALUE(ConnectionString,ReportMonth,Table1[[#This Row],[Site ID (from DATIM)]],"[Measures].[TX_NEW_F_A]")</f>
        <v/>
      </c>
      <c r="BH260" s="67" t="str" vm="17023">
        <f>CUBEVALUE(ConnectionString,ReportMonth,Table1[[#This Row],[Site ID (from DATIM)]],"[Measures].[TX_NEW_M_A]")</f>
        <v/>
      </c>
      <c r="BI260" s="67" t="str" vm="11016">
        <f>CUBEVALUE(ConnectionString,ReportMonth,Table1[[#This Row],[Site ID (from DATIM)]],"[Measures].[TX_NEW_F_P]")</f>
        <v/>
      </c>
      <c r="BJ260" s="68" t="str" vm="15634">
        <f>CUBEVALUE(ConnectionString,ReportMonth,Table1[[#This Row],[Site ID (from DATIM)]],"[Measures].[TX_NEW_M_P]")</f>
        <v/>
      </c>
      <c r="BK260" s="68"/>
      <c r="BL260" s="68"/>
      <c r="BM260" s="68"/>
      <c r="BN260" s="68"/>
      <c r="BO260" s="68"/>
      <c r="BP260" s="68"/>
      <c r="BQ260" s="68" t="str" vm="12461">
        <f>CUBEVALUE(ConnectionString,ReportMonth,Table1[[#This Row],[Site ID (from DATIM)]],"[Measures].[TX_CURR_F_P]")</f>
        <v/>
      </c>
      <c r="BR260" s="68" t="str" vm="9199">
        <f>CUBEVALUE(ConnectionString,ReportMonth,Table1[[#This Row],[Site ID (from DATIM)]],"[Measures].[TX_CURR_M_P]")</f>
        <v/>
      </c>
      <c r="BS260" s="68" vm="11494">
        <f>CUBEVALUE(ConnectionString,ReportMonth,Table1[[#This Row],[Site ID (from DATIM)]],"[Measures].[TX_CURR_F_A]")</f>
        <v>10</v>
      </c>
      <c r="BT260" s="68" t="str" vm="13397">
        <f>CUBEVALUE(ConnectionString,ReportMonth,Table1[[#This Row],[Site ID (from DATIM)]],"[Measures].[TX_CURR_M_A]")</f>
        <v/>
      </c>
      <c r="BU260" s="68" t="str" vm="18519">
        <f>CUBEVALUE(ConnectionString,ReportMonth,Table1[[#This Row],[Site ID (from DATIM)]],"[Measures].[MMS_01_89_F_P]")</f>
        <v/>
      </c>
      <c r="BV260" s="68" t="str" vm="18741">
        <f>CUBEVALUE(ConnectionString,ReportMonth,Table1[[#This Row],[Site ID (from DATIM)]],"[Measures].[MMS_01_89_M_P]")</f>
        <v/>
      </c>
      <c r="BW260" s="68" vm="19484">
        <f>CUBEVALUE(ConnectionString,ReportMonth,Table1[[#This Row],[Site ID (from DATIM)]],"[Measures].[MMS_01_89_F_A]")</f>
        <v>9</v>
      </c>
      <c r="BX260" s="68" t="str" vm="17935">
        <f>CUBEVALUE(ConnectionString,ReportMonth,Table1[[#This Row],[Site ID (from DATIM)]],"[Measures].[MMS_01_89_M_A]")</f>
        <v/>
      </c>
      <c r="BY260" s="68" t="str" vm="16107">
        <f>CUBEVALUE(ConnectionString,ReportMonth,Table1[[#This Row],[Site ID (from DATIM)]],"[Measures].[MMS_90_179_F_P]")</f>
        <v/>
      </c>
      <c r="BZ260" s="68" t="str" vm="17371">
        <f>CUBEVALUE(ConnectionString,ReportMonth,Table1[[#This Row],[Site ID (from DATIM)]],"[Measures].[MMS_90_179_M_P]")</f>
        <v/>
      </c>
      <c r="CA260" s="68" vm="17351">
        <f>CUBEVALUE(ConnectionString,ReportMonth,Table1[[#This Row],[Site ID (from DATIM)]],"[Measures].[MMS_90_179_F_A]")</f>
        <v>1</v>
      </c>
      <c r="CB260" s="68" t="str" vm="14614">
        <f>CUBEVALUE(ConnectionString,ReportMonth,Table1[[#This Row],[Site ID (from DATIM)]],"[Measures].[MMS_90_179_M_A]")</f>
        <v/>
      </c>
      <c r="CC260" s="68" t="str" vm="15861">
        <f>CUBEVALUE(ConnectionString,ReportMonth,Table1[[#This Row],[Site ID (from DATIM)]],"[Measures].[MMS_180+_F_P]")</f>
        <v/>
      </c>
      <c r="CD260" s="68" t="str" vm="15402">
        <f>CUBEVALUE(ConnectionString,ReportMonth,Table1[[#This Row],[Site ID (from DATIM)]],"[Measures].[MMS_180+_M_P]")</f>
        <v/>
      </c>
      <c r="CE260" s="68" t="str" vm="17127">
        <f>CUBEVALUE(ConnectionString,ReportMonth,Table1[[#This Row],[Site ID (from DATIM)]],"[Measures].[MMS_180+_F_A]")</f>
        <v/>
      </c>
      <c r="CF260" s="68" t="str" vm="133">
        <f>CUBEVALUE(ConnectionString,ReportMonth,Table1[[#This Row],[Site ID (from DATIM)]],"[Measures].[MMS_180+_M_A]")</f>
        <v/>
      </c>
      <c r="CG260" s="68" vm="11811">
        <f>CUBEVALUE(ConnectionString,ReportMonth,Table1[[#This Row],[Site ID (from DATIM)]],"[Measures].[MISSEDAPP]")</f>
        <v>9</v>
      </c>
      <c r="CH260" s="68" t="str" vm="10900">
        <f>CUBEVALUE(ConnectionString,ReportMonth,Table1[[#This Row],[Site ID (from DATIM)]],"[Measures].[MMS_180+_P]")</f>
        <v/>
      </c>
      <c r="CI260" s="68" t="str" vm="12112">
        <f>CUBEVALUE(ConnectionString,ReportMonth,Table1[[#This Row],[Site ID (from DATIM)]],"[Measures].[MMS_180+_A]")</f>
        <v/>
      </c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  <c r="CW260" s="68"/>
      <c r="CX260" s="68"/>
      <c r="CY260" s="68"/>
      <c r="CZ260" s="68"/>
      <c r="DA260" s="68"/>
      <c r="DB260" s="68"/>
      <c r="DC260" s="68"/>
    </row>
    <row r="261" spans="1:107" x14ac:dyDescent="0.25">
      <c r="A261" s="66">
        <v>4</v>
      </c>
      <c r="B261" s="67" t="str" vm="4">
        <f t="shared" si="4"/>
        <v>Mar-2021</v>
      </c>
      <c r="C261" s="67"/>
      <c r="D261" s="67" t="s">
        <v>232</v>
      </c>
      <c r="E261" s="67" t="s">
        <v>233</v>
      </c>
      <c r="F261" s="67" t="s">
        <v>1286</v>
      </c>
      <c r="G261" s="67"/>
      <c r="H261" s="67" t="s">
        <v>1287</v>
      </c>
      <c r="I261" s="67" t="s">
        <v>1416</v>
      </c>
      <c r="J261" s="67" t="s">
        <v>1417</v>
      </c>
      <c r="K261" s="67" t="s">
        <v>1418</v>
      </c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 t="str" vm="1689">
        <f>CUBEVALUE(ConnectionString,ReportMonth,Table1[[#This Row],[Site ID (from DATIM)]],"TX_NEW_2VIS")</f>
        <v/>
      </c>
      <c r="AE261" s="67" t="str" vm="3876">
        <f>CUBEVALUE(ConnectionString,ReportMonth,Table1[[#This Row],[Site ID (from DATIM)]],INDEX(SDI_Measures,1))</f>
        <v/>
      </c>
      <c r="AF261" s="67" t="str" vm="769">
        <f>CUBEVALUE(ConnectionString,ReportMonth,Table1[[#This Row],[Site ID (from DATIM)]],INDEX(SDI_Measures,2))</f>
        <v/>
      </c>
      <c r="AG261" s="67" t="str" vm="1478">
        <f>CUBEVALUE(ConnectionString,ReportMonth,Table1[[#This Row],[Site ID (from DATIM)]],INDEX(SDI_Measures,3))</f>
        <v/>
      </c>
      <c r="AH261" s="67" t="str" vm="3518">
        <f>CUBEVALUE(ConnectionString,ReportMonth,Table1[[#This Row],[Site ID (from DATIM)]],"TX_CURR_PRIOR_MONTH")</f>
        <v/>
      </c>
      <c r="AI261" s="67" t="str" vm="904">
        <f>CUBEVALUE(ConnectionString,ReportMonth,Table1[[#This Row],[Site ID (from DATIM)]],"TX_CURR")</f>
        <v/>
      </c>
      <c r="AJ261" s="67" t="str" vm="4067">
        <f>CUBEVALUE(ConnectionString,ReportMonth,Table1[[#This Row],[Site ID (from DATIM)]],"[Measures].[TI]")</f>
        <v/>
      </c>
      <c r="AK261" s="67" t="str" vm="1613">
        <f>CUBEVALUE(ConnectionString,ReportMonth,Table1[[#This Row],[Site ID (from DATIM)]],"[Measures].[TO]")</f>
        <v/>
      </c>
      <c r="AL261" s="67" t="str" vm="3491">
        <f>CUBEVALUE(ConnectionString,ReportMonth,Table1[[#This Row],[Site ID (from DATIM)]],"[Measures].[DIED]")</f>
        <v/>
      </c>
      <c r="AM261" s="67" t="str" vm="9478">
        <f>CUBEVALUE(ConnectionString,ReportMonth,Table1[[#This Row],[Site ID (from DATIM)]],"[Measures].[MMS_01_31]")</f>
        <v/>
      </c>
      <c r="AN261" s="67" t="str" vm="5511">
        <f>CUBEVALUE(ConnectionString,ReportMonth,Table1[[#This Row],[Site ID (from DATIM)]],"[Measures].[MMS_32_62]")</f>
        <v/>
      </c>
      <c r="AO261" s="67" t="str" vm="6447">
        <f>CUBEVALUE(ConnectionString,ReportMonth,Table1[[#This Row],[Site ID (from DATIM)]],"[Measures].[MMS_63+]")</f>
        <v/>
      </c>
      <c r="AP261" s="67" t="str" vm="6727">
        <f>CUBEVALUE(ConnectionString,ReportMonth,Table1[[#This Row],[Site ID (from DATIM)]],"[Measures].[TBPREV_D]")</f>
        <v/>
      </c>
      <c r="AQ261" s="67" t="str" vm="6628">
        <f>CUBEVALUE(ConnectionString,ReportMonth,Table1[[#This Row],[Site ID (from DATIM)]],"[Measures].[TBPREV_N]")</f>
        <v/>
      </c>
      <c r="AR261" s="67" t="str" vm="5972">
        <f>CUBEVALUE(ConnectionString,ReportMonth,Table1[[#This Row],[Site ID (from DATIM)]],"[Measures].[TBPREV_NEW]")</f>
        <v/>
      </c>
      <c r="AS261" s="67" t="str" vm="10256">
        <f>CUBEVALUE(ConnectionString,ReportMonth,Table1[[#This Row],[Site ID (from DATIM)]],"[Measures].[HVL_ELIG_P]")</f>
        <v/>
      </c>
      <c r="AT261" s="67" t="str" vm="10234">
        <f>CUBEVALUE(ConnectionString,ReportMonth,Table1[[#This Row],[Site ID (from DATIM)]],"[Measures].[HVL_D_P]")</f>
        <v/>
      </c>
      <c r="AU261" s="67" t="str" vm="9534">
        <f>CUBEVALUE(ConnectionString,ReportMonth,Table1[[#This Row],[Site ID (from DATIM)]],"[Measures].[HVL_N_P]")</f>
        <v/>
      </c>
      <c r="AV261" s="68" t="str" vm="9356">
        <f>CUBEVALUE(ConnectionString,ReportMonth,Table1[[#This Row],[Site ID (from DATIM)]],"[Measures].[HVL_ELIG_A]")</f>
        <v/>
      </c>
      <c r="AW261" s="68" t="str" vm="8468">
        <f>CUBEVALUE(ConnectionString,ReportMonth,Table1[[#This Row],[Site ID (from DATIM)]],"[Measures].[HVL_D_A]")</f>
        <v/>
      </c>
      <c r="AX261" s="68" t="str" vm="8231">
        <f>CUBEVALUE(ConnectionString,ReportMonth,Table1[[#This Row],[Site ID (from DATIM)]],"[Measures].[HVL_N_A]")</f>
        <v/>
      </c>
      <c r="AY261" s="67"/>
      <c r="AZ261" s="67"/>
      <c r="BA261" s="67"/>
      <c r="BB261" s="67"/>
      <c r="BC261" s="67"/>
      <c r="BD261" s="67"/>
      <c r="BE261" s="67"/>
      <c r="BF261" s="67"/>
      <c r="BG261" s="67" t="str" vm="11177">
        <f>CUBEVALUE(ConnectionString,ReportMonth,Table1[[#This Row],[Site ID (from DATIM)]],"[Measures].[TX_NEW_F_A]")</f>
        <v/>
      </c>
      <c r="BH261" s="67" t="str" vm="12808">
        <f>CUBEVALUE(ConnectionString,ReportMonth,Table1[[#This Row],[Site ID (from DATIM)]],"[Measures].[TX_NEW_M_A]")</f>
        <v/>
      </c>
      <c r="BI261" s="67" t="str" vm="14209">
        <f>CUBEVALUE(ConnectionString,ReportMonth,Table1[[#This Row],[Site ID (from DATIM)]],"[Measures].[TX_NEW_F_P]")</f>
        <v/>
      </c>
      <c r="BJ261" s="68" t="str" vm="15670">
        <f>CUBEVALUE(ConnectionString,ReportMonth,Table1[[#This Row],[Site ID (from DATIM)]],"[Measures].[TX_NEW_M_P]")</f>
        <v/>
      </c>
      <c r="BK261" s="68"/>
      <c r="BL261" s="68"/>
      <c r="BM261" s="68"/>
      <c r="BN261" s="68"/>
      <c r="BO261" s="68"/>
      <c r="BP261" s="68"/>
      <c r="BQ261" s="68" t="str" vm="10146">
        <f>CUBEVALUE(ConnectionString,ReportMonth,Table1[[#This Row],[Site ID (from DATIM)]],"[Measures].[TX_CURR_F_P]")</f>
        <v/>
      </c>
      <c r="BR261" s="68" t="str" vm="9676">
        <f>CUBEVALUE(ConnectionString,ReportMonth,Table1[[#This Row],[Site ID (from DATIM)]],"[Measures].[TX_CURR_M_P]")</f>
        <v/>
      </c>
      <c r="BS261" s="68" t="str" vm="10550">
        <f>CUBEVALUE(ConnectionString,ReportMonth,Table1[[#This Row],[Site ID (from DATIM)]],"[Measures].[TX_CURR_F_A]")</f>
        <v/>
      </c>
      <c r="BT261" s="68" t="str" vm="6819">
        <f>CUBEVALUE(ConnectionString,ReportMonth,Table1[[#This Row],[Site ID (from DATIM)]],"[Measures].[TX_CURR_M_A]")</f>
        <v/>
      </c>
      <c r="BU261" s="68" t="str" vm="19648">
        <f>CUBEVALUE(ConnectionString,ReportMonth,Table1[[#This Row],[Site ID (from DATIM)]],"[Measures].[MMS_01_89_F_P]")</f>
        <v/>
      </c>
      <c r="BV261" s="68" t="str" vm="19016">
        <f>CUBEVALUE(ConnectionString,ReportMonth,Table1[[#This Row],[Site ID (from DATIM)]],"[Measures].[MMS_01_89_M_P]")</f>
        <v/>
      </c>
      <c r="BW261" s="68" t="str" vm="18002">
        <f>CUBEVALUE(ConnectionString,ReportMonth,Table1[[#This Row],[Site ID (from DATIM)]],"[Measures].[MMS_01_89_F_A]")</f>
        <v/>
      </c>
      <c r="BX261" s="68" t="str" vm="17934">
        <f>CUBEVALUE(ConnectionString,ReportMonth,Table1[[#This Row],[Site ID (from DATIM)]],"[Measures].[MMS_01_89_M_A]")</f>
        <v/>
      </c>
      <c r="BY261" s="68" t="str" vm="17859">
        <f>CUBEVALUE(ConnectionString,ReportMonth,Table1[[#This Row],[Site ID (from DATIM)]],"[Measures].[MMS_90_179_F_P]")</f>
        <v/>
      </c>
      <c r="BZ261" s="68" t="str" vm="17881">
        <f>CUBEVALUE(ConnectionString,ReportMonth,Table1[[#This Row],[Site ID (from DATIM)]],"[Measures].[MMS_90_179_M_P]")</f>
        <v/>
      </c>
      <c r="CA261" s="68" t="str" vm="17671">
        <f>CUBEVALUE(ConnectionString,ReportMonth,Table1[[#This Row],[Site ID (from DATIM)]],"[Measures].[MMS_90_179_F_A]")</f>
        <v/>
      </c>
      <c r="CB261" s="68" t="str" vm="15913">
        <f>CUBEVALUE(ConnectionString,ReportMonth,Table1[[#This Row],[Site ID (from DATIM)]],"[Measures].[MMS_90_179_M_A]")</f>
        <v/>
      </c>
      <c r="CC261" s="68" t="str" vm="17278">
        <f>CUBEVALUE(ConnectionString,ReportMonth,Table1[[#This Row],[Site ID (from DATIM)]],"[Measures].[MMS_180+_F_P]")</f>
        <v/>
      </c>
      <c r="CD261" s="68" t="str" vm="14964">
        <f>CUBEVALUE(ConnectionString,ReportMonth,Table1[[#This Row],[Site ID (from DATIM)]],"[Measures].[MMS_180+_M_P]")</f>
        <v/>
      </c>
      <c r="CE261" s="68" t="str" vm="16300">
        <f>CUBEVALUE(ConnectionString,ReportMonth,Table1[[#This Row],[Site ID (from DATIM)]],"[Measures].[MMS_180+_F_A]")</f>
        <v/>
      </c>
      <c r="CF261" s="68" t="str" vm="14895">
        <f>CUBEVALUE(ConnectionString,ReportMonth,Table1[[#This Row],[Site ID (from DATIM)]],"[Measures].[MMS_180+_M_A]")</f>
        <v/>
      </c>
      <c r="CG261" s="68" t="str" vm="13505">
        <f>CUBEVALUE(ConnectionString,ReportMonth,Table1[[#This Row],[Site ID (from DATIM)]],"[Measures].[MISSEDAPP]")</f>
        <v/>
      </c>
      <c r="CH261" s="68" t="str" vm="13860">
        <f>CUBEVALUE(ConnectionString,ReportMonth,Table1[[#This Row],[Site ID (from DATIM)]],"[Measures].[MMS_180+_P]")</f>
        <v/>
      </c>
      <c r="CI261" s="68" t="str" vm="13504">
        <f>CUBEVALUE(ConnectionString,ReportMonth,Table1[[#This Row],[Site ID (from DATIM)]],"[Measures].[MMS_180+_A]")</f>
        <v/>
      </c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  <c r="CW261" s="68"/>
      <c r="CX261" s="68"/>
      <c r="CY261" s="68"/>
      <c r="CZ261" s="68"/>
      <c r="DA261" s="68"/>
      <c r="DB261" s="68"/>
      <c r="DC261" s="68"/>
    </row>
    <row r="262" spans="1:107" x14ac:dyDescent="0.25">
      <c r="A262" s="66">
        <v>4</v>
      </c>
      <c r="B262" s="67" t="str" vm="4">
        <f t="shared" ref="B262:B325" si="5">ReportMonth</f>
        <v>Mar-2021</v>
      </c>
      <c r="C262" s="67"/>
      <c r="D262" s="67" t="s">
        <v>232</v>
      </c>
      <c r="E262" s="67" t="s">
        <v>233</v>
      </c>
      <c r="F262" s="67" t="s">
        <v>437</v>
      </c>
      <c r="G262" s="67"/>
      <c r="H262" s="67" t="s">
        <v>513</v>
      </c>
      <c r="I262" s="67" t="s">
        <v>673</v>
      </c>
      <c r="J262" s="67" t="s">
        <v>674</v>
      </c>
      <c r="K262" s="67" t="s">
        <v>675</v>
      </c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 vm="1574">
        <f>CUBEVALUE(ConnectionString,ReportMonth,Table1[[#This Row],[Site ID (from DATIM)]],"TX_NEW_2VIS")</f>
        <v>1</v>
      </c>
      <c r="AE262" s="67" t="str" vm="3391">
        <f>CUBEVALUE(ConnectionString,ReportMonth,Table1[[#This Row],[Site ID (from DATIM)]],INDEX(SDI_Measures,1))</f>
        <v/>
      </c>
      <c r="AF262" s="67" t="str" vm="3999">
        <f>CUBEVALUE(ConnectionString,ReportMonth,Table1[[#This Row],[Site ID (from DATIM)]],INDEX(SDI_Measures,2))</f>
        <v/>
      </c>
      <c r="AG262" s="67" t="str" vm="586">
        <f>CUBEVALUE(ConnectionString,ReportMonth,Table1[[#This Row],[Site ID (from DATIM)]],INDEX(SDI_Measures,3))</f>
        <v/>
      </c>
      <c r="AH262" s="67" vm="4292">
        <f>CUBEVALUE(ConnectionString,ReportMonth,Table1[[#This Row],[Site ID (from DATIM)]],"TX_CURR_PRIOR_MONTH")</f>
        <v>127</v>
      </c>
      <c r="AI262" s="67" vm="3313">
        <f>CUBEVALUE(ConnectionString,ReportMonth,Table1[[#This Row],[Site ID (from DATIM)]],"TX_CURR")</f>
        <v>121</v>
      </c>
      <c r="AJ262" s="67" t="str" vm="2095">
        <f>CUBEVALUE(ConnectionString,ReportMonth,Table1[[#This Row],[Site ID (from DATIM)]],"[Measures].[TI]")</f>
        <v/>
      </c>
      <c r="AK262" s="67" t="str" vm="3996">
        <f>CUBEVALUE(ConnectionString,ReportMonth,Table1[[#This Row],[Site ID (from DATIM)]],"[Measures].[TO]")</f>
        <v/>
      </c>
      <c r="AL262" s="67" t="str" vm="1886">
        <f>CUBEVALUE(ConnectionString,ReportMonth,Table1[[#This Row],[Site ID (from DATIM)]],"[Measures].[DIED]")</f>
        <v/>
      </c>
      <c r="AM262" s="67" vm="6722">
        <f>CUBEVALUE(ConnectionString,ReportMonth,Table1[[#This Row],[Site ID (from DATIM)]],"[Measures].[MMS_01_31]")</f>
        <v>28</v>
      </c>
      <c r="AN262" s="67" vm="5821">
        <f>CUBEVALUE(ConnectionString,ReportMonth,Table1[[#This Row],[Site ID (from DATIM)]],"[Measures].[MMS_32_62]")</f>
        <v>4</v>
      </c>
      <c r="AO262" s="67" vm="4970">
        <f>CUBEVALUE(ConnectionString,ReportMonth,Table1[[#This Row],[Site ID (from DATIM)]],"[Measures].[MMS_63+]")</f>
        <v>89</v>
      </c>
      <c r="AP262" s="67" vm="5853">
        <f>CUBEVALUE(ConnectionString,ReportMonth,Table1[[#This Row],[Site ID (from DATIM)]],"[Measures].[TBPREV_D]")</f>
        <v>2</v>
      </c>
      <c r="AQ262" s="67" vm="6637">
        <f>CUBEVALUE(ConnectionString,ReportMonth,Table1[[#This Row],[Site ID (from DATIM)]],"[Measures].[TBPREV_N]")</f>
        <v>2</v>
      </c>
      <c r="AR262" s="67" t="str" vm="4640">
        <f>CUBEVALUE(ConnectionString,ReportMonth,Table1[[#This Row],[Site ID (from DATIM)]],"[Measures].[TBPREV_NEW]")</f>
        <v/>
      </c>
      <c r="AS262" s="67" vm="7472">
        <f>CUBEVALUE(ConnectionString,ReportMonth,Table1[[#This Row],[Site ID (from DATIM)]],"[Measures].[HVL_ELIG_P]")</f>
        <v>10</v>
      </c>
      <c r="AT262" s="67" vm="8888">
        <f>CUBEVALUE(ConnectionString,ReportMonth,Table1[[#This Row],[Site ID (from DATIM)]],"[Measures].[HVL_D_P]")</f>
        <v>7</v>
      </c>
      <c r="AU262" s="67" vm="9846">
        <f>CUBEVALUE(ConnectionString,ReportMonth,Table1[[#This Row],[Site ID (from DATIM)]],"[Measures].[HVL_N_P]")</f>
        <v>5</v>
      </c>
      <c r="AV262" s="68" vm="12766">
        <f>CUBEVALUE(ConnectionString,ReportMonth,Table1[[#This Row],[Site ID (from DATIM)]],"[Measures].[HVL_ELIG_A]")</f>
        <v>103</v>
      </c>
      <c r="AW262" s="68" vm="8377">
        <f>CUBEVALUE(ConnectionString,ReportMonth,Table1[[#This Row],[Site ID (from DATIM)]],"[Measures].[HVL_D_A]")</f>
        <v>67</v>
      </c>
      <c r="AX262" s="68" vm="8304">
        <f>CUBEVALUE(ConnectionString,ReportMonth,Table1[[#This Row],[Site ID (from DATIM)]],"[Measures].[HVL_N_A]")</f>
        <v>66</v>
      </c>
      <c r="AY262" s="67"/>
      <c r="AZ262" s="67"/>
      <c r="BA262" s="67"/>
      <c r="BB262" s="67"/>
      <c r="BC262" s="67"/>
      <c r="BD262" s="67"/>
      <c r="BE262" s="67"/>
      <c r="BF262" s="67"/>
      <c r="BG262" s="67" t="str" vm="12803">
        <f>CUBEVALUE(ConnectionString,ReportMonth,Table1[[#This Row],[Site ID (from DATIM)]],"[Measures].[TX_NEW_F_A]")</f>
        <v/>
      </c>
      <c r="BH262" s="67" t="str" vm="11431">
        <f>CUBEVALUE(ConnectionString,ReportMonth,Table1[[#This Row],[Site ID (from DATIM)]],"[Measures].[TX_NEW_M_A]")</f>
        <v/>
      </c>
      <c r="BI262" s="67" t="str" vm="12855">
        <f>CUBEVALUE(ConnectionString,ReportMonth,Table1[[#This Row],[Site ID (from DATIM)]],"[Measures].[TX_NEW_F_P]")</f>
        <v/>
      </c>
      <c r="BJ262" s="68" t="str" vm="13133">
        <f>CUBEVALUE(ConnectionString,ReportMonth,Table1[[#This Row],[Site ID (from DATIM)]],"[Measures].[TX_NEW_M_P]")</f>
        <v/>
      </c>
      <c r="BK262" s="68"/>
      <c r="BL262" s="68"/>
      <c r="BM262" s="68"/>
      <c r="BN262" s="68"/>
      <c r="BO262" s="68"/>
      <c r="BP262" s="68"/>
      <c r="BQ262" s="68" vm="10331">
        <f>CUBEVALUE(ConnectionString,ReportMonth,Table1[[#This Row],[Site ID (from DATIM)]],"[Measures].[TX_CURR_F_P]")</f>
        <v>4</v>
      </c>
      <c r="BR262" s="68" vm="9475">
        <f>CUBEVALUE(ConnectionString,ReportMonth,Table1[[#This Row],[Site ID (from DATIM)]],"[Measures].[TX_CURR_M_P]")</f>
        <v>8</v>
      </c>
      <c r="BS262" s="68" vm="9724">
        <f>CUBEVALUE(ConnectionString,ReportMonth,Table1[[#This Row],[Site ID (from DATIM)]],"[Measures].[TX_CURR_F_A]")</f>
        <v>86</v>
      </c>
      <c r="BT262" s="68" vm="14122">
        <f>CUBEVALUE(ConnectionString,ReportMonth,Table1[[#This Row],[Site ID (from DATIM)]],"[Measures].[TX_CURR_M_A]")</f>
        <v>23</v>
      </c>
      <c r="BU262" s="68" vm="19801">
        <f>CUBEVALUE(ConnectionString,ReportMonth,Table1[[#This Row],[Site ID (from DATIM)]],"[Measures].[MMS_01_89_F_P]")</f>
        <v>3</v>
      </c>
      <c r="BV262" s="68" vm="19454">
        <f>CUBEVALUE(ConnectionString,ReportMonth,Table1[[#This Row],[Site ID (from DATIM)]],"[Measures].[MMS_01_89_M_P]")</f>
        <v>5</v>
      </c>
      <c r="BW262" s="68" vm="19005">
        <f>CUBEVALUE(ConnectionString,ReportMonth,Table1[[#This Row],[Site ID (from DATIM)]],"[Measures].[MMS_01_89_F_A]")</f>
        <v>18</v>
      </c>
      <c r="BX262" s="68" vm="18010">
        <f>CUBEVALUE(ConnectionString,ReportMonth,Table1[[#This Row],[Site ID (from DATIM)]],"[Measures].[MMS_01_89_M_A]")</f>
        <v>6</v>
      </c>
      <c r="BY262" s="68" vm="19064">
        <f>CUBEVALUE(ConnectionString,ReportMonth,Table1[[#This Row],[Site ID (from DATIM)]],"[Measures].[MMS_90_179_F_P]")</f>
        <v>1</v>
      </c>
      <c r="BZ262" s="68" vm="16063">
        <f>CUBEVALUE(ConnectionString,ReportMonth,Table1[[#This Row],[Site ID (from DATIM)]],"[Measures].[MMS_90_179_M_P]")</f>
        <v>3</v>
      </c>
      <c r="CA262" s="68" vm="14661">
        <f>CUBEVALUE(ConnectionString,ReportMonth,Table1[[#This Row],[Site ID (from DATIM)]],"[Measures].[MMS_90_179_F_A]")</f>
        <v>68</v>
      </c>
      <c r="CB262" s="68" vm="16919">
        <f>CUBEVALUE(ConnectionString,ReportMonth,Table1[[#This Row],[Site ID (from DATIM)]],"[Measures].[MMS_90_179_M_A]")</f>
        <v>17</v>
      </c>
      <c r="CC262" s="68" t="str" vm="16314">
        <f>CUBEVALUE(ConnectionString,ReportMonth,Table1[[#This Row],[Site ID (from DATIM)]],"[Measures].[MMS_180+_F_P]")</f>
        <v/>
      </c>
      <c r="CD262" s="68" t="str" vm="17510">
        <f>CUBEVALUE(ConnectionString,ReportMonth,Table1[[#This Row],[Site ID (from DATIM)]],"[Measures].[MMS_180+_M_P]")</f>
        <v/>
      </c>
      <c r="CE262" s="68" t="str" vm="177">
        <f>CUBEVALUE(ConnectionString,ReportMonth,Table1[[#This Row],[Site ID (from DATIM)]],"[Measures].[MMS_180+_F_A]")</f>
        <v/>
      </c>
      <c r="CF262" s="68" t="str" vm="20192">
        <f>CUBEVALUE(ConnectionString,ReportMonth,Table1[[#This Row],[Site ID (from DATIM)]],"[Measures].[MMS_180+_M_A]")</f>
        <v/>
      </c>
      <c r="CG262" s="68" vm="8420">
        <f>CUBEVALUE(ConnectionString,ReportMonth,Table1[[#This Row],[Site ID (from DATIM)]],"[Measures].[MISSEDAPP]")</f>
        <v>25</v>
      </c>
      <c r="CH262" s="68" t="str" vm="14104">
        <f>CUBEVALUE(ConnectionString,ReportMonth,Table1[[#This Row],[Site ID (from DATIM)]],"[Measures].[MMS_180+_P]")</f>
        <v/>
      </c>
      <c r="CI262" s="68" t="str" vm="13038">
        <f>CUBEVALUE(ConnectionString,ReportMonth,Table1[[#This Row],[Site ID (from DATIM)]],"[Measures].[MMS_180+_A]")</f>
        <v/>
      </c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  <c r="CW262" s="68"/>
      <c r="CX262" s="68"/>
      <c r="CY262" s="68"/>
      <c r="CZ262" s="68"/>
      <c r="DA262" s="68"/>
      <c r="DB262" s="68"/>
      <c r="DC262" s="68"/>
    </row>
    <row r="263" spans="1:107" x14ac:dyDescent="0.25">
      <c r="A263" s="66">
        <v>4</v>
      </c>
      <c r="B263" s="67" t="str" vm="4">
        <f t="shared" si="5"/>
        <v>Mar-2021</v>
      </c>
      <c r="C263" s="67"/>
      <c r="D263" s="67" t="s">
        <v>232</v>
      </c>
      <c r="E263" s="67" t="s">
        <v>233</v>
      </c>
      <c r="F263" s="67" t="s">
        <v>234</v>
      </c>
      <c r="G263" s="67"/>
      <c r="H263" s="67" t="s">
        <v>235</v>
      </c>
      <c r="I263" s="67" t="s">
        <v>341</v>
      </c>
      <c r="J263" s="67" t="s">
        <v>342</v>
      </c>
      <c r="K263" s="67" t="s">
        <v>343</v>
      </c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 t="str" vm="2664">
        <f>CUBEVALUE(ConnectionString,ReportMonth,Table1[[#This Row],[Site ID (from DATIM)]],"TX_NEW_2VIS")</f>
        <v/>
      </c>
      <c r="AE263" s="67" t="str" vm="1162">
        <f>CUBEVALUE(ConnectionString,ReportMonth,Table1[[#This Row],[Site ID (from DATIM)]],INDEX(SDI_Measures,1))</f>
        <v/>
      </c>
      <c r="AF263" s="67" t="str" vm="2076">
        <f>CUBEVALUE(ConnectionString,ReportMonth,Table1[[#This Row],[Site ID (from DATIM)]],INDEX(SDI_Measures,2))</f>
        <v/>
      </c>
      <c r="AG263" s="67" t="str" vm="2272">
        <f>CUBEVALUE(ConnectionString,ReportMonth,Table1[[#This Row],[Site ID (from DATIM)]],INDEX(SDI_Measures,3))</f>
        <v/>
      </c>
      <c r="AH263" s="67" vm="3804">
        <f>CUBEVALUE(ConnectionString,ReportMonth,Table1[[#This Row],[Site ID (from DATIM)]],"TX_CURR_PRIOR_MONTH")</f>
        <v>199</v>
      </c>
      <c r="AI263" s="67" vm="2762">
        <f>CUBEVALUE(ConnectionString,ReportMonth,Table1[[#This Row],[Site ID (from DATIM)]],"TX_CURR")</f>
        <v>181</v>
      </c>
      <c r="AJ263" s="67" t="str" vm="2850">
        <f>CUBEVALUE(ConnectionString,ReportMonth,Table1[[#This Row],[Site ID (from DATIM)]],"[Measures].[TI]")</f>
        <v/>
      </c>
      <c r="AK263" s="67" t="str" vm="2896">
        <f>CUBEVALUE(ConnectionString,ReportMonth,Table1[[#This Row],[Site ID (from DATIM)]],"[Measures].[TO]")</f>
        <v/>
      </c>
      <c r="AL263" s="67" t="str" vm="1387">
        <f>CUBEVALUE(ConnectionString,ReportMonth,Table1[[#This Row],[Site ID (from DATIM)]],"[Measures].[DIED]")</f>
        <v/>
      </c>
      <c r="AM263" s="67" vm="3664">
        <f>CUBEVALUE(ConnectionString,ReportMonth,Table1[[#This Row],[Site ID (from DATIM)]],"[Measures].[MMS_01_31]")</f>
        <v>51</v>
      </c>
      <c r="AN263" s="67" vm="8130">
        <f>CUBEVALUE(ConnectionString,ReportMonth,Table1[[#This Row],[Site ID (from DATIM)]],"[Measures].[MMS_32_62]")</f>
        <v>4</v>
      </c>
      <c r="AO263" s="67" vm="6570">
        <f>CUBEVALUE(ConnectionString,ReportMonth,Table1[[#This Row],[Site ID (from DATIM)]],"[Measures].[MMS_63+]")</f>
        <v>126</v>
      </c>
      <c r="AP263" s="67" vm="6063">
        <f>CUBEVALUE(ConnectionString,ReportMonth,Table1[[#This Row],[Site ID (from DATIM)]],"[Measures].[TBPREV_D]")</f>
        <v>1</v>
      </c>
      <c r="AQ263" s="67" t="str" vm="5805">
        <f>CUBEVALUE(ConnectionString,ReportMonth,Table1[[#This Row],[Site ID (from DATIM)]],"[Measures].[TBPREV_N]")</f>
        <v/>
      </c>
      <c r="AR263" s="67" t="str" vm="4874">
        <f>CUBEVALUE(ConnectionString,ReportMonth,Table1[[#This Row],[Site ID (from DATIM)]],"[Measures].[TBPREV_NEW]")</f>
        <v/>
      </c>
      <c r="AS263" s="67" vm="4683">
        <f>CUBEVALUE(ConnectionString,ReportMonth,Table1[[#This Row],[Site ID (from DATIM)]],"[Measures].[HVL_ELIG_P]")</f>
        <v>10</v>
      </c>
      <c r="AT263" s="67" vm="5605">
        <f>CUBEVALUE(ConnectionString,ReportMonth,Table1[[#This Row],[Site ID (from DATIM)]],"[Measures].[HVL_D_P]")</f>
        <v>5</v>
      </c>
      <c r="AU263" s="67" vm="9285">
        <f>CUBEVALUE(ConnectionString,ReportMonth,Table1[[#This Row],[Site ID (from DATIM)]],"[Measures].[HVL_N_P]")</f>
        <v>4</v>
      </c>
      <c r="AV263" s="68" vm="9014">
        <f>CUBEVALUE(ConnectionString,ReportMonth,Table1[[#This Row],[Site ID (from DATIM)]],"[Measures].[HVL_ELIG_A]")</f>
        <v>160</v>
      </c>
      <c r="AW263" s="68" vm="8400">
        <f>CUBEVALUE(ConnectionString,ReportMonth,Table1[[#This Row],[Site ID (from DATIM)]],"[Measures].[HVL_D_A]")</f>
        <v>113</v>
      </c>
      <c r="AX263" s="68" vm="9801">
        <f>CUBEVALUE(ConnectionString,ReportMonth,Table1[[#This Row],[Site ID (from DATIM)]],"[Measures].[HVL_N_A]")</f>
        <v>107</v>
      </c>
      <c r="AY263" s="67"/>
      <c r="AZ263" s="67"/>
      <c r="BA263" s="67"/>
      <c r="BB263" s="67"/>
      <c r="BC263" s="67"/>
      <c r="BD263" s="67"/>
      <c r="BE263" s="67"/>
      <c r="BF263" s="67"/>
      <c r="BG263" s="67" t="str" vm="12223">
        <f>CUBEVALUE(ConnectionString,ReportMonth,Table1[[#This Row],[Site ID (from DATIM)]],"[Measures].[TX_NEW_F_A]")</f>
        <v/>
      </c>
      <c r="BH263" s="67" t="str" vm="13010">
        <f>CUBEVALUE(ConnectionString,ReportMonth,Table1[[#This Row],[Site ID (from DATIM)]],"[Measures].[TX_NEW_M_A]")</f>
        <v/>
      </c>
      <c r="BI263" s="67" t="str" vm="13085">
        <f>CUBEVALUE(ConnectionString,ReportMonth,Table1[[#This Row],[Site ID (from DATIM)]],"[Measures].[TX_NEW_F_P]")</f>
        <v/>
      </c>
      <c r="BJ263" s="68" t="str" vm="13482">
        <f>CUBEVALUE(ConnectionString,ReportMonth,Table1[[#This Row],[Site ID (from DATIM)]],"[Measures].[TX_NEW_M_P]")</f>
        <v/>
      </c>
      <c r="BK263" s="68"/>
      <c r="BL263" s="68"/>
      <c r="BM263" s="68"/>
      <c r="BN263" s="68"/>
      <c r="BO263" s="68"/>
      <c r="BP263" s="68"/>
      <c r="BQ263" s="68" vm="11493">
        <f>CUBEVALUE(ConnectionString,ReportMonth,Table1[[#This Row],[Site ID (from DATIM)]],"[Measures].[TX_CURR_F_P]")</f>
        <v>2</v>
      </c>
      <c r="BR263" s="68" vm="8341">
        <f>CUBEVALUE(ConnectionString,ReportMonth,Table1[[#This Row],[Site ID (from DATIM)]],"[Measures].[TX_CURR_M_P]")</f>
        <v>8</v>
      </c>
      <c r="BS263" s="68" vm="13137">
        <f>CUBEVALUE(ConnectionString,ReportMonth,Table1[[#This Row],[Site ID (from DATIM)]],"[Measures].[TX_CURR_F_A]")</f>
        <v>115</v>
      </c>
      <c r="BT263" s="68" vm="12335">
        <f>CUBEVALUE(ConnectionString,ReportMonth,Table1[[#This Row],[Site ID (from DATIM)]],"[Measures].[TX_CURR_M_A]")</f>
        <v>56</v>
      </c>
      <c r="BU263" s="68" vm="19247">
        <f>CUBEVALUE(ConnectionString,ReportMonth,Table1[[#This Row],[Site ID (from DATIM)]],"[Measures].[MMS_01_89_F_P]")</f>
        <v>1</v>
      </c>
      <c r="BV263" s="68" vm="19915">
        <f>CUBEVALUE(ConnectionString,ReportMonth,Table1[[#This Row],[Site ID (from DATIM)]],"[Measures].[MMS_01_89_M_P]")</f>
        <v>5</v>
      </c>
      <c r="BW263" s="68" vm="18807">
        <f>CUBEVALUE(ConnectionString,ReportMonth,Table1[[#This Row],[Site ID (from DATIM)]],"[Measures].[MMS_01_89_F_A]")</f>
        <v>38</v>
      </c>
      <c r="BX263" s="68" vm="19106">
        <f>CUBEVALUE(ConnectionString,ReportMonth,Table1[[#This Row],[Site ID (from DATIM)]],"[Measures].[MMS_01_89_M_A]")</f>
        <v>12</v>
      </c>
      <c r="BY263" s="68" vm="19167">
        <f>CUBEVALUE(ConnectionString,ReportMonth,Table1[[#This Row],[Site ID (from DATIM)]],"[Measures].[MMS_90_179_F_P]")</f>
        <v>1</v>
      </c>
      <c r="BZ263" s="68" vm="15984">
        <f>CUBEVALUE(ConnectionString,ReportMonth,Table1[[#This Row],[Site ID (from DATIM)]],"[Measures].[MMS_90_179_M_P]")</f>
        <v>3</v>
      </c>
      <c r="CA263" s="68" vm="18157">
        <f>CUBEVALUE(ConnectionString,ReportMonth,Table1[[#This Row],[Site ID (from DATIM)]],"[Measures].[MMS_90_179_F_A]")</f>
        <v>77</v>
      </c>
      <c r="CB263" s="68" vm="15516">
        <f>CUBEVALUE(ConnectionString,ReportMonth,Table1[[#This Row],[Site ID (from DATIM)]],"[Measures].[MMS_90_179_M_A]")</f>
        <v>44</v>
      </c>
      <c r="CC263" s="68" t="str" vm="16358">
        <f>CUBEVALUE(ConnectionString,ReportMonth,Table1[[#This Row],[Site ID (from DATIM)]],"[Measures].[MMS_180+_F_P]")</f>
        <v/>
      </c>
      <c r="CD263" s="68" t="str" vm="16241">
        <f>CUBEVALUE(ConnectionString,ReportMonth,Table1[[#This Row],[Site ID (from DATIM)]],"[Measures].[MMS_180+_M_P]")</f>
        <v/>
      </c>
      <c r="CE263" s="68" t="str" vm="17580">
        <f>CUBEVALUE(ConnectionString,ReportMonth,Table1[[#This Row],[Site ID (from DATIM)]],"[Measures].[MMS_180+_F_A]")</f>
        <v/>
      </c>
      <c r="CF263" s="68" t="str" vm="443">
        <f>CUBEVALUE(ConnectionString,ReportMonth,Table1[[#This Row],[Site ID (from DATIM)]],"[Measures].[MMS_180+_M_A]")</f>
        <v/>
      </c>
      <c r="CG263" s="68" vm="11085">
        <f>CUBEVALUE(ConnectionString,ReportMonth,Table1[[#This Row],[Site ID (from DATIM)]],"[Measures].[MISSEDAPP]")</f>
        <v>70</v>
      </c>
      <c r="CH263" s="68" t="str" vm="12030">
        <f>CUBEVALUE(ConnectionString,ReportMonth,Table1[[#This Row],[Site ID (from DATIM)]],"[Measures].[MMS_180+_P]")</f>
        <v/>
      </c>
      <c r="CI263" s="68" t="str" vm="10985">
        <f>CUBEVALUE(ConnectionString,ReportMonth,Table1[[#This Row],[Site ID (from DATIM)]],"[Measures].[MMS_180+_A]")</f>
        <v/>
      </c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  <c r="CW263" s="68"/>
      <c r="CX263" s="68"/>
      <c r="CY263" s="68"/>
      <c r="CZ263" s="68"/>
      <c r="DA263" s="68"/>
      <c r="DB263" s="68"/>
      <c r="DC263" s="68"/>
    </row>
    <row r="264" spans="1:107" x14ac:dyDescent="0.25">
      <c r="A264" s="66">
        <v>4</v>
      </c>
      <c r="B264" s="67" t="str" vm="4">
        <f t="shared" si="5"/>
        <v>Mar-2021</v>
      </c>
      <c r="C264" s="67"/>
      <c r="D264" s="67" t="s">
        <v>232</v>
      </c>
      <c r="E264" s="67" t="s">
        <v>233</v>
      </c>
      <c r="F264" s="67" t="s">
        <v>1083</v>
      </c>
      <c r="G264" s="67"/>
      <c r="H264" s="67" t="s">
        <v>1160</v>
      </c>
      <c r="I264" s="67" t="s">
        <v>1226</v>
      </c>
      <c r="J264" s="67" t="s">
        <v>1227</v>
      </c>
      <c r="K264" s="67" t="s">
        <v>1228</v>
      </c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 t="str" vm="2848">
        <f>CUBEVALUE(ConnectionString,ReportMonth,Table1[[#This Row],[Site ID (from DATIM)]],"TX_NEW_2VIS")</f>
        <v/>
      </c>
      <c r="AE264" s="67" t="str" vm="304">
        <f>CUBEVALUE(ConnectionString,ReportMonth,Table1[[#This Row],[Site ID (from DATIM)]],INDEX(SDI_Measures,1))</f>
        <v/>
      </c>
      <c r="AF264" s="67" t="str" vm="798">
        <f>CUBEVALUE(ConnectionString,ReportMonth,Table1[[#This Row],[Site ID (from DATIM)]],INDEX(SDI_Measures,2))</f>
        <v/>
      </c>
      <c r="AG264" s="67" t="str" vm="2147">
        <f>CUBEVALUE(ConnectionString,ReportMonth,Table1[[#This Row],[Site ID (from DATIM)]],INDEX(SDI_Measures,3))</f>
        <v/>
      </c>
      <c r="AH264" s="67" vm="1362">
        <f>CUBEVALUE(ConnectionString,ReportMonth,Table1[[#This Row],[Site ID (from DATIM)]],"TX_CURR_PRIOR_MONTH")</f>
        <v>388</v>
      </c>
      <c r="AI264" s="67" vm="1332">
        <f>CUBEVALUE(ConnectionString,ReportMonth,Table1[[#This Row],[Site ID (from DATIM)]],"TX_CURR")</f>
        <v>288</v>
      </c>
      <c r="AJ264" s="67" t="str" vm="3897">
        <f>CUBEVALUE(ConnectionString,ReportMonth,Table1[[#This Row],[Site ID (from DATIM)]],"[Measures].[TI]")</f>
        <v/>
      </c>
      <c r="AK264" s="67" t="str" vm="533">
        <f>CUBEVALUE(ConnectionString,ReportMonth,Table1[[#This Row],[Site ID (from DATIM)]],"[Measures].[TO]")</f>
        <v/>
      </c>
      <c r="AL264" s="67" t="str" vm="3733">
        <f>CUBEVALUE(ConnectionString,ReportMonth,Table1[[#This Row],[Site ID (from DATIM)]],"[Measures].[DIED]")</f>
        <v/>
      </c>
      <c r="AM264" s="67" vm="3593">
        <f>CUBEVALUE(ConnectionString,ReportMonth,Table1[[#This Row],[Site ID (from DATIM)]],"[Measures].[MMS_01_31]")</f>
        <v>66</v>
      </c>
      <c r="AN264" s="67" vm="7425">
        <f>CUBEVALUE(ConnectionString,ReportMonth,Table1[[#This Row],[Site ID (from DATIM)]],"[Measures].[MMS_32_62]")</f>
        <v>10</v>
      </c>
      <c r="AO264" s="67" vm="6315">
        <f>CUBEVALUE(ConnectionString,ReportMonth,Table1[[#This Row],[Site ID (from DATIM)]],"[Measures].[MMS_63+]")</f>
        <v>212</v>
      </c>
      <c r="AP264" s="67" vm="5985">
        <f>CUBEVALUE(ConnectionString,ReportMonth,Table1[[#This Row],[Site ID (from DATIM)]],"[Measures].[TBPREV_D]")</f>
        <v>27</v>
      </c>
      <c r="AQ264" s="67" vm="5210">
        <f>CUBEVALUE(ConnectionString,ReportMonth,Table1[[#This Row],[Site ID (from DATIM)]],"[Measures].[TBPREV_N]")</f>
        <v>13</v>
      </c>
      <c r="AR264" s="67" t="str" vm="5058">
        <f>CUBEVALUE(ConnectionString,ReportMonth,Table1[[#This Row],[Site ID (from DATIM)]],"[Measures].[TBPREV_NEW]")</f>
        <v/>
      </c>
      <c r="AS264" s="67" vm="6155">
        <f>CUBEVALUE(ConnectionString,ReportMonth,Table1[[#This Row],[Site ID (from DATIM)]],"[Measures].[HVL_ELIG_P]")</f>
        <v>20</v>
      </c>
      <c r="AT264" s="67" vm="8760">
        <f>CUBEVALUE(ConnectionString,ReportMonth,Table1[[#This Row],[Site ID (from DATIM)]],"[Measures].[HVL_D_P]")</f>
        <v>20</v>
      </c>
      <c r="AU264" s="67" vm="9236">
        <f>CUBEVALUE(ConnectionString,ReportMonth,Table1[[#This Row],[Site ID (from DATIM)]],"[Measures].[HVL_N_P]")</f>
        <v>17</v>
      </c>
      <c r="AV264" s="68" vm="10061">
        <f>CUBEVALUE(ConnectionString,ReportMonth,Table1[[#This Row],[Site ID (from DATIM)]],"[Measures].[HVL_ELIG_A]")</f>
        <v>247</v>
      </c>
      <c r="AW264" s="68" vm="7922">
        <f>CUBEVALUE(ConnectionString,ReportMonth,Table1[[#This Row],[Site ID (from DATIM)]],"[Measures].[HVL_D_A]")</f>
        <v>200</v>
      </c>
      <c r="AX264" s="68" vm="10042">
        <f>CUBEVALUE(ConnectionString,ReportMonth,Table1[[#This Row],[Site ID (from DATIM)]],"[Measures].[HVL_N_A]")</f>
        <v>180</v>
      </c>
      <c r="AY264" s="67"/>
      <c r="AZ264" s="67"/>
      <c r="BA264" s="67"/>
      <c r="BB264" s="67"/>
      <c r="BC264" s="67"/>
      <c r="BD264" s="67"/>
      <c r="BE264" s="67"/>
      <c r="BF264" s="67"/>
      <c r="BG264" s="67" t="str" vm="12899">
        <f>CUBEVALUE(ConnectionString,ReportMonth,Table1[[#This Row],[Site ID (from DATIM)]],"[Measures].[TX_NEW_F_A]")</f>
        <v/>
      </c>
      <c r="BH264" s="67" t="str" vm="13689">
        <f>CUBEVALUE(ConnectionString,ReportMonth,Table1[[#This Row],[Site ID (from DATIM)]],"[Measures].[TX_NEW_M_A]")</f>
        <v/>
      </c>
      <c r="BI264" s="67" t="str" vm="13144">
        <f>CUBEVALUE(ConnectionString,ReportMonth,Table1[[#This Row],[Site ID (from DATIM)]],"[Measures].[TX_NEW_F_P]")</f>
        <v/>
      </c>
      <c r="BJ264" s="68" t="str" vm="13175">
        <f>CUBEVALUE(ConnectionString,ReportMonth,Table1[[#This Row],[Site ID (from DATIM)]],"[Measures].[TX_NEW_M_P]")</f>
        <v/>
      </c>
      <c r="BK264" s="68"/>
      <c r="BL264" s="68"/>
      <c r="BM264" s="68"/>
      <c r="BN264" s="68"/>
      <c r="BO264" s="68"/>
      <c r="BP264" s="68"/>
      <c r="BQ264" s="68" vm="6796">
        <f>CUBEVALUE(ConnectionString,ReportMonth,Table1[[#This Row],[Site ID (from DATIM)]],"[Measures].[TX_CURR_F_P]")</f>
        <v>8</v>
      </c>
      <c r="BR264" s="68" vm="8970">
        <f>CUBEVALUE(ConnectionString,ReportMonth,Table1[[#This Row],[Site ID (from DATIM)]],"[Measures].[TX_CURR_M_P]")</f>
        <v>12</v>
      </c>
      <c r="BS264" s="68" vm="11126">
        <f>CUBEVALUE(ConnectionString,ReportMonth,Table1[[#This Row],[Site ID (from DATIM)]],"[Measures].[TX_CURR_F_A]")</f>
        <v>168</v>
      </c>
      <c r="BT264" s="68" vm="13885">
        <f>CUBEVALUE(ConnectionString,ReportMonth,Table1[[#This Row],[Site ID (from DATIM)]],"[Measures].[TX_CURR_M_A]")</f>
        <v>100</v>
      </c>
      <c r="BU264" s="68" vm="18375">
        <f>CUBEVALUE(ConnectionString,ReportMonth,Table1[[#This Row],[Site ID (from DATIM)]],"[Measures].[MMS_01_89_F_P]")</f>
        <v>3</v>
      </c>
      <c r="BV264" s="68" vm="20160">
        <f>CUBEVALUE(ConnectionString,ReportMonth,Table1[[#This Row],[Site ID (from DATIM)]],"[Measures].[MMS_01_89_M_P]")</f>
        <v>7</v>
      </c>
      <c r="BW264" s="68" vm="18591">
        <f>CUBEVALUE(ConnectionString,ReportMonth,Table1[[#This Row],[Site ID (from DATIM)]],"[Measures].[MMS_01_89_F_A]")</f>
        <v>40</v>
      </c>
      <c r="BX264" s="68" vm="18914">
        <f>CUBEVALUE(ConnectionString,ReportMonth,Table1[[#This Row],[Site ID (from DATIM)]],"[Measures].[MMS_01_89_M_A]")</f>
        <v>31</v>
      </c>
      <c r="BY264" s="68" vm="19103">
        <f>CUBEVALUE(ConnectionString,ReportMonth,Table1[[#This Row],[Site ID (from DATIM)]],"[Measures].[MMS_90_179_F_P]")</f>
        <v>5</v>
      </c>
      <c r="BZ264" s="68" vm="16846">
        <f>CUBEVALUE(ConnectionString,ReportMonth,Table1[[#This Row],[Site ID (from DATIM)]],"[Measures].[MMS_90_179_M_P]")</f>
        <v>5</v>
      </c>
      <c r="CA264" s="68" vm="16378">
        <f>CUBEVALUE(ConnectionString,ReportMonth,Table1[[#This Row],[Site ID (from DATIM)]],"[Measures].[MMS_90_179_F_A]")</f>
        <v>128</v>
      </c>
      <c r="CB264" s="68" vm="15528">
        <f>CUBEVALUE(ConnectionString,ReportMonth,Table1[[#This Row],[Site ID (from DATIM)]],"[Measures].[MMS_90_179_M_A]")</f>
        <v>69</v>
      </c>
      <c r="CC264" s="68" t="str" vm="17230">
        <f>CUBEVALUE(ConnectionString,ReportMonth,Table1[[#This Row],[Site ID (from DATIM)]],"[Measures].[MMS_180+_F_P]")</f>
        <v/>
      </c>
      <c r="CD264" s="68" t="str" vm="15500">
        <f>CUBEVALUE(ConnectionString,ReportMonth,Table1[[#This Row],[Site ID (from DATIM)]],"[Measures].[MMS_180+_M_P]")</f>
        <v/>
      </c>
      <c r="CE264" s="68" t="str" vm="16234">
        <f>CUBEVALUE(ConnectionString,ReportMonth,Table1[[#This Row],[Site ID (from DATIM)]],"[Measures].[MMS_180+_F_A]")</f>
        <v/>
      </c>
      <c r="CF264" s="68" t="str" vm="746">
        <f>CUBEVALUE(ConnectionString,ReportMonth,Table1[[#This Row],[Site ID (from DATIM)]],"[Measures].[MMS_180+_M_A]")</f>
        <v/>
      </c>
      <c r="CG264" s="68" vm="5847">
        <f>CUBEVALUE(ConnectionString,ReportMonth,Table1[[#This Row],[Site ID (from DATIM)]],"[Measures].[MISSEDAPP]")</f>
        <v>147</v>
      </c>
      <c r="CH264" s="68" t="str" vm="10346">
        <f>CUBEVALUE(ConnectionString,ReportMonth,Table1[[#This Row],[Site ID (from DATIM)]],"[Measures].[MMS_180+_P]")</f>
        <v/>
      </c>
      <c r="CI264" s="68" t="str" vm="11663">
        <f>CUBEVALUE(ConnectionString,ReportMonth,Table1[[#This Row],[Site ID (from DATIM)]],"[Measures].[MMS_180+_A]")</f>
        <v/>
      </c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  <c r="CW264" s="68"/>
      <c r="CX264" s="68"/>
      <c r="CY264" s="68"/>
      <c r="CZ264" s="68"/>
      <c r="DA264" s="68"/>
      <c r="DB264" s="68"/>
      <c r="DC264" s="68"/>
    </row>
    <row r="265" spans="1:107" x14ac:dyDescent="0.25">
      <c r="A265" s="66">
        <v>4</v>
      </c>
      <c r="B265" s="67" t="str" vm="4">
        <f t="shared" si="5"/>
        <v>Mar-2021</v>
      </c>
      <c r="C265" s="67"/>
      <c r="D265" s="67" t="s">
        <v>232</v>
      </c>
      <c r="E265" s="67" t="s">
        <v>233</v>
      </c>
      <c r="F265" s="67" t="s">
        <v>234</v>
      </c>
      <c r="G265" s="67"/>
      <c r="H265" s="67" t="s">
        <v>270</v>
      </c>
      <c r="I265" s="67" t="s">
        <v>344</v>
      </c>
      <c r="J265" s="67" t="s">
        <v>345</v>
      </c>
      <c r="K265" s="67" t="s">
        <v>346</v>
      </c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 t="str" vm="3852">
        <f>CUBEVALUE(ConnectionString,ReportMonth,Table1[[#This Row],[Site ID (from DATIM)]],"TX_NEW_2VIS")</f>
        <v/>
      </c>
      <c r="AE265" s="67" t="str" vm="696">
        <f>CUBEVALUE(ConnectionString,ReportMonth,Table1[[#This Row],[Site ID (from DATIM)]],INDEX(SDI_Measures,1))</f>
        <v/>
      </c>
      <c r="AF265" s="67" t="str" vm="581">
        <f>CUBEVALUE(ConnectionString,ReportMonth,Table1[[#This Row],[Site ID (from DATIM)]],INDEX(SDI_Measures,2))</f>
        <v/>
      </c>
      <c r="AG265" s="67" t="str" vm="3592">
        <f>CUBEVALUE(ConnectionString,ReportMonth,Table1[[#This Row],[Site ID (from DATIM)]],INDEX(SDI_Measures,3))</f>
        <v/>
      </c>
      <c r="AH265" s="67" vm="1555">
        <f>CUBEVALUE(ConnectionString,ReportMonth,Table1[[#This Row],[Site ID (from DATIM)]],"TX_CURR_PRIOR_MONTH")</f>
        <v>156</v>
      </c>
      <c r="AI265" s="67" vm="1744">
        <f>CUBEVALUE(ConnectionString,ReportMonth,Table1[[#This Row],[Site ID (from DATIM)]],"TX_CURR")</f>
        <v>138</v>
      </c>
      <c r="AJ265" s="67" t="str" vm="7640">
        <f>CUBEVALUE(ConnectionString,ReportMonth,Table1[[#This Row],[Site ID (from DATIM)]],"[Measures].[TI]")</f>
        <v/>
      </c>
      <c r="AK265" s="67" t="str" vm="689">
        <f>CUBEVALUE(ConnectionString,ReportMonth,Table1[[#This Row],[Site ID (from DATIM)]],"[Measures].[TO]")</f>
        <v/>
      </c>
      <c r="AL265" s="67" t="str" vm="1639">
        <f>CUBEVALUE(ConnectionString,ReportMonth,Table1[[#This Row],[Site ID (from DATIM)]],"[Measures].[DIED]")</f>
        <v/>
      </c>
      <c r="AM265" s="67" vm="3814">
        <f>CUBEVALUE(ConnectionString,ReportMonth,Table1[[#This Row],[Site ID (from DATIM)]],"[Measures].[MMS_01_31]")</f>
        <v>54</v>
      </c>
      <c r="AN265" s="67" vm="4815">
        <f>CUBEVALUE(ConnectionString,ReportMonth,Table1[[#This Row],[Site ID (from DATIM)]],"[Measures].[MMS_32_62]")</f>
        <v>2</v>
      </c>
      <c r="AO265" s="67" vm="7383">
        <f>CUBEVALUE(ConnectionString,ReportMonth,Table1[[#This Row],[Site ID (from DATIM)]],"[Measures].[MMS_63+]")</f>
        <v>82</v>
      </c>
      <c r="AP265" s="67" vm="4716">
        <f>CUBEVALUE(ConnectionString,ReportMonth,Table1[[#This Row],[Site ID (from DATIM)]],"[Measures].[TBPREV_D]")</f>
        <v>2</v>
      </c>
      <c r="AQ265" s="67" vm="5159">
        <f>CUBEVALUE(ConnectionString,ReportMonth,Table1[[#This Row],[Site ID (from DATIM)]],"[Measures].[TBPREV_N]")</f>
        <v>1</v>
      </c>
      <c r="AR265" s="67" t="str" vm="5108">
        <f>CUBEVALUE(ConnectionString,ReportMonth,Table1[[#This Row],[Site ID (from DATIM)]],"[Measures].[TBPREV_NEW]")</f>
        <v/>
      </c>
      <c r="AS265" s="67" vm="6656">
        <f>CUBEVALUE(ConnectionString,ReportMonth,Table1[[#This Row],[Site ID (from DATIM)]],"[Measures].[HVL_ELIG_P]")</f>
        <v>3</v>
      </c>
      <c r="AT265" s="67" vm="6926">
        <f>CUBEVALUE(ConnectionString,ReportMonth,Table1[[#This Row],[Site ID (from DATIM)]],"[Measures].[HVL_D_P]")</f>
        <v>2</v>
      </c>
      <c r="AU265" s="67" vm="11302">
        <f>CUBEVALUE(ConnectionString,ReportMonth,Table1[[#This Row],[Site ID (from DATIM)]],"[Measures].[HVL_N_P]")</f>
        <v>2</v>
      </c>
      <c r="AV265" s="68" vm="8707">
        <f>CUBEVALUE(ConnectionString,ReportMonth,Table1[[#This Row],[Site ID (from DATIM)]],"[Measures].[HVL_ELIG_A]")</f>
        <v>121</v>
      </c>
      <c r="AW265" s="68" vm="6623">
        <f>CUBEVALUE(ConnectionString,ReportMonth,Table1[[#This Row],[Site ID (from DATIM)]],"[Measures].[HVL_D_A]")</f>
        <v>45</v>
      </c>
      <c r="AX265" s="68" vm="9309">
        <f>CUBEVALUE(ConnectionString,ReportMonth,Table1[[#This Row],[Site ID (from DATIM)]],"[Measures].[HVL_N_A]")</f>
        <v>40</v>
      </c>
      <c r="AY265" s="67"/>
      <c r="AZ265" s="67"/>
      <c r="BA265" s="67"/>
      <c r="BB265" s="67"/>
      <c r="BC265" s="67"/>
      <c r="BD265" s="67"/>
      <c r="BE265" s="67"/>
      <c r="BF265" s="67"/>
      <c r="BG265" s="67" t="str" vm="13944">
        <f>CUBEVALUE(ConnectionString,ReportMonth,Table1[[#This Row],[Site ID (from DATIM)]],"[Measures].[TX_NEW_F_A]")</f>
        <v/>
      </c>
      <c r="BH265" s="67" t="str" vm="14876">
        <f>CUBEVALUE(ConnectionString,ReportMonth,Table1[[#This Row],[Site ID (from DATIM)]],"[Measures].[TX_NEW_M_A]")</f>
        <v/>
      </c>
      <c r="BI265" s="67" t="str" vm="17015">
        <f>CUBEVALUE(ConnectionString,ReportMonth,Table1[[#This Row],[Site ID (from DATIM)]],"[Measures].[TX_NEW_F_P]")</f>
        <v/>
      </c>
      <c r="BJ265" s="68" t="str" vm="13717">
        <f>CUBEVALUE(ConnectionString,ReportMonth,Table1[[#This Row],[Site ID (from DATIM)]],"[Measures].[TX_NEW_M_P]")</f>
        <v/>
      </c>
      <c r="BK265" s="68"/>
      <c r="BL265" s="68"/>
      <c r="BM265" s="68"/>
      <c r="BN265" s="68"/>
      <c r="BO265" s="68"/>
      <c r="BP265" s="68"/>
      <c r="BQ265" s="68" vm="10217">
        <f>CUBEVALUE(ConnectionString,ReportMonth,Table1[[#This Row],[Site ID (from DATIM)]],"[Measures].[TX_CURR_F_P]")</f>
        <v>2</v>
      </c>
      <c r="BR265" s="68" vm="8869">
        <f>CUBEVALUE(ConnectionString,ReportMonth,Table1[[#This Row],[Site ID (from DATIM)]],"[Measures].[TX_CURR_M_P]")</f>
        <v>2</v>
      </c>
      <c r="BS265" s="68" vm="7302">
        <f>CUBEVALUE(ConnectionString,ReportMonth,Table1[[#This Row],[Site ID (from DATIM)]],"[Measures].[TX_CURR_F_A]")</f>
        <v>90</v>
      </c>
      <c r="BT265" s="68" vm="9852">
        <f>CUBEVALUE(ConnectionString,ReportMonth,Table1[[#This Row],[Site ID (from DATIM)]],"[Measures].[TX_CURR_M_A]")</f>
        <v>45</v>
      </c>
      <c r="BU265" s="68" t="str" vm="20146">
        <f>CUBEVALUE(ConnectionString,ReportMonth,Table1[[#This Row],[Site ID (from DATIM)]],"[Measures].[MMS_01_89_F_P]")</f>
        <v/>
      </c>
      <c r="BV265" s="68" t="str" vm="18105">
        <f>CUBEVALUE(ConnectionString,ReportMonth,Table1[[#This Row],[Site ID (from DATIM)]],"[Measures].[MMS_01_89_M_P]")</f>
        <v/>
      </c>
      <c r="BW265" s="68" vm="18865">
        <f>CUBEVALUE(ConnectionString,ReportMonth,Table1[[#This Row],[Site ID (from DATIM)]],"[Measures].[MMS_01_89_F_A]")</f>
        <v>34</v>
      </c>
      <c r="BX265" s="68" vm="18513">
        <f>CUBEVALUE(ConnectionString,ReportMonth,Table1[[#This Row],[Site ID (from DATIM)]],"[Measures].[MMS_01_89_M_A]")</f>
        <v>23</v>
      </c>
      <c r="BY265" s="68" vm="18192">
        <f>CUBEVALUE(ConnectionString,ReportMonth,Table1[[#This Row],[Site ID (from DATIM)]],"[Measures].[MMS_90_179_F_P]")</f>
        <v>2</v>
      </c>
      <c r="BZ265" s="68" vm="16898">
        <f>CUBEVALUE(ConnectionString,ReportMonth,Table1[[#This Row],[Site ID (from DATIM)]],"[Measures].[MMS_90_179_M_P]")</f>
        <v>2</v>
      </c>
      <c r="CA265" s="68" vm="17369">
        <f>CUBEVALUE(ConnectionString,ReportMonth,Table1[[#This Row],[Site ID (from DATIM)]],"[Measures].[MMS_90_179_F_A]")</f>
        <v>56</v>
      </c>
      <c r="CB265" s="68" vm="16836">
        <f>CUBEVALUE(ConnectionString,ReportMonth,Table1[[#This Row],[Site ID (from DATIM)]],"[Measures].[MMS_90_179_M_A]")</f>
        <v>22</v>
      </c>
      <c r="CC265" s="68" t="str" vm="15937">
        <f>CUBEVALUE(ConnectionString,ReportMonth,Table1[[#This Row],[Site ID (from DATIM)]],"[Measures].[MMS_180+_F_P]")</f>
        <v/>
      </c>
      <c r="CD265" s="68" t="str" vm="16260">
        <f>CUBEVALUE(ConnectionString,ReportMonth,Table1[[#This Row],[Site ID (from DATIM)]],"[Measures].[MMS_180+_M_P]")</f>
        <v/>
      </c>
      <c r="CE265" s="68" t="str" vm="17142">
        <f>CUBEVALUE(ConnectionString,ReportMonth,Table1[[#This Row],[Site ID (from DATIM)]],"[Measures].[MMS_180+_F_A]")</f>
        <v/>
      </c>
      <c r="CF265" s="68" t="str" vm="131">
        <f>CUBEVALUE(ConnectionString,ReportMonth,Table1[[#This Row],[Site ID (from DATIM)]],"[Measures].[MMS_180+_M_A]")</f>
        <v/>
      </c>
      <c r="CG265" s="68" vm="6783">
        <f>CUBEVALUE(ConnectionString,ReportMonth,Table1[[#This Row],[Site ID (from DATIM)]],"[Measures].[MISSEDAPP]")</f>
        <v>64</v>
      </c>
      <c r="CH265" s="68" t="str" vm="12005">
        <f>CUBEVALUE(ConnectionString,ReportMonth,Table1[[#This Row],[Site ID (from DATIM)]],"[Measures].[MMS_180+_P]")</f>
        <v/>
      </c>
      <c r="CI265" s="68" t="str" vm="14166">
        <f>CUBEVALUE(ConnectionString,ReportMonth,Table1[[#This Row],[Site ID (from DATIM)]],"[Measures].[MMS_180+_A]")</f>
        <v/>
      </c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  <c r="CW265" s="68"/>
      <c r="CX265" s="68"/>
      <c r="CY265" s="68"/>
      <c r="CZ265" s="68"/>
      <c r="DA265" s="68"/>
      <c r="DB265" s="68"/>
      <c r="DC265" s="68"/>
    </row>
    <row r="266" spans="1:107" x14ac:dyDescent="0.25">
      <c r="A266" s="66">
        <v>1</v>
      </c>
      <c r="B266" s="67" t="str" vm="4">
        <f t="shared" si="5"/>
        <v>Mar-2021</v>
      </c>
      <c r="C266" s="67"/>
      <c r="D266" s="67" t="s">
        <v>232</v>
      </c>
      <c r="E266" s="67" t="s">
        <v>233</v>
      </c>
      <c r="F266" s="67" t="s">
        <v>234</v>
      </c>
      <c r="G266" s="67"/>
      <c r="H266" s="67" t="s">
        <v>235</v>
      </c>
      <c r="I266" s="67" t="s">
        <v>347</v>
      </c>
      <c r="J266" s="67" t="s">
        <v>348</v>
      </c>
      <c r="K266" s="67" t="s">
        <v>349</v>
      </c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 vm="940">
        <f>CUBEVALUE(ConnectionString,ReportMonth,Table1[[#This Row],[Site ID (from DATIM)]],"TX_NEW_2VIS")</f>
        <v>10</v>
      </c>
      <c r="AE266" s="67" vm="1204">
        <f>CUBEVALUE(ConnectionString,ReportMonth,Table1[[#This Row],[Site ID (from DATIM)]],INDEX(SDI_Measures,1))</f>
        <v>5</v>
      </c>
      <c r="AF266" s="67" t="str" vm="1943">
        <f>CUBEVALUE(ConnectionString,ReportMonth,Table1[[#This Row],[Site ID (from DATIM)]],INDEX(SDI_Measures,2))</f>
        <v/>
      </c>
      <c r="AG266" s="67" t="str" vm="2550">
        <f>CUBEVALUE(ConnectionString,ReportMonth,Table1[[#This Row],[Site ID (from DATIM)]],INDEX(SDI_Measures,3))</f>
        <v/>
      </c>
      <c r="AH266" s="67" vm="2116">
        <f>CUBEVALUE(ConnectionString,ReportMonth,Table1[[#This Row],[Site ID (from DATIM)]],"TX_CURR_PRIOR_MONTH")</f>
        <v>1560</v>
      </c>
      <c r="AI266" s="67" vm="3101">
        <f>CUBEVALUE(ConnectionString,ReportMonth,Table1[[#This Row],[Site ID (from DATIM)]],"TX_CURR")</f>
        <v>1523</v>
      </c>
      <c r="AJ266" s="67" vm="3298">
        <f>CUBEVALUE(ConnectionString,ReportMonth,Table1[[#This Row],[Site ID (from DATIM)]],"[Measures].[TI]")</f>
        <v>2</v>
      </c>
      <c r="AK266" s="67" t="str" vm="3081">
        <f>CUBEVALUE(ConnectionString,ReportMonth,Table1[[#This Row],[Site ID (from DATIM)]],"[Measures].[TO]")</f>
        <v/>
      </c>
      <c r="AL266" s="67" vm="1275">
        <f>CUBEVALUE(ConnectionString,ReportMonth,Table1[[#This Row],[Site ID (from DATIM)]],"[Measures].[DIED]")</f>
        <v>2</v>
      </c>
      <c r="AM266" s="67" vm="6172">
        <f>CUBEVALUE(ConnectionString,ReportMonth,Table1[[#This Row],[Site ID (from DATIM)]],"[Measures].[MMS_01_31]")</f>
        <v>317</v>
      </c>
      <c r="AN266" s="67" vm="6742">
        <f>CUBEVALUE(ConnectionString,ReportMonth,Table1[[#This Row],[Site ID (from DATIM)]],"[Measures].[MMS_32_62]")</f>
        <v>63</v>
      </c>
      <c r="AO266" s="67" vm="9610">
        <f>CUBEVALUE(ConnectionString,ReportMonth,Table1[[#This Row],[Site ID (from DATIM)]],"[Measures].[MMS_63+]")</f>
        <v>1143</v>
      </c>
      <c r="AP266" s="67" vm="7422">
        <f>CUBEVALUE(ConnectionString,ReportMonth,Table1[[#This Row],[Site ID (from DATIM)]],"[Measures].[TBPREV_D]")</f>
        <v>17</v>
      </c>
      <c r="AQ266" s="67" vm="4821">
        <f>CUBEVALUE(ConnectionString,ReportMonth,Table1[[#This Row],[Site ID (from DATIM)]],"[Measures].[TBPREV_N]")</f>
        <v>12</v>
      </c>
      <c r="AR266" s="67" vm="4650">
        <f>CUBEVALUE(ConnectionString,ReportMonth,Table1[[#This Row],[Site ID (from DATIM)]],"[Measures].[TBPREV_NEW]")</f>
        <v>3</v>
      </c>
      <c r="AS266" s="67" vm="13753">
        <f>CUBEVALUE(ConnectionString,ReportMonth,Table1[[#This Row],[Site ID (from DATIM)]],"[Measures].[HVL_ELIG_P]")</f>
        <v>51</v>
      </c>
      <c r="AT266" s="67" vm="11574">
        <f>CUBEVALUE(ConnectionString,ReportMonth,Table1[[#This Row],[Site ID (from DATIM)]],"[Measures].[HVL_D_P]")</f>
        <v>37</v>
      </c>
      <c r="AU266" s="67" vm="11341">
        <f>CUBEVALUE(ConnectionString,ReportMonth,Table1[[#This Row],[Site ID (from DATIM)]],"[Measures].[HVL_N_P]")</f>
        <v>34</v>
      </c>
      <c r="AV266" s="68" vm="11682">
        <f>CUBEVALUE(ConnectionString,ReportMonth,Table1[[#This Row],[Site ID (from DATIM)]],"[Measures].[HVL_ELIG_A]")</f>
        <v>1365</v>
      </c>
      <c r="AW266" s="68" vm="8633">
        <f>CUBEVALUE(ConnectionString,ReportMonth,Table1[[#This Row],[Site ID (from DATIM)]],"[Measures].[HVL_D_A]")</f>
        <v>1117</v>
      </c>
      <c r="AX266" s="68" vm="8524">
        <f>CUBEVALUE(ConnectionString,ReportMonth,Table1[[#This Row],[Site ID (from DATIM)]],"[Measures].[HVL_N_A]")</f>
        <v>1087</v>
      </c>
      <c r="AY266" s="67"/>
      <c r="AZ266" s="67"/>
      <c r="BA266" s="67"/>
      <c r="BB266" s="67"/>
      <c r="BC266" s="67"/>
      <c r="BD266" s="67"/>
      <c r="BE266" s="67"/>
      <c r="BF266" s="67"/>
      <c r="BG266" s="67" vm="13572">
        <f>CUBEVALUE(ConnectionString,ReportMonth,Table1[[#This Row],[Site ID (from DATIM)]],"[Measures].[TX_NEW_F_A]")</f>
        <v>4</v>
      </c>
      <c r="BH266" s="67" vm="12397">
        <f>CUBEVALUE(ConnectionString,ReportMonth,Table1[[#This Row],[Site ID (from DATIM)]],"[Measures].[TX_NEW_M_A]")</f>
        <v>1</v>
      </c>
      <c r="BI266" s="67" t="str" vm="17423">
        <f>CUBEVALUE(ConnectionString,ReportMonth,Table1[[#This Row],[Site ID (from DATIM)]],"[Measures].[TX_NEW_F_P]")</f>
        <v/>
      </c>
      <c r="BJ266" s="68" t="str" vm="13737">
        <f>CUBEVALUE(ConnectionString,ReportMonth,Table1[[#This Row],[Site ID (from DATIM)]],"[Measures].[TX_NEW_M_P]")</f>
        <v/>
      </c>
      <c r="BK266" s="68"/>
      <c r="BL266" s="68"/>
      <c r="BM266" s="68"/>
      <c r="BN266" s="68"/>
      <c r="BO266" s="68"/>
      <c r="BP266" s="68"/>
      <c r="BQ266" s="68" vm="10736">
        <f>CUBEVALUE(ConnectionString,ReportMonth,Table1[[#This Row],[Site ID (from DATIM)]],"[Measures].[TX_CURR_F_P]")</f>
        <v>30</v>
      </c>
      <c r="BR266" s="68" vm="9017">
        <f>CUBEVALUE(ConnectionString,ReportMonth,Table1[[#This Row],[Site ID (from DATIM)]],"[Measures].[TX_CURR_M_P]")</f>
        <v>23</v>
      </c>
      <c r="BS266" s="68" vm="11029">
        <f>CUBEVALUE(ConnectionString,ReportMonth,Table1[[#This Row],[Site ID (from DATIM)]],"[Measures].[TX_CURR_F_A]")</f>
        <v>1041</v>
      </c>
      <c r="BT266" s="68" vm="13864">
        <f>CUBEVALUE(ConnectionString,ReportMonth,Table1[[#This Row],[Site ID (from DATIM)]],"[Measures].[TX_CURR_M_A]")</f>
        <v>430</v>
      </c>
      <c r="BU266" s="68" vm="18688">
        <f>CUBEVALUE(ConnectionString,ReportMonth,Table1[[#This Row],[Site ID (from DATIM)]],"[Measures].[MMS_01_89_F_P]")</f>
        <v>8</v>
      </c>
      <c r="BV266" s="68" vm="20020">
        <f>CUBEVALUE(ConnectionString,ReportMonth,Table1[[#This Row],[Site ID (from DATIM)]],"[Measures].[MMS_01_89_M_P]")</f>
        <v>10</v>
      </c>
      <c r="BW266" s="68" vm="19728">
        <f>CUBEVALUE(ConnectionString,ReportMonth,Table1[[#This Row],[Site ID (from DATIM)]],"[Measures].[MMS_01_89_F_A]")</f>
        <v>266</v>
      </c>
      <c r="BX266" s="68" vm="17968">
        <f>CUBEVALUE(ConnectionString,ReportMonth,Table1[[#This Row],[Site ID (from DATIM)]],"[Measures].[MMS_01_89_M_A]")</f>
        <v>97</v>
      </c>
      <c r="BY266" s="68" vm="16033">
        <f>CUBEVALUE(ConnectionString,ReportMonth,Table1[[#This Row],[Site ID (from DATIM)]],"[Measures].[MMS_90_179_F_P]")</f>
        <v>22</v>
      </c>
      <c r="BZ266" s="68" vm="16044">
        <f>CUBEVALUE(ConnectionString,ReportMonth,Table1[[#This Row],[Site ID (from DATIM)]],"[Measures].[MMS_90_179_M_P]")</f>
        <v>13</v>
      </c>
      <c r="CA266" s="68" vm="16463">
        <f>CUBEVALUE(ConnectionString,ReportMonth,Table1[[#This Row],[Site ID (from DATIM)]],"[Measures].[MMS_90_179_F_A]")</f>
        <v>775</v>
      </c>
      <c r="CB266" s="68" vm="15944">
        <f>CUBEVALUE(ConnectionString,ReportMonth,Table1[[#This Row],[Site ID (from DATIM)]],"[Measures].[MMS_90_179_M_A]")</f>
        <v>333</v>
      </c>
      <c r="CC266" s="68" t="str" vm="15063">
        <f>CUBEVALUE(ConnectionString,ReportMonth,Table1[[#This Row],[Site ID (from DATIM)]],"[Measures].[MMS_180+_F_P]")</f>
        <v/>
      </c>
      <c r="CD266" s="68" t="str" vm="16785">
        <f>CUBEVALUE(ConnectionString,ReportMonth,Table1[[#This Row],[Site ID (from DATIM)]],"[Measures].[MMS_180+_M_P]")</f>
        <v/>
      </c>
      <c r="CE266" s="68" t="str" vm="14484">
        <f>CUBEVALUE(ConnectionString,ReportMonth,Table1[[#This Row],[Site ID (from DATIM)]],"[Measures].[MMS_180+_F_A]")</f>
        <v/>
      </c>
      <c r="CF266" s="68" t="str" vm="16627">
        <f>CUBEVALUE(ConnectionString,ReportMonth,Table1[[#This Row],[Site ID (from DATIM)]],"[Measures].[MMS_180+_M_A]")</f>
        <v/>
      </c>
      <c r="CG266" s="68" vm="6352">
        <f>CUBEVALUE(ConnectionString,ReportMonth,Table1[[#This Row],[Site ID (from DATIM)]],"[Measures].[MISSEDAPP]")</f>
        <v>493</v>
      </c>
      <c r="CH266" s="68" t="str" vm="10356">
        <f>CUBEVALUE(ConnectionString,ReportMonth,Table1[[#This Row],[Site ID (from DATIM)]],"[Measures].[MMS_180+_P]")</f>
        <v/>
      </c>
      <c r="CI266" s="68" t="str" vm="12096">
        <f>CUBEVALUE(ConnectionString,ReportMonth,Table1[[#This Row],[Site ID (from DATIM)]],"[Measures].[MMS_180+_A]")</f>
        <v/>
      </c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  <c r="CW266" s="68"/>
      <c r="CX266" s="68"/>
      <c r="CY266" s="68"/>
      <c r="CZ266" s="68"/>
      <c r="DA266" s="68"/>
      <c r="DB266" s="68"/>
      <c r="DC266" s="68"/>
    </row>
    <row r="267" spans="1:107" x14ac:dyDescent="0.25">
      <c r="A267" s="66">
        <v>4</v>
      </c>
      <c r="B267" s="67" t="str" vm="4">
        <f t="shared" si="5"/>
        <v>Mar-2021</v>
      </c>
      <c r="C267" s="67"/>
      <c r="D267" s="67" t="s">
        <v>232</v>
      </c>
      <c r="E267" s="67" t="s">
        <v>233</v>
      </c>
      <c r="F267" s="67" t="s">
        <v>1286</v>
      </c>
      <c r="G267" s="67"/>
      <c r="H267" s="67" t="s">
        <v>1303</v>
      </c>
      <c r="I267" s="67" t="s">
        <v>1348</v>
      </c>
      <c r="J267" s="67" t="s">
        <v>1419</v>
      </c>
      <c r="K267" s="67" t="s">
        <v>1420</v>
      </c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 t="str" vm="2218">
        <f>CUBEVALUE(ConnectionString,ReportMonth,Table1[[#This Row],[Site ID (from DATIM)]],"TX_NEW_2VIS")</f>
        <v/>
      </c>
      <c r="AE267" s="67" t="str" vm="1106">
        <f>CUBEVALUE(ConnectionString,ReportMonth,Table1[[#This Row],[Site ID (from DATIM)]],INDEX(SDI_Measures,1))</f>
        <v/>
      </c>
      <c r="AF267" s="67" t="str" vm="4297">
        <f>CUBEVALUE(ConnectionString,ReportMonth,Table1[[#This Row],[Site ID (from DATIM)]],INDEX(SDI_Measures,2))</f>
        <v/>
      </c>
      <c r="AG267" s="67" t="str" vm="1652">
        <f>CUBEVALUE(ConnectionString,ReportMonth,Table1[[#This Row],[Site ID (from DATIM)]],INDEX(SDI_Measures,3))</f>
        <v/>
      </c>
      <c r="AH267" s="67" t="str" vm="2400">
        <f>CUBEVALUE(ConnectionString,ReportMonth,Table1[[#This Row],[Site ID (from DATIM)]],"TX_CURR_PRIOR_MONTH")</f>
        <v/>
      </c>
      <c r="AI267" s="67" t="str" vm="4344">
        <f>CUBEVALUE(ConnectionString,ReportMonth,Table1[[#This Row],[Site ID (from DATIM)]],"TX_CURR")</f>
        <v/>
      </c>
      <c r="AJ267" s="67" t="str" vm="1922">
        <f>CUBEVALUE(ConnectionString,ReportMonth,Table1[[#This Row],[Site ID (from DATIM)]],"[Measures].[TI]")</f>
        <v/>
      </c>
      <c r="AK267" s="67" t="str" vm="1999">
        <f>CUBEVALUE(ConnectionString,ReportMonth,Table1[[#This Row],[Site ID (from DATIM)]],"[Measures].[TO]")</f>
        <v/>
      </c>
      <c r="AL267" s="67" t="str" vm="2546">
        <f>CUBEVALUE(ConnectionString,ReportMonth,Table1[[#This Row],[Site ID (from DATIM)]],"[Measures].[DIED]")</f>
        <v/>
      </c>
      <c r="AM267" s="67" t="str" vm="6513">
        <f>CUBEVALUE(ConnectionString,ReportMonth,Table1[[#This Row],[Site ID (from DATIM)]],"[Measures].[MMS_01_31]")</f>
        <v/>
      </c>
      <c r="AN267" s="67" t="str" vm="6234">
        <f>CUBEVALUE(ConnectionString,ReportMonth,Table1[[#This Row],[Site ID (from DATIM)]],"[Measures].[MMS_32_62]")</f>
        <v/>
      </c>
      <c r="AO267" s="67" t="str" vm="6869">
        <f>CUBEVALUE(ConnectionString,ReportMonth,Table1[[#This Row],[Site ID (from DATIM)]],"[Measures].[MMS_63+]")</f>
        <v/>
      </c>
      <c r="AP267" s="67" t="str" vm="7823">
        <f>CUBEVALUE(ConnectionString,ReportMonth,Table1[[#This Row],[Site ID (from DATIM)]],"[Measures].[TBPREV_D]")</f>
        <v/>
      </c>
      <c r="AQ267" s="67" t="str" vm="4193">
        <f>CUBEVALUE(ConnectionString,ReportMonth,Table1[[#This Row],[Site ID (from DATIM)]],"[Measures].[TBPREV_N]")</f>
        <v/>
      </c>
      <c r="AR267" s="67" t="str" vm="7377">
        <f>CUBEVALUE(ConnectionString,ReportMonth,Table1[[#This Row],[Site ID (from DATIM)]],"[Measures].[TBPREV_NEW]")</f>
        <v/>
      </c>
      <c r="AS267" s="67" t="str" vm="5088">
        <f>CUBEVALUE(ConnectionString,ReportMonth,Table1[[#This Row],[Site ID (from DATIM)]],"[Measures].[HVL_ELIG_P]")</f>
        <v/>
      </c>
      <c r="AT267" s="67" t="str" vm="7672">
        <f>CUBEVALUE(ConnectionString,ReportMonth,Table1[[#This Row],[Site ID (from DATIM)]],"[Measures].[HVL_D_P]")</f>
        <v/>
      </c>
      <c r="AU267" s="67" t="str" vm="8256">
        <f>CUBEVALUE(ConnectionString,ReportMonth,Table1[[#This Row],[Site ID (from DATIM)]],"[Measures].[HVL_N_P]")</f>
        <v/>
      </c>
      <c r="AV267" s="68" t="str" vm="9315">
        <f>CUBEVALUE(ConnectionString,ReportMonth,Table1[[#This Row],[Site ID (from DATIM)]],"[Measures].[HVL_ELIG_A]")</f>
        <v/>
      </c>
      <c r="AW267" s="68" t="str" vm="11755">
        <f>CUBEVALUE(ConnectionString,ReportMonth,Table1[[#This Row],[Site ID (from DATIM)]],"[Measures].[HVL_D_A]")</f>
        <v/>
      </c>
      <c r="AX267" s="68" t="str" vm="14159">
        <f>CUBEVALUE(ConnectionString,ReportMonth,Table1[[#This Row],[Site ID (from DATIM)]],"[Measures].[HVL_N_A]")</f>
        <v/>
      </c>
      <c r="AY267" s="67"/>
      <c r="AZ267" s="67"/>
      <c r="BA267" s="67"/>
      <c r="BB267" s="67"/>
      <c r="BC267" s="67"/>
      <c r="BD267" s="67"/>
      <c r="BE267" s="67"/>
      <c r="BF267" s="67"/>
      <c r="BG267" s="67" t="str" vm="11472">
        <f>CUBEVALUE(ConnectionString,ReportMonth,Table1[[#This Row],[Site ID (from DATIM)]],"[Measures].[TX_NEW_F_A]")</f>
        <v/>
      </c>
      <c r="BH267" s="67" t="str" vm="12758">
        <f>CUBEVALUE(ConnectionString,ReportMonth,Table1[[#This Row],[Site ID (from DATIM)]],"[Measures].[TX_NEW_M_A]")</f>
        <v/>
      </c>
      <c r="BI267" s="67" t="str" vm="15659">
        <f>CUBEVALUE(ConnectionString,ReportMonth,Table1[[#This Row],[Site ID (from DATIM)]],"[Measures].[TX_NEW_F_P]")</f>
        <v/>
      </c>
      <c r="BJ267" s="68" t="str" vm="13206">
        <f>CUBEVALUE(ConnectionString,ReportMonth,Table1[[#This Row],[Site ID (from DATIM)]],"[Measures].[TX_NEW_M_P]")</f>
        <v/>
      </c>
      <c r="BK267" s="68"/>
      <c r="BL267" s="68"/>
      <c r="BM267" s="68"/>
      <c r="BN267" s="68"/>
      <c r="BO267" s="68"/>
      <c r="BP267" s="68"/>
      <c r="BQ267" s="68" t="str" vm="8003">
        <f>CUBEVALUE(ConnectionString,ReportMonth,Table1[[#This Row],[Site ID (from DATIM)]],"[Measures].[TX_CURR_F_P]")</f>
        <v/>
      </c>
      <c r="BR267" s="68" t="str" vm="9056">
        <f>CUBEVALUE(ConnectionString,ReportMonth,Table1[[#This Row],[Site ID (from DATIM)]],"[Measures].[TX_CURR_M_P]")</f>
        <v/>
      </c>
      <c r="BS267" s="68" t="str" vm="7295">
        <f>CUBEVALUE(ConnectionString,ReportMonth,Table1[[#This Row],[Site ID (from DATIM)]],"[Measures].[TX_CURR_F_A]")</f>
        <v/>
      </c>
      <c r="BT267" s="68" t="str" vm="14049">
        <f>CUBEVALUE(ConnectionString,ReportMonth,Table1[[#This Row],[Site ID (from DATIM)]],"[Measures].[TX_CURR_M_A]")</f>
        <v/>
      </c>
      <c r="BU267" s="68" t="str" vm="18357">
        <f>CUBEVALUE(ConnectionString,ReportMonth,Table1[[#This Row],[Site ID (from DATIM)]],"[Measures].[MMS_01_89_F_P]")</f>
        <v/>
      </c>
      <c r="BV267" s="68" t="str" vm="18993">
        <f>CUBEVALUE(ConnectionString,ReportMonth,Table1[[#This Row],[Site ID (from DATIM)]],"[Measures].[MMS_01_89_M_P]")</f>
        <v/>
      </c>
      <c r="BW267" s="68" t="str" vm="19727">
        <f>CUBEVALUE(ConnectionString,ReportMonth,Table1[[#This Row],[Site ID (from DATIM)]],"[Measures].[MMS_01_89_F_A]")</f>
        <v/>
      </c>
      <c r="BX267" s="68" t="str" vm="19419">
        <f>CUBEVALUE(ConnectionString,ReportMonth,Table1[[#This Row],[Site ID (from DATIM)]],"[Measures].[MMS_01_89_M_A]")</f>
        <v/>
      </c>
      <c r="BY267" s="68" t="str" vm="18490">
        <f>CUBEVALUE(ConnectionString,ReportMonth,Table1[[#This Row],[Site ID (from DATIM)]],"[Measures].[MMS_90_179_F_P]")</f>
        <v/>
      </c>
      <c r="BZ267" s="68" t="str" vm="17803">
        <f>CUBEVALUE(ConnectionString,ReportMonth,Table1[[#This Row],[Site ID (from DATIM)]],"[Measures].[MMS_90_179_M_P]")</f>
        <v/>
      </c>
      <c r="CA267" s="68" t="str" vm="15623">
        <f>CUBEVALUE(ConnectionString,ReportMonth,Table1[[#This Row],[Site ID (from DATIM)]],"[Measures].[MMS_90_179_F_A]")</f>
        <v/>
      </c>
      <c r="CB267" s="68" t="str" vm="15017">
        <f>CUBEVALUE(ConnectionString,ReportMonth,Table1[[#This Row],[Site ID (from DATIM)]],"[Measures].[MMS_90_179_M_A]")</f>
        <v/>
      </c>
      <c r="CC267" s="68" t="str" vm="15001">
        <f>CUBEVALUE(ConnectionString,ReportMonth,Table1[[#This Row],[Site ID (from DATIM)]],"[Measures].[MMS_180+_F_P]")</f>
        <v/>
      </c>
      <c r="CD267" s="68" t="str" vm="15830">
        <f>CUBEVALUE(ConnectionString,ReportMonth,Table1[[#This Row],[Site ID (from DATIM)]],"[Measures].[MMS_180+_M_P]")</f>
        <v/>
      </c>
      <c r="CE267" s="68" t="str" vm="16651">
        <f>CUBEVALUE(ConnectionString,ReportMonth,Table1[[#This Row],[Site ID (from DATIM)]],"[Measures].[MMS_180+_F_A]")</f>
        <v/>
      </c>
      <c r="CF267" s="68" t="str" vm="15356">
        <f>CUBEVALUE(ConnectionString,ReportMonth,Table1[[#This Row],[Site ID (from DATIM)]],"[Measures].[MMS_180+_M_A]")</f>
        <v/>
      </c>
      <c r="CG267" s="68" t="str" vm="8948">
        <f>CUBEVALUE(ConnectionString,ReportMonth,Table1[[#This Row],[Site ID (from DATIM)]],"[Measures].[MISSEDAPP]")</f>
        <v/>
      </c>
      <c r="CH267" s="68" t="str" vm="13868">
        <f>CUBEVALUE(ConnectionString,ReportMonth,Table1[[#This Row],[Site ID (from DATIM)]],"[Measures].[MMS_180+_P]")</f>
        <v/>
      </c>
      <c r="CI267" s="68" t="str" vm="11702">
        <f>CUBEVALUE(ConnectionString,ReportMonth,Table1[[#This Row],[Site ID (from DATIM)]],"[Measures].[MMS_180+_A]")</f>
        <v/>
      </c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  <c r="CW267" s="68"/>
      <c r="CX267" s="68"/>
      <c r="CY267" s="68"/>
      <c r="CZ267" s="68"/>
      <c r="DA267" s="68"/>
      <c r="DB267" s="68"/>
      <c r="DC267" s="68"/>
    </row>
    <row r="268" spans="1:107" x14ac:dyDescent="0.25">
      <c r="A268" s="66">
        <v>2</v>
      </c>
      <c r="B268" s="67" t="str" vm="4">
        <f t="shared" si="5"/>
        <v>Mar-2021</v>
      </c>
      <c r="C268" s="67"/>
      <c r="D268" s="67" t="s">
        <v>232</v>
      </c>
      <c r="E268" s="67" t="s">
        <v>233</v>
      </c>
      <c r="F268" s="67" t="s">
        <v>1286</v>
      </c>
      <c r="G268" s="67"/>
      <c r="H268" s="67" t="s">
        <v>1287</v>
      </c>
      <c r="I268" s="67" t="s">
        <v>1421</v>
      </c>
      <c r="J268" s="67" t="s">
        <v>1422</v>
      </c>
      <c r="K268" s="67" t="s">
        <v>1423</v>
      </c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 t="str" vm="1818">
        <f>CUBEVALUE(ConnectionString,ReportMonth,Table1[[#This Row],[Site ID (from DATIM)]],"TX_NEW_2VIS")</f>
        <v/>
      </c>
      <c r="AE268" s="67" t="str" vm="3979">
        <f>CUBEVALUE(ConnectionString,ReportMonth,Table1[[#This Row],[Site ID (from DATIM)]],INDEX(SDI_Measures,1))</f>
        <v/>
      </c>
      <c r="AF268" s="67" t="str" vm="1135">
        <f>CUBEVALUE(ConnectionString,ReportMonth,Table1[[#This Row],[Site ID (from DATIM)]],INDEX(SDI_Measures,2))</f>
        <v/>
      </c>
      <c r="AG268" s="67" t="str" vm="2062">
        <f>CUBEVALUE(ConnectionString,ReportMonth,Table1[[#This Row],[Site ID (from DATIM)]],INDEX(SDI_Measures,3))</f>
        <v/>
      </c>
      <c r="AH268" s="67" t="str" vm="463">
        <f>CUBEVALUE(ConnectionString,ReportMonth,Table1[[#This Row],[Site ID (from DATIM)]],"TX_CURR_PRIOR_MONTH")</f>
        <v/>
      </c>
      <c r="AI268" s="67" t="str" vm="4507">
        <f>CUBEVALUE(ConnectionString,ReportMonth,Table1[[#This Row],[Site ID (from DATIM)]],"TX_CURR")</f>
        <v/>
      </c>
      <c r="AJ268" s="67" t="str" vm="3160">
        <f>CUBEVALUE(ConnectionString,ReportMonth,Table1[[#This Row],[Site ID (from DATIM)]],"[Measures].[TI]")</f>
        <v/>
      </c>
      <c r="AK268" s="67" t="str" vm="2314">
        <f>CUBEVALUE(ConnectionString,ReportMonth,Table1[[#This Row],[Site ID (from DATIM)]],"[Measures].[TO]")</f>
        <v/>
      </c>
      <c r="AL268" s="67" t="str" vm="3522">
        <f>CUBEVALUE(ConnectionString,ReportMonth,Table1[[#This Row],[Site ID (from DATIM)]],"[Measures].[DIED]")</f>
        <v/>
      </c>
      <c r="AM268" s="67" t="str" vm="6682">
        <f>CUBEVALUE(ConnectionString,ReportMonth,Table1[[#This Row],[Site ID (from DATIM)]],"[Measures].[MMS_01_31]")</f>
        <v/>
      </c>
      <c r="AN268" s="67" t="str" vm="4920">
        <f>CUBEVALUE(ConnectionString,ReportMonth,Table1[[#This Row],[Site ID (from DATIM)]],"[Measures].[MMS_32_62]")</f>
        <v/>
      </c>
      <c r="AO268" s="67" t="str" vm="12621">
        <f>CUBEVALUE(ConnectionString,ReportMonth,Table1[[#This Row],[Site ID (from DATIM)]],"[Measures].[MMS_63+]")</f>
        <v/>
      </c>
      <c r="AP268" s="67" t="str" vm="5148">
        <f>CUBEVALUE(ConnectionString,ReportMonth,Table1[[#This Row],[Site ID (from DATIM)]],"[Measures].[TBPREV_D]")</f>
        <v/>
      </c>
      <c r="AQ268" s="67" t="str" vm="4757">
        <f>CUBEVALUE(ConnectionString,ReportMonth,Table1[[#This Row],[Site ID (from DATIM)]],"[Measures].[TBPREV_N]")</f>
        <v/>
      </c>
      <c r="AR268" s="67" t="str" vm="5289">
        <f>CUBEVALUE(ConnectionString,ReportMonth,Table1[[#This Row],[Site ID (from DATIM)]],"[Measures].[TBPREV_NEW]")</f>
        <v/>
      </c>
      <c r="AS268" s="67" t="str" vm="7447">
        <f>CUBEVALUE(ConnectionString,ReportMonth,Table1[[#This Row],[Site ID (from DATIM)]],"[Measures].[HVL_ELIG_P]")</f>
        <v/>
      </c>
      <c r="AT268" s="67" t="str" vm="6271">
        <f>CUBEVALUE(ConnectionString,ReportMonth,Table1[[#This Row],[Site ID (from DATIM)]],"[Measures].[HVL_D_P]")</f>
        <v/>
      </c>
      <c r="AU268" s="67" t="str" vm="15280">
        <f>CUBEVALUE(ConnectionString,ReportMonth,Table1[[#This Row],[Site ID (from DATIM)]],"[Measures].[HVL_N_P]")</f>
        <v/>
      </c>
      <c r="AV268" s="68" t="str" vm="7221">
        <f>CUBEVALUE(ConnectionString,ReportMonth,Table1[[#This Row],[Site ID (from DATIM)]],"[Measures].[HVL_ELIG_A]")</f>
        <v/>
      </c>
      <c r="AW268" s="68" t="str" vm="14402">
        <f>CUBEVALUE(ConnectionString,ReportMonth,Table1[[#This Row],[Site ID (from DATIM)]],"[Measures].[HVL_D_A]")</f>
        <v/>
      </c>
      <c r="AX268" s="68" t="str" vm="8720">
        <f>CUBEVALUE(ConnectionString,ReportMonth,Table1[[#This Row],[Site ID (from DATIM)]],"[Measures].[HVL_N_A]")</f>
        <v/>
      </c>
      <c r="AY268" s="67"/>
      <c r="AZ268" s="67"/>
      <c r="BA268" s="67"/>
      <c r="BB268" s="67"/>
      <c r="BC268" s="67"/>
      <c r="BD268" s="67"/>
      <c r="BE268" s="67"/>
      <c r="BF268" s="67"/>
      <c r="BG268" s="67" t="str" vm="10911">
        <f>CUBEVALUE(ConnectionString,ReportMonth,Table1[[#This Row],[Site ID (from DATIM)]],"[Measures].[TX_NEW_F_A]")</f>
        <v/>
      </c>
      <c r="BH268" s="67" t="str" vm="13059">
        <f>CUBEVALUE(ConnectionString,ReportMonth,Table1[[#This Row],[Site ID (from DATIM)]],"[Measures].[TX_NEW_M_A]")</f>
        <v/>
      </c>
      <c r="BI268" s="67" t="str" vm="13082">
        <f>CUBEVALUE(ConnectionString,ReportMonth,Table1[[#This Row],[Site ID (from DATIM)]],"[Measures].[TX_NEW_F_P]")</f>
        <v/>
      </c>
      <c r="BJ268" s="68" t="str" vm="12327">
        <f>CUBEVALUE(ConnectionString,ReportMonth,Table1[[#This Row],[Site ID (from DATIM)]],"[Measures].[TX_NEW_M_P]")</f>
        <v/>
      </c>
      <c r="BK268" s="68"/>
      <c r="BL268" s="68"/>
      <c r="BM268" s="68"/>
      <c r="BN268" s="68"/>
      <c r="BO268" s="68"/>
      <c r="BP268" s="68"/>
      <c r="BQ268" s="68" t="str" vm="7498">
        <f>CUBEVALUE(ConnectionString,ReportMonth,Table1[[#This Row],[Site ID (from DATIM)]],"[Measures].[TX_CURR_F_P]")</f>
        <v/>
      </c>
      <c r="BR268" s="68" t="str" vm="11738">
        <f>CUBEVALUE(ConnectionString,ReportMonth,Table1[[#This Row],[Site ID (from DATIM)]],"[Measures].[TX_CURR_M_P]")</f>
        <v/>
      </c>
      <c r="BS268" s="68" t="str" vm="11375">
        <f>CUBEVALUE(ConnectionString,ReportMonth,Table1[[#This Row],[Site ID (from DATIM)]],"[Measures].[TX_CURR_F_A]")</f>
        <v/>
      </c>
      <c r="BT268" s="68" t="str" vm="10363">
        <f>CUBEVALUE(ConnectionString,ReportMonth,Table1[[#This Row],[Site ID (from DATIM)]],"[Measures].[TX_CURR_M_A]")</f>
        <v/>
      </c>
      <c r="BU268" s="68" t="str" vm="18424">
        <f>CUBEVALUE(ConnectionString,ReportMonth,Table1[[#This Row],[Site ID (from DATIM)]],"[Measures].[MMS_01_89_F_P]")</f>
        <v/>
      </c>
      <c r="BV268" s="68" t="str" vm="20042">
        <f>CUBEVALUE(ConnectionString,ReportMonth,Table1[[#This Row],[Site ID (from DATIM)]],"[Measures].[MMS_01_89_M_P]")</f>
        <v/>
      </c>
      <c r="BW268" s="68" t="str" vm="18236">
        <f>CUBEVALUE(ConnectionString,ReportMonth,Table1[[#This Row],[Site ID (from DATIM)]],"[Measures].[MMS_01_89_F_A]")</f>
        <v/>
      </c>
      <c r="BX268" s="68" t="str" vm="19356">
        <f>CUBEVALUE(ConnectionString,ReportMonth,Table1[[#This Row],[Site ID (from DATIM)]],"[Measures].[MMS_01_89_M_A]")</f>
        <v/>
      </c>
      <c r="BY268" s="68" t="str" vm="18503">
        <f>CUBEVALUE(ConnectionString,ReportMonth,Table1[[#This Row],[Site ID (from DATIM)]],"[Measures].[MMS_90_179_F_P]")</f>
        <v/>
      </c>
      <c r="BZ268" s="68" t="str" vm="14667">
        <f>CUBEVALUE(ConnectionString,ReportMonth,Table1[[#This Row],[Site ID (from DATIM)]],"[Measures].[MMS_90_179_M_P]")</f>
        <v/>
      </c>
      <c r="CA268" s="68" t="str" vm="14682">
        <f>CUBEVALUE(ConnectionString,ReportMonth,Table1[[#This Row],[Site ID (from DATIM)]],"[Measures].[MMS_90_179_F_A]")</f>
        <v/>
      </c>
      <c r="CB268" s="68" t="str" vm="15866">
        <f>CUBEVALUE(ConnectionString,ReportMonth,Table1[[#This Row],[Site ID (from DATIM)]],"[Measures].[MMS_90_179_M_A]")</f>
        <v/>
      </c>
      <c r="CC268" s="68" t="str" vm="14590">
        <f>CUBEVALUE(ConnectionString,ReportMonth,Table1[[#This Row],[Site ID (from DATIM)]],"[Measures].[MMS_180+_F_P]")</f>
        <v/>
      </c>
      <c r="CD268" s="68" t="str" vm="16335">
        <f>CUBEVALUE(ConnectionString,ReportMonth,Table1[[#This Row],[Site ID (from DATIM)]],"[Measures].[MMS_180+_M_P]")</f>
        <v/>
      </c>
      <c r="CE268" s="68" t="str" vm="20184">
        <f>CUBEVALUE(ConnectionString,ReportMonth,Table1[[#This Row],[Site ID (from DATIM)]],"[Measures].[MMS_180+_F_A]")</f>
        <v/>
      </c>
      <c r="CF268" s="68" t="str" vm="20221">
        <f>CUBEVALUE(ConnectionString,ReportMonth,Table1[[#This Row],[Site ID (from DATIM)]],"[Measures].[MMS_180+_M_A]")</f>
        <v/>
      </c>
      <c r="CG268" s="68" t="str" vm="6505">
        <f>CUBEVALUE(ConnectionString,ReportMonth,Table1[[#This Row],[Site ID (from DATIM)]],"[Measures].[MISSEDAPP]")</f>
        <v/>
      </c>
      <c r="CH268" s="68" t="str" vm="13486">
        <f>CUBEVALUE(ConnectionString,ReportMonth,Table1[[#This Row],[Site ID (from DATIM)]],"[Measures].[MMS_180+_P]")</f>
        <v/>
      </c>
      <c r="CI268" s="68" t="str" vm="12744">
        <f>CUBEVALUE(ConnectionString,ReportMonth,Table1[[#This Row],[Site ID (from DATIM)]],"[Measures].[MMS_180+_A]")</f>
        <v/>
      </c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  <c r="CW268" s="68"/>
      <c r="CX268" s="68"/>
      <c r="CY268" s="68"/>
      <c r="CZ268" s="68"/>
      <c r="DA268" s="68"/>
      <c r="DB268" s="68"/>
      <c r="DC268" s="68"/>
    </row>
    <row r="269" spans="1:107" x14ac:dyDescent="0.25">
      <c r="A269" s="66">
        <v>4</v>
      </c>
      <c r="B269" s="67" t="str" vm="4">
        <f t="shared" si="5"/>
        <v>Mar-2021</v>
      </c>
      <c r="C269" s="67"/>
      <c r="D269" s="67" t="s">
        <v>232</v>
      </c>
      <c r="E269" s="67" t="s">
        <v>233</v>
      </c>
      <c r="F269" s="67" t="s">
        <v>1286</v>
      </c>
      <c r="G269" s="67"/>
      <c r="H269" s="67" t="s">
        <v>1344</v>
      </c>
      <c r="I269" s="67" t="s">
        <v>1424</v>
      </c>
      <c r="J269" s="67" t="s">
        <v>1425</v>
      </c>
      <c r="K269" s="67" t="s">
        <v>1426</v>
      </c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 t="str" vm="2399">
        <f>CUBEVALUE(ConnectionString,ReportMonth,Table1[[#This Row],[Site ID (from DATIM)]],"TX_NEW_2VIS")</f>
        <v/>
      </c>
      <c r="AE269" s="67" t="str" vm="2397">
        <f>CUBEVALUE(ConnectionString,ReportMonth,Table1[[#This Row],[Site ID (from DATIM)]],INDEX(SDI_Measures,1))</f>
        <v/>
      </c>
      <c r="AF269" s="67" t="str" vm="324">
        <f>CUBEVALUE(ConnectionString,ReportMonth,Table1[[#This Row],[Site ID (from DATIM)]],INDEX(SDI_Measures,2))</f>
        <v/>
      </c>
      <c r="AG269" s="67" t="str" vm="604">
        <f>CUBEVALUE(ConnectionString,ReportMonth,Table1[[#This Row],[Site ID (from DATIM)]],INDEX(SDI_Measures,3))</f>
        <v/>
      </c>
      <c r="AH269" s="67" t="str" vm="1482">
        <f>CUBEVALUE(ConnectionString,ReportMonth,Table1[[#This Row],[Site ID (from DATIM)]],"TX_CURR_PRIOR_MONTH")</f>
        <v/>
      </c>
      <c r="AI269" s="67" t="str" vm="3284">
        <f>CUBEVALUE(ConnectionString,ReportMonth,Table1[[#This Row],[Site ID (from DATIM)]],"TX_CURR")</f>
        <v/>
      </c>
      <c r="AJ269" s="67" t="str" vm="4601">
        <f>CUBEVALUE(ConnectionString,ReportMonth,Table1[[#This Row],[Site ID (from DATIM)]],"[Measures].[TI]")</f>
        <v/>
      </c>
      <c r="AK269" s="67" t="str" vm="3780">
        <f>CUBEVALUE(ConnectionString,ReportMonth,Table1[[#This Row],[Site ID (from DATIM)]],"[Measures].[TO]")</f>
        <v/>
      </c>
      <c r="AL269" s="67" t="str" vm="1536">
        <f>CUBEVALUE(ConnectionString,ReportMonth,Table1[[#This Row],[Site ID (from DATIM)]],"[Measures].[DIED]")</f>
        <v/>
      </c>
      <c r="AM269" s="67" t="str" vm="6737">
        <f>CUBEVALUE(ConnectionString,ReportMonth,Table1[[#This Row],[Site ID (from DATIM)]],"[Measures].[MMS_01_31]")</f>
        <v/>
      </c>
      <c r="AN269" s="67" t="str" vm="4503">
        <f>CUBEVALUE(ConnectionString,ReportMonth,Table1[[#This Row],[Site ID (from DATIM)]],"[Measures].[MMS_32_62]")</f>
        <v/>
      </c>
      <c r="AO269" s="67" t="str" vm="5274">
        <f>CUBEVALUE(ConnectionString,ReportMonth,Table1[[#This Row],[Site ID (from DATIM)]],"[Measures].[MMS_63+]")</f>
        <v/>
      </c>
      <c r="AP269" s="67" t="str" vm="5914">
        <f>CUBEVALUE(ConnectionString,ReportMonth,Table1[[#This Row],[Site ID (from DATIM)]],"[Measures].[TBPREV_D]")</f>
        <v/>
      </c>
      <c r="AQ269" s="67" t="str" vm="4793">
        <f>CUBEVALUE(ConnectionString,ReportMonth,Table1[[#This Row],[Site ID (from DATIM)]],"[Measures].[TBPREV_N]")</f>
        <v/>
      </c>
      <c r="AR269" s="67" t="str" vm="8491">
        <f>CUBEVALUE(ConnectionString,ReportMonth,Table1[[#This Row],[Site ID (from DATIM)]],"[Measures].[TBPREV_NEW]")</f>
        <v/>
      </c>
      <c r="AS269" s="67" t="str" vm="7533">
        <f>CUBEVALUE(ConnectionString,ReportMonth,Table1[[#This Row],[Site ID (from DATIM)]],"[Measures].[HVL_ELIG_P]")</f>
        <v/>
      </c>
      <c r="AT269" s="67" t="str" vm="9866">
        <f>CUBEVALUE(ConnectionString,ReportMonth,Table1[[#This Row],[Site ID (from DATIM)]],"[Measures].[HVL_D_P]")</f>
        <v/>
      </c>
      <c r="AU269" s="67" t="str" vm="11161">
        <f>CUBEVALUE(ConnectionString,ReportMonth,Table1[[#This Row],[Site ID (from DATIM)]],"[Measures].[HVL_N_P]")</f>
        <v/>
      </c>
      <c r="AV269" s="68" t="str" vm="11141">
        <f>CUBEVALUE(ConnectionString,ReportMonth,Table1[[#This Row],[Site ID (from DATIM)]],"[Measures].[HVL_ELIG_A]")</f>
        <v/>
      </c>
      <c r="AW269" s="68" t="str" vm="9267">
        <f>CUBEVALUE(ConnectionString,ReportMonth,Table1[[#This Row],[Site ID (from DATIM)]],"[Measures].[HVL_D_A]")</f>
        <v/>
      </c>
      <c r="AX269" s="68" t="str" vm="9035">
        <f>CUBEVALUE(ConnectionString,ReportMonth,Table1[[#This Row],[Site ID (from DATIM)]],"[Measures].[HVL_N_A]")</f>
        <v/>
      </c>
      <c r="AY269" s="67"/>
      <c r="AZ269" s="67"/>
      <c r="BA269" s="67"/>
      <c r="BB269" s="67"/>
      <c r="BC269" s="67"/>
      <c r="BD269" s="67"/>
      <c r="BE269" s="67"/>
      <c r="BF269" s="67"/>
      <c r="BG269" s="67" t="str" vm="13832">
        <f>CUBEVALUE(ConnectionString,ReportMonth,Table1[[#This Row],[Site ID (from DATIM)]],"[Measures].[TX_NEW_F_A]")</f>
        <v/>
      </c>
      <c r="BH269" s="67" t="str" vm="12756">
        <f>CUBEVALUE(ConnectionString,ReportMonth,Table1[[#This Row],[Site ID (from DATIM)]],"[Measures].[TX_NEW_M_A]")</f>
        <v/>
      </c>
      <c r="BI269" s="67" t="str" vm="15709">
        <f>CUBEVALUE(ConnectionString,ReportMonth,Table1[[#This Row],[Site ID (from DATIM)]],"[Measures].[TX_NEW_F_P]")</f>
        <v/>
      </c>
      <c r="BJ269" s="68" t="str" vm="15702">
        <f>CUBEVALUE(ConnectionString,ReportMonth,Table1[[#This Row],[Site ID (from DATIM)]],"[Measures].[TX_NEW_M_P]")</f>
        <v/>
      </c>
      <c r="BK269" s="68"/>
      <c r="BL269" s="68"/>
      <c r="BM269" s="68"/>
      <c r="BN269" s="68"/>
      <c r="BO269" s="68"/>
      <c r="BP269" s="68"/>
      <c r="BQ269" s="68" t="str" vm="8332">
        <f>CUBEVALUE(ConnectionString,ReportMonth,Table1[[#This Row],[Site ID (from DATIM)]],"[Measures].[TX_CURR_F_P]")</f>
        <v/>
      </c>
      <c r="BR269" s="68" t="str" vm="8518">
        <f>CUBEVALUE(ConnectionString,ReportMonth,Table1[[#This Row],[Site ID (from DATIM)]],"[Measures].[TX_CURR_M_P]")</f>
        <v/>
      </c>
      <c r="BS269" s="68" t="str" vm="8901">
        <f>CUBEVALUE(ConnectionString,ReportMonth,Table1[[#This Row],[Site ID (from DATIM)]],"[Measures].[TX_CURR_F_A]")</f>
        <v/>
      </c>
      <c r="BT269" s="68" t="str" vm="11999">
        <f>CUBEVALUE(ConnectionString,ReportMonth,Table1[[#This Row],[Site ID (from DATIM)]],"[Measures].[TX_CURR_M_A]")</f>
        <v/>
      </c>
      <c r="BU269" s="68" t="str" vm="20045">
        <f>CUBEVALUE(ConnectionString,ReportMonth,Table1[[#This Row],[Site ID (from DATIM)]],"[Measures].[MMS_01_89_F_P]")</f>
        <v/>
      </c>
      <c r="BV269" s="68" t="str" vm="18974">
        <f>CUBEVALUE(ConnectionString,ReportMonth,Table1[[#This Row],[Site ID (from DATIM)]],"[Measures].[MMS_01_89_M_P]")</f>
        <v/>
      </c>
      <c r="BW269" s="68" t="str" vm="18011">
        <f>CUBEVALUE(ConnectionString,ReportMonth,Table1[[#This Row],[Site ID (from DATIM)]],"[Measures].[MMS_01_89_F_A]")</f>
        <v/>
      </c>
      <c r="BX269" s="68" t="str" vm="17810">
        <f>CUBEVALUE(ConnectionString,ReportMonth,Table1[[#This Row],[Site ID (from DATIM)]],"[Measures].[MMS_01_89_M_A]")</f>
        <v/>
      </c>
      <c r="BY269" s="68" t="str" vm="17878">
        <f>CUBEVALUE(ConnectionString,ReportMonth,Table1[[#This Row],[Site ID (from DATIM)]],"[Measures].[MMS_90_179_F_P]")</f>
        <v/>
      </c>
      <c r="BZ269" s="68" t="str" vm="16042">
        <f>CUBEVALUE(ConnectionString,ReportMonth,Table1[[#This Row],[Site ID (from DATIM)]],"[Measures].[MMS_90_179_M_P]")</f>
        <v/>
      </c>
      <c r="CA269" s="68" t="str" vm="17239">
        <f>CUBEVALUE(ConnectionString,ReportMonth,Table1[[#This Row],[Site ID (from DATIM)]],"[Measures].[MMS_90_179_F_A]")</f>
        <v/>
      </c>
      <c r="CB269" s="68" t="str" vm="15126">
        <f>CUBEVALUE(ConnectionString,ReportMonth,Table1[[#This Row],[Site ID (from DATIM)]],"[Measures].[MMS_90_179_M_A]")</f>
        <v/>
      </c>
      <c r="CC269" s="68" t="str" vm="16681">
        <f>CUBEVALUE(ConnectionString,ReportMonth,Table1[[#This Row],[Site ID (from DATIM)]],"[Measures].[MMS_180+_F_P]")</f>
        <v/>
      </c>
      <c r="CD269" s="68" t="str" vm="16688">
        <f>CUBEVALUE(ConnectionString,ReportMonth,Table1[[#This Row],[Site ID (from DATIM)]],"[Measures].[MMS_180+_M_P]")</f>
        <v/>
      </c>
      <c r="CE269" s="68" t="str" vm="16703">
        <f>CUBEVALUE(ConnectionString,ReportMonth,Table1[[#This Row],[Site ID (from DATIM)]],"[Measures].[MMS_180+_F_A]")</f>
        <v/>
      </c>
      <c r="CF269" s="68" t="str" vm="14426">
        <f>CUBEVALUE(ConnectionString,ReportMonth,Table1[[#This Row],[Site ID (from DATIM)]],"[Measures].[MMS_180+_M_A]")</f>
        <v/>
      </c>
      <c r="CG269" s="68" t="str" vm="8885">
        <f>CUBEVALUE(ConnectionString,ReportMonth,Table1[[#This Row],[Site ID (from DATIM)]],"[Measures].[MISSEDAPP]")</f>
        <v/>
      </c>
      <c r="CH269" s="68" t="str" vm="13467">
        <f>CUBEVALUE(ConnectionString,ReportMonth,Table1[[#This Row],[Site ID (from DATIM)]],"[Measures].[MMS_180+_P]")</f>
        <v/>
      </c>
      <c r="CI269" s="68" t="str" vm="10838">
        <f>CUBEVALUE(ConnectionString,ReportMonth,Table1[[#This Row],[Site ID (from DATIM)]],"[Measures].[MMS_180+_A]")</f>
        <v/>
      </c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  <c r="CW269" s="68"/>
      <c r="CX269" s="68"/>
      <c r="CY269" s="68"/>
      <c r="CZ269" s="68"/>
      <c r="DA269" s="68"/>
      <c r="DB269" s="68"/>
      <c r="DC269" s="68"/>
    </row>
    <row r="270" spans="1:107" x14ac:dyDescent="0.25">
      <c r="A270" s="66">
        <v>3</v>
      </c>
      <c r="B270" s="67" t="str" vm="4">
        <f t="shared" si="5"/>
        <v>Mar-2021</v>
      </c>
      <c r="C270" s="67"/>
      <c r="D270" s="67" t="s">
        <v>232</v>
      </c>
      <c r="E270" s="67" t="s">
        <v>233</v>
      </c>
      <c r="F270" s="67" t="s">
        <v>1286</v>
      </c>
      <c r="G270" s="67"/>
      <c r="H270" s="67" t="s">
        <v>1323</v>
      </c>
      <c r="I270" s="67" t="s">
        <v>1427</v>
      </c>
      <c r="J270" s="67" t="s">
        <v>1428</v>
      </c>
      <c r="K270" s="67" t="s">
        <v>1429</v>
      </c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 t="str" vm="1607">
        <f>CUBEVALUE(ConnectionString,ReportMonth,Table1[[#This Row],[Site ID (from DATIM)]],"TX_NEW_2VIS")</f>
        <v/>
      </c>
      <c r="AE270" s="67" t="str" vm="1842">
        <f>CUBEVALUE(ConnectionString,ReportMonth,Table1[[#This Row],[Site ID (from DATIM)]],INDEX(SDI_Measures,1))</f>
        <v/>
      </c>
      <c r="AF270" s="67" t="str" vm="968">
        <f>CUBEVALUE(ConnectionString,ReportMonth,Table1[[#This Row],[Site ID (from DATIM)]],INDEX(SDI_Measures,2))</f>
        <v/>
      </c>
      <c r="AG270" s="67" t="str" vm="4386">
        <f>CUBEVALUE(ConnectionString,ReportMonth,Table1[[#This Row],[Site ID (from DATIM)]],INDEX(SDI_Measures,3))</f>
        <v/>
      </c>
      <c r="AH270" s="67" t="str" vm="2405">
        <f>CUBEVALUE(ConnectionString,ReportMonth,Table1[[#This Row],[Site ID (from DATIM)]],"TX_CURR_PRIOR_MONTH")</f>
        <v/>
      </c>
      <c r="AI270" s="67" t="str" vm="3874">
        <f>CUBEVALUE(ConnectionString,ReportMonth,Table1[[#This Row],[Site ID (from DATIM)]],"TX_CURR")</f>
        <v/>
      </c>
      <c r="AJ270" s="67" t="str" vm="3443">
        <f>CUBEVALUE(ConnectionString,ReportMonth,Table1[[#This Row],[Site ID (from DATIM)]],"[Measures].[TI]")</f>
        <v/>
      </c>
      <c r="AK270" s="67" t="str" vm="1309">
        <f>CUBEVALUE(ConnectionString,ReportMonth,Table1[[#This Row],[Site ID (from DATIM)]],"[Measures].[TO]")</f>
        <v/>
      </c>
      <c r="AL270" s="67" t="str" vm="1883">
        <f>CUBEVALUE(ConnectionString,ReportMonth,Table1[[#This Row],[Site ID (from DATIM)]],"[Measures].[DIED]")</f>
        <v/>
      </c>
      <c r="AM270" s="67" t="str" vm="4041">
        <f>CUBEVALUE(ConnectionString,ReportMonth,Table1[[#This Row],[Site ID (from DATIM)]],"[Measures].[MMS_01_31]")</f>
        <v/>
      </c>
      <c r="AN270" s="67" t="str" vm="9927">
        <f>CUBEVALUE(ConnectionString,ReportMonth,Table1[[#This Row],[Site ID (from DATIM)]],"[Measures].[MMS_32_62]")</f>
        <v/>
      </c>
      <c r="AO270" s="67" t="str" vm="4714">
        <f>CUBEVALUE(ConnectionString,ReportMonth,Table1[[#This Row],[Site ID (from DATIM)]],"[Measures].[MMS_63+]")</f>
        <v/>
      </c>
      <c r="AP270" s="67" t="str" vm="6432">
        <f>CUBEVALUE(ConnectionString,ReportMonth,Table1[[#This Row],[Site ID (from DATIM)]],"[Measures].[TBPREV_D]")</f>
        <v/>
      </c>
      <c r="AQ270" s="67" t="str" vm="4911">
        <f>CUBEVALUE(ConnectionString,ReportMonth,Table1[[#This Row],[Site ID (from DATIM)]],"[Measures].[TBPREV_N]")</f>
        <v/>
      </c>
      <c r="AR270" s="67" t="str" vm="6910">
        <f>CUBEVALUE(ConnectionString,ReportMonth,Table1[[#This Row],[Site ID (from DATIM)]],"[Measures].[TBPREV_NEW]")</f>
        <v/>
      </c>
      <c r="AS270" s="67" t="str" vm="4877">
        <f>CUBEVALUE(ConnectionString,ReportMonth,Table1[[#This Row],[Site ID (from DATIM)]],"[Measures].[HVL_ELIG_P]")</f>
        <v/>
      </c>
      <c r="AT270" s="67" t="str" vm="7094">
        <f>CUBEVALUE(ConnectionString,ReportMonth,Table1[[#This Row],[Site ID (from DATIM)]],"[Measures].[HVL_D_P]")</f>
        <v/>
      </c>
      <c r="AU270" s="67" t="str" vm="7956">
        <f>CUBEVALUE(ConnectionString,ReportMonth,Table1[[#This Row],[Site ID (from DATIM)]],"[Measures].[HVL_N_P]")</f>
        <v/>
      </c>
      <c r="AV270" s="68" t="str" vm="12467">
        <f>CUBEVALUE(ConnectionString,ReportMonth,Table1[[#This Row],[Site ID (from DATIM)]],"[Measures].[HVL_ELIG_A]")</f>
        <v/>
      </c>
      <c r="AW270" s="68" t="str" vm="9922">
        <f>CUBEVALUE(ConnectionString,ReportMonth,Table1[[#This Row],[Site ID (from DATIM)]],"[Measures].[HVL_D_A]")</f>
        <v/>
      </c>
      <c r="AX270" s="68" t="str" vm="12102">
        <f>CUBEVALUE(ConnectionString,ReportMonth,Table1[[#This Row],[Site ID (from DATIM)]],"[Measures].[HVL_N_A]")</f>
        <v/>
      </c>
      <c r="AY270" s="67"/>
      <c r="AZ270" s="67"/>
      <c r="BA270" s="67"/>
      <c r="BB270" s="67"/>
      <c r="BC270" s="67"/>
      <c r="BD270" s="67"/>
      <c r="BE270" s="67"/>
      <c r="BF270" s="67"/>
      <c r="BG270" s="67" t="str" vm="10620">
        <f>CUBEVALUE(ConnectionString,ReportMonth,Table1[[#This Row],[Site ID (from DATIM)]],"[Measures].[TX_NEW_F_A]")</f>
        <v/>
      </c>
      <c r="BH270" s="67" t="str" vm="15677">
        <f>CUBEVALUE(ConnectionString,ReportMonth,Table1[[#This Row],[Site ID (from DATIM)]],"[Measures].[TX_NEW_M_A]")</f>
        <v/>
      </c>
      <c r="BI270" s="67" t="str" vm="14036">
        <f>CUBEVALUE(ConnectionString,ReportMonth,Table1[[#This Row],[Site ID (from DATIM)]],"[Measures].[TX_NEW_F_P]")</f>
        <v/>
      </c>
      <c r="BJ270" s="68" t="str" vm="14416">
        <f>CUBEVALUE(ConnectionString,ReportMonth,Table1[[#This Row],[Site ID (from DATIM)]],"[Measures].[TX_NEW_M_P]")</f>
        <v/>
      </c>
      <c r="BK270" s="68"/>
      <c r="BL270" s="68"/>
      <c r="BM270" s="68"/>
      <c r="BN270" s="68"/>
      <c r="BO270" s="68"/>
      <c r="BP270" s="68"/>
      <c r="BQ270" s="68" t="str" vm="7924">
        <f>CUBEVALUE(ConnectionString,ReportMonth,Table1[[#This Row],[Site ID (from DATIM)]],"[Measures].[TX_CURR_F_P]")</f>
        <v/>
      </c>
      <c r="BR270" s="68" t="str" vm="12746">
        <f>CUBEVALUE(ConnectionString,ReportMonth,Table1[[#This Row],[Site ID (from DATIM)]],"[Measures].[TX_CURR_M_P]")</f>
        <v/>
      </c>
      <c r="BS270" s="68" t="str" vm="12731">
        <f>CUBEVALUE(ConnectionString,ReportMonth,Table1[[#This Row],[Site ID (from DATIM)]],"[Measures].[TX_CURR_F_A]")</f>
        <v/>
      </c>
      <c r="BT270" s="68" t="str" vm="12011">
        <f>CUBEVALUE(ConnectionString,ReportMonth,Table1[[#This Row],[Site ID (from DATIM)]],"[Measures].[TX_CURR_M_A]")</f>
        <v/>
      </c>
      <c r="BU270" s="68" t="str" vm="20072">
        <f>CUBEVALUE(ConnectionString,ReportMonth,Table1[[#This Row],[Site ID (from DATIM)]],"[Measures].[MMS_01_89_F_P]")</f>
        <v/>
      </c>
      <c r="BV270" s="68" t="str" vm="18721">
        <f>CUBEVALUE(ConnectionString,ReportMonth,Table1[[#This Row],[Site ID (from DATIM)]],"[Measures].[MMS_01_89_M_P]")</f>
        <v/>
      </c>
      <c r="BW270" s="68" t="str" vm="19258">
        <f>CUBEVALUE(ConnectionString,ReportMonth,Table1[[#This Row],[Site ID (from DATIM)]],"[Measures].[MMS_01_89_F_A]")</f>
        <v/>
      </c>
      <c r="BX270" s="68" t="str" vm="19406">
        <f>CUBEVALUE(ConnectionString,ReportMonth,Table1[[#This Row],[Site ID (from DATIM)]],"[Measures].[MMS_01_89_M_A]")</f>
        <v/>
      </c>
      <c r="BY270" s="68" t="str" vm="16067">
        <f>CUBEVALUE(ConnectionString,ReportMonth,Table1[[#This Row],[Site ID (from DATIM)]],"[Measures].[MMS_90_179_F_P]")</f>
        <v/>
      </c>
      <c r="BZ270" s="68" t="str" vm="14739">
        <f>CUBEVALUE(ConnectionString,ReportMonth,Table1[[#This Row],[Site ID (from DATIM)]],"[Measures].[MMS_90_179_M_P]")</f>
        <v/>
      </c>
      <c r="CA270" s="68" t="str" vm="17742">
        <f>CUBEVALUE(ConnectionString,ReportMonth,Table1[[#This Row],[Site ID (from DATIM)]],"[Measures].[MMS_90_179_F_A]")</f>
        <v/>
      </c>
      <c r="CB270" s="68" t="str" vm="17736">
        <f>CUBEVALUE(ConnectionString,ReportMonth,Table1[[#This Row],[Site ID (from DATIM)]],"[Measures].[MMS_90_179_M_A]")</f>
        <v/>
      </c>
      <c r="CC270" s="68" t="str" vm="15087">
        <f>CUBEVALUE(ConnectionString,ReportMonth,Table1[[#This Row],[Site ID (from DATIM)]],"[Measures].[MMS_180+_F_P]")</f>
        <v/>
      </c>
      <c r="CD270" s="68" t="str" vm="16307">
        <f>CUBEVALUE(ConnectionString,ReportMonth,Table1[[#This Row],[Site ID (from DATIM)]],"[Measures].[MMS_180+_M_P]")</f>
        <v/>
      </c>
      <c r="CE270" s="68" t="str" vm="16668">
        <f>CUBEVALUE(ConnectionString,ReportMonth,Table1[[#This Row],[Site ID (from DATIM)]],"[Measures].[MMS_180+_F_A]")</f>
        <v/>
      </c>
      <c r="CF270" s="68" t="str" vm="17125">
        <f>CUBEVALUE(ConnectionString,ReportMonth,Table1[[#This Row],[Site ID (from DATIM)]],"[Measures].[MMS_180+_M_A]")</f>
        <v/>
      </c>
      <c r="CG270" s="68" t="str" vm="6564">
        <f>CUBEVALUE(ConnectionString,ReportMonth,Table1[[#This Row],[Site ID (from DATIM)]],"[Measures].[MISSEDAPP]")</f>
        <v/>
      </c>
      <c r="CH270" s="68" t="str" vm="14337">
        <f>CUBEVALUE(ConnectionString,ReportMonth,Table1[[#This Row],[Site ID (from DATIM)]],"[Measures].[MMS_180+_P]")</f>
        <v/>
      </c>
      <c r="CI270" s="68" t="str" vm="10212">
        <f>CUBEVALUE(ConnectionString,ReportMonth,Table1[[#This Row],[Site ID (from DATIM)]],"[Measures].[MMS_180+_A]")</f>
        <v/>
      </c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  <c r="CW270" s="68"/>
      <c r="CX270" s="68"/>
      <c r="CY270" s="68"/>
      <c r="CZ270" s="68"/>
      <c r="DA270" s="68"/>
      <c r="DB270" s="68"/>
      <c r="DC270" s="68"/>
    </row>
    <row r="271" spans="1:107" x14ac:dyDescent="0.25">
      <c r="A271" s="66">
        <v>4</v>
      </c>
      <c r="B271" s="67" t="str" vm="4">
        <f t="shared" si="5"/>
        <v>Mar-2021</v>
      </c>
      <c r="C271" s="67"/>
      <c r="D271" s="67" t="s">
        <v>232</v>
      </c>
      <c r="E271" s="67" t="s">
        <v>233</v>
      </c>
      <c r="F271" s="67" t="s">
        <v>1286</v>
      </c>
      <c r="G271" s="67"/>
      <c r="H271" s="67" t="s">
        <v>1323</v>
      </c>
      <c r="I271" s="67" t="s">
        <v>1430</v>
      </c>
      <c r="J271" s="67" t="s">
        <v>1431</v>
      </c>
      <c r="K271" s="67" t="s">
        <v>1432</v>
      </c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 t="str" vm="603">
        <f>CUBEVALUE(ConnectionString,ReportMonth,Table1[[#This Row],[Site ID (from DATIM)]],"TX_NEW_2VIS")</f>
        <v/>
      </c>
      <c r="AE271" s="67" t="str" vm="2978">
        <f>CUBEVALUE(ConnectionString,ReportMonth,Table1[[#This Row],[Site ID (from DATIM)]],INDEX(SDI_Measures,1))</f>
        <v/>
      </c>
      <c r="AF271" s="67" t="str" vm="1216">
        <f>CUBEVALUE(ConnectionString,ReportMonth,Table1[[#This Row],[Site ID (from DATIM)]],INDEX(SDI_Measures,2))</f>
        <v/>
      </c>
      <c r="AG271" s="67" t="str" vm="1008">
        <f>CUBEVALUE(ConnectionString,ReportMonth,Table1[[#This Row],[Site ID (from DATIM)]],INDEX(SDI_Measures,3))</f>
        <v/>
      </c>
      <c r="AH271" s="67" t="str" vm="3234">
        <f>CUBEVALUE(ConnectionString,ReportMonth,Table1[[#This Row],[Site ID (from DATIM)]],"TX_CURR_PRIOR_MONTH")</f>
        <v/>
      </c>
      <c r="AI271" s="67" t="str" vm="2655">
        <f>CUBEVALUE(ConnectionString,ReportMonth,Table1[[#This Row],[Site ID (from DATIM)]],"TX_CURR")</f>
        <v/>
      </c>
      <c r="AJ271" s="67" t="str" vm="2513">
        <f>CUBEVALUE(ConnectionString,ReportMonth,Table1[[#This Row],[Site ID (from DATIM)]],"[Measures].[TI]")</f>
        <v/>
      </c>
      <c r="AK271" s="67" t="str" vm="1824">
        <f>CUBEVALUE(ConnectionString,ReportMonth,Table1[[#This Row],[Site ID (from DATIM)]],"[Measures].[TO]")</f>
        <v/>
      </c>
      <c r="AL271" s="67" t="str" vm="498">
        <f>CUBEVALUE(ConnectionString,ReportMonth,Table1[[#This Row],[Site ID (from DATIM)]],"[Measures].[DIED]")</f>
        <v/>
      </c>
      <c r="AM271" s="67" t="str" vm="3730">
        <f>CUBEVALUE(ConnectionString,ReportMonth,Table1[[#This Row],[Site ID (from DATIM)]],"[Measures].[MMS_01_31]")</f>
        <v/>
      </c>
      <c r="AN271" s="67" t="str" vm="6721">
        <f>CUBEVALUE(ConnectionString,ReportMonth,Table1[[#This Row],[Site ID (from DATIM)]],"[Measures].[MMS_32_62]")</f>
        <v/>
      </c>
      <c r="AO271" s="67" t="str" vm="5502">
        <f>CUBEVALUE(ConnectionString,ReportMonth,Table1[[#This Row],[Site ID (from DATIM)]],"[Measures].[MMS_63+]")</f>
        <v/>
      </c>
      <c r="AP271" s="67" t="str" vm="4614">
        <f>CUBEVALUE(ConnectionString,ReportMonth,Table1[[#This Row],[Site ID (from DATIM)]],"[Measures].[TBPREV_D]")</f>
        <v/>
      </c>
      <c r="AQ271" s="67" t="str" vm="5357">
        <f>CUBEVALUE(ConnectionString,ReportMonth,Table1[[#This Row],[Site ID (from DATIM)]],"[Measures].[TBPREV_N]")</f>
        <v/>
      </c>
      <c r="AR271" s="67" t="str" vm="5116">
        <f>CUBEVALUE(ConnectionString,ReportMonth,Table1[[#This Row],[Site ID (from DATIM)]],"[Measures].[TBPREV_NEW]")</f>
        <v/>
      </c>
      <c r="AS271" s="67" t="str" vm="9484">
        <f>CUBEVALUE(ConnectionString,ReportMonth,Table1[[#This Row],[Site ID (from DATIM)]],"[Measures].[HVL_ELIG_P]")</f>
        <v/>
      </c>
      <c r="AT271" s="67" t="str" vm="6828">
        <f>CUBEVALUE(ConnectionString,ReportMonth,Table1[[#This Row],[Site ID (from DATIM)]],"[Measures].[HVL_D_P]")</f>
        <v/>
      </c>
      <c r="AU271" s="67" t="str" vm="7276">
        <f>CUBEVALUE(ConnectionString,ReportMonth,Table1[[#This Row],[Site ID (from DATIM)]],"[Measures].[HVL_N_P]")</f>
        <v/>
      </c>
      <c r="AV271" s="68" t="str" vm="12414">
        <f>CUBEVALUE(ConnectionString,ReportMonth,Table1[[#This Row],[Site ID (from DATIM)]],"[Measures].[HVL_ELIG_A]")</f>
        <v/>
      </c>
      <c r="AW271" s="68" t="str" vm="10070">
        <f>CUBEVALUE(ConnectionString,ReportMonth,Table1[[#This Row],[Site ID (from DATIM)]],"[Measures].[HVL_D_A]")</f>
        <v/>
      </c>
      <c r="AX271" s="68" t="str" vm="8035">
        <f>CUBEVALUE(ConnectionString,ReportMonth,Table1[[#This Row],[Site ID (from DATIM)]],"[Measures].[HVL_N_A]")</f>
        <v/>
      </c>
      <c r="AY271" s="67"/>
      <c r="AZ271" s="67"/>
      <c r="BA271" s="67"/>
      <c r="BB271" s="67"/>
      <c r="BC271" s="67"/>
      <c r="BD271" s="67"/>
      <c r="BE271" s="67"/>
      <c r="BF271" s="67"/>
      <c r="BG271" s="67" t="str" vm="12169">
        <f>CUBEVALUE(ConnectionString,ReportMonth,Table1[[#This Row],[Site ID (from DATIM)]],"[Measures].[TX_NEW_F_A]")</f>
        <v/>
      </c>
      <c r="BH271" s="67" t="str" vm="12957">
        <f>CUBEVALUE(ConnectionString,ReportMonth,Table1[[#This Row],[Site ID (from DATIM)]],"[Measures].[TX_NEW_M_A]")</f>
        <v/>
      </c>
      <c r="BI271" s="67" t="str" vm="14139">
        <f>CUBEVALUE(ConnectionString,ReportMonth,Table1[[#This Row],[Site ID (from DATIM)]],"[Measures].[TX_NEW_F_P]")</f>
        <v/>
      </c>
      <c r="BJ271" s="68" t="str" vm="14377">
        <f>CUBEVALUE(ConnectionString,ReportMonth,Table1[[#This Row],[Site ID (from DATIM)]],"[Measures].[TX_NEW_M_P]")</f>
        <v/>
      </c>
      <c r="BK271" s="68"/>
      <c r="BL271" s="68"/>
      <c r="BM271" s="68"/>
      <c r="BN271" s="68"/>
      <c r="BO271" s="68"/>
      <c r="BP271" s="68"/>
      <c r="BQ271" s="68" t="str" vm="7477">
        <f>CUBEVALUE(ConnectionString,ReportMonth,Table1[[#This Row],[Site ID (from DATIM)]],"[Measures].[TX_CURR_F_P]")</f>
        <v/>
      </c>
      <c r="BR271" s="68" t="str" vm="10505">
        <f>CUBEVALUE(ConnectionString,ReportMonth,Table1[[#This Row],[Site ID (from DATIM)]],"[Measures].[TX_CURR_M_P]")</f>
        <v/>
      </c>
      <c r="BS271" s="68" t="str" vm="6584">
        <f>CUBEVALUE(ConnectionString,ReportMonth,Table1[[#This Row],[Site ID (from DATIM)]],"[Measures].[TX_CURR_F_A]")</f>
        <v/>
      </c>
      <c r="BT271" s="68" t="str" vm="8002">
        <f>CUBEVALUE(ConnectionString,ReportMonth,Table1[[#This Row],[Site ID (from DATIM)]],"[Measures].[TX_CURR_M_A]")</f>
        <v/>
      </c>
      <c r="BU271" s="68" t="str" vm="19504">
        <f>CUBEVALUE(ConnectionString,ReportMonth,Table1[[#This Row],[Site ID (from DATIM)]],"[Measures].[MMS_01_89_F_P]")</f>
        <v/>
      </c>
      <c r="BV271" s="68" t="str" vm="19793">
        <f>CUBEVALUE(ConnectionString,ReportMonth,Table1[[#This Row],[Site ID (from DATIM)]],"[Measures].[MMS_01_89_M_P]")</f>
        <v/>
      </c>
      <c r="BW271" s="68" t="str" vm="17000">
        <f>CUBEVALUE(ConnectionString,ReportMonth,Table1[[#This Row],[Site ID (from DATIM)]],"[Measures].[MMS_01_89_F_A]")</f>
        <v/>
      </c>
      <c r="BX271" s="68" t="str" vm="17912">
        <f>CUBEVALUE(ConnectionString,ReportMonth,Table1[[#This Row],[Site ID (from DATIM)]],"[Measures].[MMS_01_89_M_A]")</f>
        <v/>
      </c>
      <c r="BY271" s="68" t="str" vm="19399">
        <f>CUBEVALUE(ConnectionString,ReportMonth,Table1[[#This Row],[Site ID (from DATIM)]],"[Measures].[MMS_90_179_F_P]")</f>
        <v/>
      </c>
      <c r="BZ271" s="68" t="str" vm="17372">
        <f>CUBEVALUE(ConnectionString,ReportMonth,Table1[[#This Row],[Site ID (from DATIM)]],"[Measures].[MMS_90_179_M_P]")</f>
        <v/>
      </c>
      <c r="CA271" s="68" t="str" vm="17349">
        <f>CUBEVALUE(ConnectionString,ReportMonth,Table1[[#This Row],[Site ID (from DATIM)]],"[Measures].[MMS_90_179_F_A]")</f>
        <v/>
      </c>
      <c r="CB271" s="68" t="str" vm="16815">
        <f>CUBEVALUE(ConnectionString,ReportMonth,Table1[[#This Row],[Site ID (from DATIM)]],"[Measures].[MMS_90_179_M_A]")</f>
        <v/>
      </c>
      <c r="CC271" s="68" t="str" vm="15565">
        <f>CUBEVALUE(ConnectionString,ReportMonth,Table1[[#This Row],[Site ID (from DATIM)]],"[Measures].[MMS_180+_F_P]")</f>
        <v/>
      </c>
      <c r="CD271" s="68" t="str" vm="398">
        <f>CUBEVALUE(ConnectionString,ReportMonth,Table1[[#This Row],[Site ID (from DATIM)]],"[Measures].[MMS_180+_M_P]")</f>
        <v/>
      </c>
      <c r="CE271" s="68" t="str" vm="16739">
        <f>CUBEVALUE(ConnectionString,ReportMonth,Table1[[#This Row],[Site ID (from DATIM)]],"[Measures].[MMS_180+_F_A]")</f>
        <v/>
      </c>
      <c r="CF271" s="68" t="str" vm="62">
        <f>CUBEVALUE(ConnectionString,ReportMonth,Table1[[#This Row],[Site ID (from DATIM)]],"[Measures].[MMS_180+_M_A]")</f>
        <v/>
      </c>
      <c r="CG271" s="68" t="str" vm="6054">
        <f>CUBEVALUE(ConnectionString,ReportMonth,Table1[[#This Row],[Site ID (from DATIM)]],"[Measures].[MISSEDAPP]")</f>
        <v/>
      </c>
      <c r="CH271" s="68" t="str" vm="13564">
        <f>CUBEVALUE(ConnectionString,ReportMonth,Table1[[#This Row],[Site ID (from DATIM)]],"[Measures].[MMS_180+_P]")</f>
        <v/>
      </c>
      <c r="CI271" s="68" t="str" vm="11516">
        <f>CUBEVALUE(ConnectionString,ReportMonth,Table1[[#This Row],[Site ID (from DATIM)]],"[Measures].[MMS_180+_A]")</f>
        <v/>
      </c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  <c r="CW271" s="68"/>
      <c r="CX271" s="68"/>
      <c r="CY271" s="68"/>
      <c r="CZ271" s="68"/>
      <c r="DA271" s="68"/>
      <c r="DB271" s="68"/>
      <c r="DC271" s="68"/>
    </row>
    <row r="272" spans="1:107" x14ac:dyDescent="0.25">
      <c r="A272" s="66">
        <v>4</v>
      </c>
      <c r="B272" s="67" t="str" vm="4">
        <f t="shared" si="5"/>
        <v>Mar-2021</v>
      </c>
      <c r="C272" s="67"/>
      <c r="D272" s="67" t="s">
        <v>232</v>
      </c>
      <c r="E272" s="67" t="s">
        <v>233</v>
      </c>
      <c r="F272" s="67" t="s">
        <v>437</v>
      </c>
      <c r="G272" s="67"/>
      <c r="H272" s="67" t="s">
        <v>438</v>
      </c>
      <c r="I272" s="67" t="s">
        <v>676</v>
      </c>
      <c r="J272" s="67" t="s">
        <v>677</v>
      </c>
      <c r="K272" s="67" t="s">
        <v>678</v>
      </c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 vm="626">
        <f>CUBEVALUE(ConnectionString,ReportMonth,Table1[[#This Row],[Site ID (from DATIM)]],"TX_NEW_2VIS")</f>
        <v>4</v>
      </c>
      <c r="AE272" s="67" t="str" vm="1993">
        <f>CUBEVALUE(ConnectionString,ReportMonth,Table1[[#This Row],[Site ID (from DATIM)]],INDEX(SDI_Measures,1))</f>
        <v/>
      </c>
      <c r="AF272" s="67" t="str" vm="1302">
        <f>CUBEVALUE(ConnectionString,ReportMonth,Table1[[#This Row],[Site ID (from DATIM)]],INDEX(SDI_Measures,2))</f>
        <v/>
      </c>
      <c r="AG272" s="67" t="str" vm="3514">
        <f>CUBEVALUE(ConnectionString,ReportMonth,Table1[[#This Row],[Site ID (from DATIM)]],INDEX(SDI_Measures,3))</f>
        <v/>
      </c>
      <c r="AH272" s="67" vm="3145">
        <f>CUBEVALUE(ConnectionString,ReportMonth,Table1[[#This Row],[Site ID (from DATIM)]],"TX_CURR_PRIOR_MONTH")</f>
        <v>29</v>
      </c>
      <c r="AI272" s="67" vm="4267">
        <f>CUBEVALUE(ConnectionString,ReportMonth,Table1[[#This Row],[Site ID (from DATIM)]],"TX_CURR")</f>
        <v>23</v>
      </c>
      <c r="AJ272" s="67" t="str" vm="7313">
        <f>CUBEVALUE(ConnectionString,ReportMonth,Table1[[#This Row],[Site ID (from DATIM)]],"[Measures].[TI]")</f>
        <v/>
      </c>
      <c r="AK272" s="67" t="str" vm="2108">
        <f>CUBEVALUE(ConnectionString,ReportMonth,Table1[[#This Row],[Site ID (from DATIM)]],"[Measures].[TO]")</f>
        <v/>
      </c>
      <c r="AL272" s="67" t="str" vm="3029">
        <f>CUBEVALUE(ConnectionString,ReportMonth,Table1[[#This Row],[Site ID (from DATIM)]],"[Measures].[DIED]")</f>
        <v/>
      </c>
      <c r="AM272" s="67" vm="6061">
        <f>CUBEVALUE(ConnectionString,ReportMonth,Table1[[#This Row],[Site ID (from DATIM)]],"[Measures].[MMS_01_31]")</f>
        <v>11</v>
      </c>
      <c r="AN272" s="67" vm="5247">
        <f>CUBEVALUE(ConnectionString,ReportMonth,Table1[[#This Row],[Site ID (from DATIM)]],"[Measures].[MMS_32_62]")</f>
        <v>2</v>
      </c>
      <c r="AO272" s="67" vm="5752">
        <f>CUBEVALUE(ConnectionString,ReportMonth,Table1[[#This Row],[Site ID (from DATIM)]],"[Measures].[MMS_63+]")</f>
        <v>10</v>
      </c>
      <c r="AP272" s="67" t="str" vm="7962">
        <f>CUBEVALUE(ConnectionString,ReportMonth,Table1[[#This Row],[Site ID (from DATIM)]],"[Measures].[TBPREV_D]")</f>
        <v/>
      </c>
      <c r="AQ272" s="67" t="str" vm="4667">
        <f>CUBEVALUE(ConnectionString,ReportMonth,Table1[[#This Row],[Site ID (from DATIM)]],"[Measures].[TBPREV_N]")</f>
        <v/>
      </c>
      <c r="AR272" s="67" t="str" vm="5185">
        <f>CUBEVALUE(ConnectionString,ReportMonth,Table1[[#This Row],[Site ID (from DATIM)]],"[Measures].[TBPREV_NEW]")</f>
        <v/>
      </c>
      <c r="AS272" s="67" vm="5901">
        <f>CUBEVALUE(ConnectionString,ReportMonth,Table1[[#This Row],[Site ID (from DATIM)]],"[Measures].[HVL_ELIG_P]")</f>
        <v>1</v>
      </c>
      <c r="AT272" s="67" t="str" vm="5223">
        <f>CUBEVALUE(ConnectionString,ReportMonth,Table1[[#This Row],[Site ID (from DATIM)]],"[Measures].[HVL_D_P]")</f>
        <v/>
      </c>
      <c r="AU272" s="67" t="str" vm="17417">
        <f>CUBEVALUE(ConnectionString,ReportMonth,Table1[[#This Row],[Site ID (from DATIM)]],"[Measures].[HVL_N_P]")</f>
        <v/>
      </c>
      <c r="AV272" s="68" vm="12183">
        <f>CUBEVALUE(ConnectionString,ReportMonth,Table1[[#This Row],[Site ID (from DATIM)]],"[Measures].[HVL_ELIG_A]")</f>
        <v>16</v>
      </c>
      <c r="AW272" s="68" vm="9878">
        <f>CUBEVALUE(ConnectionString,ReportMonth,Table1[[#This Row],[Site ID (from DATIM)]],"[Measures].[HVL_D_A]")</f>
        <v>4</v>
      </c>
      <c r="AX272" s="68" vm="12689">
        <f>CUBEVALUE(ConnectionString,ReportMonth,Table1[[#This Row],[Site ID (from DATIM)]],"[Measures].[HVL_N_A]")</f>
        <v>4</v>
      </c>
      <c r="AY272" s="67"/>
      <c r="AZ272" s="67"/>
      <c r="BA272" s="67"/>
      <c r="BB272" s="67"/>
      <c r="BC272" s="67"/>
      <c r="BD272" s="67"/>
      <c r="BE272" s="67"/>
      <c r="BF272" s="67"/>
      <c r="BG272" s="67" t="str" vm="14249">
        <f>CUBEVALUE(ConnectionString,ReportMonth,Table1[[#This Row],[Site ID (from DATIM)]],"[Measures].[TX_NEW_F_A]")</f>
        <v/>
      </c>
      <c r="BH272" s="67" t="str" vm="13634">
        <f>CUBEVALUE(ConnectionString,ReportMonth,Table1[[#This Row],[Site ID (from DATIM)]],"[Measures].[TX_NEW_M_A]")</f>
        <v/>
      </c>
      <c r="BI272" s="67" t="str" vm="12290">
        <f>CUBEVALUE(ConnectionString,ReportMonth,Table1[[#This Row],[Site ID (from DATIM)]],"[Measures].[TX_NEW_F_P]")</f>
        <v/>
      </c>
      <c r="BJ272" s="68" t="str" vm="14814">
        <f>CUBEVALUE(ConnectionString,ReportMonth,Table1[[#This Row],[Site ID (from DATIM)]],"[Measures].[TX_NEW_M_P]")</f>
        <v/>
      </c>
      <c r="BK272" s="68"/>
      <c r="BL272" s="68"/>
      <c r="BM272" s="68"/>
      <c r="BN272" s="68"/>
      <c r="BO272" s="68"/>
      <c r="BP272" s="68"/>
      <c r="BQ272" s="68" vm="10510">
        <f>CUBEVALUE(ConnectionString,ReportMonth,Table1[[#This Row],[Site ID (from DATIM)]],"[Measures].[TX_CURR_F_P]")</f>
        <v>1</v>
      </c>
      <c r="BR272" s="68" t="str" vm="9360">
        <f>CUBEVALUE(ConnectionString,ReportMonth,Table1[[#This Row],[Site ID (from DATIM)]],"[Measures].[TX_CURR_M_P]")</f>
        <v/>
      </c>
      <c r="BS272" s="68" vm="12314">
        <f>CUBEVALUE(ConnectionString,ReportMonth,Table1[[#This Row],[Site ID (from DATIM)]],"[Measures].[TX_CURR_F_A]")</f>
        <v>15</v>
      </c>
      <c r="BT272" s="68" vm="16620">
        <f>CUBEVALUE(ConnectionString,ReportMonth,Table1[[#This Row],[Site ID (from DATIM)]],"[Measures].[TX_CURR_M_A]")</f>
        <v>7</v>
      </c>
      <c r="BU272" s="68" t="str" vm="18658">
        <f>CUBEVALUE(ConnectionString,ReportMonth,Table1[[#This Row],[Site ID (from DATIM)]],"[Measures].[MMS_01_89_F_P]")</f>
        <v/>
      </c>
      <c r="BV272" s="68" t="str" vm="20100">
        <f>CUBEVALUE(ConnectionString,ReportMonth,Table1[[#This Row],[Site ID (from DATIM)]],"[Measures].[MMS_01_89_M_P]")</f>
        <v/>
      </c>
      <c r="BW272" s="68" vm="18823">
        <f>CUBEVALUE(ConnectionString,ReportMonth,Table1[[#This Row],[Site ID (from DATIM)]],"[Measures].[MMS_01_89_F_A]")</f>
        <v>7</v>
      </c>
      <c r="BX272" s="68" vm="19299">
        <f>CUBEVALUE(ConnectionString,ReportMonth,Table1[[#This Row],[Site ID (from DATIM)]],"[Measures].[MMS_01_89_M_A]")</f>
        <v>6</v>
      </c>
      <c r="BY272" s="68" vm="17860">
        <f>CUBEVALUE(ConnectionString,ReportMonth,Table1[[#This Row],[Site ID (from DATIM)]],"[Measures].[MMS_90_179_F_P]")</f>
        <v>1</v>
      </c>
      <c r="BZ272" s="68" t="str" vm="18150">
        <f>CUBEVALUE(ConnectionString,ReportMonth,Table1[[#This Row],[Site ID (from DATIM)]],"[Measures].[MMS_90_179_M_P]")</f>
        <v/>
      </c>
      <c r="CA272" s="68" vm="14630">
        <f>CUBEVALUE(ConnectionString,ReportMonth,Table1[[#This Row],[Site ID (from DATIM)]],"[Measures].[MMS_90_179_F_A]")</f>
        <v>8</v>
      </c>
      <c r="CB272" s="68" vm="16386">
        <f>CUBEVALUE(ConnectionString,ReportMonth,Table1[[#This Row],[Site ID (from DATIM)]],"[Measures].[MMS_90_179_M_A]")</f>
        <v>1</v>
      </c>
      <c r="CC272" s="68" t="str" vm="15170">
        <f>CUBEVALUE(ConnectionString,ReportMonth,Table1[[#This Row],[Site ID (from DATIM)]],"[Measures].[MMS_180+_F_P]")</f>
        <v/>
      </c>
      <c r="CD272" s="68" t="str" vm="16326">
        <f>CUBEVALUE(ConnectionString,ReportMonth,Table1[[#This Row],[Site ID (from DATIM)]],"[Measures].[MMS_180+_M_P]")</f>
        <v/>
      </c>
      <c r="CE272" s="68" t="str" vm="111">
        <f>CUBEVALUE(ConnectionString,ReportMonth,Table1[[#This Row],[Site ID (from DATIM)]],"[Measures].[MMS_180+_F_A]")</f>
        <v/>
      </c>
      <c r="CF272" s="68" t="str" vm="25">
        <f>CUBEVALUE(ConnectionString,ReportMonth,Table1[[#This Row],[Site ID (from DATIM)]],"[Measures].[MMS_180+_M_A]")</f>
        <v/>
      </c>
      <c r="CG272" s="68" vm="4589">
        <f>CUBEVALUE(ConnectionString,ReportMonth,Table1[[#This Row],[Site ID (from DATIM)]],"[Measures].[MISSEDAPP]")</f>
        <v>2</v>
      </c>
      <c r="CH272" s="68" t="str" vm="12745">
        <f>CUBEVALUE(ConnectionString,ReportMonth,Table1[[#This Row],[Site ID (from DATIM)]],"[Measures].[MMS_180+_P]")</f>
        <v/>
      </c>
      <c r="CI272" s="68" t="str" vm="10713">
        <f>CUBEVALUE(ConnectionString,ReportMonth,Table1[[#This Row],[Site ID (from DATIM)]],"[Measures].[MMS_180+_A]")</f>
        <v/>
      </c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  <c r="CW272" s="68"/>
      <c r="CX272" s="68"/>
      <c r="CY272" s="68"/>
      <c r="CZ272" s="68"/>
      <c r="DA272" s="68"/>
      <c r="DB272" s="68"/>
      <c r="DC272" s="68"/>
    </row>
    <row r="273" spans="1:107" x14ac:dyDescent="0.25">
      <c r="A273" s="66">
        <v>4</v>
      </c>
      <c r="B273" s="67" t="str" vm="4">
        <f t="shared" si="5"/>
        <v>Mar-2021</v>
      </c>
      <c r="C273" s="67"/>
      <c r="D273" s="67" t="s">
        <v>232</v>
      </c>
      <c r="E273" s="67" t="s">
        <v>233</v>
      </c>
      <c r="F273" s="67" t="s">
        <v>437</v>
      </c>
      <c r="G273" s="67"/>
      <c r="H273" s="67" t="s">
        <v>513</v>
      </c>
      <c r="I273" s="67" t="s">
        <v>679</v>
      </c>
      <c r="J273" s="67" t="s">
        <v>680</v>
      </c>
      <c r="K273" s="67" t="s">
        <v>681</v>
      </c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 t="str" vm="2661">
        <f>CUBEVALUE(ConnectionString,ReportMonth,Table1[[#This Row],[Site ID (from DATIM)]],"TX_NEW_2VIS")</f>
        <v/>
      </c>
      <c r="AE273" s="67" t="str" vm="4147">
        <f>CUBEVALUE(ConnectionString,ReportMonth,Table1[[#This Row],[Site ID (from DATIM)]],INDEX(SDI_Measures,1))</f>
        <v/>
      </c>
      <c r="AF273" s="67" t="str" vm="3396">
        <f>CUBEVALUE(ConnectionString,ReportMonth,Table1[[#This Row],[Site ID (from DATIM)]],INDEX(SDI_Measures,2))</f>
        <v/>
      </c>
      <c r="AG273" s="67" t="str" vm="2276">
        <f>CUBEVALUE(ConnectionString,ReportMonth,Table1[[#This Row],[Site ID (from DATIM)]],INDEX(SDI_Measures,3))</f>
        <v/>
      </c>
      <c r="AH273" s="67" vm="1804">
        <f>CUBEVALUE(ConnectionString,ReportMonth,Table1[[#This Row],[Site ID (from DATIM)]],"TX_CURR_PRIOR_MONTH")</f>
        <v>66</v>
      </c>
      <c r="AI273" s="67" vm="3707">
        <f>CUBEVALUE(ConnectionString,ReportMonth,Table1[[#This Row],[Site ID (from DATIM)]],"TX_CURR")</f>
        <v>66</v>
      </c>
      <c r="AJ273" s="67" t="str" vm="4244">
        <f>CUBEVALUE(ConnectionString,ReportMonth,Table1[[#This Row],[Site ID (from DATIM)]],"[Measures].[TI]")</f>
        <v/>
      </c>
      <c r="AK273" s="67" t="str" vm="3444">
        <f>CUBEVALUE(ConnectionString,ReportMonth,Table1[[#This Row],[Site ID (from DATIM)]],"[Measures].[TO]")</f>
        <v/>
      </c>
      <c r="AL273" s="67" t="str" vm="3173">
        <f>CUBEVALUE(ConnectionString,ReportMonth,Table1[[#This Row],[Site ID (from DATIM)]],"[Measures].[DIED]")</f>
        <v/>
      </c>
      <c r="AM273" s="67" vm="3510">
        <f>CUBEVALUE(ConnectionString,ReportMonth,Table1[[#This Row],[Site ID (from DATIM)]],"[Measures].[MMS_01_31]")</f>
        <v>38</v>
      </c>
      <c r="AN273" s="67" t="str" vm="10936">
        <f>CUBEVALUE(ConnectionString,ReportMonth,Table1[[#This Row],[Site ID (from DATIM)]],"[Measures].[MMS_32_62]")</f>
        <v/>
      </c>
      <c r="AO273" s="67" vm="6319">
        <f>CUBEVALUE(ConnectionString,ReportMonth,Table1[[#This Row],[Site ID (from DATIM)]],"[Measures].[MMS_63+]")</f>
        <v>28</v>
      </c>
      <c r="AP273" s="67" t="str" vm="4823">
        <f>CUBEVALUE(ConnectionString,ReportMonth,Table1[[#This Row],[Site ID (from DATIM)]],"[Measures].[TBPREV_D]")</f>
        <v/>
      </c>
      <c r="AQ273" s="67" t="str" vm="5423">
        <f>CUBEVALUE(ConnectionString,ReportMonth,Table1[[#This Row],[Site ID (from DATIM)]],"[Measures].[TBPREV_N]")</f>
        <v/>
      </c>
      <c r="AR273" s="67" t="str" vm="8884">
        <f>CUBEVALUE(ConnectionString,ReportMonth,Table1[[#This Row],[Site ID (from DATIM)]],"[Measures].[TBPREV_NEW]")</f>
        <v/>
      </c>
      <c r="AS273" s="67" vm="6148">
        <f>CUBEVALUE(ConnectionString,ReportMonth,Table1[[#This Row],[Site ID (from DATIM)]],"[Measures].[HVL_ELIG_P]")</f>
        <v>4</v>
      </c>
      <c r="AT273" s="67" vm="6442">
        <f>CUBEVALUE(ConnectionString,ReportMonth,Table1[[#This Row],[Site ID (from DATIM)]],"[Measures].[HVL_D_P]")</f>
        <v>3</v>
      </c>
      <c r="AU273" s="67" vm="9626">
        <f>CUBEVALUE(ConnectionString,ReportMonth,Table1[[#This Row],[Site ID (from DATIM)]],"[Measures].[HVL_N_P]")</f>
        <v>2</v>
      </c>
      <c r="AV273" s="68" vm="10930">
        <f>CUBEVALUE(ConnectionString,ReportMonth,Table1[[#This Row],[Site ID (from DATIM)]],"[Measures].[HVL_ELIG_A]")</f>
        <v>48</v>
      </c>
      <c r="AW273" s="68" vm="11558">
        <f>CUBEVALUE(ConnectionString,ReportMonth,Table1[[#This Row],[Site ID (from DATIM)]],"[Measures].[HVL_D_A]")</f>
        <v>37</v>
      </c>
      <c r="AX273" s="68" vm="9130">
        <f>CUBEVALUE(ConnectionString,ReportMonth,Table1[[#This Row],[Site ID (from DATIM)]],"[Measures].[HVL_N_A]")</f>
        <v>31</v>
      </c>
      <c r="AY273" s="67"/>
      <c r="AZ273" s="67"/>
      <c r="BA273" s="67"/>
      <c r="BB273" s="67"/>
      <c r="BC273" s="67"/>
      <c r="BD273" s="67"/>
      <c r="BE273" s="67"/>
      <c r="BF273" s="67"/>
      <c r="BG273" s="67" t="str" vm="13890">
        <f>CUBEVALUE(ConnectionString,ReportMonth,Table1[[#This Row],[Site ID (from DATIM)]],"[Measures].[TX_NEW_F_A]")</f>
        <v/>
      </c>
      <c r="BH273" s="67" t="str" vm="14190">
        <f>CUBEVALUE(ConnectionString,ReportMonth,Table1[[#This Row],[Site ID (from DATIM)]],"[Measures].[TX_NEW_M_A]")</f>
        <v/>
      </c>
      <c r="BI273" s="67" t="str" vm="12289">
        <f>CUBEVALUE(ConnectionString,ReportMonth,Table1[[#This Row],[Site ID (from DATIM)]],"[Measures].[TX_NEW_F_P]")</f>
        <v/>
      </c>
      <c r="BJ273" s="68" t="str" vm="12333">
        <f>CUBEVALUE(ConnectionString,ReportMonth,Table1[[#This Row],[Site ID (from DATIM)]],"[Measures].[TX_NEW_M_P]")</f>
        <v/>
      </c>
      <c r="BK273" s="68"/>
      <c r="BL273" s="68"/>
      <c r="BM273" s="68"/>
      <c r="BN273" s="68"/>
      <c r="BO273" s="68"/>
      <c r="BP273" s="68"/>
      <c r="BQ273" s="68" vm="11381">
        <f>CUBEVALUE(ConnectionString,ReportMonth,Table1[[#This Row],[Site ID (from DATIM)]],"[Measures].[TX_CURR_F_P]")</f>
        <v>3</v>
      </c>
      <c r="BR273" s="68" vm="10564">
        <f>CUBEVALUE(ConnectionString,ReportMonth,Table1[[#This Row],[Site ID (from DATIM)]],"[Measures].[TX_CURR_M_P]")</f>
        <v>1</v>
      </c>
      <c r="BS273" s="68" vm="9305">
        <f>CUBEVALUE(ConnectionString,ReportMonth,Table1[[#This Row],[Site ID (from DATIM)]],"[Measures].[TX_CURR_F_A]")</f>
        <v>41</v>
      </c>
      <c r="BT273" s="68" vm="8450">
        <f>CUBEVALUE(ConnectionString,ReportMonth,Table1[[#This Row],[Site ID (from DATIM)]],"[Measures].[TX_CURR_M_A]")</f>
        <v>21</v>
      </c>
      <c r="BU273" s="68" vm="18710">
        <f>CUBEVALUE(ConnectionString,ReportMonth,Table1[[#This Row],[Site ID (from DATIM)]],"[Measures].[MMS_01_89_F_P]")</f>
        <v>1</v>
      </c>
      <c r="BV273" s="68" t="str" vm="18367">
        <f>CUBEVALUE(ConnectionString,ReportMonth,Table1[[#This Row],[Site ID (from DATIM)]],"[Measures].[MMS_01_89_M_P]")</f>
        <v/>
      </c>
      <c r="BW273" s="68" vm="15236">
        <f>CUBEVALUE(ConnectionString,ReportMonth,Table1[[#This Row],[Site ID (from DATIM)]],"[Measures].[MMS_01_89_F_A]")</f>
        <v>26</v>
      </c>
      <c r="BX273" s="68" vm="16037">
        <f>CUBEVALUE(ConnectionString,ReportMonth,Table1[[#This Row],[Site ID (from DATIM)]],"[Measures].[MMS_01_89_M_A]")</f>
        <v>11</v>
      </c>
      <c r="BY273" s="68" vm="17992">
        <f>CUBEVALUE(ConnectionString,ReportMonth,Table1[[#This Row],[Site ID (from DATIM)]],"[Measures].[MMS_90_179_F_P]")</f>
        <v>2</v>
      </c>
      <c r="BZ273" s="68" vm="18482">
        <f>CUBEVALUE(ConnectionString,ReportMonth,Table1[[#This Row],[Site ID (from DATIM)]],"[Measures].[MMS_90_179_M_P]")</f>
        <v>1</v>
      </c>
      <c r="CA273" s="68" vm="17871">
        <f>CUBEVALUE(ConnectionString,ReportMonth,Table1[[#This Row],[Site ID (from DATIM)]],"[Measures].[MMS_90_179_F_A]")</f>
        <v>15</v>
      </c>
      <c r="CB273" s="68" vm="14628">
        <f>CUBEVALUE(ConnectionString,ReportMonth,Table1[[#This Row],[Site ID (from DATIM)]],"[Measures].[MMS_90_179_M_A]")</f>
        <v>10</v>
      </c>
      <c r="CC273" s="68" t="str" vm="15888">
        <f>CUBEVALUE(ConnectionString,ReportMonth,Table1[[#This Row],[Site ID (from DATIM)]],"[Measures].[MMS_180+_F_P]")</f>
        <v/>
      </c>
      <c r="CD273" s="68" t="str" vm="16659">
        <f>CUBEVALUE(ConnectionString,ReportMonth,Table1[[#This Row],[Site ID (from DATIM)]],"[Measures].[MMS_180+_M_P]")</f>
        <v/>
      </c>
      <c r="CE273" s="68" t="str" vm="16672">
        <f>CUBEVALUE(ConnectionString,ReportMonth,Table1[[#This Row],[Site ID (from DATIM)]],"[Measures].[MMS_180+_F_A]")</f>
        <v/>
      </c>
      <c r="CF273" s="68" t="str" vm="14953">
        <f>CUBEVALUE(ConnectionString,ReportMonth,Table1[[#This Row],[Site ID (from DATIM)]],"[Measures].[MMS_180+_M_A]")</f>
        <v/>
      </c>
      <c r="CG273" s="68" vm="6316">
        <f>CUBEVALUE(ConnectionString,ReportMonth,Table1[[#This Row],[Site ID (from DATIM)]],"[Measures].[MISSEDAPP]")</f>
        <v>55</v>
      </c>
      <c r="CH273" s="68" t="str" vm="11662">
        <f>CUBEVALUE(ConnectionString,ReportMonth,Table1[[#This Row],[Site ID (from DATIM)]],"[Measures].[MMS_180+_P]")</f>
        <v/>
      </c>
      <c r="CI273" s="68" t="str" vm="17451">
        <f>CUBEVALUE(ConnectionString,ReportMonth,Table1[[#This Row],[Site ID (from DATIM)]],"[Measures].[MMS_180+_A]")</f>
        <v/>
      </c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  <c r="CW273" s="68"/>
      <c r="CX273" s="68"/>
      <c r="CY273" s="68"/>
      <c r="CZ273" s="68"/>
      <c r="DA273" s="68"/>
      <c r="DB273" s="68"/>
      <c r="DC273" s="68"/>
    </row>
    <row r="274" spans="1:107" x14ac:dyDescent="0.25">
      <c r="A274" s="66">
        <v>4</v>
      </c>
      <c r="B274" s="67" t="str" vm="4">
        <f t="shared" si="5"/>
        <v>Mar-2021</v>
      </c>
      <c r="C274" s="67"/>
      <c r="D274" s="67" t="s">
        <v>232</v>
      </c>
      <c r="E274" s="67" t="s">
        <v>233</v>
      </c>
      <c r="F274" s="67" t="s">
        <v>1286</v>
      </c>
      <c r="G274" s="67"/>
      <c r="H274" s="67" t="s">
        <v>1323</v>
      </c>
      <c r="I274" s="67" t="s">
        <v>1403</v>
      </c>
      <c r="J274" s="67" t="s">
        <v>1433</v>
      </c>
      <c r="K274" s="67" t="s">
        <v>1434</v>
      </c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 t="str" vm="3668">
        <f>CUBEVALUE(ConnectionString,ReportMonth,Table1[[#This Row],[Site ID (from DATIM)]],"TX_NEW_2VIS")</f>
        <v/>
      </c>
      <c r="AE274" s="67" t="str" vm="1491">
        <f>CUBEVALUE(ConnectionString,ReportMonth,Table1[[#This Row],[Site ID (from DATIM)]],INDEX(SDI_Measures,1))</f>
        <v/>
      </c>
      <c r="AF274" s="67" t="str" vm="2904">
        <f>CUBEVALUE(ConnectionString,ReportMonth,Table1[[#This Row],[Site ID (from DATIM)]],INDEX(SDI_Measures,2))</f>
        <v/>
      </c>
      <c r="AG274" s="67" t="str" vm="1704">
        <f>CUBEVALUE(ConnectionString,ReportMonth,Table1[[#This Row],[Site ID (from DATIM)]],INDEX(SDI_Measures,3))</f>
        <v/>
      </c>
      <c r="AH274" s="67" t="str" vm="1581">
        <f>CUBEVALUE(ConnectionString,ReportMonth,Table1[[#This Row],[Site ID (from DATIM)]],"TX_CURR_PRIOR_MONTH")</f>
        <v/>
      </c>
      <c r="AI274" s="67" t="str" vm="3215">
        <f>CUBEVALUE(ConnectionString,ReportMonth,Table1[[#This Row],[Site ID (from DATIM)]],"TX_CURR")</f>
        <v/>
      </c>
      <c r="AJ274" s="67" t="str" vm="3763">
        <f>CUBEVALUE(ConnectionString,ReportMonth,Table1[[#This Row],[Site ID (from DATIM)]],"[Measures].[TI]")</f>
        <v/>
      </c>
      <c r="AK274" s="67" t="str" vm="3332">
        <f>CUBEVALUE(ConnectionString,ReportMonth,Table1[[#This Row],[Site ID (from DATIM)]],"[Measures].[TO]")</f>
        <v/>
      </c>
      <c r="AL274" s="67" t="str" vm="2975">
        <f>CUBEVALUE(ConnectionString,ReportMonth,Table1[[#This Row],[Site ID (from DATIM)]],"[Measures].[DIED]")</f>
        <v/>
      </c>
      <c r="AM274" s="67" t="str" vm="7813">
        <f>CUBEVALUE(ConnectionString,ReportMonth,Table1[[#This Row],[Site ID (from DATIM)]],"[Measures].[MMS_01_31]")</f>
        <v/>
      </c>
      <c r="AN274" s="67" t="str" vm="6635">
        <f>CUBEVALUE(ConnectionString,ReportMonth,Table1[[#This Row],[Site ID (from DATIM)]],"[Measures].[MMS_32_62]")</f>
        <v/>
      </c>
      <c r="AO274" s="67" t="str" vm="7132">
        <f>CUBEVALUE(ConnectionString,ReportMonth,Table1[[#This Row],[Site ID (from DATIM)]],"[Measures].[MMS_63+]")</f>
        <v/>
      </c>
      <c r="AP274" s="67" t="str" vm="6633">
        <f>CUBEVALUE(ConnectionString,ReportMonth,Table1[[#This Row],[Site ID (from DATIM)]],"[Measures].[TBPREV_D]")</f>
        <v/>
      </c>
      <c r="AQ274" s="67" t="str" vm="5533">
        <f>CUBEVALUE(ConnectionString,ReportMonth,Table1[[#This Row],[Site ID (from DATIM)]],"[Measures].[TBPREV_N]")</f>
        <v/>
      </c>
      <c r="AR274" s="67" t="str" vm="4958">
        <f>CUBEVALUE(ConnectionString,ReportMonth,Table1[[#This Row],[Site ID (from DATIM)]],"[Measures].[TBPREV_NEW]")</f>
        <v/>
      </c>
      <c r="AS274" s="67" t="str" vm="7455">
        <f>CUBEVALUE(ConnectionString,ReportMonth,Table1[[#This Row],[Site ID (from DATIM)]],"[Measures].[HVL_ELIG_P]")</f>
        <v/>
      </c>
      <c r="AT274" s="67" t="str" vm="12510">
        <f>CUBEVALUE(ConnectionString,ReportMonth,Table1[[#This Row],[Site ID (from DATIM)]],"[Measures].[HVL_D_P]")</f>
        <v/>
      </c>
      <c r="AU274" s="67" t="str" vm="8301">
        <f>CUBEVALUE(ConnectionString,ReportMonth,Table1[[#This Row],[Site ID (from DATIM)]],"[Measures].[HVL_N_P]")</f>
        <v/>
      </c>
      <c r="AV274" s="68" t="str" vm="7020">
        <f>CUBEVALUE(ConnectionString,ReportMonth,Table1[[#This Row],[Site ID (from DATIM)]],"[Measures].[HVL_ELIG_A]")</f>
        <v/>
      </c>
      <c r="AW274" s="68" t="str" vm="9673">
        <f>CUBEVALUE(ConnectionString,ReportMonth,Table1[[#This Row],[Site ID (from DATIM)]],"[Measures].[HVL_D_A]")</f>
        <v/>
      </c>
      <c r="AX274" s="68" t="str" vm="9075">
        <f>CUBEVALUE(ConnectionString,ReportMonth,Table1[[#This Row],[Site ID (from DATIM)]],"[Measures].[HVL_N_A]")</f>
        <v/>
      </c>
      <c r="AY274" s="67"/>
      <c r="AZ274" s="67"/>
      <c r="BA274" s="67"/>
      <c r="BB274" s="67"/>
      <c r="BC274" s="67"/>
      <c r="BD274" s="67"/>
      <c r="BE274" s="67"/>
      <c r="BF274" s="67"/>
      <c r="BG274" s="67" t="str" vm="12318">
        <f>CUBEVALUE(ConnectionString,ReportMonth,Table1[[#This Row],[Site ID (from DATIM)]],"[Measures].[TX_NEW_F_A]")</f>
        <v/>
      </c>
      <c r="BH274" s="67" t="str" vm="12616">
        <f>CUBEVALUE(ConnectionString,ReportMonth,Table1[[#This Row],[Site ID (from DATIM)]],"[Measures].[TX_NEW_M_A]")</f>
        <v/>
      </c>
      <c r="BI274" s="67" t="str" vm="16574">
        <f>CUBEVALUE(ConnectionString,ReportMonth,Table1[[#This Row],[Site ID (from DATIM)]],"[Measures].[TX_NEW_F_P]")</f>
        <v/>
      </c>
      <c r="BJ274" s="68" t="str" vm="16129">
        <f>CUBEVALUE(ConnectionString,ReportMonth,Table1[[#This Row],[Site ID (from DATIM)]],"[Measures].[TX_NEW_M_P]")</f>
        <v/>
      </c>
      <c r="BK274" s="68"/>
      <c r="BL274" s="68"/>
      <c r="BM274" s="68"/>
      <c r="BN274" s="68"/>
      <c r="BO274" s="68"/>
      <c r="BP274" s="68"/>
      <c r="BQ274" s="68" t="str" vm="8694">
        <f>CUBEVALUE(ConnectionString,ReportMonth,Table1[[#This Row],[Site ID (from DATIM)]],"[Measures].[TX_CURR_F_P]")</f>
        <v/>
      </c>
      <c r="BR274" s="68" t="str" vm="11789">
        <f>CUBEVALUE(ConnectionString,ReportMonth,Table1[[#This Row],[Site ID (from DATIM)]],"[Measures].[TX_CURR_M_P]")</f>
        <v/>
      </c>
      <c r="BS274" s="68" t="str" vm="7932">
        <f>CUBEVALUE(ConnectionString,ReportMonth,Table1[[#This Row],[Site ID (from DATIM)]],"[Measures].[TX_CURR_F_A]")</f>
        <v/>
      </c>
      <c r="BT274" s="68" t="str" vm="7501">
        <f>CUBEVALUE(ConnectionString,ReportMonth,Table1[[#This Row],[Site ID (from DATIM)]],"[Measures].[TX_CURR_M_A]")</f>
        <v/>
      </c>
      <c r="BU274" s="68" t="str" vm="19001">
        <f>CUBEVALUE(ConnectionString,ReportMonth,Table1[[#This Row],[Site ID (from DATIM)]],"[Measures].[MMS_01_89_F_P]")</f>
        <v/>
      </c>
      <c r="BV274" s="68" t="str" vm="20004">
        <f>CUBEVALUE(ConnectionString,ReportMonth,Table1[[#This Row],[Site ID (from DATIM)]],"[Measures].[MMS_01_89_M_P]")</f>
        <v/>
      </c>
      <c r="BW274" s="68" t="str" vm="19712">
        <f>CUBEVALUE(ConnectionString,ReportMonth,Table1[[#This Row],[Site ID (from DATIM)]],"[Measures].[MMS_01_89_F_A]")</f>
        <v/>
      </c>
      <c r="BX274" s="68" t="str" vm="19928">
        <f>CUBEVALUE(ConnectionString,ReportMonth,Table1[[#This Row],[Site ID (from DATIM)]],"[Measures].[MMS_01_89_M_A]")</f>
        <v/>
      </c>
      <c r="BY274" s="68" t="str" vm="17275">
        <f>CUBEVALUE(ConnectionString,ReportMonth,Table1[[#This Row],[Site ID (from DATIM)]],"[Measures].[MMS_90_179_F_P]")</f>
        <v/>
      </c>
      <c r="BZ274" s="68" t="str" vm="19316">
        <f>CUBEVALUE(ConnectionString,ReportMonth,Table1[[#This Row],[Site ID (from DATIM)]],"[Measures].[MMS_90_179_M_P]")</f>
        <v/>
      </c>
      <c r="CA274" s="68" t="str" vm="16071">
        <f>CUBEVALUE(ConnectionString,ReportMonth,Table1[[#This Row],[Site ID (from DATIM)]],"[Measures].[MMS_90_179_F_A]")</f>
        <v/>
      </c>
      <c r="CB274" s="68" t="str" vm="19288">
        <f>CUBEVALUE(ConnectionString,ReportMonth,Table1[[#This Row],[Site ID (from DATIM)]],"[Measures].[MMS_90_179_M_A]")</f>
        <v/>
      </c>
      <c r="CC274" s="68" t="str" vm="15887">
        <f>CUBEVALUE(ConnectionString,ReportMonth,Table1[[#This Row],[Site ID (from DATIM)]],"[Measures].[MMS_180+_F_P]")</f>
        <v/>
      </c>
      <c r="CD274" s="68" t="str" vm="15719">
        <f>CUBEVALUE(ConnectionString,ReportMonth,Table1[[#This Row],[Site ID (from DATIM)]],"[Measures].[MMS_180+_M_P]")</f>
        <v/>
      </c>
      <c r="CE274" s="68" t="str" vm="17501">
        <f>CUBEVALUE(ConnectionString,ReportMonth,Table1[[#This Row],[Site ID (from DATIM)]],"[Measures].[MMS_180+_F_A]")</f>
        <v/>
      </c>
      <c r="CF274" s="68" t="str" vm="156">
        <f>CUBEVALUE(ConnectionString,ReportMonth,Table1[[#This Row],[Site ID (from DATIM)]],"[Measures].[MMS_180+_M_A]")</f>
        <v/>
      </c>
      <c r="CG274" s="68" t="str" vm="11816">
        <f>CUBEVALUE(ConnectionString,ReportMonth,Table1[[#This Row],[Site ID (from DATIM)]],"[Measures].[MISSEDAPP]")</f>
        <v/>
      </c>
      <c r="CH274" s="68" t="str" vm="10159">
        <f>CUBEVALUE(ConnectionString,ReportMonth,Table1[[#This Row],[Site ID (from DATIM)]],"[Measures].[MMS_180+_P]")</f>
        <v/>
      </c>
      <c r="CI274" s="68" t="str" vm="14048">
        <f>CUBEVALUE(ConnectionString,ReportMonth,Table1[[#This Row],[Site ID (from DATIM)]],"[Measures].[MMS_180+_A]")</f>
        <v/>
      </c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  <c r="CW274" s="68"/>
      <c r="CX274" s="68"/>
      <c r="CY274" s="68"/>
      <c r="CZ274" s="68"/>
      <c r="DA274" s="68"/>
      <c r="DB274" s="68"/>
      <c r="DC274" s="68"/>
    </row>
    <row r="275" spans="1:107" x14ac:dyDescent="0.25">
      <c r="A275" s="66">
        <v>1</v>
      </c>
      <c r="B275" s="67" t="str" vm="4">
        <f t="shared" si="5"/>
        <v>Mar-2021</v>
      </c>
      <c r="C275" s="67"/>
      <c r="D275" s="67" t="s">
        <v>232</v>
      </c>
      <c r="E275" s="67" t="s">
        <v>233</v>
      </c>
      <c r="F275" s="67" t="s">
        <v>437</v>
      </c>
      <c r="G275" s="67"/>
      <c r="H275" s="67" t="s">
        <v>438</v>
      </c>
      <c r="I275" s="67" t="s">
        <v>682</v>
      </c>
      <c r="J275" s="67" t="s">
        <v>683</v>
      </c>
      <c r="K275" s="67" t="s">
        <v>684</v>
      </c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 vm="2301">
        <f>CUBEVALUE(ConnectionString,ReportMonth,Table1[[#This Row],[Site ID (from DATIM)]],"TX_NEW_2VIS")</f>
        <v>7</v>
      </c>
      <c r="AE275" s="67" vm="891">
        <f>CUBEVALUE(ConnectionString,ReportMonth,Table1[[#This Row],[Site ID (from DATIM)]],INDEX(SDI_Measures,1))</f>
        <v>6</v>
      </c>
      <c r="AF275" s="67" t="str" vm="2392">
        <f>CUBEVALUE(ConnectionString,ReportMonth,Table1[[#This Row],[Site ID (from DATIM)]],INDEX(SDI_Measures,2))</f>
        <v/>
      </c>
      <c r="AG275" s="67" vm="614">
        <f>CUBEVALUE(ConnectionString,ReportMonth,Table1[[#This Row],[Site ID (from DATIM)]],INDEX(SDI_Measures,3))</f>
        <v>1</v>
      </c>
      <c r="AH275" s="67" vm="448">
        <f>CUBEVALUE(ConnectionString,ReportMonth,Table1[[#This Row],[Site ID (from DATIM)]],"TX_CURR_PRIOR_MONTH")</f>
        <v>1437</v>
      </c>
      <c r="AI275" s="67" vm="20218">
        <f>CUBEVALUE(ConnectionString,ReportMonth,Table1[[#This Row],[Site ID (from DATIM)]],"TX_CURR")</f>
        <v>1430</v>
      </c>
      <c r="AJ275" s="67" vm="756">
        <f>CUBEVALUE(ConnectionString,ReportMonth,Table1[[#This Row],[Site ID (from DATIM)]],"[Measures].[TI]")</f>
        <v>6</v>
      </c>
      <c r="AK275" s="67" vm="337">
        <f>CUBEVALUE(ConnectionString,ReportMonth,Table1[[#This Row],[Site ID (from DATIM)]],"[Measures].[TO]")</f>
        <v>3</v>
      </c>
      <c r="AL275" s="67" t="str" vm="2770">
        <f>CUBEVALUE(ConnectionString,ReportMonth,Table1[[#This Row],[Site ID (from DATIM)]],"[Measures].[DIED]")</f>
        <v/>
      </c>
      <c r="AM275" s="67" vm="4480">
        <f>CUBEVALUE(ConnectionString,ReportMonth,Table1[[#This Row],[Site ID (from DATIM)]],"[Measures].[MMS_01_31]")</f>
        <v>199</v>
      </c>
      <c r="AN275" s="67" vm="7775">
        <f>CUBEVALUE(ConnectionString,ReportMonth,Table1[[#This Row],[Site ID (from DATIM)]],"[Measures].[MMS_32_62]")</f>
        <v>3</v>
      </c>
      <c r="AO275" s="67" vm="6145">
        <f>CUBEVALUE(ConnectionString,ReportMonth,Table1[[#This Row],[Site ID (from DATIM)]],"[Measures].[MMS_63+]")</f>
        <v>1228</v>
      </c>
      <c r="AP275" s="67" vm="9812">
        <f>CUBEVALUE(ConnectionString,ReportMonth,Table1[[#This Row],[Site ID (from DATIM)]],"[Measures].[TBPREV_D]")</f>
        <v>33</v>
      </c>
      <c r="AQ275" s="67" vm="7608">
        <f>CUBEVALUE(ConnectionString,ReportMonth,Table1[[#This Row],[Site ID (from DATIM)]],"[Measures].[TBPREV_N]")</f>
        <v>29</v>
      </c>
      <c r="AR275" s="67" vm="6426">
        <f>CUBEVALUE(ConnectionString,ReportMonth,Table1[[#This Row],[Site ID (from DATIM)]],"[Measures].[TBPREV_NEW]")</f>
        <v>5</v>
      </c>
      <c r="AS275" s="67" vm="7973">
        <f>CUBEVALUE(ConnectionString,ReportMonth,Table1[[#This Row],[Site ID (from DATIM)]],"[Measures].[HVL_ELIG_P]")</f>
        <v>26</v>
      </c>
      <c r="AT275" s="67" vm="5128">
        <f>CUBEVALUE(ConnectionString,ReportMonth,Table1[[#This Row],[Site ID (from DATIM)]],"[Measures].[HVL_D_P]")</f>
        <v>25</v>
      </c>
      <c r="AU275" s="67" vm="9992">
        <f>CUBEVALUE(ConnectionString,ReportMonth,Table1[[#This Row],[Site ID (from DATIM)]],"[Measures].[HVL_N_P]")</f>
        <v>25</v>
      </c>
      <c r="AV275" s="68" vm="8678">
        <f>CUBEVALUE(ConnectionString,ReportMonth,Table1[[#This Row],[Site ID (from DATIM)]],"[Measures].[HVL_ELIG_A]")</f>
        <v>1302</v>
      </c>
      <c r="AW275" s="68" vm="12042">
        <f>CUBEVALUE(ConnectionString,ReportMonth,Table1[[#This Row],[Site ID (from DATIM)]],"[Measures].[HVL_D_A]")</f>
        <v>1148</v>
      </c>
      <c r="AX275" s="68" vm="6809">
        <f>CUBEVALUE(ConnectionString,ReportMonth,Table1[[#This Row],[Site ID (from DATIM)]],"[Measures].[HVL_N_A]")</f>
        <v>1122</v>
      </c>
      <c r="AY275" s="67"/>
      <c r="AZ275" s="67"/>
      <c r="BA275" s="67"/>
      <c r="BB275" s="67"/>
      <c r="BC275" s="67"/>
      <c r="BD275" s="67"/>
      <c r="BE275" s="67"/>
      <c r="BF275" s="67"/>
      <c r="BG275" s="67" vm="10127">
        <f>CUBEVALUE(ConnectionString,ReportMonth,Table1[[#This Row],[Site ID (from DATIM)]],"[Measures].[TX_NEW_F_A]")</f>
        <v>3</v>
      </c>
      <c r="BH275" s="67" vm="12706">
        <f>CUBEVALUE(ConnectionString,ReportMonth,Table1[[#This Row],[Site ID (from DATIM)]],"[Measures].[TX_NEW_M_A]")</f>
        <v>4</v>
      </c>
      <c r="BI275" s="67" t="str" vm="12179">
        <f>CUBEVALUE(ConnectionString,ReportMonth,Table1[[#This Row],[Site ID (from DATIM)]],"[Measures].[TX_NEW_F_P]")</f>
        <v/>
      </c>
      <c r="BJ275" s="68" t="str" vm="17074">
        <f>CUBEVALUE(ConnectionString,ReportMonth,Table1[[#This Row],[Site ID (from DATIM)]],"[Measures].[TX_NEW_M_P]")</f>
        <v/>
      </c>
      <c r="BK275" s="68"/>
      <c r="BL275" s="68"/>
      <c r="BM275" s="68"/>
      <c r="BN275" s="68"/>
      <c r="BO275" s="68"/>
      <c r="BP275" s="68"/>
      <c r="BQ275" s="68" vm="7960">
        <f>CUBEVALUE(ConnectionString,ReportMonth,Table1[[#This Row],[Site ID (from DATIM)]],"[Measures].[TX_CURR_F_P]")</f>
        <v>15</v>
      </c>
      <c r="BR275" s="68" vm="13778">
        <f>CUBEVALUE(ConnectionString,ReportMonth,Table1[[#This Row],[Site ID (from DATIM)]],"[Measures].[TX_CURR_M_P]")</f>
        <v>13</v>
      </c>
      <c r="BS275" s="68" vm="11435">
        <f>CUBEVALUE(ConnectionString,ReportMonth,Table1[[#This Row],[Site ID (from DATIM)]],"[Measures].[TX_CURR_F_A]")</f>
        <v>930</v>
      </c>
      <c r="BT275" s="68" vm="7282">
        <f>CUBEVALUE(ConnectionString,ReportMonth,Table1[[#This Row],[Site ID (from DATIM)]],"[Measures].[TX_CURR_M_A]")</f>
        <v>472</v>
      </c>
      <c r="BU275" s="68" vm="18388">
        <f>CUBEVALUE(ConnectionString,ReportMonth,Table1[[#This Row],[Site ID (from DATIM)]],"[Measures].[MMS_01_89_F_P]")</f>
        <v>5</v>
      </c>
      <c r="BV275" s="68" vm="18923">
        <f>CUBEVALUE(ConnectionString,ReportMonth,Table1[[#This Row],[Site ID (from DATIM)]],"[Measures].[MMS_01_89_M_P]")</f>
        <v>1</v>
      </c>
      <c r="BW275" s="68" vm="19711">
        <f>CUBEVALUE(ConnectionString,ReportMonth,Table1[[#This Row],[Site ID (from DATIM)]],"[Measures].[MMS_01_89_F_A]")</f>
        <v>150</v>
      </c>
      <c r="BX275" s="68" vm="19640">
        <f>CUBEVALUE(ConnectionString,ReportMonth,Table1[[#This Row],[Site ID (from DATIM)]],"[Measures].[MMS_01_89_M_A]")</f>
        <v>100</v>
      </c>
      <c r="BY275" s="68" vm="19370">
        <f>CUBEVALUE(ConnectionString,ReportMonth,Table1[[#This Row],[Site ID (from DATIM)]],"[Measures].[MMS_90_179_F_P]")</f>
        <v>10</v>
      </c>
      <c r="BZ275" s="68" vm="16956">
        <f>CUBEVALUE(ConnectionString,ReportMonth,Table1[[#This Row],[Site ID (from DATIM)]],"[Measures].[MMS_90_179_M_P]")</f>
        <v>12</v>
      </c>
      <c r="CA275" s="68" vm="17723">
        <f>CUBEVALUE(ConnectionString,ReportMonth,Table1[[#This Row],[Site ID (from DATIM)]],"[Measures].[MMS_90_179_F_A]")</f>
        <v>780</v>
      </c>
      <c r="CB275" s="68" vm="17752">
        <f>CUBEVALUE(ConnectionString,ReportMonth,Table1[[#This Row],[Site ID (from DATIM)]],"[Measures].[MMS_90_179_M_A]")</f>
        <v>372</v>
      </c>
      <c r="CC275" s="68" t="str" vm="14533">
        <f>CUBEVALUE(ConnectionString,ReportMonth,Table1[[#This Row],[Site ID (from DATIM)]],"[Measures].[MMS_180+_F_P]")</f>
        <v/>
      </c>
      <c r="CD275" s="68" t="str" vm="118">
        <f>CUBEVALUE(ConnectionString,ReportMonth,Table1[[#This Row],[Site ID (from DATIM)]],"[Measures].[MMS_180+_M_P]")</f>
        <v/>
      </c>
      <c r="CE275" s="68" t="str" vm="15352">
        <f>CUBEVALUE(ConnectionString,ReportMonth,Table1[[#This Row],[Site ID (from DATIM)]],"[Measures].[MMS_180+_F_A]")</f>
        <v/>
      </c>
      <c r="CF275" s="68" t="str" vm="15411">
        <f>CUBEVALUE(ConnectionString,ReportMonth,Table1[[#This Row],[Site ID (from DATIM)]],"[Measures].[MMS_180+_M_A]")</f>
        <v/>
      </c>
      <c r="CG275" s="68" vm="5949">
        <f>CUBEVALUE(ConnectionString,ReportMonth,Table1[[#This Row],[Site ID (from DATIM)]],"[Measures].[MISSEDAPP]")</f>
        <v>254</v>
      </c>
      <c r="CH275" s="68" t="str" vm="12680">
        <f>CUBEVALUE(ConnectionString,ReportMonth,Table1[[#This Row],[Site ID (from DATIM)]],"[Measures].[MMS_180+_P]")</f>
        <v/>
      </c>
      <c r="CI275" s="68" t="str" vm="12975">
        <f>CUBEVALUE(ConnectionString,ReportMonth,Table1[[#This Row],[Site ID (from DATIM)]],"[Measures].[MMS_180+_A]")</f>
        <v/>
      </c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  <c r="CW275" s="68"/>
      <c r="CX275" s="68"/>
      <c r="CY275" s="68"/>
      <c r="CZ275" s="68"/>
      <c r="DA275" s="68"/>
      <c r="DB275" s="68"/>
      <c r="DC275" s="68"/>
    </row>
    <row r="276" spans="1:107" x14ac:dyDescent="0.25">
      <c r="A276" s="66">
        <v>2</v>
      </c>
      <c r="B276" s="67" t="str" vm="4">
        <f t="shared" si="5"/>
        <v>Mar-2021</v>
      </c>
      <c r="C276" s="67"/>
      <c r="D276" s="67" t="s">
        <v>232</v>
      </c>
      <c r="E276" s="67" t="s">
        <v>233</v>
      </c>
      <c r="F276" s="67" t="s">
        <v>1083</v>
      </c>
      <c r="G276" s="67"/>
      <c r="H276" s="67" t="s">
        <v>1113</v>
      </c>
      <c r="I276" s="67" t="s">
        <v>1229</v>
      </c>
      <c r="J276" s="67" t="s">
        <v>1230</v>
      </c>
      <c r="K276" s="67" t="s">
        <v>1231</v>
      </c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 vm="2328">
        <f>CUBEVALUE(ConnectionString,ReportMonth,Table1[[#This Row],[Site ID (from DATIM)]],"TX_NEW_2VIS")</f>
        <v>2</v>
      </c>
      <c r="AE276" s="67" vm="2900">
        <f>CUBEVALUE(ConnectionString,ReportMonth,Table1[[#This Row],[Site ID (from DATIM)]],INDEX(SDI_Measures,1))</f>
        <v>5</v>
      </c>
      <c r="AF276" s="67" t="str" vm="1711">
        <f>CUBEVALUE(ConnectionString,ReportMonth,Table1[[#This Row],[Site ID (from DATIM)]],INDEX(SDI_Measures,2))</f>
        <v/>
      </c>
      <c r="AG276" s="67" vm="3466">
        <f>CUBEVALUE(ConnectionString,ReportMonth,Table1[[#This Row],[Site ID (from DATIM)]],INDEX(SDI_Measures,3))</f>
        <v>2</v>
      </c>
      <c r="AH276" s="67" vm="1921">
        <f>CUBEVALUE(ConnectionString,ReportMonth,Table1[[#This Row],[Site ID (from DATIM)]],"TX_CURR_PRIOR_MONTH")</f>
        <v>913</v>
      </c>
      <c r="AI276" s="67" vm="4289">
        <f>CUBEVALUE(ConnectionString,ReportMonth,Table1[[#This Row],[Site ID (from DATIM)]],"TX_CURR")</f>
        <v>841</v>
      </c>
      <c r="AJ276" s="67" vm="3644">
        <f>CUBEVALUE(ConnectionString,ReportMonth,Table1[[#This Row],[Site ID (from DATIM)]],"[Measures].[TI]")</f>
        <v>1</v>
      </c>
      <c r="AK276" s="67" vm="2859">
        <f>CUBEVALUE(ConnectionString,ReportMonth,Table1[[#This Row],[Site ID (from DATIM)]],"[Measures].[TO]")</f>
        <v>2</v>
      </c>
      <c r="AL276" s="67" vm="692">
        <f>CUBEVALUE(ConnectionString,ReportMonth,Table1[[#This Row],[Site ID (from DATIM)]],"[Measures].[DIED]")</f>
        <v>1</v>
      </c>
      <c r="AM276" s="67" vm="7054">
        <f>CUBEVALUE(ConnectionString,ReportMonth,Table1[[#This Row],[Site ID (from DATIM)]],"[Measures].[MMS_01_31]")</f>
        <v>251</v>
      </c>
      <c r="AN276" s="67" vm="7322">
        <f>CUBEVALUE(ConnectionString,ReportMonth,Table1[[#This Row],[Site ID (from DATIM)]],"[Measures].[MMS_32_62]")</f>
        <v>7</v>
      </c>
      <c r="AO276" s="67" vm="6870">
        <f>CUBEVALUE(ConnectionString,ReportMonth,Table1[[#This Row],[Site ID (from DATIM)]],"[Measures].[MMS_63+]")</f>
        <v>583</v>
      </c>
      <c r="AP276" s="67" vm="4775">
        <f>CUBEVALUE(ConnectionString,ReportMonth,Table1[[#This Row],[Site ID (from DATIM)]],"[Measures].[TBPREV_D]")</f>
        <v>47</v>
      </c>
      <c r="AQ276" s="67" vm="8601">
        <f>CUBEVALUE(ConnectionString,ReportMonth,Table1[[#This Row],[Site ID (from DATIM)]],"[Measures].[TBPREV_N]")</f>
        <v>27</v>
      </c>
      <c r="AR276" s="67" vm="7362">
        <f>CUBEVALUE(ConnectionString,ReportMonth,Table1[[#This Row],[Site ID (from DATIM)]],"[Measures].[TBPREV_NEW]")</f>
        <v>1</v>
      </c>
      <c r="AS276" s="67" vm="6494">
        <f>CUBEVALUE(ConnectionString,ReportMonth,Table1[[#This Row],[Site ID (from DATIM)]],"[Measures].[HVL_ELIG_P]")</f>
        <v>35</v>
      </c>
      <c r="AT276" s="67" vm="7568">
        <f>CUBEVALUE(ConnectionString,ReportMonth,Table1[[#This Row],[Site ID (from DATIM)]],"[Measures].[HVL_D_P]")</f>
        <v>25</v>
      </c>
      <c r="AU276" s="67" vm="11099">
        <f>CUBEVALUE(ConnectionString,ReportMonth,Table1[[#This Row],[Site ID (from DATIM)]],"[Measures].[HVL_N_P]")</f>
        <v>20</v>
      </c>
      <c r="AV276" s="68" vm="9174">
        <f>CUBEVALUE(ConnectionString,ReportMonth,Table1[[#This Row],[Site ID (from DATIM)]],"[Measures].[HVL_ELIG_A]")</f>
        <v>719</v>
      </c>
      <c r="AW276" s="68" vm="8811">
        <f>CUBEVALUE(ConnectionString,ReportMonth,Table1[[#This Row],[Site ID (from DATIM)]],"[Measures].[HVL_D_A]")</f>
        <v>460</v>
      </c>
      <c r="AX276" s="68" vm="16569">
        <f>CUBEVALUE(ConnectionString,ReportMonth,Table1[[#This Row],[Site ID (from DATIM)]],"[Measures].[HVL_N_A]")</f>
        <v>446</v>
      </c>
      <c r="AY276" s="67"/>
      <c r="AZ276" s="67"/>
      <c r="BA276" s="67"/>
      <c r="BB276" s="67"/>
      <c r="BC276" s="67"/>
      <c r="BD276" s="67"/>
      <c r="BE276" s="67"/>
      <c r="BF276" s="67"/>
      <c r="BG276" s="67" vm="11664">
        <f>CUBEVALUE(ConnectionString,ReportMonth,Table1[[#This Row],[Site ID (from DATIM)]],"[Measures].[TX_NEW_F_A]")</f>
        <v>2</v>
      </c>
      <c r="BH276" s="67" vm="13006">
        <f>CUBEVALUE(ConnectionString,ReportMonth,Table1[[#This Row],[Site ID (from DATIM)]],"[Measures].[TX_NEW_M_A]")</f>
        <v>5</v>
      </c>
      <c r="BI276" s="67" t="str" vm="16203">
        <f>CUBEVALUE(ConnectionString,ReportMonth,Table1[[#This Row],[Site ID (from DATIM)]],"[Measures].[TX_NEW_F_P]")</f>
        <v/>
      </c>
      <c r="BJ276" s="68" t="str" vm="13976">
        <f>CUBEVALUE(ConnectionString,ReportMonth,Table1[[#This Row],[Site ID (from DATIM)]],"[Measures].[TX_NEW_M_P]")</f>
        <v/>
      </c>
      <c r="BK276" s="68"/>
      <c r="BL276" s="68"/>
      <c r="BM276" s="68"/>
      <c r="BN276" s="68"/>
      <c r="BO276" s="68"/>
      <c r="BP276" s="68"/>
      <c r="BQ276" s="68" vm="9249">
        <f>CUBEVALUE(ConnectionString,ReportMonth,Table1[[#This Row],[Site ID (from DATIM)]],"[Measures].[TX_CURR_F_P]")</f>
        <v>21</v>
      </c>
      <c r="BR276" s="68" vm="12773">
        <f>CUBEVALUE(ConnectionString,ReportMonth,Table1[[#This Row],[Site ID (from DATIM)]],"[Measures].[TX_CURR_M_P]")</f>
        <v>17</v>
      </c>
      <c r="BS276" s="68" vm="9512">
        <f>CUBEVALUE(ConnectionString,ReportMonth,Table1[[#This Row],[Site ID (from DATIM)]],"[Measures].[TX_CURR_F_A]")</f>
        <v>509</v>
      </c>
      <c r="BT276" s="68" vm="7219">
        <f>CUBEVALUE(ConnectionString,ReportMonth,Table1[[#This Row],[Site ID (from DATIM)]],"[Measures].[TX_CURR_M_A]")</f>
        <v>294</v>
      </c>
      <c r="BU276" s="68" vm="18745">
        <f>CUBEVALUE(ConnectionString,ReportMonth,Table1[[#This Row],[Site ID (from DATIM)]],"[Measures].[MMS_01_89_F_P]")</f>
        <v>6</v>
      </c>
      <c r="BV276" s="68" vm="19007">
        <f>CUBEVALUE(ConnectionString,ReportMonth,Table1[[#This Row],[Site ID (from DATIM)]],"[Measures].[MMS_01_89_M_P]")</f>
        <v>12</v>
      </c>
      <c r="BW276" s="68" vm="19726">
        <f>CUBEVALUE(ConnectionString,ReportMonth,Table1[[#This Row],[Site ID (from DATIM)]],"[Measures].[MMS_01_89_F_A]")</f>
        <v>176</v>
      </c>
      <c r="BX276" s="68" vm="19332">
        <f>CUBEVALUE(ConnectionString,ReportMonth,Table1[[#This Row],[Site ID (from DATIM)]],"[Measures].[MMS_01_89_M_A]")</f>
        <v>78</v>
      </c>
      <c r="BY276" s="68" vm="14668">
        <f>CUBEVALUE(ConnectionString,ReportMonth,Table1[[#This Row],[Site ID (from DATIM)]],"[Measures].[MMS_90_179_F_P]")</f>
        <v>15</v>
      </c>
      <c r="BZ276" s="68" vm="15139">
        <f>CUBEVALUE(ConnectionString,ReportMonth,Table1[[#This Row],[Site ID (from DATIM)]],"[Measures].[MMS_90_179_M_P]")</f>
        <v>5</v>
      </c>
      <c r="CA276" s="68" vm="16387">
        <f>CUBEVALUE(ConnectionString,ReportMonth,Table1[[#This Row],[Site ID (from DATIM)]],"[Measures].[MMS_90_179_F_A]")</f>
        <v>331</v>
      </c>
      <c r="CB276" s="68" vm="17625">
        <f>CUBEVALUE(ConnectionString,ReportMonth,Table1[[#This Row],[Site ID (from DATIM)]],"[Measures].[MMS_90_179_M_A]")</f>
        <v>216</v>
      </c>
      <c r="CC276" s="68" t="str" vm="17307">
        <f>CUBEVALUE(ConnectionString,ReportMonth,Table1[[#This Row],[Site ID (from DATIM)]],"[Measures].[MMS_180+_F_P]")</f>
        <v/>
      </c>
      <c r="CD276" s="68" t="str" vm="14930">
        <f>CUBEVALUE(ConnectionString,ReportMonth,Table1[[#This Row],[Site ID (from DATIM)]],"[Measures].[MMS_180+_M_P]")</f>
        <v/>
      </c>
      <c r="CE276" s="68" vm="17479">
        <f>CUBEVALUE(ConnectionString,ReportMonth,Table1[[#This Row],[Site ID (from DATIM)]],"[Measures].[MMS_180+_F_A]")</f>
        <v>2</v>
      </c>
      <c r="CF276" s="68" t="str" vm="51">
        <f>CUBEVALUE(ConnectionString,ReportMonth,Table1[[#This Row],[Site ID (from DATIM)]],"[Measures].[MMS_180+_M_A]")</f>
        <v/>
      </c>
      <c r="CG276" s="68" vm="5452">
        <f>CUBEVALUE(ConnectionString,ReportMonth,Table1[[#This Row],[Site ID (from DATIM)]],"[Measures].[MISSEDAPP]")</f>
        <v>300</v>
      </c>
      <c r="CH276" s="68" t="str" vm="10599">
        <f>CUBEVALUE(ConnectionString,ReportMonth,Table1[[#This Row],[Site ID (from DATIM)]],"[Measures].[MMS_180+_P]")</f>
        <v/>
      </c>
      <c r="CI276" s="68" vm="10658">
        <f>CUBEVALUE(ConnectionString,ReportMonth,Table1[[#This Row],[Site ID (from DATIM)]],"[Measures].[MMS_180+_A]")</f>
        <v>2</v>
      </c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  <c r="CW276" s="68"/>
      <c r="CX276" s="68"/>
      <c r="CY276" s="68"/>
      <c r="CZ276" s="68"/>
      <c r="DA276" s="68"/>
      <c r="DB276" s="68"/>
      <c r="DC276" s="68"/>
    </row>
    <row r="277" spans="1:107" x14ac:dyDescent="0.25">
      <c r="A277" s="66">
        <v>4</v>
      </c>
      <c r="B277" s="67" t="str" vm="4">
        <f t="shared" si="5"/>
        <v>Mar-2021</v>
      </c>
      <c r="C277" s="67"/>
      <c r="D277" s="67" t="s">
        <v>232</v>
      </c>
      <c r="E277" s="67" t="s">
        <v>233</v>
      </c>
      <c r="F277" s="67" t="s">
        <v>1286</v>
      </c>
      <c r="G277" s="67"/>
      <c r="H277" s="67" t="s">
        <v>1287</v>
      </c>
      <c r="I277" s="67" t="s">
        <v>1435</v>
      </c>
      <c r="J277" s="67" t="s">
        <v>1436</v>
      </c>
      <c r="K277" s="67" t="s">
        <v>1437</v>
      </c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 t="str" vm="2285">
        <f>CUBEVALUE(ConnectionString,ReportMonth,Table1[[#This Row],[Site ID (from DATIM)]],"TX_NEW_2VIS")</f>
        <v/>
      </c>
      <c r="AE277" s="67" t="str" vm="246">
        <f>CUBEVALUE(ConnectionString,ReportMonth,Table1[[#This Row],[Site ID (from DATIM)]],INDEX(SDI_Measures,1))</f>
        <v/>
      </c>
      <c r="AF277" s="67" t="str" vm="402">
        <f>CUBEVALUE(ConnectionString,ReportMonth,Table1[[#This Row],[Site ID (from DATIM)]],INDEX(SDI_Measures,2))</f>
        <v/>
      </c>
      <c r="AG277" s="67" t="str" vm="3650">
        <f>CUBEVALUE(ConnectionString,ReportMonth,Table1[[#This Row],[Site ID (from DATIM)]],INDEX(SDI_Measures,3))</f>
        <v/>
      </c>
      <c r="AH277" s="67" t="str" vm="1845">
        <f>CUBEVALUE(ConnectionString,ReportMonth,Table1[[#This Row],[Site ID (from DATIM)]],"TX_CURR_PRIOR_MONTH")</f>
        <v/>
      </c>
      <c r="AI277" s="67" t="str" vm="4117">
        <f>CUBEVALUE(ConnectionString,ReportMonth,Table1[[#This Row],[Site ID (from DATIM)]],"TX_CURR")</f>
        <v/>
      </c>
      <c r="AJ277" s="67" t="str" vm="2683">
        <f>CUBEVALUE(ConnectionString,ReportMonth,Table1[[#This Row],[Site ID (from DATIM)]],"[Measures].[TI]")</f>
        <v/>
      </c>
      <c r="AK277" s="67" t="str" vm="2631">
        <f>CUBEVALUE(ConnectionString,ReportMonth,Table1[[#This Row],[Site ID (from DATIM)]],"[Measures].[TO]")</f>
        <v/>
      </c>
      <c r="AL277" s="67" t="str" vm="2806">
        <f>CUBEVALUE(ConnectionString,ReportMonth,Table1[[#This Row],[Site ID (from DATIM)]],"[Measures].[DIED]")</f>
        <v/>
      </c>
      <c r="AM277" s="67" t="str" vm="4301">
        <f>CUBEVALUE(ConnectionString,ReportMonth,Table1[[#This Row],[Site ID (from DATIM)]],"[Measures].[MMS_01_31]")</f>
        <v/>
      </c>
      <c r="AN277" s="67" t="str" vm="4468">
        <f>CUBEVALUE(ConnectionString,ReportMonth,Table1[[#This Row],[Site ID (from DATIM)]],"[Measures].[MMS_32_62]")</f>
        <v/>
      </c>
      <c r="AO277" s="67" t="str" vm="8723">
        <f>CUBEVALUE(ConnectionString,ReportMonth,Table1[[#This Row],[Site ID (from DATIM)]],"[Measures].[MMS_63+]")</f>
        <v/>
      </c>
      <c r="AP277" s="67" t="str" vm="7379">
        <f>CUBEVALUE(ConnectionString,ReportMonth,Table1[[#This Row],[Site ID (from DATIM)]],"[Measures].[TBPREV_D]")</f>
        <v/>
      </c>
      <c r="AQ277" s="67" t="str" vm="5942">
        <f>CUBEVALUE(ConnectionString,ReportMonth,Table1[[#This Row],[Site ID (from DATIM)]],"[Measures].[TBPREV_N]")</f>
        <v/>
      </c>
      <c r="AR277" s="67" t="str" vm="14367">
        <f>CUBEVALUE(ConnectionString,ReportMonth,Table1[[#This Row],[Site ID (from DATIM)]],"[Measures].[TBPREV_NEW]")</f>
        <v/>
      </c>
      <c r="AS277" s="67" t="str" vm="5005">
        <f>CUBEVALUE(ConnectionString,ReportMonth,Table1[[#This Row],[Site ID (from DATIM)]],"[Measures].[HVL_ELIG_P]")</f>
        <v/>
      </c>
      <c r="AT277" s="67" t="str" vm="7466">
        <f>CUBEVALUE(ConnectionString,ReportMonth,Table1[[#This Row],[Site ID (from DATIM)]],"[Measures].[HVL_D_P]")</f>
        <v/>
      </c>
      <c r="AU277" s="67" t="str" vm="11562">
        <f>CUBEVALUE(ConnectionString,ReportMonth,Table1[[#This Row],[Site ID (from DATIM)]],"[Measures].[HVL_N_P]")</f>
        <v/>
      </c>
      <c r="AV277" s="68" t="str" vm="15318">
        <f>CUBEVALUE(ConnectionString,ReportMonth,Table1[[#This Row],[Site ID (from DATIM)]],"[Measures].[HVL_ELIG_A]")</f>
        <v/>
      </c>
      <c r="AW277" s="68" t="str" vm="8453">
        <f>CUBEVALUE(ConnectionString,ReportMonth,Table1[[#This Row],[Site ID (from DATIM)]],"[Measures].[HVL_D_A]")</f>
        <v/>
      </c>
      <c r="AX277" s="68" t="str" vm="8216">
        <f>CUBEVALUE(ConnectionString,ReportMonth,Table1[[#This Row],[Site ID (from DATIM)]],"[Measures].[HVL_N_A]")</f>
        <v/>
      </c>
      <c r="AY277" s="67"/>
      <c r="AZ277" s="67"/>
      <c r="BA277" s="67"/>
      <c r="BB277" s="67"/>
      <c r="BC277" s="67"/>
      <c r="BD277" s="67"/>
      <c r="BE277" s="67"/>
      <c r="BF277" s="67"/>
      <c r="BG277" s="67" t="str" vm="14023">
        <f>CUBEVALUE(ConnectionString,ReportMonth,Table1[[#This Row],[Site ID (from DATIM)]],"[Measures].[TX_NEW_F_A]")</f>
        <v/>
      </c>
      <c r="BH277" s="67" t="str" vm="12704">
        <f>CUBEVALUE(ConnectionString,ReportMonth,Table1[[#This Row],[Site ID (from DATIM)]],"[Measures].[TX_NEW_M_A]")</f>
        <v/>
      </c>
      <c r="BI277" s="67" t="str" vm="14864">
        <f>CUBEVALUE(ConnectionString,ReportMonth,Table1[[#This Row],[Site ID (from DATIM)]],"[Measures].[TX_NEW_F_P]")</f>
        <v/>
      </c>
      <c r="BJ277" s="68" t="str" vm="16594">
        <f>CUBEVALUE(ConnectionString,ReportMonth,Table1[[#This Row],[Site ID (from DATIM)]],"[Measures].[TX_NEW_M_P]")</f>
        <v/>
      </c>
      <c r="BK277" s="68"/>
      <c r="BL277" s="68"/>
      <c r="BM277" s="68"/>
      <c r="BN277" s="68"/>
      <c r="BO277" s="68"/>
      <c r="BP277" s="68"/>
      <c r="BQ277" s="68" t="str" vm="9621">
        <f>CUBEVALUE(ConnectionString,ReportMonth,Table1[[#This Row],[Site ID (from DATIM)]],"[Measures].[TX_CURR_F_P]")</f>
        <v/>
      </c>
      <c r="BR277" s="68" t="str" vm="8448">
        <f>CUBEVALUE(ConnectionString,ReportMonth,Table1[[#This Row],[Site ID (from DATIM)]],"[Measures].[TX_CURR_M_P]")</f>
        <v/>
      </c>
      <c r="BS277" s="68" t="str" vm="7218">
        <f>CUBEVALUE(ConnectionString,ReportMonth,Table1[[#This Row],[Site ID (from DATIM)]],"[Measures].[TX_CURR_F_A]")</f>
        <v/>
      </c>
      <c r="BT277" s="68" t="str" vm="13289">
        <f>CUBEVALUE(ConnectionString,ReportMonth,Table1[[#This Row],[Site ID (from DATIM)]],"[Measures].[TX_CURR_M_A]")</f>
        <v/>
      </c>
      <c r="BU277" s="68" t="str" vm="18754">
        <f>CUBEVALUE(ConnectionString,ReportMonth,Table1[[#This Row],[Site ID (from DATIM)]],"[Measures].[MMS_01_89_F_P]")</f>
        <v/>
      </c>
      <c r="BV277" s="68" t="str" vm="19006">
        <f>CUBEVALUE(ConnectionString,ReportMonth,Table1[[#This Row],[Site ID (from DATIM)]],"[Measures].[MMS_01_89_M_P]")</f>
        <v/>
      </c>
      <c r="BW277" s="68" t="str" vm="18263">
        <f>CUBEVALUE(ConnectionString,ReportMonth,Table1[[#This Row],[Site ID (from DATIM)]],"[Measures].[MMS_01_89_F_A]")</f>
        <v/>
      </c>
      <c r="BX277" s="68" t="str" vm="19682">
        <f>CUBEVALUE(ConnectionString,ReportMonth,Table1[[#This Row],[Site ID (from DATIM)]],"[Measures].[MMS_01_89_M_A]")</f>
        <v/>
      </c>
      <c r="BY277" s="68" t="str" vm="16961">
        <f>CUBEVALUE(ConnectionString,ReportMonth,Table1[[#This Row],[Site ID (from DATIM)]],"[Measures].[MMS_90_179_F_P]")</f>
        <v/>
      </c>
      <c r="BZ277" s="68" t="str" vm="16520">
        <f>CUBEVALUE(ConnectionString,ReportMonth,Table1[[#This Row],[Site ID (from DATIM)]],"[Measures].[MMS_90_179_M_P]")</f>
        <v/>
      </c>
      <c r="CA277" s="68" t="str" vm="19841">
        <f>CUBEVALUE(ConnectionString,ReportMonth,Table1[[#This Row],[Site ID (from DATIM)]],"[Measures].[MMS_90_179_F_A]")</f>
        <v/>
      </c>
      <c r="CB277" s="68" t="str" vm="15567">
        <f>CUBEVALUE(ConnectionString,ReportMonth,Table1[[#This Row],[Site ID (from DATIM)]],"[Measures].[MMS_90_179_M_A]")</f>
        <v/>
      </c>
      <c r="CC277" s="68" t="str" vm="17119">
        <f>CUBEVALUE(ConnectionString,ReportMonth,Table1[[#This Row],[Site ID (from DATIM)]],"[Measures].[MMS_180+_F_P]")</f>
        <v/>
      </c>
      <c r="CD277" s="68" t="str" vm="16257">
        <f>CUBEVALUE(ConnectionString,ReportMonth,Table1[[#This Row],[Site ID (from DATIM)]],"[Measures].[MMS_180+_M_P]")</f>
        <v/>
      </c>
      <c r="CE277" s="68" t="str" vm="31">
        <f>CUBEVALUE(ConnectionString,ReportMonth,Table1[[#This Row],[Site ID (from DATIM)]],"[Measures].[MMS_180+_F_A]")</f>
        <v/>
      </c>
      <c r="CF277" s="68" t="str" vm="53">
        <f>CUBEVALUE(ConnectionString,ReportMonth,Table1[[#This Row],[Site ID (from DATIM)]],"[Measures].[MMS_180+_M_A]")</f>
        <v/>
      </c>
      <c r="CG277" s="68" t="str" vm="6989">
        <f>CUBEVALUE(ConnectionString,ReportMonth,Table1[[#This Row],[Site ID (from DATIM)]],"[Measures].[MISSEDAPP]")</f>
        <v/>
      </c>
      <c r="CH277" s="68" t="str" vm="10352">
        <f>CUBEVALUE(ConnectionString,ReportMonth,Table1[[#This Row],[Site ID (from DATIM)]],"[Measures].[MMS_180+_P]")</f>
        <v/>
      </c>
      <c r="CI277" s="68" t="str" vm="11743">
        <f>CUBEVALUE(ConnectionString,ReportMonth,Table1[[#This Row],[Site ID (from DATIM)]],"[Measures].[MMS_180+_A]")</f>
        <v/>
      </c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  <c r="CW277" s="68"/>
      <c r="CX277" s="68"/>
      <c r="CY277" s="68"/>
      <c r="CZ277" s="68"/>
      <c r="DA277" s="68"/>
      <c r="DB277" s="68"/>
      <c r="DC277" s="68"/>
    </row>
    <row r="278" spans="1:107" x14ac:dyDescent="0.25">
      <c r="A278" s="66">
        <v>4</v>
      </c>
      <c r="B278" s="67" t="str" vm="4">
        <f t="shared" si="5"/>
        <v>Mar-2021</v>
      </c>
      <c r="C278" s="67"/>
      <c r="D278" s="67" t="s">
        <v>232</v>
      </c>
      <c r="E278" s="67" t="s">
        <v>233</v>
      </c>
      <c r="F278" s="67" t="s">
        <v>1286</v>
      </c>
      <c r="G278" s="67"/>
      <c r="H278" s="67" t="s">
        <v>1323</v>
      </c>
      <c r="I278" s="67" t="s">
        <v>1438</v>
      </c>
      <c r="J278" s="67" t="s">
        <v>1439</v>
      </c>
      <c r="K278" s="67" t="s">
        <v>1440</v>
      </c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 t="str" vm="901">
        <f>CUBEVALUE(ConnectionString,ReportMonth,Table1[[#This Row],[Site ID (from DATIM)]],"TX_NEW_2VIS")</f>
        <v/>
      </c>
      <c r="AE278" s="67" t="str" vm="2486">
        <f>CUBEVALUE(ConnectionString,ReportMonth,Table1[[#This Row],[Site ID (from DATIM)]],INDEX(SDI_Measures,1))</f>
        <v/>
      </c>
      <c r="AF278" s="67" t="str" vm="219">
        <f>CUBEVALUE(ConnectionString,ReportMonth,Table1[[#This Row],[Site ID (from DATIM)]],INDEX(SDI_Measures,2))</f>
        <v/>
      </c>
      <c r="AG278" s="67" t="str" vm="2021">
        <f>CUBEVALUE(ConnectionString,ReportMonth,Table1[[#This Row],[Site ID (from DATIM)]],INDEX(SDI_Measures,3))</f>
        <v/>
      </c>
      <c r="AH278" s="67" t="str" vm="1429">
        <f>CUBEVALUE(ConnectionString,ReportMonth,Table1[[#This Row],[Site ID (from DATIM)]],"TX_CURR_PRIOR_MONTH")</f>
        <v/>
      </c>
      <c r="AI278" s="67" t="str" vm="7403">
        <f>CUBEVALUE(ConnectionString,ReportMonth,Table1[[#This Row],[Site ID (from DATIM)]],"TX_CURR")</f>
        <v/>
      </c>
      <c r="AJ278" s="67" t="str" vm="4435">
        <f>CUBEVALUE(ConnectionString,ReportMonth,Table1[[#This Row],[Site ID (from DATIM)]],"[Measures].[TI]")</f>
        <v/>
      </c>
      <c r="AK278" s="67" t="str" vm="1730">
        <f>CUBEVALUE(ConnectionString,ReportMonth,Table1[[#This Row],[Site ID (from DATIM)]],"[Measures].[TO]")</f>
        <v/>
      </c>
      <c r="AL278" s="67" t="str" vm="2004">
        <f>CUBEVALUE(ConnectionString,ReportMonth,Table1[[#This Row],[Site ID (from DATIM)]],"[Measures].[DIED]")</f>
        <v/>
      </c>
      <c r="AM278" s="67" t="str" vm="4467">
        <f>CUBEVALUE(ConnectionString,ReportMonth,Table1[[#This Row],[Site ID (from DATIM)]],"[Measures].[MMS_01_31]")</f>
        <v/>
      </c>
      <c r="AN278" s="67" t="str" vm="5872">
        <f>CUBEVALUE(ConnectionString,ReportMonth,Table1[[#This Row],[Site ID (from DATIM)]],"[Measures].[MMS_32_62]")</f>
        <v/>
      </c>
      <c r="AO278" s="67" t="str" vm="6021">
        <f>CUBEVALUE(ConnectionString,ReportMonth,Table1[[#This Row],[Site ID (from DATIM)]],"[Measures].[MMS_63+]")</f>
        <v/>
      </c>
      <c r="AP278" s="67" t="str" vm="6909">
        <f>CUBEVALUE(ConnectionString,ReportMonth,Table1[[#This Row],[Site ID (from DATIM)]],"[Measures].[TBPREV_D]")</f>
        <v/>
      </c>
      <c r="AQ278" s="67" t="str" vm="6895">
        <f>CUBEVALUE(ConnectionString,ReportMonth,Table1[[#This Row],[Site ID (from DATIM)]],"[Measures].[TBPREV_N]")</f>
        <v/>
      </c>
      <c r="AR278" s="67" t="str" vm="5546">
        <f>CUBEVALUE(ConnectionString,ReportMonth,Table1[[#This Row],[Site ID (from DATIM)]],"[Measures].[TBPREV_NEW]")</f>
        <v/>
      </c>
      <c r="AS278" s="67" t="str" vm="9702">
        <f>CUBEVALUE(ConnectionString,ReportMonth,Table1[[#This Row],[Site ID (from DATIM)]],"[Measures].[HVL_ELIG_P]")</f>
        <v/>
      </c>
      <c r="AT278" s="67" t="str" vm="4836">
        <f>CUBEVALUE(ConnectionString,ReportMonth,Table1[[#This Row],[Site ID (from DATIM)]],"[Measures].[HVL_D_P]")</f>
        <v/>
      </c>
      <c r="AU278" s="67" t="str" vm="8444">
        <f>CUBEVALUE(ConnectionString,ReportMonth,Table1[[#This Row],[Site ID (from DATIM)]],"[Measures].[HVL_N_P]")</f>
        <v/>
      </c>
      <c r="AV278" s="68" t="str" vm="8345">
        <f>CUBEVALUE(ConnectionString,ReportMonth,Table1[[#This Row],[Site ID (from DATIM)]],"[Measures].[HVL_ELIG_A]")</f>
        <v/>
      </c>
      <c r="AW278" s="68" t="str" vm="8257">
        <f>CUBEVALUE(ConnectionString,ReportMonth,Table1[[#This Row],[Site ID (from DATIM)]],"[Measures].[HVL_D_A]")</f>
        <v/>
      </c>
      <c r="AX278" s="68" t="str" vm="10095">
        <f>CUBEVALUE(ConnectionString,ReportMonth,Table1[[#This Row],[Site ID (from DATIM)]],"[Measures].[HVL_N_A]")</f>
        <v/>
      </c>
      <c r="AY278" s="67"/>
      <c r="AZ278" s="67"/>
      <c r="BA278" s="67"/>
      <c r="BB278" s="67"/>
      <c r="BC278" s="67"/>
      <c r="BD278" s="67"/>
      <c r="BE278" s="67"/>
      <c r="BF278" s="67"/>
      <c r="BG278" s="67" t="str" vm="12272">
        <f>CUBEVALUE(ConnectionString,ReportMonth,Table1[[#This Row],[Site ID (from DATIM)]],"[Measures].[TX_NEW_F_A]")</f>
        <v/>
      </c>
      <c r="BH278" s="67" t="str" vm="12814">
        <f>CUBEVALUE(ConnectionString,ReportMonth,Table1[[#This Row],[Site ID (from DATIM)]],"[Measures].[TX_NEW_M_A]")</f>
        <v/>
      </c>
      <c r="BI278" s="67" t="str" vm="12305">
        <f>CUBEVALUE(ConnectionString,ReportMonth,Table1[[#This Row],[Site ID (from DATIM)]],"[Measures].[TX_NEW_F_P]")</f>
        <v/>
      </c>
      <c r="BJ278" s="68" t="str" vm="12607">
        <f>CUBEVALUE(ConnectionString,ReportMonth,Table1[[#This Row],[Site ID (from DATIM)]],"[Measures].[TX_NEW_M_P]")</f>
        <v/>
      </c>
      <c r="BK278" s="68"/>
      <c r="BL278" s="68"/>
      <c r="BM278" s="68"/>
      <c r="BN278" s="68"/>
      <c r="BO278" s="68"/>
      <c r="BP278" s="68"/>
      <c r="BQ278" s="68" t="str" vm="8650">
        <f>CUBEVALUE(ConnectionString,ReportMonth,Table1[[#This Row],[Site ID (from DATIM)]],"[Measures].[TX_CURR_F_P]")</f>
        <v/>
      </c>
      <c r="BR278" s="68" t="str" vm="11687">
        <f>CUBEVALUE(ConnectionString,ReportMonth,Table1[[#This Row],[Site ID (from DATIM)]],"[Measures].[TX_CURR_M_P]")</f>
        <v/>
      </c>
      <c r="BS278" s="68" t="str" vm="8320">
        <f>CUBEVALUE(ConnectionString,ReportMonth,Table1[[#This Row],[Site ID (from DATIM)]],"[Measures].[TX_CURR_F_A]")</f>
        <v/>
      </c>
      <c r="BT278" s="68" t="str" vm="14816">
        <f>CUBEVALUE(ConnectionString,ReportMonth,Table1[[#This Row],[Site ID (from DATIM)]],"[Measures].[TX_CURR_M_A]")</f>
        <v/>
      </c>
      <c r="BU278" s="68" t="str" vm="18084">
        <f>CUBEVALUE(ConnectionString,ReportMonth,Table1[[#This Row],[Site ID (from DATIM)]],"[Measures].[MMS_01_89_F_P]")</f>
        <v/>
      </c>
      <c r="BV278" s="68" t="str" vm="18433">
        <f>CUBEVALUE(ConnectionString,ReportMonth,Table1[[#This Row],[Site ID (from DATIM)]],"[Measures].[MMS_01_89_M_P]")</f>
        <v/>
      </c>
      <c r="BW278" s="68" t="str" vm="19754">
        <f>CUBEVALUE(ConnectionString,ReportMonth,Table1[[#This Row],[Site ID (from DATIM)]],"[Measures].[MMS_01_89_F_A]")</f>
        <v/>
      </c>
      <c r="BX278" s="68" t="str" vm="18875">
        <f>CUBEVALUE(ConnectionString,ReportMonth,Table1[[#This Row],[Site ID (from DATIM)]],"[Measures].[MMS_01_89_M_A]")</f>
        <v/>
      </c>
      <c r="BY278" s="68" t="str" vm="19353">
        <f>CUBEVALUE(ConnectionString,ReportMonth,Table1[[#This Row],[Site ID (from DATIM)]],"[Measures].[MMS_90_179_F_P]")</f>
        <v/>
      </c>
      <c r="BZ278" s="68" t="str" vm="16541">
        <f>CUBEVALUE(ConnectionString,ReportMonth,Table1[[#This Row],[Site ID (from DATIM)]],"[Measures].[MMS_90_179_M_P]")</f>
        <v/>
      </c>
      <c r="CA278" s="68" t="str" vm="16797">
        <f>CUBEVALUE(ConnectionString,ReportMonth,Table1[[#This Row],[Site ID (from DATIM)]],"[Measures].[MMS_90_179_F_A]")</f>
        <v/>
      </c>
      <c r="CB278" s="68" t="str" vm="17358">
        <f>CUBEVALUE(ConnectionString,ReportMonth,Table1[[#This Row],[Site ID (from DATIM)]],"[Measures].[MMS_90_179_M_A]")</f>
        <v/>
      </c>
      <c r="CC278" s="68" t="str" vm="16452">
        <f>CUBEVALUE(ConnectionString,ReportMonth,Table1[[#This Row],[Site ID (from DATIM)]],"[Measures].[MMS_180+_F_P]")</f>
        <v/>
      </c>
      <c r="CD278" s="68" t="str" vm="14461">
        <f>CUBEVALUE(ConnectionString,ReportMonth,Table1[[#This Row],[Site ID (from DATIM)]],"[Measures].[MMS_180+_M_P]")</f>
        <v/>
      </c>
      <c r="CE278" s="68" t="str" vm="17209">
        <f>CUBEVALUE(ConnectionString,ReportMonth,Table1[[#This Row],[Site ID (from DATIM)]],"[Measures].[MMS_180+_F_A]")</f>
        <v/>
      </c>
      <c r="CF278" s="68" t="str" vm="17477">
        <f>CUBEVALUE(ConnectionString,ReportMonth,Table1[[#This Row],[Site ID (from DATIM)]],"[Measures].[MMS_180+_M_A]")</f>
        <v/>
      </c>
      <c r="CG278" s="68" t="str" vm="7347">
        <f>CUBEVALUE(ConnectionString,ReportMonth,Table1[[#This Row],[Site ID (from DATIM)]],"[Measures].[MISSEDAPP]")</f>
        <v/>
      </c>
      <c r="CH278" s="68" t="str" vm="14055">
        <f>CUBEVALUE(ConnectionString,ReportMonth,Table1[[#This Row],[Site ID (from DATIM)]],"[Measures].[MMS_180+_P]")</f>
        <v/>
      </c>
      <c r="CI278" s="68" t="str" vm="15263">
        <f>CUBEVALUE(ConnectionString,ReportMonth,Table1[[#This Row],[Site ID (from DATIM)]],"[Measures].[MMS_180+_A]")</f>
        <v/>
      </c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  <c r="CW278" s="68"/>
      <c r="CX278" s="68"/>
      <c r="CY278" s="68"/>
      <c r="CZ278" s="68"/>
      <c r="DA278" s="68"/>
      <c r="DB278" s="68"/>
      <c r="DC278" s="68"/>
    </row>
    <row r="279" spans="1:107" x14ac:dyDescent="0.25">
      <c r="A279" s="66">
        <v>2</v>
      </c>
      <c r="B279" s="67" t="str" vm="4">
        <f t="shared" si="5"/>
        <v>Mar-2021</v>
      </c>
      <c r="C279" s="67"/>
      <c r="D279" s="67" t="s">
        <v>232</v>
      </c>
      <c r="E279" s="67" t="s">
        <v>233</v>
      </c>
      <c r="F279" s="67" t="s">
        <v>1286</v>
      </c>
      <c r="G279" s="67"/>
      <c r="H279" s="67" t="s">
        <v>1303</v>
      </c>
      <c r="I279" s="67" t="s">
        <v>1441</v>
      </c>
      <c r="J279" s="67" t="s">
        <v>1442</v>
      </c>
      <c r="K279" s="67" t="s">
        <v>1443</v>
      </c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 t="str" vm="3377">
        <f>CUBEVALUE(ConnectionString,ReportMonth,Table1[[#This Row],[Site ID (from DATIM)]],"TX_NEW_2VIS")</f>
        <v/>
      </c>
      <c r="AE279" s="67" t="str" vm="1567">
        <f>CUBEVALUE(ConnectionString,ReportMonth,Table1[[#This Row],[Site ID (from DATIM)]],INDEX(SDI_Measures,1))</f>
        <v/>
      </c>
      <c r="AF279" s="67" t="str" vm="1290">
        <f>CUBEVALUE(ConnectionString,ReportMonth,Table1[[#This Row],[Site ID (from DATIM)]],INDEX(SDI_Measures,2))</f>
        <v/>
      </c>
      <c r="AG279" s="67" t="str" vm="468">
        <f>CUBEVALUE(ConnectionString,ReportMonth,Table1[[#This Row],[Site ID (from DATIM)]],INDEX(SDI_Measures,3))</f>
        <v/>
      </c>
      <c r="AH279" s="67" t="str" vm="3901">
        <f>CUBEVALUE(ConnectionString,ReportMonth,Table1[[#This Row],[Site ID (from DATIM)]],"TX_CURR_PRIOR_MONTH")</f>
        <v/>
      </c>
      <c r="AI279" s="67" t="str" vm="1473">
        <f>CUBEVALUE(ConnectionString,ReportMonth,Table1[[#This Row],[Site ID (from DATIM)]],"TX_CURR")</f>
        <v/>
      </c>
      <c r="AJ279" s="67" t="str" vm="3051">
        <f>CUBEVALUE(ConnectionString,ReportMonth,Table1[[#This Row],[Site ID (from DATIM)]],"[Measures].[TI]")</f>
        <v/>
      </c>
      <c r="AK279" s="67" t="str" vm="2536">
        <f>CUBEVALUE(ConnectionString,ReportMonth,Table1[[#This Row],[Site ID (from DATIM)]],"[Measures].[TO]")</f>
        <v/>
      </c>
      <c r="AL279" s="67" t="str" vm="1532">
        <f>CUBEVALUE(ConnectionString,ReportMonth,Table1[[#This Row],[Site ID (from DATIM)]],"[Measures].[DIED]")</f>
        <v/>
      </c>
      <c r="AM279" s="67" t="str" vm="4644">
        <f>CUBEVALUE(ConnectionString,ReportMonth,Table1[[#This Row],[Site ID (from DATIM)]],"[Measures].[MMS_01_31]")</f>
        <v/>
      </c>
      <c r="AN279" s="67" t="str" vm="5418">
        <f>CUBEVALUE(ConnectionString,ReportMonth,Table1[[#This Row],[Site ID (from DATIM)]],"[Measures].[MMS_32_62]")</f>
        <v/>
      </c>
      <c r="AO279" s="67" t="str" vm="10036">
        <f>CUBEVALUE(ConnectionString,ReportMonth,Table1[[#This Row],[Site ID (from DATIM)]],"[Measures].[MMS_63+]")</f>
        <v/>
      </c>
      <c r="AP279" s="67" t="str" vm="5566">
        <f>CUBEVALUE(ConnectionString,ReportMonth,Table1[[#This Row],[Site ID (from DATIM)]],"[Measures].[TBPREV_D]")</f>
        <v/>
      </c>
      <c r="AQ279" s="67" t="str" vm="7773">
        <f>CUBEVALUE(ConnectionString,ReportMonth,Table1[[#This Row],[Site ID (from DATIM)]],"[Measures].[TBPREV_N]")</f>
        <v/>
      </c>
      <c r="AR279" s="67" t="str" vm="6025">
        <f>CUBEVALUE(ConnectionString,ReportMonth,Table1[[#This Row],[Site ID (from DATIM)]],"[Measures].[TBPREV_NEW]")</f>
        <v/>
      </c>
      <c r="AS279" s="67" t="str" vm="7333">
        <f>CUBEVALUE(ConnectionString,ReportMonth,Table1[[#This Row],[Site ID (from DATIM)]],"[Measures].[HVL_ELIG_P]")</f>
        <v/>
      </c>
      <c r="AT279" s="67" t="str" vm="9845">
        <f>CUBEVALUE(ConnectionString,ReportMonth,Table1[[#This Row],[Site ID (from DATIM)]],"[Measures].[HVL_D_P]")</f>
        <v/>
      </c>
      <c r="AU279" s="67" t="str" vm="9019">
        <f>CUBEVALUE(ConnectionString,ReportMonth,Table1[[#This Row],[Site ID (from DATIM)]],"[Measures].[HVL_N_P]")</f>
        <v/>
      </c>
      <c r="AV279" s="68" t="str" vm="12869">
        <f>CUBEVALUE(ConnectionString,ReportMonth,Table1[[#This Row],[Site ID (from DATIM)]],"[Measures].[HVL_ELIG_A]")</f>
        <v/>
      </c>
      <c r="AW279" s="68" t="str" vm="13756">
        <f>CUBEVALUE(ConnectionString,ReportMonth,Table1[[#This Row],[Site ID (from DATIM)]],"[Measures].[HVL_D_A]")</f>
        <v/>
      </c>
      <c r="AX279" s="68" t="str" vm="11866">
        <f>CUBEVALUE(ConnectionString,ReportMonth,Table1[[#This Row],[Site ID (from DATIM)]],"[Measures].[HVL_N_A]")</f>
        <v/>
      </c>
      <c r="AY279" s="67"/>
      <c r="AZ279" s="67"/>
      <c r="BA279" s="67"/>
      <c r="BB279" s="67"/>
      <c r="BC279" s="67"/>
      <c r="BD279" s="67"/>
      <c r="BE279" s="67"/>
      <c r="BF279" s="67"/>
      <c r="BG279" s="67" t="str" vm="12117">
        <f>CUBEVALUE(ConnectionString,ReportMonth,Table1[[#This Row],[Site ID (from DATIM)]],"[Measures].[TX_NEW_F_A]")</f>
        <v/>
      </c>
      <c r="BH279" s="67" t="str" vm="11013">
        <f>CUBEVALUE(ConnectionString,ReportMonth,Table1[[#This Row],[Site ID (from DATIM)]],"[Measures].[TX_NEW_M_A]")</f>
        <v/>
      </c>
      <c r="BI279" s="67" t="str" vm="15337">
        <f>CUBEVALUE(ConnectionString,ReportMonth,Table1[[#This Row],[Site ID (from DATIM)]],"[Measures].[TX_NEW_F_P]")</f>
        <v/>
      </c>
      <c r="BJ279" s="68" t="str" vm="12861">
        <f>CUBEVALUE(ConnectionString,ReportMonth,Table1[[#This Row],[Site ID (from DATIM)]],"[Measures].[TX_NEW_M_P]")</f>
        <v/>
      </c>
      <c r="BK279" s="68"/>
      <c r="BL279" s="68"/>
      <c r="BM279" s="68"/>
      <c r="BN279" s="68"/>
      <c r="BO279" s="68"/>
      <c r="BP279" s="68"/>
      <c r="BQ279" s="68" t="str" vm="11844">
        <f>CUBEVALUE(ConnectionString,ReportMonth,Table1[[#This Row],[Site ID (from DATIM)]],"[Measures].[TX_CURR_F_P]")</f>
        <v/>
      </c>
      <c r="BR279" s="68" t="str" vm="11359">
        <f>CUBEVALUE(ConnectionString,ReportMonth,Table1[[#This Row],[Site ID (from DATIM)]],"[Measures].[TX_CURR_M_P]")</f>
        <v/>
      </c>
      <c r="BS279" s="68" t="str" vm="8165">
        <f>CUBEVALUE(ConnectionString,ReportMonth,Table1[[#This Row],[Site ID (from DATIM)]],"[Measures].[TX_CURR_F_A]")</f>
        <v/>
      </c>
      <c r="BT279" s="68" t="str" vm="12043">
        <f>CUBEVALUE(ConnectionString,ReportMonth,Table1[[#This Row],[Site ID (from DATIM)]],"[Measures].[TX_CURR_M_A]")</f>
        <v/>
      </c>
      <c r="BU279" s="68" t="str" vm="18220">
        <f>CUBEVALUE(ConnectionString,ReportMonth,Table1[[#This Row],[Site ID (from DATIM)]],"[Measures].[MMS_01_89_F_P]")</f>
        <v/>
      </c>
      <c r="BV279" s="68" t="str" vm="20064">
        <f>CUBEVALUE(ConnectionString,ReportMonth,Table1[[#This Row],[Site ID (from DATIM)]],"[Measures].[MMS_01_89_M_P]")</f>
        <v/>
      </c>
      <c r="BW279" s="68" t="str" vm="18345">
        <f>CUBEVALUE(ConnectionString,ReportMonth,Table1[[#This Row],[Site ID (from DATIM)]],"[Measures].[MMS_01_89_F_A]")</f>
        <v/>
      </c>
      <c r="BX279" s="68" t="str" vm="19459">
        <f>CUBEVALUE(ConnectionString,ReportMonth,Table1[[#This Row],[Site ID (from DATIM)]],"[Measures].[MMS_01_89_M_A]")</f>
        <v/>
      </c>
      <c r="BY279" s="68" t="str" vm="18868">
        <f>CUBEVALUE(ConnectionString,ReportMonth,Table1[[#This Row],[Site ID (from DATIM)]],"[Measures].[MMS_90_179_F_P]")</f>
        <v/>
      </c>
      <c r="BZ279" s="68" t="str" vm="16987">
        <f>CUBEVALUE(ConnectionString,ReportMonth,Table1[[#This Row],[Site ID (from DATIM)]],"[Measures].[MMS_90_179_M_P]")</f>
        <v/>
      </c>
      <c r="CA279" s="68" t="str" vm="16518">
        <f>CUBEVALUE(ConnectionString,ReportMonth,Table1[[#This Row],[Site ID (from DATIM)]],"[Measures].[MMS_90_179_F_A]")</f>
        <v/>
      </c>
      <c r="CB279" s="68" t="str" vm="15603">
        <f>CUBEVALUE(ConnectionString,ReportMonth,Table1[[#This Row],[Site ID (from DATIM)]],"[Measures].[MMS_90_179_M_A]")</f>
        <v/>
      </c>
      <c r="CC279" s="68" t="str" vm="110">
        <f>CUBEVALUE(ConnectionString,ReportMonth,Table1[[#This Row],[Site ID (from DATIM)]],"[Measures].[MMS_180+_F_P]")</f>
        <v/>
      </c>
      <c r="CD279" s="68" t="str" vm="16338">
        <f>CUBEVALUE(ConnectionString,ReportMonth,Table1[[#This Row],[Site ID (from DATIM)]],"[Measures].[MMS_180+_M_P]")</f>
        <v/>
      </c>
      <c r="CE279" s="68" t="str" vm="17516">
        <f>CUBEVALUE(ConnectionString,ReportMonth,Table1[[#This Row],[Site ID (from DATIM)]],"[Measures].[MMS_180+_F_A]")</f>
        <v/>
      </c>
      <c r="CF279" s="68" t="str" vm="17095">
        <f>CUBEVALUE(ConnectionString,ReportMonth,Table1[[#This Row],[Site ID (from DATIM)]],"[Measures].[MMS_180+_M_A]")</f>
        <v/>
      </c>
      <c r="CG279" s="68" t="str" vm="10528">
        <f>CUBEVALUE(ConnectionString,ReportMonth,Table1[[#This Row],[Site ID (from DATIM)]],"[Measures].[MISSEDAPP]")</f>
        <v/>
      </c>
      <c r="CH279" s="68" t="str" vm="14173">
        <f>CUBEVALUE(ConnectionString,ReportMonth,Table1[[#This Row],[Site ID (from DATIM)]],"[Measures].[MMS_180+_P]")</f>
        <v/>
      </c>
      <c r="CI279" s="68" t="str" vm="10104">
        <f>CUBEVALUE(ConnectionString,ReportMonth,Table1[[#This Row],[Site ID (from DATIM)]],"[Measures].[MMS_180+_A]")</f>
        <v/>
      </c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  <c r="CW279" s="68"/>
      <c r="CX279" s="68"/>
      <c r="CY279" s="68"/>
      <c r="CZ279" s="68"/>
      <c r="DA279" s="68"/>
      <c r="DB279" s="68"/>
      <c r="DC279" s="68"/>
    </row>
    <row r="280" spans="1:107" x14ac:dyDescent="0.25">
      <c r="A280" s="66">
        <v>4</v>
      </c>
      <c r="B280" s="67" t="str" vm="4">
        <f t="shared" si="5"/>
        <v>Mar-2021</v>
      </c>
      <c r="C280" s="67"/>
      <c r="D280" s="67" t="s">
        <v>232</v>
      </c>
      <c r="E280" s="67" t="s">
        <v>233</v>
      </c>
      <c r="F280" s="67" t="s">
        <v>1286</v>
      </c>
      <c r="G280" s="67"/>
      <c r="H280" s="67" t="s">
        <v>1303</v>
      </c>
      <c r="I280" s="67" t="s">
        <v>1441</v>
      </c>
      <c r="J280" s="67" t="s">
        <v>1444</v>
      </c>
      <c r="K280" s="67" t="s">
        <v>1445</v>
      </c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 t="str" vm="1390">
        <f>CUBEVALUE(ConnectionString,ReportMonth,Table1[[#This Row],[Site ID (from DATIM)]],"TX_NEW_2VIS")</f>
        <v/>
      </c>
      <c r="AE280" s="67" t="str" vm="2402">
        <f>CUBEVALUE(ConnectionString,ReportMonth,Table1[[#This Row],[Site ID (from DATIM)]],INDEX(SDI_Measures,1))</f>
        <v/>
      </c>
      <c r="AF280" s="67" t="str" vm="452">
        <f>CUBEVALUE(ConnectionString,ReportMonth,Table1[[#This Row],[Site ID (from DATIM)]],INDEX(SDI_Measures,2))</f>
        <v/>
      </c>
      <c r="AG280" s="67" t="str" vm="2605">
        <f>CUBEVALUE(ConnectionString,ReportMonth,Table1[[#This Row],[Site ID (from DATIM)]],INDEX(SDI_Measures,3))</f>
        <v/>
      </c>
      <c r="AH280" s="67" t="str" vm="1903">
        <f>CUBEVALUE(ConnectionString,ReportMonth,Table1[[#This Row],[Site ID (from DATIM)]],"TX_CURR_PRIOR_MONTH")</f>
        <v/>
      </c>
      <c r="AI280" s="67" t="str" vm="1813">
        <f>CUBEVALUE(ConnectionString,ReportMonth,Table1[[#This Row],[Site ID (from DATIM)]],"TX_CURR")</f>
        <v/>
      </c>
      <c r="AJ280" s="67" t="str" vm="4430">
        <f>CUBEVALUE(ConnectionString,ReportMonth,Table1[[#This Row],[Site ID (from DATIM)]],"[Measures].[TI]")</f>
        <v/>
      </c>
      <c r="AK280" s="67" t="str" vm="1314">
        <f>CUBEVALUE(ConnectionString,ReportMonth,Table1[[#This Row],[Site ID (from DATIM)]],"[Measures].[TO]")</f>
        <v/>
      </c>
      <c r="AL280" s="67" t="str" vm="3792">
        <f>CUBEVALUE(ConnectionString,ReportMonth,Table1[[#This Row],[Site ID (from DATIM)]],"[Measures].[DIED]")</f>
        <v/>
      </c>
      <c r="AM280" s="67" t="str" vm="4223">
        <f>CUBEVALUE(ConnectionString,ReportMonth,Table1[[#This Row],[Site ID (from DATIM)]],"[Measures].[MMS_01_31]")</f>
        <v/>
      </c>
      <c r="AN280" s="67" t="str" vm="7610">
        <f>CUBEVALUE(ConnectionString,ReportMonth,Table1[[#This Row],[Site ID (from DATIM)]],"[Measures].[MMS_32_62]")</f>
        <v/>
      </c>
      <c r="AO280" s="67" t="str" vm="8821">
        <f>CUBEVALUE(ConnectionString,ReportMonth,Table1[[#This Row],[Site ID (from DATIM)]],"[Measures].[MMS_63+]")</f>
        <v/>
      </c>
      <c r="AP280" s="67" t="str" vm="4917">
        <f>CUBEVALUE(ConnectionString,ReportMonth,Table1[[#This Row],[Site ID (from DATIM)]],"[Measures].[TBPREV_D]")</f>
        <v/>
      </c>
      <c r="AQ280" s="67" t="str" vm="4573">
        <f>CUBEVALUE(ConnectionString,ReportMonth,Table1[[#This Row],[Site ID (from DATIM)]],"[Measures].[TBPREV_N]")</f>
        <v/>
      </c>
      <c r="AR280" s="67" t="str" vm="7445">
        <f>CUBEVALUE(ConnectionString,ReportMonth,Table1[[#This Row],[Site ID (from DATIM)]],"[Measures].[TBPREV_NEW]")</f>
        <v/>
      </c>
      <c r="AS280" s="67" t="str" vm="5840">
        <f>CUBEVALUE(ConnectionString,ReportMonth,Table1[[#This Row],[Site ID (from DATIM)]],"[Measures].[HVL_ELIG_P]")</f>
        <v/>
      </c>
      <c r="AT280" s="67" t="str" vm="9241">
        <f>CUBEVALUE(ConnectionString,ReportMonth,Table1[[#This Row],[Site ID (from DATIM)]],"[Measures].[HVL_D_P]")</f>
        <v/>
      </c>
      <c r="AU280" s="67" t="str" vm="9209">
        <f>CUBEVALUE(ConnectionString,ReportMonth,Table1[[#This Row],[Site ID (from DATIM)]],"[Measures].[HVL_N_P]")</f>
        <v/>
      </c>
      <c r="AV280" s="68" t="str" vm="11048">
        <f>CUBEVALUE(ConnectionString,ReportMonth,Table1[[#This Row],[Site ID (from DATIM)]],"[Measures].[HVL_ELIG_A]")</f>
        <v/>
      </c>
      <c r="AW280" s="68" t="str" vm="11169">
        <f>CUBEVALUE(ConnectionString,ReportMonth,Table1[[#This Row],[Site ID (from DATIM)]],"[Measures].[HVL_D_A]")</f>
        <v/>
      </c>
      <c r="AX280" s="68" t="str" vm="10442">
        <f>CUBEVALUE(ConnectionString,ReportMonth,Table1[[#This Row],[Site ID (from DATIM)]],"[Measures].[HVL_N_A]")</f>
        <v/>
      </c>
      <c r="AY280" s="67"/>
      <c r="AZ280" s="67"/>
      <c r="BA280" s="67"/>
      <c r="BB280" s="67"/>
      <c r="BC280" s="67"/>
      <c r="BD280" s="67"/>
      <c r="BE280" s="67"/>
      <c r="BF280" s="67"/>
      <c r="BG280" s="67" t="str" vm="10182">
        <f>CUBEVALUE(ConnectionString,ReportMonth,Table1[[#This Row],[Site ID (from DATIM)]],"[Measures].[TX_NEW_F_A]")</f>
        <v/>
      </c>
      <c r="BH280" s="67" t="str" vm="13579">
        <f>CUBEVALUE(ConnectionString,ReportMonth,Table1[[#This Row],[Site ID (from DATIM)]],"[Measures].[TX_NEW_M_A]")</f>
        <v/>
      </c>
      <c r="BI280" s="67" t="str" vm="13125">
        <f>CUBEVALUE(ConnectionString,ReportMonth,Table1[[#This Row],[Site ID (from DATIM)]],"[Measures].[TX_NEW_F_P]")</f>
        <v/>
      </c>
      <c r="BJ280" s="68" t="str" vm="14801">
        <f>CUBEVALUE(ConnectionString,ReportMonth,Table1[[#This Row],[Site ID (from DATIM)]],"[Measures].[TX_NEW_M_P]")</f>
        <v/>
      </c>
      <c r="BK280" s="68"/>
      <c r="BL280" s="68"/>
      <c r="BM280" s="68"/>
      <c r="BN280" s="68"/>
      <c r="BO280" s="68"/>
      <c r="BP280" s="68"/>
      <c r="BQ280" s="68" t="str" vm="12295">
        <f>CUBEVALUE(ConnectionString,ReportMonth,Table1[[#This Row],[Site ID (from DATIM)]],"[Measures].[TX_CURR_F_P]")</f>
        <v/>
      </c>
      <c r="BR280" s="68" t="str" vm="10089">
        <f>CUBEVALUE(ConnectionString,ReportMonth,Table1[[#This Row],[Site ID (from DATIM)]],"[Measures].[TX_CURR_M_P]")</f>
        <v/>
      </c>
      <c r="BS280" s="68" t="str" vm="6598">
        <f>CUBEVALUE(ConnectionString,ReportMonth,Table1[[#This Row],[Site ID (from DATIM)]],"[Measures].[TX_CURR_F_A]")</f>
        <v/>
      </c>
      <c r="BT280" s="68" t="str" vm="10884">
        <f>CUBEVALUE(ConnectionString,ReportMonth,Table1[[#This Row],[Site ID (from DATIM)]],"[Measures].[TX_CURR_M_A]")</f>
        <v/>
      </c>
      <c r="BU280" s="68" t="str" vm="20047">
        <f>CUBEVALUE(ConnectionString,ReportMonth,Table1[[#This Row],[Site ID (from DATIM)]],"[Measures].[MMS_01_89_F_P]")</f>
        <v/>
      </c>
      <c r="BV280" s="68" t="str" vm="19492">
        <f>CUBEVALUE(ConnectionString,ReportMonth,Table1[[#This Row],[Site ID (from DATIM)]],"[Measures].[MMS_01_89_M_P]")</f>
        <v/>
      </c>
      <c r="BW280" s="68" t="str" vm="17856">
        <f>CUBEVALUE(ConnectionString,ReportMonth,Table1[[#This Row],[Site ID (from DATIM)]],"[Measures].[MMS_01_89_F_A]")</f>
        <v/>
      </c>
      <c r="BX280" s="68" t="str" vm="18533">
        <f>CUBEVALUE(ConnectionString,ReportMonth,Table1[[#This Row],[Site ID (from DATIM)]],"[Measures].[MMS_01_89_M_A]")</f>
        <v/>
      </c>
      <c r="BY280" s="68" t="str" vm="18569">
        <f>CUBEVALUE(ConnectionString,ReportMonth,Table1[[#This Row],[Site ID (from DATIM)]],"[Measures].[MMS_90_179_F_P]")</f>
        <v/>
      </c>
      <c r="BZ280" s="68" t="str" vm="16943">
        <f>CUBEVALUE(ConnectionString,ReportMonth,Table1[[#This Row],[Site ID (from DATIM)]],"[Measures].[MMS_90_179_M_P]")</f>
        <v/>
      </c>
      <c r="CA280" s="68" t="str" vm="18451">
        <f>CUBEVALUE(ConnectionString,ReportMonth,Table1[[#This Row],[Site ID (from DATIM)]],"[Measures].[MMS_90_179_F_A]")</f>
        <v/>
      </c>
      <c r="CB280" s="68" t="str" vm="15613">
        <f>CUBEVALUE(ConnectionString,ReportMonth,Table1[[#This Row],[Site ID (from DATIM)]],"[Measures].[MMS_90_179_M_A]")</f>
        <v/>
      </c>
      <c r="CC280" s="68" t="str" vm="17291">
        <f>CUBEVALUE(ConnectionString,ReportMonth,Table1[[#This Row],[Site ID (from DATIM)]],"[Measures].[MMS_180+_F_P]")</f>
        <v/>
      </c>
      <c r="CD280" s="68" t="str" vm="15817">
        <f>CUBEVALUE(ConnectionString,ReportMonth,Table1[[#This Row],[Site ID (from DATIM)]],"[Measures].[MMS_180+_M_P]")</f>
        <v/>
      </c>
      <c r="CE280" s="68" t="str" vm="15003">
        <f>CUBEVALUE(ConnectionString,ReportMonth,Table1[[#This Row],[Site ID (from DATIM)]],"[Measures].[MMS_180+_F_A]")</f>
        <v/>
      </c>
      <c r="CF280" s="68" t="str" vm="14467">
        <f>CUBEVALUE(ConnectionString,ReportMonth,Table1[[#This Row],[Site ID (from DATIM)]],"[Measures].[MMS_180+_M_A]")</f>
        <v/>
      </c>
      <c r="CG280" s="68" t="str" vm="9744">
        <f>CUBEVALUE(ConnectionString,ReportMonth,Table1[[#This Row],[Site ID (from DATIM)]],"[Measures].[MISSEDAPP]")</f>
        <v/>
      </c>
      <c r="CH280" s="68" t="str" vm="13515">
        <f>CUBEVALUE(ConnectionString,ReportMonth,Table1[[#This Row],[Site ID (from DATIM)]],"[Measures].[MMS_180+_P]")</f>
        <v/>
      </c>
      <c r="CI280" s="68" t="str" vm="13931">
        <f>CUBEVALUE(ConnectionString,ReportMonth,Table1[[#This Row],[Site ID (from DATIM)]],"[Measures].[MMS_180+_A]")</f>
        <v/>
      </c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  <c r="CW280" s="68"/>
      <c r="CX280" s="68"/>
      <c r="CY280" s="68"/>
      <c r="CZ280" s="68"/>
      <c r="DA280" s="68"/>
      <c r="DB280" s="68"/>
      <c r="DC280" s="68"/>
    </row>
    <row r="281" spans="1:107" x14ac:dyDescent="0.25">
      <c r="A281" s="66">
        <v>4</v>
      </c>
      <c r="B281" s="67" t="str" vm="4">
        <f t="shared" si="5"/>
        <v>Mar-2021</v>
      </c>
      <c r="C281" s="67"/>
      <c r="D281" s="67" t="s">
        <v>232</v>
      </c>
      <c r="E281" s="67" t="s">
        <v>233</v>
      </c>
      <c r="F281" s="67" t="s">
        <v>1286</v>
      </c>
      <c r="G281" s="67"/>
      <c r="H281" s="67" t="s">
        <v>1296</v>
      </c>
      <c r="I281" s="67" t="s">
        <v>1446</v>
      </c>
      <c r="J281" s="67" t="s">
        <v>1447</v>
      </c>
      <c r="K281" s="67" t="s">
        <v>1448</v>
      </c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 t="str" vm="1659">
        <f>CUBEVALUE(ConnectionString,ReportMonth,Table1[[#This Row],[Site ID (from DATIM)]],"TX_NEW_2VIS")</f>
        <v/>
      </c>
      <c r="AE281" s="67" t="str" vm="4154">
        <f>CUBEVALUE(ConnectionString,ReportMonth,Table1[[#This Row],[Site ID (from DATIM)]],INDEX(SDI_Measures,1))</f>
        <v/>
      </c>
      <c r="AF281" s="67" t="str" vm="4001">
        <f>CUBEVALUE(ConnectionString,ReportMonth,Table1[[#This Row],[Site ID (from DATIM)]],INDEX(SDI_Measures,2))</f>
        <v/>
      </c>
      <c r="AG281" s="67" t="str" vm="1938">
        <f>CUBEVALUE(ConnectionString,ReportMonth,Table1[[#This Row],[Site ID (from DATIM)]],INDEX(SDI_Measures,3))</f>
        <v/>
      </c>
      <c r="AH281" s="67" t="str" vm="2905">
        <f>CUBEVALUE(ConnectionString,ReportMonth,Table1[[#This Row],[Site ID (from DATIM)]],"TX_CURR_PRIOR_MONTH")</f>
        <v/>
      </c>
      <c r="AI281" s="67" t="str" vm="2278">
        <f>CUBEVALUE(ConnectionString,ReportMonth,Table1[[#This Row],[Site ID (from DATIM)]],"TX_CURR")</f>
        <v/>
      </c>
      <c r="AJ281" s="67" t="str" vm="1402">
        <f>CUBEVALUE(ConnectionString,ReportMonth,Table1[[#This Row],[Site ID (from DATIM)]],"[Measures].[TI]")</f>
        <v/>
      </c>
      <c r="AK281" s="67" t="str" vm="6937">
        <f>CUBEVALUE(ConnectionString,ReportMonth,Table1[[#This Row],[Site ID (from DATIM)]],"[Measures].[TO]")</f>
        <v/>
      </c>
      <c r="AL281" s="67" t="str" vm="3634">
        <f>CUBEVALUE(ConnectionString,ReportMonth,Table1[[#This Row],[Site ID (from DATIM)]],"[Measures].[DIED]")</f>
        <v/>
      </c>
      <c r="AM281" s="67" t="str" vm="10964">
        <f>CUBEVALUE(ConnectionString,ReportMonth,Table1[[#This Row],[Site ID (from DATIM)]],"[Measures].[MMS_01_31]")</f>
        <v/>
      </c>
      <c r="AN281" s="67" t="str" vm="9929">
        <f>CUBEVALUE(ConnectionString,ReportMonth,Table1[[#This Row],[Site ID (from DATIM)]],"[Measures].[MMS_32_62]")</f>
        <v/>
      </c>
      <c r="AO281" s="67" t="str" vm="5270">
        <f>CUBEVALUE(ConnectionString,ReportMonth,Table1[[#This Row],[Site ID (from DATIM)]],"[Measures].[MMS_63+]")</f>
        <v/>
      </c>
      <c r="AP281" s="67" t="str" vm="6735">
        <f>CUBEVALUE(ConnectionString,ReportMonth,Table1[[#This Row],[Site ID (from DATIM)]],"[Measures].[TBPREV_D]")</f>
        <v/>
      </c>
      <c r="AQ281" s="67" t="str" vm="6416">
        <f>CUBEVALUE(ConnectionString,ReportMonth,Table1[[#This Row],[Site ID (from DATIM)]],"[Measures].[TBPREV_N]")</f>
        <v/>
      </c>
      <c r="AR281" s="67" t="str" vm="6988">
        <f>CUBEVALUE(ConnectionString,ReportMonth,Table1[[#This Row],[Site ID (from DATIM)]],"[Measures].[TBPREV_NEW]")</f>
        <v/>
      </c>
      <c r="AS281" s="67" t="str" vm="11288">
        <f>CUBEVALUE(ConnectionString,ReportMonth,Table1[[#This Row],[Site ID (from DATIM)]],"[Measures].[HVL_ELIG_P]")</f>
        <v/>
      </c>
      <c r="AT281" s="67" t="str" vm="5947">
        <f>CUBEVALUE(ConnectionString,ReportMonth,Table1[[#This Row],[Site ID (from DATIM)]],"[Measures].[HVL_D_P]")</f>
        <v/>
      </c>
      <c r="AU281" s="67" t="str" vm="8865">
        <f>CUBEVALUE(ConnectionString,ReportMonth,Table1[[#This Row],[Site ID (from DATIM)]],"[Measures].[HVL_N_P]")</f>
        <v/>
      </c>
      <c r="AV281" s="68" t="str" vm="6814">
        <f>CUBEVALUE(ConnectionString,ReportMonth,Table1[[#This Row],[Site ID (from DATIM)]],"[Measures].[HVL_ELIG_A]")</f>
        <v/>
      </c>
      <c r="AW281" s="68" t="str" vm="6608">
        <f>CUBEVALUE(ConnectionString,ReportMonth,Table1[[#This Row],[Site ID (from DATIM)]],"[Measures].[HVL_D_A]")</f>
        <v/>
      </c>
      <c r="AX281" s="68" t="str" vm="8507">
        <f>CUBEVALUE(ConnectionString,ReportMonth,Table1[[#This Row],[Site ID (from DATIM)]],"[Measures].[HVL_N_A]")</f>
        <v/>
      </c>
      <c r="AY281" s="67"/>
      <c r="AZ281" s="67"/>
      <c r="BA281" s="67"/>
      <c r="BB281" s="67"/>
      <c r="BC281" s="67"/>
      <c r="BD281" s="67"/>
      <c r="BE281" s="67"/>
      <c r="BF281" s="67"/>
      <c r="BG281" s="67" t="str" vm="13836">
        <f>CUBEVALUE(ConnectionString,ReportMonth,Table1[[#This Row],[Site ID (from DATIM)]],"[Measures].[TX_NEW_F_A]")</f>
        <v/>
      </c>
      <c r="BH281" s="67" t="str" vm="14136">
        <f>CUBEVALUE(ConnectionString,ReportMonth,Table1[[#This Row],[Site ID (from DATIM)]],"[Measures].[TX_NEW_M_A]")</f>
        <v/>
      </c>
      <c r="BI281" s="67" t="str" vm="13751">
        <f>CUBEVALUE(ConnectionString,ReportMonth,Table1[[#This Row],[Site ID (from DATIM)]],"[Measures].[TX_NEW_F_P]")</f>
        <v/>
      </c>
      <c r="BJ281" s="68" t="str" vm="17449">
        <f>CUBEVALUE(ConnectionString,ReportMonth,Table1[[#This Row],[Site ID (from DATIM)]],"[Measures].[TX_NEW_M_P]")</f>
        <v/>
      </c>
      <c r="BK281" s="68"/>
      <c r="BL281" s="68"/>
      <c r="BM281" s="68"/>
      <c r="BN281" s="68"/>
      <c r="BO281" s="68"/>
      <c r="BP281" s="68"/>
      <c r="BQ281" s="68" t="str" vm="9637">
        <f>CUBEVALUE(ConnectionString,ReportMonth,Table1[[#This Row],[Site ID (from DATIM)]],"[Measures].[TX_CURR_F_P]")</f>
        <v/>
      </c>
      <c r="BR281" s="68" t="str" vm="12717">
        <f>CUBEVALUE(ConnectionString,ReportMonth,Table1[[#This Row],[Site ID (from DATIM)]],"[Measures].[TX_CURR_M_P]")</f>
        <v/>
      </c>
      <c r="BS281" s="68" t="str" vm="7018">
        <f>CUBEVALUE(ConnectionString,ReportMonth,Table1[[#This Row],[Site ID (from DATIM)]],"[Measures].[TX_CURR_F_A]")</f>
        <v/>
      </c>
      <c r="BT281" s="68" t="str" vm="11453">
        <f>CUBEVALUE(ConnectionString,ReportMonth,Table1[[#This Row],[Site ID (from DATIM)]],"[Measures].[TX_CURR_M_A]")</f>
        <v/>
      </c>
      <c r="BU281" s="68" t="str" vm="18696">
        <f>CUBEVALUE(ConnectionString,ReportMonth,Table1[[#This Row],[Site ID (from DATIM)]],"[Measures].[MMS_01_89_F_P]")</f>
        <v/>
      </c>
      <c r="BV281" s="68" t="str" vm="18595">
        <f>CUBEVALUE(ConnectionString,ReportMonth,Table1[[#This Row],[Site ID (from DATIM)]],"[Measures].[MMS_01_89_M_P]")</f>
        <v/>
      </c>
      <c r="BW281" s="68" t="str" vm="19239">
        <f>CUBEVALUE(ConnectionString,ReportMonth,Table1[[#This Row],[Site ID (from DATIM)]],"[Measures].[MMS_01_89_F_A]")</f>
        <v/>
      </c>
      <c r="BX281" s="68" t="str" vm="18000">
        <f>CUBEVALUE(ConnectionString,ReportMonth,Table1[[#This Row],[Site ID (from DATIM)]],"[Measures].[MMS_01_89_M_A]")</f>
        <v/>
      </c>
      <c r="BY281" s="68" t="str" vm="18253">
        <f>CUBEVALUE(ConnectionString,ReportMonth,Table1[[#This Row],[Site ID (from DATIM)]],"[Measures].[MMS_90_179_F_P]")</f>
        <v/>
      </c>
      <c r="BZ281" s="68" t="str" vm="17896">
        <f>CUBEVALUE(ConnectionString,ReportMonth,Table1[[#This Row],[Site ID (from DATIM)]],"[Measures].[MMS_90_179_M_P]")</f>
        <v/>
      </c>
      <c r="CA281" s="68" t="str" vm="17725">
        <f>CUBEVALUE(ConnectionString,ReportMonth,Table1[[#This Row],[Site ID (from DATIM)]],"[Measures].[MMS_90_179_F_A]")</f>
        <v/>
      </c>
      <c r="CB281" s="68" t="str" vm="14615">
        <f>CUBEVALUE(ConnectionString,ReportMonth,Table1[[#This Row],[Site ID (from DATIM)]],"[Measures].[MMS_90_179_M_A]")</f>
        <v/>
      </c>
      <c r="CC281" s="68" t="str" vm="17250">
        <f>CUBEVALUE(ConnectionString,ReportMonth,Table1[[#This Row],[Site ID (from DATIM)]],"[Measures].[MMS_180+_F_P]")</f>
        <v/>
      </c>
      <c r="CD281" s="68" t="str" vm="16213">
        <f>CUBEVALUE(ConnectionString,ReportMonth,Table1[[#This Row],[Site ID (from DATIM)]],"[Measures].[MMS_180+_M_P]")</f>
        <v/>
      </c>
      <c r="CE281" s="68" t="str" vm="17110">
        <f>CUBEVALUE(ConnectionString,ReportMonth,Table1[[#This Row],[Site ID (from DATIM)]],"[Measures].[MMS_180+_F_A]")</f>
        <v/>
      </c>
      <c r="CF281" s="68" t="str" vm="33">
        <f>CUBEVALUE(ConnectionString,ReportMonth,Table1[[#This Row],[Site ID (from DATIM)]],"[Measures].[MMS_180+_M_A]")</f>
        <v/>
      </c>
      <c r="CG281" s="68" t="str" vm="7384">
        <f>CUBEVALUE(ConnectionString,ReportMonth,Table1[[#This Row],[Site ID (from DATIM)]],"[Measures].[MISSEDAPP]")</f>
        <v/>
      </c>
      <c r="CH281" s="68" t="str" vm="13560">
        <f>CUBEVALUE(ConnectionString,ReportMonth,Table1[[#This Row],[Site ID (from DATIM)]],"[Measures].[MMS_180+_P]")</f>
        <v/>
      </c>
      <c r="CI281" s="68" t="str" vm="13272">
        <f>CUBEVALUE(ConnectionString,ReportMonth,Table1[[#This Row],[Site ID (from DATIM)]],"[Measures].[MMS_180+_A]")</f>
        <v/>
      </c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  <c r="CW281" s="68"/>
      <c r="CX281" s="68"/>
      <c r="CY281" s="68"/>
      <c r="CZ281" s="68"/>
      <c r="DA281" s="68"/>
      <c r="DB281" s="68"/>
      <c r="DC281" s="68"/>
    </row>
    <row r="282" spans="1:107" x14ac:dyDescent="0.25">
      <c r="A282" s="66">
        <v>2</v>
      </c>
      <c r="B282" s="67" t="str" vm="4">
        <f t="shared" si="5"/>
        <v>Mar-2021</v>
      </c>
      <c r="C282" s="67"/>
      <c r="D282" s="67" t="s">
        <v>232</v>
      </c>
      <c r="E282" s="67" t="s">
        <v>233</v>
      </c>
      <c r="F282" s="67" t="s">
        <v>437</v>
      </c>
      <c r="G282" s="67"/>
      <c r="H282" s="67" t="s">
        <v>454</v>
      </c>
      <c r="I282" s="67" t="s">
        <v>685</v>
      </c>
      <c r="J282" s="67" t="s">
        <v>686</v>
      </c>
      <c r="K282" s="67" t="s">
        <v>687</v>
      </c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 vm="2341">
        <f>CUBEVALUE(ConnectionString,ReportMonth,Table1[[#This Row],[Site ID (from DATIM)]],"TX_NEW_2VIS")</f>
        <v>5</v>
      </c>
      <c r="AE282" s="67" vm="7407">
        <f>CUBEVALUE(ConnectionString,ReportMonth,Table1[[#This Row],[Site ID (from DATIM)]],INDEX(SDI_Measures,1))</f>
        <v>5</v>
      </c>
      <c r="AF282" s="67" t="str" vm="316">
        <f>CUBEVALUE(ConnectionString,ReportMonth,Table1[[#This Row],[Site ID (from DATIM)]],INDEX(SDI_Measures,2))</f>
        <v/>
      </c>
      <c r="AG282" s="67" t="str" vm="790">
        <f>CUBEVALUE(ConnectionString,ReportMonth,Table1[[#This Row],[Site ID (from DATIM)]],INDEX(SDI_Measures,3))</f>
        <v/>
      </c>
      <c r="AH282" s="67" vm="3560">
        <f>CUBEVALUE(ConnectionString,ReportMonth,Table1[[#This Row],[Site ID (from DATIM)]],"TX_CURR_PRIOR_MONTH")</f>
        <v>638</v>
      </c>
      <c r="AI282" s="67" vm="3622">
        <f>CUBEVALUE(ConnectionString,ReportMonth,Table1[[#This Row],[Site ID (from DATIM)]],"TX_CURR")</f>
        <v>622</v>
      </c>
      <c r="AJ282" s="67" vm="3020">
        <f>CUBEVALUE(ConnectionString,ReportMonth,Table1[[#This Row],[Site ID (from DATIM)]],"[Measures].[TI]")</f>
        <v>2</v>
      </c>
      <c r="AK282" s="67" t="str" vm="11526">
        <f>CUBEVALUE(ConnectionString,ReportMonth,Table1[[#This Row],[Site ID (from DATIM)]],"[Measures].[TO]")</f>
        <v/>
      </c>
      <c r="AL282" s="67" t="str" vm="2013">
        <f>CUBEVALUE(ConnectionString,ReportMonth,Table1[[#This Row],[Site ID (from DATIM)]],"[Measures].[DIED]")</f>
        <v/>
      </c>
      <c r="AM282" s="67" vm="4081">
        <f>CUBEVALUE(ConnectionString,ReportMonth,Table1[[#This Row],[Site ID (from DATIM)]],"[Measures].[MMS_01_31]")</f>
        <v>141</v>
      </c>
      <c r="AN282" s="67" vm="6070">
        <f>CUBEVALUE(ConnectionString,ReportMonth,Table1[[#This Row],[Site ID (from DATIM)]],"[Measures].[MMS_32_62]")</f>
        <v>5</v>
      </c>
      <c r="AO282" s="67" vm="5498">
        <f>CUBEVALUE(ConnectionString,ReportMonth,Table1[[#This Row],[Site ID (from DATIM)]],"[Measures].[MMS_63+]")</f>
        <v>476</v>
      </c>
      <c r="AP282" s="67" vm="9395">
        <f>CUBEVALUE(ConnectionString,ReportMonth,Table1[[#This Row],[Site ID (from DATIM)]],"[Measures].[TBPREV_D]")</f>
        <v>34</v>
      </c>
      <c r="AQ282" s="67" vm="5430">
        <f>CUBEVALUE(ConnectionString,ReportMonth,Table1[[#This Row],[Site ID (from DATIM)]],"[Measures].[TBPREV_N]")</f>
        <v>31</v>
      </c>
      <c r="AR282" s="67" vm="9588">
        <f>CUBEVALUE(ConnectionString,ReportMonth,Table1[[#This Row],[Site ID (from DATIM)]],"[Measures].[TBPREV_NEW]")</f>
        <v>3</v>
      </c>
      <c r="AS282" s="67" vm="7884">
        <f>CUBEVALUE(ConnectionString,ReportMonth,Table1[[#This Row],[Site ID (from DATIM)]],"[Measures].[HVL_ELIG_P]")</f>
        <v>27</v>
      </c>
      <c r="AT282" s="67" vm="4890">
        <f>CUBEVALUE(ConnectionString,ReportMonth,Table1[[#This Row],[Site ID (from DATIM)]],"[Measures].[HVL_D_P]")</f>
        <v>25</v>
      </c>
      <c r="AU282" s="67" vm="13769">
        <f>CUBEVALUE(ConnectionString,ReportMonth,Table1[[#This Row],[Site ID (from DATIM)]],"[Measures].[HVL_N_P]")</f>
        <v>22</v>
      </c>
      <c r="AV282" s="68" vm="10781">
        <f>CUBEVALUE(ConnectionString,ReportMonth,Table1[[#This Row],[Site ID (from DATIM)]],"[Measures].[HVL_ELIG_A]")</f>
        <v>518</v>
      </c>
      <c r="AW282" s="68" vm="8559">
        <f>CUBEVALUE(ConnectionString,ReportMonth,Table1[[#This Row],[Site ID (from DATIM)]],"[Measures].[HVL_D_A]")</f>
        <v>400</v>
      </c>
      <c r="AX282" s="68" vm="8845">
        <f>CUBEVALUE(ConnectionString,ReportMonth,Table1[[#This Row],[Site ID (from DATIM)]],"[Measures].[HVL_N_A]")</f>
        <v>379</v>
      </c>
      <c r="AY282" s="67"/>
      <c r="AZ282" s="67"/>
      <c r="BA282" s="67"/>
      <c r="BB282" s="67"/>
      <c r="BC282" s="67"/>
      <c r="BD282" s="67"/>
      <c r="BE282" s="67"/>
      <c r="BF282" s="67"/>
      <c r="BG282" s="67" vm="12700">
        <f>CUBEVALUE(ConnectionString,ReportMonth,Table1[[#This Row],[Site ID (from DATIM)]],"[Measures].[TX_NEW_F_A]")</f>
        <v>3</v>
      </c>
      <c r="BH282" s="67" vm="10187">
        <f>CUBEVALUE(ConnectionString,ReportMonth,Table1[[#This Row],[Site ID (from DATIM)]],"[Measures].[TX_NEW_M_A]")</f>
        <v>2</v>
      </c>
      <c r="BI282" s="67" t="str" vm="14273">
        <f>CUBEVALUE(ConnectionString,ReportMonth,Table1[[#This Row],[Site ID (from DATIM)]],"[Measures].[TX_NEW_F_P]")</f>
        <v/>
      </c>
      <c r="BJ282" s="68" t="str" vm="13089">
        <f>CUBEVALUE(ConnectionString,ReportMonth,Table1[[#This Row],[Site ID (from DATIM)]],"[Measures].[TX_NEW_M_P]")</f>
        <v/>
      </c>
      <c r="BK282" s="68"/>
      <c r="BL282" s="68"/>
      <c r="BM282" s="68"/>
      <c r="BN282" s="68"/>
      <c r="BO282" s="68"/>
      <c r="BP282" s="68"/>
      <c r="BQ282" s="68" vm="9608">
        <f>CUBEVALUE(ConnectionString,ReportMonth,Table1[[#This Row],[Site ID (from DATIM)]],"[Measures].[TX_CURR_F_P]")</f>
        <v>18</v>
      </c>
      <c r="BR282" s="68" vm="13912">
        <f>CUBEVALUE(ConnectionString,ReportMonth,Table1[[#This Row],[Site ID (from DATIM)]],"[Measures].[TX_CURR_M_P]")</f>
        <v>11</v>
      </c>
      <c r="BS282" s="68" vm="8457">
        <f>CUBEVALUE(ConnectionString,ReportMonth,Table1[[#This Row],[Site ID (from DATIM)]],"[Measures].[TX_CURR_F_A]")</f>
        <v>439</v>
      </c>
      <c r="BT282" s="68" vm="8429">
        <f>CUBEVALUE(ConnectionString,ReportMonth,Table1[[#This Row],[Site ID (from DATIM)]],"[Measures].[TX_CURR_M_A]")</f>
        <v>154</v>
      </c>
      <c r="BU282" s="68" vm="19253">
        <f>CUBEVALUE(ConnectionString,ReportMonth,Table1[[#This Row],[Site ID (from DATIM)]],"[Measures].[MMS_01_89_F_P]")</f>
        <v>10</v>
      </c>
      <c r="BV282" s="68" vm="19827">
        <f>CUBEVALUE(ConnectionString,ReportMonth,Table1[[#This Row],[Site ID (from DATIM)]],"[Measures].[MMS_01_89_M_P]")</f>
        <v>3</v>
      </c>
      <c r="BW282" s="68" vm="18249">
        <f>CUBEVALUE(ConnectionString,ReportMonth,Table1[[#This Row],[Site ID (from DATIM)]],"[Measures].[MMS_01_89_F_A]")</f>
        <v>97</v>
      </c>
      <c r="BX282" s="68" vm="17885">
        <f>CUBEVALUE(ConnectionString,ReportMonth,Table1[[#This Row],[Site ID (from DATIM)]],"[Measures].[MMS_01_89_M_A]")</f>
        <v>36</v>
      </c>
      <c r="BY282" s="68" vm="19900">
        <f>CUBEVALUE(ConnectionString,ReportMonth,Table1[[#This Row],[Site ID (from DATIM)]],"[Measures].[MMS_90_179_F_P]")</f>
        <v>8</v>
      </c>
      <c r="BZ282" s="68" vm="16522">
        <f>CUBEVALUE(ConnectionString,ReportMonth,Table1[[#This Row],[Site ID (from DATIM)]],"[Measures].[MMS_90_179_M_P]")</f>
        <v>8</v>
      </c>
      <c r="CA282" s="68" vm="16863">
        <f>CUBEVALUE(ConnectionString,ReportMonth,Table1[[#This Row],[Site ID (from DATIM)]],"[Measures].[MMS_90_179_F_A]")</f>
        <v>341</v>
      </c>
      <c r="CB282" s="68" vm="16377">
        <f>CUBEVALUE(ConnectionString,ReportMonth,Table1[[#This Row],[Site ID (from DATIM)]],"[Measures].[MMS_90_179_M_A]")</f>
        <v>118</v>
      </c>
      <c r="CC282" s="68" t="str" vm="17249">
        <f>CUBEVALUE(ConnectionString,ReportMonth,Table1[[#This Row],[Site ID (from DATIM)]],"[Measures].[MMS_180+_F_P]")</f>
        <v/>
      </c>
      <c r="CD282" s="68" t="str" vm="16769">
        <f>CUBEVALUE(ConnectionString,ReportMonth,Table1[[#This Row],[Site ID (from DATIM)]],"[Measures].[MMS_180+_M_P]")</f>
        <v/>
      </c>
      <c r="CE282" s="68" vm="14452">
        <f>CUBEVALUE(ConnectionString,ReportMonth,Table1[[#This Row],[Site ID (from DATIM)]],"[Measures].[MMS_180+_F_A]")</f>
        <v>1</v>
      </c>
      <c r="CF282" s="68" t="str" vm="60">
        <f>CUBEVALUE(ConnectionString,ReportMonth,Table1[[#This Row],[Site ID (from DATIM)]],"[Measures].[MMS_180+_M_A]")</f>
        <v/>
      </c>
      <c r="CG282" s="68" vm="12713">
        <f>CUBEVALUE(ConnectionString,ReportMonth,Table1[[#This Row],[Site ID (from DATIM)]],"[Measures].[MISSEDAPP]")</f>
        <v>204</v>
      </c>
      <c r="CH282" s="68" t="str" vm="13030">
        <f>CUBEVALUE(ConnectionString,ReportMonth,Table1[[#This Row],[Site ID (from DATIM)]],"[Measures].[MMS_180+_P]")</f>
        <v/>
      </c>
      <c r="CI282" s="68" vm="10858">
        <f>CUBEVALUE(ConnectionString,ReportMonth,Table1[[#This Row],[Site ID (from DATIM)]],"[Measures].[MMS_180+_A]")</f>
        <v>1</v>
      </c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  <c r="CW282" s="68"/>
      <c r="CX282" s="68"/>
      <c r="CY282" s="68"/>
      <c r="CZ282" s="68"/>
      <c r="DA282" s="68"/>
      <c r="DB282" s="68"/>
      <c r="DC282" s="68"/>
    </row>
    <row r="283" spans="1:107" x14ac:dyDescent="0.25">
      <c r="A283" s="66">
        <v>4</v>
      </c>
      <c r="B283" s="67" t="str" vm="4">
        <f t="shared" si="5"/>
        <v>Mar-2021</v>
      </c>
      <c r="C283" s="67"/>
      <c r="D283" s="67" t="s">
        <v>232</v>
      </c>
      <c r="E283" s="67" t="s">
        <v>233</v>
      </c>
      <c r="F283" s="67" t="s">
        <v>437</v>
      </c>
      <c r="G283" s="67"/>
      <c r="H283" s="67" t="s">
        <v>442</v>
      </c>
      <c r="I283" s="67" t="s">
        <v>688</v>
      </c>
      <c r="J283" s="67" t="s">
        <v>689</v>
      </c>
      <c r="K283" s="67" t="s">
        <v>690</v>
      </c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 t="str" vm="2093">
        <f>CUBEVALUE(ConnectionString,ReportMonth,Table1[[#This Row],[Site ID (from DATIM)]],"TX_NEW_2VIS")</f>
        <v/>
      </c>
      <c r="AE283" s="67" t="str" vm="597">
        <f>CUBEVALUE(ConnectionString,ReportMonth,Table1[[#This Row],[Site ID (from DATIM)]],INDEX(SDI_Measures,1))</f>
        <v/>
      </c>
      <c r="AF283" s="67" t="str" vm="259">
        <f>CUBEVALUE(ConnectionString,ReportMonth,Table1[[#This Row],[Site ID (from DATIM)]],INDEX(SDI_Measures,2))</f>
        <v/>
      </c>
      <c r="AG283" s="67" t="str" vm="3892">
        <f>CUBEVALUE(ConnectionString,ReportMonth,Table1[[#This Row],[Site ID (from DATIM)]],INDEX(SDI_Measures,3))</f>
        <v/>
      </c>
      <c r="AH283" s="67" vm="2082">
        <f>CUBEVALUE(ConnectionString,ReportMonth,Table1[[#This Row],[Site ID (from DATIM)]],"TX_CURR_PRIOR_MONTH")</f>
        <v>6</v>
      </c>
      <c r="AI283" s="67" vm="3066">
        <f>CUBEVALUE(ConnectionString,ReportMonth,Table1[[#This Row],[Site ID (from DATIM)]],"TX_CURR")</f>
        <v>6</v>
      </c>
      <c r="AJ283" s="67" t="str" vm="2479">
        <f>CUBEVALUE(ConnectionString,ReportMonth,Table1[[#This Row],[Site ID (from DATIM)]],"[Measures].[TI]")</f>
        <v/>
      </c>
      <c r="AK283" s="67" t="str" vm="2350">
        <f>CUBEVALUE(ConnectionString,ReportMonth,Table1[[#This Row],[Site ID (from DATIM)]],"[Measures].[TO]")</f>
        <v/>
      </c>
      <c r="AL283" s="67" t="str" vm="3134">
        <f>CUBEVALUE(ConnectionString,ReportMonth,Table1[[#This Row],[Site ID (from DATIM)]],"[Measures].[DIED]")</f>
        <v/>
      </c>
      <c r="AM283" s="67" vm="5332">
        <f>CUBEVALUE(ConnectionString,ReportMonth,Table1[[#This Row],[Site ID (from DATIM)]],"[Measures].[MMS_01_31]")</f>
        <v>6</v>
      </c>
      <c r="AN283" s="67" t="str" vm="5099">
        <f>CUBEVALUE(ConnectionString,ReportMonth,Table1[[#This Row],[Site ID (from DATIM)]],"[Measures].[MMS_32_62]")</f>
        <v/>
      </c>
      <c r="AO283" s="67" t="str" vm="5894">
        <f>CUBEVALUE(ConnectionString,ReportMonth,Table1[[#This Row],[Site ID (from DATIM)]],"[Measures].[MMS_63+]")</f>
        <v/>
      </c>
      <c r="AP283" s="67" t="str" vm="6946">
        <f>CUBEVALUE(ConnectionString,ReportMonth,Table1[[#This Row],[Site ID (from DATIM)]],"[Measures].[TBPREV_D]")</f>
        <v/>
      </c>
      <c r="AQ283" s="67" t="str" vm="6296">
        <f>CUBEVALUE(ConnectionString,ReportMonth,Table1[[#This Row],[Site ID (from DATIM)]],"[Measures].[TBPREV_N]")</f>
        <v/>
      </c>
      <c r="AR283" s="67" t="str" vm="4713">
        <f>CUBEVALUE(ConnectionString,ReportMonth,Table1[[#This Row],[Site ID (from DATIM)]],"[Measures].[TBPREV_NEW]")</f>
        <v/>
      </c>
      <c r="AS283" s="67" t="str" vm="10276">
        <f>CUBEVALUE(ConnectionString,ReportMonth,Table1[[#This Row],[Site ID (from DATIM)]],"[Measures].[HVL_ELIG_P]")</f>
        <v/>
      </c>
      <c r="AT283" s="67" t="str" vm="13588">
        <f>CUBEVALUE(ConnectionString,ReportMonth,Table1[[#This Row],[Site ID (from DATIM)]],"[Measures].[HVL_D_P]")</f>
        <v/>
      </c>
      <c r="AU283" s="67" t="str" vm="10932">
        <f>CUBEVALUE(ConnectionString,ReportMonth,Table1[[#This Row],[Site ID (from DATIM)]],"[Measures].[HVL_N_P]")</f>
        <v/>
      </c>
      <c r="AV283" s="68" vm="8337">
        <f>CUBEVALUE(ConnectionString,ReportMonth,Table1[[#This Row],[Site ID (from DATIM)]],"[Measures].[HVL_ELIG_A]")</f>
        <v>6</v>
      </c>
      <c r="AW283" s="68" t="str" vm="11379">
        <f>CUBEVALUE(ConnectionString,ReportMonth,Table1[[#This Row],[Site ID (from DATIM)]],"[Measures].[HVL_D_A]")</f>
        <v/>
      </c>
      <c r="AX283" s="68" t="str" vm="8099">
        <f>CUBEVALUE(ConnectionString,ReportMonth,Table1[[#This Row],[Site ID (from DATIM)]],"[Measures].[HVL_N_A]")</f>
        <v/>
      </c>
      <c r="AY283" s="67"/>
      <c r="AZ283" s="67"/>
      <c r="BA283" s="67"/>
      <c r="BB283" s="67"/>
      <c r="BC283" s="67"/>
      <c r="BD283" s="67"/>
      <c r="BE283" s="67"/>
      <c r="BF283" s="67"/>
      <c r="BG283" s="67" t="str" vm="12359">
        <f>CUBEVALUE(ConnectionString,ReportMonth,Table1[[#This Row],[Site ID (from DATIM)]],"[Measures].[TX_NEW_F_A]")</f>
        <v/>
      </c>
      <c r="BH283" s="67" t="str" vm="13249">
        <f>CUBEVALUE(ConnectionString,ReportMonth,Table1[[#This Row],[Site ID (from DATIM)]],"[Measures].[TX_NEW_M_A]")</f>
        <v/>
      </c>
      <c r="BI283" s="67" t="str" vm="17386">
        <f>CUBEVALUE(ConnectionString,ReportMonth,Table1[[#This Row],[Site ID (from DATIM)]],"[Measures].[TX_NEW_F_P]")</f>
        <v/>
      </c>
      <c r="BJ283" s="68" t="str" vm="14348">
        <f>CUBEVALUE(ConnectionString,ReportMonth,Table1[[#This Row],[Site ID (from DATIM)]],"[Measures].[TX_NEW_M_P]")</f>
        <v/>
      </c>
      <c r="BK283" s="68"/>
      <c r="BL283" s="68"/>
      <c r="BM283" s="68"/>
      <c r="BN283" s="68"/>
      <c r="BO283" s="68"/>
      <c r="BP283" s="68"/>
      <c r="BQ283" s="68" t="str" vm="8470">
        <f>CUBEVALUE(ConnectionString,ReportMonth,Table1[[#This Row],[Site ID (from DATIM)]],"[Measures].[TX_CURR_F_P]")</f>
        <v/>
      </c>
      <c r="BR283" s="68" t="str" vm="10058">
        <f>CUBEVALUE(ConnectionString,ReportMonth,Table1[[#This Row],[Site ID (from DATIM)]],"[Measures].[TX_CURR_M_P]")</f>
        <v/>
      </c>
      <c r="BS283" s="68" vm="8219">
        <f>CUBEVALUE(ConnectionString,ReportMonth,Table1[[#This Row],[Site ID (from DATIM)]],"[Measures].[TX_CURR_F_A]")</f>
        <v>6</v>
      </c>
      <c r="BT283" s="68" t="str" vm="14154">
        <f>CUBEVALUE(ConnectionString,ReportMonth,Table1[[#This Row],[Site ID (from DATIM)]],"[Measures].[TX_CURR_M_A]")</f>
        <v/>
      </c>
      <c r="BU283" s="68" t="str" vm="19194">
        <f>CUBEVALUE(ConnectionString,ReportMonth,Table1[[#This Row],[Site ID (from DATIM)]],"[Measures].[MMS_01_89_F_P]")</f>
        <v/>
      </c>
      <c r="BV283" s="68" t="str" vm="18266">
        <f>CUBEVALUE(ConnectionString,ReportMonth,Table1[[#This Row],[Site ID (from DATIM)]],"[Measures].[MMS_01_89_M_P]")</f>
        <v/>
      </c>
      <c r="BW283" s="68" vm="16121">
        <f>CUBEVALUE(ConnectionString,ReportMonth,Table1[[#This Row],[Site ID (from DATIM)]],"[Measures].[MMS_01_89_F_A]")</f>
        <v>6</v>
      </c>
      <c r="BX283" s="68" t="str" vm="19295">
        <f>CUBEVALUE(ConnectionString,ReportMonth,Table1[[#This Row],[Site ID (from DATIM)]],"[Measures].[MMS_01_89_M_A]")</f>
        <v/>
      </c>
      <c r="BY283" s="68" t="str" vm="16994">
        <f>CUBEVALUE(ConnectionString,ReportMonth,Table1[[#This Row],[Site ID (from DATIM)]],"[Measures].[MMS_90_179_F_P]")</f>
        <v/>
      </c>
      <c r="BZ283" s="68" t="str" vm="15194">
        <f>CUBEVALUE(ConnectionString,ReportMonth,Table1[[#This Row],[Site ID (from DATIM)]],"[Measures].[MMS_90_179_M_P]")</f>
        <v/>
      </c>
      <c r="CA283" s="68" t="str" vm="14735">
        <f>CUBEVALUE(ConnectionString,ReportMonth,Table1[[#This Row],[Site ID (from DATIM)]],"[Measures].[MMS_90_179_F_A]")</f>
        <v/>
      </c>
      <c r="CB283" s="68" t="str" vm="15750">
        <f>CUBEVALUE(ConnectionString,ReportMonth,Table1[[#This Row],[Site ID (from DATIM)]],"[Measures].[MMS_90_179_M_A]")</f>
        <v/>
      </c>
      <c r="CC283" s="68" t="str" vm="16373">
        <f>CUBEVALUE(ConnectionString,ReportMonth,Table1[[#This Row],[Site ID (from DATIM)]],"[Measures].[MMS_180+_F_P]")</f>
        <v/>
      </c>
      <c r="CD283" s="68" t="str" vm="15856">
        <f>CUBEVALUE(ConnectionString,ReportMonth,Table1[[#This Row],[Site ID (from DATIM)]],"[Measures].[MMS_180+_M_P]")</f>
        <v/>
      </c>
      <c r="CE283" s="68" t="str" vm="20242">
        <f>CUBEVALUE(ConnectionString,ReportMonth,Table1[[#This Row],[Site ID (from DATIM)]],"[Measures].[MMS_180+_F_A]")</f>
        <v/>
      </c>
      <c r="CF283" s="68" t="str" vm="14465">
        <f>CUBEVALUE(ConnectionString,ReportMonth,Table1[[#This Row],[Site ID (from DATIM)]],"[Measures].[MMS_180+_M_A]")</f>
        <v/>
      </c>
      <c r="CG283" s="68" vm="10281">
        <f>CUBEVALUE(ConnectionString,ReportMonth,Table1[[#This Row],[Site ID (from DATIM)]],"[Measures].[MISSEDAPP]")</f>
        <v>6</v>
      </c>
      <c r="CH283" s="68" t="str" vm="13284">
        <f>CUBEVALUE(ConnectionString,ReportMonth,Table1[[#This Row],[Site ID (from DATIM)]],"[Measures].[MMS_180+_P]")</f>
        <v/>
      </c>
      <c r="CI283" s="68" t="str" vm="13768">
        <f>CUBEVALUE(ConnectionString,ReportMonth,Table1[[#This Row],[Site ID (from DATIM)]],"[Measures].[MMS_180+_A]")</f>
        <v/>
      </c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  <c r="CW283" s="68"/>
      <c r="CX283" s="68"/>
      <c r="CY283" s="68"/>
      <c r="CZ283" s="68"/>
      <c r="DA283" s="68"/>
      <c r="DB283" s="68"/>
      <c r="DC283" s="68"/>
    </row>
    <row r="284" spans="1:107" x14ac:dyDescent="0.25">
      <c r="A284" s="66">
        <v>4</v>
      </c>
      <c r="B284" s="67" t="str" vm="4">
        <f t="shared" si="5"/>
        <v>Mar-2021</v>
      </c>
      <c r="C284" s="67"/>
      <c r="D284" s="67" t="s">
        <v>232</v>
      </c>
      <c r="E284" s="67" t="s">
        <v>233</v>
      </c>
      <c r="F284" s="67" t="s">
        <v>234</v>
      </c>
      <c r="G284" s="67"/>
      <c r="H284" s="67" t="s">
        <v>239</v>
      </c>
      <c r="I284" s="67" t="s">
        <v>350</v>
      </c>
      <c r="J284" s="67" t="s">
        <v>351</v>
      </c>
      <c r="K284" s="67" t="s">
        <v>352</v>
      </c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 t="str" vm="3126">
        <f>CUBEVALUE(ConnectionString,ReportMonth,Table1[[#This Row],[Site ID (from DATIM)]],"TX_NEW_2VIS")</f>
        <v/>
      </c>
      <c r="AE284" s="67" t="str" vm="3565">
        <f>CUBEVALUE(ConnectionString,ReportMonth,Table1[[#This Row],[Site ID (from DATIM)]],INDEX(SDI_Measures,1))</f>
        <v/>
      </c>
      <c r="AF284" s="67" t="str" vm="1210">
        <f>CUBEVALUE(ConnectionString,ReportMonth,Table1[[#This Row],[Site ID (from DATIM)]],INDEX(SDI_Measures,2))</f>
        <v/>
      </c>
      <c r="AG284" s="67" t="str" vm="1738">
        <f>CUBEVALUE(ConnectionString,ReportMonth,Table1[[#This Row],[Site ID (from DATIM)]],INDEX(SDI_Measures,3))</f>
        <v/>
      </c>
      <c r="AH284" s="67" vm="4062">
        <f>CUBEVALUE(ConnectionString,ReportMonth,Table1[[#This Row],[Site ID (from DATIM)]],"TX_CURR_PRIOR_MONTH")</f>
        <v>1</v>
      </c>
      <c r="AI284" s="67" t="str" vm="3870">
        <f>CUBEVALUE(ConnectionString,ReportMonth,Table1[[#This Row],[Site ID (from DATIM)]],"TX_CURR")</f>
        <v/>
      </c>
      <c r="AJ284" s="67" t="str" vm="2596">
        <f>CUBEVALUE(ConnectionString,ReportMonth,Table1[[#This Row],[Site ID (from DATIM)]],"[Measures].[TI]")</f>
        <v/>
      </c>
      <c r="AK284" s="67" t="str" vm="1385">
        <f>CUBEVALUE(ConnectionString,ReportMonth,Table1[[#This Row],[Site ID (from DATIM)]],"[Measures].[TO]")</f>
        <v/>
      </c>
      <c r="AL284" s="67" t="str" vm="5508">
        <f>CUBEVALUE(ConnectionString,ReportMonth,Table1[[#This Row],[Site ID (from DATIM)]],"[Measures].[DIED]")</f>
        <v/>
      </c>
      <c r="AM284" s="67" t="str" vm="4222">
        <f>CUBEVALUE(ConnectionString,ReportMonth,Table1[[#This Row],[Site ID (from DATIM)]],"[Measures].[MMS_01_31]")</f>
        <v/>
      </c>
      <c r="AN284" s="67" t="str" vm="8288">
        <f>CUBEVALUE(ConnectionString,ReportMonth,Table1[[#This Row],[Site ID (from DATIM)]],"[Measures].[MMS_32_62]")</f>
        <v/>
      </c>
      <c r="AO284" s="67" t="str" vm="7136">
        <f>CUBEVALUE(ConnectionString,ReportMonth,Table1[[#This Row],[Site ID (from DATIM)]],"[Measures].[MMS_63+]")</f>
        <v/>
      </c>
      <c r="AP284" s="67" t="str" vm="7309">
        <f>CUBEVALUE(ConnectionString,ReportMonth,Table1[[#This Row],[Site ID (from DATIM)]],"[Measures].[TBPREV_D]")</f>
        <v/>
      </c>
      <c r="AQ284" s="67" t="str" vm="5892">
        <f>CUBEVALUE(ConnectionString,ReportMonth,Table1[[#This Row],[Site ID (from DATIM)]],"[Measures].[TBPREV_N]")</f>
        <v/>
      </c>
      <c r="AR284" s="67" t="str" vm="6518">
        <f>CUBEVALUE(ConnectionString,ReportMonth,Table1[[#This Row],[Site ID (from DATIM)]],"[Measures].[TBPREV_NEW]")</f>
        <v/>
      </c>
      <c r="AS284" s="67" t="str" vm="6213">
        <f>CUBEVALUE(ConnectionString,ReportMonth,Table1[[#This Row],[Site ID (from DATIM)]],"[Measures].[HVL_ELIG_P]")</f>
        <v/>
      </c>
      <c r="AT284" s="67" t="str" vm="5362">
        <f>CUBEVALUE(ConnectionString,ReportMonth,Table1[[#This Row],[Site ID (from DATIM)]],"[Measures].[HVL_D_P]")</f>
        <v/>
      </c>
      <c r="AU284" s="67" t="str" vm="13233">
        <f>CUBEVALUE(ConnectionString,ReportMonth,Table1[[#This Row],[Site ID (from DATIM)]],"[Measures].[HVL_N_P]")</f>
        <v/>
      </c>
      <c r="AV284" s="68" t="str" vm="9307">
        <f>CUBEVALUE(ConnectionString,ReportMonth,Table1[[#This Row],[Site ID (from DATIM)]],"[Measures].[HVL_ELIG_A]")</f>
        <v/>
      </c>
      <c r="AW284" s="68" t="str" vm="12015">
        <f>CUBEVALUE(ConnectionString,ReportMonth,Table1[[#This Row],[Site ID (from DATIM)]],"[Measures].[HVL_D_A]")</f>
        <v/>
      </c>
      <c r="AX284" s="68" t="str" vm="8469">
        <f>CUBEVALUE(ConnectionString,ReportMonth,Table1[[#This Row],[Site ID (from DATIM)]],"[Measures].[HVL_N_A]")</f>
        <v/>
      </c>
      <c r="AY284" s="67"/>
      <c r="AZ284" s="67"/>
      <c r="BA284" s="67"/>
      <c r="BB284" s="67"/>
      <c r="BC284" s="67"/>
      <c r="BD284" s="67"/>
      <c r="BE284" s="67"/>
      <c r="BF284" s="67"/>
      <c r="BG284" s="67" t="str" vm="13726">
        <f>CUBEVALUE(ConnectionString,ReportMonth,Table1[[#This Row],[Site ID (from DATIM)]],"[Measures].[TX_NEW_F_A]")</f>
        <v/>
      </c>
      <c r="BH284" s="67" t="str" vm="12953">
        <f>CUBEVALUE(ConnectionString,ReportMonth,Table1[[#This Row],[Site ID (from DATIM)]],"[Measures].[TX_NEW_M_A]")</f>
        <v/>
      </c>
      <c r="BI284" s="67" t="str" vm="16610">
        <f>CUBEVALUE(ConnectionString,ReportMonth,Table1[[#This Row],[Site ID (from DATIM)]],"[Measures].[TX_NEW_F_P]")</f>
        <v/>
      </c>
      <c r="BJ284" s="68" t="str" vm="16183">
        <f>CUBEVALUE(ConnectionString,ReportMonth,Table1[[#This Row],[Site ID (from DATIM)]],"[Measures].[TX_NEW_M_P]")</f>
        <v/>
      </c>
      <c r="BK284" s="68"/>
      <c r="BL284" s="68"/>
      <c r="BM284" s="68"/>
      <c r="BN284" s="68"/>
      <c r="BO284" s="68"/>
      <c r="BP284" s="68"/>
      <c r="BQ284" s="68" t="str" vm="12515">
        <f>CUBEVALUE(ConnectionString,ReportMonth,Table1[[#This Row],[Site ID (from DATIM)]],"[Measures].[TX_CURR_F_P]")</f>
        <v/>
      </c>
      <c r="BR284" s="68" t="str" vm="17436">
        <f>CUBEVALUE(ConnectionString,ReportMonth,Table1[[#This Row],[Site ID (from DATIM)]],"[Measures].[TX_CURR_M_P]")</f>
        <v/>
      </c>
      <c r="BS284" s="68" t="str" vm="8086">
        <f>CUBEVALUE(ConnectionString,ReportMonth,Table1[[#This Row],[Site ID (from DATIM)]],"[Measures].[TX_CURR_F_A]")</f>
        <v/>
      </c>
      <c r="BT284" s="68" t="str" vm="16587">
        <f>CUBEVALUE(ConnectionString,ReportMonth,Table1[[#This Row],[Site ID (from DATIM)]],"[Measures].[TX_CURR_M_A]")</f>
        <v/>
      </c>
      <c r="BU284" s="68" t="str" vm="18737">
        <f>CUBEVALUE(ConnectionString,ReportMonth,Table1[[#This Row],[Site ID (from DATIM)]],"[Measures].[MMS_01_89_F_P]")</f>
        <v/>
      </c>
      <c r="BV284" s="68" t="str" vm="19260">
        <f>CUBEVALUE(ConnectionString,ReportMonth,Table1[[#This Row],[Site ID (from DATIM)]],"[Measures].[MMS_01_89_M_P]")</f>
        <v/>
      </c>
      <c r="BW284" s="68" t="str" vm="19710">
        <f>CUBEVALUE(ConnectionString,ReportMonth,Table1[[#This Row],[Site ID (from DATIM)]],"[Measures].[MMS_01_89_F_A]")</f>
        <v/>
      </c>
      <c r="BX284" s="68" t="str" vm="19154">
        <f>CUBEVALUE(ConnectionString,ReportMonth,Table1[[#This Row],[Site ID (from DATIM)]],"[Measures].[MMS_01_89_M_A]")</f>
        <v/>
      </c>
      <c r="BY284" s="68" t="str" vm="18507">
        <f>CUBEVALUE(ConnectionString,ReportMonth,Table1[[#This Row],[Site ID (from DATIM)]],"[Measures].[MMS_90_179_F_P]")</f>
        <v/>
      </c>
      <c r="BZ284" s="68" t="str" vm="14698">
        <f>CUBEVALUE(ConnectionString,ReportMonth,Table1[[#This Row],[Site ID (from DATIM)]],"[Measures].[MMS_90_179_M_P]")</f>
        <v/>
      </c>
      <c r="CA284" s="68" t="str" vm="17757">
        <f>CUBEVALUE(ConnectionString,ReportMonth,Table1[[#This Row],[Site ID (from DATIM)]],"[Measures].[MMS_90_179_F_A]")</f>
        <v/>
      </c>
      <c r="CB284" s="68" t="str" vm="19553">
        <f>CUBEVALUE(ConnectionString,ReportMonth,Table1[[#This Row],[Site ID (from DATIM)]],"[Measures].[MMS_90_179_M_A]")</f>
        <v/>
      </c>
      <c r="CC284" s="68" t="str" vm="16263">
        <f>CUBEVALUE(ConnectionString,ReportMonth,Table1[[#This Row],[Site ID (from DATIM)]],"[Measures].[MMS_180+_F_P]")</f>
        <v/>
      </c>
      <c r="CD284" s="68" t="str" vm="15498">
        <f>CUBEVALUE(ConnectionString,ReportMonth,Table1[[#This Row],[Site ID (from DATIM)]],"[Measures].[MMS_180+_M_P]")</f>
        <v/>
      </c>
      <c r="CE284" s="68" t="str" vm="338">
        <f>CUBEVALUE(ConnectionString,ReportMonth,Table1[[#This Row],[Site ID (from DATIM)]],"[Measures].[MMS_180+_F_A]")</f>
        <v/>
      </c>
      <c r="CF284" s="68" t="str" vm="43">
        <f>CUBEVALUE(ConnectionString,ReportMonth,Table1[[#This Row],[Site ID (from DATIM)]],"[Measures].[MMS_180+_M_A]")</f>
        <v/>
      </c>
      <c r="CG284" s="68" t="str" vm="7048">
        <f>CUBEVALUE(ConnectionString,ReportMonth,Table1[[#This Row],[Site ID (from DATIM)]],"[Measures].[MISSEDAPP]")</f>
        <v/>
      </c>
      <c r="CH284" s="68" t="str" vm="12728">
        <f>CUBEVALUE(ConnectionString,ReportMonth,Table1[[#This Row],[Site ID (from DATIM)]],"[Measures].[MMS_180+_P]")</f>
        <v/>
      </c>
      <c r="CI284" s="68" t="str" vm="13744">
        <f>CUBEVALUE(ConnectionString,ReportMonth,Table1[[#This Row],[Site ID (from DATIM)]],"[Measures].[MMS_180+_A]")</f>
        <v/>
      </c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  <c r="CW284" s="68"/>
      <c r="CX284" s="68"/>
      <c r="CY284" s="68"/>
      <c r="CZ284" s="68"/>
      <c r="DA284" s="68"/>
      <c r="DB284" s="68"/>
      <c r="DC284" s="68"/>
    </row>
    <row r="285" spans="1:107" x14ac:dyDescent="0.25">
      <c r="A285" s="66">
        <v>4</v>
      </c>
      <c r="B285" s="67" t="str" vm="4">
        <f t="shared" si="5"/>
        <v>Mar-2021</v>
      </c>
      <c r="C285" s="67"/>
      <c r="D285" s="67" t="s">
        <v>232</v>
      </c>
      <c r="E285" s="67" t="s">
        <v>233</v>
      </c>
      <c r="F285" s="67" t="s">
        <v>437</v>
      </c>
      <c r="G285" s="67"/>
      <c r="H285" s="67" t="s">
        <v>438</v>
      </c>
      <c r="I285" s="67" t="s">
        <v>676</v>
      </c>
      <c r="J285" s="67" t="s">
        <v>691</v>
      </c>
      <c r="K285" s="67" t="s">
        <v>692</v>
      </c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 vm="3327">
        <f>CUBEVALUE(ConnectionString,ReportMonth,Table1[[#This Row],[Site ID (from DATIM)]],"TX_NEW_2VIS")</f>
        <v>2</v>
      </c>
      <c r="AE285" s="67" vm="985">
        <f>CUBEVALUE(ConnectionString,ReportMonth,Table1[[#This Row],[Site ID (from DATIM)]],INDEX(SDI_Measures,1))</f>
        <v>2</v>
      </c>
      <c r="AF285" s="67" t="str" vm="2381">
        <f>CUBEVALUE(ConnectionString,ReportMonth,Table1[[#This Row],[Site ID (from DATIM)]],INDEX(SDI_Measures,2))</f>
        <v/>
      </c>
      <c r="AG285" s="67" t="str" vm="1997">
        <f>CUBEVALUE(ConnectionString,ReportMonth,Table1[[#This Row],[Site ID (from DATIM)]],INDEX(SDI_Measures,3))</f>
        <v/>
      </c>
      <c r="AH285" s="67" vm="2472">
        <f>CUBEVALUE(ConnectionString,ReportMonth,Table1[[#This Row],[Site ID (from DATIM)]],"TX_CURR_PRIOR_MONTH")</f>
        <v>36</v>
      </c>
      <c r="AI285" s="67" vm="2072">
        <f>CUBEVALUE(ConnectionString,ReportMonth,Table1[[#This Row],[Site ID (from DATIM)]],"TX_CURR")</f>
        <v>27</v>
      </c>
      <c r="AJ285" s="67" t="str" vm="2659">
        <f>CUBEVALUE(ConnectionString,ReportMonth,Table1[[#This Row],[Site ID (from DATIM)]],"[Measures].[TI]")</f>
        <v/>
      </c>
      <c r="AK285" s="67" t="str" vm="3293">
        <f>CUBEVALUE(ConnectionString,ReportMonth,Table1[[#This Row],[Site ID (from DATIM)]],"[Measures].[TO]")</f>
        <v/>
      </c>
      <c r="AL285" s="67" t="str" vm="2758">
        <f>CUBEVALUE(ConnectionString,ReportMonth,Table1[[#This Row],[Site ID (from DATIM)]],"[Measures].[DIED]")</f>
        <v/>
      </c>
      <c r="AM285" s="67" vm="4901">
        <f>CUBEVALUE(ConnectionString,ReportMonth,Table1[[#This Row],[Site ID (from DATIM)]],"[Measures].[MMS_01_31]")</f>
        <v>24</v>
      </c>
      <c r="AN285" s="67" vm="6197">
        <f>CUBEVALUE(ConnectionString,ReportMonth,Table1[[#This Row],[Site ID (from DATIM)]],"[Measures].[MMS_32_62]")</f>
        <v>1</v>
      </c>
      <c r="AO285" s="67" vm="6654">
        <f>CUBEVALUE(ConnectionString,ReportMonth,Table1[[#This Row],[Site ID (from DATIM)]],"[Measures].[MMS_63+]")</f>
        <v>2</v>
      </c>
      <c r="AP285" s="67" vm="6535">
        <f>CUBEVALUE(ConnectionString,ReportMonth,Table1[[#This Row],[Site ID (from DATIM)]],"[Measures].[TBPREV_D]")</f>
        <v>2</v>
      </c>
      <c r="AQ285" s="67" vm="6644">
        <f>CUBEVALUE(ConnectionString,ReportMonth,Table1[[#This Row],[Site ID (from DATIM)]],"[Measures].[TBPREV_N]")</f>
        <v>1</v>
      </c>
      <c r="AR285" s="67" t="str" vm="5792">
        <f>CUBEVALUE(ConnectionString,ReportMonth,Table1[[#This Row],[Site ID (from DATIM)]],"[Measures].[TBPREV_NEW]")</f>
        <v/>
      </c>
      <c r="AS285" s="67" t="str" vm="7348">
        <f>CUBEVALUE(ConnectionString,ReportMonth,Table1[[#This Row],[Site ID (from DATIM)]],"[Measures].[HVL_ELIG_P]")</f>
        <v/>
      </c>
      <c r="AT285" s="67" t="str" vm="8213">
        <f>CUBEVALUE(ConnectionString,ReportMonth,Table1[[#This Row],[Site ID (from DATIM)]],"[Measures].[HVL_D_P]")</f>
        <v/>
      </c>
      <c r="AU285" s="67" t="str" vm="8336">
        <f>CUBEVALUE(ConnectionString,ReportMonth,Table1[[#This Row],[Site ID (from DATIM)]],"[Measures].[HVL_N_P]")</f>
        <v/>
      </c>
      <c r="AV285" s="68" vm="8810">
        <f>CUBEVALUE(ConnectionString,ReportMonth,Table1[[#This Row],[Site ID (from DATIM)]],"[Measures].[HVL_ELIG_A]")</f>
        <v>16</v>
      </c>
      <c r="AW285" s="68" t="str" vm="11546">
        <f>CUBEVALUE(ConnectionString,ReportMonth,Table1[[#This Row],[Site ID (from DATIM)]],"[Measures].[HVL_D_A]")</f>
        <v/>
      </c>
      <c r="AX285" s="68" t="str" vm="9963">
        <f>CUBEVALUE(ConnectionString,ReportMonth,Table1[[#This Row],[Site ID (from DATIM)]],"[Measures].[HVL_N_A]")</f>
        <v/>
      </c>
      <c r="AY285" s="67"/>
      <c r="AZ285" s="67"/>
      <c r="BA285" s="67"/>
      <c r="BB285" s="67"/>
      <c r="BC285" s="67"/>
      <c r="BD285" s="67"/>
      <c r="BE285" s="67"/>
      <c r="BF285" s="67"/>
      <c r="BG285" s="67" vm="17041">
        <f>CUBEVALUE(ConnectionString,ReportMonth,Table1[[#This Row],[Site ID (from DATIM)]],"[Measures].[TX_NEW_F_A]")</f>
        <v>2</v>
      </c>
      <c r="BH285" s="67" t="str" vm="12118">
        <f>CUBEVALUE(ConnectionString,ReportMonth,Table1[[#This Row],[Site ID (from DATIM)]],"[Measures].[TX_NEW_M_A]")</f>
        <v/>
      </c>
      <c r="BI285" s="67" t="str" vm="16590">
        <f>CUBEVALUE(ConnectionString,ReportMonth,Table1[[#This Row],[Site ID (from DATIM)]],"[Measures].[TX_NEW_F_P]")</f>
        <v/>
      </c>
      <c r="BJ285" s="68" t="str" vm="14201">
        <f>CUBEVALUE(ConnectionString,ReportMonth,Table1[[#This Row],[Site ID (from DATIM)]],"[Measures].[TX_NEW_M_P]")</f>
        <v/>
      </c>
      <c r="BK285" s="68"/>
      <c r="BL285" s="68"/>
      <c r="BM285" s="68"/>
      <c r="BN285" s="68"/>
      <c r="BO285" s="68"/>
      <c r="BP285" s="68"/>
      <c r="BQ285" s="68" t="str" vm="8687">
        <f>CUBEVALUE(ConnectionString,ReportMonth,Table1[[#This Row],[Site ID (from DATIM)]],"[Measures].[TX_CURR_F_P]")</f>
        <v/>
      </c>
      <c r="BR285" s="68" t="str" vm="8900">
        <f>CUBEVALUE(ConnectionString,ReportMonth,Table1[[#This Row],[Site ID (from DATIM)]],"[Measures].[TX_CURR_M_P]")</f>
        <v/>
      </c>
      <c r="BS285" s="68" vm="10888">
        <f>CUBEVALUE(ConnectionString,ReportMonth,Table1[[#This Row],[Site ID (from DATIM)]],"[Measures].[TX_CURR_F_A]")</f>
        <v>19</v>
      </c>
      <c r="BT285" s="68" vm="9354">
        <f>CUBEVALUE(ConnectionString,ReportMonth,Table1[[#This Row],[Site ID (from DATIM)]],"[Measures].[TX_CURR_M_A]")</f>
        <v>8</v>
      </c>
      <c r="BU285" s="68" t="str" vm="19546">
        <f>CUBEVALUE(ConnectionString,ReportMonth,Table1[[#This Row],[Site ID (from DATIM)]],"[Measures].[MMS_01_89_F_P]")</f>
        <v/>
      </c>
      <c r="BV285" s="68" t="str" vm="19259">
        <f>CUBEVALUE(ConnectionString,ReportMonth,Table1[[#This Row],[Site ID (from DATIM)]],"[Measures].[MMS_01_89_M_P]")</f>
        <v/>
      </c>
      <c r="BW285" s="68" vm="19943">
        <f>CUBEVALUE(ConnectionString,ReportMonth,Table1[[#This Row],[Site ID (from DATIM)]],"[Measures].[MMS_01_89_F_A]")</f>
        <v>17</v>
      </c>
      <c r="BX285" s="68" vm="19953">
        <f>CUBEVALUE(ConnectionString,ReportMonth,Table1[[#This Row],[Site ID (from DATIM)]],"[Measures].[MMS_01_89_M_A]")</f>
        <v>8</v>
      </c>
      <c r="BY285" s="68" t="str" vm="17978">
        <f>CUBEVALUE(ConnectionString,ReportMonth,Table1[[#This Row],[Site ID (from DATIM)]],"[Measures].[MMS_90_179_F_P]")</f>
        <v/>
      </c>
      <c r="BZ285" s="68" t="str" vm="16466">
        <f>CUBEVALUE(ConnectionString,ReportMonth,Table1[[#This Row],[Site ID (from DATIM)]],"[Measures].[MMS_90_179_M_P]")</f>
        <v/>
      </c>
      <c r="CA285" s="68" vm="15995">
        <f>CUBEVALUE(ConnectionString,ReportMonth,Table1[[#This Row],[Site ID (from DATIM)]],"[Measures].[MMS_90_179_F_A]")</f>
        <v>2</v>
      </c>
      <c r="CB285" s="68" t="str" vm="15900">
        <f>CUBEVALUE(ConnectionString,ReportMonth,Table1[[#This Row],[Site ID (from DATIM)]],"[Measures].[MMS_90_179_M_A]")</f>
        <v/>
      </c>
      <c r="CC285" s="68" t="str" vm="15876">
        <f>CUBEVALUE(ConnectionString,ReportMonth,Table1[[#This Row],[Site ID (from DATIM)]],"[Measures].[MMS_180+_F_P]")</f>
        <v/>
      </c>
      <c r="CD285" s="68" t="str" vm="16656">
        <f>CUBEVALUE(ConnectionString,ReportMonth,Table1[[#This Row],[Site ID (from DATIM)]],"[Measures].[MMS_180+_M_P]")</f>
        <v/>
      </c>
      <c r="CE285" s="68" t="str" vm="14469">
        <f>CUBEVALUE(ConnectionString,ReportMonth,Table1[[#This Row],[Site ID (from DATIM)]],"[Measures].[MMS_180+_F_A]")</f>
        <v/>
      </c>
      <c r="CF285" s="68" t="str" vm="20228">
        <f>CUBEVALUE(ConnectionString,ReportMonth,Table1[[#This Row],[Site ID (from DATIM)]],"[Measures].[MMS_180+_M_A]")</f>
        <v/>
      </c>
      <c r="CG285" s="68" vm="9400">
        <f>CUBEVALUE(ConnectionString,ReportMonth,Table1[[#This Row],[Site ID (from DATIM)]],"[Measures].[MISSEDAPP]")</f>
        <v>8</v>
      </c>
      <c r="CH285" s="68" t="str" vm="8979">
        <f>CUBEVALUE(ConnectionString,ReportMonth,Table1[[#This Row],[Site ID (from DATIM)]],"[Measures].[MMS_180+_P]")</f>
        <v/>
      </c>
      <c r="CI285" s="68" t="str" vm="16552">
        <f>CUBEVALUE(ConnectionString,ReportMonth,Table1[[#This Row],[Site ID (from DATIM)]],"[Measures].[MMS_180+_A]")</f>
        <v/>
      </c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  <c r="CW285" s="68"/>
      <c r="CX285" s="68"/>
      <c r="CY285" s="68"/>
      <c r="CZ285" s="68"/>
      <c r="DA285" s="68"/>
      <c r="DB285" s="68"/>
      <c r="DC285" s="68"/>
    </row>
    <row r="286" spans="1:107" x14ac:dyDescent="0.25">
      <c r="A286" s="66">
        <v>2</v>
      </c>
      <c r="B286" s="67" t="str" vm="4">
        <f t="shared" si="5"/>
        <v>Mar-2021</v>
      </c>
      <c r="C286" s="67"/>
      <c r="D286" s="67" t="s">
        <v>232</v>
      </c>
      <c r="E286" s="67" t="s">
        <v>233</v>
      </c>
      <c r="F286" s="67" t="s">
        <v>437</v>
      </c>
      <c r="G286" s="67"/>
      <c r="H286" s="67" t="s">
        <v>454</v>
      </c>
      <c r="I286" s="67" t="s">
        <v>693</v>
      </c>
      <c r="J286" s="67" t="s">
        <v>694</v>
      </c>
      <c r="K286" s="67" t="s">
        <v>695</v>
      </c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 vm="438">
        <f>CUBEVALUE(ConnectionString,ReportMonth,Table1[[#This Row],[Site ID (from DATIM)]],"TX_NEW_2VIS")</f>
        <v>4</v>
      </c>
      <c r="AE286" s="67" vm="4054">
        <f>CUBEVALUE(ConnectionString,ReportMonth,Table1[[#This Row],[Site ID (from DATIM)]],INDEX(SDI_Measures,1))</f>
        <v>4</v>
      </c>
      <c r="AF286" s="67" t="str" vm="3599">
        <f>CUBEVALUE(ConnectionString,ReportMonth,Table1[[#This Row],[Site ID (from DATIM)]],INDEX(SDI_Measures,2))</f>
        <v/>
      </c>
      <c r="AG286" s="67" t="str" vm="2645">
        <f>CUBEVALUE(ConnectionString,ReportMonth,Table1[[#This Row],[Site ID (from DATIM)]],INDEX(SDI_Measures,3))</f>
        <v/>
      </c>
      <c r="AH286" s="67" vm="4544">
        <f>CUBEVALUE(ConnectionString,ReportMonth,Table1[[#This Row],[Site ID (from DATIM)]],"TX_CURR_PRIOR_MONTH")</f>
        <v>684</v>
      </c>
      <c r="AI286" s="67" vm="3770">
        <f>CUBEVALUE(ConnectionString,ReportMonth,Table1[[#This Row],[Site ID (from DATIM)]],"TX_CURR")</f>
        <v>657</v>
      </c>
      <c r="AJ286" s="67" vm="2158">
        <f>CUBEVALUE(ConnectionString,ReportMonth,Table1[[#This Row],[Site ID (from DATIM)]],"[Measures].[TI]")</f>
        <v>1</v>
      </c>
      <c r="AK286" s="67" vm="3612">
        <f>CUBEVALUE(ConnectionString,ReportMonth,Table1[[#This Row],[Site ID (from DATIM)]],"[Measures].[TO]")</f>
        <v>2</v>
      </c>
      <c r="AL286" s="67" vm="4150">
        <f>CUBEVALUE(ConnectionString,ReportMonth,Table1[[#This Row],[Site ID (from DATIM)]],"[Measures].[DIED]")</f>
        <v>2</v>
      </c>
      <c r="AM286" s="67" vm="7802">
        <f>CUBEVALUE(ConnectionString,ReportMonth,Table1[[#This Row],[Site ID (from DATIM)]],"[Measures].[MMS_01_31]")</f>
        <v>137</v>
      </c>
      <c r="AN286" s="67" vm="6120">
        <f>CUBEVALUE(ConnectionString,ReportMonth,Table1[[#This Row],[Site ID (from DATIM)]],"[Measures].[MMS_32_62]")</f>
        <v>45</v>
      </c>
      <c r="AO286" s="67" vm="4621">
        <f>CUBEVALUE(ConnectionString,ReportMonth,Table1[[#This Row],[Site ID (from DATIM)]],"[Measures].[MMS_63+]")</f>
        <v>475</v>
      </c>
      <c r="AP286" s="67" vm="7768">
        <f>CUBEVALUE(ConnectionString,ReportMonth,Table1[[#This Row],[Site ID (from DATIM)]],"[Measures].[TBPREV_D]")</f>
        <v>37</v>
      </c>
      <c r="AQ286" s="67" vm="7856">
        <f>CUBEVALUE(ConnectionString,ReportMonth,Table1[[#This Row],[Site ID (from DATIM)]],"[Measures].[TBPREV_N]")</f>
        <v>32</v>
      </c>
      <c r="AR286" s="67" t="str" vm="7769">
        <f>CUBEVALUE(ConnectionString,ReportMonth,Table1[[#This Row],[Site ID (from DATIM)]],"[Measures].[TBPREV_NEW]")</f>
        <v/>
      </c>
      <c r="AS286" s="67" vm="9919">
        <f>CUBEVALUE(ConnectionString,ReportMonth,Table1[[#This Row],[Site ID (from DATIM)]],"[Measures].[HVL_ELIG_P]")</f>
        <v>39</v>
      </c>
      <c r="AT286" s="67" vm="14063">
        <f>CUBEVALUE(ConnectionString,ReportMonth,Table1[[#This Row],[Site ID (from DATIM)]],"[Measures].[HVL_D_P]")</f>
        <v>32</v>
      </c>
      <c r="AU286" s="67" vm="10262">
        <f>CUBEVALUE(ConnectionString,ReportMonth,Table1[[#This Row],[Site ID (from DATIM)]],"[Measures].[HVL_N_P]")</f>
        <v>27</v>
      </c>
      <c r="AV286" s="68" vm="11684">
        <f>CUBEVALUE(ConnectionString,ReportMonth,Table1[[#This Row],[Site ID (from DATIM)]],"[Measures].[HVL_ELIG_A]")</f>
        <v>542</v>
      </c>
      <c r="AW286" s="68" vm="8749">
        <f>CUBEVALUE(ConnectionString,ReportMonth,Table1[[#This Row],[Site ID (from DATIM)]],"[Measures].[HVL_D_A]")</f>
        <v>404</v>
      </c>
      <c r="AX286" s="68" vm="9091">
        <f>CUBEVALUE(ConnectionString,ReportMonth,Table1[[#This Row],[Site ID (from DATIM)]],"[Measures].[HVL_N_A]")</f>
        <v>391</v>
      </c>
      <c r="AY286" s="67"/>
      <c r="AZ286" s="67"/>
      <c r="BA286" s="67"/>
      <c r="BB286" s="67"/>
      <c r="BC286" s="67"/>
      <c r="BD286" s="67"/>
      <c r="BE286" s="67"/>
      <c r="BF286" s="67"/>
      <c r="BG286" s="67" vm="11228">
        <f>CUBEVALUE(ConnectionString,ReportMonth,Table1[[#This Row],[Site ID (from DATIM)]],"[Measures].[TX_NEW_F_A]")</f>
        <v>2</v>
      </c>
      <c r="BH286" s="67" vm="12762">
        <f>CUBEVALUE(ConnectionString,ReportMonth,Table1[[#This Row],[Site ID (from DATIM)]],"[Measures].[TX_NEW_M_A]")</f>
        <v>2</v>
      </c>
      <c r="BI286" s="67" t="str" vm="17396">
        <f>CUBEVALUE(ConnectionString,ReportMonth,Table1[[#This Row],[Site ID (from DATIM)]],"[Measures].[TX_NEW_F_P]")</f>
        <v/>
      </c>
      <c r="BJ286" s="68" t="str" vm="13195">
        <f>CUBEVALUE(ConnectionString,ReportMonth,Table1[[#This Row],[Site ID (from DATIM)]],"[Measures].[TX_NEW_M_P]")</f>
        <v/>
      </c>
      <c r="BK286" s="68"/>
      <c r="BL286" s="68"/>
      <c r="BM286" s="68"/>
      <c r="BN286" s="68"/>
      <c r="BO286" s="68"/>
      <c r="BP286" s="68"/>
      <c r="BQ286" s="68" vm="9880">
        <f>CUBEVALUE(ConnectionString,ReportMonth,Table1[[#This Row],[Site ID (from DATIM)]],"[Measures].[TX_CURR_F_P]")</f>
        <v>22</v>
      </c>
      <c r="BR286" s="68" vm="10021">
        <f>CUBEVALUE(ConnectionString,ReportMonth,Table1[[#This Row],[Site ID (from DATIM)]],"[Measures].[TX_CURR_M_P]")</f>
        <v>22</v>
      </c>
      <c r="BS286" s="68" vm="10927">
        <f>CUBEVALUE(ConnectionString,ReportMonth,Table1[[#This Row],[Site ID (from DATIM)]],"[Measures].[TX_CURR_F_A]")</f>
        <v>420</v>
      </c>
      <c r="BT286" s="68" vm="13599">
        <f>CUBEVALUE(ConnectionString,ReportMonth,Table1[[#This Row],[Site ID (from DATIM)]],"[Measures].[TX_CURR_M_A]")</f>
        <v>194</v>
      </c>
      <c r="BU286" s="68" vm="19497">
        <f>CUBEVALUE(ConnectionString,ReportMonth,Table1[[#This Row],[Site ID (from DATIM)]],"[Measures].[MMS_01_89_F_P]")</f>
        <v>10</v>
      </c>
      <c r="BV286" s="68" vm="16114">
        <f>CUBEVALUE(ConnectionString,ReportMonth,Table1[[#This Row],[Site ID (from DATIM)]],"[Measures].[MMS_01_89_M_P]")</f>
        <v>9</v>
      </c>
      <c r="BW286" s="68" vm="18631">
        <f>CUBEVALUE(ConnectionString,ReportMonth,Table1[[#This Row],[Site ID (from DATIM)]],"[Measures].[MMS_01_89_F_A]")</f>
        <v>110</v>
      </c>
      <c r="BX286" s="68" vm="20034">
        <f>CUBEVALUE(ConnectionString,ReportMonth,Table1[[#This Row],[Site ID (from DATIM)]],"[Measures].[MMS_01_89_M_A]")</f>
        <v>54</v>
      </c>
      <c r="BY286" s="68" vm="19051">
        <f>CUBEVALUE(ConnectionString,ReportMonth,Table1[[#This Row],[Site ID (from DATIM)]],"[Measures].[MMS_90_179_F_P]")</f>
        <v>12</v>
      </c>
      <c r="BZ286" s="68" vm="14583">
        <f>CUBEVALUE(ConnectionString,ReportMonth,Table1[[#This Row],[Site ID (from DATIM)]],"[Measures].[MMS_90_179_M_P]")</f>
        <v>13</v>
      </c>
      <c r="CA286" s="68" vm="17816">
        <f>CUBEVALUE(ConnectionString,ReportMonth,Table1[[#This Row],[Site ID (from DATIM)]],"[Measures].[MMS_90_179_F_A]")</f>
        <v>310</v>
      </c>
      <c r="CB286" s="68" vm="14691">
        <f>CUBEVALUE(ConnectionString,ReportMonth,Table1[[#This Row],[Site ID (from DATIM)]],"[Measures].[MMS_90_179_M_A]")</f>
        <v>140</v>
      </c>
      <c r="CC286" s="68" t="str" vm="16852">
        <f>CUBEVALUE(ConnectionString,ReportMonth,Table1[[#This Row],[Site ID (from DATIM)]],"[Measures].[MMS_180+_F_P]")</f>
        <v/>
      </c>
      <c r="CD286" s="68" t="str" vm="16710">
        <f>CUBEVALUE(ConnectionString,ReportMonth,Table1[[#This Row],[Site ID (from DATIM)]],"[Measures].[MMS_180+_M_P]")</f>
        <v/>
      </c>
      <c r="CE286" s="68" t="str" vm="17106">
        <f>CUBEVALUE(ConnectionString,ReportMonth,Table1[[#This Row],[Site ID (from DATIM)]],"[Measures].[MMS_180+_F_A]")</f>
        <v/>
      </c>
      <c r="CF286" s="68" t="str" vm="24">
        <f>CUBEVALUE(ConnectionString,ReportMonth,Table1[[#This Row],[Site ID (from DATIM)]],"[Measures].[MMS_180+_M_A]")</f>
        <v/>
      </c>
      <c r="CG286" s="68" vm="6997">
        <f>CUBEVALUE(ConnectionString,ReportMonth,Table1[[#This Row],[Site ID (from DATIM)]],"[Measures].[MISSEDAPP]")</f>
        <v>204</v>
      </c>
      <c r="CH286" s="68" t="str" vm="10716">
        <f>CUBEVALUE(ConnectionString,ReportMonth,Table1[[#This Row],[Site ID (from DATIM)]],"[Measures].[MMS_180+_P]")</f>
        <v/>
      </c>
      <c r="CI286" s="68" t="str" vm="13159">
        <f>CUBEVALUE(ConnectionString,ReportMonth,Table1[[#This Row],[Site ID (from DATIM)]],"[Measures].[MMS_180+_A]")</f>
        <v/>
      </c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  <c r="CW286" s="68"/>
      <c r="CX286" s="68"/>
      <c r="CY286" s="68"/>
      <c r="CZ286" s="68"/>
      <c r="DA286" s="68"/>
      <c r="DB286" s="68"/>
      <c r="DC286" s="68"/>
    </row>
    <row r="287" spans="1:107" x14ac:dyDescent="0.25">
      <c r="A287" s="66">
        <v>2</v>
      </c>
      <c r="B287" s="67" t="str" vm="4">
        <f t="shared" si="5"/>
        <v>Mar-2021</v>
      </c>
      <c r="C287" s="67"/>
      <c r="D287" s="67" t="s">
        <v>232</v>
      </c>
      <c r="E287" s="67" t="s">
        <v>233</v>
      </c>
      <c r="F287" s="67" t="s">
        <v>437</v>
      </c>
      <c r="G287" s="67"/>
      <c r="H287" s="67" t="s">
        <v>488</v>
      </c>
      <c r="I287" s="67" t="s">
        <v>696</v>
      </c>
      <c r="J287" s="67" t="s">
        <v>697</v>
      </c>
      <c r="K287" s="67" t="s">
        <v>698</v>
      </c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 vm="941">
        <f>CUBEVALUE(ConnectionString,ReportMonth,Table1[[#This Row],[Site ID (from DATIM)]],"TX_NEW_2VIS")</f>
        <v>10</v>
      </c>
      <c r="AE287" s="67" vm="588">
        <f>CUBEVALUE(ConnectionString,ReportMonth,Table1[[#This Row],[Site ID (from DATIM)]],INDEX(SDI_Measures,1))</f>
        <v>21</v>
      </c>
      <c r="AF287" s="67" t="str" vm="2165">
        <f>CUBEVALUE(ConnectionString,ReportMonth,Table1[[#This Row],[Site ID (from DATIM)]],INDEX(SDI_Measures,2))</f>
        <v/>
      </c>
      <c r="AG287" s="67" t="str" vm="2431">
        <f>CUBEVALUE(ConnectionString,ReportMonth,Table1[[#This Row],[Site ID (from DATIM)]],INDEX(SDI_Measures,3))</f>
        <v/>
      </c>
      <c r="AH287" s="67" vm="4165">
        <f>CUBEVALUE(ConnectionString,ReportMonth,Table1[[#This Row],[Site ID (from DATIM)]],"TX_CURR_PRIOR_MONTH")</f>
        <v>762</v>
      </c>
      <c r="AI287" s="67" vm="3645">
        <f>CUBEVALUE(ConnectionString,ReportMonth,Table1[[#This Row],[Site ID (from DATIM)]],"TX_CURR")</f>
        <v>764</v>
      </c>
      <c r="AJ287" s="67" t="str" vm="2977">
        <f>CUBEVALUE(ConnectionString,ReportMonth,Table1[[#This Row],[Site ID (from DATIM)]],"[Measures].[TI]")</f>
        <v/>
      </c>
      <c r="AK287" s="67" vm="1464">
        <f>CUBEVALUE(ConnectionString,ReportMonth,Table1[[#This Row],[Site ID (from DATIM)]],"[Measures].[TO]")</f>
        <v>1</v>
      </c>
      <c r="AL287" s="67" t="str" vm="2194">
        <f>CUBEVALUE(ConnectionString,ReportMonth,Table1[[#This Row],[Site ID (from DATIM)]],"[Measures].[DIED]")</f>
        <v/>
      </c>
      <c r="AM287" s="67" vm="5198">
        <f>CUBEVALUE(ConnectionString,ReportMonth,Table1[[#This Row],[Site ID (from DATIM)]],"[Measures].[MMS_01_31]")</f>
        <v>204</v>
      </c>
      <c r="AN287" s="67" vm="13849">
        <f>CUBEVALUE(ConnectionString,ReportMonth,Table1[[#This Row],[Site ID (from DATIM)]],"[Measures].[MMS_32_62]")</f>
        <v>64</v>
      </c>
      <c r="AO287" s="67" vm="6146">
        <f>CUBEVALUE(ConnectionString,ReportMonth,Table1[[#This Row],[Site ID (from DATIM)]],"[Measures].[MMS_63+]")</f>
        <v>496</v>
      </c>
      <c r="AP287" s="67" vm="6758">
        <f>CUBEVALUE(ConnectionString,ReportMonth,Table1[[#This Row],[Site ID (from DATIM)]],"[Measures].[TBPREV_D]")</f>
        <v>25</v>
      </c>
      <c r="AQ287" s="67" vm="4973">
        <f>CUBEVALUE(ConnectionString,ReportMonth,Table1[[#This Row],[Site ID (from DATIM)]],"[Measures].[TBPREV_N]")</f>
        <v>23</v>
      </c>
      <c r="AR287" s="67" t="str" vm="10028">
        <f>CUBEVALUE(ConnectionString,ReportMonth,Table1[[#This Row],[Site ID (from DATIM)]],"[Measures].[TBPREV_NEW]")</f>
        <v/>
      </c>
      <c r="AS287" s="67" vm="5216">
        <f>CUBEVALUE(ConnectionString,ReportMonth,Table1[[#This Row],[Site ID (from DATIM)]],"[Measures].[HVL_ELIG_P]")</f>
        <v>45</v>
      </c>
      <c r="AT287" s="67" vm="8443">
        <f>CUBEVALUE(ConnectionString,ReportMonth,Table1[[#This Row],[Site ID (from DATIM)]],"[Measures].[HVL_D_P]")</f>
        <v>42</v>
      </c>
      <c r="AU287" s="67" vm="14308">
        <f>CUBEVALUE(ConnectionString,ReportMonth,Table1[[#This Row],[Site ID (from DATIM)]],"[Measures].[HVL_N_P]")</f>
        <v>34</v>
      </c>
      <c r="AV287" s="68" vm="12074">
        <f>CUBEVALUE(ConnectionString,ReportMonth,Table1[[#This Row],[Site ID (from DATIM)]],"[Measures].[HVL_ELIG_A]")</f>
        <v>573</v>
      </c>
      <c r="AW287" s="68" vm="7490">
        <f>CUBEVALUE(ConnectionString,ReportMonth,Table1[[#This Row],[Site ID (from DATIM)]],"[Measures].[HVL_D_A]")</f>
        <v>482</v>
      </c>
      <c r="AX287" s="68" vm="7985">
        <f>CUBEVALUE(ConnectionString,ReportMonth,Table1[[#This Row],[Site ID (from DATIM)]],"[Measures].[HVL_N_A]")</f>
        <v>456</v>
      </c>
      <c r="AY287" s="67"/>
      <c r="AZ287" s="67"/>
      <c r="BA287" s="67"/>
      <c r="BB287" s="67"/>
      <c r="BC287" s="67"/>
      <c r="BD287" s="67"/>
      <c r="BE287" s="67"/>
      <c r="BF287" s="67"/>
      <c r="BG287" s="67" vm="13706">
        <f>CUBEVALUE(ConnectionString,ReportMonth,Table1[[#This Row],[Site ID (from DATIM)]],"[Measures].[TX_NEW_F_A]")</f>
        <v>13</v>
      </c>
      <c r="BH287" s="67" vm="16190">
        <f>CUBEVALUE(ConnectionString,ReportMonth,Table1[[#This Row],[Site ID (from DATIM)]],"[Measures].[TX_NEW_M_A]")</f>
        <v>4</v>
      </c>
      <c r="BI287" s="67" vm="12567">
        <f>CUBEVALUE(ConnectionString,ReportMonth,Table1[[#This Row],[Site ID (from DATIM)]],"[Measures].[TX_NEW_F_P]")</f>
        <v>3</v>
      </c>
      <c r="BJ287" s="68" vm="16138">
        <f>CUBEVALUE(ConnectionString,ReportMonth,Table1[[#This Row],[Site ID (from DATIM)]],"[Measures].[TX_NEW_M_P]")</f>
        <v>1</v>
      </c>
      <c r="BK287" s="68"/>
      <c r="BL287" s="68"/>
      <c r="BM287" s="68"/>
      <c r="BN287" s="68"/>
      <c r="BO287" s="68"/>
      <c r="BP287" s="68"/>
      <c r="BQ287" s="68" vm="10813">
        <f>CUBEVALUE(ConnectionString,ReportMonth,Table1[[#This Row],[Site ID (from DATIM)]],"[Measures].[TX_CURR_F_P]")</f>
        <v>36</v>
      </c>
      <c r="BR287" s="68" vm="10195">
        <f>CUBEVALUE(ConnectionString,ReportMonth,Table1[[#This Row],[Site ID (from DATIM)]],"[Measures].[TX_CURR_M_P]")</f>
        <v>22</v>
      </c>
      <c r="BS287" s="68" vm="9312">
        <f>CUBEVALUE(ConnectionString,ReportMonth,Table1[[#This Row],[Site ID (from DATIM)]],"[Measures].[TX_CURR_F_A]")</f>
        <v>487</v>
      </c>
      <c r="BT287" s="68" vm="13043">
        <f>CUBEVALUE(ConnectionString,ReportMonth,Table1[[#This Row],[Site ID (from DATIM)]],"[Measures].[TX_CURR_M_A]")</f>
        <v>219</v>
      </c>
      <c r="BU287" s="68" vm="19027">
        <f>CUBEVALUE(ConnectionString,ReportMonth,Table1[[#This Row],[Site ID (from DATIM)]],"[Measures].[MMS_01_89_F_P]")</f>
        <v>16</v>
      </c>
      <c r="BV287" s="68" vm="18297">
        <f>CUBEVALUE(ConnectionString,ReportMonth,Table1[[#This Row],[Site ID (from DATIM)]],"[Measures].[MMS_01_89_M_P]")</f>
        <v>12</v>
      </c>
      <c r="BW287" s="68" vm="19475">
        <f>CUBEVALUE(ConnectionString,ReportMonth,Table1[[#This Row],[Site ID (from DATIM)]],"[Measures].[MMS_01_89_F_A]")</f>
        <v>163</v>
      </c>
      <c r="BX287" s="68" vm="19089">
        <f>CUBEVALUE(ConnectionString,ReportMonth,Table1[[#This Row],[Site ID (from DATIM)]],"[Measures].[MMS_01_89_M_A]")</f>
        <v>77</v>
      </c>
      <c r="BY287" s="68" vm="18527">
        <f>CUBEVALUE(ConnectionString,ReportMonth,Table1[[#This Row],[Site ID (from DATIM)]],"[Measures].[MMS_90_179_F_P]")</f>
        <v>20</v>
      </c>
      <c r="BZ287" s="68" vm="16031">
        <f>CUBEVALUE(ConnectionString,ReportMonth,Table1[[#This Row],[Site ID (from DATIM)]],"[Measures].[MMS_90_179_M_P]")</f>
        <v>10</v>
      </c>
      <c r="CA287" s="68" vm="16460">
        <f>CUBEVALUE(ConnectionString,ReportMonth,Table1[[#This Row],[Site ID (from DATIM)]],"[Measures].[MMS_90_179_F_A]")</f>
        <v>324</v>
      </c>
      <c r="CB287" s="68" vm="16794">
        <f>CUBEVALUE(ConnectionString,ReportMonth,Table1[[#This Row],[Site ID (from DATIM)]],"[Measures].[MMS_90_179_M_A]")</f>
        <v>142</v>
      </c>
      <c r="CC287" s="68" t="str" vm="15957">
        <f>CUBEVALUE(ConnectionString,ReportMonth,Table1[[#This Row],[Site ID (from DATIM)]],"[Measures].[MMS_180+_F_P]")</f>
        <v/>
      </c>
      <c r="CD287" s="68" t="str" vm="15874">
        <f>CUBEVALUE(ConnectionString,ReportMonth,Table1[[#This Row],[Site ID (from DATIM)]],"[Measures].[MMS_180+_M_P]")</f>
        <v/>
      </c>
      <c r="CE287" s="68" t="str" vm="16305">
        <f>CUBEVALUE(ConnectionString,ReportMonth,Table1[[#This Row],[Site ID (from DATIM)]],"[Measures].[MMS_180+_F_A]")</f>
        <v/>
      </c>
      <c r="CF287" s="68" t="str" vm="15414">
        <f>CUBEVALUE(ConnectionString,ReportMonth,Table1[[#This Row],[Site ID (from DATIM)]],"[Measures].[MMS_180+_M_A]")</f>
        <v/>
      </c>
      <c r="CG287" s="68" vm="7400">
        <f>CUBEVALUE(ConnectionString,ReportMonth,Table1[[#This Row],[Site ID (from DATIM)]],"[Measures].[MISSEDAPP]")</f>
        <v>176</v>
      </c>
      <c r="CH287" s="68" t="str" vm="11270">
        <f>CUBEVALUE(ConnectionString,ReportMonth,Table1[[#This Row],[Site ID (from DATIM)]],"[Measures].[MMS_180+_P]")</f>
        <v/>
      </c>
      <c r="CI287" s="68" t="str" vm="11948">
        <f>CUBEVALUE(ConnectionString,ReportMonth,Table1[[#This Row],[Site ID (from DATIM)]],"[Measures].[MMS_180+_A]")</f>
        <v/>
      </c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  <c r="CW287" s="68"/>
      <c r="CX287" s="68"/>
      <c r="CY287" s="68"/>
      <c r="CZ287" s="68"/>
      <c r="DA287" s="68"/>
      <c r="DB287" s="68"/>
      <c r="DC287" s="68"/>
    </row>
    <row r="288" spans="1:107" x14ac:dyDescent="0.25">
      <c r="A288" s="66">
        <v>3</v>
      </c>
      <c r="B288" s="67" t="str" vm="4">
        <f t="shared" si="5"/>
        <v>Mar-2021</v>
      </c>
      <c r="C288" s="67"/>
      <c r="D288" s="67" t="s">
        <v>232</v>
      </c>
      <c r="E288" s="67" t="s">
        <v>233</v>
      </c>
      <c r="F288" s="67" t="s">
        <v>437</v>
      </c>
      <c r="G288" s="67"/>
      <c r="H288" s="67" t="s">
        <v>461</v>
      </c>
      <c r="I288" s="67" t="s">
        <v>699</v>
      </c>
      <c r="J288" s="67" t="s">
        <v>700</v>
      </c>
      <c r="K288" s="67" t="s">
        <v>701</v>
      </c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 vm="2203">
        <f>CUBEVALUE(ConnectionString,ReportMonth,Table1[[#This Row],[Site ID (from DATIM)]],"TX_NEW_2VIS")</f>
        <v>1</v>
      </c>
      <c r="AE288" s="67" t="str" vm="890">
        <f>CUBEVALUE(ConnectionString,ReportMonth,Table1[[#This Row],[Site ID (from DATIM)]],INDEX(SDI_Measures,1))</f>
        <v/>
      </c>
      <c r="AF288" s="67" t="str" vm="11469">
        <f>CUBEVALUE(ConnectionString,ReportMonth,Table1[[#This Row],[Site ID (from DATIM)]],INDEX(SDI_Measures,2))</f>
        <v/>
      </c>
      <c r="AG288" s="67" vm="1267">
        <f>CUBEVALUE(ConnectionString,ReportMonth,Table1[[#This Row],[Site ID (from DATIM)]],INDEX(SDI_Measures,3))</f>
        <v>1</v>
      </c>
      <c r="AH288" s="67" vm="4553">
        <f>CUBEVALUE(ConnectionString,ReportMonth,Table1[[#This Row],[Site ID (from DATIM)]],"TX_CURR_PRIOR_MONTH")</f>
        <v>270</v>
      </c>
      <c r="AI288" s="67" vm="1005">
        <f>CUBEVALUE(ConnectionString,ReportMonth,Table1[[#This Row],[Site ID (from DATIM)]],"TX_CURR")</f>
        <v>260</v>
      </c>
      <c r="AJ288" s="67" vm="3629">
        <f>CUBEVALUE(ConnectionString,ReportMonth,Table1[[#This Row],[Site ID (from DATIM)]],"[Measures].[TI]")</f>
        <v>1</v>
      </c>
      <c r="AK288" s="67" vm="1242">
        <f>CUBEVALUE(ConnectionString,ReportMonth,Table1[[#This Row],[Site ID (from DATIM)]],"[Measures].[TO]")</f>
        <v>1</v>
      </c>
      <c r="AL288" s="67" t="str" vm="4098">
        <f>CUBEVALUE(ConnectionString,ReportMonth,Table1[[#This Row],[Site ID (from DATIM)]],"[Measures].[DIED]")</f>
        <v/>
      </c>
      <c r="AM288" s="67" vm="4552">
        <f>CUBEVALUE(ConnectionString,ReportMonth,Table1[[#This Row],[Site ID (from DATIM)]],"[Measures].[MMS_01_31]")</f>
        <v>42</v>
      </c>
      <c r="AN288" s="67" vm="6207">
        <f>CUBEVALUE(ConnectionString,ReportMonth,Table1[[#This Row],[Site ID (from DATIM)]],"[Measures].[MMS_32_62]")</f>
        <v>23</v>
      </c>
      <c r="AO288" s="67" vm="11043">
        <f>CUBEVALUE(ConnectionString,ReportMonth,Table1[[#This Row],[Site ID (from DATIM)]],"[Measures].[MMS_63+]")</f>
        <v>195</v>
      </c>
      <c r="AP288" s="67" vm="6901">
        <f>CUBEVALUE(ConnectionString,ReportMonth,Table1[[#This Row],[Site ID (from DATIM)]],"[Measures].[TBPREV_D]")</f>
        <v>12</v>
      </c>
      <c r="AQ288" s="67" vm="7423">
        <f>CUBEVALUE(ConnectionString,ReportMonth,Table1[[#This Row],[Site ID (from DATIM)]],"[Measures].[TBPREV_N]")</f>
        <v>4</v>
      </c>
      <c r="AR288" s="67" t="str" vm="5336">
        <f>CUBEVALUE(ConnectionString,ReportMonth,Table1[[#This Row],[Site ID (from DATIM)]],"[Measures].[TBPREV_NEW]")</f>
        <v/>
      </c>
      <c r="AS288" s="67" vm="10094">
        <f>CUBEVALUE(ConnectionString,ReportMonth,Table1[[#This Row],[Site ID (from DATIM)]],"[Measures].[HVL_ELIG_P]")</f>
        <v>25</v>
      </c>
      <c r="AT288" s="67" vm="5699">
        <f>CUBEVALUE(ConnectionString,ReportMonth,Table1[[#This Row],[Site ID (from DATIM)]],"[Measures].[HVL_D_P]")</f>
        <v>13</v>
      </c>
      <c r="AU288" s="67" vm="14006">
        <f>CUBEVALUE(ConnectionString,ReportMonth,Table1[[#This Row],[Site ID (from DATIM)]],"[Measures].[HVL_N_P]")</f>
        <v>10</v>
      </c>
      <c r="AV288" s="68" vm="8719">
        <f>CUBEVALUE(ConnectionString,ReportMonth,Table1[[#This Row],[Site ID (from DATIM)]],"[Measures].[HVL_ELIG_A]")</f>
        <v>209</v>
      </c>
      <c r="AW288" s="68" vm="10972">
        <f>CUBEVALUE(ConnectionString,ReportMonth,Table1[[#This Row],[Site ID (from DATIM)]],"[Measures].[HVL_D_A]")</f>
        <v>125</v>
      </c>
      <c r="AX288" s="68" vm="10812">
        <f>CUBEVALUE(ConnectionString,ReportMonth,Table1[[#This Row],[Site ID (from DATIM)]],"[Measures].[HVL_N_A]")</f>
        <v>119</v>
      </c>
      <c r="AY288" s="67"/>
      <c r="AZ288" s="67"/>
      <c r="BA288" s="67"/>
      <c r="BB288" s="67"/>
      <c r="BC288" s="67"/>
      <c r="BD288" s="67"/>
      <c r="BE288" s="67"/>
      <c r="BF288" s="67"/>
      <c r="BG288" s="67" vm="10864">
        <f>CUBEVALUE(ConnectionString,ReportMonth,Table1[[#This Row],[Site ID (from DATIM)]],"[Measures].[TX_NEW_F_A]")</f>
        <v>1</v>
      </c>
      <c r="BH288" s="67" t="str" vm="12657">
        <f>CUBEVALUE(ConnectionString,ReportMonth,Table1[[#This Row],[Site ID (from DATIM)]],"[Measures].[TX_NEW_M_A]")</f>
        <v/>
      </c>
      <c r="BI288" s="67" t="str" vm="12599">
        <f>CUBEVALUE(ConnectionString,ReportMonth,Table1[[#This Row],[Site ID (from DATIM)]],"[Measures].[TX_NEW_F_P]")</f>
        <v/>
      </c>
      <c r="BJ288" s="68" t="str" vm="13461">
        <f>CUBEVALUE(ConnectionString,ReportMonth,Table1[[#This Row],[Site ID (from DATIM)]],"[Measures].[TX_NEW_M_P]")</f>
        <v/>
      </c>
      <c r="BK288" s="68"/>
      <c r="BL288" s="68"/>
      <c r="BM288" s="68"/>
      <c r="BN288" s="68"/>
      <c r="BO288" s="68"/>
      <c r="BP288" s="68"/>
      <c r="BQ288" s="68" vm="14406">
        <f>CUBEVALUE(ConnectionString,ReportMonth,Table1[[#This Row],[Site ID (from DATIM)]],"[Measures].[TX_CURR_F_P]")</f>
        <v>11</v>
      </c>
      <c r="BR288" s="68" vm="12610">
        <f>CUBEVALUE(ConnectionString,ReportMonth,Table1[[#This Row],[Site ID (from DATIM)]],"[Measures].[TX_CURR_M_P]")</f>
        <v>17</v>
      </c>
      <c r="BS288" s="68" vm="10998">
        <f>CUBEVALUE(ConnectionString,ReportMonth,Table1[[#This Row],[Site ID (from DATIM)]],"[Measures].[TX_CURR_F_A]")</f>
        <v>149</v>
      </c>
      <c r="BT288" s="68" vm="11258">
        <f>CUBEVALUE(ConnectionString,ReportMonth,Table1[[#This Row],[Site ID (from DATIM)]],"[Measures].[TX_CURR_M_A]")</f>
        <v>84</v>
      </c>
      <c r="BU288" s="68" vm="18022">
        <f>CUBEVALUE(ConnectionString,ReportMonth,Table1[[#This Row],[Site ID (from DATIM)]],"[Measures].[MMS_01_89_F_P]")</f>
        <v>8</v>
      </c>
      <c r="BV288" s="68" vm="20079">
        <f>CUBEVALUE(ConnectionString,ReportMonth,Table1[[#This Row],[Site ID (from DATIM)]],"[Measures].[MMS_01_89_M_P]")</f>
        <v>10</v>
      </c>
      <c r="BW288" s="68" vm="18517">
        <f>CUBEVALUE(ConnectionString,ReportMonth,Table1[[#This Row],[Site ID (from DATIM)]],"[Measures].[MMS_01_89_F_A]")</f>
        <v>43</v>
      </c>
      <c r="BX288" s="68" vm="19686">
        <f>CUBEVALUE(ConnectionString,ReportMonth,Table1[[#This Row],[Site ID (from DATIM)]],"[Measures].[MMS_01_89_M_A]")</f>
        <v>11</v>
      </c>
      <c r="BY288" s="68" vm="18882">
        <f>CUBEVALUE(ConnectionString,ReportMonth,Table1[[#This Row],[Site ID (from DATIM)]],"[Measures].[MMS_90_179_F_P]")</f>
        <v>3</v>
      </c>
      <c r="BZ288" s="68" vm="15543">
        <f>CUBEVALUE(ConnectionString,ReportMonth,Table1[[#This Row],[Site ID (from DATIM)]],"[Measures].[MMS_90_179_M_P]")</f>
        <v>7</v>
      </c>
      <c r="CA288" s="68" vm="17670">
        <f>CUBEVALUE(ConnectionString,ReportMonth,Table1[[#This Row],[Site ID (from DATIM)]],"[Measures].[MMS_90_179_F_A]")</f>
        <v>106</v>
      </c>
      <c r="CB288" s="68" vm="17707">
        <f>CUBEVALUE(ConnectionString,ReportMonth,Table1[[#This Row],[Site ID (from DATIM)]],"[Measures].[MMS_90_179_M_A]")</f>
        <v>73</v>
      </c>
      <c r="CC288" s="68" t="str" vm="14558">
        <f>CUBEVALUE(ConnectionString,ReportMonth,Table1[[#This Row],[Site ID (from DATIM)]],"[Measures].[MMS_180+_F_P]")</f>
        <v/>
      </c>
      <c r="CD288" s="68" t="str" vm="14994">
        <f>CUBEVALUE(ConnectionString,ReportMonth,Table1[[#This Row],[Site ID (from DATIM)]],"[Measures].[MMS_180+_M_P]")</f>
        <v/>
      </c>
      <c r="CE288" s="68" t="str" vm="17568">
        <f>CUBEVALUE(ConnectionString,ReportMonth,Table1[[#This Row],[Site ID (from DATIM)]],"[Measures].[MMS_180+_F_A]")</f>
        <v/>
      </c>
      <c r="CF288" s="68" t="str" vm="15350">
        <f>CUBEVALUE(ConnectionString,ReportMonth,Table1[[#This Row],[Site ID (from DATIM)]],"[Measures].[MMS_180+_M_A]")</f>
        <v/>
      </c>
      <c r="CG288" s="68" vm="8088">
        <f>CUBEVALUE(ConnectionString,ReportMonth,Table1[[#This Row],[Site ID (from DATIM)]],"[Measures].[MISSEDAPP]")</f>
        <v>124</v>
      </c>
      <c r="CH288" s="68" t="str" vm="13880">
        <f>CUBEVALUE(ConnectionString,ReportMonth,Table1[[#This Row],[Site ID (from DATIM)]],"[Measures].[MMS_180+_P]")</f>
        <v/>
      </c>
      <c r="CI288" s="68" t="str" vm="12150">
        <f>CUBEVALUE(ConnectionString,ReportMonth,Table1[[#This Row],[Site ID (from DATIM)]],"[Measures].[MMS_180+_A]")</f>
        <v/>
      </c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</row>
    <row r="289" spans="1:107" x14ac:dyDescent="0.25">
      <c r="A289" s="66">
        <v>4</v>
      </c>
      <c r="B289" s="67" t="str" vm="4">
        <f t="shared" si="5"/>
        <v>Mar-2021</v>
      </c>
      <c r="C289" s="67"/>
      <c r="D289" s="67" t="s">
        <v>232</v>
      </c>
      <c r="E289" s="67" t="s">
        <v>233</v>
      </c>
      <c r="F289" s="67" t="s">
        <v>234</v>
      </c>
      <c r="G289" s="67"/>
      <c r="H289" s="67" t="s">
        <v>270</v>
      </c>
      <c r="I289" s="67" t="s">
        <v>353</v>
      </c>
      <c r="J289" s="67" t="s">
        <v>354</v>
      </c>
      <c r="K289" s="67" t="s">
        <v>355</v>
      </c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 vm="2270">
        <f>CUBEVALUE(ConnectionString,ReportMonth,Table1[[#This Row],[Site ID (from DATIM)]],"TX_NEW_2VIS")</f>
        <v>1</v>
      </c>
      <c r="AE289" s="67" vm="2720">
        <f>CUBEVALUE(ConnectionString,ReportMonth,Table1[[#This Row],[Site ID (from DATIM)]],INDEX(SDI_Measures,1))</f>
        <v>2</v>
      </c>
      <c r="AF289" s="67" t="str" vm="373">
        <f>CUBEVALUE(ConnectionString,ReportMonth,Table1[[#This Row],[Site ID (from DATIM)]],INDEX(SDI_Measures,2))</f>
        <v/>
      </c>
      <c r="AG289" s="67" t="str" vm="1584">
        <f>CUBEVALUE(ConnectionString,ReportMonth,Table1[[#This Row],[Site ID (from DATIM)]],INDEX(SDI_Measures,3))</f>
        <v/>
      </c>
      <c r="AH289" s="67" vm="2914">
        <f>CUBEVALUE(ConnectionString,ReportMonth,Table1[[#This Row],[Site ID (from DATIM)]],"TX_CURR_PRIOR_MONTH")</f>
        <v>191</v>
      </c>
      <c r="AI289" s="67" vm="2051">
        <f>CUBEVALUE(ConnectionString,ReportMonth,Table1[[#This Row],[Site ID (from DATIM)]],"TX_CURR")</f>
        <v>193</v>
      </c>
      <c r="AJ289" s="67" t="str" vm="3039">
        <f>CUBEVALUE(ConnectionString,ReportMonth,Table1[[#This Row],[Site ID (from DATIM)]],"[Measures].[TI]")</f>
        <v/>
      </c>
      <c r="AK289" s="67" t="str" vm="1246">
        <f>CUBEVALUE(ConnectionString,ReportMonth,Table1[[#This Row],[Site ID (from DATIM)]],"[Measures].[TO]")</f>
        <v/>
      </c>
      <c r="AL289" s="67" t="str" vm="564">
        <f>CUBEVALUE(ConnectionString,ReportMonth,Table1[[#This Row],[Site ID (from DATIM)]],"[Measures].[DIED]")</f>
        <v/>
      </c>
      <c r="AM289" s="67" vm="7103">
        <f>CUBEVALUE(ConnectionString,ReportMonth,Table1[[#This Row],[Site ID (from DATIM)]],"[Measures].[MMS_01_31]")</f>
        <v>97</v>
      </c>
      <c r="AN289" s="67" vm="4188">
        <f>CUBEVALUE(ConnectionString,ReportMonth,Table1[[#This Row],[Site ID (from DATIM)]],"[Measures].[MMS_32_62]")</f>
        <v>4</v>
      </c>
      <c r="AO289" s="67" vm="9466">
        <f>CUBEVALUE(ConnectionString,ReportMonth,Table1[[#This Row],[Site ID (from DATIM)]],"[Measures].[MMS_63+]")</f>
        <v>92</v>
      </c>
      <c r="AP289" s="67" vm="5050">
        <f>CUBEVALUE(ConnectionString,ReportMonth,Table1[[#This Row],[Site ID (from DATIM)]],"[Measures].[TBPREV_D]")</f>
        <v>3</v>
      </c>
      <c r="AQ289" s="67" vm="7805">
        <f>CUBEVALUE(ConnectionString,ReportMonth,Table1[[#This Row],[Site ID (from DATIM)]],"[Measures].[TBPREV_N]")</f>
        <v>3</v>
      </c>
      <c r="AR289" s="67" vm="6192">
        <f>CUBEVALUE(ConnectionString,ReportMonth,Table1[[#This Row],[Site ID (from DATIM)]],"[Measures].[TBPREV_NEW]")</f>
        <v>1</v>
      </c>
      <c r="AS289" s="67" vm="9468">
        <f>CUBEVALUE(ConnectionString,ReportMonth,Table1[[#This Row],[Site ID (from DATIM)]],"[Measures].[HVL_ELIG_P]")</f>
        <v>2</v>
      </c>
      <c r="AT289" s="67" vm="8669">
        <f>CUBEVALUE(ConnectionString,ReportMonth,Table1[[#This Row],[Site ID (from DATIM)]],"[Measures].[HVL_D_P]")</f>
        <v>1</v>
      </c>
      <c r="AU289" s="67" vm="9671">
        <f>CUBEVALUE(ConnectionString,ReportMonth,Table1[[#This Row],[Site ID (from DATIM)]],"[Measures].[HVL_N_P]")</f>
        <v>1</v>
      </c>
      <c r="AV289" s="68" vm="9716">
        <f>CUBEVALUE(ConnectionString,ReportMonth,Table1[[#This Row],[Site ID (from DATIM)]],"[Measures].[HVL_ELIG_A]")</f>
        <v>136</v>
      </c>
      <c r="AW289" s="68" vm="7998">
        <f>CUBEVALUE(ConnectionString,ReportMonth,Table1[[#This Row],[Site ID (from DATIM)]],"[Measures].[HVL_D_A]")</f>
        <v>65</v>
      </c>
      <c r="AX289" s="68" vm="10726">
        <f>CUBEVALUE(ConnectionString,ReportMonth,Table1[[#This Row],[Site ID (from DATIM)]],"[Measures].[HVL_N_A]")</f>
        <v>62</v>
      </c>
      <c r="AY289" s="67"/>
      <c r="AZ289" s="67"/>
      <c r="BA289" s="67"/>
      <c r="BB289" s="67"/>
      <c r="BC289" s="67"/>
      <c r="BD289" s="67"/>
      <c r="BE289" s="67"/>
      <c r="BF289" s="67"/>
      <c r="BG289" s="67" vm="12898">
        <f>CUBEVALUE(ConnectionString,ReportMonth,Table1[[#This Row],[Site ID (from DATIM)]],"[Measures].[TX_NEW_F_A]")</f>
        <v>1</v>
      </c>
      <c r="BH289" s="67" vm="14082">
        <f>CUBEVALUE(ConnectionString,ReportMonth,Table1[[#This Row],[Site ID (from DATIM)]],"[Measures].[TX_NEW_M_A]")</f>
        <v>1</v>
      </c>
      <c r="BI289" s="67" t="str" vm="13104">
        <f>CUBEVALUE(ConnectionString,ReportMonth,Table1[[#This Row],[Site ID (from DATIM)]],"[Measures].[TX_NEW_F_P]")</f>
        <v/>
      </c>
      <c r="BJ289" s="68" t="str" vm="15311">
        <f>CUBEVALUE(ConnectionString,ReportMonth,Table1[[#This Row],[Site ID (from DATIM)]],"[Measures].[TX_NEW_M_P]")</f>
        <v/>
      </c>
      <c r="BK289" s="68"/>
      <c r="BL289" s="68"/>
      <c r="BM289" s="68"/>
      <c r="BN289" s="68"/>
      <c r="BO289" s="68"/>
      <c r="BP289" s="68"/>
      <c r="BQ289" s="68" vm="11366">
        <f>CUBEVALUE(ConnectionString,ReportMonth,Table1[[#This Row],[Site ID (from DATIM)]],"[Measures].[TX_CURR_F_P]")</f>
        <v>1</v>
      </c>
      <c r="BR289" s="68" vm="7931">
        <f>CUBEVALUE(ConnectionString,ReportMonth,Table1[[#This Row],[Site ID (from DATIM)]],"[Measures].[TX_CURR_M_P]")</f>
        <v>1</v>
      </c>
      <c r="BS289" s="68" vm="8894">
        <f>CUBEVALUE(ConnectionString,ReportMonth,Table1[[#This Row],[Site ID (from DATIM)]],"[Measures].[TX_CURR_F_A]")</f>
        <v>126</v>
      </c>
      <c r="BT289" s="68" vm="10121">
        <f>CUBEVALUE(ConnectionString,ReportMonth,Table1[[#This Row],[Site ID (from DATIM)]],"[Measures].[TX_CURR_M_A]")</f>
        <v>65</v>
      </c>
      <c r="BU289" s="68" vm="18689">
        <f>CUBEVALUE(ConnectionString,ReportMonth,Table1[[#This Row],[Site ID (from DATIM)]],"[Measures].[MMS_01_89_F_P]")</f>
        <v>1</v>
      </c>
      <c r="BV289" s="68" t="str" vm="19339">
        <f>CUBEVALUE(ConnectionString,ReportMonth,Table1[[#This Row],[Site ID (from DATIM)]],"[Measures].[MMS_01_89_M_P]")</f>
        <v/>
      </c>
      <c r="BW289" s="68" vm="18053">
        <f>CUBEVALUE(ConnectionString,ReportMonth,Table1[[#This Row],[Site ID (from DATIM)]],"[Measures].[MMS_01_89_F_A]")</f>
        <v>70</v>
      </c>
      <c r="BX289" s="68" vm="18261">
        <f>CUBEVALUE(ConnectionString,ReportMonth,Table1[[#This Row],[Site ID (from DATIM)]],"[Measures].[MMS_01_89_M_A]")</f>
        <v>30</v>
      </c>
      <c r="BY289" s="68" t="str" vm="18485">
        <f>CUBEVALUE(ConnectionString,ReportMonth,Table1[[#This Row],[Site ID (from DATIM)]],"[Measures].[MMS_90_179_F_P]")</f>
        <v/>
      </c>
      <c r="BZ289" s="68" vm="15245">
        <f>CUBEVALUE(ConnectionString,ReportMonth,Table1[[#This Row],[Site ID (from DATIM)]],"[Measures].[MMS_90_179_M_P]")</f>
        <v>1</v>
      </c>
      <c r="CA289" s="68" vm="16883">
        <f>CUBEVALUE(ConnectionString,ReportMonth,Table1[[#This Row],[Site ID (from DATIM)]],"[Measures].[MMS_90_179_F_A]")</f>
        <v>56</v>
      </c>
      <c r="CB289" s="68" vm="16923">
        <f>CUBEVALUE(ConnectionString,ReportMonth,Table1[[#This Row],[Site ID (from DATIM)]],"[Measures].[MMS_90_179_M_A]")</f>
        <v>35</v>
      </c>
      <c r="CC289" s="68" t="str" vm="17234">
        <f>CUBEVALUE(ConnectionString,ReportMonth,Table1[[#This Row],[Site ID (from DATIM)]],"[Measures].[MMS_180+_F_P]")</f>
        <v/>
      </c>
      <c r="CD289" s="68" t="str" vm="15469">
        <f>CUBEVALUE(ConnectionString,ReportMonth,Table1[[#This Row],[Site ID (from DATIM)]],"[Measures].[MMS_180+_M_P]")</f>
        <v/>
      </c>
      <c r="CE289" s="68" t="str" vm="17469">
        <f>CUBEVALUE(ConnectionString,ReportMonth,Table1[[#This Row],[Site ID (from DATIM)]],"[Measures].[MMS_180+_F_A]")</f>
        <v/>
      </c>
      <c r="CF289" s="68" t="str" vm="16246">
        <f>CUBEVALUE(ConnectionString,ReportMonth,Table1[[#This Row],[Site ID (from DATIM)]],"[Measures].[MMS_180+_M_A]")</f>
        <v/>
      </c>
      <c r="CG289" s="68" vm="9830">
        <f>CUBEVALUE(ConnectionString,ReportMonth,Table1[[#This Row],[Site ID (from DATIM)]],"[Measures].[MISSEDAPP]")</f>
        <v>115</v>
      </c>
      <c r="CH289" s="68" t="str" vm="10114">
        <f>CUBEVALUE(ConnectionString,ReportMonth,Table1[[#This Row],[Site ID (from DATIM)]],"[Measures].[MMS_180+_P]")</f>
        <v/>
      </c>
      <c r="CI289" s="68" t="str" vm="13824">
        <f>CUBEVALUE(ConnectionString,ReportMonth,Table1[[#This Row],[Site ID (from DATIM)]],"[Measures].[MMS_180+_A]")</f>
        <v/>
      </c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  <c r="CW289" s="68"/>
      <c r="CX289" s="68"/>
      <c r="CY289" s="68"/>
      <c r="CZ289" s="68"/>
      <c r="DA289" s="68"/>
      <c r="DB289" s="68"/>
      <c r="DC289" s="68"/>
    </row>
    <row r="290" spans="1:107" x14ac:dyDescent="0.25">
      <c r="A290" s="66">
        <v>4</v>
      </c>
      <c r="B290" s="67" t="str" vm="4">
        <f t="shared" si="5"/>
        <v>Mar-2021</v>
      </c>
      <c r="C290" s="67"/>
      <c r="D290" s="67" t="s">
        <v>232</v>
      </c>
      <c r="E290" s="67" t="s">
        <v>233</v>
      </c>
      <c r="F290" s="67" t="s">
        <v>437</v>
      </c>
      <c r="G290" s="67"/>
      <c r="H290" s="67" t="s">
        <v>478</v>
      </c>
      <c r="I290" s="67" t="s">
        <v>702</v>
      </c>
      <c r="J290" s="67" t="s">
        <v>703</v>
      </c>
      <c r="K290" s="67" t="s">
        <v>704</v>
      </c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 t="str" vm="1015">
        <f>CUBEVALUE(ConnectionString,ReportMonth,Table1[[#This Row],[Site ID (from DATIM)]],"TX_NEW_2VIS")</f>
        <v/>
      </c>
      <c r="AE290" s="67" t="str" vm="1597">
        <f>CUBEVALUE(ConnectionString,ReportMonth,Table1[[#This Row],[Site ID (from DATIM)]],INDEX(SDI_Measures,1))</f>
        <v/>
      </c>
      <c r="AF290" s="67" t="str" vm="1508">
        <f>CUBEVALUE(ConnectionString,ReportMonth,Table1[[#This Row],[Site ID (from DATIM)]],INDEX(SDI_Measures,2))</f>
        <v/>
      </c>
      <c r="AG290" s="67" t="str" vm="5562">
        <f>CUBEVALUE(ConnectionString,ReportMonth,Table1[[#This Row],[Site ID (from DATIM)]],INDEX(SDI_Measures,3))</f>
        <v/>
      </c>
      <c r="AH290" s="67" vm="2151">
        <f>CUBEVALUE(ConnectionString,ReportMonth,Table1[[#This Row],[Site ID (from DATIM)]],"TX_CURR_PRIOR_MONTH")</f>
        <v>25</v>
      </c>
      <c r="AI290" s="67" vm="2941">
        <f>CUBEVALUE(ConnectionString,ReportMonth,Table1[[#This Row],[Site ID (from DATIM)]],"TX_CURR")</f>
        <v>12</v>
      </c>
      <c r="AJ290" s="67" t="str" vm="3526">
        <f>CUBEVALUE(ConnectionString,ReportMonth,Table1[[#This Row],[Site ID (from DATIM)]],"[Measures].[TI]")</f>
        <v/>
      </c>
      <c r="AK290" s="67" t="str" vm="4055">
        <f>CUBEVALUE(ConnectionString,ReportMonth,Table1[[#This Row],[Site ID (from DATIM)]],"[Measures].[TO]")</f>
        <v/>
      </c>
      <c r="AL290" s="67" t="str" vm="3016">
        <f>CUBEVALUE(ConnectionString,ReportMonth,Table1[[#This Row],[Site ID (from DATIM)]],"[Measures].[DIED]")</f>
        <v/>
      </c>
      <c r="AM290" s="67" vm="5612">
        <f>CUBEVALUE(ConnectionString,ReportMonth,Table1[[#This Row],[Site ID (from DATIM)]],"[Measures].[MMS_01_31]")</f>
        <v>8</v>
      </c>
      <c r="AN290" s="67" vm="6465">
        <f>CUBEVALUE(ConnectionString,ReportMonth,Table1[[#This Row],[Site ID (from DATIM)]],"[Measures].[MMS_32_62]")</f>
        <v>1</v>
      </c>
      <c r="AO290" s="67" vm="9527">
        <f>CUBEVALUE(ConnectionString,ReportMonth,Table1[[#This Row],[Site ID (from DATIM)]],"[Measures].[MMS_63+]")</f>
        <v>3</v>
      </c>
      <c r="AP290" s="67" t="str" vm="5777">
        <f>CUBEVALUE(ConnectionString,ReportMonth,Table1[[#This Row],[Site ID (from DATIM)]],"[Measures].[TBPREV_D]")</f>
        <v/>
      </c>
      <c r="AQ290" s="67" t="str" vm="8472">
        <f>CUBEVALUE(ConnectionString,ReportMonth,Table1[[#This Row],[Site ID (from DATIM)]],"[Measures].[TBPREV_N]")</f>
        <v/>
      </c>
      <c r="AR290" s="67" t="str" vm="7842">
        <f>CUBEVALUE(ConnectionString,ReportMonth,Table1[[#This Row],[Site ID (from DATIM)]],"[Measures].[TBPREV_NEW]")</f>
        <v/>
      </c>
      <c r="AS290" s="67" t="str" vm="8477">
        <f>CUBEVALUE(ConnectionString,ReportMonth,Table1[[#This Row],[Site ID (from DATIM)]],"[Measures].[HVL_ELIG_P]")</f>
        <v/>
      </c>
      <c r="AT290" s="67" t="str" vm="6222">
        <f>CUBEVALUE(ConnectionString,ReportMonth,Table1[[#This Row],[Site ID (from DATIM)]],"[Measures].[HVL_D_P]")</f>
        <v/>
      </c>
      <c r="AU290" s="67" t="str" vm="10023">
        <f>CUBEVALUE(ConnectionString,ReportMonth,Table1[[#This Row],[Site ID (from DATIM)]],"[Measures].[HVL_N_P]")</f>
        <v/>
      </c>
      <c r="AV290" s="68" vm="9755">
        <f>CUBEVALUE(ConnectionString,ReportMonth,Table1[[#This Row],[Site ID (from DATIM)]],"[Measures].[HVL_ELIG_A]")</f>
        <v>6</v>
      </c>
      <c r="AW290" s="68" vm="11821">
        <f>CUBEVALUE(ConnectionString,ReportMonth,Table1[[#This Row],[Site ID (from DATIM)]],"[Measures].[HVL_D_A]")</f>
        <v>6</v>
      </c>
      <c r="AX290" s="68" vm="8258">
        <f>CUBEVALUE(ConnectionString,ReportMonth,Table1[[#This Row],[Site ID (from DATIM)]],"[Measures].[HVL_N_A]")</f>
        <v>4</v>
      </c>
      <c r="AY290" s="67"/>
      <c r="AZ290" s="67"/>
      <c r="BA290" s="67"/>
      <c r="BB290" s="67"/>
      <c r="BC290" s="67"/>
      <c r="BD290" s="67"/>
      <c r="BE290" s="67"/>
      <c r="BF290" s="67"/>
      <c r="BG290" s="67" t="str" vm="12116">
        <f>CUBEVALUE(ConnectionString,ReportMonth,Table1[[#This Row],[Site ID (from DATIM)]],"[Measures].[TX_NEW_F_A]")</f>
        <v/>
      </c>
      <c r="BH290" s="67" t="str" vm="10869">
        <f>CUBEVALUE(ConnectionString,ReportMonth,Table1[[#This Row],[Site ID (from DATIM)]],"[Measures].[TX_NEW_M_A]")</f>
        <v/>
      </c>
      <c r="BI290" s="67" t="str" vm="12288">
        <f>CUBEVALUE(ConnectionString,ReportMonth,Table1[[#This Row],[Site ID (from DATIM)]],"[Measures].[TX_NEW_F_P]")</f>
        <v/>
      </c>
      <c r="BJ290" s="68" t="str" vm="17061">
        <f>CUBEVALUE(ConnectionString,ReportMonth,Table1[[#This Row],[Site ID (from DATIM)]],"[Measures].[TX_NEW_M_P]")</f>
        <v/>
      </c>
      <c r="BK290" s="68"/>
      <c r="BL290" s="68"/>
      <c r="BM290" s="68"/>
      <c r="BN290" s="68"/>
      <c r="BO290" s="68"/>
      <c r="BP290" s="68"/>
      <c r="BQ290" s="68" t="str" vm="8969">
        <f>CUBEVALUE(ConnectionString,ReportMonth,Table1[[#This Row],[Site ID (from DATIM)]],"[Measures].[TX_CURR_F_P]")</f>
        <v/>
      </c>
      <c r="BR290" s="68" t="str" vm="10979">
        <f>CUBEVALUE(ConnectionString,ReportMonth,Table1[[#This Row],[Site ID (from DATIM)]],"[Measures].[TX_CURR_M_P]")</f>
        <v/>
      </c>
      <c r="BS290" s="68" vm="11832">
        <f>CUBEVALUE(ConnectionString,ReportMonth,Table1[[#This Row],[Site ID (from DATIM)]],"[Measures].[TX_CURR_F_A]")</f>
        <v>8</v>
      </c>
      <c r="BT290" s="68" vm="11752">
        <f>CUBEVALUE(ConnectionString,ReportMonth,Table1[[#This Row],[Site ID (from DATIM)]],"[Measures].[TX_CURR_M_A]")</f>
        <v>4</v>
      </c>
      <c r="BU290" s="68" t="str" vm="19588">
        <f>CUBEVALUE(ConnectionString,ReportMonth,Table1[[#This Row],[Site ID (from DATIM)]],"[Measures].[MMS_01_89_F_P]")</f>
        <v/>
      </c>
      <c r="BV290" s="68" t="str" vm="20133">
        <f>CUBEVALUE(ConnectionString,ReportMonth,Table1[[#This Row],[Site ID (from DATIM)]],"[Measures].[MMS_01_89_M_P]")</f>
        <v/>
      </c>
      <c r="BW290" s="68" vm="19434">
        <f>CUBEVALUE(ConnectionString,ReportMonth,Table1[[#This Row],[Site ID (from DATIM)]],"[Measures].[MMS_01_89_F_A]")</f>
        <v>5</v>
      </c>
      <c r="BX290" s="68" vm="17795">
        <f>CUBEVALUE(ConnectionString,ReportMonth,Table1[[#This Row],[Site ID (from DATIM)]],"[Measures].[MMS_01_89_M_A]")</f>
        <v>4</v>
      </c>
      <c r="BY290" s="68" t="str" vm="19087">
        <f>CUBEVALUE(ConnectionString,ReportMonth,Table1[[#This Row],[Site ID (from DATIM)]],"[Measures].[MMS_90_179_F_P]")</f>
        <v/>
      </c>
      <c r="BZ290" s="68" t="str" vm="16991">
        <f>CUBEVALUE(ConnectionString,ReportMonth,Table1[[#This Row],[Site ID (from DATIM)]],"[Measures].[MMS_90_179_M_P]")</f>
        <v/>
      </c>
      <c r="CA290" s="68" vm="19290">
        <f>CUBEVALUE(ConnectionString,ReportMonth,Table1[[#This Row],[Site ID (from DATIM)]],"[Measures].[MMS_90_179_F_A]")</f>
        <v>3</v>
      </c>
      <c r="CB290" s="68" t="str" vm="15990">
        <f>CUBEVALUE(ConnectionString,ReportMonth,Table1[[#This Row],[Site ID (from DATIM)]],"[Measures].[MMS_90_179_M_A]")</f>
        <v/>
      </c>
      <c r="CC290" s="68" t="str" vm="17233">
        <f>CUBEVALUE(ConnectionString,ReportMonth,Table1[[#This Row],[Site ID (from DATIM)]],"[Measures].[MMS_180+_F_P]")</f>
        <v/>
      </c>
      <c r="CD290" s="68" t="str" vm="15468">
        <f>CUBEVALUE(ConnectionString,ReportMonth,Table1[[#This Row],[Site ID (from DATIM)]],"[Measures].[MMS_180+_M_P]")</f>
        <v/>
      </c>
      <c r="CE290" s="68" t="str" vm="88">
        <f>CUBEVALUE(ConnectionString,ReportMonth,Table1[[#This Row],[Site ID (from DATIM)]],"[Measures].[MMS_180+_F_A]")</f>
        <v/>
      </c>
      <c r="CF290" s="68" t="str" vm="17156">
        <f>CUBEVALUE(ConnectionString,ReportMonth,Table1[[#This Row],[Site ID (from DATIM)]],"[Measures].[MMS_180+_M_A]")</f>
        <v/>
      </c>
      <c r="CG290" s="68" vm="5087">
        <f>CUBEVALUE(ConnectionString,ReportMonth,Table1[[#This Row],[Site ID (from DATIM)]],"[Measures].[MISSEDAPP]")</f>
        <v>5</v>
      </c>
      <c r="CH290" s="68" t="str" vm="11881">
        <f>CUBEVALUE(ConnectionString,ReportMonth,Table1[[#This Row],[Site ID (from DATIM)]],"[Measures].[MMS_180+_P]")</f>
        <v/>
      </c>
      <c r="CI290" s="68" t="str" vm="10706">
        <f>CUBEVALUE(ConnectionString,ReportMonth,Table1[[#This Row],[Site ID (from DATIM)]],"[Measures].[MMS_180+_A]")</f>
        <v/>
      </c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  <c r="CW290" s="68"/>
      <c r="CX290" s="68"/>
      <c r="CY290" s="68"/>
      <c r="CZ290" s="68"/>
      <c r="DA290" s="68"/>
      <c r="DB290" s="68"/>
      <c r="DC290" s="68"/>
    </row>
    <row r="291" spans="1:107" x14ac:dyDescent="0.25">
      <c r="A291" s="66">
        <v>4</v>
      </c>
      <c r="B291" s="67" t="str" vm="4">
        <f t="shared" si="5"/>
        <v>Mar-2021</v>
      </c>
      <c r="C291" s="67"/>
      <c r="D291" s="67" t="s">
        <v>232</v>
      </c>
      <c r="E291" s="67" t="s">
        <v>233</v>
      </c>
      <c r="F291" s="67" t="s">
        <v>234</v>
      </c>
      <c r="G291" s="67"/>
      <c r="H291" s="67" t="s">
        <v>305</v>
      </c>
      <c r="I291" s="67" t="s">
        <v>356</v>
      </c>
      <c r="J291" s="67" t="s">
        <v>357</v>
      </c>
      <c r="K291" s="67" t="s">
        <v>358</v>
      </c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 t="str" vm="3913">
        <f>CUBEVALUE(ConnectionString,ReportMonth,Table1[[#This Row],[Site ID (from DATIM)]],"TX_NEW_2VIS")</f>
        <v/>
      </c>
      <c r="AE291" s="67" vm="4144">
        <f>CUBEVALUE(ConnectionString,ReportMonth,Table1[[#This Row],[Site ID (from DATIM)]],INDEX(SDI_Measures,1))</f>
        <v>1</v>
      </c>
      <c r="AF291" s="67" t="str" vm="1361">
        <f>CUBEVALUE(ConnectionString,ReportMonth,Table1[[#This Row],[Site ID (from DATIM)]],INDEX(SDI_Measures,2))</f>
        <v/>
      </c>
      <c r="AG291" s="67" t="str" vm="4482">
        <f>CUBEVALUE(ConnectionString,ReportMonth,Table1[[#This Row],[Site ID (from DATIM)]],INDEX(SDI_Measures,3))</f>
        <v/>
      </c>
      <c r="AH291" s="67" vm="868">
        <f>CUBEVALUE(ConnectionString,ReportMonth,Table1[[#This Row],[Site ID (from DATIM)]],"TX_CURR_PRIOR_MONTH")</f>
        <v>279</v>
      </c>
      <c r="AI291" s="67" vm="1686">
        <f>CUBEVALUE(ConnectionString,ReportMonth,Table1[[#This Row],[Site ID (from DATIM)]],"TX_CURR")</f>
        <v>264</v>
      </c>
      <c r="AJ291" s="67" t="str" vm="3174">
        <f>CUBEVALUE(ConnectionString,ReportMonth,Table1[[#This Row],[Site ID (from DATIM)]],"[Measures].[TI]")</f>
        <v/>
      </c>
      <c r="AK291" s="67" t="str" vm="2979">
        <f>CUBEVALUE(ConnectionString,ReportMonth,Table1[[#This Row],[Site ID (from DATIM)]],"[Measures].[TO]")</f>
        <v/>
      </c>
      <c r="AL291" s="67" t="str" vm="1691">
        <f>CUBEVALUE(ConnectionString,ReportMonth,Table1[[#This Row],[Site ID (from DATIM)]],"[Measures].[DIED]")</f>
        <v/>
      </c>
      <c r="AM291" s="67" vm="4122">
        <f>CUBEVALUE(ConnectionString,ReportMonth,Table1[[#This Row],[Site ID (from DATIM)]],"[Measures].[MMS_01_31]")</f>
        <v>50</v>
      </c>
      <c r="AN291" s="67" vm="7143">
        <f>CUBEVALUE(ConnectionString,ReportMonth,Table1[[#This Row],[Site ID (from DATIM)]],"[Measures].[MMS_32_62]")</f>
        <v>3</v>
      </c>
      <c r="AO291" s="67" vm="5641">
        <f>CUBEVALUE(ConnectionString,ReportMonth,Table1[[#This Row],[Site ID (from DATIM)]],"[Measures].[MMS_63+]")</f>
        <v>211</v>
      </c>
      <c r="AP291" s="67" vm="6858">
        <f>CUBEVALUE(ConnectionString,ReportMonth,Table1[[#This Row],[Site ID (from DATIM)]],"[Measures].[TBPREV_D]")</f>
        <v>4</v>
      </c>
      <c r="AQ291" s="67" vm="5065">
        <f>CUBEVALUE(ConnectionString,ReportMonth,Table1[[#This Row],[Site ID (from DATIM)]],"[Measures].[TBPREV_N]")</f>
        <v>2</v>
      </c>
      <c r="AR291" s="67" vm="5586">
        <f>CUBEVALUE(ConnectionString,ReportMonth,Table1[[#This Row],[Site ID (from DATIM)]],"[Measures].[TBPREV_NEW]")</f>
        <v>1</v>
      </c>
      <c r="AS291" s="67" vm="5319">
        <f>CUBEVALUE(ConnectionString,ReportMonth,Table1[[#This Row],[Site ID (from DATIM)]],"[Measures].[HVL_ELIG_P]")</f>
        <v>8</v>
      </c>
      <c r="AT291" s="67" vm="5073">
        <f>CUBEVALUE(ConnectionString,ReportMonth,Table1[[#This Row],[Site ID (from DATIM)]],"[Measures].[HVL_D_P]")</f>
        <v>8</v>
      </c>
      <c r="AU291" s="67" vm="13672">
        <f>CUBEVALUE(ConnectionString,ReportMonth,Table1[[#This Row],[Site ID (from DATIM)]],"[Measures].[HVL_N_P]")</f>
        <v>7</v>
      </c>
      <c r="AV291" s="68" vm="8632">
        <f>CUBEVALUE(ConnectionString,ReportMonth,Table1[[#This Row],[Site ID (from DATIM)]],"[Measures].[HVL_ELIG_A]")</f>
        <v>235</v>
      </c>
      <c r="AW291" s="68" vm="7958">
        <f>CUBEVALUE(ConnectionString,ReportMonth,Table1[[#This Row],[Site ID (from DATIM)]],"[Measures].[HVL_D_A]")</f>
        <v>221</v>
      </c>
      <c r="AX291" s="68" vm="7022">
        <f>CUBEVALUE(ConnectionString,ReportMonth,Table1[[#This Row],[Site ID (from DATIM)]],"[Measures].[HVL_N_A]")</f>
        <v>209</v>
      </c>
      <c r="AY291" s="67"/>
      <c r="AZ291" s="67"/>
      <c r="BA291" s="67"/>
      <c r="BB291" s="67"/>
      <c r="BC291" s="67"/>
      <c r="BD291" s="67"/>
      <c r="BE291" s="67"/>
      <c r="BF291" s="67"/>
      <c r="BG291" s="67" vm="13679">
        <f>CUBEVALUE(ConnectionString,ReportMonth,Table1[[#This Row],[Site ID (from DATIM)]],"[Measures].[TX_NEW_F_A]")</f>
        <v>1</v>
      </c>
      <c r="BH291" s="67" t="str" vm="15657">
        <f>CUBEVALUE(ConnectionString,ReportMonth,Table1[[#This Row],[Site ID (from DATIM)]],"[Measures].[TX_NEW_M_A]")</f>
        <v/>
      </c>
      <c r="BI291" s="67" t="str" vm="13254">
        <f>CUBEVALUE(ConnectionString,ReportMonth,Table1[[#This Row],[Site ID (from DATIM)]],"[Measures].[TX_NEW_F_P]")</f>
        <v/>
      </c>
      <c r="BJ291" s="68" t="str" vm="16595">
        <f>CUBEVALUE(ConnectionString,ReportMonth,Table1[[#This Row],[Site ID (from DATIM)]],"[Measures].[TX_NEW_M_P]")</f>
        <v/>
      </c>
      <c r="BK291" s="68"/>
      <c r="BL291" s="68"/>
      <c r="BM291" s="68"/>
      <c r="BN291" s="68"/>
      <c r="BO291" s="68"/>
      <c r="BP291" s="68"/>
      <c r="BQ291" s="68" vm="10020">
        <f>CUBEVALUE(ConnectionString,ReportMonth,Table1[[#This Row],[Site ID (from DATIM)]],"[Measures].[TX_CURR_F_P]")</f>
        <v>4</v>
      </c>
      <c r="BR291" s="68" vm="8108">
        <f>CUBEVALUE(ConnectionString,ReportMonth,Table1[[#This Row],[Site ID (from DATIM)]],"[Measures].[TX_CURR_M_P]")</f>
        <v>4</v>
      </c>
      <c r="BS291" s="68" vm="14819">
        <f>CUBEVALUE(ConnectionString,ReportMonth,Table1[[#This Row],[Site ID (from DATIM)]],"[Measures].[TX_CURR_F_A]")</f>
        <v>170</v>
      </c>
      <c r="BT291" s="68" vm="8087">
        <f>CUBEVALUE(ConnectionString,ReportMonth,Table1[[#This Row],[Site ID (from DATIM)]],"[Measures].[TX_CURR_M_A]")</f>
        <v>86</v>
      </c>
      <c r="BU291" s="68" vm="18671">
        <f>CUBEVALUE(ConnectionString,ReportMonth,Table1[[#This Row],[Site ID (from DATIM)]],"[Measures].[MMS_01_89_F_P]")</f>
        <v>1</v>
      </c>
      <c r="BV291" s="68" t="str" vm="19946">
        <f>CUBEVALUE(ConnectionString,ReportMonth,Table1[[#This Row],[Site ID (from DATIM)]],"[Measures].[MMS_01_89_M_P]")</f>
        <v/>
      </c>
      <c r="BW291" s="68" vm="19433">
        <f>CUBEVALUE(ConnectionString,ReportMonth,Table1[[#This Row],[Site ID (from DATIM)]],"[Measures].[MMS_01_89_F_A]")</f>
        <v>34</v>
      </c>
      <c r="BX291" s="68" vm="19668">
        <f>CUBEVALUE(ConnectionString,ReportMonth,Table1[[#This Row],[Site ID (from DATIM)]],"[Measures].[MMS_01_89_M_A]")</f>
        <v>20</v>
      </c>
      <c r="BY291" s="68" vm="15168">
        <f>CUBEVALUE(ConnectionString,ReportMonth,Table1[[#This Row],[Site ID (from DATIM)]],"[Measures].[MMS_90_179_F_P]")</f>
        <v>3</v>
      </c>
      <c r="BZ291" s="68" vm="18448">
        <f>CUBEVALUE(ConnectionString,ReportMonth,Table1[[#This Row],[Site ID (from DATIM)]],"[Measures].[MMS_90_179_M_P]")</f>
        <v>4</v>
      </c>
      <c r="CA291" s="68" vm="15981">
        <f>CUBEVALUE(ConnectionString,ReportMonth,Table1[[#This Row],[Site ID (from DATIM)]],"[Measures].[MMS_90_179_F_A]")</f>
        <v>136</v>
      </c>
      <c r="CB291" s="68" vm="15782">
        <f>CUBEVALUE(ConnectionString,ReportMonth,Table1[[#This Row],[Site ID (from DATIM)]],"[Measures].[MMS_90_179_M_A]")</f>
        <v>66</v>
      </c>
      <c r="CC291" s="68" t="str" vm="17651">
        <f>CUBEVALUE(ConnectionString,ReportMonth,Table1[[#This Row],[Site ID (from DATIM)]],"[Measures].[MMS_180+_F_P]")</f>
        <v/>
      </c>
      <c r="CD291" s="68" t="str" vm="15441">
        <f>CUBEVALUE(ConnectionString,ReportMonth,Table1[[#This Row],[Site ID (from DATIM)]],"[Measures].[MMS_180+_M_P]")</f>
        <v/>
      </c>
      <c r="CE291" s="68" t="str" vm="14989">
        <f>CUBEVALUE(ConnectionString,ReportMonth,Table1[[#This Row],[Site ID (from DATIM)]],"[Measures].[MMS_180+_F_A]")</f>
        <v/>
      </c>
      <c r="CF291" s="68" t="str" vm="20189">
        <f>CUBEVALUE(ConnectionString,ReportMonth,Table1[[#This Row],[Site ID (from DATIM)]],"[Measures].[MMS_180+_M_A]")</f>
        <v/>
      </c>
      <c r="CG291" s="68" vm="8294">
        <f>CUBEVALUE(ConnectionString,ReportMonth,Table1[[#This Row],[Site ID (from DATIM)]],"[Measures].[MISSEDAPP]")</f>
        <v>80</v>
      </c>
      <c r="CH291" s="68" t="str" vm="13383">
        <f>CUBEVALUE(ConnectionString,ReportMonth,Table1[[#This Row],[Site ID (from DATIM)]],"[Measures].[MMS_180+_P]")</f>
        <v/>
      </c>
      <c r="CI291" s="68" t="str" vm="11505">
        <f>CUBEVALUE(ConnectionString,ReportMonth,Table1[[#This Row],[Site ID (from DATIM)]],"[Measures].[MMS_180+_A]")</f>
        <v/>
      </c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  <c r="CW291" s="68"/>
      <c r="CX291" s="68"/>
      <c r="CY291" s="68"/>
      <c r="CZ291" s="68"/>
      <c r="DA291" s="68"/>
      <c r="DB291" s="68"/>
      <c r="DC291" s="68"/>
    </row>
    <row r="292" spans="1:107" x14ac:dyDescent="0.25">
      <c r="A292" s="66">
        <v>4</v>
      </c>
      <c r="B292" s="67" t="str" vm="4">
        <f t="shared" si="5"/>
        <v>Mar-2021</v>
      </c>
      <c r="C292" s="67"/>
      <c r="D292" s="67" t="s">
        <v>232</v>
      </c>
      <c r="E292" s="67" t="s">
        <v>233</v>
      </c>
      <c r="F292" s="67" t="s">
        <v>831</v>
      </c>
      <c r="G292" s="67"/>
      <c r="H292" s="67" t="s">
        <v>856</v>
      </c>
      <c r="I292" s="67" t="s">
        <v>857</v>
      </c>
      <c r="J292" s="67" t="s">
        <v>987</v>
      </c>
      <c r="K292" s="67" t="s">
        <v>988</v>
      </c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 t="str" vm="1153">
        <f>CUBEVALUE(ConnectionString,ReportMonth,Table1[[#This Row],[Site ID (from DATIM)]],"TX_NEW_2VIS")</f>
        <v/>
      </c>
      <c r="AE292" s="67" vm="1379">
        <f>CUBEVALUE(ConnectionString,ReportMonth,Table1[[#This Row],[Site ID (from DATIM)]],INDEX(SDI_Measures,1))</f>
        <v>1</v>
      </c>
      <c r="AF292" s="67" t="str" vm="3613">
        <f>CUBEVALUE(ConnectionString,ReportMonth,Table1[[#This Row],[Site ID (from DATIM)]],INDEX(SDI_Measures,2))</f>
        <v/>
      </c>
      <c r="AG292" s="67" t="str" vm="3235">
        <f>CUBEVALUE(ConnectionString,ReportMonth,Table1[[#This Row],[Site ID (from DATIM)]],INDEX(SDI_Measures,3))</f>
        <v/>
      </c>
      <c r="AH292" s="67" vm="917">
        <f>CUBEVALUE(ConnectionString,ReportMonth,Table1[[#This Row],[Site ID (from DATIM)]],"TX_CURR_PRIOR_MONTH")</f>
        <v>92</v>
      </c>
      <c r="AI292" s="67" vm="3627">
        <f>CUBEVALUE(ConnectionString,ReportMonth,Table1[[#This Row],[Site ID (from DATIM)]],"TX_CURR")</f>
        <v>92</v>
      </c>
      <c r="AJ292" s="67" t="str" vm="3290">
        <f>CUBEVALUE(ConnectionString,ReportMonth,Table1[[#This Row],[Site ID (from DATIM)]],"[Measures].[TI]")</f>
        <v/>
      </c>
      <c r="AK292" s="67" t="str" vm="4155">
        <f>CUBEVALUE(ConnectionString,ReportMonth,Table1[[#This Row],[Site ID (from DATIM)]],"[Measures].[TO]")</f>
        <v/>
      </c>
      <c r="AL292" s="67" t="str" vm="3411">
        <f>CUBEVALUE(ConnectionString,ReportMonth,Table1[[#This Row],[Site ID (from DATIM)]],"[Measures].[DIED]")</f>
        <v/>
      </c>
      <c r="AM292" s="67" vm="3722">
        <f>CUBEVALUE(ConnectionString,ReportMonth,Table1[[#This Row],[Site ID (from DATIM)]],"[Measures].[MMS_01_31]")</f>
        <v>26</v>
      </c>
      <c r="AN292" s="67" vm="5825">
        <f>CUBEVALUE(ConnectionString,ReportMonth,Table1[[#This Row],[Site ID (from DATIM)]],"[Measures].[MMS_32_62]")</f>
        <v>1</v>
      </c>
      <c r="AO292" s="67" vm="4846">
        <f>CUBEVALUE(ConnectionString,ReportMonth,Table1[[#This Row],[Site ID (from DATIM)]],"[Measures].[MMS_63+]")</f>
        <v>65</v>
      </c>
      <c r="AP292" s="67" t="str" vm="6747">
        <f>CUBEVALUE(ConnectionString,ReportMonth,Table1[[#This Row],[Site ID (from DATIM)]],"[Measures].[TBPREV_D]")</f>
        <v/>
      </c>
      <c r="AQ292" s="67" t="str" vm="6139">
        <f>CUBEVALUE(ConnectionString,ReportMonth,Table1[[#This Row],[Site ID (from DATIM)]],"[Measures].[TBPREV_N]")</f>
        <v/>
      </c>
      <c r="AR292" s="67" vm="6053">
        <f>CUBEVALUE(ConnectionString,ReportMonth,Table1[[#This Row],[Site ID (from DATIM)]],"[Measures].[TBPREV_NEW]")</f>
        <v>1</v>
      </c>
      <c r="AS292" s="67" t="str" vm="11586">
        <f>CUBEVALUE(ConnectionString,ReportMonth,Table1[[#This Row],[Site ID (from DATIM)]],"[Measures].[HVL_ELIG_P]")</f>
        <v/>
      </c>
      <c r="AT292" s="67" t="str" vm="7275">
        <f>CUBEVALUE(ConnectionString,ReportMonth,Table1[[#This Row],[Site ID (from DATIM)]],"[Measures].[HVL_D_P]")</f>
        <v/>
      </c>
      <c r="AU292" s="67" t="str" vm="8654">
        <f>CUBEVALUE(ConnectionString,ReportMonth,Table1[[#This Row],[Site ID (from DATIM)]],"[Measures].[HVL_N_P]")</f>
        <v/>
      </c>
      <c r="AV292" s="68" vm="8933">
        <f>CUBEVALUE(ConnectionString,ReportMonth,Table1[[#This Row],[Site ID (from DATIM)]],"[Measures].[HVL_ELIG_A]")</f>
        <v>1</v>
      </c>
      <c r="AW292" s="68" vm="8796">
        <f>CUBEVALUE(ConnectionString,ReportMonth,Table1[[#This Row],[Site ID (from DATIM)]],"[Measures].[HVL_D_A]")</f>
        <v>19</v>
      </c>
      <c r="AX292" s="68" vm="9268">
        <f>CUBEVALUE(ConnectionString,ReportMonth,Table1[[#This Row],[Site ID (from DATIM)]],"[Measures].[HVL_N_A]")</f>
        <v>18</v>
      </c>
      <c r="AY292" s="67"/>
      <c r="AZ292" s="67"/>
      <c r="BA292" s="67"/>
      <c r="BB292" s="67"/>
      <c r="BC292" s="67"/>
      <c r="BD292" s="67"/>
      <c r="BE292" s="67"/>
      <c r="BF292" s="67"/>
      <c r="BG292" s="67" vm="13051">
        <f>CUBEVALUE(ConnectionString,ReportMonth,Table1[[#This Row],[Site ID (from DATIM)]],"[Measures].[TX_NEW_F_A]")</f>
        <v>1</v>
      </c>
      <c r="BH292" s="67" t="str" vm="11009">
        <f>CUBEVALUE(ConnectionString,ReportMonth,Table1[[#This Row],[Site ID (from DATIM)]],"[Measures].[TX_NEW_M_A]")</f>
        <v/>
      </c>
      <c r="BI292" s="67" t="str" vm="14393">
        <f>CUBEVALUE(ConnectionString,ReportMonth,Table1[[#This Row],[Site ID (from DATIM)]],"[Measures].[TX_NEW_F_P]")</f>
        <v/>
      </c>
      <c r="BJ292" s="68" t="str" vm="14417">
        <f>CUBEVALUE(ConnectionString,ReportMonth,Table1[[#This Row],[Site ID (from DATIM)]],"[Measures].[TX_NEW_M_P]")</f>
        <v/>
      </c>
      <c r="BK292" s="68"/>
      <c r="BL292" s="68"/>
      <c r="BM292" s="68"/>
      <c r="BN292" s="68"/>
      <c r="BO292" s="68"/>
      <c r="BP292" s="68"/>
      <c r="BQ292" s="68" vm="9916">
        <f>CUBEVALUE(ConnectionString,ReportMonth,Table1[[#This Row],[Site ID (from DATIM)]],"[Measures].[TX_CURR_F_P]")</f>
        <v>2</v>
      </c>
      <c r="BR292" s="68" vm="10064">
        <f>CUBEVALUE(ConnectionString,ReportMonth,Table1[[#This Row],[Site ID (from DATIM)]],"[Measures].[TX_CURR_M_P]")</f>
        <v>2</v>
      </c>
      <c r="BS292" s="68" vm="9836">
        <f>CUBEVALUE(ConnectionString,ReportMonth,Table1[[#This Row],[Site ID (from DATIM)]],"[Measures].[TX_CURR_F_A]")</f>
        <v>62</v>
      </c>
      <c r="BT292" s="68" vm="14060">
        <f>CUBEVALUE(ConnectionString,ReportMonth,Table1[[#This Row],[Site ID (from DATIM)]],"[Measures].[TX_CURR_M_A]")</f>
        <v>26</v>
      </c>
      <c r="BU292" s="68" vm="19011">
        <f>CUBEVALUE(ConnectionString,ReportMonth,Table1[[#This Row],[Site ID (from DATIM)]],"[Measures].[MMS_01_89_F_P]")</f>
        <v>2</v>
      </c>
      <c r="BV292" s="68" vm="18961">
        <f>CUBEVALUE(ConnectionString,ReportMonth,Table1[[#This Row],[Site ID (from DATIM)]],"[Measures].[MMS_01_89_M_P]")</f>
        <v>1</v>
      </c>
      <c r="BW292" s="68" vm="18195">
        <f>CUBEVALUE(ConnectionString,ReportMonth,Table1[[#This Row],[Site ID (from DATIM)]],"[Measures].[MMS_01_89_F_A]")</f>
        <v>21</v>
      </c>
      <c r="BX292" s="68" vm="19570">
        <f>CUBEVALUE(ConnectionString,ReportMonth,Table1[[#This Row],[Site ID (from DATIM)]],"[Measures].[MMS_01_89_M_A]")</f>
        <v>4</v>
      </c>
      <c r="BY292" s="68" t="str" vm="19678">
        <f>CUBEVALUE(ConnectionString,ReportMonth,Table1[[#This Row],[Site ID (from DATIM)]],"[Measures].[MMS_90_179_F_P]")</f>
        <v/>
      </c>
      <c r="BZ292" s="68" vm="17727">
        <f>CUBEVALUE(ConnectionString,ReportMonth,Table1[[#This Row],[Site ID (from DATIM)]],"[Measures].[MMS_90_179_M_P]")</f>
        <v>1</v>
      </c>
      <c r="CA292" s="68" vm="17764">
        <f>CUBEVALUE(ConnectionString,ReportMonth,Table1[[#This Row],[Site ID (from DATIM)]],"[Measures].[MMS_90_179_F_A]")</f>
        <v>41</v>
      </c>
      <c r="CB292" s="68" vm="17331">
        <f>CUBEVALUE(ConnectionString,ReportMonth,Table1[[#This Row],[Site ID (from DATIM)]],"[Measures].[MMS_90_179_M_A]")</f>
        <v>22</v>
      </c>
      <c r="CC292" s="68" t="str" vm="17174">
        <f>CUBEVALUE(ConnectionString,ReportMonth,Table1[[#This Row],[Site ID (from DATIM)]],"[Measures].[MMS_180+_F_P]")</f>
        <v/>
      </c>
      <c r="CD292" s="68" t="str" vm="15371">
        <f>CUBEVALUE(ConnectionString,ReportMonth,Table1[[#This Row],[Site ID (from DATIM)]],"[Measures].[MMS_180+_M_P]")</f>
        <v/>
      </c>
      <c r="CE292" s="68" t="str" vm="65">
        <f>CUBEVALUE(ConnectionString,ReportMonth,Table1[[#This Row],[Site ID (from DATIM)]],"[Measures].[MMS_180+_F_A]")</f>
        <v/>
      </c>
      <c r="CF292" s="68" t="str" vm="35">
        <f>CUBEVALUE(ConnectionString,ReportMonth,Table1[[#This Row],[Site ID (from DATIM)]],"[Measures].[MMS_180+_M_A]")</f>
        <v/>
      </c>
      <c r="CG292" s="68" vm="7578">
        <f>CUBEVALUE(ConnectionString,ReportMonth,Table1[[#This Row],[Site ID (from DATIM)]],"[Measures].[MISSEDAPP]")</f>
        <v>47</v>
      </c>
      <c r="CH292" s="68" t="str" vm="12315">
        <f>CUBEVALUE(ConnectionString,ReportMonth,Table1[[#This Row],[Site ID (from DATIM)]],"[Measures].[MMS_180+_P]")</f>
        <v/>
      </c>
      <c r="CI292" s="68" t="str" vm="10353">
        <f>CUBEVALUE(ConnectionString,ReportMonth,Table1[[#This Row],[Site ID (from DATIM)]],"[Measures].[MMS_180+_A]")</f>
        <v/>
      </c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68"/>
      <c r="DA292" s="68"/>
      <c r="DB292" s="68"/>
      <c r="DC292" s="68"/>
    </row>
    <row r="293" spans="1:107" x14ac:dyDescent="0.25">
      <c r="A293" s="66">
        <v>1</v>
      </c>
      <c r="B293" s="67" t="str" vm="4">
        <f t="shared" si="5"/>
        <v>Mar-2021</v>
      </c>
      <c r="C293" s="67"/>
      <c r="D293" s="67" t="s">
        <v>232</v>
      </c>
      <c r="E293" s="67" t="s">
        <v>233</v>
      </c>
      <c r="F293" s="67" t="s">
        <v>234</v>
      </c>
      <c r="G293" s="67"/>
      <c r="H293" s="67" t="s">
        <v>239</v>
      </c>
      <c r="I293" s="67" t="s">
        <v>240</v>
      </c>
      <c r="J293" s="67" t="s">
        <v>359</v>
      </c>
      <c r="K293" s="67" t="s">
        <v>360</v>
      </c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 vm="1027">
        <f>CUBEVALUE(ConnectionString,ReportMonth,Table1[[#This Row],[Site ID (from DATIM)]],"TX_NEW_2VIS")</f>
        <v>7</v>
      </c>
      <c r="AE293" s="67" vm="3941">
        <f>CUBEVALUE(ConnectionString,ReportMonth,Table1[[#This Row],[Site ID (from DATIM)]],INDEX(SDI_Measures,1))</f>
        <v>7</v>
      </c>
      <c r="AF293" s="67" t="str" vm="423">
        <f>CUBEVALUE(ConnectionString,ReportMonth,Table1[[#This Row],[Site ID (from DATIM)]],INDEX(SDI_Measures,2))</f>
        <v/>
      </c>
      <c r="AG293" s="67" t="str" vm="2230">
        <f>CUBEVALUE(ConnectionString,ReportMonth,Table1[[#This Row],[Site ID (from DATIM)]],INDEX(SDI_Measures,3))</f>
        <v/>
      </c>
      <c r="AH293" s="67" vm="3232">
        <f>CUBEVALUE(ConnectionString,ReportMonth,Table1[[#This Row],[Site ID (from DATIM)]],"TX_CURR_PRIOR_MONTH")</f>
        <v>2152</v>
      </c>
      <c r="AI293" s="67" vm="2020">
        <f>CUBEVALUE(ConnectionString,ReportMonth,Table1[[#This Row],[Site ID (from DATIM)]],"TX_CURR")</f>
        <v>2091</v>
      </c>
      <c r="AJ293" s="67" t="str" vm="1037">
        <f>CUBEVALUE(ConnectionString,ReportMonth,Table1[[#This Row],[Site ID (from DATIM)]],"[Measures].[TI]")</f>
        <v/>
      </c>
      <c r="AK293" s="67" vm="1461">
        <f>CUBEVALUE(ConnectionString,ReportMonth,Table1[[#This Row],[Site ID (from DATIM)]],"[Measures].[TO]")</f>
        <v>6</v>
      </c>
      <c r="AL293" s="67" vm="1065">
        <f>CUBEVALUE(ConnectionString,ReportMonth,Table1[[#This Row],[Site ID (from DATIM)]],"[Measures].[DIED]")</f>
        <v>2</v>
      </c>
      <c r="AM293" s="67" vm="4502">
        <f>CUBEVALUE(ConnectionString,ReportMonth,Table1[[#This Row],[Site ID (from DATIM)]],"[Measures].[MMS_01_31]")</f>
        <v>428</v>
      </c>
      <c r="AN293" s="67" vm="3829">
        <f>CUBEVALUE(ConnectionString,ReportMonth,Table1[[#This Row],[Site ID (from DATIM)]],"[Measures].[MMS_32_62]")</f>
        <v>58</v>
      </c>
      <c r="AO293" s="67" vm="5266">
        <f>CUBEVALUE(ConnectionString,ReportMonth,Table1[[#This Row],[Site ID (from DATIM)]],"[Measures].[MMS_63+]")</f>
        <v>1605</v>
      </c>
      <c r="AP293" s="67" vm="6905">
        <f>CUBEVALUE(ConnectionString,ReportMonth,Table1[[#This Row],[Site ID (from DATIM)]],"[Measures].[TBPREV_D]")</f>
        <v>20</v>
      </c>
      <c r="AQ293" s="67" vm="5529">
        <f>CUBEVALUE(ConnectionString,ReportMonth,Table1[[#This Row],[Site ID (from DATIM)]],"[Measures].[TBPREV_N]")</f>
        <v>14</v>
      </c>
      <c r="AR293" s="67" vm="8474">
        <f>CUBEVALUE(ConnectionString,ReportMonth,Table1[[#This Row],[Site ID (from DATIM)]],"[Measures].[TBPREV_NEW]")</f>
        <v>3</v>
      </c>
      <c r="AS293" s="67" vm="7844">
        <f>CUBEVALUE(ConnectionString,ReportMonth,Table1[[#This Row],[Site ID (from DATIM)]],"[Measures].[HVL_ELIG_P]")</f>
        <v>86</v>
      </c>
      <c r="AT293" s="67" vm="4598">
        <f>CUBEVALUE(ConnectionString,ReportMonth,Table1[[#This Row],[Site ID (from DATIM)]],"[Measures].[HVL_D_P]")</f>
        <v>69</v>
      </c>
      <c r="AU293" s="67" vm="11063">
        <f>CUBEVALUE(ConnectionString,ReportMonth,Table1[[#This Row],[Site ID (from DATIM)]],"[Measures].[HVL_N_P]")</f>
        <v>64</v>
      </c>
      <c r="AV293" s="68" vm="12366">
        <f>CUBEVALUE(ConnectionString,ReportMonth,Table1[[#This Row],[Site ID (from DATIM)]],"[Measures].[HVL_ELIG_A]")</f>
        <v>1870</v>
      </c>
      <c r="AW293" s="68" vm="11349">
        <f>CUBEVALUE(ConnectionString,ReportMonth,Table1[[#This Row],[Site ID (from DATIM)]],"[Measures].[HVL_D_A]")</f>
        <v>1247</v>
      </c>
      <c r="AX293" s="68" vm="11108">
        <f>CUBEVALUE(ConnectionString,ReportMonth,Table1[[#This Row],[Site ID (from DATIM)]],"[Measures].[HVL_N_A]")</f>
        <v>1204</v>
      </c>
      <c r="AY293" s="67"/>
      <c r="AZ293" s="67"/>
      <c r="BA293" s="67"/>
      <c r="BB293" s="67"/>
      <c r="BC293" s="67"/>
      <c r="BD293" s="67"/>
      <c r="BE293" s="67"/>
      <c r="BF293" s="67"/>
      <c r="BG293" s="67" vm="12828">
        <f>CUBEVALUE(ConnectionString,ReportMonth,Table1[[#This Row],[Site ID (from DATIM)]],"[Measures].[TX_NEW_F_A]")</f>
        <v>5</v>
      </c>
      <c r="BH293" s="67" vm="14372">
        <f>CUBEVALUE(ConnectionString,ReportMonth,Table1[[#This Row],[Site ID (from DATIM)]],"[Measures].[TX_NEW_M_A]")</f>
        <v>1</v>
      </c>
      <c r="BI293" s="67" t="str" vm="12815">
        <f>CUBEVALUE(ConnectionString,ReportMonth,Table1[[#This Row],[Site ID (from DATIM)]],"[Measures].[TX_NEW_F_P]")</f>
        <v/>
      </c>
      <c r="BJ293" s="68" vm="15662">
        <f>CUBEVALUE(ConnectionString,ReportMonth,Table1[[#This Row],[Site ID (from DATIM)]],"[Measures].[TX_NEW_M_P]")</f>
        <v>1</v>
      </c>
      <c r="BK293" s="68"/>
      <c r="BL293" s="68"/>
      <c r="BM293" s="68"/>
      <c r="BN293" s="68"/>
      <c r="BO293" s="68"/>
      <c r="BP293" s="68"/>
      <c r="BQ293" s="68" vm="9545">
        <f>CUBEVALUE(ConnectionString,ReportMonth,Table1[[#This Row],[Site ID (from DATIM)]],"[Measures].[TX_CURR_F_P]")</f>
        <v>50</v>
      </c>
      <c r="BR293" s="68" vm="7246">
        <f>CUBEVALUE(ConnectionString,ReportMonth,Table1[[#This Row],[Site ID (from DATIM)]],"[Measures].[TX_CURR_M_P]")</f>
        <v>42</v>
      </c>
      <c r="BS293" s="68" vm="13266">
        <f>CUBEVALUE(ConnectionString,ReportMonth,Table1[[#This Row],[Site ID (from DATIM)]],"[Measures].[TX_CURR_F_A]")</f>
        <v>1334</v>
      </c>
      <c r="BT293" s="68" vm="13933">
        <f>CUBEVALUE(ConnectionString,ReportMonth,Table1[[#This Row],[Site ID (from DATIM)]],"[Measures].[TX_CURR_M_A]")</f>
        <v>665</v>
      </c>
      <c r="BU293" s="68" vm="19537">
        <f>CUBEVALUE(ConnectionString,ReportMonth,Table1[[#This Row],[Site ID (from DATIM)]],"[Measures].[MMS_01_89_F_P]")</f>
        <v>14</v>
      </c>
      <c r="BV293" s="68" vm="20028">
        <f>CUBEVALUE(ConnectionString,ReportMonth,Table1[[#This Row],[Site ID (from DATIM)]],"[Measures].[MMS_01_89_M_P]")</f>
        <v>18</v>
      </c>
      <c r="BW293" s="68" vm="20035">
        <f>CUBEVALUE(ConnectionString,ReportMonth,Table1[[#This Row],[Site ID (from DATIM)]],"[Measures].[MMS_01_89_F_A]")</f>
        <v>305</v>
      </c>
      <c r="BX293" s="68" vm="19386">
        <f>CUBEVALUE(ConnectionString,ReportMonth,Table1[[#This Row],[Site ID (from DATIM)]],"[Measures].[MMS_01_89_M_A]")</f>
        <v>154</v>
      </c>
      <c r="BY293" s="68" vm="18567">
        <f>CUBEVALUE(ConnectionString,ReportMonth,Table1[[#This Row],[Site ID (from DATIM)]],"[Measures].[MMS_90_179_F_P]")</f>
        <v>36</v>
      </c>
      <c r="BZ293" s="68" vm="16866">
        <f>CUBEVALUE(ConnectionString,ReportMonth,Table1[[#This Row],[Site ID (from DATIM)]],"[Measures].[MMS_90_179_M_P]")</f>
        <v>24</v>
      </c>
      <c r="CA293" s="68" vm="16473">
        <f>CUBEVALUE(ConnectionString,ReportMonth,Table1[[#This Row],[Site ID (from DATIM)]],"[Measures].[MMS_90_179_F_A]")</f>
        <v>1029</v>
      </c>
      <c r="CB293" s="68" vm="16803">
        <f>CUBEVALUE(ConnectionString,ReportMonth,Table1[[#This Row],[Site ID (from DATIM)]],"[Measures].[MMS_90_179_M_A]")</f>
        <v>511</v>
      </c>
      <c r="CC293" s="68" t="str" vm="15860">
        <f>CUBEVALUE(ConnectionString,ReportMonth,Table1[[#This Row],[Site ID (from DATIM)]],"[Measures].[MMS_180+_F_P]")</f>
        <v/>
      </c>
      <c r="CD293" s="68" t="str" vm="14885">
        <f>CUBEVALUE(ConnectionString,ReportMonth,Table1[[#This Row],[Site ID (from DATIM)]],"[Measures].[MMS_180+_M_P]")</f>
        <v/>
      </c>
      <c r="CE293" s="68" t="str" vm="14902">
        <f>CUBEVALUE(ConnectionString,ReportMonth,Table1[[#This Row],[Site ID (from DATIM)]],"[Measures].[MMS_180+_F_A]")</f>
        <v/>
      </c>
      <c r="CF293" s="68" t="str" vm="20179">
        <f>CUBEVALUE(ConnectionString,ReportMonth,Table1[[#This Row],[Site ID (from DATIM)]],"[Measures].[MMS_180+_M_A]")</f>
        <v/>
      </c>
      <c r="CG293" s="68" vm="5609">
        <f>CUBEVALUE(ConnectionString,ReportMonth,Table1[[#This Row],[Site ID (from DATIM)]],"[Measures].[MISSEDAPP]")</f>
        <v>620</v>
      </c>
      <c r="CH293" s="68" t="str" vm="12471">
        <f>CUBEVALUE(ConnectionString,ReportMonth,Table1[[#This Row],[Site ID (from DATIM)]],"[Measures].[MMS_180+_P]")</f>
        <v/>
      </c>
      <c r="CI293" s="68" t="str" vm="14123">
        <f>CUBEVALUE(ConnectionString,ReportMonth,Table1[[#This Row],[Site ID (from DATIM)]],"[Measures].[MMS_180+_A]")</f>
        <v/>
      </c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68"/>
      <c r="DB293" s="68"/>
      <c r="DC293" s="68"/>
    </row>
    <row r="294" spans="1:107" x14ac:dyDescent="0.25">
      <c r="A294" s="66">
        <v>4</v>
      </c>
      <c r="B294" s="67" t="str" vm="4">
        <f t="shared" si="5"/>
        <v>Mar-2021</v>
      </c>
      <c r="C294" s="67"/>
      <c r="D294" s="67" t="s">
        <v>232</v>
      </c>
      <c r="E294" s="67" t="s">
        <v>233</v>
      </c>
      <c r="F294" s="67" t="s">
        <v>1286</v>
      </c>
      <c r="G294" s="67"/>
      <c r="H294" s="67" t="s">
        <v>1307</v>
      </c>
      <c r="I294" s="67" t="s">
        <v>1449</v>
      </c>
      <c r="J294" s="67" t="s">
        <v>1450</v>
      </c>
      <c r="K294" s="67" t="s">
        <v>1451</v>
      </c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 t="str" vm="3465">
        <f>CUBEVALUE(ConnectionString,ReportMonth,Table1[[#This Row],[Site ID (from DATIM)]],"TX_NEW_2VIS")</f>
        <v/>
      </c>
      <c r="AE294" s="67" t="str" vm="4847">
        <f>CUBEVALUE(ConnectionString,ReportMonth,Table1[[#This Row],[Site ID (from DATIM)]],INDEX(SDI_Measures,1))</f>
        <v/>
      </c>
      <c r="AF294" s="67" t="str" vm="510">
        <f>CUBEVALUE(ConnectionString,ReportMonth,Table1[[#This Row],[Site ID (from DATIM)]],INDEX(SDI_Measures,2))</f>
        <v/>
      </c>
      <c r="AG294" s="67" t="str" vm="3180">
        <f>CUBEVALUE(ConnectionString,ReportMonth,Table1[[#This Row],[Site ID (from DATIM)]],INDEX(SDI_Measures,3))</f>
        <v/>
      </c>
      <c r="AH294" s="67" t="str" vm="4546">
        <f>CUBEVALUE(ConnectionString,ReportMonth,Table1[[#This Row],[Site ID (from DATIM)]],"TX_CURR_PRIOR_MONTH")</f>
        <v/>
      </c>
      <c r="AI294" s="67" t="str" vm="3542">
        <f>CUBEVALUE(ConnectionString,ReportMonth,Table1[[#This Row],[Site ID (from DATIM)]],"TX_CURR")</f>
        <v/>
      </c>
      <c r="AJ294" s="67" t="str" vm="838">
        <f>CUBEVALUE(ConnectionString,ReportMonth,Table1[[#This Row],[Site ID (from DATIM)]],"[Measures].[TI]")</f>
        <v/>
      </c>
      <c r="AK294" s="67" t="str" vm="2926">
        <f>CUBEVALUE(ConnectionString,ReportMonth,Table1[[#This Row],[Site ID (from DATIM)]],"[Measures].[TO]")</f>
        <v/>
      </c>
      <c r="AL294" s="67" t="str" vm="3805">
        <f>CUBEVALUE(ConnectionString,ReportMonth,Table1[[#This Row],[Site ID (from DATIM)]],"[Measures].[DIED]")</f>
        <v/>
      </c>
      <c r="AM294" s="67" t="str" vm="4458">
        <f>CUBEVALUE(ConnectionString,ReportMonth,Table1[[#This Row],[Site ID (from DATIM)]],"[Measures].[MMS_01_31]")</f>
        <v/>
      </c>
      <c r="AN294" s="67" t="str" vm="6762">
        <f>CUBEVALUE(ConnectionString,ReportMonth,Table1[[#This Row],[Site ID (from DATIM)]],"[Measures].[MMS_32_62]")</f>
        <v/>
      </c>
      <c r="AO294" s="67" t="str" vm="8048">
        <f>CUBEVALUE(ConnectionString,ReportMonth,Table1[[#This Row],[Site ID (from DATIM)]],"[Measures].[MMS_63+]")</f>
        <v/>
      </c>
      <c r="AP294" s="67" t="str" vm="5879">
        <f>CUBEVALUE(ConnectionString,ReportMonth,Table1[[#This Row],[Site ID (from DATIM)]],"[Measures].[TBPREV_D]")</f>
        <v/>
      </c>
      <c r="AQ294" s="67" t="str" vm="8354">
        <f>CUBEVALUE(ConnectionString,ReportMonth,Table1[[#This Row],[Site ID (from DATIM)]],"[Measures].[TBPREV_N]")</f>
        <v/>
      </c>
      <c r="AR294" s="67" t="str" vm="11768">
        <f>CUBEVALUE(ConnectionString,ReportMonth,Table1[[#This Row],[Site ID (from DATIM)]],"[Measures].[TBPREV_NEW]")</f>
        <v/>
      </c>
      <c r="AS294" s="67" t="str" vm="6163">
        <f>CUBEVALUE(ConnectionString,ReportMonth,Table1[[#This Row],[Site ID (from DATIM)]],"[Measures].[HVL_ELIG_P]")</f>
        <v/>
      </c>
      <c r="AT294" s="67" t="str" vm="13998">
        <f>CUBEVALUE(ConnectionString,ReportMonth,Table1[[#This Row],[Site ID (from DATIM)]],"[Measures].[HVL_D_P]")</f>
        <v/>
      </c>
      <c r="AU294" s="67" t="str" vm="10001">
        <f>CUBEVALUE(ConnectionString,ReportMonth,Table1[[#This Row],[Site ID (from DATIM)]],"[Measures].[HVL_N_P]")</f>
        <v/>
      </c>
      <c r="AV294" s="68" t="str" vm="8330">
        <f>CUBEVALUE(ConnectionString,ReportMonth,Table1[[#This Row],[Site ID (from DATIM)]],"[Measures].[HVL_ELIG_A]")</f>
        <v/>
      </c>
      <c r="AW294" s="68" t="str" vm="8486">
        <f>CUBEVALUE(ConnectionString,ReportMonth,Table1[[#This Row],[Site ID (from DATIM)]],"[Measures].[HVL_D_A]")</f>
        <v/>
      </c>
      <c r="AX294" s="68" t="str" vm="10014">
        <f>CUBEVALUE(ConnectionString,ReportMonth,Table1[[#This Row],[Site ID (from DATIM)]],"[Measures].[HVL_N_A]")</f>
        <v/>
      </c>
      <c r="AY294" s="67"/>
      <c r="AZ294" s="67"/>
      <c r="BA294" s="67"/>
      <c r="BB294" s="67"/>
      <c r="BC294" s="67"/>
      <c r="BD294" s="67"/>
      <c r="BE294" s="67"/>
      <c r="BF294" s="67"/>
      <c r="BG294" s="67" t="str" vm="17065">
        <f>CUBEVALUE(ConnectionString,ReportMonth,Table1[[#This Row],[Site ID (from DATIM)]],"[Measures].[TX_NEW_F_A]")</f>
        <v/>
      </c>
      <c r="BH294" s="67" t="str" vm="12710">
        <f>CUBEVALUE(ConnectionString,ReportMonth,Table1[[#This Row],[Site ID (from DATIM)]],"[Measures].[TX_NEW_M_A]")</f>
        <v/>
      </c>
      <c r="BI294" s="67" t="str" vm="15328">
        <f>CUBEVALUE(ConnectionString,ReportMonth,Table1[[#This Row],[Site ID (from DATIM)]],"[Measures].[TX_NEW_F_P]")</f>
        <v/>
      </c>
      <c r="BJ294" s="68" t="str" vm="14220">
        <f>CUBEVALUE(ConnectionString,ReportMonth,Table1[[#This Row],[Site ID (from DATIM)]],"[Measures].[TX_NEW_M_P]")</f>
        <v/>
      </c>
      <c r="BK294" s="68"/>
      <c r="BL294" s="68"/>
      <c r="BM294" s="68"/>
      <c r="BN294" s="68"/>
      <c r="BO294" s="68"/>
      <c r="BP294" s="68"/>
      <c r="BQ294" s="68" t="str" vm="10316">
        <f>CUBEVALUE(ConnectionString,ReportMonth,Table1[[#This Row],[Site ID (from DATIM)]],"[Measures].[TX_CURR_F_P]")</f>
        <v/>
      </c>
      <c r="BR294" s="68" t="str" vm="6611">
        <f>CUBEVALUE(ConnectionString,ReportMonth,Table1[[#This Row],[Site ID (from DATIM)]],"[Measures].[TX_CURR_M_P]")</f>
        <v/>
      </c>
      <c r="BS294" s="68" t="str" vm="7925">
        <f>CUBEVALUE(ConnectionString,ReportMonth,Table1[[#This Row],[Site ID (from DATIM)]],"[Measures].[TX_CURR_F_A]")</f>
        <v/>
      </c>
      <c r="BT294" s="68" t="str" vm="13234">
        <f>CUBEVALUE(ConnectionString,ReportMonth,Table1[[#This Row],[Site ID (from DATIM)]],"[Measures].[TX_CURR_M_A]")</f>
        <v/>
      </c>
      <c r="BU294" s="68" t="str" vm="19495">
        <f>CUBEVALUE(ConnectionString,ReportMonth,Table1[[#This Row],[Site ID (from DATIM)]],"[Measures].[MMS_01_89_F_P]")</f>
        <v/>
      </c>
      <c r="BV294" s="68" t="str" vm="19276">
        <f>CUBEVALUE(ConnectionString,ReportMonth,Table1[[#This Row],[Site ID (from DATIM)]],"[Measures].[MMS_01_89_M_P]")</f>
        <v/>
      </c>
      <c r="BW294" s="68" t="str" vm="20018">
        <f>CUBEVALUE(ConnectionString,ReportMonth,Table1[[#This Row],[Site ID (from DATIM)]],"[Measures].[MMS_01_89_F_A]")</f>
        <v/>
      </c>
      <c r="BX294" s="68" t="str" vm="18534">
        <f>CUBEVALUE(ConnectionString,ReportMonth,Table1[[#This Row],[Site ID (from DATIM)]],"[Measures].[MMS_01_89_M_A]")</f>
        <v/>
      </c>
      <c r="BY294" s="68" t="str" vm="18900">
        <f>CUBEVALUE(ConnectionString,ReportMonth,Table1[[#This Row],[Site ID (from DATIM)]],"[Measures].[MMS_90_179_F_P]")</f>
        <v/>
      </c>
      <c r="BZ294" s="68" t="str" vm="18147">
        <f>CUBEVALUE(ConnectionString,ReportMonth,Table1[[#This Row],[Site ID (from DATIM)]],"[Measures].[MMS_90_179_M_P]")</f>
        <v/>
      </c>
      <c r="CA294" s="68" t="str" vm="15928">
        <f>CUBEVALUE(ConnectionString,ReportMonth,Table1[[#This Row],[Site ID (from DATIM)]],"[Measures].[MMS_90_179_F_A]")</f>
        <v/>
      </c>
      <c r="CB294" s="68" t="str" vm="15079">
        <f>CUBEVALUE(ConnectionString,ReportMonth,Table1[[#This Row],[Site ID (from DATIM)]],"[Measures].[MMS_90_179_M_A]")</f>
        <v/>
      </c>
      <c r="CC294" s="68" t="str" vm="16406">
        <f>CUBEVALUE(ConnectionString,ReportMonth,Table1[[#This Row],[Site ID (from DATIM)]],"[Measures].[MMS_180+_F_P]")</f>
        <v/>
      </c>
      <c r="CD294" s="68" t="str" vm="16400">
        <f>CUBEVALUE(ConnectionString,ReportMonth,Table1[[#This Row],[Site ID (from DATIM)]],"[Measures].[MMS_180+_M_P]")</f>
        <v/>
      </c>
      <c r="CE294" s="68" t="str" vm="16321">
        <f>CUBEVALUE(ConnectionString,ReportMonth,Table1[[#This Row],[Site ID (from DATIM)]],"[Measures].[MMS_180+_F_A]")</f>
        <v/>
      </c>
      <c r="CF294" s="68" t="str" vm="285">
        <f>CUBEVALUE(ConnectionString,ReportMonth,Table1[[#This Row],[Site ID (from DATIM)]],"[Measures].[MMS_180+_M_A]")</f>
        <v/>
      </c>
      <c r="CG294" s="68" t="str" vm="7843">
        <f>CUBEVALUE(ConnectionString,ReportMonth,Table1[[#This Row],[Site ID (from DATIM)]],"[Measures].[MISSEDAPP]")</f>
        <v/>
      </c>
      <c r="CH294" s="68" t="str" vm="11745">
        <f>CUBEVALUE(ConnectionString,ReportMonth,Table1[[#This Row],[Site ID (from DATIM)]],"[Measures].[MMS_180+_P]")</f>
        <v/>
      </c>
      <c r="CI294" s="68" t="str" vm="12142">
        <f>CUBEVALUE(ConnectionString,ReportMonth,Table1[[#This Row],[Site ID (from DATIM)]],"[Measures].[MMS_180+_A]")</f>
        <v/>
      </c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  <c r="CW294" s="68"/>
      <c r="CX294" s="68"/>
      <c r="CY294" s="68"/>
      <c r="CZ294" s="68"/>
      <c r="DA294" s="68"/>
      <c r="DB294" s="68"/>
      <c r="DC294" s="68"/>
    </row>
    <row r="295" spans="1:107" x14ac:dyDescent="0.25">
      <c r="A295" s="66">
        <v>4</v>
      </c>
      <c r="B295" s="67" t="str" vm="4">
        <f t="shared" si="5"/>
        <v>Mar-2021</v>
      </c>
      <c r="C295" s="67"/>
      <c r="D295" s="67" t="s">
        <v>232</v>
      </c>
      <c r="E295" s="67" t="s">
        <v>233</v>
      </c>
      <c r="F295" s="67" t="s">
        <v>437</v>
      </c>
      <c r="G295" s="67"/>
      <c r="H295" s="67" t="s">
        <v>442</v>
      </c>
      <c r="I295" s="67" t="s">
        <v>705</v>
      </c>
      <c r="J295" s="67" t="s">
        <v>706</v>
      </c>
      <c r="K295" s="67" t="s">
        <v>707</v>
      </c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 t="str" vm="2243">
        <f>CUBEVALUE(ConnectionString,ReportMonth,Table1[[#This Row],[Site ID (from DATIM)]],"TX_NEW_2VIS")</f>
        <v/>
      </c>
      <c r="AE295" s="67" t="str" vm="1742">
        <f>CUBEVALUE(ConnectionString,ReportMonth,Table1[[#This Row],[Site ID (from DATIM)]],INDEX(SDI_Measures,1))</f>
        <v/>
      </c>
      <c r="AF295" s="67" t="str" vm="3648">
        <f>CUBEVALUE(ConnectionString,ReportMonth,Table1[[#This Row],[Site ID (from DATIM)]],INDEX(SDI_Measures,2))</f>
        <v/>
      </c>
      <c r="AG295" s="67" t="str" vm="782">
        <f>CUBEVALUE(ConnectionString,ReportMonth,Table1[[#This Row],[Site ID (from DATIM)]],INDEX(SDI_Measures,3))</f>
        <v/>
      </c>
      <c r="AH295" s="67" vm="3340">
        <f>CUBEVALUE(ConnectionString,ReportMonth,Table1[[#This Row],[Site ID (from DATIM)]],"TX_CURR_PRIOR_MONTH")</f>
        <v>23</v>
      </c>
      <c r="AI295" s="67" vm="1959">
        <f>CUBEVALUE(ConnectionString,ReportMonth,Table1[[#This Row],[Site ID (from DATIM)]],"TX_CURR")</f>
        <v>22</v>
      </c>
      <c r="AJ295" s="67" t="str" vm="3072">
        <f>CUBEVALUE(ConnectionString,ReportMonth,Table1[[#This Row],[Site ID (from DATIM)]],"[Measures].[TI]")</f>
        <v/>
      </c>
      <c r="AK295" s="67" t="str" vm="2162">
        <f>CUBEVALUE(ConnectionString,ReportMonth,Table1[[#This Row],[Site ID (from DATIM)]],"[Measures].[TO]")</f>
        <v/>
      </c>
      <c r="AL295" s="67" t="str" vm="1698">
        <f>CUBEVALUE(ConnectionString,ReportMonth,Table1[[#This Row],[Site ID (from DATIM)]],"[Measures].[DIED]")</f>
        <v/>
      </c>
      <c r="AM295" s="67" vm="7618">
        <f>CUBEVALUE(ConnectionString,ReportMonth,Table1[[#This Row],[Site ID (from DATIM)]],"[Measures].[MMS_01_31]")</f>
        <v>22</v>
      </c>
      <c r="AN295" s="67" t="str" vm="7308">
        <f>CUBEVALUE(ConnectionString,ReportMonth,Table1[[#This Row],[Site ID (from DATIM)]],"[Measures].[MMS_32_62]")</f>
        <v/>
      </c>
      <c r="AO295" s="67" t="str" vm="6658">
        <f>CUBEVALUE(ConnectionString,ReportMonth,Table1[[#This Row],[Site ID (from DATIM)]],"[Measures].[MMS_63+]")</f>
        <v/>
      </c>
      <c r="AP295" s="67" t="str" vm="5811">
        <f>CUBEVALUE(ConnectionString,ReportMonth,Table1[[#This Row],[Site ID (from DATIM)]],"[Measures].[TBPREV_D]")</f>
        <v/>
      </c>
      <c r="AQ295" s="67" t="str" vm="5240">
        <f>CUBEVALUE(ConnectionString,ReportMonth,Table1[[#This Row],[Site ID (from DATIM)]],"[Measures].[TBPREV_N]")</f>
        <v/>
      </c>
      <c r="AR295" s="67" t="str" vm="6625">
        <f>CUBEVALUE(ConnectionString,ReportMonth,Table1[[#This Row],[Site ID (from DATIM)]],"[Measures].[TBPREV_NEW]")</f>
        <v/>
      </c>
      <c r="AS295" s="67" t="str" vm="8295">
        <f>CUBEVALUE(ConnectionString,ReportMonth,Table1[[#This Row],[Site ID (from DATIM)]],"[Measures].[HVL_ELIG_P]")</f>
        <v/>
      </c>
      <c r="AT295" s="67" t="str" vm="8055">
        <f>CUBEVALUE(ConnectionString,ReportMonth,Table1[[#This Row],[Site ID (from DATIM)]],"[Measures].[HVL_D_P]")</f>
        <v/>
      </c>
      <c r="AU295" s="67" t="str" vm="13381">
        <f>CUBEVALUE(ConnectionString,ReportMonth,Table1[[#This Row],[Site ID (from DATIM)]],"[Measures].[HVL_N_P]")</f>
        <v/>
      </c>
      <c r="AV295" s="68" vm="8105">
        <f>CUBEVALUE(ConnectionString,ReportMonth,Table1[[#This Row],[Site ID (from DATIM)]],"[Measures].[HVL_ELIG_A]")</f>
        <v>5</v>
      </c>
      <c r="AW295" s="68" t="str" vm="11343">
        <f>CUBEVALUE(ConnectionString,ReportMonth,Table1[[#This Row],[Site ID (from DATIM)]],"[Measures].[HVL_D_A]")</f>
        <v/>
      </c>
      <c r="AX295" s="68" t="str" vm="8572">
        <f>CUBEVALUE(ConnectionString,ReportMonth,Table1[[#This Row],[Site ID (from DATIM)]],"[Measures].[HVL_N_A]")</f>
        <v/>
      </c>
      <c r="AY295" s="67"/>
      <c r="AZ295" s="67"/>
      <c r="BA295" s="67"/>
      <c r="BB295" s="67"/>
      <c r="BC295" s="67"/>
      <c r="BD295" s="67"/>
      <c r="BE295" s="67"/>
      <c r="BF295" s="67"/>
      <c r="BG295" s="67" t="str" vm="11963">
        <f>CUBEVALUE(ConnectionString,ReportMonth,Table1[[#This Row],[Site ID (from DATIM)]],"[Measures].[TX_NEW_F_A]")</f>
        <v/>
      </c>
      <c r="BH295" s="67" t="str" vm="10872">
        <f>CUBEVALUE(ConnectionString,ReportMonth,Table1[[#This Row],[Site ID (from DATIM)]],"[Measures].[TX_NEW_M_A]")</f>
        <v/>
      </c>
      <c r="BI295" s="67" t="str" vm="14140">
        <f>CUBEVALUE(ConnectionString,ReportMonth,Table1[[#This Row],[Site ID (from DATIM)]],"[Measures].[TX_NEW_F_P]")</f>
        <v/>
      </c>
      <c r="BJ295" s="68" t="str" vm="16581">
        <f>CUBEVALUE(ConnectionString,ReportMonth,Table1[[#This Row],[Site ID (from DATIM)]],"[Measures].[TX_NEW_M_P]")</f>
        <v/>
      </c>
      <c r="BK295" s="68"/>
      <c r="BL295" s="68"/>
      <c r="BM295" s="68"/>
      <c r="BN295" s="68"/>
      <c r="BO295" s="68"/>
      <c r="BP295" s="68"/>
      <c r="BQ295" s="68" vm="11744">
        <f>CUBEVALUE(ConnectionString,ReportMonth,Table1[[#This Row],[Site ID (from DATIM)]],"[Measures].[TX_CURR_F_P]")</f>
        <v>1</v>
      </c>
      <c r="BR295" s="68" t="str" vm="9952">
        <f>CUBEVALUE(ConnectionString,ReportMonth,Table1[[#This Row],[Site ID (from DATIM)]],"[Measures].[TX_CURR_M_P]")</f>
        <v/>
      </c>
      <c r="BS295" s="68" vm="12381">
        <f>CUBEVALUE(ConnectionString,ReportMonth,Table1[[#This Row],[Site ID (from DATIM)]],"[Measures].[TX_CURR_F_A]")</f>
        <v>17</v>
      </c>
      <c r="BT295" s="68" vm="13425">
        <f>CUBEVALUE(ConnectionString,ReportMonth,Table1[[#This Row],[Site ID (from DATIM)]],"[Measures].[TX_CURR_M_A]")</f>
        <v>4</v>
      </c>
      <c r="BU295" s="68" vm="18652">
        <f>CUBEVALUE(ConnectionString,ReportMonth,Table1[[#This Row],[Site ID (from DATIM)]],"[Measures].[MMS_01_89_F_P]")</f>
        <v>1</v>
      </c>
      <c r="BV295" s="68" t="str" vm="18499">
        <f>CUBEVALUE(ConnectionString,ReportMonth,Table1[[#This Row],[Site ID (from DATIM)]],"[Measures].[MMS_01_89_M_P]")</f>
        <v/>
      </c>
      <c r="BW295" s="68" vm="18621">
        <f>CUBEVALUE(ConnectionString,ReportMonth,Table1[[#This Row],[Site ID (from DATIM)]],"[Measures].[MMS_01_89_F_A]")</f>
        <v>17</v>
      </c>
      <c r="BX295" s="68" vm="19973">
        <f>CUBEVALUE(ConnectionString,ReportMonth,Table1[[#This Row],[Site ID (from DATIM)]],"[Measures].[MMS_01_89_M_A]")</f>
        <v>4</v>
      </c>
      <c r="BY295" s="68" t="str" vm="16084">
        <f>CUBEVALUE(ConnectionString,ReportMonth,Table1[[#This Row],[Site ID (from DATIM)]],"[Measures].[MMS_90_179_F_P]")</f>
        <v/>
      </c>
      <c r="BZ295" s="68" t="str" vm="17728">
        <f>CUBEVALUE(ConnectionString,ReportMonth,Table1[[#This Row],[Site ID (from DATIM)]],"[Measures].[MMS_90_179_M_P]")</f>
        <v/>
      </c>
      <c r="CA295" s="68" t="str" vm="17782">
        <f>CUBEVALUE(ConnectionString,ReportMonth,Table1[[#This Row],[Site ID (from DATIM)]],"[Measures].[MMS_90_179_F_A]")</f>
        <v/>
      </c>
      <c r="CB295" s="68" t="str" vm="14640">
        <f>CUBEVALUE(ConnectionString,ReportMonth,Table1[[#This Row],[Site ID (from DATIM)]],"[Measures].[MMS_90_179_M_A]")</f>
        <v/>
      </c>
      <c r="CC295" s="68" t="str" vm="15011">
        <f>CUBEVALUE(ConnectionString,ReportMonth,Table1[[#This Row],[Site ID (from DATIM)]],"[Measures].[MMS_180+_F_P]")</f>
        <v/>
      </c>
      <c r="CD295" s="68" t="str" vm="16333">
        <f>CUBEVALUE(ConnectionString,ReportMonth,Table1[[#This Row],[Site ID (from DATIM)]],"[Measures].[MMS_180+_M_P]")</f>
        <v/>
      </c>
      <c r="CE295" s="68" t="str" vm="17548">
        <f>CUBEVALUE(ConnectionString,ReportMonth,Table1[[#This Row],[Site ID (from DATIM)]],"[Measures].[MMS_180+_F_A]")</f>
        <v/>
      </c>
      <c r="CF295" s="68" t="str" vm="102">
        <f>CUBEVALUE(ConnectionString,ReportMonth,Table1[[#This Row],[Site ID (from DATIM)]],"[Measures].[MMS_180+_M_A]")</f>
        <v/>
      </c>
      <c r="CG295" s="68" vm="10082">
        <f>CUBEVALUE(ConnectionString,ReportMonth,Table1[[#This Row],[Site ID (from DATIM)]],"[Measures].[MISSEDAPP]")</f>
        <v>17</v>
      </c>
      <c r="CH295" s="68" t="str" vm="11163">
        <f>CUBEVALUE(ConnectionString,ReportMonth,Table1[[#This Row],[Site ID (from DATIM)]],"[Measures].[MMS_180+_P]")</f>
        <v/>
      </c>
      <c r="CI295" s="68" t="str" vm="10648">
        <f>CUBEVALUE(ConnectionString,ReportMonth,Table1[[#This Row],[Site ID (from DATIM)]],"[Measures].[MMS_180+_A]")</f>
        <v/>
      </c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  <c r="CW295" s="68"/>
      <c r="CX295" s="68"/>
      <c r="CY295" s="68"/>
      <c r="CZ295" s="68"/>
      <c r="DA295" s="68"/>
      <c r="DB295" s="68"/>
      <c r="DC295" s="68"/>
    </row>
    <row r="296" spans="1:107" x14ac:dyDescent="0.25">
      <c r="A296" s="66">
        <v>4</v>
      </c>
      <c r="B296" s="67" t="str" vm="4">
        <f t="shared" si="5"/>
        <v>Mar-2021</v>
      </c>
      <c r="C296" s="67"/>
      <c r="D296" s="67" t="s">
        <v>232</v>
      </c>
      <c r="E296" s="67" t="s">
        <v>233</v>
      </c>
      <c r="F296" s="67" t="s">
        <v>437</v>
      </c>
      <c r="G296" s="67"/>
      <c r="H296" s="67" t="s">
        <v>442</v>
      </c>
      <c r="I296" s="67" t="s">
        <v>451</v>
      </c>
      <c r="J296" s="67" t="s">
        <v>708</v>
      </c>
      <c r="K296" s="67" t="s">
        <v>709</v>
      </c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 t="str" vm="786">
        <f>CUBEVALUE(ConnectionString,ReportMonth,Table1[[#This Row],[Site ID (from DATIM)]],"TX_NEW_2VIS")</f>
        <v/>
      </c>
      <c r="AE296" s="67" t="str" vm="4084">
        <f>CUBEVALUE(ConnectionString,ReportMonth,Table1[[#This Row],[Site ID (from DATIM)]],INDEX(SDI_Measures,1))</f>
        <v/>
      </c>
      <c r="AF296" s="67" t="str" vm="2942">
        <f>CUBEVALUE(ConnectionString,ReportMonth,Table1[[#This Row],[Site ID (from DATIM)]],INDEX(SDI_Measures,2))</f>
        <v/>
      </c>
      <c r="AG296" s="67" t="str" vm="360">
        <f>CUBEVALUE(ConnectionString,ReportMonth,Table1[[#This Row],[Site ID (from DATIM)]],INDEX(SDI_Measures,3))</f>
        <v/>
      </c>
      <c r="AH296" s="67" vm="1118">
        <f>CUBEVALUE(ConnectionString,ReportMonth,Table1[[#This Row],[Site ID (from DATIM)]],"TX_CURR_PRIOR_MONTH")</f>
        <v>18</v>
      </c>
      <c r="AI296" s="67" vm="4396">
        <f>CUBEVALUE(ConnectionString,ReportMonth,Table1[[#This Row],[Site ID (from DATIM)]],"TX_CURR")</f>
        <v>16</v>
      </c>
      <c r="AJ296" s="67" t="str" vm="2210">
        <f>CUBEVALUE(ConnectionString,ReportMonth,Table1[[#This Row],[Site ID (from DATIM)]],"[Measures].[TI]")</f>
        <v/>
      </c>
      <c r="AK296" s="67" t="str" vm="920">
        <f>CUBEVALUE(ConnectionString,ReportMonth,Table1[[#This Row],[Site ID (from DATIM)]],"[Measures].[TO]")</f>
        <v/>
      </c>
      <c r="AL296" s="67" t="str" vm="1064">
        <f>CUBEVALUE(ConnectionString,ReportMonth,Table1[[#This Row],[Site ID (from DATIM)]],"[Measures].[DIED]")</f>
        <v/>
      </c>
      <c r="AM296" s="67" vm="3507">
        <f>CUBEVALUE(ConnectionString,ReportMonth,Table1[[#This Row],[Site ID (from DATIM)]],"[Measures].[MMS_01_31]")</f>
        <v>4</v>
      </c>
      <c r="AN296" s="67" vm="7063">
        <f>CUBEVALUE(ConnectionString,ReportMonth,Table1[[#This Row],[Site ID (from DATIM)]],"[Measures].[MMS_32_62]")</f>
        <v>1</v>
      </c>
      <c r="AO296" s="67" vm="5948">
        <f>CUBEVALUE(ConnectionString,ReportMonth,Table1[[#This Row],[Site ID (from DATIM)]],"[Measures].[MMS_63+]")</f>
        <v>11</v>
      </c>
      <c r="AP296" s="67" vm="8411">
        <f>CUBEVALUE(ConnectionString,ReportMonth,Table1[[#This Row],[Site ID (from DATIM)]],"[Measures].[TBPREV_D]")</f>
        <v>3</v>
      </c>
      <c r="AQ296" s="67" t="str" vm="6196">
        <f>CUBEVALUE(ConnectionString,ReportMonth,Table1[[#This Row],[Site ID (from DATIM)]],"[Measures].[TBPREV_N]")</f>
        <v/>
      </c>
      <c r="AR296" s="67" t="str" vm="6492">
        <f>CUBEVALUE(ConnectionString,ReportMonth,Table1[[#This Row],[Site ID (from DATIM)]],"[Measures].[TBPREV_NEW]")</f>
        <v/>
      </c>
      <c r="AS296" s="67" t="str" vm="9346">
        <f>CUBEVALUE(ConnectionString,ReportMonth,Table1[[#This Row],[Site ID (from DATIM)]],"[Measures].[HVL_ELIG_P]")</f>
        <v/>
      </c>
      <c r="AT296" s="67" t="str" vm="5645">
        <f>CUBEVALUE(ConnectionString,ReportMonth,Table1[[#This Row],[Site ID (from DATIM)]],"[Measures].[HVL_D_P]")</f>
        <v/>
      </c>
      <c r="AU296" s="67" t="str" vm="11487">
        <f>CUBEVALUE(ConnectionString,ReportMonth,Table1[[#This Row],[Site ID (from DATIM)]],"[Measures].[HVL_N_P]")</f>
        <v/>
      </c>
      <c r="AV296" s="68" vm="13547">
        <f>CUBEVALUE(ConnectionString,ReportMonth,Table1[[#This Row],[Site ID (from DATIM)]],"[Measures].[HVL_ELIG_A]")</f>
        <v>15</v>
      </c>
      <c r="AW296" s="68" vm="8708">
        <f>CUBEVALUE(ConnectionString,ReportMonth,Table1[[#This Row],[Site ID (from DATIM)]],"[Measures].[HVL_D_A]")</f>
        <v>3</v>
      </c>
      <c r="AX296" s="68" vm="9028">
        <f>CUBEVALUE(ConnectionString,ReportMonth,Table1[[#This Row],[Site ID (from DATIM)]],"[Measures].[HVL_N_A]")</f>
        <v>2</v>
      </c>
      <c r="AY296" s="67"/>
      <c r="AZ296" s="67"/>
      <c r="BA296" s="67"/>
      <c r="BB296" s="67"/>
      <c r="BC296" s="67"/>
      <c r="BD296" s="67"/>
      <c r="BE296" s="67"/>
      <c r="BF296" s="67"/>
      <c r="BG296" s="67" t="str" vm="13727">
        <f>CUBEVALUE(ConnectionString,ReportMonth,Table1[[#This Row],[Site ID (from DATIM)]],"[Measures].[TX_NEW_F_A]")</f>
        <v/>
      </c>
      <c r="BH296" s="67" t="str" vm="13471">
        <f>CUBEVALUE(ConnectionString,ReportMonth,Table1[[#This Row],[Site ID (from DATIM)]],"[Measures].[TX_NEW_M_A]")</f>
        <v/>
      </c>
      <c r="BI296" s="67" t="str" vm="13796">
        <f>CUBEVALUE(ConnectionString,ReportMonth,Table1[[#This Row],[Site ID (from DATIM)]],"[Measures].[TX_NEW_F_P]")</f>
        <v/>
      </c>
      <c r="BJ296" s="68" t="str" vm="12840">
        <f>CUBEVALUE(ConnectionString,ReportMonth,Table1[[#This Row],[Site ID (from DATIM)]],"[Measures].[TX_NEW_M_P]")</f>
        <v/>
      </c>
      <c r="BK296" s="68"/>
      <c r="BL296" s="68"/>
      <c r="BM296" s="68"/>
      <c r="BN296" s="68"/>
      <c r="BO296" s="68"/>
      <c r="BP296" s="68"/>
      <c r="BQ296" s="68" t="str" vm="11034">
        <f>CUBEVALUE(ConnectionString,ReportMonth,Table1[[#This Row],[Site ID (from DATIM)]],"[Measures].[TX_CURR_F_P]")</f>
        <v/>
      </c>
      <c r="BR296" s="68" t="str" vm="12368">
        <f>CUBEVALUE(ConnectionString,ReportMonth,Table1[[#This Row],[Site ID (from DATIM)]],"[Measures].[TX_CURR_M_P]")</f>
        <v/>
      </c>
      <c r="BS296" s="68" vm="9291">
        <f>CUBEVALUE(ConnectionString,ReportMonth,Table1[[#This Row],[Site ID (from DATIM)]],"[Measures].[TX_CURR_F_A]")</f>
        <v>14</v>
      </c>
      <c r="BT296" s="68" vm="11404">
        <f>CUBEVALUE(ConnectionString,ReportMonth,Table1[[#This Row],[Site ID (from DATIM)]],"[Measures].[TX_CURR_M_A]")</f>
        <v>2</v>
      </c>
      <c r="BU296" s="68" t="str" vm="20161">
        <f>CUBEVALUE(ConnectionString,ReportMonth,Table1[[#This Row],[Site ID (from DATIM)]],"[Measures].[MMS_01_89_F_P]")</f>
        <v/>
      </c>
      <c r="BV296" s="68" t="str" vm="18091">
        <f>CUBEVALUE(ConnectionString,ReportMonth,Table1[[#This Row],[Site ID (from DATIM)]],"[Measures].[MMS_01_89_M_P]")</f>
        <v/>
      </c>
      <c r="BW296" s="68" vm="19235">
        <f>CUBEVALUE(ConnectionString,ReportMonth,Table1[[#This Row],[Site ID (from DATIM)]],"[Measures].[MMS_01_89_F_A]")</f>
        <v>5</v>
      </c>
      <c r="BX296" s="68" t="str" vm="17829">
        <f>CUBEVALUE(ConnectionString,ReportMonth,Table1[[#This Row],[Site ID (from DATIM)]],"[Measures].[MMS_01_89_M_A]")</f>
        <v/>
      </c>
      <c r="BY296" s="68" t="str" vm="19595">
        <f>CUBEVALUE(ConnectionString,ReportMonth,Table1[[#This Row],[Site ID (from DATIM)]],"[Measures].[MMS_90_179_F_P]")</f>
        <v/>
      </c>
      <c r="BZ296" s="68" t="str" vm="18520">
        <f>CUBEVALUE(ConnectionString,ReportMonth,Table1[[#This Row],[Site ID (from DATIM)]],"[Measures].[MMS_90_179_M_P]")</f>
        <v/>
      </c>
      <c r="CA296" s="68" vm="15099">
        <f>CUBEVALUE(ConnectionString,ReportMonth,Table1[[#This Row],[Site ID (from DATIM)]],"[Measures].[MMS_90_179_F_A]")</f>
        <v>9</v>
      </c>
      <c r="CB296" s="68" vm="18145">
        <f>CUBEVALUE(ConnectionString,ReportMonth,Table1[[#This Row],[Site ID (from DATIM)]],"[Measures].[MMS_90_179_M_A]")</f>
        <v>2</v>
      </c>
      <c r="CC296" s="68" t="str" vm="15046">
        <f>CUBEVALUE(ConnectionString,ReportMonth,Table1[[#This Row],[Site ID (from DATIM)]],"[Measures].[MMS_180+_F_P]")</f>
        <v/>
      </c>
      <c r="CD296" s="68" t="str" vm="15072">
        <f>CUBEVALUE(ConnectionString,ReportMonth,Table1[[#This Row],[Site ID (from DATIM)]],"[Measures].[MMS_180+_M_P]")</f>
        <v/>
      </c>
      <c r="CE296" s="68" t="str" vm="17181">
        <f>CUBEVALUE(ConnectionString,ReportMonth,Table1[[#This Row],[Site ID (from DATIM)]],"[Measures].[MMS_180+_F_A]")</f>
        <v/>
      </c>
      <c r="CF296" s="68" t="str" vm="16633">
        <f>CUBEVALUE(ConnectionString,ReportMonth,Table1[[#This Row],[Site ID (from DATIM)]],"[Measures].[MMS_180+_M_A]")</f>
        <v/>
      </c>
      <c r="CG296" s="68" vm="8498">
        <f>CUBEVALUE(ConnectionString,ReportMonth,Table1[[#This Row],[Site ID (from DATIM)]],"[Measures].[MISSEDAPP]")</f>
        <v>4</v>
      </c>
      <c r="CH296" s="68" t="str" vm="11705">
        <f>CUBEVALUE(ConnectionString,ReportMonth,Table1[[#This Row],[Site ID (from DATIM)]],"[Measures].[MMS_180+_P]")</f>
        <v/>
      </c>
      <c r="CI296" s="68" t="str" vm="12733">
        <f>CUBEVALUE(ConnectionString,ReportMonth,Table1[[#This Row],[Site ID (from DATIM)]],"[Measures].[MMS_180+_A]")</f>
        <v/>
      </c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  <c r="CW296" s="68"/>
      <c r="CX296" s="68"/>
      <c r="CY296" s="68"/>
      <c r="CZ296" s="68"/>
      <c r="DA296" s="68"/>
      <c r="DB296" s="68"/>
      <c r="DC296" s="68"/>
    </row>
    <row r="297" spans="1:107" x14ac:dyDescent="0.25">
      <c r="A297" s="66">
        <v>4</v>
      </c>
      <c r="B297" s="67" t="str" vm="4">
        <f t="shared" si="5"/>
        <v>Mar-2021</v>
      </c>
      <c r="C297" s="67"/>
      <c r="D297" s="67" t="s">
        <v>232</v>
      </c>
      <c r="E297" s="67" t="s">
        <v>233</v>
      </c>
      <c r="F297" s="67" t="s">
        <v>1286</v>
      </c>
      <c r="G297" s="67"/>
      <c r="H297" s="67" t="s">
        <v>1291</v>
      </c>
      <c r="I297" s="67" t="s">
        <v>1452</v>
      </c>
      <c r="J297" s="67" t="s">
        <v>1453</v>
      </c>
      <c r="K297" s="67" t="s">
        <v>1454</v>
      </c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 t="str" vm="2828">
        <f>CUBEVALUE(ConnectionString,ReportMonth,Table1[[#This Row],[Site ID (from DATIM)]],"TX_NEW_2VIS")</f>
        <v/>
      </c>
      <c r="AE297" s="67" t="str" vm="3334">
        <f>CUBEVALUE(ConnectionString,ReportMonth,Table1[[#This Row],[Site ID (from DATIM)]],INDEX(SDI_Measures,1))</f>
        <v/>
      </c>
      <c r="AF297" s="67" t="str" vm="2167">
        <f>CUBEVALUE(ConnectionString,ReportMonth,Table1[[#This Row],[Site ID (from DATIM)]],INDEX(SDI_Measures,2))</f>
        <v/>
      </c>
      <c r="AG297" s="67" t="str" vm="1287">
        <f>CUBEVALUE(ConnectionString,ReportMonth,Table1[[#This Row],[Site ID (from DATIM)]],INDEX(SDI_Measures,3))</f>
        <v/>
      </c>
      <c r="AH297" s="67" t="str" vm="2417">
        <f>CUBEVALUE(ConnectionString,ReportMonth,Table1[[#This Row],[Site ID (from DATIM)]],"TX_CURR_PRIOR_MONTH")</f>
        <v/>
      </c>
      <c r="AI297" s="67" t="str" vm="2863">
        <f>CUBEVALUE(ConnectionString,ReportMonth,Table1[[#This Row],[Site ID (from DATIM)]],"TX_CURR")</f>
        <v/>
      </c>
      <c r="AJ297" s="67" t="str" vm="2336">
        <f>CUBEVALUE(ConnectionString,ReportMonth,Table1[[#This Row],[Site ID (from DATIM)]],"[Measures].[TI]")</f>
        <v/>
      </c>
      <c r="AK297" s="67" t="str" vm="3587">
        <f>CUBEVALUE(ConnectionString,ReportMonth,Table1[[#This Row],[Site ID (from DATIM)]],"[Measures].[TO]")</f>
        <v/>
      </c>
      <c r="AL297" s="67" t="str" vm="3987">
        <f>CUBEVALUE(ConnectionString,ReportMonth,Table1[[#This Row],[Site ID (from DATIM)]],"[Measures].[DIED]")</f>
        <v/>
      </c>
      <c r="AM297" s="67" t="str" vm="4076">
        <f>CUBEVALUE(ConnectionString,ReportMonth,Table1[[#This Row],[Site ID (from DATIM)]],"[Measures].[MMS_01_31]")</f>
        <v/>
      </c>
      <c r="AN297" s="67" t="str" vm="9585">
        <f>CUBEVALUE(ConnectionString,ReportMonth,Table1[[#This Row],[Site ID (from DATIM)]],"[Measures].[MMS_32_62]")</f>
        <v/>
      </c>
      <c r="AO297" s="67" t="str" vm="5895">
        <f>CUBEVALUE(ConnectionString,ReportMonth,Table1[[#This Row],[Site ID (from DATIM)]],"[Measures].[MMS_63+]")</f>
        <v/>
      </c>
      <c r="AP297" s="67" t="str" vm="5281">
        <f>CUBEVALUE(ConnectionString,ReportMonth,Table1[[#This Row],[Site ID (from DATIM)]],"[Measures].[TBPREV_D]")</f>
        <v/>
      </c>
      <c r="AQ297" s="67" t="str" vm="7095">
        <f>CUBEVALUE(ConnectionString,ReportMonth,Table1[[#This Row],[Site ID (from DATIM)]],"[Measures].[TBPREV_N]")</f>
        <v/>
      </c>
      <c r="AR297" s="67" t="str" vm="8602">
        <f>CUBEVALUE(ConnectionString,ReportMonth,Table1[[#This Row],[Site ID (from DATIM)]],"[Measures].[TBPREV_NEW]")</f>
        <v/>
      </c>
      <c r="AS297" s="67" t="str" vm="10034">
        <f>CUBEVALUE(ConnectionString,ReportMonth,Table1[[#This Row],[Site ID (from DATIM)]],"[Measures].[HVL_ELIG_P]")</f>
        <v/>
      </c>
      <c r="AT297" s="67" t="str" vm="10724">
        <f>CUBEVALUE(ConnectionString,ReportMonth,Table1[[#This Row],[Site ID (from DATIM)]],"[Measures].[HVL_D_P]")</f>
        <v/>
      </c>
      <c r="AU297" s="67" t="str" vm="10738">
        <f>CUBEVALUE(ConnectionString,ReportMonth,Table1[[#This Row],[Site ID (from DATIM)]],"[Measures].[HVL_N_P]")</f>
        <v/>
      </c>
      <c r="AV297" s="68" t="str" vm="16582">
        <f>CUBEVALUE(ConnectionString,ReportMonth,Table1[[#This Row],[Site ID (from DATIM)]],"[Measures].[HVL_ELIG_A]")</f>
        <v/>
      </c>
      <c r="AW297" s="68" t="str" vm="8076">
        <f>CUBEVALUE(ConnectionString,ReportMonth,Table1[[#This Row],[Site ID (from DATIM)]],"[Measures].[HVL_D_A]")</f>
        <v/>
      </c>
      <c r="AX297" s="68" t="str" vm="12159">
        <f>CUBEVALUE(ConnectionString,ReportMonth,Table1[[#This Row],[Site ID (from DATIM)]],"[Measures].[HVL_N_A]")</f>
        <v/>
      </c>
      <c r="AY297" s="67"/>
      <c r="AZ297" s="67"/>
      <c r="BA297" s="67"/>
      <c r="BB297" s="67"/>
      <c r="BC297" s="67"/>
      <c r="BD297" s="67"/>
      <c r="BE297" s="67"/>
      <c r="BF297" s="67"/>
      <c r="BG297" s="67" t="str" vm="15656">
        <f>CUBEVALUE(ConnectionString,ReportMonth,Table1[[#This Row],[Site ID (from DATIM)]],"[Measures].[TX_NEW_F_A]")</f>
        <v/>
      </c>
      <c r="BH297" s="67" t="str" vm="12057">
        <f>CUBEVALUE(ConnectionString,ReportMonth,Table1[[#This Row],[Site ID (from DATIM)]],"[Measures].[TX_NEW_M_A]")</f>
        <v/>
      </c>
      <c r="BI297" s="67" t="str" vm="12126">
        <f>CUBEVALUE(ConnectionString,ReportMonth,Table1[[#This Row],[Site ID (from DATIM)]],"[Measures].[TX_NEW_F_P]")</f>
        <v/>
      </c>
      <c r="BJ297" s="68" t="str" vm="14380">
        <f>CUBEVALUE(ConnectionString,ReportMonth,Table1[[#This Row],[Site ID (from DATIM)]],"[Measures].[TX_NEW_M_P]")</f>
        <v/>
      </c>
      <c r="BK297" s="68"/>
      <c r="BL297" s="68"/>
      <c r="BM297" s="68"/>
      <c r="BN297" s="68"/>
      <c r="BO297" s="68"/>
      <c r="BP297" s="68"/>
      <c r="BQ297" s="68" t="str" vm="11144">
        <f>CUBEVALUE(ConnectionString,ReportMonth,Table1[[#This Row],[Site ID (from DATIM)]],"[Measures].[TX_CURR_F_P]")</f>
        <v/>
      </c>
      <c r="BR297" s="68" t="str" vm="11831">
        <f>CUBEVALUE(ConnectionString,ReportMonth,Table1[[#This Row],[Site ID (from DATIM)]],"[Measures].[TX_CURR_M_P]")</f>
        <v/>
      </c>
      <c r="BS297" s="68" t="str" vm="13559">
        <f>CUBEVALUE(ConnectionString,ReportMonth,Table1[[#This Row],[Site ID (from DATIM)]],"[Measures].[TX_CURR_F_A]")</f>
        <v/>
      </c>
      <c r="BT297" s="68" t="str" vm="11273">
        <f>CUBEVALUE(ConnectionString,ReportMonth,Table1[[#This Row],[Site ID (from DATIM)]],"[Measures].[TX_CURR_M_A]")</f>
        <v/>
      </c>
      <c r="BU297" s="68" t="str" vm="19002">
        <f>CUBEVALUE(ConnectionString,ReportMonth,Table1[[#This Row],[Site ID (from DATIM)]],"[Measures].[MMS_01_89_F_P]")</f>
        <v/>
      </c>
      <c r="BV297" s="68" t="str" vm="19885">
        <f>CUBEVALUE(ConnectionString,ReportMonth,Table1[[#This Row],[Site ID (from DATIM)]],"[Measures].[MMS_01_89_M_P]")</f>
        <v/>
      </c>
      <c r="BW297" s="68" t="str" vm="19464">
        <f>CUBEVALUE(ConnectionString,ReportMonth,Table1[[#This Row],[Site ID (from DATIM)]],"[Measures].[MMS_01_89_F_A]")</f>
        <v/>
      </c>
      <c r="BX297" s="68" t="str" vm="19722">
        <f>CUBEVALUE(ConnectionString,ReportMonth,Table1[[#This Row],[Site ID (from DATIM)]],"[Measures].[MMS_01_89_M_A]")</f>
        <v/>
      </c>
      <c r="BY297" s="68" t="str" vm="19634">
        <f>CUBEVALUE(ConnectionString,ReportMonth,Table1[[#This Row],[Site ID (from DATIM)]],"[Measures].[MMS_90_179_F_P]")</f>
        <v/>
      </c>
      <c r="BZ297" s="68" t="str" vm="18787">
        <f>CUBEVALUE(ConnectionString,ReportMonth,Table1[[#This Row],[Site ID (from DATIM)]],"[Measures].[MMS_90_179_M_P]")</f>
        <v/>
      </c>
      <c r="CA297" s="68" t="str" vm="17322">
        <f>CUBEVALUE(ConnectionString,ReportMonth,Table1[[#This Row],[Site ID (from DATIM)]],"[Measures].[MMS_90_179_F_A]")</f>
        <v/>
      </c>
      <c r="CB297" s="68" t="str" vm="17362">
        <f>CUBEVALUE(ConnectionString,ReportMonth,Table1[[#This Row],[Site ID (from DATIM)]],"[Measures].[MMS_90_179_M_A]")</f>
        <v/>
      </c>
      <c r="CC297" s="68" t="str" vm="15169">
        <f>CUBEVALUE(ConnectionString,ReportMonth,Table1[[#This Row],[Site ID (from DATIM)]],"[Measures].[MMS_180+_F_P]")</f>
        <v/>
      </c>
      <c r="CD297" s="68" t="str" vm="14545">
        <f>CUBEVALUE(ConnectionString,ReportMonth,Table1[[#This Row],[Site ID (from DATIM)]],"[Measures].[MMS_180+_M_P]")</f>
        <v/>
      </c>
      <c r="CE297" s="68" t="str" vm="15836">
        <f>CUBEVALUE(ConnectionString,ReportMonth,Table1[[#This Row],[Site ID (from DATIM)]],"[Measures].[MMS_180+_F_A]")</f>
        <v/>
      </c>
      <c r="CF297" s="68" t="str" vm="16645">
        <f>CUBEVALUE(ConnectionString,ReportMonth,Table1[[#This Row],[Site ID (from DATIM)]],"[Measures].[MMS_180+_M_A]")</f>
        <v/>
      </c>
      <c r="CG297" s="68" t="str" vm="12868">
        <f>CUBEVALUE(ConnectionString,ReportMonth,Table1[[#This Row],[Site ID (from DATIM)]],"[Measures].[MISSEDAPP]")</f>
        <v/>
      </c>
      <c r="CH297" s="68" t="str" vm="14165">
        <f>CUBEVALUE(ConnectionString,ReportMonth,Table1[[#This Row],[Site ID (from DATIM)]],"[Measures].[MMS_180+_P]")</f>
        <v/>
      </c>
      <c r="CI297" s="68" t="str" vm="13047">
        <f>CUBEVALUE(ConnectionString,ReportMonth,Table1[[#This Row],[Site ID (from DATIM)]],"[Measures].[MMS_180+_A]")</f>
        <v/>
      </c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  <c r="CW297" s="68"/>
      <c r="CX297" s="68"/>
      <c r="CY297" s="68"/>
      <c r="CZ297" s="68"/>
      <c r="DA297" s="68"/>
      <c r="DB297" s="68"/>
      <c r="DC297" s="68"/>
    </row>
    <row r="298" spans="1:107" x14ac:dyDescent="0.25">
      <c r="A298" s="66">
        <v>4</v>
      </c>
      <c r="B298" s="67" t="str" vm="4">
        <f t="shared" si="5"/>
        <v>Mar-2021</v>
      </c>
      <c r="C298" s="67"/>
      <c r="D298" s="67" t="s">
        <v>232</v>
      </c>
      <c r="E298" s="67" t="s">
        <v>233</v>
      </c>
      <c r="F298" s="67" t="s">
        <v>437</v>
      </c>
      <c r="G298" s="67"/>
      <c r="H298" s="67" t="s">
        <v>438</v>
      </c>
      <c r="I298" s="67" t="s">
        <v>664</v>
      </c>
      <c r="J298" s="67" t="s">
        <v>710</v>
      </c>
      <c r="K298" s="67" t="s">
        <v>711</v>
      </c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 t="str" vm="3306">
        <f>CUBEVALUE(ConnectionString,ReportMonth,Table1[[#This Row],[Site ID (from DATIM)]],"TX_NEW_2VIS")</f>
        <v/>
      </c>
      <c r="AE298" s="67" t="str" vm="1503">
        <f>CUBEVALUE(ConnectionString,ReportMonth,Table1[[#This Row],[Site ID (from DATIM)]],INDEX(SDI_Measures,1))</f>
        <v/>
      </c>
      <c r="AF298" s="67" t="str" vm="4436">
        <f>CUBEVALUE(ConnectionString,ReportMonth,Table1[[#This Row],[Site ID (from DATIM)]],INDEX(SDI_Measures,2))</f>
        <v/>
      </c>
      <c r="AG298" s="67" t="str" vm="633">
        <f>CUBEVALUE(ConnectionString,ReportMonth,Table1[[#This Row],[Site ID (from DATIM)]],INDEX(SDI_Measures,3))</f>
        <v/>
      </c>
      <c r="AH298" s="67" vm="6843">
        <f>CUBEVALUE(ConnectionString,ReportMonth,Table1[[#This Row],[Site ID (from DATIM)]],"TX_CURR_PRIOR_MONTH")</f>
        <v>21</v>
      </c>
      <c r="AI298" s="67" vm="2317">
        <f>CUBEVALUE(ConnectionString,ReportMonth,Table1[[#This Row],[Site ID (from DATIM)]],"TX_CURR")</f>
        <v>20</v>
      </c>
      <c r="AJ298" s="67" t="str" vm="2284">
        <f>CUBEVALUE(ConnectionString,ReportMonth,Table1[[#This Row],[Site ID (from DATIM)]],"[Measures].[TI]")</f>
        <v/>
      </c>
      <c r="AK298" s="67" t="str" vm="1970">
        <f>CUBEVALUE(ConnectionString,ReportMonth,Table1[[#This Row],[Site ID (from DATIM)]],"[Measures].[TO]")</f>
        <v/>
      </c>
      <c r="AL298" s="67" t="str" vm="2156">
        <f>CUBEVALUE(ConnectionString,ReportMonth,Table1[[#This Row],[Site ID (from DATIM)]],"[Measures].[DIED]")</f>
        <v/>
      </c>
      <c r="AM298" s="67" vm="4428">
        <f>CUBEVALUE(ConnectionString,ReportMonth,Table1[[#This Row],[Site ID (from DATIM)]],"[Measures].[MMS_01_31]")</f>
        <v>20</v>
      </c>
      <c r="AN298" s="67" t="str" vm="7410">
        <f>CUBEVALUE(ConnectionString,ReportMonth,Table1[[#This Row],[Site ID (from DATIM)]],"[Measures].[MMS_32_62]")</f>
        <v/>
      </c>
      <c r="AO298" s="67" t="str" vm="13396">
        <f>CUBEVALUE(ConnectionString,ReportMonth,Table1[[#This Row],[Site ID (from DATIM)]],"[Measures].[MMS_63+]")</f>
        <v/>
      </c>
      <c r="AP298" s="67" t="str" vm="7741">
        <f>CUBEVALUE(ConnectionString,ReportMonth,Table1[[#This Row],[Site ID (from DATIM)]],"[Measures].[TBPREV_D]")</f>
        <v/>
      </c>
      <c r="AQ298" s="67" t="str" vm="5153">
        <f>CUBEVALUE(ConnectionString,ReportMonth,Table1[[#This Row],[Site ID (from DATIM)]],"[Measures].[TBPREV_N]")</f>
        <v/>
      </c>
      <c r="AR298" s="67" t="str" vm="4630">
        <f>CUBEVALUE(ConnectionString,ReportMonth,Table1[[#This Row],[Site ID (from DATIM)]],"[Measures].[TBPREV_NEW]")</f>
        <v/>
      </c>
      <c r="AS298" s="67" t="str" vm="5496">
        <f>CUBEVALUE(ConnectionString,ReportMonth,Table1[[#This Row],[Site ID (from DATIM)]],"[Measures].[HVL_ELIG_P]")</f>
        <v/>
      </c>
      <c r="AT298" s="67" t="str" vm="5545">
        <f>CUBEVALUE(ConnectionString,ReportMonth,Table1[[#This Row],[Site ID (from DATIM)]],"[Measures].[HVL_D_P]")</f>
        <v/>
      </c>
      <c r="AU298" s="67" t="str" vm="9088">
        <f>CUBEVALUE(ConnectionString,ReportMonth,Table1[[#This Row],[Site ID (from DATIM)]],"[Measures].[HVL_N_P]")</f>
        <v/>
      </c>
      <c r="AV298" s="68" vm="10652">
        <f>CUBEVALUE(ConnectionString,ReportMonth,Table1[[#This Row],[Site ID (from DATIM)]],"[Measures].[HVL_ELIG_A]")</f>
        <v>16</v>
      </c>
      <c r="AW298" s="68" vm="13777">
        <f>CUBEVALUE(ConnectionString,ReportMonth,Table1[[#This Row],[Site ID (from DATIM)]],"[Measures].[HVL_D_A]")</f>
        <v>15</v>
      </c>
      <c r="AX298" s="68" vm="8954">
        <f>CUBEVALUE(ConnectionString,ReportMonth,Table1[[#This Row],[Site ID (from DATIM)]],"[Measures].[HVL_N_A]")</f>
        <v>15</v>
      </c>
      <c r="AY298" s="67"/>
      <c r="AZ298" s="67"/>
      <c r="BA298" s="67"/>
      <c r="BB298" s="67"/>
      <c r="BC298" s="67"/>
      <c r="BD298" s="67"/>
      <c r="BE298" s="67"/>
      <c r="BF298" s="67"/>
      <c r="BG298" s="67" t="str" vm="13403">
        <f>CUBEVALUE(ConnectionString,ReportMonth,Table1[[#This Row],[Site ID (from DATIM)]],"[Measures].[TX_NEW_F_A]")</f>
        <v/>
      </c>
      <c r="BH298" s="67" t="str" vm="14229">
        <f>CUBEVALUE(ConnectionString,ReportMonth,Table1[[#This Row],[Site ID (from DATIM)]],"[Measures].[TX_NEW_M_A]")</f>
        <v/>
      </c>
      <c r="BI298" s="67" t="str" vm="14253">
        <f>CUBEVALUE(ConnectionString,ReportMonth,Table1[[#This Row],[Site ID (from DATIM)]],"[Measures].[TX_NEW_F_P]")</f>
        <v/>
      </c>
      <c r="BJ298" s="68" t="str" vm="13110">
        <f>CUBEVALUE(ConnectionString,ReportMonth,Table1[[#This Row],[Site ID (from DATIM)]],"[Measures].[TX_NEW_M_P]")</f>
        <v/>
      </c>
      <c r="BK298" s="68"/>
      <c r="BL298" s="68"/>
      <c r="BM298" s="68"/>
      <c r="BN298" s="68"/>
      <c r="BO298" s="68"/>
      <c r="BP298" s="68"/>
      <c r="BQ298" s="68" t="str" vm="11192">
        <f>CUBEVALUE(ConnectionString,ReportMonth,Table1[[#This Row],[Site ID (from DATIM)]],"[Measures].[TX_CURR_F_P]")</f>
        <v/>
      </c>
      <c r="BR298" s="68" t="str" vm="10791">
        <f>CUBEVALUE(ConnectionString,ReportMonth,Table1[[#This Row],[Site ID (from DATIM)]],"[Measures].[TX_CURR_M_P]")</f>
        <v/>
      </c>
      <c r="BS298" s="68" vm="11549">
        <f>CUBEVALUE(ConnectionString,ReportMonth,Table1[[#This Row],[Site ID (from DATIM)]],"[Measures].[TX_CURR_F_A]")</f>
        <v>20</v>
      </c>
      <c r="BT298" s="68" t="str" vm="13183">
        <f>CUBEVALUE(ConnectionString,ReportMonth,Table1[[#This Row],[Site ID (from DATIM)]],"[Measures].[TX_CURR_M_A]")</f>
        <v/>
      </c>
      <c r="BU298" s="68" t="str" vm="19246">
        <f>CUBEVALUE(ConnectionString,ReportMonth,Table1[[#This Row],[Site ID (from DATIM)]],"[Measures].[MMS_01_89_F_P]")</f>
        <v/>
      </c>
      <c r="BV298" s="68" t="str" vm="19608">
        <f>CUBEVALUE(ConnectionString,ReportMonth,Table1[[#This Row],[Site ID (from DATIM)]],"[Measures].[MMS_01_89_M_P]")</f>
        <v/>
      </c>
      <c r="BW298" s="68" vm="17960">
        <f>CUBEVALUE(ConnectionString,ReportMonth,Table1[[#This Row],[Site ID (from DATIM)]],"[Measures].[MMS_01_89_F_A]")</f>
        <v>20</v>
      </c>
      <c r="BX298" s="68" t="str" vm="19208">
        <f>CUBEVALUE(ConnectionString,ReportMonth,Table1[[#This Row],[Site ID (from DATIM)]],"[Measures].[MMS_01_89_M_A]")</f>
        <v/>
      </c>
      <c r="BY298" s="68" t="str" vm="19411">
        <f>CUBEVALUE(ConnectionString,ReportMonth,Table1[[#This Row],[Site ID (from DATIM)]],"[Measures].[MMS_90_179_F_P]")</f>
        <v/>
      </c>
      <c r="BZ298" s="68" t="str" vm="14686">
        <f>CUBEVALUE(ConnectionString,ReportMonth,Table1[[#This Row],[Site ID (from DATIM)]],"[Measures].[MMS_90_179_M_P]")</f>
        <v/>
      </c>
      <c r="CA298" s="68" t="str" vm="16816">
        <f>CUBEVALUE(ConnectionString,ReportMonth,Table1[[#This Row],[Site ID (from DATIM)]],"[Measures].[MMS_90_179_F_A]")</f>
        <v/>
      </c>
      <c r="CB298" s="68" t="str" vm="16361">
        <f>CUBEVALUE(ConnectionString,ReportMonth,Table1[[#This Row],[Site ID (from DATIM)]],"[Measures].[MMS_90_179_M_A]")</f>
        <v/>
      </c>
      <c r="CC298" s="68" t="str" vm="15430">
        <f>CUBEVALUE(ConnectionString,ReportMonth,Table1[[#This Row],[Site ID (from DATIM)]],"[Measures].[MMS_180+_F_P]")</f>
        <v/>
      </c>
      <c r="CD298" s="68" t="str" vm="14932">
        <f>CUBEVALUE(ConnectionString,ReportMonth,Table1[[#This Row],[Site ID (from DATIM)]],"[Measures].[MMS_180+_M_P]")</f>
        <v/>
      </c>
      <c r="CE298" s="68" t="str" vm="128">
        <f>CUBEVALUE(ConnectionString,ReportMonth,Table1[[#This Row],[Site ID (from DATIM)]],"[Measures].[MMS_180+_F_A]")</f>
        <v/>
      </c>
      <c r="CF298" s="68" t="str" vm="100">
        <f>CUBEVALUE(ConnectionString,ReportMonth,Table1[[#This Row],[Site ID (from DATIM)]],"[Measures].[MMS_180+_M_A]")</f>
        <v/>
      </c>
      <c r="CG298" s="68" vm="5318">
        <f>CUBEVALUE(ConnectionString,ReportMonth,Table1[[#This Row],[Site ID (from DATIM)]],"[Measures].[MISSEDAPP]")</f>
        <v>17</v>
      </c>
      <c r="CH298" s="68" t="str" vm="14290">
        <f>CUBEVALUE(ConnectionString,ReportMonth,Table1[[#This Row],[Site ID (from DATIM)]],"[Measures].[MMS_180+_P]")</f>
        <v/>
      </c>
      <c r="CI298" s="68" t="str" vm="12800">
        <f>CUBEVALUE(ConnectionString,ReportMonth,Table1[[#This Row],[Site ID (from DATIM)]],"[Measures].[MMS_180+_A]")</f>
        <v/>
      </c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</row>
    <row r="299" spans="1:107" x14ac:dyDescent="0.25">
      <c r="A299" s="66">
        <v>1</v>
      </c>
      <c r="B299" s="67" t="str" vm="4">
        <f t="shared" si="5"/>
        <v>Mar-2021</v>
      </c>
      <c r="C299" s="67"/>
      <c r="D299" s="67" t="s">
        <v>232</v>
      </c>
      <c r="E299" s="67" t="s">
        <v>233</v>
      </c>
      <c r="F299" s="67" t="s">
        <v>437</v>
      </c>
      <c r="G299" s="67"/>
      <c r="H299" s="67" t="s">
        <v>513</v>
      </c>
      <c r="I299" s="67" t="s">
        <v>712</v>
      </c>
      <c r="J299" s="67" t="s">
        <v>713</v>
      </c>
      <c r="K299" s="67" t="s">
        <v>714</v>
      </c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 vm="524">
        <f>CUBEVALUE(ConnectionString,ReportMonth,Table1[[#This Row],[Site ID (from DATIM)]],"TX_NEW_2VIS")</f>
        <v>6</v>
      </c>
      <c r="AE299" s="67" vm="2480">
        <f>CUBEVALUE(ConnectionString,ReportMonth,Table1[[#This Row],[Site ID (from DATIM)]],INDEX(SDI_Measures,1))</f>
        <v>8</v>
      </c>
      <c r="AF299" s="67" t="str" vm="2377">
        <f>CUBEVALUE(ConnectionString,ReportMonth,Table1[[#This Row],[Site ID (from DATIM)]],INDEX(SDI_Measures,2))</f>
        <v/>
      </c>
      <c r="AG299" s="67" vm="734">
        <f>CUBEVALUE(ConnectionString,ReportMonth,Table1[[#This Row],[Site ID (from DATIM)]],INDEX(SDI_Measures,3))</f>
        <v>2</v>
      </c>
      <c r="AH299" s="67" vm="277">
        <f>CUBEVALUE(ConnectionString,ReportMonth,Table1[[#This Row],[Site ID (from DATIM)]],"TX_CURR_PRIOR_MONTH")</f>
        <v>1548</v>
      </c>
      <c r="AI299" s="67" vm="2288">
        <f>CUBEVALUE(ConnectionString,ReportMonth,Table1[[#This Row],[Site ID (from DATIM)]],"TX_CURR")</f>
        <v>1540</v>
      </c>
      <c r="AJ299" s="67" vm="1546">
        <f>CUBEVALUE(ConnectionString,ReportMonth,Table1[[#This Row],[Site ID (from DATIM)]],"[Measures].[TI]")</f>
        <v>3</v>
      </c>
      <c r="AK299" s="67" vm="1443">
        <f>CUBEVALUE(ConnectionString,ReportMonth,Table1[[#This Row],[Site ID (from DATIM)]],"[Measures].[TO]")</f>
        <v>13</v>
      </c>
      <c r="AL299" s="67" vm="3361">
        <f>CUBEVALUE(ConnectionString,ReportMonth,Table1[[#This Row],[Site ID (from DATIM)]],"[Measures].[DIED]")</f>
        <v>2</v>
      </c>
      <c r="AM299" s="67" vm="5773">
        <f>CUBEVALUE(ConnectionString,ReportMonth,Table1[[#This Row],[Site ID (from DATIM)]],"[Measures].[MMS_01_31]")</f>
        <v>229</v>
      </c>
      <c r="AN299" s="67" vm="5333">
        <f>CUBEVALUE(ConnectionString,ReportMonth,Table1[[#This Row],[Site ID (from DATIM)]],"[Measures].[MMS_32_62]")</f>
        <v>24</v>
      </c>
      <c r="AO299" s="67" vm="5599">
        <f>CUBEVALUE(ConnectionString,ReportMonth,Table1[[#This Row],[Site ID (from DATIM)]],"[Measures].[MMS_63+]")</f>
        <v>1287</v>
      </c>
      <c r="AP299" s="67" vm="7174">
        <f>CUBEVALUE(ConnectionString,ReportMonth,Table1[[#This Row],[Site ID (from DATIM)]],"[Measures].[TBPREV_D]")</f>
        <v>22</v>
      </c>
      <c r="AQ299" s="67" vm="7265">
        <f>CUBEVALUE(ConnectionString,ReportMonth,Table1[[#This Row],[Site ID (from DATIM)]],"[Measures].[TBPREV_N]")</f>
        <v>22</v>
      </c>
      <c r="AR299" s="67" vm="4762">
        <f>CUBEVALUE(ConnectionString,ReportMonth,Table1[[#This Row],[Site ID (from DATIM)]],"[Measures].[TBPREV_NEW]")</f>
        <v>1</v>
      </c>
      <c r="AS299" s="67" vm="7753">
        <f>CUBEVALUE(ConnectionString,ReportMonth,Table1[[#This Row],[Site ID (from DATIM)]],"[Measures].[HVL_ELIG_P]")</f>
        <v>66</v>
      </c>
      <c r="AT299" s="67" vm="6344">
        <f>CUBEVALUE(ConnectionString,ReportMonth,Table1[[#This Row],[Site ID (from DATIM)]],"[Measures].[HVL_D_P]")</f>
        <v>49</v>
      </c>
      <c r="AU299" s="67" vm="10809">
        <f>CUBEVALUE(ConnectionString,ReportMonth,Table1[[#This Row],[Site ID (from DATIM)]],"[Measures].[HVL_N_P]")</f>
        <v>47</v>
      </c>
      <c r="AV299" s="68" vm="7006">
        <f>CUBEVALUE(ConnectionString,ReportMonth,Table1[[#This Row],[Site ID (from DATIM)]],"[Measures].[HVL_ELIG_A]")</f>
        <v>1363</v>
      </c>
      <c r="AW299" s="68" vm="9635">
        <f>CUBEVALUE(ConnectionString,ReportMonth,Table1[[#This Row],[Site ID (from DATIM)]],"[Measures].[HVL_D_A]")</f>
        <v>1074</v>
      </c>
      <c r="AX299" s="68" vm="12918">
        <f>CUBEVALUE(ConnectionString,ReportMonth,Table1[[#This Row],[Site ID (from DATIM)]],"[Measures].[HVL_N_A]")</f>
        <v>1051</v>
      </c>
      <c r="AY299" s="67"/>
      <c r="AZ299" s="67"/>
      <c r="BA299" s="67"/>
      <c r="BB299" s="67"/>
      <c r="BC299" s="67"/>
      <c r="BD299" s="67"/>
      <c r="BE299" s="67"/>
      <c r="BF299" s="67"/>
      <c r="BG299" s="67" vm="13624">
        <f>CUBEVALUE(ConnectionString,ReportMonth,Table1[[#This Row],[Site ID (from DATIM)]],"[Measures].[TX_NEW_F_A]")</f>
        <v>7</v>
      </c>
      <c r="BH299" s="67" vm="10429">
        <f>CUBEVALUE(ConnectionString,ReportMonth,Table1[[#This Row],[Site ID (from DATIM)]],"[Measures].[TX_NEW_M_A]")</f>
        <v>2</v>
      </c>
      <c r="BI299" s="67" vm="13417">
        <f>CUBEVALUE(ConnectionString,ReportMonth,Table1[[#This Row],[Site ID (from DATIM)]],"[Measures].[TX_NEW_F_P]")</f>
        <v>1</v>
      </c>
      <c r="BJ299" s="68" t="str" vm="13109">
        <f>CUBEVALUE(ConnectionString,ReportMonth,Table1[[#This Row],[Site ID (from DATIM)]],"[Measures].[TX_NEW_M_P]")</f>
        <v/>
      </c>
      <c r="BK299" s="68"/>
      <c r="BL299" s="68"/>
      <c r="BM299" s="68"/>
      <c r="BN299" s="68"/>
      <c r="BO299" s="68"/>
      <c r="BP299" s="68"/>
      <c r="BQ299" s="68" vm="10265">
        <f>CUBEVALUE(ConnectionString,ReportMonth,Table1[[#This Row],[Site ID (from DATIM)]],"[Measures].[TX_CURR_F_P]")</f>
        <v>38</v>
      </c>
      <c r="BR299" s="68" vm="13925">
        <f>CUBEVALUE(ConnectionString,ReportMonth,Table1[[#This Row],[Site ID (from DATIM)]],"[Measures].[TX_CURR_M_P]")</f>
        <v>31</v>
      </c>
      <c r="BS299" s="68" vm="9822">
        <f>CUBEVALUE(ConnectionString,ReportMonth,Table1[[#This Row],[Site ID (from DATIM)]],"[Measures].[TX_CURR_F_A]")</f>
        <v>1024</v>
      </c>
      <c r="BT299" s="68" vm="12143">
        <f>CUBEVALUE(ConnectionString,ReportMonth,Table1[[#This Row],[Site ID (from DATIM)]],"[Measures].[TX_CURR_M_A]")</f>
        <v>447</v>
      </c>
      <c r="BU299" s="68" vm="18848">
        <f>CUBEVALUE(ConnectionString,ReportMonth,Table1[[#This Row],[Site ID (from DATIM)]],"[Measures].[MMS_01_89_F_P]")</f>
        <v>13</v>
      </c>
      <c r="BV299" s="68" vm="20113">
        <f>CUBEVALUE(ConnectionString,ReportMonth,Table1[[#This Row],[Site ID (from DATIM)]],"[Measures].[MMS_01_89_M_P]")</f>
        <v>7</v>
      </c>
      <c r="BW299" s="68" vm="18817">
        <f>CUBEVALUE(ConnectionString,ReportMonth,Table1[[#This Row],[Site ID (from DATIM)]],"[Measures].[MMS_01_89_F_A]")</f>
        <v>179</v>
      </c>
      <c r="BX299" s="68" vm="15974">
        <f>CUBEVALUE(ConnectionString,ReportMonth,Table1[[#This Row],[Site ID (from DATIM)]],"[Measures].[MMS_01_89_M_A]")</f>
        <v>68</v>
      </c>
      <c r="BY299" s="68" vm="16108">
        <f>CUBEVALUE(ConnectionString,ReportMonth,Table1[[#This Row],[Site ID (from DATIM)]],"[Measures].[MMS_90_179_F_P]")</f>
        <v>25</v>
      </c>
      <c r="BZ299" s="68" vm="14758">
        <f>CUBEVALUE(ConnectionString,ReportMonth,Table1[[#This Row],[Site ID (from DATIM)]],"[Measures].[MMS_90_179_M_P]")</f>
        <v>24</v>
      </c>
      <c r="CA299" s="68" vm="16881">
        <f>CUBEVALUE(ConnectionString,ReportMonth,Table1[[#This Row],[Site ID (from DATIM)]],"[Measures].[MMS_90_179_F_A]")</f>
        <v>845</v>
      </c>
      <c r="CB299" s="68" vm="14704">
        <f>CUBEVALUE(ConnectionString,ReportMonth,Table1[[#This Row],[Site ID (from DATIM)]],"[Measures].[MMS_90_179_M_A]")</f>
        <v>379</v>
      </c>
      <c r="CC299" s="68" t="str" vm="15544">
        <f>CUBEVALUE(ConnectionString,ReportMonth,Table1[[#This Row],[Site ID (from DATIM)]],"[Measures].[MMS_180+_F_P]")</f>
        <v/>
      </c>
      <c r="CD299" s="68" t="str" vm="14555">
        <f>CUBEVALUE(ConnectionString,ReportMonth,Table1[[#This Row],[Site ID (from DATIM)]],"[Measures].[MMS_180+_M_P]")</f>
        <v/>
      </c>
      <c r="CE299" s="68" t="str" vm="119">
        <f>CUBEVALUE(ConnectionString,ReportMonth,Table1[[#This Row],[Site ID (from DATIM)]],"[Measures].[MMS_180+_F_A]")</f>
        <v/>
      </c>
      <c r="CF299" s="68" t="str" vm="15340">
        <f>CUBEVALUE(ConnectionString,ReportMonth,Table1[[#This Row],[Site ID (from DATIM)]],"[Measures].[MMS_180+_M_A]")</f>
        <v/>
      </c>
      <c r="CG299" s="68" vm="9933">
        <f>CUBEVALUE(ConnectionString,ReportMonth,Table1[[#This Row],[Site ID (from DATIM)]],"[Measures].[MISSEDAPP]")</f>
        <v>450</v>
      </c>
      <c r="CH299" s="68" t="str" vm="12268">
        <f>CUBEVALUE(ConnectionString,ReportMonth,Table1[[#This Row],[Site ID (from DATIM)]],"[Measures].[MMS_180+_P]")</f>
        <v/>
      </c>
      <c r="CI299" s="68" t="str" vm="11457">
        <f>CUBEVALUE(ConnectionString,ReportMonth,Table1[[#This Row],[Site ID (from DATIM)]],"[Measures].[MMS_180+_A]")</f>
        <v/>
      </c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</row>
    <row r="300" spans="1:107" x14ac:dyDescent="0.25">
      <c r="A300" s="66">
        <v>2</v>
      </c>
      <c r="B300" s="67" t="str" vm="4">
        <f t="shared" si="5"/>
        <v>Mar-2021</v>
      </c>
      <c r="C300" s="67"/>
      <c r="D300" s="67" t="s">
        <v>232</v>
      </c>
      <c r="E300" s="67" t="s">
        <v>233</v>
      </c>
      <c r="F300" s="67" t="s">
        <v>437</v>
      </c>
      <c r="G300" s="67"/>
      <c r="H300" s="67" t="s">
        <v>488</v>
      </c>
      <c r="I300" s="67" t="s">
        <v>715</v>
      </c>
      <c r="J300" s="67" t="s">
        <v>716</v>
      </c>
      <c r="K300" s="67" t="s">
        <v>717</v>
      </c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 vm="4529">
        <f>CUBEVALUE(ConnectionString,ReportMonth,Table1[[#This Row],[Site ID (from DATIM)]],"TX_NEW_2VIS")</f>
        <v>2</v>
      </c>
      <c r="AE300" s="67" vm="1333">
        <f>CUBEVALUE(ConnectionString,ReportMonth,Table1[[#This Row],[Site ID (from DATIM)]],INDEX(SDI_Measures,1))</f>
        <v>10</v>
      </c>
      <c r="AF300" s="67" t="str" vm="1089">
        <f>CUBEVALUE(ConnectionString,ReportMonth,Table1[[#This Row],[Site ID (from DATIM)]],INDEX(SDI_Measures,2))</f>
        <v/>
      </c>
      <c r="AG300" s="67" t="str" vm="5561">
        <f>CUBEVALUE(ConnectionString,ReportMonth,Table1[[#This Row],[Site ID (from DATIM)]],INDEX(SDI_Measures,3))</f>
        <v/>
      </c>
      <c r="AH300" s="67" vm="1366">
        <f>CUBEVALUE(ConnectionString,ReportMonth,Table1[[#This Row],[Site ID (from DATIM)]],"TX_CURR_PRIOR_MONTH")</f>
        <v>670</v>
      </c>
      <c r="AI300" s="67" vm="6512">
        <f>CUBEVALUE(ConnectionString,ReportMonth,Table1[[#This Row],[Site ID (from DATIM)]],"TX_CURR")</f>
        <v>672</v>
      </c>
      <c r="AJ300" s="67" vm="2227">
        <f>CUBEVALUE(ConnectionString,ReportMonth,Table1[[#This Row],[Site ID (from DATIM)]],"[Measures].[TI]")</f>
        <v>1</v>
      </c>
      <c r="AK300" s="67" vm="2502">
        <f>CUBEVALUE(ConnectionString,ReportMonth,Table1[[#This Row],[Site ID (from DATIM)]],"[Measures].[TO]")</f>
        <v>6</v>
      </c>
      <c r="AL300" s="67" t="str" vm="2493">
        <f>CUBEVALUE(ConnectionString,ReportMonth,Table1[[#This Row],[Site ID (from DATIM)]],"[Measures].[DIED]")</f>
        <v/>
      </c>
      <c r="AM300" s="67" vm="5770">
        <f>CUBEVALUE(ConnectionString,ReportMonth,Table1[[#This Row],[Site ID (from DATIM)]],"[Measures].[MMS_01_31]")</f>
        <v>273</v>
      </c>
      <c r="AN300" s="67" vm="8535">
        <f>CUBEVALUE(ConnectionString,ReportMonth,Table1[[#This Row],[Site ID (from DATIM)]],"[Measures].[MMS_32_62]")</f>
        <v>36</v>
      </c>
      <c r="AO300" s="67" vm="9653">
        <f>CUBEVALUE(ConnectionString,ReportMonth,Table1[[#This Row],[Site ID (from DATIM)]],"[Measures].[MMS_63+]")</f>
        <v>363</v>
      </c>
      <c r="AP300" s="67" vm="6041">
        <f>CUBEVALUE(ConnectionString,ReportMonth,Table1[[#This Row],[Site ID (from DATIM)]],"[Measures].[TBPREV_D]")</f>
        <v>17</v>
      </c>
      <c r="AQ300" s="67" vm="5477">
        <f>CUBEVALUE(ConnectionString,ReportMonth,Table1[[#This Row],[Site ID (from DATIM)]],"[Measures].[TBPREV_N]")</f>
        <v>17</v>
      </c>
      <c r="AR300" s="67" vm="7126">
        <f>CUBEVALUE(ConnectionString,ReportMonth,Table1[[#This Row],[Site ID (from DATIM)]],"[Measures].[TBPREV_NEW]")</f>
        <v>8</v>
      </c>
      <c r="AS300" s="67" vm="11331">
        <f>CUBEVALUE(ConnectionString,ReportMonth,Table1[[#This Row],[Site ID (from DATIM)]],"[Measures].[HVL_ELIG_P]")</f>
        <v>38</v>
      </c>
      <c r="AT300" s="67" vm="8483">
        <f>CUBEVALUE(ConnectionString,ReportMonth,Table1[[#This Row],[Site ID (from DATIM)]],"[Measures].[HVL_D_P]")</f>
        <v>25</v>
      </c>
      <c r="AU300" s="67" vm="8060">
        <f>CUBEVALUE(ConnectionString,ReportMonth,Table1[[#This Row],[Site ID (from DATIM)]],"[Measures].[HVL_N_P]")</f>
        <v>18</v>
      </c>
      <c r="AV300" s="68" vm="12209">
        <f>CUBEVALUE(ConnectionString,ReportMonth,Table1[[#This Row],[Site ID (from DATIM)]],"[Measures].[HVL_ELIG_A]")</f>
        <v>523</v>
      </c>
      <c r="AW300" s="68" vm="8146">
        <f>CUBEVALUE(ConnectionString,ReportMonth,Table1[[#This Row],[Site ID (from DATIM)]],"[Measures].[HVL_D_A]")</f>
        <v>377</v>
      </c>
      <c r="AX300" s="68" vm="8454">
        <f>CUBEVALUE(ConnectionString,ReportMonth,Table1[[#This Row],[Site ID (from DATIM)]],"[Measures].[HVL_N_A]")</f>
        <v>317</v>
      </c>
      <c r="AY300" s="67"/>
      <c r="AZ300" s="67"/>
      <c r="BA300" s="67"/>
      <c r="BB300" s="67"/>
      <c r="BC300" s="67"/>
      <c r="BD300" s="67"/>
      <c r="BE300" s="67"/>
      <c r="BF300" s="67"/>
      <c r="BG300" s="67" vm="12998">
        <f>CUBEVALUE(ConnectionString,ReportMonth,Table1[[#This Row],[Site ID (from DATIM)]],"[Measures].[TX_NEW_F_A]")</f>
        <v>5</v>
      </c>
      <c r="BH300" s="67" vm="16189">
        <f>CUBEVALUE(ConnectionString,ReportMonth,Table1[[#This Row],[Site ID (from DATIM)]],"[Measures].[TX_NEW_M_A]")</f>
        <v>5</v>
      </c>
      <c r="BI300" s="67" t="str" vm="12816">
        <f>CUBEVALUE(ConnectionString,ReportMonth,Table1[[#This Row],[Site ID (from DATIM)]],"[Measures].[TX_NEW_F_P]")</f>
        <v/>
      </c>
      <c r="BJ300" s="68" t="str" vm="13196">
        <f>CUBEVALUE(ConnectionString,ReportMonth,Table1[[#This Row],[Site ID (from DATIM)]],"[Measures].[TX_NEW_M_P]")</f>
        <v/>
      </c>
      <c r="BK300" s="68"/>
      <c r="BL300" s="68"/>
      <c r="BM300" s="68"/>
      <c r="BN300" s="68"/>
      <c r="BO300" s="68"/>
      <c r="BP300" s="68"/>
      <c r="BQ300" s="68" vm="6832">
        <f>CUBEVALUE(ConnectionString,ReportMonth,Table1[[#This Row],[Site ID (from DATIM)]],"[Measures].[TX_CURR_F_P]")</f>
        <v>19</v>
      </c>
      <c r="BR300" s="68" vm="13339">
        <f>CUBEVALUE(ConnectionString,ReportMonth,Table1[[#This Row],[Site ID (from DATIM)]],"[Measures].[TX_CURR_M_P]")</f>
        <v>25</v>
      </c>
      <c r="BS300" s="68" vm="8020">
        <f>CUBEVALUE(ConnectionString,ReportMonth,Table1[[#This Row],[Site ID (from DATIM)]],"[Measures].[TX_CURR_F_A]")</f>
        <v>442</v>
      </c>
      <c r="BT300" s="68" vm="11269">
        <f>CUBEVALUE(ConnectionString,ReportMonth,Table1[[#This Row],[Site ID (from DATIM)]],"[Measures].[TX_CURR_M_A]")</f>
        <v>187</v>
      </c>
      <c r="BU300" s="68" vm="19267">
        <f>CUBEVALUE(ConnectionString,ReportMonth,Table1[[#This Row],[Site ID (from DATIM)]],"[Measures].[MMS_01_89_F_P]")</f>
        <v>14</v>
      </c>
      <c r="BV300" s="68" vm="18047">
        <f>CUBEVALUE(ConnectionString,ReportMonth,Table1[[#This Row],[Site ID (from DATIM)]],"[Measures].[MMS_01_89_M_P]")</f>
        <v>14</v>
      </c>
      <c r="BW300" s="68" vm="18931">
        <f>CUBEVALUE(ConnectionString,ReportMonth,Table1[[#This Row],[Site ID (from DATIM)]],"[Measures].[MMS_01_89_F_A]")</f>
        <v>204</v>
      </c>
      <c r="BX300" s="68" vm="16965">
        <f>CUBEVALUE(ConnectionString,ReportMonth,Table1[[#This Row],[Site ID (from DATIM)]],"[Measures].[MMS_01_89_M_A]")</f>
        <v>78</v>
      </c>
      <c r="BY300" s="68" vm="18186">
        <f>CUBEVALUE(ConnectionString,ReportMonth,Table1[[#This Row],[Site ID (from DATIM)]],"[Measures].[MMS_90_179_F_P]")</f>
        <v>5</v>
      </c>
      <c r="BZ300" s="68" vm="16103">
        <f>CUBEVALUE(ConnectionString,ReportMonth,Table1[[#This Row],[Site ID (from DATIM)]],"[Measures].[MMS_90_179_M_P]")</f>
        <v>11</v>
      </c>
      <c r="CA300" s="68" vm="14709">
        <f>CUBEVALUE(ConnectionString,ReportMonth,Table1[[#This Row],[Site ID (from DATIM)]],"[Measures].[MMS_90_179_F_A]")</f>
        <v>238</v>
      </c>
      <c r="CB300" s="68" vm="17684">
        <f>CUBEVALUE(ConnectionString,ReportMonth,Table1[[#This Row],[Site ID (from DATIM)]],"[Measures].[MMS_90_179_M_A]")</f>
        <v>109</v>
      </c>
      <c r="CC300" s="68" t="str" vm="15545">
        <f>CUBEVALUE(ConnectionString,ReportMonth,Table1[[#This Row],[Site ID (from DATIM)]],"[Measures].[MMS_180+_F_P]")</f>
        <v/>
      </c>
      <c r="CD300" s="68" t="str" vm="15370">
        <f>CUBEVALUE(ConnectionString,ReportMonth,Table1[[#This Row],[Site ID (from DATIM)]],"[Measures].[MMS_180+_M_P]")</f>
        <v/>
      </c>
      <c r="CE300" s="68" t="str" vm="15757">
        <f>CUBEVALUE(ConnectionString,ReportMonth,Table1[[#This Row],[Site ID (from DATIM)]],"[Measures].[MMS_180+_F_A]")</f>
        <v/>
      </c>
      <c r="CF300" s="68" t="str" vm="14498">
        <f>CUBEVALUE(ConnectionString,ReportMonth,Table1[[#This Row],[Site ID (from DATIM)]],"[Measures].[MMS_180+_M_A]")</f>
        <v/>
      </c>
      <c r="CG300" s="68" vm="5806">
        <f>CUBEVALUE(ConnectionString,ReportMonth,Table1[[#This Row],[Site ID (from DATIM)]],"[Measures].[MISSEDAPP]")</f>
        <v>218</v>
      </c>
      <c r="CH300" s="68" t="str" vm="12045">
        <f>CUBEVALUE(ConnectionString,ReportMonth,Table1[[#This Row],[Site ID (from DATIM)]],"[Measures].[MMS_180+_P]")</f>
        <v/>
      </c>
      <c r="CI300" s="68" t="str" vm="12472">
        <f>CUBEVALUE(ConnectionString,ReportMonth,Table1[[#This Row],[Site ID (from DATIM)]],"[Measures].[MMS_180+_A]")</f>
        <v/>
      </c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</row>
    <row r="301" spans="1:107" x14ac:dyDescent="0.25">
      <c r="A301" s="66">
        <v>4</v>
      </c>
      <c r="B301" s="67" t="str" vm="4">
        <f t="shared" si="5"/>
        <v>Mar-2021</v>
      </c>
      <c r="C301" s="67"/>
      <c r="D301" s="67" t="s">
        <v>232</v>
      </c>
      <c r="E301" s="67" t="s">
        <v>233</v>
      </c>
      <c r="F301" s="67" t="s">
        <v>437</v>
      </c>
      <c r="G301" s="67"/>
      <c r="H301" s="67" t="s">
        <v>478</v>
      </c>
      <c r="I301" s="67" t="s">
        <v>718</v>
      </c>
      <c r="J301" s="67" t="s">
        <v>719</v>
      </c>
      <c r="K301" s="67" t="s">
        <v>720</v>
      </c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 vm="3896">
        <f>CUBEVALUE(ConnectionString,ReportMonth,Table1[[#This Row],[Site ID (from DATIM)]],"TX_NEW_2VIS")</f>
        <v>2</v>
      </c>
      <c r="AE301" s="67" vm="1159">
        <f>CUBEVALUE(ConnectionString,ReportMonth,Table1[[#This Row],[Site ID (from DATIM)]],INDEX(SDI_Measures,1))</f>
        <v>5</v>
      </c>
      <c r="AF301" s="67" t="str" vm="201">
        <f>CUBEVALUE(ConnectionString,ReportMonth,Table1[[#This Row],[Site ID (from DATIM)]],INDEX(SDI_Measures,2))</f>
        <v/>
      </c>
      <c r="AG301" s="67" t="str" vm="2504">
        <f>CUBEVALUE(ConnectionString,ReportMonth,Table1[[#This Row],[Site ID (from DATIM)]],INDEX(SDI_Measures,3))</f>
        <v/>
      </c>
      <c r="AH301" s="67" vm="3496">
        <f>CUBEVALUE(ConnectionString,ReportMonth,Table1[[#This Row],[Site ID (from DATIM)]],"TX_CURR_PRIOR_MONTH")</f>
        <v>202</v>
      </c>
      <c r="AI301" s="67" vm="1623">
        <f>CUBEVALUE(ConnectionString,ReportMonth,Table1[[#This Row],[Site ID (from DATIM)]],"TX_CURR")</f>
        <v>206</v>
      </c>
      <c r="AJ301" s="67" t="str" vm="2826">
        <f>CUBEVALUE(ConnectionString,ReportMonth,Table1[[#This Row],[Site ID (from DATIM)]],"[Measures].[TI]")</f>
        <v/>
      </c>
      <c r="AK301" s="67" vm="3481">
        <f>CUBEVALUE(ConnectionString,ReportMonth,Table1[[#This Row],[Site ID (from DATIM)]],"[Measures].[TO]")</f>
        <v>1</v>
      </c>
      <c r="AL301" s="67" t="str" vm="3582">
        <f>CUBEVALUE(ConnectionString,ReportMonth,Table1[[#This Row],[Site ID (from DATIM)]],"[Measures].[DIED]")</f>
        <v/>
      </c>
      <c r="AM301" s="67" vm="4750">
        <f>CUBEVALUE(ConnectionString,ReportMonth,Table1[[#This Row],[Site ID (from DATIM)]],"[Measures].[MMS_01_31]")</f>
        <v>43</v>
      </c>
      <c r="AN301" s="67" t="str" vm="5672">
        <f>CUBEVALUE(ConnectionString,ReportMonth,Table1[[#This Row],[Site ID (from DATIM)]],"[Measures].[MMS_32_62]")</f>
        <v/>
      </c>
      <c r="AO301" s="67" vm="7689">
        <f>CUBEVALUE(ConnectionString,ReportMonth,Table1[[#This Row],[Site ID (from DATIM)]],"[Measures].[MMS_63+]")</f>
        <v>163</v>
      </c>
      <c r="AP301" s="67" vm="4967">
        <f>CUBEVALUE(ConnectionString,ReportMonth,Table1[[#This Row],[Site ID (from DATIM)]],"[Measures].[TBPREV_D]")</f>
        <v>9</v>
      </c>
      <c r="AQ301" s="67" vm="5822">
        <f>CUBEVALUE(ConnectionString,ReportMonth,Table1[[#This Row],[Site ID (from DATIM)]],"[Measures].[TBPREV_N]")</f>
        <v>3</v>
      </c>
      <c r="AR301" s="67" vm="7368">
        <f>CUBEVALUE(ConnectionString,ReportMonth,Table1[[#This Row],[Site ID (from DATIM)]],"[Measures].[TBPREV_NEW]")</f>
        <v>5</v>
      </c>
      <c r="AS301" s="67" vm="5405">
        <f>CUBEVALUE(ConnectionString,ReportMonth,Table1[[#This Row],[Site ID (from DATIM)]],"[Measures].[HVL_ELIG_P]")</f>
        <v>8</v>
      </c>
      <c r="AT301" s="67" vm="7274">
        <f>CUBEVALUE(ConnectionString,ReportMonth,Table1[[#This Row],[Site ID (from DATIM)]],"[Measures].[HVL_D_P]")</f>
        <v>5</v>
      </c>
      <c r="AU301" s="67" vm="11354">
        <f>CUBEVALUE(ConnectionString,ReportMonth,Table1[[#This Row],[Site ID (from DATIM)]],"[Measures].[HVL_N_P]")</f>
        <v>5</v>
      </c>
      <c r="AV301" s="68" vm="8795">
        <f>CUBEVALUE(ConnectionString,ReportMonth,Table1[[#This Row],[Site ID (from DATIM)]],"[Measures].[HVL_ELIG_A]")</f>
        <v>154</v>
      </c>
      <c r="AW301" s="68" vm="9666">
        <f>CUBEVALUE(ConnectionString,ReportMonth,Table1[[#This Row],[Site ID (from DATIM)]],"[Measures].[HVL_D_A]")</f>
        <v>119</v>
      </c>
      <c r="AX301" s="68" vm="9418">
        <f>CUBEVALUE(ConnectionString,ReportMonth,Table1[[#This Row],[Site ID (from DATIM)]],"[Measures].[HVL_N_A]")</f>
        <v>108</v>
      </c>
      <c r="AY301" s="67"/>
      <c r="AZ301" s="67"/>
      <c r="BA301" s="67"/>
      <c r="BB301" s="67"/>
      <c r="BC301" s="67"/>
      <c r="BD301" s="67"/>
      <c r="BE301" s="67"/>
      <c r="BF301" s="67"/>
      <c r="BG301" s="67" vm="12895">
        <f>CUBEVALUE(ConnectionString,ReportMonth,Table1[[#This Row],[Site ID (from DATIM)]],"[Measures].[TX_NEW_F_A]")</f>
        <v>3</v>
      </c>
      <c r="BH301" s="67" vm="10427">
        <f>CUBEVALUE(ConnectionString,ReportMonth,Table1[[#This Row],[Site ID (from DATIM)]],"[Measures].[TX_NEW_M_A]")</f>
        <v>2</v>
      </c>
      <c r="BI301" s="67" t="str" vm="12763">
        <f>CUBEVALUE(ConnectionString,ReportMonth,Table1[[#This Row],[Site ID (from DATIM)]],"[Measures].[TX_NEW_F_P]")</f>
        <v/>
      </c>
      <c r="BJ301" s="68" t="str" vm="17389">
        <f>CUBEVALUE(ConnectionString,ReportMonth,Table1[[#This Row],[Site ID (from DATIM)]],"[Measures].[TX_NEW_M_P]")</f>
        <v/>
      </c>
      <c r="BK301" s="68"/>
      <c r="BL301" s="68"/>
      <c r="BM301" s="68"/>
      <c r="BN301" s="68"/>
      <c r="BO301" s="68"/>
      <c r="BP301" s="68"/>
      <c r="BQ301" s="68" vm="10776">
        <f>CUBEVALUE(ConnectionString,ReportMonth,Table1[[#This Row],[Site ID (from DATIM)]],"[Measures].[TX_CURR_F_P]")</f>
        <v>7</v>
      </c>
      <c r="BR301" s="68" vm="8567">
        <f>CUBEVALUE(ConnectionString,ReportMonth,Table1[[#This Row],[Site ID (from DATIM)]],"[Measures].[TX_CURR_M_P]")</f>
        <v>4</v>
      </c>
      <c r="BS301" s="68" vm="7954">
        <f>CUBEVALUE(ConnectionString,ReportMonth,Table1[[#This Row],[Site ID (from DATIM)]],"[Measures].[TX_CURR_F_A]")</f>
        <v>144</v>
      </c>
      <c r="BT301" s="68" vm="14839">
        <f>CUBEVALUE(ConnectionString,ReportMonth,Table1[[#This Row],[Site ID (from DATIM)]],"[Measures].[TX_CURR_M_A]")</f>
        <v>51</v>
      </c>
      <c r="BU301" s="68" vm="19530">
        <f>CUBEVALUE(ConnectionString,ReportMonth,Table1[[#This Row],[Site ID (from DATIM)]],"[Measures].[MMS_01_89_F_P]")</f>
        <v>4</v>
      </c>
      <c r="BV301" s="68" vm="19219">
        <f>CUBEVALUE(ConnectionString,ReportMonth,Table1[[#This Row],[Site ID (from DATIM)]],"[Measures].[MMS_01_89_M_P]")</f>
        <v>2</v>
      </c>
      <c r="BW301" s="68" vm="19644">
        <f>CUBEVALUE(ConnectionString,ReportMonth,Table1[[#This Row],[Site ID (from DATIM)]],"[Measures].[MMS_01_89_F_A]")</f>
        <v>25</v>
      </c>
      <c r="BX301" s="68" vm="19126">
        <f>CUBEVALUE(ConnectionString,ReportMonth,Table1[[#This Row],[Site ID (from DATIM)]],"[Measures].[MMS_01_89_M_A]")</f>
        <v>13</v>
      </c>
      <c r="BY301" s="68" vm="18854">
        <f>CUBEVALUE(ConnectionString,ReportMonth,Table1[[#This Row],[Site ID (from DATIM)]],"[Measures].[MMS_90_179_F_P]")</f>
        <v>3</v>
      </c>
      <c r="BZ301" s="68" vm="17844">
        <f>CUBEVALUE(ConnectionString,ReportMonth,Table1[[#This Row],[Site ID (from DATIM)]],"[Measures].[MMS_90_179_M_P]")</f>
        <v>2</v>
      </c>
      <c r="CA301" s="68" vm="15593">
        <f>CUBEVALUE(ConnectionString,ReportMonth,Table1[[#This Row],[Site ID (from DATIM)]],"[Measures].[MMS_90_179_F_A]")</f>
        <v>108</v>
      </c>
      <c r="CB301" s="68" vm="14595">
        <f>CUBEVALUE(ConnectionString,ReportMonth,Table1[[#This Row],[Site ID (from DATIM)]],"[Measures].[MMS_90_179_M_A]")</f>
        <v>34</v>
      </c>
      <c r="CC301" s="68" t="str" vm="14441">
        <f>CUBEVALUE(ConnectionString,ReportMonth,Table1[[#This Row],[Site ID (from DATIM)]],"[Measures].[MMS_180+_F_P]")</f>
        <v/>
      </c>
      <c r="CD301" s="68" t="str" vm="15466">
        <f>CUBEVALUE(ConnectionString,ReportMonth,Table1[[#This Row],[Site ID (from DATIM)]],"[Measures].[MMS_180+_M_P]")</f>
        <v/>
      </c>
      <c r="CE301" s="68" vm="271">
        <f>CUBEVALUE(ConnectionString,ReportMonth,Table1[[#This Row],[Site ID (from DATIM)]],"[Measures].[MMS_180+_F_A]")</f>
        <v>11</v>
      </c>
      <c r="CF301" s="68" vm="16277">
        <f>CUBEVALUE(ConnectionString,ReportMonth,Table1[[#This Row],[Site ID (from DATIM)]],"[Measures].[MMS_180+_M_A]")</f>
        <v>4</v>
      </c>
      <c r="CG301" s="68" vm="5368">
        <f>CUBEVALUE(ConnectionString,ReportMonth,Table1[[#This Row],[Site ID (from DATIM)]],"[Measures].[MISSEDAPP]")</f>
        <v>54</v>
      </c>
      <c r="CH301" s="68" t="str" vm="13964">
        <f>CUBEVALUE(ConnectionString,ReportMonth,Table1[[#This Row],[Site ID (from DATIM)]],"[Measures].[MMS_180+_P]")</f>
        <v/>
      </c>
      <c r="CI301" s="68" vm="16181">
        <f>CUBEVALUE(ConnectionString,ReportMonth,Table1[[#This Row],[Site ID (from DATIM)]],"[Measures].[MMS_180+_A]")</f>
        <v>15</v>
      </c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</row>
    <row r="302" spans="1:107" x14ac:dyDescent="0.25">
      <c r="A302" s="66">
        <v>4</v>
      </c>
      <c r="B302" s="67" t="str" vm="4">
        <f t="shared" si="5"/>
        <v>Mar-2021</v>
      </c>
      <c r="C302" s="67"/>
      <c r="D302" s="67" t="s">
        <v>232</v>
      </c>
      <c r="E302" s="67" t="s">
        <v>233</v>
      </c>
      <c r="F302" s="67" t="s">
        <v>437</v>
      </c>
      <c r="G302" s="67"/>
      <c r="H302" s="67" t="s">
        <v>488</v>
      </c>
      <c r="I302" s="67" t="s">
        <v>721</v>
      </c>
      <c r="J302" s="67" t="s">
        <v>722</v>
      </c>
      <c r="K302" s="67" t="s">
        <v>723</v>
      </c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 t="str" vm="4472">
        <f>CUBEVALUE(ConnectionString,ReportMonth,Table1[[#This Row],[Site ID (from DATIM)]],"TX_NEW_2VIS")</f>
        <v/>
      </c>
      <c r="AE302" s="67" t="str" vm="2586">
        <f>CUBEVALUE(ConnectionString,ReportMonth,Table1[[#This Row],[Site ID (from DATIM)]],INDEX(SDI_Measures,1))</f>
        <v/>
      </c>
      <c r="AF302" s="67" t="str" vm="381">
        <f>CUBEVALUE(ConnectionString,ReportMonth,Table1[[#This Row],[Site ID (from DATIM)]],INDEX(SDI_Measures,2))</f>
        <v/>
      </c>
      <c r="AG302" s="67" t="str" vm="1702">
        <f>CUBEVALUE(ConnectionString,ReportMonth,Table1[[#This Row],[Site ID (from DATIM)]],INDEX(SDI_Measures,3))</f>
        <v/>
      </c>
      <c r="AH302" s="67" t="str" vm="3764">
        <f>CUBEVALUE(ConnectionString,ReportMonth,Table1[[#This Row],[Site ID (from DATIM)]],"TX_CURR_PRIOR_MONTH")</f>
        <v/>
      </c>
      <c r="AI302" s="67" t="str" vm="959">
        <f>CUBEVALUE(ConnectionString,ReportMonth,Table1[[#This Row],[Site ID (from DATIM)]],"TX_CURR")</f>
        <v/>
      </c>
      <c r="AJ302" s="67" t="str" vm="1797">
        <f>CUBEVALUE(ConnectionString,ReportMonth,Table1[[#This Row],[Site ID (from DATIM)]],"[Measures].[TI]")</f>
        <v/>
      </c>
      <c r="AK302" s="67" t="str" vm="1806">
        <f>CUBEVALUE(ConnectionString,ReportMonth,Table1[[#This Row],[Site ID (from DATIM)]],"[Measures].[TO]")</f>
        <v/>
      </c>
      <c r="AL302" s="67" t="str" vm="2861">
        <f>CUBEVALUE(ConnectionString,ReportMonth,Table1[[#This Row],[Site ID (from DATIM)]],"[Measures].[DIED]")</f>
        <v/>
      </c>
      <c r="AM302" s="67" t="str" vm="4751">
        <f>CUBEVALUE(ConnectionString,ReportMonth,Table1[[#This Row],[Site ID (from DATIM)]],"[Measures].[MMS_01_31]")</f>
        <v/>
      </c>
      <c r="AN302" s="67" t="str" vm="5688">
        <f>CUBEVALUE(ConnectionString,ReportMonth,Table1[[#This Row],[Site ID (from DATIM)]],"[Measures].[MMS_32_62]")</f>
        <v/>
      </c>
      <c r="AO302" s="67" t="str" vm="6741">
        <f>CUBEVALUE(ConnectionString,ReportMonth,Table1[[#This Row],[Site ID (from DATIM)]],"[Measures].[MMS_63+]")</f>
        <v/>
      </c>
      <c r="AP302" s="67" t="str" vm="5783">
        <f>CUBEVALUE(ConnectionString,ReportMonth,Table1[[#This Row],[Site ID (from DATIM)]],"[Measures].[TBPREV_D]")</f>
        <v/>
      </c>
      <c r="AQ302" s="67" t="str" vm="6698">
        <f>CUBEVALUE(ConnectionString,ReportMonth,Table1[[#This Row],[Site ID (from DATIM)]],"[Measures].[TBPREV_N]")</f>
        <v/>
      </c>
      <c r="AR302" s="67" t="str" vm="5880">
        <f>CUBEVALUE(ConnectionString,ReportMonth,Table1[[#This Row],[Site ID (from DATIM)]],"[Measures].[TBPREV_NEW]")</f>
        <v/>
      </c>
      <c r="AS302" s="67" t="str" vm="8121">
        <f>CUBEVALUE(ConnectionString,ReportMonth,Table1[[#This Row],[Site ID (from DATIM)]],"[Measures].[HVL_ELIG_P]")</f>
        <v/>
      </c>
      <c r="AT302" s="67" t="str" vm="6507">
        <f>CUBEVALUE(ConnectionString,ReportMonth,Table1[[#This Row],[Site ID (from DATIM)]],"[Measures].[HVL_D_P]")</f>
        <v/>
      </c>
      <c r="AU302" s="67" t="str" vm="7941">
        <f>CUBEVALUE(ConnectionString,ReportMonth,Table1[[#This Row],[Site ID (from DATIM)]],"[Measures].[HVL_N_P]")</f>
        <v/>
      </c>
      <c r="AV302" s="68" t="str" vm="9619">
        <f>CUBEVALUE(ConnectionString,ReportMonth,Table1[[#This Row],[Site ID (from DATIM)]],"[Measures].[HVL_ELIG_A]")</f>
        <v/>
      </c>
      <c r="AW302" s="68" t="str" vm="9907">
        <f>CUBEVALUE(ConnectionString,ReportMonth,Table1[[#This Row],[Site ID (from DATIM)]],"[Measures].[HVL_D_A]")</f>
        <v/>
      </c>
      <c r="AX302" s="68" t="str" vm="10063">
        <f>CUBEVALUE(ConnectionString,ReportMonth,Table1[[#This Row],[Site ID (from DATIM)]],"[Measures].[HVL_N_A]")</f>
        <v/>
      </c>
      <c r="AY302" s="67"/>
      <c r="AZ302" s="67"/>
      <c r="BA302" s="67"/>
      <c r="BB302" s="67"/>
      <c r="BC302" s="67"/>
      <c r="BD302" s="67"/>
      <c r="BE302" s="67"/>
      <c r="BF302" s="67"/>
      <c r="BG302" s="67" t="str" vm="16621">
        <f>CUBEVALUE(ConnectionString,ReportMonth,Table1[[#This Row],[Site ID (from DATIM)]],"[Measures].[TX_NEW_F_A]")</f>
        <v/>
      </c>
      <c r="BH302" s="67" t="str" vm="13252">
        <f>CUBEVALUE(ConnectionString,ReportMonth,Table1[[#This Row],[Site ID (from DATIM)]],"[Measures].[TX_NEW_M_A]")</f>
        <v/>
      </c>
      <c r="BI302" s="67" t="str" vm="17052">
        <f>CUBEVALUE(ConnectionString,ReportMonth,Table1[[#This Row],[Site ID (from DATIM)]],"[Measures].[TX_NEW_F_P]")</f>
        <v/>
      </c>
      <c r="BJ302" s="68" t="str" vm="13072">
        <f>CUBEVALUE(ConnectionString,ReportMonth,Table1[[#This Row],[Site ID (from DATIM)]],"[Measures].[TX_NEW_M_P]")</f>
        <v/>
      </c>
      <c r="BK302" s="68"/>
      <c r="BL302" s="68"/>
      <c r="BM302" s="68"/>
      <c r="BN302" s="68"/>
      <c r="BO302" s="68"/>
      <c r="BP302" s="68"/>
      <c r="BQ302" s="68" t="str" vm="11657">
        <f>CUBEVALUE(ConnectionString,ReportMonth,Table1[[#This Row],[Site ID (from DATIM)]],"[Measures].[TX_CURR_F_P]")</f>
        <v/>
      </c>
      <c r="BR302" s="68" t="str" vm="8001">
        <f>CUBEVALUE(ConnectionString,ReportMonth,Table1[[#This Row],[Site ID (from DATIM)]],"[Measures].[TX_CURR_M_P]")</f>
        <v/>
      </c>
      <c r="BS302" s="68" t="str" vm="10449">
        <f>CUBEVALUE(ConnectionString,ReportMonth,Table1[[#This Row],[Site ID (from DATIM)]],"[Measures].[TX_CURR_F_A]")</f>
        <v/>
      </c>
      <c r="BT302" s="68" t="str" vm="12019">
        <f>CUBEVALUE(ConnectionString,ReportMonth,Table1[[#This Row],[Site ID (from DATIM)]],"[Measures].[TX_CURR_M_A]")</f>
        <v/>
      </c>
      <c r="BU302" s="68" t="str" vm="18758">
        <f>CUBEVALUE(ConnectionString,ReportMonth,Table1[[#This Row],[Site ID (from DATIM)]],"[Measures].[MMS_01_89_F_P]")</f>
        <v/>
      </c>
      <c r="BV302" s="68" t="str" vm="19513">
        <f>CUBEVALUE(ConnectionString,ReportMonth,Table1[[#This Row],[Site ID (from DATIM)]],"[Measures].[MMS_01_89_M_P]")</f>
        <v/>
      </c>
      <c r="BW302" s="68" t="str" vm="18124">
        <f>CUBEVALUE(ConnectionString,ReportMonth,Table1[[#This Row],[Site ID (from DATIM)]],"[Measures].[MMS_01_89_F_A]")</f>
        <v/>
      </c>
      <c r="BX302" s="68" t="str" vm="18039">
        <f>CUBEVALUE(ConnectionString,ReportMonth,Table1[[#This Row],[Site ID (from DATIM)]],"[Measures].[MMS_01_89_M_A]")</f>
        <v/>
      </c>
      <c r="BY302" s="68" t="str" vm="19152">
        <f>CUBEVALUE(ConnectionString,ReportMonth,Table1[[#This Row],[Site ID (from DATIM)]],"[Measures].[MMS_90_179_F_P]")</f>
        <v/>
      </c>
      <c r="BZ302" s="68" t="str" vm="16944">
        <f>CUBEVALUE(ConnectionString,ReportMonth,Table1[[#This Row],[Site ID (from DATIM)]],"[Measures].[MMS_90_179_M_P]")</f>
        <v/>
      </c>
      <c r="CA302" s="68" t="str" vm="18785">
        <f>CUBEVALUE(ConnectionString,ReportMonth,Table1[[#This Row],[Site ID (from DATIM)]],"[Measures].[MMS_90_179_F_A]")</f>
        <v/>
      </c>
      <c r="CB302" s="68" t="str" vm="17336">
        <f>CUBEVALUE(ConnectionString,ReportMonth,Table1[[#This Row],[Site ID (from DATIM)]],"[Measures].[MMS_90_179_M_A]")</f>
        <v/>
      </c>
      <c r="CC302" s="68" t="str" vm="16393">
        <f>CUBEVALUE(ConnectionString,ReportMonth,Table1[[#This Row],[Site ID (from DATIM)]],"[Measures].[MMS_180+_F_P]")</f>
        <v/>
      </c>
      <c r="CD302" s="68" t="str" vm="14941">
        <f>CUBEVALUE(ConnectionString,ReportMonth,Table1[[#This Row],[Site ID (from DATIM)]],"[Measures].[MMS_180+_M_P]")</f>
        <v/>
      </c>
      <c r="CE302" s="68" t="str" vm="15812">
        <f>CUBEVALUE(ConnectionString,ReportMonth,Table1[[#This Row],[Site ID (from DATIM)]],"[Measures].[MMS_180+_F_A]")</f>
        <v/>
      </c>
      <c r="CF302" s="68" t="str" vm="20166">
        <f>CUBEVALUE(ConnectionString,ReportMonth,Table1[[#This Row],[Site ID (from DATIM)]],"[Measures].[MMS_180+_M_A]")</f>
        <v/>
      </c>
      <c r="CG302" s="68" t="str" vm="4597">
        <f>CUBEVALUE(ConnectionString,ReportMonth,Table1[[#This Row],[Site ID (from DATIM)]],"[Measures].[MISSEDAPP]")</f>
        <v/>
      </c>
      <c r="CH302" s="68" t="str" vm="12373">
        <f>CUBEVALUE(ConnectionString,ReportMonth,Table1[[#This Row],[Site ID (from DATIM)]],"[Measures].[MMS_180+_P]")</f>
        <v/>
      </c>
      <c r="CI302" s="68" t="str" vm="11988">
        <f>CUBEVALUE(ConnectionString,ReportMonth,Table1[[#This Row],[Site ID (from DATIM)]],"[Measures].[MMS_180+_A]")</f>
        <v/>
      </c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  <c r="CW302" s="68"/>
      <c r="CX302" s="68"/>
      <c r="CY302" s="68"/>
      <c r="CZ302" s="68"/>
      <c r="DA302" s="68"/>
      <c r="DB302" s="68"/>
      <c r="DC302" s="68"/>
    </row>
    <row r="303" spans="1:107" x14ac:dyDescent="0.25">
      <c r="A303" s="66">
        <v>4</v>
      </c>
      <c r="B303" s="67" t="str" vm="4">
        <f t="shared" si="5"/>
        <v>Mar-2021</v>
      </c>
      <c r="C303" s="67"/>
      <c r="D303" s="67" t="s">
        <v>232</v>
      </c>
      <c r="E303" s="67" t="s">
        <v>233</v>
      </c>
      <c r="F303" s="67" t="s">
        <v>1286</v>
      </c>
      <c r="G303" s="67"/>
      <c r="H303" s="67" t="s">
        <v>1344</v>
      </c>
      <c r="I303" s="67" t="s">
        <v>1455</v>
      </c>
      <c r="J303" s="67" t="s">
        <v>1456</v>
      </c>
      <c r="K303" s="67" t="s">
        <v>1457</v>
      </c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 t="str" vm="2429">
        <f>CUBEVALUE(ConnectionString,ReportMonth,Table1[[#This Row],[Site ID (from DATIM)]],"TX_NEW_2VIS")</f>
        <v/>
      </c>
      <c r="AE303" s="67" t="str" vm="1864">
        <f>CUBEVALUE(ConnectionString,ReportMonth,Table1[[#This Row],[Site ID (from DATIM)]],INDEX(SDI_Measures,1))</f>
        <v/>
      </c>
      <c r="AF303" s="67" t="str" vm="6778">
        <f>CUBEVALUE(ConnectionString,ReportMonth,Table1[[#This Row],[Site ID (from DATIM)]],INDEX(SDI_Measures,2))</f>
        <v/>
      </c>
      <c r="AG303" s="67" t="str" vm="3495">
        <f>CUBEVALUE(ConnectionString,ReportMonth,Table1[[#This Row],[Site ID (from DATIM)]],INDEX(SDI_Measures,3))</f>
        <v/>
      </c>
      <c r="AH303" s="67" t="str" vm="3854">
        <f>CUBEVALUE(ConnectionString,ReportMonth,Table1[[#This Row],[Site ID (from DATIM)]],"TX_CURR_PRIOR_MONTH")</f>
        <v/>
      </c>
      <c r="AI303" s="67" t="str" vm="975">
        <f>CUBEVALUE(ConnectionString,ReportMonth,Table1[[#This Row],[Site ID (from DATIM)]],"TX_CURR")</f>
        <v/>
      </c>
      <c r="AJ303" s="67" t="str" vm="2390">
        <f>CUBEVALUE(ConnectionString,ReportMonth,Table1[[#This Row],[Site ID (from DATIM)]],"[Measures].[TI]")</f>
        <v/>
      </c>
      <c r="AK303" s="67" t="str" vm="3291">
        <f>CUBEVALUE(ConnectionString,ReportMonth,Table1[[#This Row],[Site ID (from DATIM)]],"[Measures].[TO]")</f>
        <v/>
      </c>
      <c r="AL303" s="67" t="str" vm="2325">
        <f>CUBEVALUE(ConnectionString,ReportMonth,Table1[[#This Row],[Site ID (from DATIM)]],"[Measures].[DIED]")</f>
        <v/>
      </c>
      <c r="AM303" s="67" t="str" vm="6114">
        <f>CUBEVALUE(ConnectionString,ReportMonth,Table1[[#This Row],[Site ID (from DATIM)]],"[Measures].[MMS_01_31]")</f>
        <v/>
      </c>
      <c r="AN303" s="67" t="str" vm="5666">
        <f>CUBEVALUE(ConnectionString,ReportMonth,Table1[[#This Row],[Site ID (from DATIM)]],"[Measures].[MMS_32_62]")</f>
        <v/>
      </c>
      <c r="AO303" s="67" t="str" vm="11571">
        <f>CUBEVALUE(ConnectionString,ReportMonth,Table1[[#This Row],[Site ID (from DATIM)]],"[Measures].[MMS_63+]")</f>
        <v/>
      </c>
      <c r="AP303" s="67" t="str" vm="5638">
        <f>CUBEVALUE(ConnectionString,ReportMonth,Table1[[#This Row],[Site ID (from DATIM)]],"[Measures].[TBPREV_D]")</f>
        <v/>
      </c>
      <c r="AQ303" s="67" t="str" vm="8755">
        <f>CUBEVALUE(ConnectionString,ReportMonth,Table1[[#This Row],[Site ID (from DATIM)]],"[Measures].[TBPREV_N]")</f>
        <v/>
      </c>
      <c r="AR303" s="67" t="str" vm="7577">
        <f>CUBEVALUE(ConnectionString,ReportMonth,Table1[[#This Row],[Site ID (from DATIM)]],"[Measures].[TBPREV_NEW]")</f>
        <v/>
      </c>
      <c r="AS303" s="67" t="str" vm="8835">
        <f>CUBEVALUE(ConnectionString,ReportMonth,Table1[[#This Row],[Site ID (from DATIM)]],"[Measures].[HVL_ELIG_P]")</f>
        <v/>
      </c>
      <c r="AT303" s="67" t="str" vm="6454">
        <f>CUBEVALUE(ConnectionString,ReportMonth,Table1[[#This Row],[Site ID (from DATIM)]],"[Measures].[HVL_D_P]")</f>
        <v/>
      </c>
      <c r="AU303" s="67" t="str" vm="9066">
        <f>CUBEVALUE(ConnectionString,ReportMonth,Table1[[#This Row],[Site ID (from DATIM)]],"[Measures].[HVL_N_P]")</f>
        <v/>
      </c>
      <c r="AV303" s="68" t="str" vm="8362">
        <f>CUBEVALUE(ConnectionString,ReportMonth,Table1[[#This Row],[Site ID (from DATIM)]],"[Measures].[HVL_ELIG_A]")</f>
        <v/>
      </c>
      <c r="AW303" s="68" t="str" vm="8303">
        <f>CUBEVALUE(ConnectionString,ReportMonth,Table1[[#This Row],[Site ID (from DATIM)]],"[Measures].[HVL_D_A]")</f>
        <v/>
      </c>
      <c r="AX303" s="68" t="str" vm="8163">
        <f>CUBEVALUE(ConnectionString,ReportMonth,Table1[[#This Row],[Site ID (from DATIM)]],"[Measures].[HVL_N_A]")</f>
        <v/>
      </c>
      <c r="AY303" s="67"/>
      <c r="AZ303" s="67"/>
      <c r="BA303" s="67"/>
      <c r="BB303" s="67"/>
      <c r="BC303" s="67"/>
      <c r="BD303" s="67"/>
      <c r="BE303" s="67"/>
      <c r="BF303" s="67"/>
      <c r="BG303" s="67" t="str" vm="10623">
        <f>CUBEVALUE(ConnectionString,ReportMonth,Table1[[#This Row],[Site ID (from DATIM)]],"[Measures].[TX_NEW_F_A]")</f>
        <v/>
      </c>
      <c r="BH303" s="67" t="str" vm="14843">
        <f>CUBEVALUE(ConnectionString,ReportMonth,Table1[[#This Row],[Site ID (from DATIM)]],"[Measures].[TX_NEW_M_A]")</f>
        <v/>
      </c>
      <c r="BI303" s="67" t="str" vm="14085">
        <f>CUBEVALUE(ConnectionString,ReportMonth,Table1[[#This Row],[Site ID (from DATIM)]],"[Measures].[TX_NEW_F_P]")</f>
        <v/>
      </c>
      <c r="BJ303" s="68" t="str" vm="12311">
        <f>CUBEVALUE(ConnectionString,ReportMonth,Table1[[#This Row],[Site ID (from DATIM)]],"[Measures].[TX_NEW_M_P]")</f>
        <v/>
      </c>
      <c r="BK303" s="68"/>
      <c r="BL303" s="68"/>
      <c r="BM303" s="68"/>
      <c r="BN303" s="68"/>
      <c r="BO303" s="68"/>
      <c r="BP303" s="68"/>
      <c r="BQ303" s="68" t="str" vm="11026">
        <f>CUBEVALUE(ConnectionString,ReportMonth,Table1[[#This Row],[Site ID (from DATIM)]],"[Measures].[TX_CURR_F_P]")</f>
        <v/>
      </c>
      <c r="BR303" s="68" t="str" vm="7980">
        <f>CUBEVALUE(ConnectionString,ReportMonth,Table1[[#This Row],[Site ID (from DATIM)]],"[Measures].[TX_CURR_M_P]")</f>
        <v/>
      </c>
      <c r="BS303" s="68" t="str" vm="11853">
        <f>CUBEVALUE(ConnectionString,ReportMonth,Table1[[#This Row],[Site ID (from DATIM)]],"[Measures].[TX_CURR_F_A]")</f>
        <v/>
      </c>
      <c r="BT303" s="68" t="str" vm="8389">
        <f>CUBEVALUE(ConnectionString,ReportMonth,Table1[[#This Row],[Site ID (from DATIM)]],"[Measures].[TX_CURR_M_A]")</f>
        <v/>
      </c>
      <c r="BU303" s="68" t="str" vm="18685">
        <f>CUBEVALUE(ConnectionString,ReportMonth,Table1[[#This Row],[Site ID (from DATIM)]],"[Measures].[MMS_01_89_F_P]")</f>
        <v/>
      </c>
      <c r="BV303" s="68" t="str" vm="19426">
        <f>CUBEVALUE(ConnectionString,ReportMonth,Table1[[#This Row],[Site ID (from DATIM)]],"[Measures].[MMS_01_89_M_P]")</f>
        <v/>
      </c>
      <c r="BW303" s="68" t="str" vm="18605">
        <f>CUBEVALUE(ConnectionString,ReportMonth,Table1[[#This Row],[Site ID (from DATIM)]],"[Measures].[MMS_01_89_F_A]")</f>
        <v/>
      </c>
      <c r="BX303" s="68" t="str" vm="18572">
        <f>CUBEVALUE(ConnectionString,ReportMonth,Table1[[#This Row],[Site ID (from DATIM)]],"[Measures].[MMS_01_89_M_A]")</f>
        <v/>
      </c>
      <c r="BY303" s="68" t="str" vm="14780">
        <f>CUBEVALUE(ConnectionString,ReportMonth,Table1[[#This Row],[Site ID (from DATIM)]],"[Measures].[MMS_90_179_F_P]")</f>
        <v/>
      </c>
      <c r="BZ303" s="68" t="str" vm="19301">
        <f>CUBEVALUE(ConnectionString,ReportMonth,Table1[[#This Row],[Site ID (from DATIM)]],"[Measures].[MMS_90_179_M_P]")</f>
        <v/>
      </c>
      <c r="CA303" s="68" t="str" vm="17726">
        <f>CUBEVALUE(ConnectionString,ReportMonth,Table1[[#This Row],[Site ID (from DATIM)]],"[Measures].[MMS_90_179_F_A]")</f>
        <v/>
      </c>
      <c r="CB303" s="68" t="str" vm="14678">
        <f>CUBEVALUE(ConnectionString,ReportMonth,Table1[[#This Row],[Site ID (from DATIM)]],"[Measures].[MMS_90_179_M_A]")</f>
        <v/>
      </c>
      <c r="CC303" s="68" t="str" vm="17663">
        <f>CUBEVALUE(ConnectionString,ReportMonth,Table1[[#This Row],[Site ID (from DATIM)]],"[Measures].[MMS_180+_F_P]")</f>
        <v/>
      </c>
      <c r="CD303" s="68" t="str" vm="15532">
        <f>CUBEVALUE(ConnectionString,ReportMonth,Table1[[#This Row],[Site ID (from DATIM)]],"[Measures].[MMS_180+_M_P]")</f>
        <v/>
      </c>
      <c r="CE303" s="68" t="str" vm="17132">
        <f>CUBEVALUE(ConnectionString,ReportMonth,Table1[[#This Row],[Site ID (from DATIM)]],"[Measures].[MMS_180+_F_A]")</f>
        <v/>
      </c>
      <c r="CF303" s="68" t="str" vm="16210">
        <f>CUBEVALUE(ConnectionString,ReportMonth,Table1[[#This Row],[Site ID (from DATIM)]],"[Measures].[MMS_180+_M_A]")</f>
        <v/>
      </c>
      <c r="CG303" s="68" t="str" vm="4744">
        <f>CUBEVALUE(ConnectionString,ReportMonth,Table1[[#This Row],[Site ID (from DATIM)]],"[Measures].[MISSEDAPP]")</f>
        <v/>
      </c>
      <c r="CH303" s="68" t="str" vm="10893">
        <f>CUBEVALUE(ConnectionString,ReportMonth,Table1[[#This Row],[Site ID (from DATIM)]],"[Measures].[MMS_180+_P]")</f>
        <v/>
      </c>
      <c r="CI303" s="68" t="str" vm="12537">
        <f>CUBEVALUE(ConnectionString,ReportMonth,Table1[[#This Row],[Site ID (from DATIM)]],"[Measures].[MMS_180+_A]")</f>
        <v/>
      </c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  <c r="CW303" s="68"/>
      <c r="CX303" s="68"/>
      <c r="CY303" s="68"/>
      <c r="CZ303" s="68"/>
      <c r="DA303" s="68"/>
      <c r="DB303" s="68"/>
      <c r="DC303" s="68"/>
    </row>
    <row r="304" spans="1:107" x14ac:dyDescent="0.25">
      <c r="A304" s="66">
        <v>4</v>
      </c>
      <c r="B304" s="67" t="str" vm="4">
        <f t="shared" si="5"/>
        <v>Mar-2021</v>
      </c>
      <c r="C304" s="67"/>
      <c r="D304" s="67" t="s">
        <v>232</v>
      </c>
      <c r="E304" s="67" t="s">
        <v>233</v>
      </c>
      <c r="F304" s="67" t="s">
        <v>831</v>
      </c>
      <c r="G304" s="67"/>
      <c r="H304" s="67" t="s">
        <v>836</v>
      </c>
      <c r="I304" s="67" t="s">
        <v>989</v>
      </c>
      <c r="J304" s="67" t="s">
        <v>990</v>
      </c>
      <c r="K304" s="67" t="s">
        <v>991</v>
      </c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 t="str" vm="3635">
        <f>CUBEVALUE(ConnectionString,ReportMonth,Table1[[#This Row],[Site ID (from DATIM)]],"TX_NEW_2VIS")</f>
        <v/>
      </c>
      <c r="AE304" s="67" t="str" vm="611">
        <f>CUBEVALUE(ConnectionString,ReportMonth,Table1[[#This Row],[Site ID (from DATIM)]],INDEX(SDI_Measures,1))</f>
        <v/>
      </c>
      <c r="AF304" s="67" t="str" vm="7523">
        <f>CUBEVALUE(ConnectionString,ReportMonth,Table1[[#This Row],[Site ID (from DATIM)]],INDEX(SDI_Measures,2))</f>
        <v/>
      </c>
      <c r="AG304" s="67" t="str" vm="2175">
        <f>CUBEVALUE(ConnectionString,ReportMonth,Table1[[#This Row],[Site ID (from DATIM)]],INDEX(SDI_Measures,3))</f>
        <v/>
      </c>
      <c r="AH304" s="67" vm="3713">
        <f>CUBEVALUE(ConnectionString,ReportMonth,Table1[[#This Row],[Site ID (from DATIM)]],"TX_CURR_PRIOR_MONTH")</f>
        <v>131</v>
      </c>
      <c r="AI304" s="67" vm="1885">
        <f>CUBEVALUE(ConnectionString,ReportMonth,Table1[[#This Row],[Site ID (from DATIM)]],"TX_CURR")</f>
        <v>123</v>
      </c>
      <c r="AJ304" s="67" t="str" vm="1433">
        <f>CUBEVALUE(ConnectionString,ReportMonth,Table1[[#This Row],[Site ID (from DATIM)]],"[Measures].[TI]")</f>
        <v/>
      </c>
      <c r="AK304" s="67" t="str" vm="3947">
        <f>CUBEVALUE(ConnectionString,ReportMonth,Table1[[#This Row],[Site ID (from DATIM)]],"[Measures].[TO]")</f>
        <v/>
      </c>
      <c r="AL304" s="67" t="str" vm="2262">
        <f>CUBEVALUE(ConnectionString,ReportMonth,Table1[[#This Row],[Site ID (from DATIM)]],"[Measures].[DIED]")</f>
        <v/>
      </c>
      <c r="AM304" s="67" vm="6720">
        <f>CUBEVALUE(ConnectionString,ReportMonth,Table1[[#This Row],[Site ID (from DATIM)]],"[Measures].[MMS_01_31]")</f>
        <v>55</v>
      </c>
      <c r="AN304" s="67" vm="4622">
        <f>CUBEVALUE(ConnectionString,ReportMonth,Table1[[#This Row],[Site ID (from DATIM)]],"[Measures].[MMS_32_62]")</f>
        <v>6</v>
      </c>
      <c r="AO304" s="67" vm="4843">
        <f>CUBEVALUE(ConnectionString,ReportMonth,Table1[[#This Row],[Site ID (from DATIM)]],"[Measures].[MMS_63+]")</f>
        <v>62</v>
      </c>
      <c r="AP304" s="67" vm="4556">
        <f>CUBEVALUE(ConnectionString,ReportMonth,Table1[[#This Row],[Site ID (from DATIM)]],"[Measures].[TBPREV_D]")</f>
        <v>3</v>
      </c>
      <c r="AQ304" s="67" vm="9644">
        <f>CUBEVALUE(ConnectionString,ReportMonth,Table1[[#This Row],[Site ID (from DATIM)]],"[Measures].[TBPREV_N]")</f>
        <v>3</v>
      </c>
      <c r="AR304" s="67" t="str" vm="4927">
        <f>CUBEVALUE(ConnectionString,ReportMonth,Table1[[#This Row],[Site ID (from DATIM)]],"[Measures].[TBPREV_NEW]")</f>
        <v/>
      </c>
      <c r="AS304" s="67" vm="9870">
        <f>CUBEVALUE(ConnectionString,ReportMonth,Table1[[#This Row],[Site ID (from DATIM)]],"[Measures].[HVL_ELIG_P]")</f>
        <v>2</v>
      </c>
      <c r="AT304" s="67" vm="8484">
        <f>CUBEVALUE(ConnectionString,ReportMonth,Table1[[#This Row],[Site ID (from DATIM)]],"[Measures].[HVL_D_P]")</f>
        <v>1</v>
      </c>
      <c r="AU304" s="67" vm="12023">
        <f>CUBEVALUE(ConnectionString,ReportMonth,Table1[[#This Row],[Site ID (from DATIM)]],"[Measures].[HVL_N_P]")</f>
        <v>1</v>
      </c>
      <c r="AV304" s="68" vm="11525">
        <f>CUBEVALUE(ConnectionString,ReportMonth,Table1[[#This Row],[Site ID (from DATIM)]],"[Measures].[HVL_ELIG_A]")</f>
        <v>88</v>
      </c>
      <c r="AW304" s="68" vm="11248">
        <f>CUBEVALUE(ConnectionString,ReportMonth,Table1[[#This Row],[Site ID (from DATIM)]],"[Measures].[HVL_D_A]")</f>
        <v>32</v>
      </c>
      <c r="AX304" s="68" vm="9558">
        <f>CUBEVALUE(ConnectionString,ReportMonth,Table1[[#This Row],[Site ID (from DATIM)]],"[Measures].[HVL_N_A]")</f>
        <v>31</v>
      </c>
      <c r="AY304" s="67"/>
      <c r="AZ304" s="67"/>
      <c r="BA304" s="67"/>
      <c r="BB304" s="67"/>
      <c r="BC304" s="67"/>
      <c r="BD304" s="67"/>
      <c r="BE304" s="67"/>
      <c r="BF304" s="67"/>
      <c r="BG304" s="67" t="str" vm="12276">
        <f>CUBEVALUE(ConnectionString,ReportMonth,Table1[[#This Row],[Site ID (from DATIM)]],"[Measures].[TX_NEW_F_A]")</f>
        <v/>
      </c>
      <c r="BH304" s="67" t="str" vm="11240">
        <f>CUBEVALUE(ConnectionString,ReportMonth,Table1[[#This Row],[Site ID (from DATIM)]],"[Measures].[TX_NEW_M_A]")</f>
        <v/>
      </c>
      <c r="BI304" s="67" t="str" vm="14212">
        <f>CUBEVALUE(ConnectionString,ReportMonth,Table1[[#This Row],[Site ID (from DATIM)]],"[Measures].[TX_NEW_F_P]")</f>
        <v/>
      </c>
      <c r="BJ304" s="68" t="str" vm="14287">
        <f>CUBEVALUE(ConnectionString,ReportMonth,Table1[[#This Row],[Site ID (from DATIM)]],"[Measures].[TX_NEW_M_P]")</f>
        <v/>
      </c>
      <c r="BK304" s="68"/>
      <c r="BL304" s="68"/>
      <c r="BM304" s="68"/>
      <c r="BN304" s="68"/>
      <c r="BO304" s="68"/>
      <c r="BP304" s="68"/>
      <c r="BQ304" s="68" vm="7514">
        <f>CUBEVALUE(ConnectionString,ReportMonth,Table1[[#This Row],[Site ID (from DATIM)]],"[Measures].[TX_CURR_F_P]")</f>
        <v>1</v>
      </c>
      <c r="BR304" s="68" vm="13219">
        <f>CUBEVALUE(ConnectionString,ReportMonth,Table1[[#This Row],[Site ID (from DATIM)]],"[Measures].[TX_CURR_M_P]")</f>
        <v>1</v>
      </c>
      <c r="BS304" s="68" vm="13614">
        <f>CUBEVALUE(ConnectionString,ReportMonth,Table1[[#This Row],[Site ID (from DATIM)]],"[Measures].[TX_CURR_F_A]")</f>
        <v>82</v>
      </c>
      <c r="BT304" s="68" vm="11209">
        <f>CUBEVALUE(ConnectionString,ReportMonth,Table1[[#This Row],[Site ID (from DATIM)]],"[Measures].[TX_CURR_M_A]")</f>
        <v>39</v>
      </c>
      <c r="BU304" s="68" vm="20107">
        <f>CUBEVALUE(ConnectionString,ReportMonth,Table1[[#This Row],[Site ID (from DATIM)]],"[Measures].[MMS_01_89_F_P]")</f>
        <v>1</v>
      </c>
      <c r="BV304" s="68" vm="18335">
        <f>CUBEVALUE(ConnectionString,ReportMonth,Table1[[#This Row],[Site ID (from DATIM)]],"[Measures].[MMS_01_89_M_P]")</f>
        <v>1</v>
      </c>
      <c r="BW304" s="68" vm="18344">
        <f>CUBEVALUE(ConnectionString,ReportMonth,Table1[[#This Row],[Site ID (from DATIM)]],"[Measures].[MMS_01_89_F_A]")</f>
        <v>38</v>
      </c>
      <c r="BX304" s="68" vm="18509">
        <f>CUBEVALUE(ConnectionString,ReportMonth,Table1[[#This Row],[Site ID (from DATIM)]],"[Measures].[MMS_01_89_M_A]")</f>
        <v>21</v>
      </c>
      <c r="BY304" s="68" t="str" vm="17950">
        <f>CUBEVALUE(ConnectionString,ReportMonth,Table1[[#This Row],[Site ID (from DATIM)]],"[Measures].[MMS_90_179_F_P]")</f>
        <v/>
      </c>
      <c r="BZ304" s="68" t="str" vm="19365">
        <f>CUBEVALUE(ConnectionString,ReportMonth,Table1[[#This Row],[Site ID (from DATIM)]],"[Measures].[MMS_90_179_M_P]")</f>
        <v/>
      </c>
      <c r="CA304" s="68" vm="14731">
        <f>CUBEVALUE(ConnectionString,ReportMonth,Table1[[#This Row],[Site ID (from DATIM)]],"[Measures].[MMS_90_179_F_A]")</f>
        <v>44</v>
      </c>
      <c r="CB304" s="68" vm="17655">
        <f>CUBEVALUE(ConnectionString,ReportMonth,Table1[[#This Row],[Site ID (from DATIM)]],"[Measures].[MMS_90_179_M_A]")</f>
        <v>18</v>
      </c>
      <c r="CC304" s="68" t="str" vm="16342">
        <f>CUBEVALUE(ConnectionString,ReportMonth,Table1[[#This Row],[Site ID (from DATIM)]],"[Measures].[MMS_180+_F_P]")</f>
        <v/>
      </c>
      <c r="CD304" s="68" t="str" vm="14618">
        <f>CUBEVALUE(ConnectionString,ReportMonth,Table1[[#This Row],[Site ID (from DATIM)]],"[Measures].[MMS_180+_M_P]")</f>
        <v/>
      </c>
      <c r="CE304" s="68" t="str" vm="17537">
        <f>CUBEVALUE(ConnectionString,ReportMonth,Table1[[#This Row],[Site ID (from DATIM)]],"[Measures].[MMS_180+_F_A]")</f>
        <v/>
      </c>
      <c r="CF304" s="68" t="str" vm="14919">
        <f>CUBEVALUE(ConnectionString,ReportMonth,Table1[[#This Row],[Site ID (from DATIM)]],"[Measures].[MMS_180+_M_A]")</f>
        <v/>
      </c>
      <c r="CG304" s="68" vm="5964">
        <f>CUBEVALUE(ConnectionString,ReportMonth,Table1[[#This Row],[Site ID (from DATIM)]],"[Measures].[MISSEDAPP]")</f>
        <v>70</v>
      </c>
      <c r="CH304" s="68" t="str" vm="15692">
        <f>CUBEVALUE(ConnectionString,ReportMonth,Table1[[#This Row],[Site ID (from DATIM)]],"[Measures].[MMS_180+_P]")</f>
        <v/>
      </c>
      <c r="CI304" s="68" t="str" vm="10451">
        <f>CUBEVALUE(ConnectionString,ReportMonth,Table1[[#This Row],[Site ID (from DATIM)]],"[Measures].[MMS_180+_A]")</f>
        <v/>
      </c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  <c r="CW304" s="68"/>
      <c r="CX304" s="68"/>
      <c r="CY304" s="68"/>
      <c r="CZ304" s="68"/>
      <c r="DA304" s="68"/>
      <c r="DB304" s="68"/>
      <c r="DC304" s="68"/>
    </row>
    <row r="305" spans="1:107" x14ac:dyDescent="0.25">
      <c r="A305" s="66">
        <v>4</v>
      </c>
      <c r="B305" s="67" t="str" vm="4">
        <f t="shared" si="5"/>
        <v>Mar-2021</v>
      </c>
      <c r="C305" s="67"/>
      <c r="D305" s="67" t="s">
        <v>232</v>
      </c>
      <c r="E305" s="67" t="s">
        <v>233</v>
      </c>
      <c r="F305" s="67" t="s">
        <v>437</v>
      </c>
      <c r="G305" s="67"/>
      <c r="H305" s="67" t="s">
        <v>442</v>
      </c>
      <c r="I305" s="67" t="s">
        <v>724</v>
      </c>
      <c r="J305" s="67" t="s">
        <v>725</v>
      </c>
      <c r="K305" s="67" t="s">
        <v>726</v>
      </c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 t="str" vm="4287">
        <f>CUBEVALUE(ConnectionString,ReportMonth,Table1[[#This Row],[Site ID (from DATIM)]],"TX_NEW_2VIS")</f>
        <v/>
      </c>
      <c r="AE305" s="67" t="str" vm="1067">
        <f>CUBEVALUE(ConnectionString,ReportMonth,Table1[[#This Row],[Site ID (from DATIM)]],INDEX(SDI_Measures,1))</f>
        <v/>
      </c>
      <c r="AF305" s="67" t="str" vm="353">
        <f>CUBEVALUE(ConnectionString,ReportMonth,Table1[[#This Row],[Site ID (from DATIM)]],INDEX(SDI_Measures,2))</f>
        <v/>
      </c>
      <c r="AG305" s="67" t="str" vm="3034">
        <f>CUBEVALUE(ConnectionString,ReportMonth,Table1[[#This Row],[Site ID (from DATIM)]],INDEX(SDI_Measures,3))</f>
        <v/>
      </c>
      <c r="AH305" s="67" vm="3475">
        <f>CUBEVALUE(ConnectionString,ReportMonth,Table1[[#This Row],[Site ID (from DATIM)]],"TX_CURR_PRIOR_MONTH")</f>
        <v>6</v>
      </c>
      <c r="AI305" s="67" vm="2533">
        <f>CUBEVALUE(ConnectionString,ReportMonth,Table1[[#This Row],[Site ID (from DATIM)]],"TX_CURR")</f>
        <v>4</v>
      </c>
      <c r="AJ305" s="67" t="str" vm="3556">
        <f>CUBEVALUE(ConnectionString,ReportMonth,Table1[[#This Row],[Site ID (from DATIM)]],"[Measures].[TI]")</f>
        <v/>
      </c>
      <c r="AK305" s="67" t="str" vm="1227">
        <f>CUBEVALUE(ConnectionString,ReportMonth,Table1[[#This Row],[Site ID (from DATIM)]],"[Measures].[TO]")</f>
        <v/>
      </c>
      <c r="AL305" s="67" t="str" vm="1703">
        <f>CUBEVALUE(ConnectionString,ReportMonth,Table1[[#This Row],[Site ID (from DATIM)]],"[Measures].[DIED]")</f>
        <v/>
      </c>
      <c r="AM305" s="67" vm="3303">
        <f>CUBEVALUE(ConnectionString,ReportMonth,Table1[[#This Row],[Site ID (from DATIM)]],"[Measures].[MMS_01_31]")</f>
        <v>4</v>
      </c>
      <c r="AN305" s="67" t="str" vm="6900">
        <f>CUBEVALUE(ConnectionString,ReportMonth,Table1[[#This Row],[Site ID (from DATIM)]],"[Measures].[MMS_32_62]")</f>
        <v/>
      </c>
      <c r="AO305" s="67" t="str" vm="5952">
        <f>CUBEVALUE(ConnectionString,ReportMonth,Table1[[#This Row],[Site ID (from DATIM)]],"[Measures].[MMS_63+]")</f>
        <v/>
      </c>
      <c r="AP305" s="67" t="str" vm="4731">
        <f>CUBEVALUE(ConnectionString,ReportMonth,Table1[[#This Row],[Site ID (from DATIM)]],"[Measures].[TBPREV_D]")</f>
        <v/>
      </c>
      <c r="AQ305" s="67" t="str" vm="7077">
        <f>CUBEVALUE(ConnectionString,ReportMonth,Table1[[#This Row],[Site ID (from DATIM)]],"[Measures].[TBPREV_N]")</f>
        <v/>
      </c>
      <c r="AR305" s="67" t="str" vm="4982">
        <f>CUBEVALUE(ConnectionString,ReportMonth,Table1[[#This Row],[Site ID (from DATIM)]],"[Measures].[TBPREV_NEW]")</f>
        <v/>
      </c>
      <c r="AS305" s="67" t="str" vm="9589">
        <f>CUBEVALUE(ConnectionString,ReportMonth,Table1[[#This Row],[Site ID (from DATIM)]],"[Measures].[HVL_ELIG_P]")</f>
        <v/>
      </c>
      <c r="AT305" s="67" t="str" vm="11814">
        <f>CUBEVALUE(ConnectionString,ReportMonth,Table1[[#This Row],[Site ID (from DATIM)]],"[Measures].[HVL_D_P]")</f>
        <v/>
      </c>
      <c r="AU305" s="67" t="str" vm="8980">
        <f>CUBEVALUE(ConnectionString,ReportMonth,Table1[[#This Row],[Site ID (from DATIM)]],"[Measures].[HVL_N_P]")</f>
        <v/>
      </c>
      <c r="AV305" s="68" vm="9349">
        <f>CUBEVALUE(ConnectionString,ReportMonth,Table1[[#This Row],[Site ID (from DATIM)]],"[Measures].[HVL_ELIG_A]")</f>
        <v>4</v>
      </c>
      <c r="AW305" s="68" t="str" vm="7715">
        <f>CUBEVALUE(ConnectionString,ReportMonth,Table1[[#This Row],[Site ID (from DATIM)]],"[Measures].[HVL_D_A]")</f>
        <v/>
      </c>
      <c r="AX305" s="68" t="str" vm="6392">
        <f>CUBEVALUE(ConnectionString,ReportMonth,Table1[[#This Row],[Site ID (from DATIM)]],"[Measures].[HVL_N_A]")</f>
        <v/>
      </c>
      <c r="AY305" s="67"/>
      <c r="AZ305" s="67"/>
      <c r="BA305" s="67"/>
      <c r="BB305" s="67"/>
      <c r="BC305" s="67"/>
      <c r="BD305" s="67"/>
      <c r="BE305" s="67"/>
      <c r="BF305" s="67"/>
      <c r="BG305" s="67" t="str" vm="11474">
        <f>CUBEVALUE(ConnectionString,ReportMonth,Table1[[#This Row],[Site ID (from DATIM)]],"[Measures].[TX_NEW_F_A]")</f>
        <v/>
      </c>
      <c r="BH305" s="67" t="str" vm="14863">
        <f>CUBEVALUE(ConnectionString,ReportMonth,Table1[[#This Row],[Site ID (from DATIM)]],"[Measures].[TX_NEW_M_A]")</f>
        <v/>
      </c>
      <c r="BI305" s="67" t="str" vm="12578">
        <f>CUBEVALUE(ConnectionString,ReportMonth,Table1[[#This Row],[Site ID (from DATIM)]],"[Measures].[TX_NEW_F_P]")</f>
        <v/>
      </c>
      <c r="BJ305" s="68" t="str" vm="16141">
        <f>CUBEVALUE(ConnectionString,ReportMonth,Table1[[#This Row],[Site ID (from DATIM)]],"[Measures].[TX_NEW_M_P]")</f>
        <v/>
      </c>
      <c r="BK305" s="68"/>
      <c r="BL305" s="68"/>
      <c r="BM305" s="68"/>
      <c r="BN305" s="68"/>
      <c r="BO305" s="68"/>
      <c r="BP305" s="68"/>
      <c r="BQ305" s="68" t="str" vm="6810">
        <f>CUBEVALUE(ConnectionString,ReportMonth,Table1[[#This Row],[Site ID (from DATIM)]],"[Measures].[TX_CURR_F_P]")</f>
        <v/>
      </c>
      <c r="BR305" s="68" t="str" vm="8772">
        <f>CUBEVALUE(ConnectionString,ReportMonth,Table1[[#This Row],[Site ID (from DATIM)]],"[Measures].[TX_CURR_M_P]")</f>
        <v/>
      </c>
      <c r="BS305" s="68" vm="11637">
        <f>CUBEVALUE(ConnectionString,ReportMonth,Table1[[#This Row],[Site ID (from DATIM)]],"[Measures].[TX_CURR_F_A]")</f>
        <v>4</v>
      </c>
      <c r="BT305" s="68" t="str" vm="12260">
        <f>CUBEVALUE(ConnectionString,ReportMonth,Table1[[#This Row],[Site ID (from DATIM)]],"[Measures].[TX_CURR_M_A]")</f>
        <v/>
      </c>
      <c r="BU305" s="68" t="str" vm="19254">
        <f>CUBEVALUE(ConnectionString,ReportMonth,Table1[[#This Row],[Site ID (from DATIM)]],"[Measures].[MMS_01_89_F_P]")</f>
        <v/>
      </c>
      <c r="BV305" s="68" t="str" vm="18141">
        <f>CUBEVALUE(ConnectionString,ReportMonth,Table1[[#This Row],[Site ID (from DATIM)]],"[Measures].[MMS_01_89_M_P]")</f>
        <v/>
      </c>
      <c r="BW305" s="68" vm="19448">
        <f>CUBEVALUE(ConnectionString,ReportMonth,Table1[[#This Row],[Site ID (from DATIM)]],"[Measures].[MMS_01_89_F_A]")</f>
        <v>4</v>
      </c>
      <c r="BX305" s="68" t="str" vm="19941">
        <f>CUBEVALUE(ConnectionString,ReportMonth,Table1[[#This Row],[Site ID (from DATIM)]],"[Measures].[MMS_01_89_M_A]")</f>
        <v/>
      </c>
      <c r="BY305" s="68" t="str" vm="17899">
        <f>CUBEVALUE(ConnectionString,ReportMonth,Table1[[#This Row],[Site ID (from DATIM)]],"[Measures].[MMS_90_179_F_P]")</f>
        <v/>
      </c>
      <c r="BZ305" s="68" t="str" vm="17788">
        <f>CUBEVALUE(ConnectionString,ReportMonth,Table1[[#This Row],[Site ID (from DATIM)]],"[Measures].[MMS_90_179_M_P]")</f>
        <v/>
      </c>
      <c r="CA305" s="68" t="str" vm="16419">
        <f>CUBEVALUE(ConnectionString,ReportMonth,Table1[[#This Row],[Site ID (from DATIM)]],"[Measures].[MMS_90_179_F_A]")</f>
        <v/>
      </c>
      <c r="CB305" s="68" t="str" vm="17718">
        <f>CUBEVALUE(ConnectionString,ReportMonth,Table1[[#This Row],[Site ID (from DATIM)]],"[Measures].[MMS_90_179_M_A]")</f>
        <v/>
      </c>
      <c r="CC305" s="68" t="str" vm="17590">
        <f>CUBEVALUE(ConnectionString,ReportMonth,Table1[[#This Row],[Site ID (from DATIM)]],"[Measures].[MMS_180+_F_P]")</f>
        <v/>
      </c>
      <c r="CD305" s="68" t="str" vm="17559">
        <f>CUBEVALUE(ConnectionString,ReportMonth,Table1[[#This Row],[Site ID (from DATIM)]],"[Measures].[MMS_180+_M_P]")</f>
        <v/>
      </c>
      <c r="CE305" s="68" t="str" vm="14991">
        <f>CUBEVALUE(ConnectionString,ReportMonth,Table1[[#This Row],[Site ID (from DATIM)]],"[Measures].[MMS_180+_F_A]")</f>
        <v/>
      </c>
      <c r="CF305" s="68" t="str" vm="235">
        <f>CUBEVALUE(ConnectionString,ReportMonth,Table1[[#This Row],[Site ID (from DATIM)]],"[Measures].[MMS_180+_M_A]")</f>
        <v/>
      </c>
      <c r="CG305" s="68" vm="5275">
        <f>CUBEVALUE(ConnectionString,ReportMonth,Table1[[#This Row],[Site ID (from DATIM)]],"[Measures].[MISSEDAPP]")</f>
        <v>4</v>
      </c>
      <c r="CH305" s="68" t="str" vm="12040">
        <f>CUBEVALUE(ConnectionString,ReportMonth,Table1[[#This Row],[Site ID (from DATIM)]],"[Measures].[MMS_180+_P]")</f>
        <v/>
      </c>
      <c r="CI305" s="68" t="str" vm="10666">
        <f>CUBEVALUE(ConnectionString,ReportMonth,Table1[[#This Row],[Site ID (from DATIM)]],"[Measures].[MMS_180+_A]")</f>
        <v/>
      </c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  <c r="CW305" s="68"/>
      <c r="CX305" s="68"/>
      <c r="CY305" s="68"/>
      <c r="CZ305" s="68"/>
      <c r="DA305" s="68"/>
      <c r="DB305" s="68"/>
      <c r="DC305" s="68"/>
    </row>
    <row r="306" spans="1:107" x14ac:dyDescent="0.25">
      <c r="A306" s="66">
        <v>4</v>
      </c>
      <c r="B306" s="67" t="str" vm="4">
        <f t="shared" si="5"/>
        <v>Mar-2021</v>
      </c>
      <c r="C306" s="67"/>
      <c r="D306" s="67" t="s">
        <v>232</v>
      </c>
      <c r="E306" s="67" t="s">
        <v>233</v>
      </c>
      <c r="F306" s="67" t="s">
        <v>1083</v>
      </c>
      <c r="G306" s="67"/>
      <c r="H306" s="67" t="s">
        <v>1113</v>
      </c>
      <c r="I306" s="67" t="s">
        <v>1232</v>
      </c>
      <c r="J306" s="67" t="s">
        <v>1233</v>
      </c>
      <c r="K306" s="67" t="s">
        <v>1234</v>
      </c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 t="str" vm="900">
        <f>CUBEVALUE(ConnectionString,ReportMonth,Table1[[#This Row],[Site ID (from DATIM)]],"TX_NEW_2VIS")</f>
        <v/>
      </c>
      <c r="AE306" s="67" t="str" vm="2790">
        <f>CUBEVALUE(ConnectionString,ReportMonth,Table1[[#This Row],[Site ID (from DATIM)]],INDEX(SDI_Measures,1))</f>
        <v/>
      </c>
      <c r="AF306" s="67" t="str" vm="1964">
        <f>CUBEVALUE(ConnectionString,ReportMonth,Table1[[#This Row],[Site ID (from DATIM)]],INDEX(SDI_Measures,2))</f>
        <v/>
      </c>
      <c r="AG306" s="67" t="str" vm="2207">
        <f>CUBEVALUE(ConnectionString,ReportMonth,Table1[[#This Row],[Site ID (from DATIM)]],INDEX(SDI_Measures,3))</f>
        <v/>
      </c>
      <c r="AH306" s="67" vm="4443">
        <f>CUBEVALUE(ConnectionString,ReportMonth,Table1[[#This Row],[Site ID (from DATIM)]],"TX_CURR_PRIOR_MONTH")</f>
        <v>76</v>
      </c>
      <c r="AI306" s="67" vm="4366">
        <f>CUBEVALUE(ConnectionString,ReportMonth,Table1[[#This Row],[Site ID (from DATIM)]],"TX_CURR")</f>
        <v>66</v>
      </c>
      <c r="AJ306" s="67" t="str" vm="3159">
        <f>CUBEVALUE(ConnectionString,ReportMonth,Table1[[#This Row],[Site ID (from DATIM)]],"[Measures].[TI]")</f>
        <v/>
      </c>
      <c r="AK306" s="67" t="str" vm="3971">
        <f>CUBEVALUE(ConnectionString,ReportMonth,Table1[[#This Row],[Site ID (from DATIM)]],"[Measures].[TO]")</f>
        <v/>
      </c>
      <c r="AL306" s="67" t="str" vm="2334">
        <f>CUBEVALUE(ConnectionString,ReportMonth,Table1[[#This Row],[Site ID (from DATIM)]],"[Measures].[DIED]")</f>
        <v/>
      </c>
      <c r="AM306" s="67" vm="5011">
        <f>CUBEVALUE(ConnectionString,ReportMonth,Table1[[#This Row],[Site ID (from DATIM)]],"[Measures].[MMS_01_31]")</f>
        <v>11</v>
      </c>
      <c r="AN306" s="67" t="str" vm="7147">
        <f>CUBEVALUE(ConnectionString,ReportMonth,Table1[[#This Row],[Site ID (from DATIM)]],"[Measures].[MMS_32_62]")</f>
        <v/>
      </c>
      <c r="AO306" s="67" vm="5696">
        <f>CUBEVALUE(ConnectionString,ReportMonth,Table1[[#This Row],[Site ID (from DATIM)]],"[Measures].[MMS_63+]")</f>
        <v>55</v>
      </c>
      <c r="AP306" s="67" vm="9806">
        <f>CUBEVALUE(ConnectionString,ReportMonth,Table1[[#This Row],[Site ID (from DATIM)]],"[Measures].[TBPREV_D]")</f>
        <v>1</v>
      </c>
      <c r="AQ306" s="67" t="str" vm="4918">
        <f>CUBEVALUE(ConnectionString,ReportMonth,Table1[[#This Row],[Site ID (from DATIM)]],"[Measures].[TBPREV_N]")</f>
        <v/>
      </c>
      <c r="AR306" s="67" t="str" vm="6087">
        <f>CUBEVALUE(ConnectionString,ReportMonth,Table1[[#This Row],[Site ID (from DATIM)]],"[Measures].[TBPREV_NEW]")</f>
        <v/>
      </c>
      <c r="AS306" s="67" vm="7130">
        <f>CUBEVALUE(ConnectionString,ReportMonth,Table1[[#This Row],[Site ID (from DATIM)]],"[Measures].[HVL_ELIG_P]")</f>
        <v>1</v>
      </c>
      <c r="AT306" s="67" vm="5489">
        <f>CUBEVALUE(ConnectionString,ReportMonth,Table1[[#This Row],[Site ID (from DATIM)]],"[Measures].[HVL_D_P]")</f>
        <v>1</v>
      </c>
      <c r="AU306" s="67" t="str" vm="11551">
        <f>CUBEVALUE(ConnectionString,ReportMonth,Table1[[#This Row],[Site ID (from DATIM)]],"[Measures].[HVL_N_P]")</f>
        <v/>
      </c>
      <c r="AV306" s="68" vm="8995">
        <f>CUBEVALUE(ConnectionString,ReportMonth,Table1[[#This Row],[Site ID (from DATIM)]],"[Measures].[HVL_ELIG_A]")</f>
        <v>60</v>
      </c>
      <c r="AW306" s="68" vm="11389">
        <f>CUBEVALUE(ConnectionString,ReportMonth,Table1[[#This Row],[Site ID (from DATIM)]],"[Measures].[HVL_D_A]")</f>
        <v>20</v>
      </c>
      <c r="AX306" s="68" vm="13239">
        <f>CUBEVALUE(ConnectionString,ReportMonth,Table1[[#This Row],[Site ID (from DATIM)]],"[Measures].[HVL_N_A]")</f>
        <v>17</v>
      </c>
      <c r="AY306" s="67"/>
      <c r="AZ306" s="67"/>
      <c r="BA306" s="67"/>
      <c r="BB306" s="67"/>
      <c r="BC306" s="67"/>
      <c r="BD306" s="67"/>
      <c r="BE306" s="67"/>
      <c r="BF306" s="67"/>
      <c r="BG306" s="67" t="str" vm="12115">
        <f>CUBEVALUE(ConnectionString,ReportMonth,Table1[[#This Row],[Site ID (from DATIM)]],"[Measures].[TX_NEW_F_A]")</f>
        <v/>
      </c>
      <c r="BH306" s="67" t="str" vm="12281">
        <f>CUBEVALUE(ConnectionString,ReportMonth,Table1[[#This Row],[Site ID (from DATIM)]],"[Measures].[TX_NEW_M_A]")</f>
        <v/>
      </c>
      <c r="BI306" s="67" t="str" vm="13731">
        <f>CUBEVALUE(ConnectionString,ReportMonth,Table1[[#This Row],[Site ID (from DATIM)]],"[Measures].[TX_NEW_F_P]")</f>
        <v/>
      </c>
      <c r="BJ306" s="68" t="str" vm="16617">
        <f>CUBEVALUE(ConnectionString,ReportMonth,Table1[[#This Row],[Site ID (from DATIM)]],"[Measures].[TX_NEW_M_P]")</f>
        <v/>
      </c>
      <c r="BK306" s="68"/>
      <c r="BL306" s="68"/>
      <c r="BM306" s="68"/>
      <c r="BN306" s="68"/>
      <c r="BO306" s="68"/>
      <c r="BP306" s="68"/>
      <c r="BQ306" s="68" vm="9359">
        <f>CUBEVALUE(ConnectionString,ReportMonth,Table1[[#This Row],[Site ID (from DATIM)]],"[Measures].[TX_CURR_F_P]")</f>
        <v>1</v>
      </c>
      <c r="BR306" s="68" vm="13755">
        <f>CUBEVALUE(ConnectionString,ReportMonth,Table1[[#This Row],[Site ID (from DATIM)]],"[Measures].[TX_CURR_M_P]")</f>
        <v>1</v>
      </c>
      <c r="BS306" s="68" vm="8773">
        <f>CUBEVALUE(ConnectionString,ReportMonth,Table1[[#This Row],[Site ID (from DATIM)]],"[Measures].[TX_CURR_F_A]")</f>
        <v>48</v>
      </c>
      <c r="BT306" s="68" vm="13503">
        <f>CUBEVALUE(ConnectionString,ReportMonth,Table1[[#This Row],[Site ID (from DATIM)]],"[Measures].[TX_CURR_M_A]")</f>
        <v>16</v>
      </c>
      <c r="BU306" s="68" vm="20121">
        <f>CUBEVALUE(ConnectionString,ReportMonth,Table1[[#This Row],[Site ID (from DATIM)]],"[Measures].[MMS_01_89_F_P]")</f>
        <v>1</v>
      </c>
      <c r="BV306" s="68" t="str" vm="20126">
        <f>CUBEVALUE(ConnectionString,ReportMonth,Table1[[#This Row],[Site ID (from DATIM)]],"[Measures].[MMS_01_89_M_P]")</f>
        <v/>
      </c>
      <c r="BW306" s="68" vm="18179">
        <f>CUBEVALUE(ConnectionString,ReportMonth,Table1[[#This Row],[Site ID (from DATIM)]],"[Measures].[MMS_01_89_F_A]")</f>
        <v>15</v>
      </c>
      <c r="BX306" s="68" vm="18512">
        <f>CUBEVALUE(ConnectionString,ReportMonth,Table1[[#This Row],[Site ID (from DATIM)]],"[Measures].[MMS_01_89_M_A]")</f>
        <v>3</v>
      </c>
      <c r="BY306" s="68" t="str" vm="19594">
        <f>CUBEVALUE(ConnectionString,ReportMonth,Table1[[#This Row],[Site ID (from DATIM)]],"[Measures].[MMS_90_179_F_P]")</f>
        <v/>
      </c>
      <c r="BZ306" s="68" vm="18159">
        <f>CUBEVALUE(ConnectionString,ReportMonth,Table1[[#This Row],[Site ID (from DATIM)]],"[Measures].[MMS_90_179_M_P]")</f>
        <v>1</v>
      </c>
      <c r="CA306" s="68" vm="15998">
        <f>CUBEVALUE(ConnectionString,ReportMonth,Table1[[#This Row],[Site ID (from DATIM)]],"[Measures].[MMS_90_179_F_A]")</f>
        <v>33</v>
      </c>
      <c r="CB306" s="68" vm="15033">
        <f>CUBEVALUE(ConnectionString,ReportMonth,Table1[[#This Row],[Site ID (from DATIM)]],"[Measures].[MMS_90_179_M_A]")</f>
        <v>13</v>
      </c>
      <c r="CC306" s="68" t="str" vm="17152">
        <f>CUBEVALUE(ConnectionString,ReportMonth,Table1[[#This Row],[Site ID (from DATIM)]],"[Measures].[MMS_180+_F_P]")</f>
        <v/>
      </c>
      <c r="CD306" s="68" t="str" vm="14544">
        <f>CUBEVALUE(ConnectionString,ReportMonth,Table1[[#This Row],[Site ID (from DATIM)]],"[Measures].[MMS_180+_M_P]")</f>
        <v/>
      </c>
      <c r="CE306" s="68" t="str" vm="15824">
        <f>CUBEVALUE(ConnectionString,ReportMonth,Table1[[#This Row],[Site ID (from DATIM)]],"[Measures].[MMS_180+_F_A]")</f>
        <v/>
      </c>
      <c r="CF306" s="68" t="str" vm="14917">
        <f>CUBEVALUE(ConnectionString,ReportMonth,Table1[[#This Row],[Site ID (from DATIM)]],"[Measures].[MMS_180+_M_A]")</f>
        <v/>
      </c>
      <c r="CG306" s="68" vm="6924">
        <f>CUBEVALUE(ConnectionString,ReportMonth,Table1[[#This Row],[Site ID (from DATIM)]],"[Measures].[MISSEDAPP]")</f>
        <v>35</v>
      </c>
      <c r="CH306" s="68" t="str" vm="13240">
        <f>CUBEVALUE(ConnectionString,ReportMonth,Table1[[#This Row],[Site ID (from DATIM)]],"[Measures].[MMS_180+_P]")</f>
        <v/>
      </c>
      <c r="CI306" s="68" t="str" vm="16600">
        <f>CUBEVALUE(ConnectionString,ReportMonth,Table1[[#This Row],[Site ID (from DATIM)]],"[Measures].[MMS_180+_A]")</f>
        <v/>
      </c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  <c r="CW306" s="68"/>
      <c r="CX306" s="68"/>
      <c r="CY306" s="68"/>
      <c r="CZ306" s="68"/>
      <c r="DA306" s="68"/>
      <c r="DB306" s="68"/>
      <c r="DC306" s="68"/>
    </row>
    <row r="307" spans="1:107" x14ac:dyDescent="0.25">
      <c r="A307" s="66">
        <v>4</v>
      </c>
      <c r="B307" s="67" t="str" vm="4">
        <f t="shared" si="5"/>
        <v>Mar-2021</v>
      </c>
      <c r="C307" s="67"/>
      <c r="D307" s="67" t="s">
        <v>232</v>
      </c>
      <c r="E307" s="67" t="s">
        <v>233</v>
      </c>
      <c r="F307" s="67" t="s">
        <v>1286</v>
      </c>
      <c r="G307" s="67"/>
      <c r="H307" s="67" t="s">
        <v>1323</v>
      </c>
      <c r="I307" s="67" t="s">
        <v>1324</v>
      </c>
      <c r="J307" s="67" t="s">
        <v>1458</v>
      </c>
      <c r="K307" s="67" t="s">
        <v>1459</v>
      </c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 t="str" vm="828">
        <f>CUBEVALUE(ConnectionString,ReportMonth,Table1[[#This Row],[Site ID (from DATIM)]],"TX_NEW_2VIS")</f>
        <v/>
      </c>
      <c r="AE307" s="67" t="str" vm="4462">
        <f>CUBEVALUE(ConnectionString,ReportMonth,Table1[[#This Row],[Site ID (from DATIM)]],INDEX(SDI_Measures,1))</f>
        <v/>
      </c>
      <c r="AF307" s="67" t="str" vm="921">
        <f>CUBEVALUE(ConnectionString,ReportMonth,Table1[[#This Row],[Site ID (from DATIM)]],INDEX(SDI_Measures,2))</f>
        <v/>
      </c>
      <c r="AG307" s="67" t="str" vm="309">
        <f>CUBEVALUE(ConnectionString,ReportMonth,Table1[[#This Row],[Site ID (from DATIM)]],INDEX(SDI_Measures,3))</f>
        <v/>
      </c>
      <c r="AH307" s="67" t="str" vm="1265">
        <f>CUBEVALUE(ConnectionString,ReportMonth,Table1[[#This Row],[Site ID (from DATIM)]],"TX_CURR_PRIOR_MONTH")</f>
        <v/>
      </c>
      <c r="AI307" s="67" t="str" vm="3632">
        <f>CUBEVALUE(ConnectionString,ReportMonth,Table1[[#This Row],[Site ID (from DATIM)]],"TX_CURR")</f>
        <v/>
      </c>
      <c r="AJ307" s="67" t="str" vm="4475">
        <f>CUBEVALUE(ConnectionString,ReportMonth,Table1[[#This Row],[Site ID (from DATIM)]],"[Measures].[TI]")</f>
        <v/>
      </c>
      <c r="AK307" s="67" t="str" vm="3537">
        <f>CUBEVALUE(ConnectionString,ReportMonth,Table1[[#This Row],[Site ID (from DATIM)]],"[Measures].[TO]")</f>
        <v/>
      </c>
      <c r="AL307" s="67" t="str" vm="2237">
        <f>CUBEVALUE(ConnectionString,ReportMonth,Table1[[#This Row],[Site ID (from DATIM)]],"[Measures].[DIED]")</f>
        <v/>
      </c>
      <c r="AM307" s="67" t="str" vm="5721">
        <f>CUBEVALUE(ConnectionString,ReportMonth,Table1[[#This Row],[Site ID (from DATIM)]],"[Measures].[MMS_01_31]")</f>
        <v/>
      </c>
      <c r="AN307" s="67" t="str" vm="6480">
        <f>CUBEVALUE(ConnectionString,ReportMonth,Table1[[#This Row],[Site ID (from DATIM)]],"[Measures].[MMS_32_62]")</f>
        <v/>
      </c>
      <c r="AO307" s="67" t="str" vm="6335">
        <f>CUBEVALUE(ConnectionString,ReportMonth,Table1[[#This Row],[Site ID (from DATIM)]],"[Measures].[MMS_63+]")</f>
        <v/>
      </c>
      <c r="AP307" s="67" t="str" vm="9803">
        <f>CUBEVALUE(ConnectionString,ReportMonth,Table1[[#This Row],[Site ID (from DATIM)]],"[Measures].[TBPREV_D]")</f>
        <v/>
      </c>
      <c r="AQ307" s="67" t="str" vm="5525">
        <f>CUBEVALUE(ConnectionString,ReportMonth,Table1[[#This Row],[Site ID (from DATIM)]],"[Measures].[TBPREV_N]")</f>
        <v/>
      </c>
      <c r="AR307" s="67" t="str" vm="6180">
        <f>CUBEVALUE(ConnectionString,ReportMonth,Table1[[#This Row],[Site ID (from DATIM)]],"[Measures].[TBPREV_NEW]")</f>
        <v/>
      </c>
      <c r="AS307" s="67" t="str" vm="5408">
        <f>CUBEVALUE(ConnectionString,ReportMonth,Table1[[#This Row],[Site ID (from DATIM)]],"[Measures].[HVL_ELIG_P]")</f>
        <v/>
      </c>
      <c r="AT307" s="67" t="str" vm="8008">
        <f>CUBEVALUE(ConnectionString,ReportMonth,Table1[[#This Row],[Site ID (from DATIM)]],"[Measures].[HVL_D_P]")</f>
        <v/>
      </c>
      <c r="AU307" s="67" t="str" vm="6836">
        <f>CUBEVALUE(ConnectionString,ReportMonth,Table1[[#This Row],[Site ID (from DATIM)]],"[Measures].[HVL_N_P]")</f>
        <v/>
      </c>
      <c r="AV307" s="68" t="str" vm="9672">
        <f>CUBEVALUE(ConnectionString,ReportMonth,Table1[[#This Row],[Site ID (from DATIM)]],"[Measures].[HVL_ELIG_A]")</f>
        <v/>
      </c>
      <c r="AW307" s="68" t="str" vm="11315">
        <f>CUBEVALUE(ConnectionString,ReportMonth,Table1[[#This Row],[Site ID (from DATIM)]],"[Measures].[HVL_D_A]")</f>
        <v/>
      </c>
      <c r="AX307" s="68" t="str" vm="11310">
        <f>CUBEVALUE(ConnectionString,ReportMonth,Table1[[#This Row],[Site ID (from DATIM)]],"[Measures].[HVL_N_A]")</f>
        <v/>
      </c>
      <c r="AY307" s="67"/>
      <c r="AZ307" s="67"/>
      <c r="BA307" s="67"/>
      <c r="BB307" s="67"/>
      <c r="BC307" s="67"/>
      <c r="BD307" s="67"/>
      <c r="BE307" s="67"/>
      <c r="BF307" s="67"/>
      <c r="BG307" s="67" t="str" vm="13569">
        <f>CUBEVALUE(ConnectionString,ReportMonth,Table1[[#This Row],[Site ID (from DATIM)]],"[Measures].[TX_NEW_F_A]")</f>
        <v/>
      </c>
      <c r="BH307" s="67" t="str" vm="11185">
        <f>CUBEVALUE(ConnectionString,ReportMonth,Table1[[#This Row],[Site ID (from DATIM)]],"[Measures].[TX_NEW_M_A]")</f>
        <v/>
      </c>
      <c r="BI307" s="67" t="str" vm="13473">
        <f>CUBEVALUE(ConnectionString,ReportMonth,Table1[[#This Row],[Site ID (from DATIM)]],"[Measures].[TX_NEW_F_P]")</f>
        <v/>
      </c>
      <c r="BJ307" s="68" t="str" vm="15332">
        <f>CUBEVALUE(ConnectionString,ReportMonth,Table1[[#This Row],[Site ID (from DATIM)]],"[Measures].[TX_NEW_M_P]")</f>
        <v/>
      </c>
      <c r="BK307" s="68"/>
      <c r="BL307" s="68"/>
      <c r="BM307" s="68"/>
      <c r="BN307" s="68"/>
      <c r="BO307" s="68"/>
      <c r="BP307" s="68"/>
      <c r="BQ307" s="68" t="str" vm="9269">
        <f>CUBEVALUE(ConnectionString,ReportMonth,Table1[[#This Row],[Site ID (from DATIM)]],"[Measures].[TX_CURR_F_P]")</f>
        <v/>
      </c>
      <c r="BR307" s="68" t="str" vm="8333">
        <f>CUBEVALUE(ConnectionString,ReportMonth,Table1[[#This Row],[Site ID (from DATIM)]],"[Measures].[TX_CURR_M_P]")</f>
        <v/>
      </c>
      <c r="BS307" s="68" t="str" vm="9966">
        <f>CUBEVALUE(ConnectionString,ReportMonth,Table1[[#This Row],[Site ID (from DATIM)]],"[Measures].[TX_CURR_F_A]")</f>
        <v/>
      </c>
      <c r="BT307" s="68" t="str" vm="8504">
        <f>CUBEVALUE(ConnectionString,ReportMonth,Table1[[#This Row],[Site ID (from DATIM)]],"[Measures].[TX_CURR_M_A]")</f>
        <v/>
      </c>
      <c r="BU307" s="68" t="str" vm="18984">
        <f>CUBEVALUE(ConnectionString,ReportMonth,Table1[[#This Row],[Site ID (from DATIM)]],"[Measures].[MMS_01_89_F_P]")</f>
        <v/>
      </c>
      <c r="BV307" s="68" t="str" vm="18402">
        <f>CUBEVALUE(ConnectionString,ReportMonth,Table1[[#This Row],[Site ID (from DATIM)]],"[Measures].[MMS_01_89_M_P]")</f>
        <v/>
      </c>
      <c r="BW307" s="68" t="str" vm="17940">
        <f>CUBEVALUE(ConnectionString,ReportMonth,Table1[[#This Row],[Site ID (from DATIM)]],"[Measures].[MMS_01_89_F_A]")</f>
        <v/>
      </c>
      <c r="BX307" s="68" t="str" vm="18583">
        <f>CUBEVALUE(ConnectionString,ReportMonth,Table1[[#This Row],[Site ID (from DATIM)]],"[Measures].[MMS_01_89_M_A]")</f>
        <v/>
      </c>
      <c r="BY307" s="68" t="str" vm="16528">
        <f>CUBEVALUE(ConnectionString,ReportMonth,Table1[[#This Row],[Site ID (from DATIM)]],"[Measures].[MMS_90_179_F_P]")</f>
        <v/>
      </c>
      <c r="BZ307" s="68" t="str" vm="14714">
        <f>CUBEVALUE(ConnectionString,ReportMonth,Table1[[#This Row],[Site ID (from DATIM)]],"[Measures].[MMS_90_179_M_P]")</f>
        <v/>
      </c>
      <c r="CA307" s="68" t="str" vm="16844">
        <f>CUBEVALUE(ConnectionString,ReportMonth,Table1[[#This Row],[Site ID (from DATIM)]],"[Measures].[MMS_90_179_F_A]")</f>
        <v/>
      </c>
      <c r="CB307" s="68" t="str" vm="16835">
        <f>CUBEVALUE(ConnectionString,ReportMonth,Table1[[#This Row],[Site ID (from DATIM)]],"[Measures].[MMS_90_179_M_A]")</f>
        <v/>
      </c>
      <c r="CC307" s="68" t="str" vm="17638">
        <f>CUBEVALUE(ConnectionString,ReportMonth,Table1[[#This Row],[Site ID (from DATIM)]],"[Measures].[MMS_180+_F_P]")</f>
        <v/>
      </c>
      <c r="CD307" s="68" t="str" vm="15799">
        <f>CUBEVALUE(ConnectionString,ReportMonth,Table1[[#This Row],[Site ID (from DATIM)]],"[Measures].[MMS_180+_M_P]")</f>
        <v/>
      </c>
      <c r="CE307" s="68" t="str" vm="14521">
        <f>CUBEVALUE(ConnectionString,ReportMonth,Table1[[#This Row],[Site ID (from DATIM)]],"[Measures].[MMS_180+_F_A]")</f>
        <v/>
      </c>
      <c r="CF307" s="68" t="str" vm="14898">
        <f>CUBEVALUE(ConnectionString,ReportMonth,Table1[[#This Row],[Site ID (from DATIM)]],"[Measures].[MMS_180+_M_A]")</f>
        <v/>
      </c>
      <c r="CG307" s="68" t="str" vm="5896">
        <f>CUBEVALUE(ConnectionString,ReportMonth,Table1[[#This Row],[Site ID (from DATIM)]],"[Measures].[MISSEDAPP]")</f>
        <v/>
      </c>
      <c r="CH307" s="68" t="str" vm="15276">
        <f>CUBEVALUE(ConnectionString,ReportMonth,Table1[[#This Row],[Site ID (from DATIM)]],"[Measures].[MMS_180+_P]")</f>
        <v/>
      </c>
      <c r="CI307" s="68" t="str" vm="11398">
        <f>CUBEVALUE(ConnectionString,ReportMonth,Table1[[#This Row],[Site ID (from DATIM)]],"[Measures].[MMS_180+_A]")</f>
        <v/>
      </c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  <c r="CW307" s="68"/>
      <c r="CX307" s="68"/>
      <c r="CY307" s="68"/>
      <c r="CZ307" s="68"/>
      <c r="DA307" s="68"/>
      <c r="DB307" s="68"/>
      <c r="DC307" s="68"/>
    </row>
    <row r="308" spans="1:107" x14ac:dyDescent="0.25">
      <c r="A308" s="66">
        <v>4</v>
      </c>
      <c r="B308" s="67" t="str" vm="4">
        <f t="shared" si="5"/>
        <v>Mar-2021</v>
      </c>
      <c r="C308" s="67"/>
      <c r="D308" s="67" t="s">
        <v>232</v>
      </c>
      <c r="E308" s="67" t="s">
        <v>233</v>
      </c>
      <c r="F308" s="67" t="s">
        <v>831</v>
      </c>
      <c r="G308" s="67"/>
      <c r="H308" s="67" t="s">
        <v>847</v>
      </c>
      <c r="I308" s="67" t="s">
        <v>848</v>
      </c>
      <c r="J308" s="67" t="s">
        <v>992</v>
      </c>
      <c r="K308" s="67" t="s">
        <v>993</v>
      </c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 t="str" vm="1942">
        <f>CUBEVALUE(ConnectionString,ReportMonth,Table1[[#This Row],[Site ID (from DATIM)]],"TX_NEW_2VIS")</f>
        <v/>
      </c>
      <c r="AE308" s="67" t="str" vm="556">
        <f>CUBEVALUE(ConnectionString,ReportMonth,Table1[[#This Row],[Site ID (from DATIM)]],INDEX(SDI_Measures,1))</f>
        <v/>
      </c>
      <c r="AF308" s="67" t="str" vm="1160">
        <f>CUBEVALUE(ConnectionString,ReportMonth,Table1[[#This Row],[Site ID (from DATIM)]],INDEX(SDI_Measures,2))</f>
        <v/>
      </c>
      <c r="AG308" s="67" t="str" vm="2450">
        <f>CUBEVALUE(ConnectionString,ReportMonth,Table1[[#This Row],[Site ID (from DATIM)]],INDEX(SDI_Measures,3))</f>
        <v/>
      </c>
      <c r="AH308" s="67" vm="2447">
        <f>CUBEVALUE(ConnectionString,ReportMonth,Table1[[#This Row],[Site ID (from DATIM)]],"TX_CURR_PRIOR_MONTH")</f>
        <v>15</v>
      </c>
      <c r="AI308" s="67" vm="1485">
        <f>CUBEVALUE(ConnectionString,ReportMonth,Table1[[#This Row],[Site ID (from DATIM)]],"TX_CURR")</f>
        <v>10</v>
      </c>
      <c r="AJ308" s="67" t="str" vm="3430">
        <f>CUBEVALUE(ConnectionString,ReportMonth,Table1[[#This Row],[Site ID (from DATIM)]],"[Measures].[TI]")</f>
        <v/>
      </c>
      <c r="AK308" s="67" t="str" vm="3117">
        <f>CUBEVALUE(ConnectionString,ReportMonth,Table1[[#This Row],[Site ID (from DATIM)]],"[Measures].[TO]")</f>
        <v/>
      </c>
      <c r="AL308" s="67" t="str" vm="3762">
        <f>CUBEVALUE(ConnectionString,ReportMonth,Table1[[#This Row],[Site ID (from DATIM)]],"[Measures].[DIED]")</f>
        <v/>
      </c>
      <c r="AM308" s="67" vm="3615">
        <f>CUBEVALUE(ConnectionString,ReportMonth,Table1[[#This Row],[Site ID (from DATIM)]],"[Measures].[MMS_01_31]")</f>
        <v>5</v>
      </c>
      <c r="AN308" s="67" vm="6133">
        <f>CUBEVALUE(ConnectionString,ReportMonth,Table1[[#This Row],[Site ID (from DATIM)]],"[Measures].[MMS_32_62]")</f>
        <v>1</v>
      </c>
      <c r="AO308" s="67" vm="5642">
        <f>CUBEVALUE(ConnectionString,ReportMonth,Table1[[#This Row],[Site ID (from DATIM)]],"[Measures].[MMS_63+]")</f>
        <v>4</v>
      </c>
      <c r="AP308" s="67" t="str" vm="5680">
        <f>CUBEVALUE(ConnectionString,ReportMonth,Table1[[#This Row],[Site ID (from DATIM)]],"[Measures].[TBPREV_D]")</f>
        <v/>
      </c>
      <c r="AQ308" s="67" t="str" vm="5387">
        <f>CUBEVALUE(ConnectionString,ReportMonth,Table1[[#This Row],[Site ID (from DATIM)]],"[Measures].[TBPREV_N]")</f>
        <v/>
      </c>
      <c r="AR308" s="67" t="str" vm="6307">
        <f>CUBEVALUE(ConnectionString,ReportMonth,Table1[[#This Row],[Site ID (from DATIM)]],"[Measures].[TBPREV_NEW]")</f>
        <v/>
      </c>
      <c r="AS308" s="67" t="str" vm="8945">
        <f>CUBEVALUE(ConnectionString,ReportMonth,Table1[[#This Row],[Site ID (from DATIM)]],"[Measures].[HVL_ELIG_P]")</f>
        <v/>
      </c>
      <c r="AT308" s="67" t="str" vm="11086">
        <f>CUBEVALUE(ConnectionString,ReportMonth,Table1[[#This Row],[Site ID (from DATIM)]],"[Measures].[HVL_D_P]")</f>
        <v/>
      </c>
      <c r="AU308" s="67" t="str" vm="7510">
        <f>CUBEVALUE(ConnectionString,ReportMonth,Table1[[#This Row],[Site ID (from DATIM)]],"[Measures].[HVL_N_P]")</f>
        <v/>
      </c>
      <c r="AV308" s="68" vm="13754">
        <f>CUBEVALUE(ConnectionString,ReportMonth,Table1[[#This Row],[Site ID (from DATIM)]],"[Measures].[HVL_ELIG_A]")</f>
        <v>10</v>
      </c>
      <c r="AW308" s="68" t="str" vm="9189">
        <f>CUBEVALUE(ConnectionString,ReportMonth,Table1[[#This Row],[Site ID (from DATIM)]],"[Measures].[HVL_D_A]")</f>
        <v/>
      </c>
      <c r="AX308" s="68" t="str" vm="11059">
        <f>CUBEVALUE(ConnectionString,ReportMonth,Table1[[#This Row],[Site ID (from DATIM)]],"[Measures].[HVL_N_A]")</f>
        <v/>
      </c>
      <c r="AY308" s="67"/>
      <c r="AZ308" s="67"/>
      <c r="BA308" s="67"/>
      <c r="BB308" s="67"/>
      <c r="BC308" s="67"/>
      <c r="BD308" s="67"/>
      <c r="BE308" s="67"/>
      <c r="BF308" s="67"/>
      <c r="BG308" s="67" t="str" vm="12945">
        <f>CUBEVALUE(ConnectionString,ReportMonth,Table1[[#This Row],[Site ID (from DATIM)]],"[Measures].[TX_NEW_F_A]")</f>
        <v/>
      </c>
      <c r="BH308" s="67" t="str" vm="10675">
        <f>CUBEVALUE(ConnectionString,ReportMonth,Table1[[#This Row],[Site ID (from DATIM)]],"[Measures].[TX_NEW_M_A]")</f>
        <v/>
      </c>
      <c r="BI308" s="67" t="str" vm="12764">
        <f>CUBEVALUE(ConnectionString,ReportMonth,Table1[[#This Row],[Site ID (from DATIM)]],"[Measures].[TX_NEW_F_P]")</f>
        <v/>
      </c>
      <c r="BJ308" s="68" t="str" vm="17408">
        <f>CUBEVALUE(ConnectionString,ReportMonth,Table1[[#This Row],[Site ID (from DATIM)]],"[Measures].[TX_NEW_M_P]")</f>
        <v/>
      </c>
      <c r="BK308" s="68"/>
      <c r="BL308" s="68"/>
      <c r="BM308" s="68"/>
      <c r="BN308" s="68"/>
      <c r="BO308" s="68"/>
      <c r="BP308" s="68"/>
      <c r="BQ308" s="68" t="str" vm="10194">
        <f>CUBEVALUE(ConnectionString,ReportMonth,Table1[[#This Row],[Site ID (from DATIM)]],"[Measures].[TX_CURR_F_P]")</f>
        <v/>
      </c>
      <c r="BR308" s="68" t="str" vm="10494">
        <f>CUBEVALUE(ConnectionString,ReportMonth,Table1[[#This Row],[Site ID (from DATIM)]],"[Measures].[TX_CURR_M_P]")</f>
        <v/>
      </c>
      <c r="BS308" s="68" vm="9945">
        <f>CUBEVALUE(ConnectionString,ReportMonth,Table1[[#This Row],[Site ID (from DATIM)]],"[Measures].[TX_CURR_F_A]")</f>
        <v>8</v>
      </c>
      <c r="BT308" s="68" vm="9505">
        <f>CUBEVALUE(ConnectionString,ReportMonth,Table1[[#This Row],[Site ID (from DATIM)]],"[Measures].[TX_CURR_M_A]")</f>
        <v>2</v>
      </c>
      <c r="BU308" s="68" t="str" vm="19499">
        <f>CUBEVALUE(ConnectionString,ReportMonth,Table1[[#This Row],[Site ID (from DATIM)]],"[Measures].[MMS_01_89_F_P]")</f>
        <v/>
      </c>
      <c r="BV308" s="68" t="str" vm="18031">
        <f>CUBEVALUE(ConnectionString,ReportMonth,Table1[[#This Row],[Site ID (from DATIM)]],"[Measures].[MMS_01_89_M_P]")</f>
        <v/>
      </c>
      <c r="BW308" s="68" vm="18930">
        <f>CUBEVALUE(ConnectionString,ReportMonth,Table1[[#This Row],[Site ID (from DATIM)]],"[Measures].[MMS_01_89_F_A]")</f>
        <v>4</v>
      </c>
      <c r="BX308" s="68" vm="19622">
        <f>CUBEVALUE(ConnectionString,ReportMonth,Table1[[#This Row],[Site ID (from DATIM)]],"[Measures].[MMS_01_89_M_A]")</f>
        <v>2</v>
      </c>
      <c r="BY308" s="68" t="str" vm="18524">
        <f>CUBEVALUE(ConnectionString,ReportMonth,Table1[[#This Row],[Site ID (from DATIM)]],"[Measures].[MMS_90_179_F_P]")</f>
        <v/>
      </c>
      <c r="BZ308" s="68" t="str" vm="15580">
        <f>CUBEVALUE(ConnectionString,ReportMonth,Table1[[#This Row],[Site ID (from DATIM)]],"[Measures].[MMS_90_179_M_P]")</f>
        <v/>
      </c>
      <c r="CA308" s="68" vm="16462">
        <f>CUBEVALUE(ConnectionString,ReportMonth,Table1[[#This Row],[Site ID (from DATIM)]],"[Measures].[MMS_90_179_F_A]")</f>
        <v>4</v>
      </c>
      <c r="CB308" s="68" t="str" vm="15517">
        <f>CUBEVALUE(ConnectionString,ReportMonth,Table1[[#This Row],[Site ID (from DATIM)]],"[Measures].[MMS_90_179_M_A]")</f>
        <v/>
      </c>
      <c r="CC308" s="68" t="str" vm="14574">
        <f>CUBEVALUE(ConnectionString,ReportMonth,Table1[[#This Row],[Site ID (from DATIM)]],"[Measures].[MMS_180+_F_P]")</f>
        <v/>
      </c>
      <c r="CD308" s="68" t="str" vm="231">
        <f>CUBEVALUE(ConnectionString,ReportMonth,Table1[[#This Row],[Site ID (from DATIM)]],"[Measures].[MMS_180+_M_P]")</f>
        <v/>
      </c>
      <c r="CE308" s="68" t="str" vm="15384">
        <f>CUBEVALUE(ConnectionString,ReportMonth,Table1[[#This Row],[Site ID (from DATIM)]],"[Measures].[MMS_180+_F_A]")</f>
        <v/>
      </c>
      <c r="CF308" s="68" t="str" vm="14443">
        <f>CUBEVALUE(ConnectionString,ReportMonth,Table1[[#This Row],[Site ID (from DATIM)]],"[Measures].[MMS_180+_M_A]")</f>
        <v/>
      </c>
      <c r="CG308" s="68" vm="7450">
        <f>CUBEVALUE(ConnectionString,ReportMonth,Table1[[#This Row],[Site ID (from DATIM)]],"[Measures].[MISSEDAPP]")</f>
        <v>7</v>
      </c>
      <c r="CH308" s="68" t="str" vm="11519">
        <f>CUBEVALUE(ConnectionString,ReportMonth,Table1[[#This Row],[Site ID (from DATIM)]],"[Measures].[MMS_180+_P]")</f>
        <v/>
      </c>
      <c r="CI308" s="68" t="str" vm="14203">
        <f>CUBEVALUE(ConnectionString,ReportMonth,Table1[[#This Row],[Site ID (from DATIM)]],"[Measures].[MMS_180+_A]")</f>
        <v/>
      </c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  <c r="CW308" s="68"/>
      <c r="CX308" s="68"/>
      <c r="CY308" s="68"/>
      <c r="CZ308" s="68"/>
      <c r="DA308" s="68"/>
      <c r="DB308" s="68"/>
      <c r="DC308" s="68"/>
    </row>
    <row r="309" spans="1:107" x14ac:dyDescent="0.25">
      <c r="A309" s="66">
        <v>4</v>
      </c>
      <c r="B309" s="67" t="str" vm="4">
        <f t="shared" si="5"/>
        <v>Mar-2021</v>
      </c>
      <c r="C309" s="67"/>
      <c r="D309" s="67" t="s">
        <v>232</v>
      </c>
      <c r="E309" s="67" t="s">
        <v>233</v>
      </c>
      <c r="F309" s="67" t="s">
        <v>437</v>
      </c>
      <c r="G309" s="67"/>
      <c r="H309" s="67" t="s">
        <v>454</v>
      </c>
      <c r="I309" s="67" t="s">
        <v>501</v>
      </c>
      <c r="J309" s="67" t="s">
        <v>727</v>
      </c>
      <c r="K309" s="67" t="s">
        <v>728</v>
      </c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 t="str" vm="1436">
        <f>CUBEVALUE(ConnectionString,ReportMonth,Table1[[#This Row],[Site ID (from DATIM)]],"TX_NEW_2VIS")</f>
        <v/>
      </c>
      <c r="AE309" s="67" t="str" vm="4228">
        <f>CUBEVALUE(ConnectionString,ReportMonth,Table1[[#This Row],[Site ID (from DATIM)]],INDEX(SDI_Measures,1))</f>
        <v/>
      </c>
      <c r="AF309" s="67" t="str" vm="2159">
        <f>CUBEVALUE(ConnectionString,ReportMonth,Table1[[#This Row],[Site ID (from DATIM)]],INDEX(SDI_Measures,2))</f>
        <v/>
      </c>
      <c r="AG309" s="67" t="str" vm="4329">
        <f>CUBEVALUE(ConnectionString,ReportMonth,Table1[[#This Row],[Site ID (from DATIM)]],INDEX(SDI_Measures,3))</f>
        <v/>
      </c>
      <c r="AH309" s="67" vm="3112">
        <f>CUBEVALUE(ConnectionString,ReportMonth,Table1[[#This Row],[Site ID (from DATIM)]],"TX_CURR_PRIOR_MONTH")</f>
        <v>18</v>
      </c>
      <c r="AI309" s="67" vm="3375">
        <f>CUBEVALUE(ConnectionString,ReportMonth,Table1[[#This Row],[Site ID (from DATIM)]],"TX_CURR")</f>
        <v>17</v>
      </c>
      <c r="AJ309" s="67" t="str" vm="3743">
        <f>CUBEVALUE(ConnectionString,ReportMonth,Table1[[#This Row],[Site ID (from DATIM)]],"[Measures].[TI]")</f>
        <v/>
      </c>
      <c r="AK309" s="67" t="str" vm="2109">
        <f>CUBEVALUE(ConnectionString,ReportMonth,Table1[[#This Row],[Site ID (from DATIM)]],"[Measures].[TO]")</f>
        <v/>
      </c>
      <c r="AL309" s="67" t="str" vm="2351">
        <f>CUBEVALUE(ConnectionString,ReportMonth,Table1[[#This Row],[Site ID (from DATIM)]],"[Measures].[DIED]")</f>
        <v/>
      </c>
      <c r="AM309" s="67" vm="5919">
        <f>CUBEVALUE(ConnectionString,ReportMonth,Table1[[#This Row],[Site ID (from DATIM)]],"[Measures].[MMS_01_31]")</f>
        <v>10</v>
      </c>
      <c r="AN309" s="67" vm="4079">
        <f>CUBEVALUE(ConnectionString,ReportMonth,Table1[[#This Row],[Site ID (from DATIM)]],"[Measures].[MMS_32_62]")</f>
        <v>1</v>
      </c>
      <c r="AO309" s="67" vm="6835">
        <f>CUBEVALUE(ConnectionString,ReportMonth,Table1[[#This Row],[Site ID (from DATIM)]],"[Measures].[MMS_63+]")</f>
        <v>6</v>
      </c>
      <c r="AP309" s="67" t="str" vm="5235">
        <f>CUBEVALUE(ConnectionString,ReportMonth,Table1[[#This Row],[Site ID (from DATIM)]],"[Measures].[TBPREV_D]")</f>
        <v/>
      </c>
      <c r="AQ309" s="67" t="str" vm="8236">
        <f>CUBEVALUE(ConnectionString,ReportMonth,Table1[[#This Row],[Site ID (from DATIM)]],"[Measures].[TBPREV_N]")</f>
        <v/>
      </c>
      <c r="AR309" s="67" t="str" vm="5342">
        <f>CUBEVALUE(ConnectionString,ReportMonth,Table1[[#This Row],[Site ID (from DATIM)]],"[Measures].[TBPREV_NEW]")</f>
        <v/>
      </c>
      <c r="AS309" s="67" t="str" vm="8661">
        <f>CUBEVALUE(ConnectionString,ReportMonth,Table1[[#This Row],[Site ID (from DATIM)]],"[Measures].[HVL_ELIG_P]")</f>
        <v/>
      </c>
      <c r="AT309" s="67" t="str" vm="4994">
        <f>CUBEVALUE(ConnectionString,ReportMonth,Table1[[#This Row],[Site ID (from DATIM)]],"[Measures].[HVL_D_P]")</f>
        <v/>
      </c>
      <c r="AU309" s="67" t="str" vm="10928">
        <f>CUBEVALUE(ConnectionString,ReportMonth,Table1[[#This Row],[Site ID (from DATIM)]],"[Measures].[HVL_N_P]")</f>
        <v/>
      </c>
      <c r="AV309" s="68" vm="8145">
        <f>CUBEVALUE(ConnectionString,ReportMonth,Table1[[#This Row],[Site ID (from DATIM)]],"[Measures].[HVL_ELIG_A]")</f>
        <v>13</v>
      </c>
      <c r="AW309" s="68" t="str" vm="7914">
        <f>CUBEVALUE(ConnectionString,ReportMonth,Table1[[#This Row],[Site ID (from DATIM)]],"[Measures].[HVL_D_A]")</f>
        <v/>
      </c>
      <c r="AX309" s="68" t="str" vm="7708">
        <f>CUBEVALUE(ConnectionString,ReportMonth,Table1[[#This Row],[Site ID (from DATIM)]],"[Measures].[HVL_N_A]")</f>
        <v/>
      </c>
      <c r="AY309" s="67"/>
      <c r="AZ309" s="67"/>
      <c r="BA309" s="67"/>
      <c r="BB309" s="67"/>
      <c r="BC309" s="67"/>
      <c r="BD309" s="67"/>
      <c r="BE309" s="67"/>
      <c r="BF309" s="67"/>
      <c r="BG309" s="67" t="str" vm="13053">
        <f>CUBEVALUE(ConnectionString,ReportMonth,Table1[[#This Row],[Site ID (from DATIM)]],"[Measures].[TX_NEW_F_A]")</f>
        <v/>
      </c>
      <c r="BH309" s="67" t="str" vm="11183">
        <f>CUBEVALUE(ConnectionString,ReportMonth,Table1[[#This Row],[Site ID (from DATIM)]],"[Measures].[TX_NEW_M_A]")</f>
        <v/>
      </c>
      <c r="BI309" s="67" t="str" vm="12711">
        <f>CUBEVALUE(ConnectionString,ReportMonth,Table1[[#This Row],[Site ID (from DATIM)]],"[Measures].[TX_NEW_F_P]")</f>
        <v/>
      </c>
      <c r="BJ309" s="68" t="str" vm="12068">
        <f>CUBEVALUE(ConnectionString,ReportMonth,Table1[[#This Row],[Site ID (from DATIM)]],"[Measures].[TX_NEW_M_P]")</f>
        <v/>
      </c>
      <c r="BK309" s="68"/>
      <c r="BL309" s="68"/>
      <c r="BM309" s="68"/>
      <c r="BN309" s="68"/>
      <c r="BO309" s="68"/>
      <c r="BP309" s="68"/>
      <c r="BQ309" s="68" t="str" vm="17045">
        <f>CUBEVALUE(ConnectionString,ReportMonth,Table1[[#This Row],[Site ID (from DATIM)]],"[Measures].[TX_CURR_F_P]")</f>
        <v/>
      </c>
      <c r="BR309" s="68" t="str" vm="8562">
        <f>CUBEVALUE(ConnectionString,ReportMonth,Table1[[#This Row],[Site ID (from DATIM)]],"[Measures].[TX_CURR_M_P]")</f>
        <v/>
      </c>
      <c r="BS309" s="68" vm="9147">
        <f>CUBEVALUE(ConnectionString,ReportMonth,Table1[[#This Row],[Site ID (from DATIM)]],"[Measures].[TX_CURR_F_A]")</f>
        <v>16</v>
      </c>
      <c r="BT309" s="68" vm="8166">
        <f>CUBEVALUE(ConnectionString,ReportMonth,Table1[[#This Row],[Site ID (from DATIM)]],"[Measures].[TX_CURR_M_A]")</f>
        <v>1</v>
      </c>
      <c r="BU309" s="68" t="str" vm="19779">
        <f>CUBEVALUE(ConnectionString,ReportMonth,Table1[[#This Row],[Site ID (from DATIM)]],"[Measures].[MMS_01_89_F_P]")</f>
        <v/>
      </c>
      <c r="BV309" s="68" t="str" vm="19203">
        <f>CUBEVALUE(ConnectionString,ReportMonth,Table1[[#This Row],[Site ID (from DATIM)]],"[Measures].[MMS_01_89_M_P]")</f>
        <v/>
      </c>
      <c r="BW309" s="68" vm="18040">
        <f>CUBEVALUE(ConnectionString,ReportMonth,Table1[[#This Row],[Site ID (from DATIM)]],"[Measures].[MMS_01_89_F_A]")</f>
        <v>12</v>
      </c>
      <c r="BX309" s="68" vm="14765">
        <f>CUBEVALUE(ConnectionString,ReportMonth,Table1[[#This Row],[Site ID (from DATIM)]],"[Measures].[MMS_01_89_M_A]")</f>
        <v>1</v>
      </c>
      <c r="BY309" s="68" t="str" vm="15886">
        <f>CUBEVALUE(ConnectionString,ReportMonth,Table1[[#This Row],[Site ID (from DATIM)]],"[Measures].[MMS_90_179_F_P]")</f>
        <v/>
      </c>
      <c r="BZ309" s="68" t="str" vm="15904">
        <f>CUBEVALUE(ConnectionString,ReportMonth,Table1[[#This Row],[Site ID (from DATIM)]],"[Measures].[MMS_90_179_M_P]")</f>
        <v/>
      </c>
      <c r="CA309" s="68" vm="15948">
        <f>CUBEVALUE(ConnectionString,ReportMonth,Table1[[#This Row],[Site ID (from DATIM)]],"[Measures].[MMS_90_179_F_A]")</f>
        <v>4</v>
      </c>
      <c r="CB309" s="68" t="str" vm="14720">
        <f>CUBEVALUE(ConnectionString,ReportMonth,Table1[[#This Row],[Site ID (from DATIM)]],"[Measures].[MMS_90_179_M_A]")</f>
        <v/>
      </c>
      <c r="CC309" s="68" t="str" vm="15845">
        <f>CUBEVALUE(ConnectionString,ReportMonth,Table1[[#This Row],[Site ID (from DATIM)]],"[Measures].[MMS_180+_F_P]")</f>
        <v/>
      </c>
      <c r="CD309" s="68" t="str" vm="14542">
        <f>CUBEVALUE(ConnectionString,ReportMonth,Table1[[#This Row],[Site ID (from DATIM)]],"[Measures].[MMS_180+_M_P]")</f>
        <v/>
      </c>
      <c r="CE309" s="68" t="str" vm="345">
        <f>CUBEVALUE(ConnectionString,ReportMonth,Table1[[#This Row],[Site ID (from DATIM)]],"[Measures].[MMS_180+_F_A]")</f>
        <v/>
      </c>
      <c r="CF309" s="68" t="str" vm="183">
        <f>CUBEVALUE(ConnectionString,ReportMonth,Table1[[#This Row],[Site ID (from DATIM)]],"[Measures].[MMS_180+_M_A]")</f>
        <v/>
      </c>
      <c r="CG309" s="68" vm="5126">
        <f>CUBEVALUE(ConnectionString,ReportMonth,Table1[[#This Row],[Site ID (from DATIM)]],"[Measures].[MISSEDAPP]")</f>
        <v>11</v>
      </c>
      <c r="CH309" s="68" t="str" vm="11656">
        <f>CUBEVALUE(ConnectionString,ReportMonth,Table1[[#This Row],[Site ID (from DATIM)]],"[Measures].[MMS_180+_P]")</f>
        <v/>
      </c>
      <c r="CI309" s="68" t="str" vm="12641">
        <f>CUBEVALUE(ConnectionString,ReportMonth,Table1[[#This Row],[Site ID (from DATIM)]],"[Measures].[MMS_180+_A]")</f>
        <v/>
      </c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  <c r="CW309" s="68"/>
      <c r="CX309" s="68"/>
      <c r="CY309" s="68"/>
      <c r="CZ309" s="68"/>
      <c r="DA309" s="68"/>
      <c r="DB309" s="68"/>
      <c r="DC309" s="68"/>
    </row>
    <row r="310" spans="1:107" x14ac:dyDescent="0.25">
      <c r="A310" s="66">
        <v>4</v>
      </c>
      <c r="B310" s="67" t="str" vm="4">
        <f t="shared" si="5"/>
        <v>Mar-2021</v>
      </c>
      <c r="C310" s="67"/>
      <c r="D310" s="67" t="s">
        <v>232</v>
      </c>
      <c r="E310" s="67" t="s">
        <v>233</v>
      </c>
      <c r="F310" s="67" t="s">
        <v>1286</v>
      </c>
      <c r="G310" s="67"/>
      <c r="H310" s="67" t="s">
        <v>1287</v>
      </c>
      <c r="I310" s="67" t="s">
        <v>1460</v>
      </c>
      <c r="J310" s="67" t="s">
        <v>1461</v>
      </c>
      <c r="K310" s="67" t="s">
        <v>1462</v>
      </c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 t="str" vm="1001">
        <f>CUBEVALUE(ConnectionString,ReportMonth,Table1[[#This Row],[Site ID (from DATIM)]],"TX_NEW_2VIS")</f>
        <v/>
      </c>
      <c r="AE310" s="67" t="str" vm="3853">
        <f>CUBEVALUE(ConnectionString,ReportMonth,Table1[[#This Row],[Site ID (from DATIM)]],INDEX(SDI_Measures,1))</f>
        <v/>
      </c>
      <c r="AF310" s="67" t="str" vm="1305">
        <f>CUBEVALUE(ConnectionString,ReportMonth,Table1[[#This Row],[Site ID (from DATIM)]],INDEX(SDI_Measures,2))</f>
        <v/>
      </c>
      <c r="AG310" s="67" t="str" vm="1013">
        <f>CUBEVALUE(ConnectionString,ReportMonth,Table1[[#This Row],[Site ID (from DATIM)]],INDEX(SDI_Measures,3))</f>
        <v/>
      </c>
      <c r="AH310" s="67" t="str" vm="1316">
        <f>CUBEVALUE(ConnectionString,ReportMonth,Table1[[#This Row],[Site ID (from DATIM)]],"TX_CURR_PRIOR_MONTH")</f>
        <v/>
      </c>
      <c r="AI310" s="67" t="str" vm="1477">
        <f>CUBEVALUE(ConnectionString,ReportMonth,Table1[[#This Row],[Site ID (from DATIM)]],"TX_CURR")</f>
        <v/>
      </c>
      <c r="AJ310" s="67" t="str" vm="4290">
        <f>CUBEVALUE(ConnectionString,ReportMonth,Table1[[#This Row],[Site ID (from DATIM)]],"[Measures].[TI]")</f>
        <v/>
      </c>
      <c r="AK310" s="67" t="str" vm="1875">
        <f>CUBEVALUE(ConnectionString,ReportMonth,Table1[[#This Row],[Site ID (from DATIM)]],"[Measures].[TO]")</f>
        <v/>
      </c>
      <c r="AL310" s="67" t="str" vm="3098">
        <f>CUBEVALUE(ConnectionString,ReportMonth,Table1[[#This Row],[Site ID (from DATIM)]],"[Measures].[DIED]")</f>
        <v/>
      </c>
      <c r="AM310" s="67" t="str" vm="7305">
        <f>CUBEVALUE(ConnectionString,ReportMonth,Table1[[#This Row],[Site ID (from DATIM)]],"[Measures].[MMS_01_31]")</f>
        <v/>
      </c>
      <c r="AN310" s="67" t="str" vm="5938">
        <f>CUBEVALUE(ConnectionString,ReportMonth,Table1[[#This Row],[Site ID (from DATIM)]],"[Measures].[MMS_32_62]")</f>
        <v/>
      </c>
      <c r="AO310" s="67" t="str" vm="7605">
        <f>CUBEVALUE(ConnectionString,ReportMonth,Table1[[#This Row],[Site ID (from DATIM)]],"[Measures].[MMS_63+]")</f>
        <v/>
      </c>
      <c r="AP310" s="67" t="str" vm="5924">
        <f>CUBEVALUE(ConnectionString,ReportMonth,Table1[[#This Row],[Site ID (from DATIM)]],"[Measures].[TBPREV_D]")</f>
        <v/>
      </c>
      <c r="AQ310" s="67" t="str" vm="7664">
        <f>CUBEVALUE(ConnectionString,ReportMonth,Table1[[#This Row],[Site ID (from DATIM)]],"[Measures].[TBPREV_N]")</f>
        <v/>
      </c>
      <c r="AR310" s="67" t="str" vm="5309">
        <f>CUBEVALUE(ConnectionString,ReportMonth,Table1[[#This Row],[Site ID (from DATIM)]],"[Measures].[TBPREV_NEW]")</f>
        <v/>
      </c>
      <c r="AS310" s="67" t="str" vm="6882">
        <f>CUBEVALUE(ConnectionString,ReportMonth,Table1[[#This Row],[Site ID (from DATIM)]],"[Measures].[HVL_ELIG_P]")</f>
        <v/>
      </c>
      <c r="AT310" s="67" t="str" vm="4198">
        <f>CUBEVALUE(ConnectionString,ReportMonth,Table1[[#This Row],[Site ID (from DATIM)]],"[Measures].[HVL_D_P]")</f>
        <v/>
      </c>
      <c r="AU310" s="67" t="str" vm="9121">
        <f>CUBEVALUE(ConnectionString,ReportMonth,Table1[[#This Row],[Site ID (from DATIM)]],"[Measures].[HVL_N_P]")</f>
        <v/>
      </c>
      <c r="AV310" s="68" t="str" vm="8685">
        <f>CUBEVALUE(ConnectionString,ReportMonth,Table1[[#This Row],[Site ID (from DATIM)]],"[Measures].[HVL_ELIG_A]")</f>
        <v/>
      </c>
      <c r="AW310" s="68" t="str" vm="11711">
        <f>CUBEVALUE(ConnectionString,ReportMonth,Table1[[#This Row],[Site ID (from DATIM)]],"[Measures].[HVL_D_A]")</f>
        <v/>
      </c>
      <c r="AX310" s="68" t="str" vm="12716">
        <f>CUBEVALUE(ConnectionString,ReportMonth,Table1[[#This Row],[Site ID (from DATIM)]],"[Measures].[HVL_N_A]")</f>
        <v/>
      </c>
      <c r="AY310" s="67"/>
      <c r="AZ310" s="67"/>
      <c r="BA310" s="67"/>
      <c r="BB310" s="67"/>
      <c r="BC310" s="67"/>
      <c r="BD310" s="67"/>
      <c r="BE310" s="67"/>
      <c r="BF310" s="67"/>
      <c r="BG310" s="67" t="str" vm="12751">
        <f>CUBEVALUE(ConnectionString,ReportMonth,Table1[[#This Row],[Site ID (from DATIM)]],"[Measures].[TX_NEW_F_A]")</f>
        <v/>
      </c>
      <c r="BH310" s="67" t="str" vm="14825">
        <f>CUBEVALUE(ConnectionString,ReportMonth,Table1[[#This Row],[Site ID (from DATIM)]],"[Measures].[TX_NEW_M_A]")</f>
        <v/>
      </c>
      <c r="BI310" s="67" t="str" vm="13071">
        <f>CUBEVALUE(ConnectionString,ReportMonth,Table1[[#This Row],[Site ID (from DATIM)]],"[Measures].[TX_NEW_F_P]")</f>
        <v/>
      </c>
      <c r="BJ310" s="68" t="str" vm="14857">
        <f>CUBEVALUE(ConnectionString,ReportMonth,Table1[[#This Row],[Site ID (from DATIM)]],"[Measures].[TX_NEW_M_P]")</f>
        <v/>
      </c>
      <c r="BK310" s="68"/>
      <c r="BL310" s="68"/>
      <c r="BM310" s="68"/>
      <c r="BN310" s="68"/>
      <c r="BO310" s="68"/>
      <c r="BP310" s="68"/>
      <c r="BQ310" s="68" t="str" vm="14041">
        <f>CUBEVALUE(ConnectionString,ReportMonth,Table1[[#This Row],[Site ID (from DATIM)]],"[Measures].[TX_CURR_F_P]")</f>
        <v/>
      </c>
      <c r="BR310" s="68" t="str" vm="8079">
        <f>CUBEVALUE(ConnectionString,ReportMonth,Table1[[#This Row],[Site ID (from DATIM)]],"[Measures].[TX_CURR_M_P]")</f>
        <v/>
      </c>
      <c r="BS310" s="68" t="str" vm="9881">
        <f>CUBEVALUE(ConnectionString,ReportMonth,Table1[[#This Row],[Site ID (from DATIM)]],"[Measures].[TX_CURR_F_A]")</f>
        <v/>
      </c>
      <c r="BT310" s="68" t="str" vm="13494">
        <f>CUBEVALUE(ConnectionString,ReportMonth,Table1[[#This Row],[Site ID (from DATIM)]],"[Measures].[TX_CURR_M_A]")</f>
        <v/>
      </c>
      <c r="BU310" s="68" t="str" vm="18140">
        <f>CUBEVALUE(ConnectionString,ReportMonth,Table1[[#This Row],[Site ID (from DATIM)]],"[Measures].[MMS_01_89_F_P]")</f>
        <v/>
      </c>
      <c r="BV310" s="68" t="str" vm="19193">
        <f>CUBEVALUE(ConnectionString,ReportMonth,Table1[[#This Row],[Site ID (from DATIM)]],"[Measures].[MMS_01_89_M_P]")</f>
        <v/>
      </c>
      <c r="BW310" s="68" t="str" vm="20002">
        <f>CUBEVALUE(ConnectionString,ReportMonth,Table1[[#This Row],[Site ID (from DATIM)]],"[Measures].[MMS_01_89_F_A]")</f>
        <v/>
      </c>
      <c r="BX310" s="68" t="str" vm="18023">
        <f>CUBEVALUE(ConnectionString,ReportMonth,Table1[[#This Row],[Site ID (from DATIM)]],"[Measures].[MMS_01_89_M_A]")</f>
        <v/>
      </c>
      <c r="BY310" s="68" t="str" vm="18540">
        <f>CUBEVALUE(ConnectionString,ReportMonth,Table1[[#This Row],[Site ID (from DATIM)]],"[Measures].[MMS_90_179_F_P]")</f>
        <v/>
      </c>
      <c r="BZ310" s="68" t="str" vm="16101">
        <f>CUBEVALUE(ConnectionString,ReportMonth,Table1[[#This Row],[Site ID (from DATIM)]],"[Measures].[MMS_90_179_M_P]")</f>
        <v/>
      </c>
      <c r="CA310" s="68" t="str" vm="16781">
        <f>CUBEVALUE(ConnectionString,ReportMonth,Table1[[#This Row],[Site ID (from DATIM)]],"[Measures].[MMS_90_179_F_A]")</f>
        <v/>
      </c>
      <c r="CB310" s="68" t="str" vm="16872">
        <f>CUBEVALUE(ConnectionString,ReportMonth,Table1[[#This Row],[Site ID (from DATIM)]],"[Measures].[MMS_90_179_M_A]")</f>
        <v/>
      </c>
      <c r="CC310" s="68" t="str" vm="17260">
        <f>CUBEVALUE(ConnectionString,ReportMonth,Table1[[#This Row],[Site ID (from DATIM)]],"[Measures].[MMS_180+_F_P]")</f>
        <v/>
      </c>
      <c r="CD310" s="68" t="str" vm="37">
        <f>CUBEVALUE(ConnectionString,ReportMonth,Table1[[#This Row],[Site ID (from DATIM)]],"[Measures].[MMS_180+_M_P]")</f>
        <v/>
      </c>
      <c r="CE310" s="68" t="str" vm="442">
        <f>CUBEVALUE(ConnectionString,ReportMonth,Table1[[#This Row],[Site ID (from DATIM)]],"[Measures].[MMS_180+_F_A]")</f>
        <v/>
      </c>
      <c r="CF310" s="68" t="str" vm="479">
        <f>CUBEVALUE(ConnectionString,ReportMonth,Table1[[#This Row],[Site ID (from DATIM)]],"[Measures].[MMS_180+_M_A]")</f>
        <v/>
      </c>
      <c r="CG310" s="68" t="str" vm="5803">
        <f>CUBEVALUE(ConnectionString,ReportMonth,Table1[[#This Row],[Site ID (from DATIM)]],"[Measures].[MISSEDAPP]")</f>
        <v/>
      </c>
      <c r="CH310" s="68" t="str" vm="12157">
        <f>CUBEVALUE(ConnectionString,ReportMonth,Table1[[#This Row],[Site ID (from DATIM)]],"[Measures].[MMS_180+_P]")</f>
        <v/>
      </c>
      <c r="CI310" s="68" t="str" vm="12523">
        <f>CUBEVALUE(ConnectionString,ReportMonth,Table1[[#This Row],[Site ID (from DATIM)]],"[Measures].[MMS_180+_A]")</f>
        <v/>
      </c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  <c r="CW310" s="68"/>
      <c r="CX310" s="68"/>
      <c r="CY310" s="68"/>
      <c r="CZ310" s="68"/>
      <c r="DA310" s="68"/>
      <c r="DB310" s="68"/>
      <c r="DC310" s="68"/>
    </row>
    <row r="311" spans="1:107" x14ac:dyDescent="0.25">
      <c r="A311" s="66">
        <v>4</v>
      </c>
      <c r="B311" s="67" t="str" vm="4">
        <f t="shared" si="5"/>
        <v>Mar-2021</v>
      </c>
      <c r="C311" s="67"/>
      <c r="D311" s="67" t="s">
        <v>232</v>
      </c>
      <c r="E311" s="67" t="s">
        <v>233</v>
      </c>
      <c r="F311" s="67" t="s">
        <v>437</v>
      </c>
      <c r="G311" s="67"/>
      <c r="H311" s="67" t="s">
        <v>513</v>
      </c>
      <c r="I311" s="67" t="s">
        <v>729</v>
      </c>
      <c r="J311" s="67" t="s">
        <v>730</v>
      </c>
      <c r="K311" s="67" t="s">
        <v>731</v>
      </c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 t="str" vm="1592">
        <f>CUBEVALUE(ConnectionString,ReportMonth,Table1[[#This Row],[Site ID (from DATIM)]],"TX_NEW_2VIS")</f>
        <v/>
      </c>
      <c r="AE311" s="67" t="str" vm="1145">
        <f>CUBEVALUE(ConnectionString,ReportMonth,Table1[[#This Row],[Site ID (from DATIM)]],INDEX(SDI_Measures,1))</f>
        <v/>
      </c>
      <c r="AF311" s="67" t="str" vm="5329">
        <f>CUBEVALUE(ConnectionString,ReportMonth,Table1[[#This Row],[Site ID (from DATIM)]],INDEX(SDI_Measures,2))</f>
        <v/>
      </c>
      <c r="AG311" s="67" t="str" vm="2829">
        <f>CUBEVALUE(ConnectionString,ReportMonth,Table1[[#This Row],[Site ID (from DATIM)]],INDEX(SDI_Measures,3))</f>
        <v/>
      </c>
      <c r="AH311" s="67" t="str" vm="771">
        <f>CUBEVALUE(ConnectionString,ReportMonth,Table1[[#This Row],[Site ID (from DATIM)]],"TX_CURR_PRIOR_MONTH")</f>
        <v/>
      </c>
      <c r="AI311" s="67" t="str" vm="2071">
        <f>CUBEVALUE(ConnectionString,ReportMonth,Table1[[#This Row],[Site ID (from DATIM)]],"TX_CURR")</f>
        <v/>
      </c>
      <c r="AJ311" s="67" t="str" vm="3132">
        <f>CUBEVALUE(ConnectionString,ReportMonth,Table1[[#This Row],[Site ID (from DATIM)]],"[Measures].[TI]")</f>
        <v/>
      </c>
      <c r="AK311" s="67" t="str" vm="1167">
        <f>CUBEVALUE(ConnectionString,ReportMonth,Table1[[#This Row],[Site ID (from DATIM)]],"[Measures].[TO]")</f>
        <v/>
      </c>
      <c r="AL311" s="67" t="str" vm="1671">
        <f>CUBEVALUE(ConnectionString,ReportMonth,Table1[[#This Row],[Site ID (from DATIM)]],"[Measures].[DIED]")</f>
        <v/>
      </c>
      <c r="AM311" s="67" t="str" vm="3683">
        <f>CUBEVALUE(ConnectionString,ReportMonth,Table1[[#This Row],[Site ID (from DATIM)]],"[Measures].[MMS_01_31]")</f>
        <v/>
      </c>
      <c r="AN311" s="67" t="str" vm="5025">
        <f>CUBEVALUE(ConnectionString,ReportMonth,Table1[[#This Row],[Site ID (from DATIM)]],"[Measures].[MMS_32_62]")</f>
        <v/>
      </c>
      <c r="AO311" s="67" t="str" vm="9109">
        <f>CUBEVALUE(ConnectionString,ReportMonth,Table1[[#This Row],[Site ID (from DATIM)]],"[Measures].[MMS_63+]")</f>
        <v/>
      </c>
      <c r="AP311" s="67" t="str" vm="5849">
        <f>CUBEVALUE(ConnectionString,ReportMonth,Table1[[#This Row],[Site ID (from DATIM)]],"[Measures].[TBPREV_D]")</f>
        <v/>
      </c>
      <c r="AQ311" s="67" t="str" vm="5286">
        <f>CUBEVALUE(ConnectionString,ReportMonth,Table1[[#This Row],[Site ID (from DATIM)]],"[Measures].[TBPREV_N]")</f>
        <v/>
      </c>
      <c r="AR311" s="67" t="str" vm="5048">
        <f>CUBEVALUE(ConnectionString,ReportMonth,Table1[[#This Row],[Site ID (from DATIM)]],"[Measures].[TBPREV_NEW]")</f>
        <v/>
      </c>
      <c r="AS311" s="67" t="str" vm="9647">
        <f>CUBEVALUE(ConnectionString,ReportMonth,Table1[[#This Row],[Site ID (from DATIM)]],"[Measures].[HVL_ELIG_P]")</f>
        <v/>
      </c>
      <c r="AT311" s="67" t="str" vm="6930">
        <f>CUBEVALUE(ConnectionString,ReportMonth,Table1[[#This Row],[Site ID (from DATIM)]],"[Measures].[HVL_D_P]")</f>
        <v/>
      </c>
      <c r="AU311" s="67" t="str" vm="11319">
        <f>CUBEVALUE(ConnectionString,ReportMonth,Table1[[#This Row],[Site ID (from DATIM)]],"[Measures].[HVL_N_P]")</f>
        <v/>
      </c>
      <c r="AV311" s="68" t="str" vm="7235">
        <f>CUBEVALUE(ConnectionString,ReportMonth,Table1[[#This Row],[Site ID (from DATIM)]],"[Measures].[HVL_ELIG_A]")</f>
        <v/>
      </c>
      <c r="AW311" s="68" t="str" vm="14009">
        <f>CUBEVALUE(ConnectionString,ReportMonth,Table1[[#This Row],[Site ID (from DATIM)]],"[Measures].[HVL_D_A]")</f>
        <v/>
      </c>
      <c r="AX311" s="68" t="str" vm="17062">
        <f>CUBEVALUE(ConnectionString,ReportMonth,Table1[[#This Row],[Site ID (from DATIM)]],"[Measures].[HVL_N_A]")</f>
        <v/>
      </c>
      <c r="AY311" s="67"/>
      <c r="AZ311" s="67"/>
      <c r="BA311" s="67"/>
      <c r="BB311" s="67"/>
      <c r="BC311" s="67"/>
      <c r="BD311" s="67"/>
      <c r="BE311" s="67"/>
      <c r="BF311" s="67"/>
      <c r="BG311" s="67" t="str" vm="14403">
        <f>CUBEVALUE(ConnectionString,ReportMonth,Table1[[#This Row],[Site ID (from DATIM)]],"[Measures].[TX_NEW_F_A]")</f>
        <v/>
      </c>
      <c r="BH311" s="67" t="str" vm="10625">
        <f>CUBEVALUE(ConnectionString,ReportMonth,Table1[[#This Row],[Site ID (from DATIM)]],"[Measures].[TX_NEW_M_A]")</f>
        <v/>
      </c>
      <c r="BI311" s="67" t="str" vm="12663">
        <f>CUBEVALUE(ConnectionString,ReportMonth,Table1[[#This Row],[Site ID (from DATIM)]],"[Measures].[TX_NEW_F_P]")</f>
        <v/>
      </c>
      <c r="BJ311" s="68" t="str" vm="12347">
        <f>CUBEVALUE(ConnectionString,ReportMonth,Table1[[#This Row],[Site ID (from DATIM)]],"[Measures].[TX_NEW_M_P]")</f>
        <v/>
      </c>
      <c r="BK311" s="68"/>
      <c r="BL311" s="68"/>
      <c r="BM311" s="68"/>
      <c r="BN311" s="68"/>
      <c r="BO311" s="68"/>
      <c r="BP311" s="68"/>
      <c r="BQ311" s="68" t="str" vm="9029">
        <f>CUBEVALUE(ConnectionString,ReportMonth,Table1[[#This Row],[Site ID (from DATIM)]],"[Measures].[TX_CURR_F_P]")</f>
        <v/>
      </c>
      <c r="BR311" s="68" t="str" vm="10158">
        <f>CUBEVALUE(ConnectionString,ReportMonth,Table1[[#This Row],[Site ID (from DATIM)]],"[Measures].[TX_CURR_M_P]")</f>
        <v/>
      </c>
      <c r="BS311" s="68" t="str" vm="12137">
        <f>CUBEVALUE(ConnectionString,ReportMonth,Table1[[#This Row],[Site ID (from DATIM)]],"[Measures].[TX_CURR_F_A]")</f>
        <v/>
      </c>
      <c r="BT311" s="68" t="str" vm="10367">
        <f>CUBEVALUE(ConnectionString,ReportMonth,Table1[[#This Row],[Site ID (from DATIM)]],"[Measures].[TX_CURR_M_A]")</f>
        <v/>
      </c>
      <c r="BU311" s="68" t="str" vm="18439">
        <f>CUBEVALUE(ConnectionString,ReportMonth,Table1[[#This Row],[Site ID (from DATIM)]],"[Measures].[MMS_01_89_F_P]")</f>
        <v/>
      </c>
      <c r="BV311" s="68" t="str" vm="18753">
        <f>CUBEVALUE(ConnectionString,ReportMonth,Table1[[#This Row],[Site ID (from DATIM)]],"[Measures].[MMS_01_89_M_P]")</f>
        <v/>
      </c>
      <c r="BW311" s="68" t="str" vm="18846">
        <f>CUBEVALUE(ConnectionString,ReportMonth,Table1[[#This Row],[Site ID (from DATIM)]],"[Measures].[MMS_01_89_F_A]")</f>
        <v/>
      </c>
      <c r="BX311" s="68" t="str" vm="19443">
        <f>CUBEVALUE(ConnectionString,ReportMonth,Table1[[#This Row],[Site ID (from DATIM)]],"[Measures].[MMS_01_89_M_A]")</f>
        <v/>
      </c>
      <c r="BY311" s="68" t="str" vm="19352">
        <f>CUBEVALUE(ConnectionString,ReportMonth,Table1[[#This Row],[Site ID (from DATIM)]],"[Measures].[MMS_90_179_F_P]")</f>
        <v/>
      </c>
      <c r="BZ311" s="68" t="str" vm="16348">
        <f>CUBEVALUE(ConnectionString,ReportMonth,Table1[[#This Row],[Site ID (from DATIM)]],"[Measures].[MMS_90_179_M_P]")</f>
        <v/>
      </c>
      <c r="CA311" s="68" t="str" vm="16860">
        <f>CUBEVALUE(ConnectionString,ReportMonth,Table1[[#This Row],[Site ID (from DATIM)]],"[Measures].[MMS_90_179_F_A]")</f>
        <v/>
      </c>
      <c r="CB311" s="68" t="str" vm="19839">
        <f>CUBEVALUE(ConnectionString,ReportMonth,Table1[[#This Row],[Site ID (from DATIM)]],"[Measures].[MMS_90_179_M_A]")</f>
        <v/>
      </c>
      <c r="CC311" s="68" t="str" vm="16432">
        <f>CUBEVALUE(ConnectionString,ReportMonth,Table1[[#This Row],[Site ID (from DATIM)]],"[Measures].[MMS_180+_F_P]")</f>
        <v/>
      </c>
      <c r="CD311" s="68" t="str" vm="15858">
        <f>CUBEVALUE(ConnectionString,ReportMonth,Table1[[#This Row],[Site ID (from DATIM)]],"[Measures].[MMS_180+_M_P]")</f>
        <v/>
      </c>
      <c r="CE311" s="68" t="str" vm="16708">
        <f>CUBEVALUE(ConnectionString,ReportMonth,Table1[[#This Row],[Site ID (from DATIM)]],"[Measures].[MMS_180+_F_A]")</f>
        <v/>
      </c>
      <c r="CF311" s="68" t="str" vm="15724">
        <f>CUBEVALUE(ConnectionString,ReportMonth,Table1[[#This Row],[Site ID (from DATIM)]],"[Measures].[MMS_180+_M_A]")</f>
        <v/>
      </c>
      <c r="CG311" s="68" t="str" vm="6556">
        <f>CUBEVALUE(ConnectionString,ReportMonth,Table1[[#This Row],[Site ID (from DATIM)]],"[Measures].[MISSEDAPP]")</f>
        <v/>
      </c>
      <c r="CH311" s="68" t="str" vm="13919">
        <f>CUBEVALUE(ConnectionString,ReportMonth,Table1[[#This Row],[Site ID (from DATIM)]],"[Measures].[MMS_180+_P]")</f>
        <v/>
      </c>
      <c r="CI311" s="68" t="str" vm="14422">
        <f>CUBEVALUE(ConnectionString,ReportMonth,Table1[[#This Row],[Site ID (from DATIM)]],"[Measures].[MMS_180+_A]")</f>
        <v/>
      </c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  <c r="CW311" s="68"/>
      <c r="CX311" s="68"/>
      <c r="CY311" s="68"/>
      <c r="CZ311" s="68"/>
      <c r="DA311" s="68"/>
      <c r="DB311" s="68"/>
      <c r="DC311" s="68"/>
    </row>
    <row r="312" spans="1:107" x14ac:dyDescent="0.25">
      <c r="A312" s="66">
        <v>4</v>
      </c>
      <c r="B312" s="67" t="str" vm="4">
        <f t="shared" si="5"/>
        <v>Mar-2021</v>
      </c>
      <c r="C312" s="67"/>
      <c r="D312" s="67" t="s">
        <v>232</v>
      </c>
      <c r="E312" s="67" t="s">
        <v>233</v>
      </c>
      <c r="F312" s="67" t="s">
        <v>437</v>
      </c>
      <c r="G312" s="67"/>
      <c r="H312" s="67" t="s">
        <v>513</v>
      </c>
      <c r="I312" s="67" t="s">
        <v>729</v>
      </c>
      <c r="J312" s="67" t="s">
        <v>732</v>
      </c>
      <c r="K312" s="67" t="s">
        <v>733</v>
      </c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 t="str" vm="938">
        <f>CUBEVALUE(ConnectionString,ReportMonth,Table1[[#This Row],[Site ID (from DATIM)]],"TX_NEW_2VIS")</f>
        <v/>
      </c>
      <c r="AE312" s="67" t="str" vm="4469">
        <f>CUBEVALUE(ConnectionString,ReportMonth,Table1[[#This Row],[Site ID (from DATIM)]],INDEX(SDI_Measures,1))</f>
        <v/>
      </c>
      <c r="AF312" s="67" t="str" vm="1408">
        <f>CUBEVALUE(ConnectionString,ReportMonth,Table1[[#This Row],[Site ID (from DATIM)]],INDEX(SDI_Measures,2))</f>
        <v/>
      </c>
      <c r="AG312" s="67" t="str" vm="792">
        <f>CUBEVALUE(ConnectionString,ReportMonth,Table1[[#This Row],[Site ID (from DATIM)]],INDEX(SDI_Measures,3))</f>
        <v/>
      </c>
      <c r="AH312" s="67" t="str" vm="2635">
        <f>CUBEVALUE(ConnectionString,ReportMonth,Table1[[#This Row],[Site ID (from DATIM)]],"TX_CURR_PRIOR_MONTH")</f>
        <v/>
      </c>
      <c r="AI312" s="67" t="str" vm="2361">
        <f>CUBEVALUE(ConnectionString,ReportMonth,Table1[[#This Row],[Site ID (from DATIM)]],"TX_CURR")</f>
        <v/>
      </c>
      <c r="AJ312" s="67" t="str" vm="5713">
        <f>CUBEVALUE(ConnectionString,ReportMonth,Table1[[#This Row],[Site ID (from DATIM)]],"[Measures].[TI]")</f>
        <v/>
      </c>
      <c r="AK312" s="67" t="str" vm="2333">
        <f>CUBEVALUE(ConnectionString,ReportMonth,Table1[[#This Row],[Site ID (from DATIM)]],"[Measures].[TO]")</f>
        <v/>
      </c>
      <c r="AL312" s="67" t="str" vm="3652">
        <f>CUBEVALUE(ConnectionString,ReportMonth,Table1[[#This Row],[Site ID (from DATIM)]],"[Measures].[DIED]")</f>
        <v/>
      </c>
      <c r="AM312" s="67" t="str" vm="4383">
        <f>CUBEVALUE(ConnectionString,ReportMonth,Table1[[#This Row],[Site ID (from DATIM)]],"[Measures].[MMS_01_31]")</f>
        <v/>
      </c>
      <c r="AN312" s="67" t="str" vm="6693">
        <f>CUBEVALUE(ConnectionString,ReportMonth,Table1[[#This Row],[Site ID (from DATIM)]],"[Measures].[MMS_32_62]")</f>
        <v/>
      </c>
      <c r="AO312" s="67" t="str" vm="7968">
        <f>CUBEVALUE(ConnectionString,ReportMonth,Table1[[#This Row],[Site ID (from DATIM)]],"[Measures].[MMS_63+]")</f>
        <v/>
      </c>
      <c r="AP312" s="67" t="str" vm="5020">
        <f>CUBEVALUE(ConnectionString,ReportMonth,Table1[[#This Row],[Site ID (from DATIM)]],"[Measures].[TBPREV_D]")</f>
        <v/>
      </c>
      <c r="AQ312" s="67" t="str" vm="5380">
        <f>CUBEVALUE(ConnectionString,ReportMonth,Table1[[#This Row],[Site ID (from DATIM)]],"[Measures].[TBPREV_N]")</f>
        <v/>
      </c>
      <c r="AR312" s="67" t="str" vm="5168">
        <f>CUBEVALUE(ConnectionString,ReportMonth,Table1[[#This Row],[Site ID (from DATIM)]],"[Measures].[TBPREV_NEW]")</f>
        <v/>
      </c>
      <c r="AS312" s="67" t="str" vm="7896">
        <f>CUBEVALUE(ConnectionString,ReportMonth,Table1[[#This Row],[Site ID (from DATIM)]],"[Measures].[HVL_ELIG_P]")</f>
        <v/>
      </c>
      <c r="AT312" s="67" t="str" vm="9112">
        <f>CUBEVALUE(ConnectionString,ReportMonth,Table1[[#This Row],[Site ID (from DATIM)]],"[Measures].[HVL_D_P]")</f>
        <v/>
      </c>
      <c r="AU312" s="67" t="str" vm="13590">
        <f>CUBEVALUE(ConnectionString,ReportMonth,Table1[[#This Row],[Site ID (from DATIM)]],"[Measures].[HVL_N_P]")</f>
        <v/>
      </c>
      <c r="AV312" s="68" t="str" vm="8530">
        <f>CUBEVALUE(ConnectionString,ReportMonth,Table1[[#This Row],[Site ID (from DATIM)]],"[Measures].[HVL_ELIG_A]")</f>
        <v/>
      </c>
      <c r="AW312" s="68" t="str" vm="6815">
        <f>CUBEVALUE(ConnectionString,ReportMonth,Table1[[#This Row],[Site ID (from DATIM)]],"[Measures].[HVL_D_A]")</f>
        <v/>
      </c>
      <c r="AX312" s="68" t="str" vm="9365">
        <f>CUBEVALUE(ConnectionString,ReportMonth,Table1[[#This Row],[Site ID (from DATIM)]],"[Measures].[HVL_N_A]")</f>
        <v/>
      </c>
      <c r="AY312" s="67"/>
      <c r="AZ312" s="67"/>
      <c r="BA312" s="67"/>
      <c r="BB312" s="67"/>
      <c r="BC312" s="67"/>
      <c r="BD312" s="67"/>
      <c r="BE312" s="67"/>
      <c r="BF312" s="67"/>
      <c r="BG312" s="67" t="str" vm="12222">
        <f>CUBEVALUE(ConnectionString,ReportMonth,Table1[[#This Row],[Site ID (from DATIM)]],"[Measures].[TX_NEW_F_A]")</f>
        <v/>
      </c>
      <c r="BH312" s="67" t="str" vm="11917">
        <f>CUBEVALUE(ConnectionString,ReportMonth,Table1[[#This Row],[Site ID (from DATIM)]],"[Measures].[TX_NEW_M_A]")</f>
        <v/>
      </c>
      <c r="BI312" s="67" t="str" vm="14877">
        <f>CUBEVALUE(ConnectionString,ReportMonth,Table1[[#This Row],[Site ID (from DATIM)]],"[Measures].[TX_NEW_F_P]")</f>
        <v/>
      </c>
      <c r="BJ312" s="68" t="str" vm="17057">
        <f>CUBEVALUE(ConnectionString,ReportMonth,Table1[[#This Row],[Site ID (from DATIM)]],"[Measures].[TX_NEW_M_P]")</f>
        <v/>
      </c>
      <c r="BK312" s="68"/>
      <c r="BL312" s="68"/>
      <c r="BM312" s="68"/>
      <c r="BN312" s="68"/>
      <c r="BO312" s="68"/>
      <c r="BP312" s="68"/>
      <c r="BQ312" s="68" t="str" vm="8681">
        <f>CUBEVALUE(ConnectionString,ReportMonth,Table1[[#This Row],[Site ID (from DATIM)]],"[Measures].[TX_CURR_F_P]")</f>
        <v/>
      </c>
      <c r="BR312" s="68" t="str" vm="8799">
        <f>CUBEVALUE(ConnectionString,ReportMonth,Table1[[#This Row],[Site ID (from DATIM)]],"[Measures].[TX_CURR_M_P]")</f>
        <v/>
      </c>
      <c r="BS312" s="68" t="str" vm="13373">
        <f>CUBEVALUE(ConnectionString,ReportMonth,Table1[[#This Row],[Site ID (from DATIM)]],"[Measures].[TX_CURR_F_A]")</f>
        <v/>
      </c>
      <c r="BT312" s="68" t="str" vm="10907">
        <f>CUBEVALUE(ConnectionString,ReportMonth,Table1[[#This Row],[Site ID (from DATIM)]],"[Measures].[TX_CURR_M_A]")</f>
        <v/>
      </c>
      <c r="BU312" s="68" t="str" vm="20093">
        <f>CUBEVALUE(ConnectionString,ReportMonth,Table1[[#This Row],[Site ID (from DATIM)]],"[Measures].[MMS_01_89_F_P]")</f>
        <v/>
      </c>
      <c r="BV312" s="68" t="str" vm="19734">
        <f>CUBEVALUE(ConnectionString,ReportMonth,Table1[[#This Row],[Site ID (from DATIM)]],"[Measures].[MMS_01_89_M_P]")</f>
        <v/>
      </c>
      <c r="BW312" s="68" t="str" vm="18362">
        <f>CUBEVALUE(ConnectionString,ReportMonth,Table1[[#This Row],[Site ID (from DATIM)]],"[Measures].[MMS_01_89_F_A]")</f>
        <v/>
      </c>
      <c r="BX312" s="68" t="str" vm="19957">
        <f>CUBEVALUE(ConnectionString,ReportMonth,Table1[[#This Row],[Site ID (from DATIM)]],"[Measures].[MMS_01_89_M_A]")</f>
        <v/>
      </c>
      <c r="BY312" s="68" t="str" vm="16096">
        <f>CUBEVALUE(ConnectionString,ReportMonth,Table1[[#This Row],[Site ID (from DATIM)]],"[Measures].[MMS_90_179_F_P]")</f>
        <v/>
      </c>
      <c r="BZ312" s="68" t="str" vm="16914">
        <f>CUBEVALUE(ConnectionString,ReportMonth,Table1[[#This Row],[Site ID (from DATIM)]],"[Measures].[MMS_90_179_M_P]")</f>
        <v/>
      </c>
      <c r="CA312" s="68" t="str" vm="16362">
        <f>CUBEVALUE(ConnectionString,ReportMonth,Table1[[#This Row],[Site ID (from DATIM)]],"[Measures].[MMS_90_179_F_A]")</f>
        <v/>
      </c>
      <c r="CB312" s="68" t="str" vm="14659">
        <f>CUBEVALUE(ConnectionString,ReportMonth,Table1[[#This Row],[Site ID (from DATIM)]],"[Measures].[MMS_90_179_M_A]")</f>
        <v/>
      </c>
      <c r="CC312" s="68" t="str" vm="15078">
        <f>CUBEVALUE(ConnectionString,ReportMonth,Table1[[#This Row],[Site ID (from DATIM)]],"[Measures].[MMS_180+_F_P]")</f>
        <v/>
      </c>
      <c r="CD312" s="68" t="str" vm="14526">
        <f>CUBEVALUE(ConnectionString,ReportMonth,Table1[[#This Row],[Site ID (from DATIM)]],"[Measures].[MMS_180+_M_P]")</f>
        <v/>
      </c>
      <c r="CE312" s="68" t="str" vm="15772">
        <f>CUBEVALUE(ConnectionString,ReportMonth,Table1[[#This Row],[Site ID (from DATIM)]],"[Measures].[MMS_180+_F_A]")</f>
        <v/>
      </c>
      <c r="CF312" s="68" t="str" vm="14900">
        <f>CUBEVALUE(ConnectionString,ReportMonth,Table1[[#This Row],[Site ID (from DATIM)]],"[Measures].[MMS_180+_M_A]")</f>
        <v/>
      </c>
      <c r="CG312" s="68" t="str" vm="6667">
        <f>CUBEVALUE(ConnectionString,ReportMonth,Table1[[#This Row],[Site ID (from DATIM)]],"[Measures].[MISSEDAPP]")</f>
        <v/>
      </c>
      <c r="CH312" s="68" t="str" vm="11401">
        <f>CUBEVALUE(ConnectionString,ReportMonth,Table1[[#This Row],[Site ID (from DATIM)]],"[Measures].[MMS_180+_P]")</f>
        <v/>
      </c>
      <c r="CI312" s="68" t="str" vm="12492">
        <f>CUBEVALUE(ConnectionString,ReportMonth,Table1[[#This Row],[Site ID (from DATIM)]],"[Measures].[MMS_180+_A]")</f>
        <v/>
      </c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  <c r="CW312" s="68"/>
      <c r="CX312" s="68"/>
      <c r="CY312" s="68"/>
      <c r="CZ312" s="68"/>
      <c r="DA312" s="68"/>
      <c r="DB312" s="68"/>
      <c r="DC312" s="68"/>
    </row>
    <row r="313" spans="1:107" x14ac:dyDescent="0.25">
      <c r="A313" s="66">
        <v>4</v>
      </c>
      <c r="B313" s="67" t="str" vm="4">
        <f t="shared" si="5"/>
        <v>Mar-2021</v>
      </c>
      <c r="C313" s="67"/>
      <c r="D313" s="67" t="s">
        <v>232</v>
      </c>
      <c r="E313" s="67" t="s">
        <v>233</v>
      </c>
      <c r="F313" s="67" t="s">
        <v>1286</v>
      </c>
      <c r="G313" s="67"/>
      <c r="H313" s="67" t="s">
        <v>1307</v>
      </c>
      <c r="I313" s="67" t="s">
        <v>1463</v>
      </c>
      <c r="J313" s="67" t="s">
        <v>1464</v>
      </c>
      <c r="K313" s="67" t="s">
        <v>1465</v>
      </c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 t="str" vm="2843">
        <f>CUBEVALUE(ConnectionString,ReportMonth,Table1[[#This Row],[Site ID (from DATIM)]],"TX_NEW_2VIS")</f>
        <v/>
      </c>
      <c r="AE313" s="67" t="str" vm="1318">
        <f>CUBEVALUE(ConnectionString,ReportMonth,Table1[[#This Row],[Site ID (from DATIM)]],INDEX(SDI_Measures,1))</f>
        <v/>
      </c>
      <c r="AF313" s="67" t="str" vm="1231">
        <f>CUBEVALUE(ConnectionString,ReportMonth,Table1[[#This Row],[Site ID (from DATIM)]],INDEX(SDI_Measures,2))</f>
        <v/>
      </c>
      <c r="AG313" s="67" t="str" vm="3418">
        <f>CUBEVALUE(ConnectionString,ReportMonth,Table1[[#This Row],[Site ID (from DATIM)]],INDEX(SDI_Measures,3))</f>
        <v/>
      </c>
      <c r="AH313" s="67" t="str" vm="4505">
        <f>CUBEVALUE(ConnectionString,ReportMonth,Table1[[#This Row],[Site ID (from DATIM)]],"TX_CURR_PRIOR_MONTH")</f>
        <v/>
      </c>
      <c r="AI313" s="67" t="str" vm="1346">
        <f>CUBEVALUE(ConnectionString,ReportMonth,Table1[[#This Row],[Site ID (from DATIM)]],"TX_CURR")</f>
        <v/>
      </c>
      <c r="AJ313" s="67" t="str" vm="2139">
        <f>CUBEVALUE(ConnectionString,ReportMonth,Table1[[#This Row],[Site ID (from DATIM)]],"[Measures].[TI]")</f>
        <v/>
      </c>
      <c r="AK313" s="67" t="str" vm="2233">
        <f>CUBEVALUE(ConnectionString,ReportMonth,Table1[[#This Row],[Site ID (from DATIM)]],"[Measures].[TO]")</f>
        <v/>
      </c>
      <c r="AL313" s="67" t="str" vm="3317">
        <f>CUBEVALUE(ConnectionString,ReportMonth,Table1[[#This Row],[Site ID (from DATIM)]],"[Measures].[DIED]")</f>
        <v/>
      </c>
      <c r="AM313" s="67" t="str" vm="3887">
        <f>CUBEVALUE(ConnectionString,ReportMonth,Table1[[#This Row],[Site ID (from DATIM)]],"[Measures].[MMS_01_31]")</f>
        <v/>
      </c>
      <c r="AN313" s="67" t="str" vm="4963">
        <f>CUBEVALUE(ConnectionString,ReportMonth,Table1[[#This Row],[Site ID (from DATIM)]],"[Measures].[MMS_32_62]")</f>
        <v/>
      </c>
      <c r="AO313" s="67" t="str" vm="7685">
        <f>CUBEVALUE(ConnectionString,ReportMonth,Table1[[#This Row],[Site ID (from DATIM)]],"[Measures].[MMS_63+]")</f>
        <v/>
      </c>
      <c r="AP313" s="67" t="str" vm="4872">
        <f>CUBEVALUE(ConnectionString,ReportMonth,Table1[[#This Row],[Site ID (from DATIM)]],"[Measures].[TBPREV_D]")</f>
        <v/>
      </c>
      <c r="AQ313" s="67" t="str" vm="7612">
        <f>CUBEVALUE(ConnectionString,ReportMonth,Table1[[#This Row],[Site ID (from DATIM)]],"[Measures].[TBPREV_N]")</f>
        <v/>
      </c>
      <c r="AR313" s="67" t="str" vm="7325">
        <f>CUBEVALUE(ConnectionString,ReportMonth,Table1[[#This Row],[Site ID (from DATIM)]],"[Measures].[TBPREV_NEW]")</f>
        <v/>
      </c>
      <c r="AS313" s="67" t="str" vm="5268">
        <f>CUBEVALUE(ConnectionString,ReportMonth,Table1[[#This Row],[Site ID (from DATIM)]],"[Measures].[HVL_ELIG_P]")</f>
        <v/>
      </c>
      <c r="AT313" s="67" t="str" vm="7268">
        <f>CUBEVALUE(ConnectionString,ReportMonth,Table1[[#This Row],[Site ID (from DATIM)]],"[Measures].[HVL_D_P]")</f>
        <v/>
      </c>
      <c r="AU313" s="67" t="str" vm="10142">
        <f>CUBEVALUE(ConnectionString,ReportMonth,Table1[[#This Row],[Site ID (from DATIM)]],"[Measures].[HVL_N_P]")</f>
        <v/>
      </c>
      <c r="AV313" s="68" t="str" vm="12427">
        <f>CUBEVALUE(ConnectionString,ReportMonth,Table1[[#This Row],[Site ID (from DATIM)]],"[Measures].[HVL_ELIG_A]")</f>
        <v/>
      </c>
      <c r="AW313" s="68" t="str" vm="9659">
        <f>CUBEVALUE(ConnectionString,ReportMonth,Table1[[#This Row],[Site ID (from DATIM)]],"[Measures].[HVL_D_A]")</f>
        <v/>
      </c>
      <c r="AX313" s="68" t="str" vm="9979">
        <f>CUBEVALUE(ConnectionString,ReportMonth,Table1[[#This Row],[Site ID (from DATIM)]],"[Measures].[HVL_N_A]")</f>
        <v/>
      </c>
      <c r="AY313" s="67"/>
      <c r="AZ313" s="67"/>
      <c r="BA313" s="67"/>
      <c r="BB313" s="67"/>
      <c r="BC313" s="67"/>
      <c r="BD313" s="67"/>
      <c r="BE313" s="67"/>
      <c r="BF313" s="67"/>
      <c r="BG313" s="67" t="str" vm="10129">
        <f>CUBEVALUE(ConnectionString,ReportMonth,Table1[[#This Row],[Site ID (from DATIM)]],"[Measures].[TX_NEW_F_A]")</f>
        <v/>
      </c>
      <c r="BH313" s="67" t="str" vm="11726">
        <f>CUBEVALUE(ConnectionString,ReportMonth,Table1[[#This Row],[Site ID (from DATIM)]],"[Measures].[TX_NEW_M_A]")</f>
        <v/>
      </c>
      <c r="BI313" s="67" t="str" vm="17042">
        <f>CUBEVALUE(ConnectionString,ReportMonth,Table1[[#This Row],[Site ID (from DATIM)]],"[Measures].[TX_NEW_F_P]")</f>
        <v/>
      </c>
      <c r="BJ313" s="68" t="str" vm="12351">
        <f>CUBEVALUE(ConnectionString,ReportMonth,Table1[[#This Row],[Site ID (from DATIM)]],"[Measures].[TX_NEW_M_P]")</f>
        <v/>
      </c>
      <c r="BK313" s="68"/>
      <c r="BL313" s="68"/>
      <c r="BM313" s="68"/>
      <c r="BN313" s="68"/>
      <c r="BO313" s="68"/>
      <c r="BP313" s="68"/>
      <c r="BQ313" s="68" t="str" vm="10542">
        <f>CUBEVALUE(ConnectionString,ReportMonth,Table1[[#This Row],[Site ID (from DATIM)]],"[Measures].[TX_CURR_F_P]")</f>
        <v/>
      </c>
      <c r="BR313" s="68" t="str" vm="13871">
        <f>CUBEVALUE(ConnectionString,ReportMonth,Table1[[#This Row],[Site ID (from DATIM)]],"[Measures].[TX_CURR_M_P]")</f>
        <v/>
      </c>
      <c r="BS313" s="68" t="str" vm="9985">
        <f>CUBEVALUE(ConnectionString,ReportMonth,Table1[[#This Row],[Site ID (from DATIM)]],"[Measures].[TX_CURR_F_A]")</f>
        <v/>
      </c>
      <c r="BT313" s="68" t="str" vm="10975">
        <f>CUBEVALUE(ConnectionString,ReportMonth,Table1[[#This Row],[Site ID (from DATIM)]],"[Measures].[TX_CURR_M_A]")</f>
        <v/>
      </c>
      <c r="BU313" s="68" t="str" vm="18650">
        <f>CUBEVALUE(ConnectionString,ReportMonth,Table1[[#This Row],[Site ID (from DATIM)]],"[Measures].[MMS_01_89_F_P]")</f>
        <v/>
      </c>
      <c r="BV313" s="68" t="str" vm="20099">
        <f>CUBEVALUE(ConnectionString,ReportMonth,Table1[[#This Row],[Site ID (from DATIM)]],"[Measures].[MMS_01_89_M_P]")</f>
        <v/>
      </c>
      <c r="BW313" s="68" t="str" vm="19052">
        <f>CUBEVALUE(ConnectionString,ReportMonth,Table1[[#This Row],[Site ID (from DATIM)]],"[Measures].[MMS_01_89_F_A]")</f>
        <v/>
      </c>
      <c r="BX313" s="68" t="str" vm="19642">
        <f>CUBEVALUE(ConnectionString,ReportMonth,Table1[[#This Row],[Site ID (from DATIM)]],"[Measures].[MMS_01_89_M_A]")</f>
        <v/>
      </c>
      <c r="BY313" s="68" t="str" vm="15249">
        <f>CUBEVALUE(ConnectionString,ReportMonth,Table1[[#This Row],[Site ID (from DATIM)]],"[Measures].[MMS_90_179_F_P]")</f>
        <v/>
      </c>
      <c r="BZ313" s="68" t="str" vm="14743">
        <f>CUBEVALUE(ConnectionString,ReportMonth,Table1[[#This Row],[Site ID (from DATIM)]],"[Measures].[MMS_90_179_M_P]")</f>
        <v/>
      </c>
      <c r="CA313" s="68" t="str" vm="18163">
        <f>CUBEVALUE(ConnectionString,ReportMonth,Table1[[#This Row],[Site ID (from DATIM)]],"[Measures].[MMS_90_179_F_A]")</f>
        <v/>
      </c>
      <c r="CB313" s="68" t="str" vm="16876">
        <f>CUBEVALUE(ConnectionString,ReportMonth,Table1[[#This Row],[Site ID (from DATIM)]],"[Measures].[MMS_90_179_M_A]")</f>
        <v/>
      </c>
      <c r="CC313" s="68" t="str" vm="14463">
        <f>CUBEVALUE(ConnectionString,ReportMonth,Table1[[#This Row],[Site ID (from DATIM)]],"[Measures].[MMS_180+_F_P]")</f>
        <v/>
      </c>
      <c r="CD313" s="68" t="str" vm="14586">
        <f>CUBEVALUE(ConnectionString,ReportMonth,Table1[[#This Row],[Site ID (from DATIM)]],"[Measures].[MMS_180+_M_P]")</f>
        <v/>
      </c>
      <c r="CE313" s="68" t="str" vm="14523">
        <f>CUBEVALUE(ConnectionString,ReportMonth,Table1[[#This Row],[Site ID (from DATIM)]],"[Measures].[MMS_180+_F_A]")</f>
        <v/>
      </c>
      <c r="CF313" s="68" t="str" vm="440">
        <f>CUBEVALUE(ConnectionString,ReportMonth,Table1[[#This Row],[Site ID (from DATIM)]],"[Measures].[MMS_180+_M_A]")</f>
        <v/>
      </c>
      <c r="CG313" s="68" t="str" vm="5503">
        <f>CUBEVALUE(ConnectionString,ReportMonth,Table1[[#This Row],[Site ID (from DATIM)]],"[Measures].[MISSEDAPP]")</f>
        <v/>
      </c>
      <c r="CH313" s="68" t="str" vm="15314">
        <f>CUBEVALUE(ConnectionString,ReportMonth,Table1[[#This Row],[Site ID (from DATIM)]],"[Measures].[MMS_180+_P]")</f>
        <v/>
      </c>
      <c r="CI313" s="68" t="str" vm="13238">
        <f>CUBEVALUE(ConnectionString,ReportMonth,Table1[[#This Row],[Site ID (from DATIM)]],"[Measures].[MMS_180+_A]")</f>
        <v/>
      </c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  <c r="CW313" s="68"/>
      <c r="CX313" s="68"/>
      <c r="CY313" s="68"/>
      <c r="CZ313" s="68"/>
      <c r="DA313" s="68"/>
      <c r="DB313" s="68"/>
      <c r="DC313" s="68"/>
    </row>
    <row r="314" spans="1:107" x14ac:dyDescent="0.25">
      <c r="A314" s="66">
        <v>4</v>
      </c>
      <c r="B314" s="67" t="str" vm="4">
        <f t="shared" si="5"/>
        <v>Mar-2021</v>
      </c>
      <c r="C314" s="67"/>
      <c r="D314" s="67" t="s">
        <v>232</v>
      </c>
      <c r="E314" s="67" t="s">
        <v>233</v>
      </c>
      <c r="F314" s="67" t="s">
        <v>437</v>
      </c>
      <c r="G314" s="67"/>
      <c r="H314" s="67" t="s">
        <v>442</v>
      </c>
      <c r="I314" s="67" t="s">
        <v>734</v>
      </c>
      <c r="J314" s="67" t="s">
        <v>735</v>
      </c>
      <c r="K314" s="67" t="s">
        <v>736</v>
      </c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 t="str" vm="1713">
        <f>CUBEVALUE(ConnectionString,ReportMonth,Table1[[#This Row],[Site ID (from DATIM)]],"TX_NEW_2VIS")</f>
        <v/>
      </c>
      <c r="AE314" s="67" t="str" vm="3649">
        <f>CUBEVALUE(ConnectionString,ReportMonth,Table1[[#This Row],[Site ID (from DATIM)]],INDEX(SDI_Measures,1))</f>
        <v/>
      </c>
      <c r="AF314" s="67" t="str" vm="3453">
        <f>CUBEVALUE(ConnectionString,ReportMonth,Table1[[#This Row],[Site ID (from DATIM)]],INDEX(SDI_Measures,2))</f>
        <v/>
      </c>
      <c r="AG314" s="67" t="str" vm="712">
        <f>CUBEVALUE(ConnectionString,ReportMonth,Table1[[#This Row],[Site ID (from DATIM)]],INDEX(SDI_Measures,3))</f>
        <v/>
      </c>
      <c r="AH314" s="67" vm="7404">
        <f>CUBEVALUE(ConnectionString,ReportMonth,Table1[[#This Row],[Site ID (from DATIM)]],"TX_CURR_PRIOR_MONTH")</f>
        <v>340</v>
      </c>
      <c r="AI314" s="67" vm="1854">
        <f>CUBEVALUE(ConnectionString,ReportMonth,Table1[[#This Row],[Site ID (from DATIM)]],"TX_CURR")</f>
        <v>314</v>
      </c>
      <c r="AJ314" s="67" t="str" vm="2124">
        <f>CUBEVALUE(ConnectionString,ReportMonth,Table1[[#This Row],[Site ID (from DATIM)]],"[Measures].[TI]")</f>
        <v/>
      </c>
      <c r="AK314" s="67" vm="592">
        <f>CUBEVALUE(ConnectionString,ReportMonth,Table1[[#This Row],[Site ID (from DATIM)]],"[Measures].[TO]")</f>
        <v>1</v>
      </c>
      <c r="AL314" s="67" t="str" vm="2852">
        <f>CUBEVALUE(ConnectionString,ReportMonth,Table1[[#This Row],[Site ID (from DATIM)]],"[Measures].[DIED]")</f>
        <v/>
      </c>
      <c r="AM314" s="67" vm="4952">
        <f>CUBEVALUE(ConnectionString,ReportMonth,Table1[[#This Row],[Site ID (from DATIM)]],"[Measures].[MMS_01_31]")</f>
        <v>105</v>
      </c>
      <c r="AN314" s="67" vm="6256">
        <f>CUBEVALUE(ConnectionString,ReportMonth,Table1[[#This Row],[Site ID (from DATIM)]],"[Measures].[MMS_32_62]")</f>
        <v>3</v>
      </c>
      <c r="AO314" s="67" vm="10522">
        <f>CUBEVALUE(ConnectionString,ReportMonth,Table1[[#This Row],[Site ID (from DATIM)]],"[Measures].[MMS_63+]")</f>
        <v>206</v>
      </c>
      <c r="AP314" s="67" t="str" vm="5594">
        <f>CUBEVALUE(ConnectionString,ReportMonth,Table1[[#This Row],[Site ID (from DATIM)]],"[Measures].[TBPREV_D]")</f>
        <v/>
      </c>
      <c r="AQ314" s="67" t="str" vm="8816">
        <f>CUBEVALUE(ConnectionString,ReportMonth,Table1[[#This Row],[Site ID (from DATIM)]],"[Measures].[TBPREV_N]")</f>
        <v/>
      </c>
      <c r="AR314" s="67" t="str" vm="4777">
        <f>CUBEVALUE(ConnectionString,ReportMonth,Table1[[#This Row],[Site ID (from DATIM)]],"[Measures].[TBPREV_NEW]")</f>
        <v/>
      </c>
      <c r="AS314" s="67" vm="5260">
        <f>CUBEVALUE(ConnectionString,ReportMonth,Table1[[#This Row],[Site ID (from DATIM)]],"[Measures].[HVL_ELIG_P]")</f>
        <v>26</v>
      </c>
      <c r="AT314" s="67" vm="16167">
        <f>CUBEVALUE(ConnectionString,ReportMonth,Table1[[#This Row],[Site ID (from DATIM)]],"[Measures].[HVL_D_P]")</f>
        <v>27</v>
      </c>
      <c r="AU314" s="67" vm="10060">
        <f>CUBEVALUE(ConnectionString,ReportMonth,Table1[[#This Row],[Site ID (from DATIM)]],"[Measures].[HVL_N_P]")</f>
        <v>19</v>
      </c>
      <c r="AV314" s="68" vm="8586">
        <f>CUBEVALUE(ConnectionString,ReportMonth,Table1[[#This Row],[Site ID (from DATIM)]],"[Measures].[HVL_ELIG_A]")</f>
        <v>271</v>
      </c>
      <c r="AW314" s="68" vm="10569">
        <f>CUBEVALUE(ConnectionString,ReportMonth,Table1[[#This Row],[Site ID (from DATIM)]],"[Measures].[HVL_D_A]")</f>
        <v>259</v>
      </c>
      <c r="AX314" s="68" vm="7959">
        <f>CUBEVALUE(ConnectionString,ReportMonth,Table1[[#This Row],[Site ID (from DATIM)]],"[Measures].[HVL_N_A]")</f>
        <v>247</v>
      </c>
      <c r="AY314" s="67"/>
      <c r="AZ314" s="67"/>
      <c r="BA314" s="67"/>
      <c r="BB314" s="67"/>
      <c r="BC314" s="67"/>
      <c r="BD314" s="67"/>
      <c r="BE314" s="67"/>
      <c r="BF314" s="67"/>
      <c r="BG314" s="67" t="str" vm="15631">
        <f>CUBEVALUE(ConnectionString,ReportMonth,Table1[[#This Row],[Site ID (from DATIM)]],"[Measures].[TX_NEW_F_A]")</f>
        <v/>
      </c>
      <c r="BH314" s="67" t="str" vm="12227">
        <f>CUBEVALUE(ConnectionString,ReportMonth,Table1[[#This Row],[Site ID (from DATIM)]],"[Measures].[TX_NEW_M_A]")</f>
        <v/>
      </c>
      <c r="BI314" s="67" t="str" vm="12661">
        <f>CUBEVALUE(ConnectionString,ReportMonth,Table1[[#This Row],[Site ID (from DATIM)]],"[Measures].[TX_NEW_F_P]")</f>
        <v/>
      </c>
      <c r="BJ314" s="68" t="str" vm="12584">
        <f>CUBEVALUE(ConnectionString,ReportMonth,Table1[[#This Row],[Site ID (from DATIM)]],"[Measures].[TX_NEW_M_P]")</f>
        <v/>
      </c>
      <c r="BK314" s="68"/>
      <c r="BL314" s="68"/>
      <c r="BM314" s="68"/>
      <c r="BN314" s="68"/>
      <c r="BO314" s="68"/>
      <c r="BP314" s="68"/>
      <c r="BQ314" s="68" vm="11639">
        <f>CUBEVALUE(ConnectionString,ReportMonth,Table1[[#This Row],[Site ID (from DATIM)]],"[Measures].[TX_CURR_F_P]")</f>
        <v>12</v>
      </c>
      <c r="BR314" s="68" vm="9427">
        <f>CUBEVALUE(ConnectionString,ReportMonth,Table1[[#This Row],[Site ID (from DATIM)]],"[Measures].[TX_CURR_M_P]")</f>
        <v>17</v>
      </c>
      <c r="BS314" s="68" vm="11353">
        <f>CUBEVALUE(ConnectionString,ReportMonth,Table1[[#This Row],[Site ID (from DATIM)]],"[Measures].[TX_CURR_F_A]")</f>
        <v>194</v>
      </c>
      <c r="BT314" s="68" vm="11150">
        <f>CUBEVALUE(ConnectionString,ReportMonth,Table1[[#This Row],[Site ID (from DATIM)]],"[Measures].[TX_CURR_M_A]")</f>
        <v>91</v>
      </c>
      <c r="BU314" s="68" vm="18410">
        <f>CUBEVALUE(ConnectionString,ReportMonth,Table1[[#This Row],[Site ID (from DATIM)]],"[Measures].[MMS_01_89_F_P]")</f>
        <v>9</v>
      </c>
      <c r="BV314" s="68" vm="18366">
        <f>CUBEVALUE(ConnectionString,ReportMonth,Table1[[#This Row],[Site ID (from DATIM)]],"[Measures].[MMS_01_89_M_P]")</f>
        <v>16</v>
      </c>
      <c r="BW314" s="68" vm="19238">
        <f>CUBEVALUE(ConnectionString,ReportMonth,Table1[[#This Row],[Site ID (from DATIM)]],"[Measures].[MMS_01_89_F_A]")</f>
        <v>54</v>
      </c>
      <c r="BX314" s="68" vm="14750">
        <f>CUBEVALUE(ConnectionString,ReportMonth,Table1[[#This Row],[Site ID (from DATIM)]],"[Measures].[MMS_01_89_M_A]")</f>
        <v>32</v>
      </c>
      <c r="BY314" s="68" vm="18803">
        <f>CUBEVALUE(ConnectionString,ReportMonth,Table1[[#This Row],[Site ID (from DATIM)]],"[Measures].[MMS_90_179_F_P]")</f>
        <v>3</v>
      </c>
      <c r="BZ314" s="68" vm="15120">
        <f>CUBEVALUE(ConnectionString,ReportMonth,Table1[[#This Row],[Site ID (from DATIM)]],"[Measures].[MMS_90_179_M_P]")</f>
        <v>1</v>
      </c>
      <c r="CA314" s="68" vm="14644">
        <f>CUBEVALUE(ConnectionString,ReportMonth,Table1[[#This Row],[Site ID (from DATIM)]],"[Measures].[MMS_90_179_F_A]")</f>
        <v>140</v>
      </c>
      <c r="CB314" s="68" vm="16764">
        <f>CUBEVALUE(ConnectionString,ReportMonth,Table1[[#This Row],[Site ID (from DATIM)]],"[Measures].[MMS_90_179_M_A]")</f>
        <v>59</v>
      </c>
      <c r="CC314" s="68" t="str" vm="16831">
        <f>CUBEVALUE(ConnectionString,ReportMonth,Table1[[#This Row],[Site ID (from DATIM)]],"[Measures].[MMS_180+_F_P]")</f>
        <v/>
      </c>
      <c r="CD314" s="68" t="str" vm="15372">
        <f>CUBEVALUE(ConnectionString,ReportMonth,Table1[[#This Row],[Site ID (from DATIM)]],"[Measures].[MMS_180+_M_P]")</f>
        <v/>
      </c>
      <c r="CE314" s="68" t="str" vm="15435">
        <f>CUBEVALUE(ConnectionString,ReportMonth,Table1[[#This Row],[Site ID (from DATIM)]],"[Measures].[MMS_180+_F_A]")</f>
        <v/>
      </c>
      <c r="CF314" s="68" t="str" vm="15357">
        <f>CUBEVALUE(ConnectionString,ReportMonth,Table1[[#This Row],[Site ID (from DATIM)]],"[Measures].[MMS_180+_M_A]")</f>
        <v/>
      </c>
      <c r="CG314" s="68" vm="6440">
        <f>CUBEVALUE(ConnectionString,ReportMonth,Table1[[#This Row],[Site ID (from DATIM)]],"[Measures].[MISSEDAPP]")</f>
        <v>156</v>
      </c>
      <c r="CH314" s="68" t="str" vm="13340">
        <f>CUBEVALUE(ConnectionString,ReportMonth,Table1[[#This Row],[Site ID (from DATIM)]],"[Measures].[MMS_180+_P]")</f>
        <v/>
      </c>
      <c r="CI314" s="68" t="str" vm="11900">
        <f>CUBEVALUE(ConnectionString,ReportMonth,Table1[[#This Row],[Site ID (from DATIM)]],"[Measures].[MMS_180+_A]")</f>
        <v/>
      </c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  <c r="CW314" s="68"/>
      <c r="CX314" s="68"/>
      <c r="CY314" s="68"/>
      <c r="CZ314" s="68"/>
      <c r="DA314" s="68"/>
      <c r="DB314" s="68"/>
      <c r="DC314" s="68"/>
    </row>
    <row r="315" spans="1:107" x14ac:dyDescent="0.25">
      <c r="A315" s="66">
        <v>3</v>
      </c>
      <c r="B315" s="67" t="str" vm="4">
        <f t="shared" si="5"/>
        <v>Mar-2021</v>
      </c>
      <c r="C315" s="67"/>
      <c r="D315" s="67" t="s">
        <v>232</v>
      </c>
      <c r="E315" s="67" t="s">
        <v>233</v>
      </c>
      <c r="F315" s="67" t="s">
        <v>234</v>
      </c>
      <c r="G315" s="67"/>
      <c r="H315" s="67" t="s">
        <v>305</v>
      </c>
      <c r="I315" s="67" t="s">
        <v>361</v>
      </c>
      <c r="J315" s="67" t="s">
        <v>362</v>
      </c>
      <c r="K315" s="67" t="s">
        <v>363</v>
      </c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 vm="3571">
        <f>CUBEVALUE(ConnectionString,ReportMonth,Table1[[#This Row],[Site ID (from DATIM)]],"TX_NEW_2VIS")</f>
        <v>5</v>
      </c>
      <c r="AE315" s="67" vm="935">
        <f>CUBEVALUE(ConnectionString,ReportMonth,Table1[[#This Row],[Site ID (from DATIM)]],INDEX(SDI_Measures,1))</f>
        <v>6</v>
      </c>
      <c r="AF315" s="67" t="str" vm="1803">
        <f>CUBEVALUE(ConnectionString,ReportMonth,Table1[[#This Row],[Site ID (from DATIM)]],INDEX(SDI_Measures,2))</f>
        <v/>
      </c>
      <c r="AG315" s="67" t="str" vm="2958">
        <f>CUBEVALUE(ConnectionString,ReportMonth,Table1[[#This Row],[Site ID (from DATIM)]],INDEX(SDI_Measures,3))</f>
        <v/>
      </c>
      <c r="AH315" s="67" vm="2136">
        <f>CUBEVALUE(ConnectionString,ReportMonth,Table1[[#This Row],[Site ID (from DATIM)]],"TX_CURR_PRIOR_MONTH")</f>
        <v>430</v>
      </c>
      <c r="AI315" s="67" vm="1009">
        <f>CUBEVALUE(ConnectionString,ReportMonth,Table1[[#This Row],[Site ID (from DATIM)]],"TX_CURR")</f>
        <v>386</v>
      </c>
      <c r="AJ315" s="67" t="str" vm="3146">
        <f>CUBEVALUE(ConnectionString,ReportMonth,Table1[[#This Row],[Site ID (from DATIM)]],"[Measures].[TI]")</f>
        <v/>
      </c>
      <c r="AK315" s="67" vm="1128">
        <f>CUBEVALUE(ConnectionString,ReportMonth,Table1[[#This Row],[Site ID (from DATIM)]],"[Measures].[TO]")</f>
        <v>1</v>
      </c>
      <c r="AL315" s="67" t="str" vm="2649">
        <f>CUBEVALUE(ConnectionString,ReportMonth,Table1[[#This Row],[Site ID (from DATIM)]],"[Measures].[DIED]")</f>
        <v/>
      </c>
      <c r="AM315" s="67" vm="4806">
        <f>CUBEVALUE(ConnectionString,ReportMonth,Table1[[#This Row],[Site ID (from DATIM)]],"[Measures].[MMS_01_31]")</f>
        <v>103</v>
      </c>
      <c r="AN315" s="67" vm="7326">
        <f>CUBEVALUE(ConnectionString,ReportMonth,Table1[[#This Row],[Site ID (from DATIM)]],"[Measures].[MMS_32_62]")</f>
        <v>63</v>
      </c>
      <c r="AO315" s="67" vm="6311">
        <f>CUBEVALUE(ConnectionString,ReportMonth,Table1[[#This Row],[Site ID (from DATIM)]],"[Measures].[MMS_63+]")</f>
        <v>220</v>
      </c>
      <c r="AP315" s="67" vm="5106">
        <f>CUBEVALUE(ConnectionString,ReportMonth,Table1[[#This Row],[Site ID (from DATIM)]],"[Measures].[TBPREV_D]")</f>
        <v>14</v>
      </c>
      <c r="AQ315" s="67" vm="4653">
        <f>CUBEVALUE(ConnectionString,ReportMonth,Table1[[#This Row],[Site ID (from DATIM)]],"[Measures].[TBPREV_N]")</f>
        <v>14</v>
      </c>
      <c r="AR315" s="67" vm="7342">
        <f>CUBEVALUE(ConnectionString,ReportMonth,Table1[[#This Row],[Site ID (from DATIM)]],"[Measures].[TBPREV_NEW]")</f>
        <v>4</v>
      </c>
      <c r="AS315" s="67" vm="7797">
        <f>CUBEVALUE(ConnectionString,ReportMonth,Table1[[#This Row],[Site ID (from DATIM)]],"[Measures].[HVL_ELIG_P]")</f>
        <v>12</v>
      </c>
      <c r="AT315" s="67" vm="9983">
        <f>CUBEVALUE(ConnectionString,ReportMonth,Table1[[#This Row],[Site ID (from DATIM)]],"[Measures].[HVL_D_P]")</f>
        <v>5</v>
      </c>
      <c r="AU315" s="67" vm="9025">
        <f>CUBEVALUE(ConnectionString,ReportMonth,Table1[[#This Row],[Site ID (from DATIM)]],"[Measures].[HVL_N_P]")</f>
        <v>4</v>
      </c>
      <c r="AV315" s="68" vm="10502">
        <f>CUBEVALUE(ConnectionString,ReportMonth,Table1[[#This Row],[Site ID (from DATIM)]],"[Measures].[HVL_ELIG_A]")</f>
        <v>298</v>
      </c>
      <c r="AW315" s="68" vm="11364">
        <f>CUBEVALUE(ConnectionString,ReportMonth,Table1[[#This Row],[Site ID (from DATIM)]],"[Measures].[HVL_D_A]")</f>
        <v>156</v>
      </c>
      <c r="AX315" s="68" vm="10783">
        <f>CUBEVALUE(ConnectionString,ReportMonth,Table1[[#This Row],[Site ID (from DATIM)]],"[Measures].[HVL_N_A]")</f>
        <v>142</v>
      </c>
      <c r="AY315" s="67"/>
      <c r="AZ315" s="67"/>
      <c r="BA315" s="67"/>
      <c r="BB315" s="67"/>
      <c r="BC315" s="67"/>
      <c r="BD315" s="67"/>
      <c r="BE315" s="67"/>
      <c r="BF315" s="67"/>
      <c r="BG315" s="67" vm="13783">
        <f>CUBEVALUE(ConnectionString,ReportMonth,Table1[[#This Row],[Site ID (from DATIM)]],"[Measures].[TX_NEW_F_A]")</f>
        <v>3</v>
      </c>
      <c r="BH315" s="67" vm="14270">
        <f>CUBEVALUE(ConnectionString,ReportMonth,Table1[[#This Row],[Site ID (from DATIM)]],"[Measures].[TX_NEW_M_A]")</f>
        <v>3</v>
      </c>
      <c r="BI315" s="67" t="str" vm="14826">
        <f>CUBEVALUE(ConnectionString,ReportMonth,Table1[[#This Row],[Site ID (from DATIM)]],"[Measures].[TX_NEW_F_P]")</f>
        <v/>
      </c>
      <c r="BJ315" s="68" t="str" vm="15663">
        <f>CUBEVALUE(ConnectionString,ReportMonth,Table1[[#This Row],[Site ID (from DATIM)]],"[Measures].[TX_NEW_M_P]")</f>
        <v/>
      </c>
      <c r="BK315" s="68"/>
      <c r="BL315" s="68"/>
      <c r="BM315" s="68"/>
      <c r="BN315" s="68"/>
      <c r="BO315" s="68"/>
      <c r="BP315" s="68"/>
      <c r="BQ315" s="68" vm="7738">
        <f>CUBEVALUE(ConnectionString,ReportMonth,Table1[[#This Row],[Site ID (from DATIM)]],"[Measures].[TX_CURR_F_P]")</f>
        <v>11</v>
      </c>
      <c r="BR315" s="68" vm="11199">
        <f>CUBEVALUE(ConnectionString,ReportMonth,Table1[[#This Row],[Site ID (from DATIM)]],"[Measures].[TX_CURR_M_P]")</f>
        <v>7</v>
      </c>
      <c r="BS315" s="68" vm="13651">
        <f>CUBEVALUE(ConnectionString,ReportMonth,Table1[[#This Row],[Site ID (from DATIM)]],"[Measures].[TX_CURR_F_A]")</f>
        <v>259</v>
      </c>
      <c r="BT315" s="68" vm="10955">
        <f>CUBEVALUE(ConnectionString,ReportMonth,Table1[[#This Row],[Site ID (from DATIM)]],"[Measures].[TX_CURR_M_A]")</f>
        <v>109</v>
      </c>
      <c r="BU315" s="68" vm="18766">
        <f>CUBEVALUE(ConnectionString,ReportMonth,Table1[[#This Row],[Site ID (from DATIM)]],"[Measures].[MMS_01_89_F_P]")</f>
        <v>7</v>
      </c>
      <c r="BV315" s="68" vm="18646">
        <f>CUBEVALUE(ConnectionString,ReportMonth,Table1[[#This Row],[Site ID (from DATIM)]],"[Measures].[MMS_01_89_M_P]")</f>
        <v>7</v>
      </c>
      <c r="BW315" s="68" vm="19237">
        <f>CUBEVALUE(ConnectionString,ReportMonth,Table1[[#This Row],[Site ID (from DATIM)]],"[Measures].[MMS_01_89_F_A]")</f>
        <v>101</v>
      </c>
      <c r="BX315" s="68" vm="19140">
        <f>CUBEVALUE(ConnectionString,ReportMonth,Table1[[#This Row],[Site ID (from DATIM)]],"[Measures].[MMS_01_89_M_A]")</f>
        <v>52</v>
      </c>
      <c r="BY315" s="68" vm="14764">
        <f>CUBEVALUE(ConnectionString,ReportMonth,Table1[[#This Row],[Site ID (from DATIM)]],"[Measures].[MMS_90_179_F_P]")</f>
        <v>4</v>
      </c>
      <c r="BZ315" s="68" t="str" vm="15036">
        <f>CUBEVALUE(ConnectionString,ReportMonth,Table1[[#This Row],[Site ID (from DATIM)]],"[Measures].[MMS_90_179_M_P]")</f>
        <v/>
      </c>
      <c r="CA315" s="68" vm="15135">
        <f>CUBEVALUE(ConnectionString,ReportMonth,Table1[[#This Row],[Site ID (from DATIM)]],"[Measures].[MMS_90_179_F_A]")</f>
        <v>158</v>
      </c>
      <c r="CB315" s="68" vm="17665">
        <f>CUBEVALUE(ConnectionString,ReportMonth,Table1[[#This Row],[Site ID (from DATIM)]],"[Measures].[MMS_90_179_M_A]")</f>
        <v>57</v>
      </c>
      <c r="CC315" s="68" t="str" vm="16357">
        <f>CUBEVALUE(ConnectionString,ReportMonth,Table1[[#This Row],[Site ID (from DATIM)]],"[Measures].[MMS_180+_F_P]")</f>
        <v/>
      </c>
      <c r="CD315" s="68" t="str" vm="16325">
        <f>CUBEVALUE(ConnectionString,ReportMonth,Table1[[#This Row],[Site ID (from DATIM)]],"[Measures].[MMS_180+_M_P]")</f>
        <v/>
      </c>
      <c r="CE315" s="68" t="str" vm="14537">
        <f>CUBEVALUE(ConnectionString,ReportMonth,Table1[[#This Row],[Site ID (from DATIM)]],"[Measures].[MMS_180+_F_A]")</f>
        <v/>
      </c>
      <c r="CF315" s="68" t="str" vm="27">
        <f>CUBEVALUE(ConnectionString,ReportMonth,Table1[[#This Row],[Site ID (from DATIM)]],"[Measures].[MMS_180+_M_A]")</f>
        <v/>
      </c>
      <c r="CG315" s="68" vm="12765">
        <f>CUBEVALUE(ConnectionString,ReportMonth,Table1[[#This Row],[Site ID (from DATIM)]],"[Measures].[MISSEDAPP]")</f>
        <v>123</v>
      </c>
      <c r="CH315" s="68" t="str" vm="8739">
        <f>CUBEVALUE(ConnectionString,ReportMonth,Table1[[#This Row],[Site ID (from DATIM)]],"[Measures].[MMS_180+_P]")</f>
        <v/>
      </c>
      <c r="CI315" s="68" t="str" vm="13446">
        <f>CUBEVALUE(ConnectionString,ReportMonth,Table1[[#This Row],[Site ID (from DATIM)]],"[Measures].[MMS_180+_A]")</f>
        <v/>
      </c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  <c r="CW315" s="68"/>
      <c r="CX315" s="68"/>
      <c r="CY315" s="68"/>
      <c r="CZ315" s="68"/>
      <c r="DA315" s="68"/>
      <c r="DB315" s="68"/>
      <c r="DC315" s="68"/>
    </row>
    <row r="316" spans="1:107" x14ac:dyDescent="0.25">
      <c r="A316" s="66">
        <v>4</v>
      </c>
      <c r="B316" s="67" t="str" vm="4">
        <f t="shared" si="5"/>
        <v>Mar-2021</v>
      </c>
      <c r="C316" s="67"/>
      <c r="D316" s="67" t="s">
        <v>232</v>
      </c>
      <c r="E316" s="67" t="s">
        <v>233</v>
      </c>
      <c r="F316" s="67" t="s">
        <v>234</v>
      </c>
      <c r="G316" s="67"/>
      <c r="H316" s="67" t="s">
        <v>305</v>
      </c>
      <c r="I316" s="67" t="s">
        <v>306</v>
      </c>
      <c r="J316" s="67" t="s">
        <v>364</v>
      </c>
      <c r="K316" s="67" t="s">
        <v>365</v>
      </c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 t="str" vm="2121">
        <f>CUBEVALUE(ConnectionString,ReportMonth,Table1[[#This Row],[Site ID (from DATIM)]],"TX_NEW_2VIS")</f>
        <v/>
      </c>
      <c r="AE316" s="67" t="str" vm="773">
        <f>CUBEVALUE(ConnectionString,ReportMonth,Table1[[#This Row],[Site ID (from DATIM)]],INDEX(SDI_Measures,1))</f>
        <v/>
      </c>
      <c r="AF316" s="67" t="str" vm="3926">
        <f>CUBEVALUE(ConnectionString,ReportMonth,Table1[[#This Row],[Site ID (from DATIM)]],INDEX(SDI_Measures,2))</f>
        <v/>
      </c>
      <c r="AG316" s="67" t="str" vm="3187">
        <f>CUBEVALUE(ConnectionString,ReportMonth,Table1[[#This Row],[Site ID (from DATIM)]],INDEX(SDI_Measures,3))</f>
        <v/>
      </c>
      <c r="AH316" s="67" vm="960">
        <f>CUBEVALUE(ConnectionString,ReportMonth,Table1[[#This Row],[Site ID (from DATIM)]],"TX_CURR_PRIOR_MONTH")</f>
        <v>7</v>
      </c>
      <c r="AI316" s="67" vm="567">
        <f>CUBEVALUE(ConnectionString,ReportMonth,Table1[[#This Row],[Site ID (from DATIM)]],"TX_CURR")</f>
        <v>7</v>
      </c>
      <c r="AJ316" s="67" t="str" vm="2254">
        <f>CUBEVALUE(ConnectionString,ReportMonth,Table1[[#This Row],[Site ID (from DATIM)]],"[Measures].[TI]")</f>
        <v/>
      </c>
      <c r="AK316" s="67" t="str" vm="3469">
        <f>CUBEVALUE(ConnectionString,ReportMonth,Table1[[#This Row],[Site ID (from DATIM)]],"[Measures].[TO]")</f>
        <v/>
      </c>
      <c r="AL316" s="67" t="str" vm="2810">
        <f>CUBEVALUE(ConnectionString,ReportMonth,Table1[[#This Row],[Site ID (from DATIM)]],"[Measures].[DIED]")</f>
        <v/>
      </c>
      <c r="AM316" s="67" vm="4006">
        <f>CUBEVALUE(ConnectionString,ReportMonth,Table1[[#This Row],[Site ID (from DATIM)]],"[Measures].[MMS_01_31]")</f>
        <v>7</v>
      </c>
      <c r="AN316" s="67" t="str" vm="10720">
        <f>CUBEVALUE(ConnectionString,ReportMonth,Table1[[#This Row],[Site ID (from DATIM)]],"[Measures].[MMS_32_62]")</f>
        <v/>
      </c>
      <c r="AO316" s="67" t="str" vm="5700">
        <f>CUBEVALUE(ConnectionString,ReportMonth,Table1[[#This Row],[Site ID (from DATIM)]],"[Measures].[MMS_63+]")</f>
        <v/>
      </c>
      <c r="AP316" s="67" t="str" vm="6462">
        <f>CUBEVALUE(ConnectionString,ReportMonth,Table1[[#This Row],[Site ID (from DATIM)]],"[Measures].[TBPREV_D]")</f>
        <v/>
      </c>
      <c r="AQ316" s="67" t="str" vm="7653">
        <f>CUBEVALUE(ConnectionString,ReportMonth,Table1[[#This Row],[Site ID (from DATIM)]],"[Measures].[TBPREV_N]")</f>
        <v/>
      </c>
      <c r="AR316" s="67" t="str" vm="6692">
        <f>CUBEVALUE(ConnectionString,ReportMonth,Table1[[#This Row],[Site ID (from DATIM)]],"[Measures].[TBPREV_NEW]")</f>
        <v/>
      </c>
      <c r="AS316" s="67" t="str" vm="4691">
        <f>CUBEVALUE(ConnectionString,ReportMonth,Table1[[#This Row],[Site ID (from DATIM)]],"[Measures].[HVL_ELIG_P]")</f>
        <v/>
      </c>
      <c r="AT316" s="67" t="str" vm="9809">
        <f>CUBEVALUE(ConnectionString,ReportMonth,Table1[[#This Row],[Site ID (from DATIM)]],"[Measures].[HVL_D_P]")</f>
        <v/>
      </c>
      <c r="AU316" s="67" t="str" vm="11623">
        <f>CUBEVALUE(ConnectionString,ReportMonth,Table1[[#This Row],[Site ID (from DATIM)]],"[Measures].[HVL_N_P]")</f>
        <v/>
      </c>
      <c r="AV316" s="68" vm="12187">
        <f>CUBEVALUE(ConnectionString,ReportMonth,Table1[[#This Row],[Site ID (from DATIM)]],"[Measures].[HVL_ELIG_A]")</f>
        <v>6</v>
      </c>
      <c r="AW316" s="68" vm="8069">
        <f>CUBEVALUE(ConnectionString,ReportMonth,Table1[[#This Row],[Site ID (from DATIM)]],"[Measures].[HVL_D_A]")</f>
        <v>3</v>
      </c>
      <c r="AX316" s="68" vm="11350">
        <f>CUBEVALUE(ConnectionString,ReportMonth,Table1[[#This Row],[Site ID (from DATIM)]],"[Measures].[HVL_N_A]")</f>
        <v>3</v>
      </c>
      <c r="AY316" s="67"/>
      <c r="AZ316" s="67"/>
      <c r="BA316" s="67"/>
      <c r="BB316" s="67"/>
      <c r="BC316" s="67"/>
      <c r="BD316" s="67"/>
      <c r="BE316" s="67"/>
      <c r="BF316" s="67"/>
      <c r="BG316" s="67" t="str" vm="11001">
        <f>CUBEVALUE(ConnectionString,ReportMonth,Table1[[#This Row],[Site ID (from DATIM)]],"[Measures].[TX_NEW_F_A]")</f>
        <v/>
      </c>
      <c r="BH316" s="67" t="str" vm="11426">
        <f>CUBEVALUE(ConnectionString,ReportMonth,Table1[[#This Row],[Site ID (from DATIM)]],"[Measures].[TX_NEW_M_A]")</f>
        <v/>
      </c>
      <c r="BI316" s="67" t="str" vm="12712">
        <f>CUBEVALUE(ConnectionString,ReportMonth,Table1[[#This Row],[Site ID (from DATIM)]],"[Measures].[TX_NEW_F_P]")</f>
        <v/>
      </c>
      <c r="BJ316" s="68" t="str" vm="15645">
        <f>CUBEVALUE(ConnectionString,ReportMonth,Table1[[#This Row],[Site ID (from DATIM)]],"[Measures].[TX_NEW_M_P]")</f>
        <v/>
      </c>
      <c r="BK316" s="68"/>
      <c r="BL316" s="68"/>
      <c r="BM316" s="68"/>
      <c r="BN316" s="68"/>
      <c r="BO316" s="68"/>
      <c r="BP316" s="68"/>
      <c r="BQ316" s="68" t="str" vm="7730">
        <f>CUBEVALUE(ConnectionString,ReportMonth,Table1[[#This Row],[Site ID (from DATIM)]],"[Measures].[TX_CURR_F_P]")</f>
        <v/>
      </c>
      <c r="BR316" s="68" t="str" vm="8471">
        <f>CUBEVALUE(ConnectionString,ReportMonth,Table1[[#This Row],[Site ID (from DATIM)]],"[Measures].[TX_CURR_M_P]")</f>
        <v/>
      </c>
      <c r="BS316" s="68" vm="13077">
        <f>CUBEVALUE(ConnectionString,ReportMonth,Table1[[#This Row],[Site ID (from DATIM)]],"[Measures].[TX_CURR_F_A]")</f>
        <v>7</v>
      </c>
      <c r="BT316" s="68" t="str" vm="12920">
        <f>CUBEVALUE(ConnectionString,ReportMonth,Table1[[#This Row],[Site ID (from DATIM)]],"[Measures].[TX_CURR_M_A]")</f>
        <v/>
      </c>
      <c r="BU316" s="68" t="str" vm="18298">
        <f>CUBEVALUE(ConnectionString,ReportMonth,Table1[[#This Row],[Site ID (from DATIM)]],"[Measures].[MMS_01_89_F_P]")</f>
        <v/>
      </c>
      <c r="BV316" s="68" t="str" vm="18125">
        <f>CUBEVALUE(ConnectionString,ReportMonth,Table1[[#This Row],[Site ID (from DATIM)]],"[Measures].[MMS_01_89_M_P]")</f>
        <v/>
      </c>
      <c r="BW316" s="68" vm="19432">
        <f>CUBEVALUE(ConnectionString,ReportMonth,Table1[[#This Row],[Site ID (from DATIM)]],"[Measures].[MMS_01_89_F_A]")</f>
        <v>7</v>
      </c>
      <c r="BX316" s="68" t="str" vm="18542">
        <f>CUBEVALUE(ConnectionString,ReportMonth,Table1[[#This Row],[Site ID (from DATIM)]],"[Measures].[MMS_01_89_M_A]")</f>
        <v/>
      </c>
      <c r="BY316" s="68" t="str" vm="19886">
        <f>CUBEVALUE(ConnectionString,ReportMonth,Table1[[#This Row],[Site ID (from DATIM)]],"[Measures].[MMS_90_179_F_P]")</f>
        <v/>
      </c>
      <c r="BZ316" s="68" t="str" vm="18809">
        <f>CUBEVALUE(ConnectionString,ReportMonth,Table1[[#This Row],[Site ID (from DATIM)]],"[Measures].[MMS_90_179_M_P]")</f>
        <v/>
      </c>
      <c r="CA316" s="68" t="str" vm="15116">
        <f>CUBEVALUE(ConnectionString,ReportMonth,Table1[[#This Row],[Site ID (from DATIM)]],"[Measures].[MMS_90_179_F_A]")</f>
        <v/>
      </c>
      <c r="CB316" s="68" t="str" vm="16344">
        <f>CUBEVALUE(ConnectionString,ReportMonth,Table1[[#This Row],[Site ID (from DATIM)]],"[Measures].[MMS_90_179_M_A]")</f>
        <v/>
      </c>
      <c r="CC316" s="68" t="str" vm="16662">
        <f>CUBEVALUE(ConnectionString,ReportMonth,Table1[[#This Row],[Site ID (from DATIM)]],"[Measures].[MMS_180+_F_P]")</f>
        <v/>
      </c>
      <c r="CD316" s="68" t="str" vm="15497">
        <f>CUBEVALUE(ConnectionString,ReportMonth,Table1[[#This Row],[Site ID (from DATIM)]],"[Measures].[MMS_180+_M_P]")</f>
        <v/>
      </c>
      <c r="CE316" s="68" t="str" vm="20215">
        <f>CUBEVALUE(ConnectionString,ReportMonth,Table1[[#This Row],[Site ID (from DATIM)]],"[Measures].[MMS_180+_F_A]")</f>
        <v/>
      </c>
      <c r="CF316" s="68" t="str" vm="15786">
        <f>CUBEVALUE(ConnectionString,ReportMonth,Table1[[#This Row],[Site ID (from DATIM)]],"[Measures].[MMS_180+_M_A]")</f>
        <v/>
      </c>
      <c r="CG316" s="68" vm="6877">
        <f>CUBEVALUE(ConnectionString,ReportMonth,Table1[[#This Row],[Site ID (from DATIM)]],"[Measures].[MISSEDAPP]")</f>
        <v>7</v>
      </c>
      <c r="CH316" s="68" t="str" vm="12939">
        <f>CUBEVALUE(ConnectionString,ReportMonth,Table1[[#This Row],[Site ID (from DATIM)]],"[Measures].[MMS_180+_P]")</f>
        <v/>
      </c>
      <c r="CI316" s="68" t="str" vm="10112">
        <f>CUBEVALUE(ConnectionString,ReportMonth,Table1[[#This Row],[Site ID (from DATIM)]],"[Measures].[MMS_180+_A]")</f>
        <v/>
      </c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  <c r="CW316" s="68"/>
      <c r="CX316" s="68"/>
      <c r="CY316" s="68"/>
      <c r="CZ316" s="68"/>
      <c r="DA316" s="68"/>
      <c r="DB316" s="68"/>
      <c r="DC316" s="68"/>
    </row>
    <row r="317" spans="1:107" x14ac:dyDescent="0.25">
      <c r="A317" s="66">
        <v>4</v>
      </c>
      <c r="B317" s="67" t="str" vm="4">
        <f t="shared" si="5"/>
        <v>Mar-2021</v>
      </c>
      <c r="C317" s="67"/>
      <c r="D317" s="67" t="s">
        <v>232</v>
      </c>
      <c r="E317" s="67" t="s">
        <v>233</v>
      </c>
      <c r="F317" s="67" t="s">
        <v>1286</v>
      </c>
      <c r="G317" s="67"/>
      <c r="H317" s="67" t="s">
        <v>1287</v>
      </c>
      <c r="I317" s="67" t="s">
        <v>1466</v>
      </c>
      <c r="J317" s="67" t="s">
        <v>1467</v>
      </c>
      <c r="K317" s="67" t="s">
        <v>1468</v>
      </c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 t="str" vm="1910">
        <f>CUBEVALUE(ConnectionString,ReportMonth,Table1[[#This Row],[Site ID (from DATIM)]],"TX_NEW_2VIS")</f>
        <v/>
      </c>
      <c r="AE317" s="67" t="str" vm="5510">
        <f>CUBEVALUE(ConnectionString,ReportMonth,Table1[[#This Row],[Site ID (from DATIM)]],INDEX(SDI_Measures,1))</f>
        <v/>
      </c>
      <c r="AF317" s="67" t="str" vm="1345">
        <f>CUBEVALUE(ConnectionString,ReportMonth,Table1[[#This Row],[Site ID (from DATIM)]],INDEX(SDI_Measures,2))</f>
        <v/>
      </c>
      <c r="AG317" s="67" t="str" vm="2092">
        <f>CUBEVALUE(ConnectionString,ReportMonth,Table1[[#This Row],[Site ID (from DATIM)]],INDEX(SDI_Measures,3))</f>
        <v/>
      </c>
      <c r="AH317" s="67" t="str" vm="1884">
        <f>CUBEVALUE(ConnectionString,ReportMonth,Table1[[#This Row],[Site ID (from DATIM)]],"TX_CURR_PRIOR_MONTH")</f>
        <v/>
      </c>
      <c r="AI317" s="67" t="str" vm="1822">
        <f>CUBEVALUE(ConnectionString,ReportMonth,Table1[[#This Row],[Site ID (from DATIM)]],"TX_CURR")</f>
        <v/>
      </c>
      <c r="AJ317" s="67" t="str" vm="3236">
        <f>CUBEVALUE(ConnectionString,ReportMonth,Table1[[#This Row],[Site ID (from DATIM)]],"[Measures].[TI]")</f>
        <v/>
      </c>
      <c r="AK317" s="67" t="str" vm="4146">
        <f>CUBEVALUE(ConnectionString,ReportMonth,Table1[[#This Row],[Site ID (from DATIM)]],"[Measures].[TO]")</f>
        <v/>
      </c>
      <c r="AL317" s="67" t="str" vm="1021">
        <f>CUBEVALUE(ConnectionString,ReportMonth,Table1[[#This Row],[Site ID (from DATIM)]],"[Measures].[DIED]")</f>
        <v/>
      </c>
      <c r="AM317" s="67" t="str" vm="6286">
        <f>CUBEVALUE(ConnectionString,ReportMonth,Table1[[#This Row],[Site ID (from DATIM)]],"[Measures].[MMS_01_31]")</f>
        <v/>
      </c>
      <c r="AN317" s="67" t="str" vm="7806">
        <f>CUBEVALUE(ConnectionString,ReportMonth,Table1[[#This Row],[Site ID (from DATIM)]],"[Measures].[MMS_32_62]")</f>
        <v/>
      </c>
      <c r="AO317" s="67" t="str" vm="5444">
        <f>CUBEVALUE(ConnectionString,ReportMonth,Table1[[#This Row],[Site ID (from DATIM)]],"[Measures].[MMS_63+]")</f>
        <v/>
      </c>
      <c r="AP317" s="67" t="str" vm="6182">
        <f>CUBEVALUE(ConnectionString,ReportMonth,Table1[[#This Row],[Site ID (from DATIM)]],"[Measures].[TBPREV_D]")</f>
        <v/>
      </c>
      <c r="AQ317" s="67" t="str" vm="5873">
        <f>CUBEVALUE(ConnectionString,ReportMonth,Table1[[#This Row],[Site ID (from DATIM)]],"[Measures].[TBPREV_N]")</f>
        <v/>
      </c>
      <c r="AR317" s="67" t="str" vm="6293">
        <f>CUBEVALUE(ConnectionString,ReportMonth,Table1[[#This Row],[Site ID (from DATIM)]],"[Measures].[TBPREV_NEW]")</f>
        <v/>
      </c>
      <c r="AS317" s="67" t="str" vm="7439">
        <f>CUBEVALUE(ConnectionString,ReportMonth,Table1[[#This Row],[Site ID (from DATIM)]],"[Measures].[HVL_ELIG_P]")</f>
        <v/>
      </c>
      <c r="AT317" s="67" t="str" vm="8762">
        <f>CUBEVALUE(ConnectionString,ReportMonth,Table1[[#This Row],[Site ID (from DATIM)]],"[Measures].[HVL_D_P]")</f>
        <v/>
      </c>
      <c r="AU317" s="67" t="str" vm="9947">
        <f>CUBEVALUE(ConnectionString,ReportMonth,Table1[[#This Row],[Site ID (from DATIM)]],"[Measures].[HVL_N_P]")</f>
        <v/>
      </c>
      <c r="AV317" s="68" t="str" vm="9188">
        <f>CUBEVALUE(ConnectionString,ReportMonth,Table1[[#This Row],[Site ID (from DATIM)]],"[Measures].[HVL_ELIG_A]")</f>
        <v/>
      </c>
      <c r="AW317" s="68" t="str" vm="12675">
        <f>CUBEVALUE(ConnectionString,ReportMonth,Table1[[#This Row],[Site ID (from DATIM)]],"[Measures].[HVL_D_A]")</f>
        <v/>
      </c>
      <c r="AX317" s="68" t="str" vm="12878">
        <f>CUBEVALUE(ConnectionString,ReportMonth,Table1[[#This Row],[Site ID (from DATIM)]],"[Measures].[HVL_N_A]")</f>
        <v/>
      </c>
      <c r="AY317" s="67"/>
      <c r="AZ317" s="67"/>
      <c r="BA317" s="67"/>
      <c r="BB317" s="67"/>
      <c r="BC317" s="67"/>
      <c r="BD317" s="67"/>
      <c r="BE317" s="67"/>
      <c r="BF317" s="67"/>
      <c r="BG317" s="67" t="str" vm="13119">
        <f>CUBEVALUE(ConnectionString,ReportMonth,Table1[[#This Row],[Site ID (from DATIM)]],"[Measures].[TX_NEW_F_A]")</f>
        <v/>
      </c>
      <c r="BH317" s="67" t="str" vm="13139">
        <f>CUBEVALUE(ConnectionString,ReportMonth,Table1[[#This Row],[Site ID (from DATIM)]],"[Measures].[TX_NEW_M_A]")</f>
        <v/>
      </c>
      <c r="BI317" s="67" t="str" vm="12659">
        <f>CUBEVALUE(ConnectionString,ReportMonth,Table1[[#This Row],[Site ID (from DATIM)]],"[Measures].[TX_NEW_F_P]")</f>
        <v/>
      </c>
      <c r="BJ317" s="68" t="str" vm="13477">
        <f>CUBEVALUE(ConnectionString,ReportMonth,Table1[[#This Row],[Site ID (from DATIM)]],"[Measures].[TX_NEW_M_P]")</f>
        <v/>
      </c>
      <c r="BK317" s="68"/>
      <c r="BL317" s="68"/>
      <c r="BM317" s="68"/>
      <c r="BN317" s="68"/>
      <c r="BO317" s="68"/>
      <c r="BP317" s="68"/>
      <c r="BQ317" s="68" t="str" vm="13911">
        <f>CUBEVALUE(ConnectionString,ReportMonth,Table1[[#This Row],[Site ID (from DATIM)]],"[Measures].[TX_CURR_F_P]")</f>
        <v/>
      </c>
      <c r="BR317" s="68" t="str" vm="10004">
        <f>CUBEVALUE(ConnectionString,ReportMonth,Table1[[#This Row],[Site ID (from DATIM)]],"[Measures].[TX_CURR_M_P]")</f>
        <v/>
      </c>
      <c r="BS317" s="68" t="str" vm="9683">
        <f>CUBEVALUE(ConnectionString,ReportMonth,Table1[[#This Row],[Site ID (from DATIM)]],"[Measures].[TX_CURR_F_A]")</f>
        <v/>
      </c>
      <c r="BT317" s="68" t="str" vm="11854">
        <f>CUBEVALUE(ConnectionString,ReportMonth,Table1[[#This Row],[Site ID (from DATIM)]],"[Measures].[TX_CURR_M_A]")</f>
        <v/>
      </c>
      <c r="BU317" s="68" t="str" vm="20050">
        <f>CUBEVALUE(ConnectionString,ReportMonth,Table1[[#This Row],[Site ID (from DATIM)]],"[Measures].[MMS_01_89_F_P]")</f>
        <v/>
      </c>
      <c r="BV317" s="68" t="str" vm="20140">
        <f>CUBEVALUE(ConnectionString,ReportMonth,Table1[[#This Row],[Site ID (from DATIM)]],"[Measures].[MMS_01_89_M_P]")</f>
        <v/>
      </c>
      <c r="BW317" s="68" t="str" vm="18024">
        <f>CUBEVALUE(ConnectionString,ReportMonth,Table1[[#This Row],[Site ID (from DATIM)]],"[Measures].[MMS_01_89_F_A]")</f>
        <v/>
      </c>
      <c r="BX317" s="68" t="str" vm="15202">
        <f>CUBEVALUE(ConnectionString,ReportMonth,Table1[[#This Row],[Site ID (from DATIM)]],"[Measures].[MMS_01_89_M_A]")</f>
        <v/>
      </c>
      <c r="BY317" s="68" t="str" vm="19046">
        <f>CUBEVALUE(ConnectionString,ReportMonth,Table1[[#This Row],[Site ID (from DATIM)]],"[Measures].[MMS_90_179_F_P]")</f>
        <v/>
      </c>
      <c r="BZ317" s="68" t="str" vm="19060">
        <f>CUBEVALUE(ConnectionString,ReportMonth,Table1[[#This Row],[Site ID (from DATIM)]],"[Measures].[MMS_90_179_M_P]")</f>
        <v/>
      </c>
      <c r="CA317" s="68" t="str" vm="17595">
        <f>CUBEVALUE(ConnectionString,ReportMonth,Table1[[#This Row],[Site ID (from DATIM)]],"[Measures].[MMS_90_179_F_A]")</f>
        <v/>
      </c>
      <c r="CB317" s="68" t="str" vm="15154">
        <f>CUBEVALUE(ConnectionString,ReportMonth,Table1[[#This Row],[Site ID (from DATIM)]],"[Measures].[MMS_90_179_M_A]")</f>
        <v/>
      </c>
      <c r="CC317" s="68" t="str" vm="15000">
        <f>CUBEVALUE(ConnectionString,ReportMonth,Table1[[#This Row],[Site ID (from DATIM)]],"[Measures].[MMS_180+_F_P]")</f>
        <v/>
      </c>
      <c r="CD317" s="68" t="str" vm="17556">
        <f>CUBEVALUE(ConnectionString,ReportMonth,Table1[[#This Row],[Site ID (from DATIM)]],"[Measures].[MMS_180+_M_P]")</f>
        <v/>
      </c>
      <c r="CE317" s="68" t="str" vm="16315">
        <f>CUBEVALUE(ConnectionString,ReportMonth,Table1[[#This Row],[Site ID (from DATIM)]],"[Measures].[MMS_180+_F_A]")</f>
        <v/>
      </c>
      <c r="CF317" s="68" t="str" vm="236">
        <f>CUBEVALUE(ConnectionString,ReportMonth,Table1[[#This Row],[Site ID (from DATIM)]],"[Measures].[MMS_180+_M_A]")</f>
        <v/>
      </c>
      <c r="CG317" s="68" t="str" vm="5071">
        <f>CUBEVALUE(ConnectionString,ReportMonth,Table1[[#This Row],[Site ID (from DATIM)]],"[Measures].[MISSEDAPP]")</f>
        <v/>
      </c>
      <c r="CH317" s="68" t="str" vm="11277">
        <f>CUBEVALUE(ConnectionString,ReportMonth,Table1[[#This Row],[Site ID (from DATIM)]],"[Measures].[MMS_180+_P]")</f>
        <v/>
      </c>
      <c r="CI317" s="68" t="str" vm="10897">
        <f>CUBEVALUE(ConnectionString,ReportMonth,Table1[[#This Row],[Site ID (from DATIM)]],"[Measures].[MMS_180+_A]")</f>
        <v/>
      </c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  <c r="CW317" s="68"/>
      <c r="CX317" s="68"/>
      <c r="CY317" s="68"/>
      <c r="CZ317" s="68"/>
      <c r="DA317" s="68"/>
      <c r="DB317" s="68"/>
      <c r="DC317" s="68"/>
    </row>
    <row r="318" spans="1:107" x14ac:dyDescent="0.25">
      <c r="A318" s="66">
        <v>4</v>
      </c>
      <c r="B318" s="67" t="str" vm="4">
        <f t="shared" si="5"/>
        <v>Mar-2021</v>
      </c>
      <c r="C318" s="67"/>
      <c r="D318" s="67" t="s">
        <v>232</v>
      </c>
      <c r="E318" s="67" t="s">
        <v>233</v>
      </c>
      <c r="F318" s="67" t="s">
        <v>1286</v>
      </c>
      <c r="G318" s="67"/>
      <c r="H318" s="67" t="s">
        <v>1323</v>
      </c>
      <c r="I318" s="67" t="s">
        <v>1375</v>
      </c>
      <c r="J318" s="67" t="s">
        <v>1469</v>
      </c>
      <c r="K318" s="67" t="s">
        <v>1470</v>
      </c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 t="str" vm="1182">
        <f>CUBEVALUE(ConnectionString,ReportMonth,Table1[[#This Row],[Site ID (from DATIM)]],"TX_NEW_2VIS")</f>
        <v/>
      </c>
      <c r="AE318" s="67" t="str" vm="1348">
        <f>CUBEVALUE(ConnectionString,ReportMonth,Table1[[#This Row],[Site ID (from DATIM)]],INDEX(SDI_Measures,1))</f>
        <v/>
      </c>
      <c r="AF318" s="67" t="str" vm="693">
        <f>CUBEVALUE(ConnectionString,ReportMonth,Table1[[#This Row],[Site ID (from DATIM)]],INDEX(SDI_Measures,2))</f>
        <v/>
      </c>
      <c r="AG318" s="67" t="str" vm="1760">
        <f>CUBEVALUE(ConnectionString,ReportMonth,Table1[[#This Row],[Site ID (from DATIM)]],INDEX(SDI_Measures,3))</f>
        <v/>
      </c>
      <c r="AH318" s="67" t="str" vm="3005">
        <f>CUBEVALUE(ConnectionString,ReportMonth,Table1[[#This Row],[Site ID (from DATIM)]],"TX_CURR_PRIOR_MONTH")</f>
        <v/>
      </c>
      <c r="AI318" s="67" t="str" vm="2338">
        <f>CUBEVALUE(ConnectionString,ReportMonth,Table1[[#This Row],[Site ID (from DATIM)]],"TX_CURR")</f>
        <v/>
      </c>
      <c r="AJ318" s="67" t="str" vm="3032">
        <f>CUBEVALUE(ConnectionString,ReportMonth,Table1[[#This Row],[Site ID (from DATIM)]],"[Measures].[TI]")</f>
        <v/>
      </c>
      <c r="AK318" s="67" t="str" vm="3891">
        <f>CUBEVALUE(ConnectionString,ReportMonth,Table1[[#This Row],[Site ID (from DATIM)]],"[Measures].[TO]")</f>
        <v/>
      </c>
      <c r="AL318" s="67" t="str" vm="3909">
        <f>CUBEVALUE(ConnectionString,ReportMonth,Table1[[#This Row],[Site ID (from DATIM)]],"[Measures].[DIED]")</f>
        <v/>
      </c>
      <c r="AM318" s="67" t="str" vm="3369">
        <f>CUBEVALUE(ConnectionString,ReportMonth,Table1[[#This Row],[Site ID (from DATIM)]],"[Measures].[MMS_01_31]")</f>
        <v/>
      </c>
      <c r="AN318" s="67" t="str" vm="5295">
        <f>CUBEVALUE(ConnectionString,ReportMonth,Table1[[#This Row],[Site ID (from DATIM)]],"[Measures].[MMS_32_62]")</f>
        <v/>
      </c>
      <c r="AO318" s="67" t="str" vm="7066">
        <f>CUBEVALUE(ConnectionString,ReportMonth,Table1[[#This Row],[Site ID (from DATIM)]],"[Measures].[MMS_63+]")</f>
        <v/>
      </c>
      <c r="AP318" s="67" t="str" vm="5768">
        <f>CUBEVALUE(ConnectionString,ReportMonth,Table1[[#This Row],[Site ID (from DATIM)]],"[Measures].[TBPREV_D]")</f>
        <v/>
      </c>
      <c r="AQ318" s="67" t="str" vm="6250">
        <f>CUBEVALUE(ConnectionString,ReportMonth,Table1[[#This Row],[Site ID (from DATIM)]],"[Measures].[TBPREV_N]")</f>
        <v/>
      </c>
      <c r="AR318" s="67" t="str" vm="5385">
        <f>CUBEVALUE(ConnectionString,ReportMonth,Table1[[#This Row],[Site ID (from DATIM)]],"[Measures].[TBPREV_NEW]")</f>
        <v/>
      </c>
      <c r="AS318" s="67" t="str" vm="11769">
        <f>CUBEVALUE(ConnectionString,ReportMonth,Table1[[#This Row],[Site ID (from DATIM)]],"[Measures].[HVL_ELIG_P]")</f>
        <v/>
      </c>
      <c r="AT318" s="67" t="str" vm="4947">
        <f>CUBEVALUE(ConnectionString,ReportMonth,Table1[[#This Row],[Site ID (from DATIM)]],"[Measures].[HVL_D_P]")</f>
        <v/>
      </c>
      <c r="AU318" s="67" t="str" vm="9720">
        <f>CUBEVALUE(ConnectionString,ReportMonth,Table1[[#This Row],[Site ID (from DATIM)]],"[Measures].[HVL_N_P]")</f>
        <v/>
      </c>
      <c r="AV318" s="68" t="str" vm="9543">
        <f>CUBEVALUE(ConnectionString,ReportMonth,Table1[[#This Row],[Site ID (from DATIM)]],"[Measures].[HVL_ELIG_A]")</f>
        <v/>
      </c>
      <c r="AW318" s="68" t="str" vm="10740">
        <f>CUBEVALUE(ConnectionString,ReportMonth,Table1[[#This Row],[Site ID (from DATIM)]],"[Measures].[HVL_D_A]")</f>
        <v/>
      </c>
      <c r="AX318" s="68" t="str" vm="9998">
        <f>CUBEVALUE(ConnectionString,ReportMonth,Table1[[#This Row],[Site ID (from DATIM)]],"[Measures].[HVL_N_A]")</f>
        <v/>
      </c>
      <c r="AY318" s="67"/>
      <c r="AZ318" s="67"/>
      <c r="BA318" s="67"/>
      <c r="BB318" s="67"/>
      <c r="BC318" s="67"/>
      <c r="BD318" s="67"/>
      <c r="BE318" s="67"/>
      <c r="BF318" s="67"/>
      <c r="BG318" s="67" t="str" vm="12218">
        <f>CUBEVALUE(ConnectionString,ReportMonth,Table1[[#This Row],[Site ID (from DATIM)]],"[Measures].[TX_NEW_F_A]")</f>
        <v/>
      </c>
      <c r="BH318" s="67" t="str" vm="10433">
        <f>CUBEVALUE(ConnectionString,ReportMonth,Table1[[#This Row],[Site ID (from DATIM)]],"[Measures].[TX_NEW_M_A]")</f>
        <v/>
      </c>
      <c r="BI318" s="67" t="str" vm="16155">
        <f>CUBEVALUE(ConnectionString,ReportMonth,Table1[[#This Row],[Site ID (from DATIM)]],"[Measures].[TX_NEW_F_P]")</f>
        <v/>
      </c>
      <c r="BJ318" s="68" t="str" vm="14829">
        <f>CUBEVALUE(ConnectionString,ReportMonth,Table1[[#This Row],[Site ID (from DATIM)]],"[Measures].[TX_NEW_M_P]")</f>
        <v/>
      </c>
      <c r="BK318" s="68"/>
      <c r="BL318" s="68"/>
      <c r="BM318" s="68"/>
      <c r="BN318" s="68"/>
      <c r="BO318" s="68"/>
      <c r="BP318" s="68"/>
      <c r="BQ318" s="68" t="str" vm="12464">
        <f>CUBEVALUE(ConnectionString,ReportMonth,Table1[[#This Row],[Site ID (from DATIM)]],"[Measures].[TX_CURR_F_P]")</f>
        <v/>
      </c>
      <c r="BR318" s="68" t="str" vm="7718">
        <f>CUBEVALUE(ConnectionString,ReportMonth,Table1[[#This Row],[Site ID (from DATIM)]],"[Measures].[TX_CURR_M_P]")</f>
        <v/>
      </c>
      <c r="BS318" s="68" t="str" vm="12369">
        <f>CUBEVALUE(ConnectionString,ReportMonth,Table1[[#This Row],[Site ID (from DATIM)]],"[Measures].[TX_CURR_F_A]")</f>
        <v/>
      </c>
      <c r="BT318" s="68" t="str" vm="13595">
        <f>CUBEVALUE(ConnectionString,ReportMonth,Table1[[#This Row],[Site ID (from DATIM)]],"[Measures].[TX_CURR_M_A]")</f>
        <v/>
      </c>
      <c r="BU318" s="68" t="str" vm="19543">
        <f>CUBEVALUE(ConnectionString,ReportMonth,Table1[[#This Row],[Site ID (from DATIM)]],"[Measures].[MMS_01_89_F_P]")</f>
        <v/>
      </c>
      <c r="BV318" s="68" t="str" vm="17943">
        <f>CUBEVALUE(ConnectionString,ReportMonth,Table1[[#This Row],[Site ID (from DATIM)]],"[Measures].[MMS_01_89_M_P]")</f>
        <v/>
      </c>
      <c r="BW318" s="68" t="str" vm="17922">
        <f>CUBEVALUE(ConnectionString,ReportMonth,Table1[[#This Row],[Site ID (from DATIM)]],"[Measures].[MMS_01_89_F_A]")</f>
        <v/>
      </c>
      <c r="BX318" s="68" t="str" vm="17780">
        <f>CUBEVALUE(ConnectionString,ReportMonth,Table1[[#This Row],[Site ID (from DATIM)]],"[Measures].[MMS_01_89_M_A]")</f>
        <v/>
      </c>
      <c r="BY318" s="68" t="str" vm="18229">
        <f>CUBEVALUE(ConnectionString,ReportMonth,Table1[[#This Row],[Site ID (from DATIM)]],"[Measures].[MMS_90_179_F_P]")</f>
        <v/>
      </c>
      <c r="BZ318" s="68" t="str" vm="18222">
        <f>CUBEVALUE(ConnectionString,ReportMonth,Table1[[#This Row],[Site ID (from DATIM)]],"[Measures].[MMS_90_179_M_P]")</f>
        <v/>
      </c>
      <c r="CA318" s="68" t="str" vm="16953">
        <f>CUBEVALUE(ConnectionString,ReportMonth,Table1[[#This Row],[Site ID (from DATIM)]],"[Measures].[MMS_90_179_F_A]")</f>
        <v/>
      </c>
      <c r="CB318" s="68" t="str" vm="17689">
        <f>CUBEVALUE(ConnectionString,ReportMonth,Table1[[#This Row],[Site ID (from DATIM)]],"[Measures].[MMS_90_179_M_A]")</f>
        <v/>
      </c>
      <c r="CC318" s="68" t="str" vm="16005">
        <f>CUBEVALUE(ConnectionString,ReportMonth,Table1[[#This Row],[Site ID (from DATIM)]],"[Measures].[MMS_180+_F_P]")</f>
        <v/>
      </c>
      <c r="CD318" s="68" t="str" vm="14476">
        <f>CUBEVALUE(ConnectionString,ReportMonth,Table1[[#This Row],[Site ID (from DATIM)]],"[Measures].[MMS_180+_M_P]")</f>
        <v/>
      </c>
      <c r="CE318" s="68" t="str" vm="16290">
        <f>CUBEVALUE(ConnectionString,ReportMonth,Table1[[#This Row],[Site ID (from DATIM)]],"[Measures].[MMS_180+_F_A]")</f>
        <v/>
      </c>
      <c r="CF318" s="68" t="str" vm="15415">
        <f>CUBEVALUE(ConnectionString,ReportMonth,Table1[[#This Row],[Site ID (from DATIM)]],"[Measures].[MMS_180+_M_A]")</f>
        <v/>
      </c>
      <c r="CG318" s="68" t="str" vm="4993">
        <f>CUBEVALUE(ConnectionString,ReportMonth,Table1[[#This Row],[Site ID (from DATIM)]],"[Measures].[MISSEDAPP]")</f>
        <v/>
      </c>
      <c r="CH318" s="68" t="str" vm="10849">
        <f>CUBEVALUE(ConnectionString,ReportMonth,Table1[[#This Row],[Site ID (from DATIM)]],"[Measures].[MMS_180+_P]")</f>
        <v/>
      </c>
      <c r="CI318" s="68" t="str" vm="12255">
        <f>CUBEVALUE(ConnectionString,ReportMonth,Table1[[#This Row],[Site ID (from DATIM)]],"[Measures].[MMS_180+_A]")</f>
        <v/>
      </c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  <c r="CW318" s="68"/>
      <c r="CX318" s="68"/>
      <c r="CY318" s="68"/>
      <c r="CZ318" s="68"/>
      <c r="DA318" s="68"/>
      <c r="DB318" s="68"/>
      <c r="DC318" s="68"/>
    </row>
    <row r="319" spans="1:107" x14ac:dyDescent="0.25">
      <c r="A319" s="66">
        <v>4</v>
      </c>
      <c r="B319" s="67" t="str" vm="4">
        <f t="shared" si="5"/>
        <v>Mar-2021</v>
      </c>
      <c r="C319" s="67"/>
      <c r="D319" s="67" t="s">
        <v>232</v>
      </c>
      <c r="E319" s="67" t="s">
        <v>233</v>
      </c>
      <c r="F319" s="67" t="s">
        <v>1286</v>
      </c>
      <c r="G319" s="67"/>
      <c r="H319" s="67" t="s">
        <v>1344</v>
      </c>
      <c r="I319" s="67" t="s">
        <v>1471</v>
      </c>
      <c r="J319" s="67" t="s">
        <v>1472</v>
      </c>
      <c r="K319" s="67" t="s">
        <v>1473</v>
      </c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 t="str" vm="2282">
        <f>CUBEVALUE(ConnectionString,ReportMonth,Table1[[#This Row],[Site ID (from DATIM)]],"TX_NEW_2VIS")</f>
        <v/>
      </c>
      <c r="AE319" s="67" t="str" vm="6845">
        <f>CUBEVALUE(ConnectionString,ReportMonth,Table1[[#This Row],[Site ID (from DATIM)]],INDEX(SDI_Measures,1))</f>
        <v/>
      </c>
      <c r="AF319" s="67" t="str" vm="2883">
        <f>CUBEVALUE(ConnectionString,ReportMonth,Table1[[#This Row],[Site ID (from DATIM)]],INDEX(SDI_Measures,2))</f>
        <v/>
      </c>
      <c r="AG319" s="67" t="str" vm="126">
        <f>CUBEVALUE(ConnectionString,ReportMonth,Table1[[#This Row],[Site ID (from DATIM)]],INDEX(SDI_Measures,3))</f>
        <v/>
      </c>
      <c r="AH319" s="67" t="str" vm="2063">
        <f>CUBEVALUE(ConnectionString,ReportMonth,Table1[[#This Row],[Site ID (from DATIM)]],"TX_CURR_PRIOR_MONTH")</f>
        <v/>
      </c>
      <c r="AI319" s="67" t="str" vm="2733">
        <f>CUBEVALUE(ConnectionString,ReportMonth,Table1[[#This Row],[Site ID (from DATIM)]],"TX_CURR")</f>
        <v/>
      </c>
      <c r="AJ319" s="67" t="str" vm="573">
        <f>CUBEVALUE(ConnectionString,ReportMonth,Table1[[#This Row],[Site ID (from DATIM)]],"[Measures].[TI]")</f>
        <v/>
      </c>
      <c r="AK319" s="67" t="str" vm="6455">
        <f>CUBEVALUE(ConnectionString,ReportMonth,Table1[[#This Row],[Site ID (from DATIM)]],"[Measures].[TO]")</f>
        <v/>
      </c>
      <c r="AL319" s="67" t="str" vm="2632">
        <f>CUBEVALUE(ConnectionString,ReportMonth,Table1[[#This Row],[Site ID (from DATIM)]],"[Measures].[DIED]")</f>
        <v/>
      </c>
      <c r="AM319" s="67" t="str" vm="5519">
        <f>CUBEVALUE(ConnectionString,ReportMonth,Table1[[#This Row],[Site ID (from DATIM)]],"[Measures].[MMS_01_31]")</f>
        <v/>
      </c>
      <c r="AN319" s="67" t="str" vm="7083">
        <f>CUBEVALUE(ConnectionString,ReportMonth,Table1[[#This Row],[Site ID (from DATIM)]],"[Measures].[MMS_32_62]")</f>
        <v/>
      </c>
      <c r="AO319" s="67" t="str" vm="5212">
        <f>CUBEVALUE(ConnectionString,ReportMonth,Table1[[#This Row],[Site ID (from DATIM)]],"[Measures].[MMS_63+]")</f>
        <v/>
      </c>
      <c r="AP319" s="67" t="str" vm="5173">
        <f>CUBEVALUE(ConnectionString,ReportMonth,Table1[[#This Row],[Site ID (from DATIM)]],"[Measures].[TBPREV_D]")</f>
        <v/>
      </c>
      <c r="AQ319" s="67" t="str" vm="5514">
        <f>CUBEVALUE(ConnectionString,ReportMonth,Table1[[#This Row],[Site ID (from DATIM)]],"[Measures].[TBPREV_N]")</f>
        <v/>
      </c>
      <c r="AR319" s="67" t="str" vm="6272">
        <f>CUBEVALUE(ConnectionString,ReportMonth,Table1[[#This Row],[Site ID (from DATIM)]],"[Measures].[TBPREV_NEW]")</f>
        <v/>
      </c>
      <c r="AS319" s="67" t="str" vm="6668">
        <f>CUBEVALUE(ConnectionString,ReportMonth,Table1[[#This Row],[Site ID (from DATIM)]],"[Measures].[HVL_ELIG_P]")</f>
        <v/>
      </c>
      <c r="AT319" s="67" t="str" vm="10490">
        <f>CUBEVALUE(ConnectionString,ReportMonth,Table1[[#This Row],[Site ID (from DATIM)]],"[Measures].[HVL_D_P]")</f>
        <v/>
      </c>
      <c r="AU319" s="67" t="str" vm="6800">
        <f>CUBEVALUE(ConnectionString,ReportMonth,Table1[[#This Row],[Site ID (from DATIM)]],"[Measures].[HVL_N_P]")</f>
        <v/>
      </c>
      <c r="AV319" s="68" t="str" vm="10339">
        <f>CUBEVALUE(ConnectionString,ReportMonth,Table1[[#This Row],[Site ID (from DATIM)]],"[Measures].[HVL_ELIG_A]")</f>
        <v/>
      </c>
      <c r="AW319" s="68" t="str" vm="11564">
        <f>CUBEVALUE(ConnectionString,ReportMonth,Table1[[#This Row],[Site ID (from DATIM)]],"[Measures].[HVL_D_A]")</f>
        <v/>
      </c>
      <c r="AX319" s="68" t="str" vm="8378">
        <f>CUBEVALUE(ConnectionString,ReportMonth,Table1[[#This Row],[Site ID (from DATIM)]],"[Measures].[HVL_N_A]")</f>
        <v/>
      </c>
      <c r="AY319" s="67"/>
      <c r="AZ319" s="67"/>
      <c r="BA319" s="67"/>
      <c r="BB319" s="67"/>
      <c r="BC319" s="67"/>
      <c r="BD319" s="67"/>
      <c r="BE319" s="67"/>
      <c r="BF319" s="67"/>
      <c r="BG319" s="67" t="str" vm="14185">
        <f>CUBEVALUE(ConnectionString,ReportMonth,Table1[[#This Row],[Site ID (from DATIM)]],"[Measures].[TX_NEW_F_A]")</f>
        <v/>
      </c>
      <c r="BH319" s="67" t="str" vm="10679">
        <f>CUBEVALUE(ConnectionString,ReportMonth,Table1[[#This Row],[Site ID (from DATIM)]],"[Measures].[TX_NEW_M_A]")</f>
        <v/>
      </c>
      <c r="BI319" s="67" t="str" vm="13974">
        <f>CUBEVALUE(ConnectionString,ReportMonth,Table1[[#This Row],[Site ID (from DATIM)]],"[Measures].[TX_NEW_F_P]")</f>
        <v/>
      </c>
      <c r="BJ319" s="68" t="str" vm="14815">
        <f>CUBEVALUE(ConnectionString,ReportMonth,Table1[[#This Row],[Site ID (from DATIM)]],"[Measures].[TX_NEW_M_P]")</f>
        <v/>
      </c>
      <c r="BK319" s="68"/>
      <c r="BL319" s="68"/>
      <c r="BM319" s="68"/>
      <c r="BN319" s="68"/>
      <c r="BO319" s="68"/>
      <c r="BP319" s="68"/>
      <c r="BQ319" s="68" t="str" vm="13495">
        <f>CUBEVALUE(ConnectionString,ReportMonth,Table1[[#This Row],[Site ID (from DATIM)]],"[Measures].[TX_CURR_F_P]")</f>
        <v/>
      </c>
      <c r="BR319" s="68" t="str" vm="13593">
        <f>CUBEVALUE(ConnectionString,ReportMonth,Table1[[#This Row],[Site ID (from DATIM)]],"[Measures].[TX_CURR_M_P]")</f>
        <v/>
      </c>
      <c r="BS319" s="68" t="str" vm="11462">
        <f>CUBEVALUE(ConnectionString,ReportMonth,Table1[[#This Row],[Site ID (from DATIM)]],"[Measures].[TX_CURR_F_A]")</f>
        <v/>
      </c>
      <c r="BT319" s="68" t="str" vm="13810">
        <f>CUBEVALUE(ConnectionString,ReportMonth,Table1[[#This Row],[Site ID (from DATIM)]],"[Measures].[TX_CURR_M_A]")</f>
        <v/>
      </c>
      <c r="BU319" s="68" t="str" vm="18627">
        <f>CUBEVALUE(ConnectionString,ReportMonth,Table1[[#This Row],[Site ID (from DATIM)]],"[Measures].[MMS_01_89_F_P]")</f>
        <v/>
      </c>
      <c r="BV319" s="68" t="str" vm="20158">
        <f>CUBEVALUE(ConnectionString,ReportMonth,Table1[[#This Row],[Site ID (from DATIM)]],"[Measures].[MMS_01_89_M_P]")</f>
        <v/>
      </c>
      <c r="BW319" s="68" t="str" vm="18293">
        <f>CUBEVALUE(ConnectionString,ReportMonth,Table1[[#This Row],[Site ID (from DATIM)]],"[Measures].[MMS_01_89_F_A]")</f>
        <v/>
      </c>
      <c r="BX319" s="68" t="str" vm="18885">
        <f>CUBEVALUE(ConnectionString,ReportMonth,Table1[[#This Row],[Site ID (from DATIM)]],"[Measures].[MMS_01_89_M_A]")</f>
        <v/>
      </c>
      <c r="BY319" s="68" t="str" vm="15217">
        <f>CUBEVALUE(ConnectionString,ReportMonth,Table1[[#This Row],[Site ID (from DATIM)]],"[Measures].[MMS_90_179_F_P]")</f>
        <v/>
      </c>
      <c r="BZ319" s="68" t="str" vm="17907">
        <f>CUBEVALUE(ConnectionString,ReportMonth,Table1[[#This Row],[Site ID (from DATIM)]],"[Measures].[MMS_90_179_M_P]")</f>
        <v/>
      </c>
      <c r="CA319" s="68" t="str" vm="14737">
        <f>CUBEVALUE(ConnectionString,ReportMonth,Table1[[#This Row],[Site ID (from DATIM)]],"[Measures].[MMS_90_179_F_A]")</f>
        <v/>
      </c>
      <c r="CB319" s="68" t="str" vm="17635">
        <f>CUBEVALUE(ConnectionString,ReportMonth,Table1[[#This Row],[Site ID (from DATIM)]],"[Measures].[MMS_90_179_M_A]")</f>
        <v/>
      </c>
      <c r="CC319" s="68" t="str" vm="15533">
        <f>CUBEVALUE(ConnectionString,ReportMonth,Table1[[#This Row],[Site ID (from DATIM)]],"[Measures].[MMS_180+_F_P]")</f>
        <v/>
      </c>
      <c r="CD319" s="68" t="str" vm="15454">
        <f>CUBEVALUE(ConnectionString,ReportMonth,Table1[[#This Row],[Site ID (from DATIM)]],"[Measures].[MMS_180+_M_P]")</f>
        <v/>
      </c>
      <c r="CE319" s="68" t="str" vm="17484">
        <f>CUBEVALUE(ConnectionString,ReportMonth,Table1[[#This Row],[Site ID (from DATIM)]],"[Measures].[MMS_180+_F_A]")</f>
        <v/>
      </c>
      <c r="CF319" s="68" t="str" vm="14496">
        <f>CUBEVALUE(ConnectionString,ReportMonth,Table1[[#This Row],[Site ID (from DATIM)]],"[Measures].[MMS_180+_M_A]")</f>
        <v/>
      </c>
      <c r="CG319" s="68" t="str" vm="7670">
        <f>CUBEVALUE(ConnectionString,ReportMonth,Table1[[#This Row],[Site ID (from DATIM)]],"[Measures].[MISSEDAPP]")</f>
        <v/>
      </c>
      <c r="CH319" s="68" t="str" vm="10593">
        <f>CUBEVALUE(ConnectionString,ReportMonth,Table1[[#This Row],[Site ID (from DATIM)]],"[Measures].[MMS_180+_P]")</f>
        <v/>
      </c>
      <c r="CI319" s="68" t="str" vm="12782">
        <f>CUBEVALUE(ConnectionString,ReportMonth,Table1[[#This Row],[Site ID (from DATIM)]],"[Measures].[MMS_180+_A]")</f>
        <v/>
      </c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  <c r="CW319" s="68"/>
      <c r="CX319" s="68"/>
      <c r="CY319" s="68"/>
      <c r="CZ319" s="68"/>
      <c r="DA319" s="68"/>
      <c r="DB319" s="68"/>
      <c r="DC319" s="68"/>
    </row>
    <row r="320" spans="1:107" x14ac:dyDescent="0.25">
      <c r="A320" s="66">
        <v>4</v>
      </c>
      <c r="B320" s="67" t="str" vm="4">
        <f t="shared" si="5"/>
        <v>Mar-2021</v>
      </c>
      <c r="C320" s="67"/>
      <c r="D320" s="67" t="s">
        <v>232</v>
      </c>
      <c r="E320" s="67" t="s">
        <v>233</v>
      </c>
      <c r="F320" s="67" t="s">
        <v>234</v>
      </c>
      <c r="G320" s="67"/>
      <c r="H320" s="67" t="s">
        <v>263</v>
      </c>
      <c r="I320" s="67" t="s">
        <v>366</v>
      </c>
      <c r="J320" s="67" t="s">
        <v>367</v>
      </c>
      <c r="K320" s="67" t="s">
        <v>368</v>
      </c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 t="str" vm="3955">
        <f>CUBEVALUE(ConnectionString,ReportMonth,Table1[[#This Row],[Site ID (from DATIM)]],"TX_NEW_2VIS")</f>
        <v/>
      </c>
      <c r="AE320" s="67" t="str" vm="13621">
        <f>CUBEVALUE(ConnectionString,ReportMonth,Table1[[#This Row],[Site ID (from DATIM)]],INDEX(SDI_Measures,1))</f>
        <v/>
      </c>
      <c r="AF320" s="67" t="str" vm="454">
        <f>CUBEVALUE(ConnectionString,ReportMonth,Table1[[#This Row],[Site ID (from DATIM)]],INDEX(SDI_Measures,2))</f>
        <v/>
      </c>
      <c r="AG320" s="67" t="str" vm="2122">
        <f>CUBEVALUE(ConnectionString,ReportMonth,Table1[[#This Row],[Site ID (from DATIM)]],INDEX(SDI_Measures,3))</f>
        <v/>
      </c>
      <c r="AH320" s="67" vm="2838">
        <f>CUBEVALUE(ConnectionString,ReportMonth,Table1[[#This Row],[Site ID (from DATIM)]],"TX_CURR_PRIOR_MONTH")</f>
        <v>37</v>
      </c>
      <c r="AI320" s="67" vm="1119">
        <f>CUBEVALUE(ConnectionString,ReportMonth,Table1[[#This Row],[Site ID (from DATIM)]],"TX_CURR")</f>
        <v>36</v>
      </c>
      <c r="AJ320" s="67" t="str" vm="1459">
        <f>CUBEVALUE(ConnectionString,ReportMonth,Table1[[#This Row],[Site ID (from DATIM)]],"[Measures].[TI]")</f>
        <v/>
      </c>
      <c r="AK320" s="67" t="str" vm="4493">
        <f>CUBEVALUE(ConnectionString,ReportMonth,Table1[[#This Row],[Site ID (from DATIM)]],"[Measures].[TO]")</f>
        <v/>
      </c>
      <c r="AL320" s="67" t="str" vm="515">
        <f>CUBEVALUE(ConnectionString,ReportMonth,Table1[[#This Row],[Site ID (from DATIM)]],"[Measures].[DIED]")</f>
        <v/>
      </c>
      <c r="AM320" s="67" vm="5958">
        <f>CUBEVALUE(ConnectionString,ReportMonth,Table1[[#This Row],[Site ID (from DATIM)]],"[Measures].[MMS_01_31]")</f>
        <v>25</v>
      </c>
      <c r="AN320" s="67" t="str" vm="7409">
        <f>CUBEVALUE(ConnectionString,ReportMonth,Table1[[#This Row],[Site ID (from DATIM)]],"[Measures].[MMS_32_62]")</f>
        <v/>
      </c>
      <c r="AO320" s="67" vm="11313">
        <f>CUBEVALUE(ConnectionString,ReportMonth,Table1[[#This Row],[Site ID (from DATIM)]],"[Measures].[MMS_63+]")</f>
        <v>11</v>
      </c>
      <c r="AP320" s="67" vm="4964">
        <f>CUBEVALUE(ConnectionString,ReportMonth,Table1[[#This Row],[Site ID (from DATIM)]],"[Measures].[TBPREV_D]")</f>
        <v>1</v>
      </c>
      <c r="AQ320" s="67" vm="8279">
        <f>CUBEVALUE(ConnectionString,ReportMonth,Table1[[#This Row],[Site ID (from DATIM)]],"[Measures].[TBPREV_N]")</f>
        <v>1</v>
      </c>
      <c r="AR320" s="67" t="str" vm="6079">
        <f>CUBEVALUE(ConnectionString,ReportMonth,Table1[[#This Row],[Site ID (from DATIM)]],"[Measures].[TBPREV_NEW]")</f>
        <v/>
      </c>
      <c r="AS320" s="67" vm="15317">
        <f>CUBEVALUE(ConnectionString,ReportMonth,Table1[[#This Row],[Site ID (from DATIM)]],"[Measures].[HVL_ELIG_P]")</f>
        <v>3</v>
      </c>
      <c r="AT320" s="67" t="str" vm="9652">
        <f>CUBEVALUE(ConnectionString,ReportMonth,Table1[[#This Row],[Site ID (from DATIM)]],"[Measures].[HVL_D_P]")</f>
        <v/>
      </c>
      <c r="AU320" s="67" t="str" vm="10718">
        <f>CUBEVALUE(ConnectionString,ReportMonth,Table1[[#This Row],[Site ID (from DATIM)]],"[Measures].[HVL_N_P]")</f>
        <v/>
      </c>
      <c r="AV320" s="68" vm="9687">
        <f>CUBEVALUE(ConnectionString,ReportMonth,Table1[[#This Row],[Site ID (from DATIM)]],"[Measures].[HVL_ELIG_A]")</f>
        <v>17</v>
      </c>
      <c r="AW320" s="68" vm="9248">
        <f>CUBEVALUE(ConnectionString,ReportMonth,Table1[[#This Row],[Site ID (from DATIM)]],"[Measures].[HVL_D_A]")</f>
        <v>11</v>
      </c>
      <c r="AX320" s="68" vm="7286">
        <f>CUBEVALUE(ConnectionString,ReportMonth,Table1[[#This Row],[Site ID (from DATIM)]],"[Measures].[HVL_N_A]")</f>
        <v>7</v>
      </c>
      <c r="AY320" s="67"/>
      <c r="AZ320" s="67"/>
      <c r="BA320" s="67"/>
      <c r="BB320" s="67"/>
      <c r="BC320" s="67"/>
      <c r="BD320" s="67"/>
      <c r="BE320" s="67"/>
      <c r="BF320" s="67"/>
      <c r="BG320" s="67" t="str" vm="12168">
        <f>CUBEVALUE(ConnectionString,ReportMonth,Table1[[#This Row],[Site ID (from DATIM)]],"[Measures].[TX_NEW_F_A]")</f>
        <v/>
      </c>
      <c r="BH320" s="67" t="str" vm="12850">
        <f>CUBEVALUE(ConnectionString,ReportMonth,Table1[[#This Row],[Site ID (from DATIM)]],"[Measures].[TX_NEW_M_A]")</f>
        <v/>
      </c>
      <c r="BI320" s="67" t="str" vm="14867">
        <f>CUBEVALUE(ConnectionString,ReportMonth,Table1[[#This Row],[Site ID (from DATIM)]],"[Measures].[TX_NEW_F_P]")</f>
        <v/>
      </c>
      <c r="BJ320" s="68" t="str" vm="12606">
        <f>CUBEVALUE(ConnectionString,ReportMonth,Table1[[#This Row],[Site ID (from DATIM)]],"[Measures].[TX_NEW_M_P]")</f>
        <v/>
      </c>
      <c r="BK320" s="68"/>
      <c r="BL320" s="68"/>
      <c r="BM320" s="68"/>
      <c r="BN320" s="68"/>
      <c r="BO320" s="68"/>
      <c r="BP320" s="68"/>
      <c r="BQ320" s="68" vm="8107">
        <f>CUBEVALUE(ConnectionString,ReportMonth,Table1[[#This Row],[Site ID (from DATIM)]],"[Measures].[TX_CURR_F_P]")</f>
        <v>3</v>
      </c>
      <c r="BR320" s="68" vm="8149">
        <f>CUBEVALUE(ConnectionString,ReportMonth,Table1[[#This Row],[Site ID (from DATIM)]],"[Measures].[TX_CURR_M_P]")</f>
        <v>2</v>
      </c>
      <c r="BS320" s="68" vm="8102">
        <f>CUBEVALUE(ConnectionString,ReportMonth,Table1[[#This Row],[Site ID (from DATIM)]],"[Measures].[TX_CURR_F_A]")</f>
        <v>24</v>
      </c>
      <c r="BT320" s="68" vm="14047">
        <f>CUBEVALUE(ConnectionString,ReportMonth,Table1[[#This Row],[Site ID (from DATIM)]],"[Measures].[TX_CURR_M_A]")</f>
        <v>7</v>
      </c>
      <c r="BU320" s="68" vm="19256">
        <f>CUBEVALUE(ConnectionString,ReportMonth,Table1[[#This Row],[Site ID (from DATIM)]],"[Measures].[MMS_01_89_F_P]")</f>
        <v>2</v>
      </c>
      <c r="BV320" s="68" vm="19718">
        <f>CUBEVALUE(ConnectionString,ReportMonth,Table1[[#This Row],[Site ID (from DATIM)]],"[Measures].[MMS_01_89_M_P]")</f>
        <v>2</v>
      </c>
      <c r="BW320" s="68" vm="19474">
        <f>CUBEVALUE(ConnectionString,ReportMonth,Table1[[#This Row],[Site ID (from DATIM)]],"[Measures].[MMS_01_89_F_A]")</f>
        <v>19</v>
      </c>
      <c r="BX320" s="68" vm="18942">
        <f>CUBEVALUE(ConnectionString,ReportMonth,Table1[[#This Row],[Site ID (from DATIM)]],"[Measures].[MMS_01_89_M_A]")</f>
        <v>2</v>
      </c>
      <c r="BY320" s="68" vm="17891">
        <f>CUBEVALUE(ConnectionString,ReportMonth,Table1[[#This Row],[Site ID (from DATIM)]],"[Measures].[MMS_90_179_F_P]")</f>
        <v>1</v>
      </c>
      <c r="BZ320" s="68" t="str" vm="14732">
        <f>CUBEVALUE(ConnectionString,ReportMonth,Table1[[#This Row],[Site ID (from DATIM)]],"[Measures].[MMS_90_179_M_P]")</f>
        <v/>
      </c>
      <c r="CA320" s="68" vm="17766">
        <f>CUBEVALUE(ConnectionString,ReportMonth,Table1[[#This Row],[Site ID (from DATIM)]],"[Measures].[MMS_90_179_F_A]")</f>
        <v>5</v>
      </c>
      <c r="CB320" s="68" vm="17669">
        <f>CUBEVALUE(ConnectionString,ReportMonth,Table1[[#This Row],[Site ID (from DATIM)]],"[Measures].[MMS_90_179_M_A]")</f>
        <v>5</v>
      </c>
      <c r="CC320" s="68" t="str" vm="17204">
        <f>CUBEVALUE(ConnectionString,ReportMonth,Table1[[#This Row],[Site ID (from DATIM)]],"[Measures].[MMS_180+_F_P]")</f>
        <v/>
      </c>
      <c r="CD320" s="68" t="str" vm="15484">
        <f>CUBEVALUE(ConnectionString,ReportMonth,Table1[[#This Row],[Site ID (from DATIM)]],"[Measures].[MMS_180+_M_P]")</f>
        <v/>
      </c>
      <c r="CE320" s="68" t="str" vm="15386">
        <f>CUBEVALUE(ConnectionString,ReportMonth,Table1[[#This Row],[Site ID (from DATIM)]],"[Measures].[MMS_180+_F_A]")</f>
        <v/>
      </c>
      <c r="CF320" s="68" t="str" vm="14429">
        <f>CUBEVALUE(ConnectionString,ReportMonth,Table1[[#This Row],[Site ID (from DATIM)]],"[Measures].[MMS_180+_M_A]")</f>
        <v/>
      </c>
      <c r="CG320" s="68" vm="7141">
        <f>CUBEVALUE(ConnectionString,ReportMonth,Table1[[#This Row],[Site ID (from DATIM)]],"[Measures].[MISSEDAPP]")</f>
        <v>26</v>
      </c>
      <c r="CH320" s="68" t="str" vm="13600">
        <f>CUBEVALUE(ConnectionString,ReportMonth,Table1[[#This Row],[Site ID (from DATIM)]],"[Measures].[MMS_180+_P]")</f>
        <v/>
      </c>
      <c r="CI320" s="68" t="str" vm="12730">
        <f>CUBEVALUE(ConnectionString,ReportMonth,Table1[[#This Row],[Site ID (from DATIM)]],"[Measures].[MMS_180+_A]")</f>
        <v/>
      </c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  <c r="CW320" s="68"/>
      <c r="CX320" s="68"/>
      <c r="CY320" s="68"/>
      <c r="CZ320" s="68"/>
      <c r="DA320" s="68"/>
      <c r="DB320" s="68"/>
      <c r="DC320" s="68"/>
    </row>
    <row r="321" spans="1:107" x14ac:dyDescent="0.25">
      <c r="A321" s="66">
        <v>3</v>
      </c>
      <c r="B321" s="67" t="str" vm="4">
        <f t="shared" si="5"/>
        <v>Mar-2021</v>
      </c>
      <c r="C321" s="67"/>
      <c r="D321" s="67" t="s">
        <v>232</v>
      </c>
      <c r="E321" s="67" t="s">
        <v>233</v>
      </c>
      <c r="F321" s="67" t="s">
        <v>437</v>
      </c>
      <c r="G321" s="67"/>
      <c r="H321" s="67" t="s">
        <v>442</v>
      </c>
      <c r="I321" s="67" t="s">
        <v>737</v>
      </c>
      <c r="J321" s="67" t="s">
        <v>738</v>
      </c>
      <c r="K321" s="67" t="s">
        <v>739</v>
      </c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 t="str" vm="1642">
        <f>CUBEVALUE(ConnectionString,ReportMonth,Table1[[#This Row],[Site ID (from DATIM)]],"TX_NEW_2VIS")</f>
        <v/>
      </c>
      <c r="AE321" s="67" vm="2449">
        <f>CUBEVALUE(ConnectionString,ReportMonth,Table1[[#This Row],[Site ID (from DATIM)]],INDEX(SDI_Measures,1))</f>
        <v>1</v>
      </c>
      <c r="AF321" s="67" t="str" vm="3500">
        <f>CUBEVALUE(ConnectionString,ReportMonth,Table1[[#This Row],[Site ID (from DATIM)]],INDEX(SDI_Measures,2))</f>
        <v/>
      </c>
      <c r="AG321" s="67" t="str" vm="694">
        <f>CUBEVALUE(ConnectionString,ReportMonth,Table1[[#This Row],[Site ID (from DATIM)]],INDEX(SDI_Measures,3))</f>
        <v/>
      </c>
      <c r="AH321" s="67" vm="4288">
        <f>CUBEVALUE(ConnectionString,ReportMonth,Table1[[#This Row],[Site ID (from DATIM)]],"TX_CURR_PRIOR_MONTH")</f>
        <v>316</v>
      </c>
      <c r="AI321" s="67" vm="1533">
        <f>CUBEVALUE(ConnectionString,ReportMonth,Table1[[#This Row],[Site ID (from DATIM)]],"TX_CURR")</f>
        <v>287</v>
      </c>
      <c r="AJ321" s="67" t="str" vm="3047">
        <f>CUBEVALUE(ConnectionString,ReportMonth,Table1[[#This Row],[Site ID (from DATIM)]],"[Measures].[TI]")</f>
        <v/>
      </c>
      <c r="AK321" s="67" t="str" vm="3603">
        <f>CUBEVALUE(ConnectionString,ReportMonth,Table1[[#This Row],[Site ID (from DATIM)]],"[Measures].[TO]")</f>
        <v/>
      </c>
      <c r="AL321" s="67" t="str" vm="3225">
        <f>CUBEVALUE(ConnectionString,ReportMonth,Table1[[#This Row],[Site ID (from DATIM)]],"[Measures].[DIED]")</f>
        <v/>
      </c>
      <c r="AM321" s="67" vm="4338">
        <f>CUBEVALUE(ConnectionString,ReportMonth,Table1[[#This Row],[Site ID (from DATIM)]],"[Measures].[MMS_01_31]")</f>
        <v>63</v>
      </c>
      <c r="AN321" s="67" vm="7648">
        <f>CUBEVALUE(ConnectionString,ReportMonth,Table1[[#This Row],[Site ID (from DATIM)]],"[Measures].[MMS_32_62]")</f>
        <v>12</v>
      </c>
      <c r="AO321" s="67" vm="9750">
        <f>CUBEVALUE(ConnectionString,ReportMonth,Table1[[#This Row],[Site ID (from DATIM)]],"[Measures].[MMS_63+]")</f>
        <v>212</v>
      </c>
      <c r="AP321" s="67" vm="5114">
        <f>CUBEVALUE(ConnectionString,ReportMonth,Table1[[#This Row],[Site ID (from DATIM)]],"[Measures].[TBPREV_D]")</f>
        <v>7</v>
      </c>
      <c r="AQ321" s="67" vm="6641">
        <f>CUBEVALUE(ConnectionString,ReportMonth,Table1[[#This Row],[Site ID (from DATIM)]],"[Measures].[TBPREV_N]")</f>
        <v>2</v>
      </c>
      <c r="AR321" s="67" vm="6136">
        <f>CUBEVALUE(ConnectionString,ReportMonth,Table1[[#This Row],[Site ID (from DATIM)]],"[Measures].[TBPREV_NEW]")</f>
        <v>1</v>
      </c>
      <c r="AS321" s="67" vm="6660">
        <f>CUBEVALUE(ConnectionString,ReportMonth,Table1[[#This Row],[Site ID (from DATIM)]],"[Measures].[HVL_ELIG_P]")</f>
        <v>24</v>
      </c>
      <c r="AT321" s="67" vm="5085">
        <f>CUBEVALUE(ConnectionString,ReportMonth,Table1[[#This Row],[Site ID (from DATIM)]],"[Measures].[HVL_D_P]")</f>
        <v>21</v>
      </c>
      <c r="AU321" s="67" vm="8104">
        <f>CUBEVALUE(ConnectionString,ReportMonth,Table1[[#This Row],[Site ID (from DATIM)]],"[Measures].[HVL_N_P]")</f>
        <v>15</v>
      </c>
      <c r="AV321" s="68" vm="11864">
        <f>CUBEVALUE(ConnectionString,ReportMonth,Table1[[#This Row],[Site ID (from DATIM)]],"[Measures].[HVL_ELIG_A]")</f>
        <v>240</v>
      </c>
      <c r="AW321" s="68" vm="15668">
        <f>CUBEVALUE(ConnectionString,ReportMonth,Table1[[#This Row],[Site ID (from DATIM)]],"[Measures].[HVL_D_A]")</f>
        <v>236</v>
      </c>
      <c r="AX321" s="68" vm="6377">
        <f>CUBEVALUE(ConnectionString,ReportMonth,Table1[[#This Row],[Site ID (from DATIM)]],"[Measures].[HVL_N_A]")</f>
        <v>209</v>
      </c>
      <c r="AY321" s="67"/>
      <c r="AZ321" s="67"/>
      <c r="BA321" s="67"/>
      <c r="BB321" s="67"/>
      <c r="BC321" s="67"/>
      <c r="BD321" s="67"/>
      <c r="BE321" s="67"/>
      <c r="BF321" s="67"/>
      <c r="BG321" s="67" vm="14353">
        <f>CUBEVALUE(ConnectionString,ReportMonth,Table1[[#This Row],[Site ID (from DATIM)]],"[Measures].[TX_NEW_F_A]")</f>
        <v>1</v>
      </c>
      <c r="BH321" s="67" t="str" vm="10381">
        <f>CUBEVALUE(ConnectionString,ReportMonth,Table1[[#This Row],[Site ID (from DATIM)]],"[Measures].[TX_NEW_M_A]")</f>
        <v/>
      </c>
      <c r="BI321" s="67" t="str" vm="15699">
        <f>CUBEVALUE(ConnectionString,ReportMonth,Table1[[#This Row],[Site ID (from DATIM)]],"[Measures].[TX_NEW_F_P]")</f>
        <v/>
      </c>
      <c r="BJ321" s="68" t="str" vm="14343">
        <f>CUBEVALUE(ConnectionString,ReportMonth,Table1[[#This Row],[Site ID (from DATIM)]],"[Measures].[TX_NEW_M_P]")</f>
        <v/>
      </c>
      <c r="BK321" s="68"/>
      <c r="BL321" s="68"/>
      <c r="BM321" s="68"/>
      <c r="BN321" s="68"/>
      <c r="BO321" s="68"/>
      <c r="BP321" s="68"/>
      <c r="BQ321" s="68" vm="9538">
        <f>CUBEVALUE(ConnectionString,ReportMonth,Table1[[#This Row],[Site ID (from DATIM)]],"[Measures].[TX_CURR_F_P]")</f>
        <v>14</v>
      </c>
      <c r="BR321" s="68" vm="10639">
        <f>CUBEVALUE(ConnectionString,ReportMonth,Table1[[#This Row],[Site ID (from DATIM)]],"[Measures].[TX_CURR_M_P]")</f>
        <v>12</v>
      </c>
      <c r="BS321" s="68" vm="13020">
        <f>CUBEVALUE(ConnectionString,ReportMonth,Table1[[#This Row],[Site ID (from DATIM)]],"[Measures].[TX_CURR_F_A]")</f>
        <v>194</v>
      </c>
      <c r="BT321" s="68" vm="12683">
        <f>CUBEVALUE(ConnectionString,ReportMonth,Table1[[#This Row],[Site ID (from DATIM)]],"[Measures].[TX_CURR_M_A]")</f>
        <v>67</v>
      </c>
      <c r="BU321" s="68" vm="19759">
        <f>CUBEVALUE(ConnectionString,ReportMonth,Table1[[#This Row],[Site ID (from DATIM)]],"[Measures].[MMS_01_89_F_P]")</f>
        <v>6</v>
      </c>
      <c r="BV321" s="68" vm="18348">
        <f>CUBEVALUE(ConnectionString,ReportMonth,Table1[[#This Row],[Site ID (from DATIM)]],"[Measures].[MMS_01_89_M_P]")</f>
        <v>6</v>
      </c>
      <c r="BW321" s="68" vm="19187">
        <f>CUBEVALUE(ConnectionString,ReportMonth,Table1[[#This Row],[Site ID (from DATIM)]],"[Measures].[MMS_01_89_F_A]")</f>
        <v>51</v>
      </c>
      <c r="BX321" s="68" vm="19428">
        <f>CUBEVALUE(ConnectionString,ReportMonth,Table1[[#This Row],[Site ID (from DATIM)]],"[Measures].[MMS_01_89_M_A]")</f>
        <v>13</v>
      </c>
      <c r="BY321" s="68" vm="18206">
        <f>CUBEVALUE(ConnectionString,ReportMonth,Table1[[#This Row],[Site ID (from DATIM)]],"[Measures].[MMS_90_179_F_P]")</f>
        <v>8</v>
      </c>
      <c r="BZ321" s="68" vm="15973">
        <f>CUBEVALUE(ConnectionString,ReportMonth,Table1[[#This Row],[Site ID (from DATIM)]],"[Measures].[MMS_90_179_M_P]")</f>
        <v>6</v>
      </c>
      <c r="CA321" s="68" vm="15098">
        <f>CUBEVALUE(ConnectionString,ReportMonth,Table1[[#This Row],[Site ID (from DATIM)]],"[Measures].[MMS_90_179_F_A]")</f>
        <v>143</v>
      </c>
      <c r="CB321" s="68" vm="17315">
        <f>CUBEVALUE(ConnectionString,ReportMonth,Table1[[#This Row],[Site ID (from DATIM)]],"[Measures].[MMS_90_179_M_A]")</f>
        <v>54</v>
      </c>
      <c r="CC321" s="68" t="str" vm="15122">
        <f>CUBEVALUE(ConnectionString,ReportMonth,Table1[[#This Row],[Site ID (from DATIM)]],"[Measures].[MMS_180+_F_P]")</f>
        <v/>
      </c>
      <c r="CD321" s="68" t="str" vm="14570">
        <f>CUBEVALUE(ConnectionString,ReportMonth,Table1[[#This Row],[Site ID (from DATIM)]],"[Measures].[MMS_180+_M_P]")</f>
        <v/>
      </c>
      <c r="CE321" s="68" t="str" vm="14960">
        <f>CUBEVALUE(ConnectionString,ReportMonth,Table1[[#This Row],[Site ID (from DATIM)]],"[Measures].[MMS_180+_F_A]")</f>
        <v/>
      </c>
      <c r="CF321" s="68" t="str" vm="16636">
        <f>CUBEVALUE(ConnectionString,ReportMonth,Table1[[#This Row],[Site ID (from DATIM)]],"[Measures].[MMS_180+_M_A]")</f>
        <v/>
      </c>
      <c r="CG321" s="68" vm="5753">
        <f>CUBEVALUE(ConnectionString,ReportMonth,Table1[[#This Row],[Site ID (from DATIM)]],"[Measures].[MISSEDAPP]")</f>
        <v>118</v>
      </c>
      <c r="CH321" s="68" t="str" vm="10712">
        <f>CUBEVALUE(ConnectionString,ReportMonth,Table1[[#This Row],[Site ID (from DATIM)]],"[Measures].[MMS_180+_P]")</f>
        <v/>
      </c>
      <c r="CI321" s="68" t="str" vm="17010">
        <f>CUBEVALUE(ConnectionString,ReportMonth,Table1[[#This Row],[Site ID (from DATIM)]],"[Measures].[MMS_180+_A]")</f>
        <v/>
      </c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  <c r="CW321" s="68"/>
      <c r="CX321" s="68"/>
      <c r="CY321" s="68"/>
      <c r="CZ321" s="68"/>
      <c r="DA321" s="68"/>
      <c r="DB321" s="68"/>
      <c r="DC321" s="68"/>
    </row>
    <row r="322" spans="1:107" x14ac:dyDescent="0.25">
      <c r="A322" s="66">
        <v>4</v>
      </c>
      <c r="B322" s="67" t="str" vm="4">
        <f t="shared" si="5"/>
        <v>Mar-2021</v>
      </c>
      <c r="C322" s="67"/>
      <c r="D322" s="67" t="s">
        <v>232</v>
      </c>
      <c r="E322" s="67" t="s">
        <v>233</v>
      </c>
      <c r="F322" s="67" t="s">
        <v>234</v>
      </c>
      <c r="G322" s="67"/>
      <c r="H322" s="67" t="s">
        <v>239</v>
      </c>
      <c r="I322" s="67"/>
      <c r="J322" s="67" t="s">
        <v>369</v>
      </c>
      <c r="K322" s="67" t="s">
        <v>370</v>
      </c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 t="str" vm="439">
        <f>CUBEVALUE(ConnectionString,ReportMonth,Table1[[#This Row],[Site ID (from DATIM)]],"TX_NEW_2VIS")</f>
        <v/>
      </c>
      <c r="AE322" s="67" t="str" vm="653">
        <f>CUBEVALUE(ConnectionString,ReportMonth,Table1[[#This Row],[Site ID (from DATIM)]],INDEX(SDI_Measures,1))</f>
        <v/>
      </c>
      <c r="AF322" s="67" t="str" vm="662">
        <f>CUBEVALUE(ConnectionString,ReportMonth,Table1[[#This Row],[Site ID (from DATIM)]],INDEX(SDI_Measures,2))</f>
        <v/>
      </c>
      <c r="AG322" s="67" t="str" vm="651">
        <f>CUBEVALUE(ConnectionString,ReportMonth,Table1[[#This Row],[Site ID (from DATIM)]],INDEX(SDI_Measures,3))</f>
        <v/>
      </c>
      <c r="AH322" s="67" t="str" vm="657">
        <f>CUBEVALUE(ConnectionString,ReportMonth,Table1[[#This Row],[Site ID (from DATIM)]],"TX_CURR_PRIOR_MONTH")</f>
        <v/>
      </c>
      <c r="AI322" s="67" t="str" vm="660">
        <f>CUBEVALUE(ConnectionString,ReportMonth,Table1[[#This Row],[Site ID (from DATIM)]],"TX_CURR")</f>
        <v/>
      </c>
      <c r="AJ322" s="67" t="str" vm="663">
        <f>CUBEVALUE(ConnectionString,ReportMonth,Table1[[#This Row],[Site ID (from DATIM)]],"[Measures].[TI]")</f>
        <v/>
      </c>
      <c r="AK322" s="67" t="str" vm="656">
        <f>CUBEVALUE(ConnectionString,ReportMonth,Table1[[#This Row],[Site ID (from DATIM)]],"[Measures].[TO]")</f>
        <v/>
      </c>
      <c r="AL322" s="67" t="str" vm="652">
        <f>CUBEVALUE(ConnectionString,ReportMonth,Table1[[#This Row],[Site ID (from DATIM)]],"[Measures].[DIED]")</f>
        <v/>
      </c>
      <c r="AM322" s="67" t="str" vm="658">
        <f>CUBEVALUE(ConnectionString,ReportMonth,Table1[[#This Row],[Site ID (from DATIM)]],"[Measures].[MMS_01_31]")</f>
        <v/>
      </c>
      <c r="AN322" s="67" t="str" vm="676">
        <f>CUBEVALUE(ConnectionString,ReportMonth,Table1[[#This Row],[Site ID (from DATIM)]],"[Measures].[MMS_32_62]")</f>
        <v/>
      </c>
      <c r="AO322" s="67" t="str" vm="672">
        <f>CUBEVALUE(ConnectionString,ReportMonth,Table1[[#This Row],[Site ID (from DATIM)]],"[Measures].[MMS_63+]")</f>
        <v/>
      </c>
      <c r="AP322" s="67" t="str" vm="688">
        <f>CUBEVALUE(ConnectionString,ReportMonth,Table1[[#This Row],[Site ID (from DATIM)]],"[Measures].[TBPREV_D]")</f>
        <v/>
      </c>
      <c r="AQ322" s="67" t="str" vm="675">
        <f>CUBEVALUE(ConnectionString,ReportMonth,Table1[[#This Row],[Site ID (from DATIM)]],"[Measures].[TBPREV_N]")</f>
        <v/>
      </c>
      <c r="AR322" s="67" t="str" vm="669">
        <f>CUBEVALUE(ConnectionString,ReportMonth,Table1[[#This Row],[Site ID (from DATIM)]],"[Measures].[TBPREV_NEW]")</f>
        <v/>
      </c>
      <c r="AS322" s="67" t="str" vm="684">
        <f>CUBEVALUE(ConnectionString,ReportMonth,Table1[[#This Row],[Site ID (from DATIM)]],"[Measures].[HVL_ELIG_P]")</f>
        <v/>
      </c>
      <c r="AT322" s="67" t="str" vm="686">
        <f>CUBEVALUE(ConnectionString,ReportMonth,Table1[[#This Row],[Site ID (from DATIM)]],"[Measures].[HVL_D_P]")</f>
        <v/>
      </c>
      <c r="AU322" s="67" t="str" vm="14091">
        <f>CUBEVALUE(ConnectionString,ReportMonth,Table1[[#This Row],[Site ID (from DATIM)]],"[Measures].[HVL_N_P]")</f>
        <v/>
      </c>
      <c r="AV322" s="68" t="str" vm="685">
        <f>CUBEVALUE(ConnectionString,ReportMonth,Table1[[#This Row],[Site ID (from DATIM)]],"[Measures].[HVL_ELIG_A]")</f>
        <v/>
      </c>
      <c r="AW322" s="68" t="str" vm="683">
        <f>CUBEVALUE(ConnectionString,ReportMonth,Table1[[#This Row],[Site ID (from DATIM)]],"[Measures].[HVL_D_A]")</f>
        <v/>
      </c>
      <c r="AX322" s="68" t="str" vm="10752">
        <f>CUBEVALUE(ConnectionString,ReportMonth,Table1[[#This Row],[Site ID (from DATIM)]],"[Measures].[HVL_N_A]")</f>
        <v/>
      </c>
      <c r="AY322" s="67"/>
      <c r="AZ322" s="67"/>
      <c r="BA322" s="67"/>
      <c r="BB322" s="67"/>
      <c r="BC322" s="67"/>
      <c r="BD322" s="67"/>
      <c r="BE322" s="67"/>
      <c r="BF322" s="67"/>
      <c r="BG322" s="67" t="str" vm="13349">
        <f>CUBEVALUE(ConnectionString,ReportMonth,Table1[[#This Row],[Site ID (from DATIM)]],"[Measures].[TX_NEW_F_A]")</f>
        <v/>
      </c>
      <c r="BH322" s="67" t="str" vm="12173">
        <f>CUBEVALUE(ConnectionString,ReportMonth,Table1[[#This Row],[Site ID (from DATIM)]],"[Measures].[TX_NEW_M_A]")</f>
        <v/>
      </c>
      <c r="BI322" s="67" t="str" vm="13083">
        <f>CUBEVALUE(ConnectionString,ReportMonth,Table1[[#This Row],[Site ID (from DATIM)]],"[Measures].[TX_NEW_F_P]")</f>
        <v/>
      </c>
      <c r="BJ322" s="68" t="str" vm="15310">
        <f>CUBEVALUE(ConnectionString,ReportMonth,Table1[[#This Row],[Site ID (from DATIM)]],"[Measures].[TX_NEW_M_P]")</f>
        <v/>
      </c>
      <c r="BK322" s="68"/>
      <c r="BL322" s="68"/>
      <c r="BM322" s="68"/>
      <c r="BN322" s="68"/>
      <c r="BO322" s="68"/>
      <c r="BP322" s="68"/>
      <c r="BQ322" s="68" t="str" vm="11870">
        <f>CUBEVALUE(ConnectionString,ReportMonth,Table1[[#This Row],[Site ID (from DATIM)]],"[Measures].[TX_CURR_F_P]")</f>
        <v/>
      </c>
      <c r="BR322" s="68" t="str" vm="681">
        <f>CUBEVALUE(ConnectionString,ReportMonth,Table1[[#This Row],[Site ID (from DATIM)]],"[Measures].[TX_CURR_M_P]")</f>
        <v/>
      </c>
      <c r="BS322" s="68" t="str" vm="14110">
        <f>CUBEVALUE(ConnectionString,ReportMonth,Table1[[#This Row],[Site ID (from DATIM)]],"[Measures].[TX_CURR_F_A]")</f>
        <v/>
      </c>
      <c r="BT322" s="68" t="str" vm="10348">
        <f>CUBEVALUE(ConnectionString,ReportMonth,Table1[[#This Row],[Site ID (from DATIM)]],"[Measures].[TX_CURR_M_A]")</f>
        <v/>
      </c>
      <c r="BU322" s="68" t="str" vm="18396">
        <f>CUBEVALUE(ConnectionString,ReportMonth,Table1[[#This Row],[Site ID (from DATIM)]],"[Measures].[MMS_01_89_F_P]")</f>
        <v/>
      </c>
      <c r="BV322" s="68" t="str" vm="19704">
        <f>CUBEVALUE(ConnectionString,ReportMonth,Table1[[#This Row],[Site ID (from DATIM)]],"[Measures].[MMS_01_89_M_P]")</f>
        <v/>
      </c>
      <c r="BW322" s="68" t="str" vm="18052">
        <f>CUBEVALUE(ConnectionString,ReportMonth,Table1[[#This Row],[Site ID (from DATIM)]],"[Measures].[MMS_01_89_F_A]")</f>
        <v/>
      </c>
      <c r="BX322" s="68" t="str" vm="17999">
        <f>CUBEVALUE(ConnectionString,ReportMonth,Table1[[#This Row],[Site ID (from DATIM)]],"[Measures].[MMS_01_89_M_A]")</f>
        <v/>
      </c>
      <c r="BY322" s="68" t="str" vm="18852">
        <f>CUBEVALUE(ConnectionString,ReportMonth,Table1[[#This Row],[Site ID (from DATIM)]],"[Measures].[MMS_90_179_F_P]")</f>
        <v/>
      </c>
      <c r="BZ322" s="68" t="str" vm="16045">
        <f>CUBEVALUE(ConnectionString,ReportMonth,Table1[[#This Row],[Site ID (from DATIM)]],"[Measures].[MMS_90_179_M_P]")</f>
        <v/>
      </c>
      <c r="CA322" s="68" t="str" vm="19843">
        <f>CUBEVALUE(ConnectionString,ReportMonth,Table1[[#This Row],[Site ID (from DATIM)]],"[Measures].[MMS_90_179_F_A]")</f>
        <v/>
      </c>
      <c r="CB322" s="68" t="str" vm="15588">
        <f>CUBEVALUE(ConnectionString,ReportMonth,Table1[[#This Row],[Site ID (from DATIM)]],"[Measures].[MMS_90_179_M_A]")</f>
        <v/>
      </c>
      <c r="CC322" s="68" t="str" vm="14623">
        <f>CUBEVALUE(ConnectionString,ReportMonth,Table1[[#This Row],[Site ID (from DATIM)]],"[Measures].[MMS_180+_F_P]")</f>
        <v/>
      </c>
      <c r="CD322" s="68" t="str" vm="17558">
        <f>CUBEVALUE(ConnectionString,ReportMonth,Table1[[#This Row],[Site ID (from DATIM)]],"[Measures].[MMS_180+_M_P]")</f>
        <v/>
      </c>
      <c r="CE322" s="68" t="str" vm="15793">
        <f>CUBEVALUE(ConnectionString,ReportMonth,Table1[[#This Row],[Site ID (from DATIM)]],"[Measures].[MMS_180+_F_A]")</f>
        <v/>
      </c>
      <c r="CF322" s="68" t="str" vm="20173">
        <f>CUBEVALUE(ConnectionString,ReportMonth,Table1[[#This Row],[Site ID (from DATIM)]],"[Measures].[MMS_180+_M_A]")</f>
        <v/>
      </c>
      <c r="CG322" s="68" t="str" vm="668">
        <f>CUBEVALUE(ConnectionString,ReportMonth,Table1[[#This Row],[Site ID (from DATIM)]],"[Measures].[MISSEDAPP]")</f>
        <v/>
      </c>
      <c r="CH322" s="68" t="str" vm="11217">
        <f>CUBEVALUE(ConnectionString,ReportMonth,Table1[[#This Row],[Site ID (from DATIM)]],"[Measures].[MMS_180+_P]")</f>
        <v/>
      </c>
      <c r="CI322" s="68" t="str" vm="10905">
        <f>CUBEVALUE(ConnectionString,ReportMonth,Table1[[#This Row],[Site ID (from DATIM)]],"[Measures].[MMS_180+_A]")</f>
        <v/>
      </c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  <c r="CW322" s="68"/>
      <c r="CX322" s="68"/>
      <c r="CY322" s="68"/>
      <c r="CZ322" s="68"/>
      <c r="DA322" s="68"/>
      <c r="DB322" s="68"/>
      <c r="DC322" s="68"/>
    </row>
    <row r="323" spans="1:107" x14ac:dyDescent="0.25">
      <c r="A323" s="66">
        <v>2</v>
      </c>
      <c r="B323" s="67" t="str" vm="4">
        <f t="shared" si="5"/>
        <v>Mar-2021</v>
      </c>
      <c r="C323" s="67"/>
      <c r="D323" s="67" t="s">
        <v>232</v>
      </c>
      <c r="E323" s="67" t="s">
        <v>233</v>
      </c>
      <c r="F323" s="67" t="s">
        <v>437</v>
      </c>
      <c r="G323" s="67"/>
      <c r="H323" s="67" t="s">
        <v>488</v>
      </c>
      <c r="I323" s="67" t="s">
        <v>740</v>
      </c>
      <c r="J323" s="67" t="s">
        <v>741</v>
      </c>
      <c r="K323" s="67" t="s">
        <v>742</v>
      </c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 vm="632">
        <f>CUBEVALUE(ConnectionString,ReportMonth,Table1[[#This Row],[Site ID (from DATIM)]],"TX_NEW_2VIS")</f>
        <v>5</v>
      </c>
      <c r="AE323" s="67" vm="4326">
        <f>CUBEVALUE(ConnectionString,ReportMonth,Table1[[#This Row],[Site ID (from DATIM)]],INDEX(SDI_Measures,1))</f>
        <v>9</v>
      </c>
      <c r="AF323" s="67" t="str" vm="297">
        <f>CUBEVALUE(ConnectionString,ReportMonth,Table1[[#This Row],[Site ID (from DATIM)]],INDEX(SDI_Measures,2))</f>
        <v/>
      </c>
      <c r="AG323" s="67" t="str" vm="3968">
        <f>CUBEVALUE(ConnectionString,ReportMonth,Table1[[#This Row],[Site ID (from DATIM)]],INDEX(SDI_Measures,3))</f>
        <v/>
      </c>
      <c r="AH323" s="67" vm="2750">
        <f>CUBEVALUE(ConnectionString,ReportMonth,Table1[[#This Row],[Site ID (from DATIM)]],"TX_CURR_PRIOR_MONTH")</f>
        <v>1161</v>
      </c>
      <c r="AI323" s="67" vm="2386">
        <f>CUBEVALUE(ConnectionString,ReportMonth,Table1[[#This Row],[Site ID (from DATIM)]],"TX_CURR")</f>
        <v>1167</v>
      </c>
      <c r="AJ323" s="67" t="str" vm="3176">
        <f>CUBEVALUE(ConnectionString,ReportMonth,Table1[[#This Row],[Site ID (from DATIM)]],"[Measures].[TI]")</f>
        <v/>
      </c>
      <c r="AK323" s="67" vm="840">
        <f>CUBEVALUE(ConnectionString,ReportMonth,Table1[[#This Row],[Site ID (from DATIM)]],"[Measures].[TO]")</f>
        <v>3</v>
      </c>
      <c r="AL323" s="67" t="str" vm="4434">
        <f>CUBEVALUE(ConnectionString,ReportMonth,Table1[[#This Row],[Site ID (from DATIM)]],"[Measures].[DIED]")</f>
        <v/>
      </c>
      <c r="AM323" s="67" vm="4759">
        <f>CUBEVALUE(ConnectionString,ReportMonth,Table1[[#This Row],[Site ID (from DATIM)]],"[Measures].[MMS_01_31]")</f>
        <v>245</v>
      </c>
      <c r="AN323" s="67" vm="6095">
        <f>CUBEVALUE(ConnectionString,ReportMonth,Table1[[#This Row],[Site ID (from DATIM)]],"[Measures].[MMS_32_62]")</f>
        <v>1</v>
      </c>
      <c r="AO323" s="67" vm="7127">
        <f>CUBEVALUE(ConnectionString,ReportMonth,Table1[[#This Row],[Site ID (from DATIM)]],"[Measures].[MMS_63+]")</f>
        <v>921</v>
      </c>
      <c r="AP323" s="67" vm="9397">
        <f>CUBEVALUE(ConnectionString,ReportMonth,Table1[[#This Row],[Site ID (from DATIM)]],"[Measures].[TBPREV_D]")</f>
        <v>63</v>
      </c>
      <c r="AQ323" s="67" vm="5206">
        <f>CUBEVALUE(ConnectionString,ReportMonth,Table1[[#This Row],[Site ID (from DATIM)]],"[Measures].[TBPREV_N]")</f>
        <v>61</v>
      </c>
      <c r="AR323" s="67" vm="6144">
        <f>CUBEVALUE(ConnectionString,ReportMonth,Table1[[#This Row],[Site ID (from DATIM)]],"[Measures].[TBPREV_NEW]")</f>
        <v>10</v>
      </c>
      <c r="AS323" s="67" vm="6925">
        <f>CUBEVALUE(ConnectionString,ReportMonth,Table1[[#This Row],[Site ID (from DATIM)]],"[Measures].[HVL_ELIG_P]")</f>
        <v>61</v>
      </c>
      <c r="AT323" s="67" vm="6189">
        <f>CUBEVALUE(ConnectionString,ReportMonth,Table1[[#This Row],[Site ID (from DATIM)]],"[Measures].[HVL_D_P]")</f>
        <v>54</v>
      </c>
      <c r="AU323" s="67" vm="10750">
        <f>CUBEVALUE(ConnectionString,ReportMonth,Table1[[#This Row],[Site ID (from DATIM)]],"[Measures].[HVL_N_P]")</f>
        <v>47</v>
      </c>
      <c r="AV323" s="68" vm="10594">
        <f>CUBEVALUE(ConnectionString,ReportMonth,Table1[[#This Row],[Site ID (from DATIM)]],"[Measures].[HVL_ELIG_A]")</f>
        <v>1016</v>
      </c>
      <c r="AW323" s="68" vm="7943">
        <f>CUBEVALUE(ConnectionString,ReportMonth,Table1[[#This Row],[Site ID (from DATIM)]],"[Measures].[HVL_D_A]")</f>
        <v>865</v>
      </c>
      <c r="AX323" s="68" vm="10541">
        <f>CUBEVALUE(ConnectionString,ReportMonth,Table1[[#This Row],[Site ID (from DATIM)]],"[Measures].[HVL_N_A]")</f>
        <v>834</v>
      </c>
      <c r="AY323" s="67"/>
      <c r="AZ323" s="67"/>
      <c r="BA323" s="67"/>
      <c r="BB323" s="67"/>
      <c r="BC323" s="67"/>
      <c r="BD323" s="67"/>
      <c r="BE323" s="67"/>
      <c r="BF323" s="67"/>
      <c r="BG323" s="67" vm="10474">
        <f>CUBEVALUE(ConnectionString,ReportMonth,Table1[[#This Row],[Site ID (from DATIM)]],"[Measures].[TX_NEW_F_A]")</f>
        <v>6</v>
      </c>
      <c r="BH323" s="67" vm="12556">
        <f>CUBEVALUE(ConnectionString,ReportMonth,Table1[[#This Row],[Site ID (from DATIM)]],"[Measures].[TX_NEW_M_A]")</f>
        <v>2</v>
      </c>
      <c r="BI323" s="67" vm="12852">
        <f>CUBEVALUE(ConnectionString,ReportMonth,Table1[[#This Row],[Site ID (from DATIM)]],"[Measures].[TX_NEW_F_P]")</f>
        <v>1</v>
      </c>
      <c r="BJ323" s="68" t="str" vm="12583">
        <f>CUBEVALUE(ConnectionString,ReportMonth,Table1[[#This Row],[Site ID (from DATIM)]],"[Measures].[TX_NEW_M_P]")</f>
        <v/>
      </c>
      <c r="BK323" s="68"/>
      <c r="BL323" s="68"/>
      <c r="BM323" s="68"/>
      <c r="BN323" s="68"/>
      <c r="BO323" s="68"/>
      <c r="BP323" s="68"/>
      <c r="BQ323" s="68" vm="7945">
        <f>CUBEVALUE(ConnectionString,ReportMonth,Table1[[#This Row],[Site ID (from DATIM)]],"[Measures].[TX_CURR_F_P]")</f>
        <v>30</v>
      </c>
      <c r="BR323" s="68" vm="11146">
        <f>CUBEVALUE(ConnectionString,ReportMonth,Table1[[#This Row],[Site ID (from DATIM)]],"[Measures].[TX_CURR_M_P]")</f>
        <v>34</v>
      </c>
      <c r="BS323" s="68" vm="13665">
        <f>CUBEVALUE(ConnectionString,ReportMonth,Table1[[#This Row],[Site ID (from DATIM)]],"[Measures].[TX_CURR_F_A]")</f>
        <v>774</v>
      </c>
      <c r="BT323" s="68" vm="12723">
        <f>CUBEVALUE(ConnectionString,ReportMonth,Table1[[#This Row],[Site ID (from DATIM)]],"[Measures].[TX_CURR_M_A]")</f>
        <v>330</v>
      </c>
      <c r="BU323" s="68" vm="19745">
        <f>CUBEVALUE(ConnectionString,ReportMonth,Table1[[#This Row],[Site ID (from DATIM)]],"[Measures].[MMS_01_89_F_P]")</f>
        <v>13</v>
      </c>
      <c r="BV323" s="68" vm="18381">
        <f>CUBEVALUE(ConnectionString,ReportMonth,Table1[[#This Row],[Site ID (from DATIM)]],"[Measures].[MMS_01_89_M_P]")</f>
        <v>13</v>
      </c>
      <c r="BW323" s="68" vm="18825">
        <f>CUBEVALUE(ConnectionString,ReportMonth,Table1[[#This Row],[Site ID (from DATIM)]],"[Measures].[MMS_01_89_F_A]")</f>
        <v>151</v>
      </c>
      <c r="BX323" s="68" vm="17917">
        <f>CUBEVALUE(ConnectionString,ReportMonth,Table1[[#This Row],[Site ID (from DATIM)]],"[Measures].[MMS_01_89_M_A]")</f>
        <v>72</v>
      </c>
      <c r="BY323" s="68" vm="18459">
        <f>CUBEVALUE(ConnectionString,ReportMonth,Table1[[#This Row],[Site ID (from DATIM)]],"[Measures].[MMS_90_179_F_P]")</f>
        <v>17</v>
      </c>
      <c r="BZ323" s="68" vm="15195">
        <f>CUBEVALUE(ConnectionString,ReportMonth,Table1[[#This Row],[Site ID (from DATIM)]],"[Measures].[MMS_90_179_M_P]")</f>
        <v>21</v>
      </c>
      <c r="CA323" s="68" vm="17320">
        <f>CUBEVALUE(ConnectionString,ReportMonth,Table1[[#This Row],[Site ID (from DATIM)]],"[Measures].[MMS_90_179_F_A]")</f>
        <v>621</v>
      </c>
      <c r="CB323" s="68" vm="15141">
        <f>CUBEVALUE(ConnectionString,ReportMonth,Table1[[#This Row],[Site ID (from DATIM)]],"[Measures].[MMS_90_179_M_A]")</f>
        <v>256</v>
      </c>
      <c r="CC323" s="68" t="str" vm="16822">
        <f>CUBEVALUE(ConnectionString,ReportMonth,Table1[[#This Row],[Site ID (from DATIM)]],"[Measures].[MMS_180+_F_P]")</f>
        <v/>
      </c>
      <c r="CD323" s="68" t="str" vm="15871">
        <f>CUBEVALUE(ConnectionString,ReportMonth,Table1[[#This Row],[Site ID (from DATIM)]],"[Measures].[MMS_180+_M_P]")</f>
        <v/>
      </c>
      <c r="CE323" s="68" vm="14958">
        <f>CUBEVALUE(ConnectionString,ReportMonth,Table1[[#This Row],[Site ID (from DATIM)]],"[Measures].[MMS_180+_F_A]")</f>
        <v>2</v>
      </c>
      <c r="CF323" s="68" vm="20197">
        <f>CUBEVALUE(ConnectionString,ReportMonth,Table1[[#This Row],[Site ID (from DATIM)]],"[Measures].[MMS_180+_M_A]")</f>
        <v>2</v>
      </c>
      <c r="CG323" s="68" vm="11485">
        <f>CUBEVALUE(ConnectionString,ReportMonth,Table1[[#This Row],[Site ID (from DATIM)]],"[Measures].[MISSEDAPP]")</f>
        <v>269</v>
      </c>
      <c r="CH323" s="68" t="str" vm="12425">
        <f>CUBEVALUE(ConnectionString,ReportMonth,Table1[[#This Row],[Site ID (from DATIM)]],"[Measures].[MMS_180+_P]")</f>
        <v/>
      </c>
      <c r="CI323" s="68" vm="10205">
        <f>CUBEVALUE(ConnectionString,ReportMonth,Table1[[#This Row],[Site ID (from DATIM)]],"[Measures].[MMS_180+_A]")</f>
        <v>4</v>
      </c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  <c r="CW323" s="68"/>
      <c r="CX323" s="68"/>
      <c r="CY323" s="68"/>
      <c r="CZ323" s="68"/>
      <c r="DA323" s="68"/>
      <c r="DB323" s="68"/>
      <c r="DC323" s="68"/>
    </row>
    <row r="324" spans="1:107" x14ac:dyDescent="0.25">
      <c r="A324" s="66">
        <v>4</v>
      </c>
      <c r="B324" s="67" t="str" vm="4">
        <f t="shared" si="5"/>
        <v>Mar-2021</v>
      </c>
      <c r="C324" s="67"/>
      <c r="D324" s="67" t="s">
        <v>232</v>
      </c>
      <c r="E324" s="67" t="s">
        <v>233</v>
      </c>
      <c r="F324" s="67" t="s">
        <v>1083</v>
      </c>
      <c r="G324" s="67"/>
      <c r="H324" s="67" t="s">
        <v>1099</v>
      </c>
      <c r="I324" s="67" t="s">
        <v>1235</v>
      </c>
      <c r="J324" s="67" t="s">
        <v>1236</v>
      </c>
      <c r="K324" s="67" t="s">
        <v>1237</v>
      </c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 t="str" vm="1617">
        <f>CUBEVALUE(ConnectionString,ReportMonth,Table1[[#This Row],[Site ID (from DATIM)]],"TX_NEW_2VIS")</f>
        <v/>
      </c>
      <c r="AE324" s="67" t="str" vm="519">
        <f>CUBEVALUE(ConnectionString,ReportMonth,Table1[[#This Row],[Site ID (from DATIM)]],INDEX(SDI_Measures,1))</f>
        <v/>
      </c>
      <c r="AF324" s="67" t="str" vm="458">
        <f>CUBEVALUE(ConnectionString,ReportMonth,Table1[[#This Row],[Site ID (from DATIM)]],INDEX(SDI_Measures,2))</f>
        <v/>
      </c>
      <c r="AG324" s="67" t="str" vm="1400">
        <f>CUBEVALUE(ConnectionString,ReportMonth,Table1[[#This Row],[Site ID (from DATIM)]],INDEX(SDI_Measures,3))</f>
        <v/>
      </c>
      <c r="AH324" s="67" vm="856">
        <f>CUBEVALUE(ConnectionString,ReportMonth,Table1[[#This Row],[Site ID (from DATIM)]],"TX_CURR_PRIOR_MONTH")</f>
        <v>50</v>
      </c>
      <c r="AI324" s="67" vm="2171">
        <f>CUBEVALUE(ConnectionString,ReportMonth,Table1[[#This Row],[Site ID (from DATIM)]],"TX_CURR")</f>
        <v>49</v>
      </c>
      <c r="AJ324" s="67" t="str" vm="4413">
        <f>CUBEVALUE(ConnectionString,ReportMonth,Table1[[#This Row],[Site ID (from DATIM)]],"[Measures].[TI]")</f>
        <v/>
      </c>
      <c r="AK324" s="67" t="str" vm="2296">
        <f>CUBEVALUE(ConnectionString,ReportMonth,Table1[[#This Row],[Site ID (from DATIM)]],"[Measures].[TO]")</f>
        <v/>
      </c>
      <c r="AL324" s="67" t="str" vm="2906">
        <f>CUBEVALUE(ConnectionString,ReportMonth,Table1[[#This Row],[Site ID (from DATIM)]],"[Measures].[DIED]")</f>
        <v/>
      </c>
      <c r="AM324" s="67" vm="5428">
        <f>CUBEVALUE(ConnectionString,ReportMonth,Table1[[#This Row],[Site ID (from DATIM)]],"[Measures].[MMS_01_31]")</f>
        <v>13</v>
      </c>
      <c r="AN324" s="67" t="str" vm="5284">
        <f>CUBEVALUE(ConnectionString,ReportMonth,Table1[[#This Row],[Site ID (from DATIM)]],"[Measures].[MMS_32_62]")</f>
        <v/>
      </c>
      <c r="AO324" s="67" vm="6715">
        <f>CUBEVALUE(ConnectionString,ReportMonth,Table1[[#This Row],[Site ID (from DATIM)]],"[Measures].[MMS_63+]")</f>
        <v>36</v>
      </c>
      <c r="AP324" s="67" t="str" vm="4724">
        <f>CUBEVALUE(ConnectionString,ReportMonth,Table1[[#This Row],[Site ID (from DATIM)]],"[Measures].[TBPREV_D]")</f>
        <v/>
      </c>
      <c r="AQ324" s="67" t="str" vm="5815">
        <f>CUBEVALUE(ConnectionString,ReportMonth,Table1[[#This Row],[Site ID (from DATIM)]],"[Measures].[TBPREV_N]")</f>
        <v/>
      </c>
      <c r="AR324" s="67" t="str" vm="4768">
        <f>CUBEVALUE(ConnectionString,ReportMonth,Table1[[#This Row],[Site ID (from DATIM)]],"[Measures].[TBPREV_NEW]")</f>
        <v/>
      </c>
      <c r="AS324" s="67" t="str" vm="7969">
        <f>CUBEVALUE(ConnectionString,ReportMonth,Table1[[#This Row],[Site ID (from DATIM)]],"[Measures].[HVL_ELIG_P]")</f>
        <v/>
      </c>
      <c r="AT324" s="67" t="str" vm="6048">
        <f>CUBEVALUE(ConnectionString,ReportMonth,Table1[[#This Row],[Site ID (from DATIM)]],"[Measures].[HVL_D_P]")</f>
        <v/>
      </c>
      <c r="AU324" s="67" t="str" vm="11751">
        <f>CUBEVALUE(ConnectionString,ReportMonth,Table1[[#This Row],[Site ID (from DATIM)]],"[Measures].[HVL_N_P]")</f>
        <v/>
      </c>
      <c r="AV324" s="68" t="str" vm="9913">
        <f>CUBEVALUE(ConnectionString,ReportMonth,Table1[[#This Row],[Site ID (from DATIM)]],"[Measures].[HVL_ELIG_A]")</f>
        <v/>
      </c>
      <c r="AW324" s="68" vm="11335">
        <f>CUBEVALUE(ConnectionString,ReportMonth,Table1[[#This Row],[Site ID (from DATIM)]],"[Measures].[HVL_D_A]")</f>
        <v>9</v>
      </c>
      <c r="AX324" s="68" vm="9667">
        <f>CUBEVALUE(ConnectionString,ReportMonth,Table1[[#This Row],[Site ID (from DATIM)]],"[Measures].[HVL_N_A]")</f>
        <v>8</v>
      </c>
      <c r="AY324" s="67"/>
      <c r="AZ324" s="67"/>
      <c r="BA324" s="67"/>
      <c r="BB324" s="67"/>
      <c r="BC324" s="67"/>
      <c r="BD324" s="67"/>
      <c r="BE324" s="67"/>
      <c r="BF324" s="67"/>
      <c r="BG324" s="67" t="str" vm="12007">
        <f>CUBEVALUE(ConnectionString,ReportMonth,Table1[[#This Row],[Site ID (from DATIM)]],"[Measures].[TX_NEW_F_A]")</f>
        <v/>
      </c>
      <c r="BH324" s="67" t="str" vm="14318">
        <f>CUBEVALUE(ConnectionString,ReportMonth,Table1[[#This Row],[Site ID (from DATIM)]],"[Measures].[TX_NEW_M_A]")</f>
        <v/>
      </c>
      <c r="BI324" s="67" t="str" vm="12124">
        <f>CUBEVALUE(ConnectionString,ReportMonth,Table1[[#This Row],[Site ID (from DATIM)]],"[Measures].[TX_NEW_F_P]")</f>
        <v/>
      </c>
      <c r="BJ324" s="68" t="str" vm="15259">
        <f>CUBEVALUE(ConnectionString,ReportMonth,Table1[[#This Row],[Site ID (from DATIM)]],"[Measures].[TX_NEW_M_P]")</f>
        <v/>
      </c>
      <c r="BK324" s="68"/>
      <c r="BL324" s="68"/>
      <c r="BM324" s="68"/>
      <c r="BN324" s="68"/>
      <c r="BO324" s="68"/>
      <c r="BP324" s="68"/>
      <c r="BQ324" s="68" vm="9849">
        <f>CUBEVALUE(ConnectionString,ReportMonth,Table1[[#This Row],[Site ID (from DATIM)]],"[Measures].[TX_CURR_F_P]")</f>
        <v>1</v>
      </c>
      <c r="BR324" s="68" t="str" vm="11374">
        <f>CUBEVALUE(ConnectionString,ReportMonth,Table1[[#This Row],[Site ID (from DATIM)]],"[Measures].[TX_CURR_M_P]")</f>
        <v/>
      </c>
      <c r="BS324" s="68" vm="10149">
        <f>CUBEVALUE(ConnectionString,ReportMonth,Table1[[#This Row],[Site ID (from DATIM)]],"[Measures].[TX_CURR_F_A]")</f>
        <v>40</v>
      </c>
      <c r="BT324" s="68" vm="12672">
        <f>CUBEVALUE(ConnectionString,ReportMonth,Table1[[#This Row],[Site ID (from DATIM)]],"[Measures].[TX_CURR_M_A]")</f>
        <v>8</v>
      </c>
      <c r="BU324" s="68" vm="19344">
        <f>CUBEVALUE(ConnectionString,ReportMonth,Table1[[#This Row],[Site ID (from DATIM)]],"[Measures].[MMS_01_89_F_P]")</f>
        <v>1</v>
      </c>
      <c r="BV324" s="68" t="str" vm="18700">
        <f>CUBEVALUE(ConnectionString,ReportMonth,Table1[[#This Row],[Site ID (from DATIM)]],"[Measures].[MMS_01_89_M_P]")</f>
        <v/>
      </c>
      <c r="BW324" s="68" vm="18488">
        <f>CUBEVALUE(ConnectionString,ReportMonth,Table1[[#This Row],[Site ID (from DATIM)]],"[Measures].[MMS_01_89_F_A]")</f>
        <v>13</v>
      </c>
      <c r="BX324" s="68" vm="19683">
        <f>CUBEVALUE(ConnectionString,ReportMonth,Table1[[#This Row],[Site ID (from DATIM)]],"[Measures].[MMS_01_89_M_A]")</f>
        <v>3</v>
      </c>
      <c r="BY324" s="68" t="str" vm="19050">
        <f>CUBEVALUE(ConnectionString,ReportMonth,Table1[[#This Row],[Site ID (from DATIM)]],"[Measures].[MMS_90_179_F_P]")</f>
        <v/>
      </c>
      <c r="BZ324" s="68" t="str" vm="17904">
        <f>CUBEVALUE(ConnectionString,ReportMonth,Table1[[#This Row],[Site ID (from DATIM)]],"[Measures].[MMS_90_179_M_P]")</f>
        <v/>
      </c>
      <c r="CA324" s="68" vm="15117">
        <f>CUBEVALUE(ConnectionString,ReportMonth,Table1[[#This Row],[Site ID (from DATIM)]],"[Measures].[MMS_90_179_F_A]")</f>
        <v>27</v>
      </c>
      <c r="CB324" s="68" vm="19040">
        <f>CUBEVALUE(ConnectionString,ReportMonth,Table1[[#This Row],[Site ID (from DATIM)]],"[Measures].[MMS_90_179_M_A]")</f>
        <v>5</v>
      </c>
      <c r="CC324" s="68" t="str" vm="15407">
        <f>CUBEVALUE(ConnectionString,ReportMonth,Table1[[#This Row],[Site ID (from DATIM)]],"[Measures].[MMS_180+_F_P]")</f>
        <v/>
      </c>
      <c r="CD324" s="68" t="str" vm="15456">
        <f>CUBEVALUE(ConnectionString,ReportMonth,Table1[[#This Row],[Site ID (from DATIM)]],"[Measures].[MMS_180+_M_P]")</f>
        <v/>
      </c>
      <c r="CE324" s="68" t="str" vm="16231">
        <f>CUBEVALUE(ConnectionString,ReportMonth,Table1[[#This Row],[Site ID (from DATIM)]],"[Measures].[MMS_180+_F_A]")</f>
        <v/>
      </c>
      <c r="CF324" s="68" t="str" vm="210">
        <f>CUBEVALUE(ConnectionString,ReportMonth,Table1[[#This Row],[Site ID (from DATIM)]],"[Measures].[MMS_180+_M_A]")</f>
        <v/>
      </c>
      <c r="CG324" s="68" vm="9110">
        <f>CUBEVALUE(ConnectionString,ReportMonth,Table1[[#This Row],[Site ID (from DATIM)]],"[Measures].[MISSEDAPP]")</f>
        <v>13</v>
      </c>
      <c r="CH324" s="68" t="str" vm="11654">
        <f>CUBEVALUE(ConnectionString,ReportMonth,Table1[[#This Row],[Site ID (from DATIM)]],"[Measures].[MMS_180+_P]")</f>
        <v/>
      </c>
      <c r="CI324" s="68" t="str" vm="11278">
        <f>CUBEVALUE(ConnectionString,ReportMonth,Table1[[#This Row],[Site ID (from DATIM)]],"[Measures].[MMS_180+_A]")</f>
        <v/>
      </c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  <c r="CW324" s="68"/>
      <c r="CX324" s="68"/>
      <c r="CY324" s="68"/>
      <c r="CZ324" s="68"/>
      <c r="DA324" s="68"/>
      <c r="DB324" s="68"/>
      <c r="DC324" s="68"/>
    </row>
    <row r="325" spans="1:107" x14ac:dyDescent="0.25">
      <c r="A325" s="66">
        <v>4</v>
      </c>
      <c r="B325" s="67" t="str" vm="4">
        <f t="shared" si="5"/>
        <v>Mar-2021</v>
      </c>
      <c r="C325" s="67"/>
      <c r="D325" s="67" t="s">
        <v>232</v>
      </c>
      <c r="E325" s="67" t="s">
        <v>233</v>
      </c>
      <c r="F325" s="67" t="s">
        <v>1286</v>
      </c>
      <c r="G325" s="67"/>
      <c r="H325" s="67" t="s">
        <v>1303</v>
      </c>
      <c r="I325" s="67" t="s">
        <v>1378</v>
      </c>
      <c r="J325" s="67" t="s">
        <v>1474</v>
      </c>
      <c r="K325" s="67" t="s">
        <v>1475</v>
      </c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 t="str" vm="4020">
        <f>CUBEVALUE(ConnectionString,ReportMonth,Table1[[#This Row],[Site ID (from DATIM)]],"TX_NEW_2VIS")</f>
        <v/>
      </c>
      <c r="AE325" s="67" t="str" vm="1283">
        <f>CUBEVALUE(ConnectionString,ReportMonth,Table1[[#This Row],[Site ID (from DATIM)]],INDEX(SDI_Measures,1))</f>
        <v/>
      </c>
      <c r="AF325" s="67" t="str" vm="2527">
        <f>CUBEVALUE(ConnectionString,ReportMonth,Table1[[#This Row],[Site ID (from DATIM)]],INDEX(SDI_Measures,2))</f>
        <v/>
      </c>
      <c r="AG325" s="67" t="str" vm="2882">
        <f>CUBEVALUE(ConnectionString,ReportMonth,Table1[[#This Row],[Site ID (from DATIM)]],INDEX(SDI_Measures,3))</f>
        <v/>
      </c>
      <c r="AH325" s="67" t="str" vm="420">
        <f>CUBEVALUE(ConnectionString,ReportMonth,Table1[[#This Row],[Site ID (from DATIM)]],"TX_CURR_PRIOR_MONTH")</f>
        <v/>
      </c>
      <c r="AI325" s="67" t="str" vm="3243">
        <f>CUBEVALUE(ConnectionString,ReportMonth,Table1[[#This Row],[Site ID (from DATIM)]],"TX_CURR")</f>
        <v/>
      </c>
      <c r="AJ325" s="67" t="str" vm="6281">
        <f>CUBEVALUE(ConnectionString,ReportMonth,Table1[[#This Row],[Site ID (from DATIM)]],"[Measures].[TI]")</f>
        <v/>
      </c>
      <c r="AK325" s="67" t="str" vm="2768">
        <f>CUBEVALUE(ConnectionString,ReportMonth,Table1[[#This Row],[Site ID (from DATIM)]],"[Measures].[TO]")</f>
        <v/>
      </c>
      <c r="AL325" s="67" t="str" vm="4255">
        <f>CUBEVALUE(ConnectionString,ReportMonth,Table1[[#This Row],[Site ID (from DATIM)]],"[Measures].[DIED]")</f>
        <v/>
      </c>
      <c r="AM325" s="67" t="str" vm="9480">
        <f>CUBEVALUE(ConnectionString,ReportMonth,Table1[[#This Row],[Site ID (from DATIM)]],"[Measures].[MMS_01_31]")</f>
        <v/>
      </c>
      <c r="AN325" s="67" t="str" vm="5279">
        <f>CUBEVALUE(ConnectionString,ReportMonth,Table1[[#This Row],[Site ID (from DATIM)]],"[Measures].[MMS_32_62]")</f>
        <v/>
      </c>
      <c r="AO325" s="67" t="str" vm="7681">
        <f>CUBEVALUE(ConnectionString,ReportMonth,Table1[[#This Row],[Site ID (from DATIM)]],"[Measures].[MMS_63+]")</f>
        <v/>
      </c>
      <c r="AP325" s="67" t="str" vm="7591">
        <f>CUBEVALUE(ConnectionString,ReportMonth,Table1[[#This Row],[Site ID (from DATIM)]],"[Measures].[TBPREV_D]")</f>
        <v/>
      </c>
      <c r="AQ325" s="67" t="str" vm="6121">
        <f>CUBEVALUE(ConnectionString,ReportMonth,Table1[[#This Row],[Site ID (from DATIM)]],"[Measures].[TBPREV_N]")</f>
        <v/>
      </c>
      <c r="AR325" s="67" t="str" vm="7900">
        <f>CUBEVALUE(ConnectionString,ReportMonth,Table1[[#This Row],[Site ID (from DATIM)]],"[Measures].[TBPREV_NEW]")</f>
        <v/>
      </c>
      <c r="AS325" s="67" t="str" vm="10304">
        <f>CUBEVALUE(ConnectionString,ReportMonth,Table1[[#This Row],[Site ID (from DATIM)]],"[Measures].[HVL_ELIG_P]")</f>
        <v/>
      </c>
      <c r="AT325" s="67" t="str" vm="4734">
        <f>CUBEVALUE(ConnectionString,ReportMonth,Table1[[#This Row],[Site ID (from DATIM)]],"[Measures].[HVL_D_P]")</f>
        <v/>
      </c>
      <c r="AU325" s="67" t="str" vm="7975">
        <f>CUBEVALUE(ConnectionString,ReportMonth,Table1[[#This Row],[Site ID (from DATIM)]],"[Measures].[HVL_N_P]")</f>
        <v/>
      </c>
      <c r="AV325" s="68" t="str" vm="8068">
        <f>CUBEVALUE(ConnectionString,ReportMonth,Table1[[#This Row],[Site ID (from DATIM)]],"[Measures].[HVL_ELIG_A]")</f>
        <v/>
      </c>
      <c r="AW325" s="68" t="str" vm="9862">
        <f>CUBEVALUE(ConnectionString,ReportMonth,Table1[[#This Row],[Site ID (from DATIM)]],"[Measures].[HVL_D_A]")</f>
        <v/>
      </c>
      <c r="AX325" s="68" t="str" vm="9643">
        <f>CUBEVALUE(ConnectionString,ReportMonth,Table1[[#This Row],[Site ID (from DATIM)]],"[Measures].[HVL_N_A]")</f>
        <v/>
      </c>
      <c r="AY325" s="67"/>
      <c r="AZ325" s="67"/>
      <c r="BA325" s="67"/>
      <c r="BB325" s="67"/>
      <c r="BC325" s="67"/>
      <c r="BD325" s="67"/>
      <c r="BE325" s="67"/>
      <c r="BF325" s="67"/>
      <c r="BG325" s="67" t="str" vm="12548">
        <f>CUBEVALUE(ConnectionString,ReportMonth,Table1[[#This Row],[Site ID (from DATIM)]],"[Measures].[TX_NEW_F_A]")</f>
        <v/>
      </c>
      <c r="BH325" s="67" t="str" vm="12554">
        <f>CUBEVALUE(ConnectionString,ReportMonth,Table1[[#This Row],[Site ID (from DATIM)]],"[Measures].[TX_NEW_M_A]")</f>
        <v/>
      </c>
      <c r="BI325" s="67" t="str" vm="14295">
        <f>CUBEVALUE(ConnectionString,ReportMonth,Table1[[#This Row],[Site ID (from DATIM)]],"[Measures].[TX_NEW_F_P]")</f>
        <v/>
      </c>
      <c r="BJ325" s="68" t="str" vm="12856">
        <f>CUBEVALUE(ConnectionString,ReportMonth,Table1[[#This Row],[Site ID (from DATIM)]],"[Measures].[TX_NEW_M_P]")</f>
        <v/>
      </c>
      <c r="BK325" s="68"/>
      <c r="BL325" s="68"/>
      <c r="BM325" s="68"/>
      <c r="BN325" s="68"/>
      <c r="BO325" s="68"/>
      <c r="BP325" s="68"/>
      <c r="BQ325" s="68" t="str" vm="11619">
        <f>CUBEVALUE(ConnectionString,ReportMonth,Table1[[#This Row],[Site ID (from DATIM)]],"[Measures].[TX_CURR_F_P]")</f>
        <v/>
      </c>
      <c r="BR325" s="68" t="str" vm="7217">
        <f>CUBEVALUE(ConnectionString,ReportMonth,Table1[[#This Row],[Site ID (from DATIM)]],"[Measures].[TX_CURR_M_P]")</f>
        <v/>
      </c>
      <c r="BS325" s="68" t="str" vm="9959">
        <f>CUBEVALUE(ConnectionString,ReportMonth,Table1[[#This Row],[Site ID (from DATIM)]],"[Measures].[TX_CURR_F_A]")</f>
        <v/>
      </c>
      <c r="BT325" s="68" t="str" vm="10196">
        <f>CUBEVALUE(ConnectionString,ReportMonth,Table1[[#This Row],[Site ID (from DATIM)]],"[Measures].[TX_CURR_M_A]")</f>
        <v/>
      </c>
      <c r="BU325" s="68" t="str" vm="18964">
        <f>CUBEVALUE(ConnectionString,ReportMonth,Table1[[#This Row],[Site ID (from DATIM)]],"[Measures].[MMS_01_89_F_P]")</f>
        <v/>
      </c>
      <c r="BV325" s="68" t="str" vm="18699">
        <f>CUBEVALUE(ConnectionString,ReportMonth,Table1[[#This Row],[Site ID (from DATIM)]],"[Measures].[MMS_01_89_M_P]")</f>
        <v/>
      </c>
      <c r="BW325" s="68" t="str" vm="14751">
        <f>CUBEVALUE(ConnectionString,ReportMonth,Table1[[#This Row],[Site ID (from DATIM)]],"[Measures].[MMS_01_89_F_A]")</f>
        <v/>
      </c>
      <c r="BX325" s="68" t="str" vm="19906">
        <f>CUBEVALUE(ConnectionString,ReportMonth,Table1[[#This Row],[Site ID (from DATIM)]],"[Measures].[MMS_01_89_M_A]")</f>
        <v/>
      </c>
      <c r="BY325" s="68" t="str" vm="17793">
        <f>CUBEVALUE(ConnectionString,ReportMonth,Table1[[#This Row],[Site ID (from DATIM)]],"[Measures].[MMS_90_179_F_P]")</f>
        <v/>
      </c>
      <c r="BZ325" s="68" t="str" vm="15224">
        <f>CUBEVALUE(ConnectionString,ReportMonth,Table1[[#This Row],[Site ID (from DATIM)]],"[Measures].[MMS_90_179_M_P]")</f>
        <v/>
      </c>
      <c r="CA325" s="68" t="str" vm="17299">
        <f>CUBEVALUE(ConnectionString,ReportMonth,Table1[[#This Row],[Site ID (from DATIM)]],"[Measures].[MMS_90_179_F_A]")</f>
        <v/>
      </c>
      <c r="CB325" s="68" t="str" vm="14579">
        <f>CUBEVALUE(ConnectionString,ReportMonth,Table1[[#This Row],[Site ID (from DATIM)]],"[Measures].[MMS_90_179_M_A]")</f>
        <v/>
      </c>
      <c r="CC325" s="68" t="str" vm="16820">
        <f>CUBEVALUE(ConnectionString,ReportMonth,Table1[[#This Row],[Site ID (from DATIM)]],"[Measures].[MMS_180+_F_P]")</f>
        <v/>
      </c>
      <c r="CD325" s="68" t="str" vm="14511">
        <f>CUBEVALUE(ConnectionString,ReportMonth,Table1[[#This Row],[Site ID (from DATIM)]],"[Measures].[MMS_180+_M_P]")</f>
        <v/>
      </c>
      <c r="CE325" s="68" t="str" vm="15806">
        <f>CUBEVALUE(ConnectionString,ReportMonth,Table1[[#This Row],[Site ID (from DATIM)]],"[Measures].[MMS_180+_F_A]")</f>
        <v/>
      </c>
      <c r="CF325" s="68" t="str" vm="14442">
        <f>CUBEVALUE(ConnectionString,ReportMonth,Table1[[#This Row],[Site ID (from DATIM)]],"[Measures].[MMS_180+_M_A]")</f>
        <v/>
      </c>
      <c r="CG325" s="68" t="str" vm="10512">
        <f>CUBEVALUE(ConnectionString,ReportMonth,Table1[[#This Row],[Site ID (from DATIM)]],"[Measures].[MISSEDAPP]")</f>
        <v/>
      </c>
      <c r="CH325" s="68" t="str" vm="14046">
        <f>CUBEVALUE(ConnectionString,ReportMonth,Table1[[#This Row],[Site ID (from DATIM)]],"[Measures].[MMS_180+_P]")</f>
        <v/>
      </c>
      <c r="CI325" s="68" t="str" vm="10701">
        <f>CUBEVALUE(ConnectionString,ReportMonth,Table1[[#This Row],[Site ID (from DATIM)]],"[Measures].[MMS_180+_A]")</f>
        <v/>
      </c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  <c r="CW325" s="68"/>
      <c r="CX325" s="68"/>
      <c r="CY325" s="68"/>
      <c r="CZ325" s="68"/>
      <c r="DA325" s="68"/>
      <c r="DB325" s="68"/>
      <c r="DC325" s="68"/>
    </row>
    <row r="326" spans="1:107" x14ac:dyDescent="0.25">
      <c r="A326" s="66">
        <v>4</v>
      </c>
      <c r="B326" s="67" t="str" vm="4">
        <f t="shared" ref="B326:B389" si="6">ReportMonth</f>
        <v>Mar-2021</v>
      </c>
      <c r="C326" s="67"/>
      <c r="D326" s="67" t="s">
        <v>232</v>
      </c>
      <c r="E326" s="67" t="s">
        <v>233</v>
      </c>
      <c r="F326" s="67" t="s">
        <v>437</v>
      </c>
      <c r="G326" s="67"/>
      <c r="H326" s="67" t="s">
        <v>513</v>
      </c>
      <c r="I326" s="67" t="s">
        <v>712</v>
      </c>
      <c r="J326" s="67" t="s">
        <v>743</v>
      </c>
      <c r="K326" s="67" t="s">
        <v>744</v>
      </c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 t="str" vm="4319">
        <f>CUBEVALUE(ConnectionString,ReportMonth,Table1[[#This Row],[Site ID (from DATIM)]],"TX_NEW_2VIS")</f>
        <v/>
      </c>
      <c r="AE326" s="67" t="str" vm="1925">
        <f>CUBEVALUE(ConnectionString,ReportMonth,Table1[[#This Row],[Site ID (from DATIM)]],INDEX(SDI_Measures,1))</f>
        <v/>
      </c>
      <c r="AF326" s="67" t="str" vm="4438">
        <f>CUBEVALUE(ConnectionString,ReportMonth,Table1[[#This Row],[Site ID (from DATIM)]],INDEX(SDI_Measures,2))</f>
        <v/>
      </c>
      <c r="AG326" s="67" t="str" vm="766">
        <f>CUBEVALUE(ConnectionString,ReportMonth,Table1[[#This Row],[Site ID (from DATIM)]],INDEX(SDI_Measures,3))</f>
        <v/>
      </c>
      <c r="AH326" s="67" vm="628">
        <f>CUBEVALUE(ConnectionString,ReportMonth,Table1[[#This Row],[Site ID (from DATIM)]],"TX_CURR_PRIOR_MONTH")</f>
        <v>19</v>
      </c>
      <c r="AI326" s="67" vm="3136">
        <f>CUBEVALUE(ConnectionString,ReportMonth,Table1[[#This Row],[Site ID (from DATIM)]],"TX_CURR")</f>
        <v>17</v>
      </c>
      <c r="AJ326" s="67" t="str" vm="6173">
        <f>CUBEVALUE(ConnectionString,ReportMonth,Table1[[#This Row],[Site ID (from DATIM)]],"[Measures].[TI]")</f>
        <v/>
      </c>
      <c r="AK326" s="67" t="str" vm="4527">
        <f>CUBEVALUE(ConnectionString,ReportMonth,Table1[[#This Row],[Site ID (from DATIM)]],"[Measures].[TO]")</f>
        <v/>
      </c>
      <c r="AL326" s="67" t="str" vm="1288">
        <f>CUBEVALUE(ConnectionString,ReportMonth,Table1[[#This Row],[Site ID (from DATIM)]],"[Measures].[DIED]")</f>
        <v/>
      </c>
      <c r="AM326" s="67" vm="3366">
        <f>CUBEVALUE(ConnectionString,ReportMonth,Table1[[#This Row],[Site ID (from DATIM)]],"[Measures].[MMS_01_31]")</f>
        <v>17</v>
      </c>
      <c r="AN326" s="67" t="str" vm="4567">
        <f>CUBEVALUE(ConnectionString,ReportMonth,Table1[[#This Row],[Site ID (from DATIM)]],"[Measures].[MMS_32_62]")</f>
        <v/>
      </c>
      <c r="AO326" s="67" t="str" vm="4769">
        <f>CUBEVALUE(ConnectionString,ReportMonth,Table1[[#This Row],[Site ID (from DATIM)]],"[Measures].[MMS_63+]")</f>
        <v/>
      </c>
      <c r="AP326" s="67" vm="6099">
        <f>CUBEVALUE(ConnectionString,ReportMonth,Table1[[#This Row],[Site ID (from DATIM)]],"[Measures].[TBPREV_D]")</f>
        <v>17</v>
      </c>
      <c r="AQ326" s="67" vm="5931">
        <f>CUBEVALUE(ConnectionString,ReportMonth,Table1[[#This Row],[Site ID (from DATIM)]],"[Measures].[TBPREV_N]")</f>
        <v>10</v>
      </c>
      <c r="AR326" s="67" t="str" vm="8350">
        <f>CUBEVALUE(ConnectionString,ReportMonth,Table1[[#This Row],[Site ID (from DATIM)]],"[Measures].[TBPREV_NEW]")</f>
        <v/>
      </c>
      <c r="AS326" s="67" t="str" vm="8051">
        <f>CUBEVALUE(ConnectionString,ReportMonth,Table1[[#This Row],[Site ID (from DATIM)]],"[Measures].[HVL_ELIG_P]")</f>
        <v/>
      </c>
      <c r="AT326" s="67" t="str" vm="9693">
        <f>CUBEVALUE(ConnectionString,ReportMonth,Table1[[#This Row],[Site ID (from DATIM)]],"[Measures].[HVL_D_P]")</f>
        <v/>
      </c>
      <c r="AU326" s="67" t="str" vm="15334">
        <f>CUBEVALUE(ConnectionString,ReportMonth,Table1[[#This Row],[Site ID (from DATIM)]],"[Measures].[HVL_N_P]")</f>
        <v/>
      </c>
      <c r="AV326" s="68" vm="10774">
        <f>CUBEVALUE(ConnectionString,ReportMonth,Table1[[#This Row],[Site ID (from DATIM)]],"[Measures].[HVL_ELIG_A]")</f>
        <v>15</v>
      </c>
      <c r="AW326" s="68" vm="7519">
        <f>CUBEVALUE(ConnectionString,ReportMonth,Table1[[#This Row],[Site ID (from DATIM)]],"[Measures].[HVL_D_A]")</f>
        <v>11</v>
      </c>
      <c r="AX326" s="68" vm="9707">
        <f>CUBEVALUE(ConnectionString,ReportMonth,Table1[[#This Row],[Site ID (from DATIM)]],"[Measures].[HVL_N_A]")</f>
        <v>11</v>
      </c>
      <c r="AY326" s="67"/>
      <c r="AZ326" s="67"/>
      <c r="BA326" s="67"/>
      <c r="BB326" s="67"/>
      <c r="BC326" s="67"/>
      <c r="BD326" s="67"/>
      <c r="BE326" s="67"/>
      <c r="BF326" s="67"/>
      <c r="BG326" s="67" t="str" vm="11905">
        <f>CUBEVALUE(ConnectionString,ReportMonth,Table1[[#This Row],[Site ID (from DATIM)]],"[Measures].[TX_NEW_F_A]")</f>
        <v/>
      </c>
      <c r="BH326" s="67" t="str" vm="11189">
        <f>CUBEVALUE(ConnectionString,ReportMonth,Table1[[#This Row],[Site ID (from DATIM)]],"[Measures].[TX_NEW_M_A]")</f>
        <v/>
      </c>
      <c r="BI326" s="67" t="str" vm="13145">
        <f>CUBEVALUE(ConnectionString,ReportMonth,Table1[[#This Row],[Site ID (from DATIM)]],"[Measures].[TX_NEW_F_P]")</f>
        <v/>
      </c>
      <c r="BJ326" s="68" t="str" vm="14874">
        <f>CUBEVALUE(ConnectionString,ReportMonth,Table1[[#This Row],[Site ID (from DATIM)]],"[Measures].[TX_NEW_M_P]")</f>
        <v/>
      </c>
      <c r="BK326" s="68"/>
      <c r="BL326" s="68"/>
      <c r="BM326" s="68"/>
      <c r="BN326" s="68"/>
      <c r="BO326" s="68"/>
      <c r="BP326" s="68"/>
      <c r="BQ326" s="68" t="str" vm="7723">
        <f>CUBEVALUE(ConnectionString,ReportMonth,Table1[[#This Row],[Site ID (from DATIM)]],"[Measures].[TX_CURR_F_P]")</f>
        <v/>
      </c>
      <c r="BR326" s="68" t="str" vm="9662">
        <f>CUBEVALUE(ConnectionString,ReportMonth,Table1[[#This Row],[Site ID (from DATIM)]],"[Measures].[TX_CURR_M_P]")</f>
        <v/>
      </c>
      <c r="BS326" s="68" vm="11898">
        <f>CUBEVALUE(ConnectionString,ReportMonth,Table1[[#This Row],[Site ID (from DATIM)]],"[Measures].[TX_CURR_F_A]")</f>
        <v>17</v>
      </c>
      <c r="BT326" s="68" t="str" vm="9569">
        <f>CUBEVALUE(ConnectionString,ReportMonth,Table1[[#This Row],[Site ID (from DATIM)]],"[Measures].[TX_CURR_M_A]")</f>
        <v/>
      </c>
      <c r="BU326" s="68" t="str" vm="19536">
        <f>CUBEVALUE(ConnectionString,ReportMonth,Table1[[#This Row],[Site ID (from DATIM)]],"[Measures].[MMS_01_89_F_P]")</f>
        <v/>
      </c>
      <c r="BV326" s="68" t="str" vm="18828">
        <f>CUBEVALUE(ConnectionString,ReportMonth,Table1[[#This Row],[Site ID (from DATIM)]],"[Measures].[MMS_01_89_M_P]")</f>
        <v/>
      </c>
      <c r="BW326" s="68" vm="18677">
        <f>CUBEVALUE(ConnectionString,ReportMonth,Table1[[#This Row],[Site ID (from DATIM)]],"[Measures].[MMS_01_89_F_A]")</f>
        <v>17</v>
      </c>
      <c r="BX326" s="68" t="str" vm="19982">
        <f>CUBEVALUE(ConnectionString,ReportMonth,Table1[[#This Row],[Site ID (from DATIM)]],"[Measures].[MMS_01_89_M_A]")</f>
        <v/>
      </c>
      <c r="BY326" s="68" t="str" vm="16948">
        <f>CUBEVALUE(ConnectionString,ReportMonth,Table1[[#This Row],[Site ID (from DATIM)]],"[Measures].[MMS_90_179_F_P]")</f>
        <v/>
      </c>
      <c r="BZ326" s="68" t="str" vm="16000">
        <f>CUBEVALUE(ConnectionString,ReportMonth,Table1[[#This Row],[Site ID (from DATIM)]],"[Measures].[MMS_90_179_M_P]")</f>
        <v/>
      </c>
      <c r="CA326" s="68" t="str" vm="19554">
        <f>CUBEVALUE(ConnectionString,ReportMonth,Table1[[#This Row],[Site ID (from DATIM)]],"[Measures].[MMS_90_179_F_A]")</f>
        <v/>
      </c>
      <c r="CB326" s="68" t="str" vm="17311">
        <f>CUBEVALUE(ConnectionString,ReportMonth,Table1[[#This Row],[Site ID (from DATIM)]],"[Measures].[MMS_90_179_M_A]")</f>
        <v/>
      </c>
      <c r="CC326" s="68" t="str" vm="15047">
        <f>CUBEVALUE(ConnectionString,ReportMonth,Table1[[#This Row],[Site ID (from DATIM)]],"[Measures].[MMS_180+_F_P]")</f>
        <v/>
      </c>
      <c r="CD326" s="68" t="str" vm="14909">
        <f>CUBEVALUE(ConnectionString,ReportMonth,Table1[[#This Row],[Site ID (from DATIM)]],"[Measures].[MMS_180+_M_P]")</f>
        <v/>
      </c>
      <c r="CE326" s="68" t="str" vm="16219">
        <f>CUBEVALUE(ConnectionString,ReportMonth,Table1[[#This Row],[Site ID (from DATIM)]],"[Measures].[MMS_180+_F_A]")</f>
        <v/>
      </c>
      <c r="CF326" s="68" t="str" vm="14438">
        <f>CUBEVALUE(ConnectionString,ReportMonth,Table1[[#This Row],[Site ID (from DATIM)]],"[Measures].[MMS_180+_M_A]")</f>
        <v/>
      </c>
      <c r="CG326" s="68" vm="8413">
        <f>CUBEVALUE(ConnectionString,ReportMonth,Table1[[#This Row],[Site ID (from DATIM)]],"[Measures].[MISSEDAPP]")</f>
        <v>14</v>
      </c>
      <c r="CH326" s="68" t="str" vm="11035">
        <f>CUBEVALUE(ConnectionString,ReportMonth,Table1[[#This Row],[Site ID (from DATIM)]],"[Measures].[MMS_180+_P]")</f>
        <v/>
      </c>
      <c r="CI326" s="68" t="str" vm="13780">
        <f>CUBEVALUE(ConnectionString,ReportMonth,Table1[[#This Row],[Site ID (from DATIM)]],"[Measures].[MMS_180+_A]")</f>
        <v/>
      </c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  <c r="CW326" s="68"/>
      <c r="CX326" s="68"/>
      <c r="CY326" s="68"/>
      <c r="CZ326" s="68"/>
      <c r="DA326" s="68"/>
      <c r="DB326" s="68"/>
      <c r="DC326" s="68"/>
    </row>
    <row r="327" spans="1:107" x14ac:dyDescent="0.25">
      <c r="A327" s="66">
        <v>4</v>
      </c>
      <c r="B327" s="67" t="str" vm="4">
        <f t="shared" si="6"/>
        <v>Mar-2021</v>
      </c>
      <c r="C327" s="67"/>
      <c r="D327" s="67" t="s">
        <v>232</v>
      </c>
      <c r="E327" s="67" t="s">
        <v>233</v>
      </c>
      <c r="F327" s="67" t="s">
        <v>234</v>
      </c>
      <c r="G327" s="67"/>
      <c r="H327" s="67" t="s">
        <v>270</v>
      </c>
      <c r="I327" s="67" t="s">
        <v>371</v>
      </c>
      <c r="J327" s="67" t="s">
        <v>372</v>
      </c>
      <c r="K327" s="67" t="s">
        <v>373</v>
      </c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 t="str" vm="1832">
        <f>CUBEVALUE(ConnectionString,ReportMonth,Table1[[#This Row],[Site ID (from DATIM)]],"TX_NEW_2VIS")</f>
        <v/>
      </c>
      <c r="AE327" s="67" t="str" vm="4295">
        <f>CUBEVALUE(ConnectionString,ReportMonth,Table1[[#This Row],[Site ID (from DATIM)]],INDEX(SDI_Measures,1))</f>
        <v/>
      </c>
      <c r="AF327" s="67" t="str" vm="2970">
        <f>CUBEVALUE(ConnectionString,ReportMonth,Table1[[#This Row],[Site ID (from DATIM)]],INDEX(SDI_Measures,2))</f>
        <v/>
      </c>
      <c r="AG327" s="67" t="str" vm="7355">
        <f>CUBEVALUE(ConnectionString,ReportMonth,Table1[[#This Row],[Site ID (from DATIM)]],INDEX(SDI_Measures,3))</f>
        <v/>
      </c>
      <c r="AH327" s="67" vm="3425">
        <f>CUBEVALUE(ConnectionString,ReportMonth,Table1[[#This Row],[Site ID (from DATIM)]],"TX_CURR_PRIOR_MONTH")</f>
        <v>24</v>
      </c>
      <c r="AI327" s="67" vm="3417">
        <f>CUBEVALUE(ConnectionString,ReportMonth,Table1[[#This Row],[Site ID (from DATIM)]],"TX_CURR")</f>
        <v>24</v>
      </c>
      <c r="AJ327" s="67" t="str" vm="3006">
        <f>CUBEVALUE(ConnectionString,ReportMonth,Table1[[#This Row],[Site ID (from DATIM)]],"[Measures].[TI]")</f>
        <v/>
      </c>
      <c r="AK327" s="67" t="str" vm="976">
        <f>CUBEVALUE(ConnectionString,ReportMonth,Table1[[#This Row],[Site ID (from DATIM)]],"[Measures].[TO]")</f>
        <v/>
      </c>
      <c r="AL327" s="67" t="str" vm="1905">
        <f>CUBEVALUE(ConnectionString,ReportMonth,Table1[[#This Row],[Site ID (from DATIM)]],"[Measures].[DIED]")</f>
        <v/>
      </c>
      <c r="AM327" s="67" vm="3661">
        <f>CUBEVALUE(ConnectionString,ReportMonth,Table1[[#This Row],[Site ID (from DATIM)]],"[Measures].[MMS_01_31]")</f>
        <v>7</v>
      </c>
      <c r="AN327" s="67" vm="9928">
        <f>CUBEVALUE(ConnectionString,ReportMonth,Table1[[#This Row],[Site ID (from DATIM)]],"[Measures].[MMS_32_62]")</f>
        <v>4</v>
      </c>
      <c r="AO327" s="67" vm="5448">
        <f>CUBEVALUE(ConnectionString,ReportMonth,Table1[[#This Row],[Site ID (from DATIM)]],"[Measures].[MMS_63+]")</f>
        <v>13</v>
      </c>
      <c r="AP327" s="67" t="str" vm="5535">
        <f>CUBEVALUE(ConnectionString,ReportMonth,Table1[[#This Row],[Site ID (from DATIM)]],"[Measures].[TBPREV_D]")</f>
        <v/>
      </c>
      <c r="AQ327" s="67" t="str" vm="5181">
        <f>CUBEVALUE(ConnectionString,ReportMonth,Table1[[#This Row],[Site ID (from DATIM)]],"[Measures].[TBPREV_N]")</f>
        <v/>
      </c>
      <c r="AR327" s="67" t="str" vm="5030">
        <f>CUBEVALUE(ConnectionString,ReportMonth,Table1[[#This Row],[Site ID (from DATIM)]],"[Measures].[TBPREV_NEW]")</f>
        <v/>
      </c>
      <c r="AS327" s="67" vm="10529">
        <f>CUBEVALUE(ConnectionString,ReportMonth,Table1[[#This Row],[Site ID (from DATIM)]],"[Measures].[HVL_ELIG_P]")</f>
        <v>1</v>
      </c>
      <c r="AT327" s="67" vm="6336">
        <f>CUBEVALUE(ConnectionString,ReportMonth,Table1[[#This Row],[Site ID (from DATIM)]],"[Measures].[HVL_D_P]")</f>
        <v>1</v>
      </c>
      <c r="AU327" s="67" t="str" vm="8229">
        <f>CUBEVALUE(ConnectionString,ReportMonth,Table1[[#This Row],[Site ID (from DATIM)]],"[Measures].[HVL_N_P]")</f>
        <v/>
      </c>
      <c r="AV327" s="68" vm="10847">
        <f>CUBEVALUE(ConnectionString,ReportMonth,Table1[[#This Row],[Site ID (from DATIM)]],"[Measures].[HVL_ELIG_A]")</f>
        <v>22</v>
      </c>
      <c r="AW327" s="68" vm="9090">
        <f>CUBEVALUE(ConnectionString,ReportMonth,Table1[[#This Row],[Site ID (from DATIM)]],"[Measures].[HVL_D_A]")</f>
        <v>16</v>
      </c>
      <c r="AX327" s="68" vm="10238">
        <f>CUBEVALUE(ConnectionString,ReportMonth,Table1[[#This Row],[Site ID (from DATIM)]],"[Measures].[HVL_N_A]")</f>
        <v>10</v>
      </c>
      <c r="AY327" s="67"/>
      <c r="AZ327" s="67"/>
      <c r="BA327" s="67"/>
      <c r="BB327" s="67"/>
      <c r="BC327" s="67"/>
      <c r="BD327" s="67"/>
      <c r="BE327" s="67"/>
      <c r="BF327" s="67"/>
      <c r="BG327" s="67" t="str" vm="14131">
        <f>CUBEVALUE(ConnectionString,ReportMonth,Table1[[#This Row],[Site ID (from DATIM)]],"[Measures].[TX_NEW_F_A]")</f>
        <v/>
      </c>
      <c r="BH327" s="67" t="str" vm="11430">
        <f>CUBEVALUE(ConnectionString,ReportMonth,Table1[[#This Row],[Site ID (from DATIM)]],"[Measures].[TX_NEW_M_A]")</f>
        <v/>
      </c>
      <c r="BI327" s="67" t="str" vm="14086">
        <f>CUBEVALUE(ConnectionString,ReportMonth,Table1[[#This Row],[Site ID (from DATIM)]],"[Measures].[TX_NEW_F_P]")</f>
        <v/>
      </c>
      <c r="BJ327" s="68" t="str" vm="16624">
        <f>CUBEVALUE(ConnectionString,ReportMonth,Table1[[#This Row],[Site ID (from DATIM)]],"[Measures].[TX_NEW_M_P]")</f>
        <v/>
      </c>
      <c r="BK327" s="68"/>
      <c r="BL327" s="68"/>
      <c r="BM327" s="68"/>
      <c r="BN327" s="68"/>
      <c r="BO327" s="68"/>
      <c r="BP327" s="68"/>
      <c r="BQ327" s="68" vm="11295">
        <f>CUBEVALUE(ConnectionString,ReportMonth,Table1[[#This Row],[Site ID (from DATIM)]],"[Measures].[TX_CURR_F_P]")</f>
        <v>1</v>
      </c>
      <c r="BR327" s="68" t="str" vm="9739">
        <f>CUBEVALUE(ConnectionString,ReportMonth,Table1[[#This Row],[Site ID (from DATIM)]],"[Measures].[TX_CURR_M_P]")</f>
        <v/>
      </c>
      <c r="BS327" s="68" vm="11975">
        <f>CUBEVALUE(ConnectionString,ReportMonth,Table1[[#This Row],[Site ID (from DATIM)]],"[Measures].[TX_CURR_F_A]")</f>
        <v>16</v>
      </c>
      <c r="BT327" s="68" vm="12486">
        <f>CUBEVALUE(ConnectionString,ReportMonth,Table1[[#This Row],[Site ID (from DATIM)]],"[Measures].[TX_CURR_M_A]")</f>
        <v>7</v>
      </c>
      <c r="BU327" s="68" vm="18998">
        <f>CUBEVALUE(ConnectionString,ReportMonth,Table1[[#This Row],[Site ID (from DATIM)]],"[Measures].[MMS_01_89_F_P]")</f>
        <v>1</v>
      </c>
      <c r="BV327" s="68" t="str" vm="18072">
        <f>CUBEVALUE(ConnectionString,ReportMonth,Table1[[#This Row],[Site ID (from DATIM)]],"[Measures].[MMS_01_89_M_P]")</f>
        <v/>
      </c>
      <c r="BW327" s="68" vm="19607">
        <f>CUBEVALUE(ConnectionString,ReportMonth,Table1[[#This Row],[Site ID (from DATIM)]],"[Measures].[MMS_01_89_F_A]")</f>
        <v>8</v>
      </c>
      <c r="BX327" s="68" vm="19981">
        <f>CUBEVALUE(ConnectionString,ReportMonth,Table1[[#This Row],[Site ID (from DATIM)]],"[Measures].[MMS_01_89_M_A]")</f>
        <v>2</v>
      </c>
      <c r="BY327" s="68" t="str" vm="18899">
        <f>CUBEVALUE(ConnectionString,ReportMonth,Table1[[#This Row],[Site ID (from DATIM)]],"[Measures].[MMS_90_179_F_P]")</f>
        <v/>
      </c>
      <c r="BZ327" s="68" t="str" vm="15561">
        <f>CUBEVALUE(ConnectionString,ReportMonth,Table1[[#This Row],[Site ID (from DATIM)]],"[Measures].[MMS_90_179_M_P]")</f>
        <v/>
      </c>
      <c r="CA327" s="68" vm="17645">
        <f>CUBEVALUE(ConnectionString,ReportMonth,Table1[[#This Row],[Site ID (from DATIM)]],"[Measures].[MMS_90_179_F_A]")</f>
        <v>8</v>
      </c>
      <c r="CB327" s="68" vm="15987">
        <f>CUBEVALUE(ConnectionString,ReportMonth,Table1[[#This Row],[Site ID (from DATIM)]],"[Measures].[MMS_90_179_M_A]")</f>
        <v>5</v>
      </c>
      <c r="CC327" s="68" t="str" vm="15538">
        <f>CUBEVALUE(ConnectionString,ReportMonth,Table1[[#This Row],[Site ID (from DATIM)]],"[Measures].[MMS_180+_F_P]")</f>
        <v/>
      </c>
      <c r="CD327" s="68" t="str" vm="15459">
        <f>CUBEVALUE(ConnectionString,ReportMonth,Table1[[#This Row],[Site ID (from DATIM)]],"[Measures].[MMS_180+_M_P]")</f>
        <v/>
      </c>
      <c r="CE327" s="68" t="str" vm="14503">
        <f>CUBEVALUE(ConnectionString,ReportMonth,Table1[[#This Row],[Site ID (from DATIM)]],"[Measures].[MMS_180+_F_A]")</f>
        <v/>
      </c>
      <c r="CF327" s="68" t="str" vm="216">
        <f>CUBEVALUE(ConnectionString,ReportMonth,Table1[[#This Row],[Site ID (from DATIM)]],"[Measures].[MMS_180+_M_A]")</f>
        <v/>
      </c>
      <c r="CG327" s="68" vm="7972">
        <f>CUBEVALUE(ConnectionString,ReportMonth,Table1[[#This Row],[Site ID (from DATIM)]],"[Measures].[MISSEDAPP]")</f>
        <v>13</v>
      </c>
      <c r="CH327" s="68" t="str" vm="13554">
        <f>CUBEVALUE(ConnectionString,ReportMonth,Table1[[#This Row],[Site ID (from DATIM)]],"[Measures].[MMS_180+_P]")</f>
        <v/>
      </c>
      <c r="CI327" s="68" t="str" vm="12932">
        <f>CUBEVALUE(ConnectionString,ReportMonth,Table1[[#This Row],[Site ID (from DATIM)]],"[Measures].[MMS_180+_A]")</f>
        <v/>
      </c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  <c r="CW327" s="68"/>
      <c r="CX327" s="68"/>
      <c r="CY327" s="68"/>
      <c r="CZ327" s="68"/>
      <c r="DA327" s="68"/>
      <c r="DB327" s="68"/>
      <c r="DC327" s="68"/>
    </row>
    <row r="328" spans="1:107" x14ac:dyDescent="0.25">
      <c r="A328" s="66">
        <v>3</v>
      </c>
      <c r="B328" s="67" t="str" vm="4">
        <f t="shared" si="6"/>
        <v>Mar-2021</v>
      </c>
      <c r="C328" s="67"/>
      <c r="D328" s="67" t="s">
        <v>232</v>
      </c>
      <c r="E328" s="67" t="s">
        <v>233</v>
      </c>
      <c r="F328" s="67" t="s">
        <v>831</v>
      </c>
      <c r="G328" s="67"/>
      <c r="H328" s="67" t="s">
        <v>876</v>
      </c>
      <c r="I328" s="67" t="s">
        <v>994</v>
      </c>
      <c r="J328" s="67" t="s">
        <v>995</v>
      </c>
      <c r="K328" s="67" t="s">
        <v>996</v>
      </c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 vm="4256">
        <f>CUBEVALUE(ConnectionString,ReportMonth,Table1[[#This Row],[Site ID (from DATIM)]],"TX_NEW_2VIS")</f>
        <v>3</v>
      </c>
      <c r="AE328" s="67" vm="527">
        <f>CUBEVALUE(ConnectionString,ReportMonth,Table1[[#This Row],[Site ID (from DATIM)]],INDEX(SDI_Measures,1))</f>
        <v>2</v>
      </c>
      <c r="AF328" s="67" t="str" vm="495">
        <f>CUBEVALUE(ConnectionString,ReportMonth,Table1[[#This Row],[Site ID (from DATIM)]],INDEX(SDI_Measures,2))</f>
        <v/>
      </c>
      <c r="AG328" s="67" t="str" vm="3388">
        <f>CUBEVALUE(ConnectionString,ReportMonth,Table1[[#This Row],[Site ID (from DATIM)]],INDEX(SDI_Measures,3))</f>
        <v/>
      </c>
      <c r="AH328" s="67" vm="2774">
        <f>CUBEVALUE(ConnectionString,ReportMonth,Table1[[#This Row],[Site ID (from DATIM)]],"TX_CURR_PRIOR_MONTH")</f>
        <v>390</v>
      </c>
      <c r="AI328" s="67" vm="3424">
        <f>CUBEVALUE(ConnectionString,ReportMonth,Table1[[#This Row],[Site ID (from DATIM)]],"TX_CURR")</f>
        <v>391</v>
      </c>
      <c r="AJ328" s="67" t="str" vm="4120">
        <f>CUBEVALUE(ConnectionString,ReportMonth,Table1[[#This Row],[Site ID (from DATIM)]],"[Measures].[TI]")</f>
        <v/>
      </c>
      <c r="AK328" s="67" vm="6565">
        <f>CUBEVALUE(ConnectionString,ReportMonth,Table1[[#This Row],[Site ID (from DATIM)]],"[Measures].[TO]")</f>
        <v>2</v>
      </c>
      <c r="AL328" s="67" t="str" vm="2704">
        <f>CUBEVALUE(ConnectionString,ReportMonth,Table1[[#This Row],[Site ID (from DATIM)]],"[Measures].[DIED]")</f>
        <v/>
      </c>
      <c r="AM328" s="67" vm="3367">
        <f>CUBEVALUE(ConnectionString,ReportMonth,Table1[[#This Row],[Site ID (from DATIM)]],"[Measures].[MMS_01_31]")</f>
        <v>70</v>
      </c>
      <c r="AN328" s="67" vm="5102">
        <f>CUBEVALUE(ConnectionString,ReportMonth,Table1[[#This Row],[Site ID (from DATIM)]],"[Measures].[MMS_32_62]")</f>
        <v>17</v>
      </c>
      <c r="AO328" s="67" vm="5034">
        <f>CUBEVALUE(ConnectionString,ReportMonth,Table1[[#This Row],[Site ID (from DATIM)]],"[Measures].[MMS_63+]")</f>
        <v>304</v>
      </c>
      <c r="AP328" s="67" vm="7114">
        <f>CUBEVALUE(ConnectionString,ReportMonth,Table1[[#This Row],[Site ID (from DATIM)]],"[Measures].[TBPREV_D]")</f>
        <v>16</v>
      </c>
      <c r="AQ328" s="67" vm="8113">
        <f>CUBEVALUE(ConnectionString,ReportMonth,Table1[[#This Row],[Site ID (from DATIM)]],"[Measures].[TBPREV_N]")</f>
        <v>15</v>
      </c>
      <c r="AR328" s="67" vm="4183">
        <f>CUBEVALUE(ConnectionString,ReportMonth,Table1[[#This Row],[Site ID (from DATIM)]],"[Measures].[TBPREV_NEW]")</f>
        <v>2</v>
      </c>
      <c r="AS328" s="67" vm="5905">
        <f>CUBEVALUE(ConnectionString,ReportMonth,Table1[[#This Row],[Site ID (from DATIM)]],"[Measures].[HVL_ELIG_P]")</f>
        <v>17</v>
      </c>
      <c r="AT328" s="67" vm="7688">
        <f>CUBEVALUE(ConnectionString,ReportMonth,Table1[[#This Row],[Site ID (from DATIM)]],"[Measures].[HVL_D_P]")</f>
        <v>14</v>
      </c>
      <c r="AU328" s="67" vm="10405">
        <f>CUBEVALUE(ConnectionString,ReportMonth,Table1[[#This Row],[Site ID (from DATIM)]],"[Measures].[HVL_N_P]")</f>
        <v>10</v>
      </c>
      <c r="AV328" s="68" vm="11058">
        <f>CUBEVALUE(ConnectionString,ReportMonth,Table1[[#This Row],[Site ID (from DATIM)]],"[Measures].[HVL_ELIG_A]")</f>
        <v>320</v>
      </c>
      <c r="AW328" s="68" vm="13423">
        <f>CUBEVALUE(ConnectionString,ReportMonth,Table1[[#This Row],[Site ID (from DATIM)]],"[Measures].[HVL_D_A]")</f>
        <v>265</v>
      </c>
      <c r="AX328" s="68" vm="9473">
        <f>CUBEVALUE(ConnectionString,ReportMonth,Table1[[#This Row],[Site ID (from DATIM)]],"[Measures].[HVL_N_A]")</f>
        <v>253</v>
      </c>
      <c r="AY328" s="67"/>
      <c r="AZ328" s="67"/>
      <c r="BA328" s="67"/>
      <c r="BB328" s="67"/>
      <c r="BC328" s="67"/>
      <c r="BD328" s="67"/>
      <c r="BE328" s="67"/>
      <c r="BF328" s="67"/>
      <c r="BG328" s="67" t="str" vm="12652">
        <f>CUBEVALUE(ConnectionString,ReportMonth,Table1[[#This Row],[Site ID (from DATIM)]],"[Measures].[TX_NEW_F_A]")</f>
        <v/>
      </c>
      <c r="BH328" s="67" vm="13412">
        <f>CUBEVALUE(ConnectionString,ReportMonth,Table1[[#This Row],[Site ID (from DATIM)]],"[Measures].[TX_NEW_M_A]")</f>
        <v>2</v>
      </c>
      <c r="BI328" s="67" t="str" vm="17424">
        <f>CUBEVALUE(ConnectionString,ReportMonth,Table1[[#This Row],[Site ID (from DATIM)]],"[Measures].[TX_NEW_F_P]")</f>
        <v/>
      </c>
      <c r="BJ328" s="68" t="str" vm="17407">
        <f>CUBEVALUE(ConnectionString,ReportMonth,Table1[[#This Row],[Site ID (from DATIM)]],"[Measures].[TX_NEW_M_P]")</f>
        <v/>
      </c>
      <c r="BK328" s="68"/>
      <c r="BL328" s="68"/>
      <c r="BM328" s="68"/>
      <c r="BN328" s="68"/>
      <c r="BO328" s="68"/>
      <c r="BP328" s="68"/>
      <c r="BQ328" s="68" vm="6610">
        <f>CUBEVALUE(ConnectionString,ReportMonth,Table1[[#This Row],[Site ID (from DATIM)]],"[Measures].[TX_CURR_F_P]")</f>
        <v>9</v>
      </c>
      <c r="BR328" s="68" vm="9192">
        <f>CUBEVALUE(ConnectionString,ReportMonth,Table1[[#This Row],[Site ID (from DATIM)]],"[Measures].[TX_CURR_M_P]")</f>
        <v>13</v>
      </c>
      <c r="BS328" s="68" vm="11796">
        <f>CUBEVALUE(ConnectionString,ReportMonth,Table1[[#This Row],[Site ID (from DATIM)]],"[Measures].[TX_CURR_F_A]")</f>
        <v>287</v>
      </c>
      <c r="BT328" s="68" vm="9079">
        <f>CUBEVALUE(ConnectionString,ReportMonth,Table1[[#This Row],[Site ID (from DATIM)]],"[Measures].[TX_CURR_M_A]")</f>
        <v>83</v>
      </c>
      <c r="BU328" s="68" vm="18727">
        <f>CUBEVALUE(ConnectionString,ReportMonth,Table1[[#This Row],[Site ID (from DATIM)]],"[Measures].[MMS_01_89_F_P]")</f>
        <v>4</v>
      </c>
      <c r="BV328" s="68" vm="18765">
        <f>CUBEVALUE(ConnectionString,ReportMonth,Table1[[#This Row],[Site ID (from DATIM)]],"[Measures].[MMS_01_89_M_P]")</f>
        <v>7</v>
      </c>
      <c r="BW328" s="68" vm="19753">
        <f>CUBEVALUE(ConnectionString,ReportMonth,Table1[[#This Row],[Site ID (from DATIM)]],"[Measures].[MMS_01_89_F_A]")</f>
        <v>53</v>
      </c>
      <c r="BX328" s="68" vm="18843">
        <f>CUBEVALUE(ConnectionString,ReportMonth,Table1[[#This Row],[Site ID (from DATIM)]],"[Measures].[MMS_01_89_M_A]")</f>
        <v>25</v>
      </c>
      <c r="BY328" s="68" vm="18835">
        <f>CUBEVALUE(ConnectionString,ReportMonth,Table1[[#This Row],[Site ID (from DATIM)]],"[Measures].[MMS_90_179_F_P]")</f>
        <v>5</v>
      </c>
      <c r="BZ328" s="68" vm="16106">
        <f>CUBEVALUE(ConnectionString,ReportMonth,Table1[[#This Row],[Site ID (from DATIM)]],"[Measures].[MMS_90_179_M_P]")</f>
        <v>6</v>
      </c>
      <c r="CA328" s="68" vm="19289">
        <f>CUBEVALUE(ConnectionString,ReportMonth,Table1[[#This Row],[Site ID (from DATIM)]],"[Measures].[MMS_90_179_F_A]")</f>
        <v>234</v>
      </c>
      <c r="CB328" s="68" vm="15125">
        <f>CUBEVALUE(ConnectionString,ReportMonth,Table1[[#This Row],[Site ID (from DATIM)]],"[Measures].[MMS_90_179_M_A]")</f>
        <v>58</v>
      </c>
      <c r="CC328" s="68" t="str" vm="18442">
        <f>CUBEVALUE(ConnectionString,ReportMonth,Table1[[#This Row],[Site ID (from DATIM)]],"[Measures].[MMS_180+_F_P]")</f>
        <v/>
      </c>
      <c r="CD328" s="68" t="str" vm="17118">
        <f>CUBEVALUE(ConnectionString,ReportMonth,Table1[[#This Row],[Site ID (from DATIM)]],"[Measures].[MMS_180+_M_P]")</f>
        <v/>
      </c>
      <c r="CE328" s="68" t="str" vm="15740">
        <f>CUBEVALUE(ConnectionString,ReportMonth,Table1[[#This Row],[Site ID (from DATIM)]],"[Measures].[MMS_180+_F_A]")</f>
        <v/>
      </c>
      <c r="CF328" s="68" t="str" vm="15712">
        <f>CUBEVALUE(ConnectionString,ReportMonth,Table1[[#This Row],[Site ID (from DATIM)]],"[Measures].[MMS_180+_M_A]")</f>
        <v/>
      </c>
      <c r="CG328" s="68" vm="4593">
        <f>CUBEVALUE(ConnectionString,ReportMonth,Table1[[#This Row],[Site ID (from DATIM)]],"[Measures].[MISSEDAPP]")</f>
        <v>122</v>
      </c>
      <c r="CH328" s="68" t="str" vm="14289">
        <f>CUBEVALUE(ConnectionString,ReportMonth,Table1[[#This Row],[Site ID (from DATIM)]],"[Measures].[MMS_180+_P]")</f>
        <v/>
      </c>
      <c r="CI328" s="68" t="str" vm="14226">
        <f>CUBEVALUE(ConnectionString,ReportMonth,Table1[[#This Row],[Site ID (from DATIM)]],"[Measures].[MMS_180+_A]")</f>
        <v/>
      </c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  <c r="CW328" s="68"/>
      <c r="CX328" s="68"/>
      <c r="CY328" s="68"/>
      <c r="CZ328" s="68"/>
      <c r="DA328" s="68"/>
      <c r="DB328" s="68"/>
      <c r="DC328" s="68"/>
    </row>
    <row r="329" spans="1:107" x14ac:dyDescent="0.25">
      <c r="A329" s="66">
        <v>4</v>
      </c>
      <c r="B329" s="67" t="str" vm="4">
        <f t="shared" si="6"/>
        <v>Mar-2021</v>
      </c>
      <c r="C329" s="67"/>
      <c r="D329" s="67" t="s">
        <v>232</v>
      </c>
      <c r="E329" s="67" t="s">
        <v>233</v>
      </c>
      <c r="F329" s="67" t="s">
        <v>1286</v>
      </c>
      <c r="G329" s="67"/>
      <c r="H329" s="67" t="s">
        <v>1323</v>
      </c>
      <c r="I329" s="67" t="s">
        <v>1476</v>
      </c>
      <c r="J329" s="67" t="s">
        <v>1477</v>
      </c>
      <c r="K329" s="67" t="s">
        <v>1478</v>
      </c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 t="str" vm="1676">
        <f>CUBEVALUE(ConnectionString,ReportMonth,Table1[[#This Row],[Site ID (from DATIM)]],"TX_NEW_2VIS")</f>
        <v/>
      </c>
      <c r="AE329" s="67" t="str" vm="311">
        <f>CUBEVALUE(ConnectionString,ReportMonth,Table1[[#This Row],[Site ID (from DATIM)]],INDEX(SDI_Measures,1))</f>
        <v/>
      </c>
      <c r="AF329" s="67" t="str" vm="136">
        <f>CUBEVALUE(ConnectionString,ReportMonth,Table1[[#This Row],[Site ID (from DATIM)]],INDEX(SDI_Measures,2))</f>
        <v/>
      </c>
      <c r="AG329" s="67" t="str" vm="1778">
        <f>CUBEVALUE(ConnectionString,ReportMonth,Table1[[#This Row],[Site ID (from DATIM)]],INDEX(SDI_Measures,3))</f>
        <v/>
      </c>
      <c r="AH329" s="67" t="str" vm="3312">
        <f>CUBEVALUE(ConnectionString,ReportMonth,Table1[[#This Row],[Site ID (from DATIM)]],"TX_CURR_PRIOR_MONTH")</f>
        <v/>
      </c>
      <c r="AI329" s="67" t="str" vm="6935">
        <f>CUBEVALUE(ConnectionString,ReportMonth,Table1[[#This Row],[Site ID (from DATIM)]],"TX_CURR")</f>
        <v/>
      </c>
      <c r="AJ329" s="67" t="str" vm="2695">
        <f>CUBEVALUE(ConnectionString,ReportMonth,Table1[[#This Row],[Site ID (from DATIM)]],"[Measures].[TI]")</f>
        <v/>
      </c>
      <c r="AK329" s="67" t="str" vm="2944">
        <f>CUBEVALUE(ConnectionString,ReportMonth,Table1[[#This Row],[Site ID (from DATIM)]],"[Measures].[TO]")</f>
        <v/>
      </c>
      <c r="AL329" s="67" t="str" vm="2476">
        <f>CUBEVALUE(ConnectionString,ReportMonth,Table1[[#This Row],[Site ID (from DATIM)]],"[Measures].[DIED]")</f>
        <v/>
      </c>
      <c r="AM329" s="67" t="str" vm="4163">
        <f>CUBEVALUE(ConnectionString,ReportMonth,Table1[[#This Row],[Site ID (from DATIM)]],"[Measures].[MMS_01_31]")</f>
        <v/>
      </c>
      <c r="AN329" s="67" t="str" vm="10517">
        <f>CUBEVALUE(ConnectionString,ReportMonth,Table1[[#This Row],[Site ID (from DATIM)]],"[Measures].[MMS_32_62]")</f>
        <v/>
      </c>
      <c r="AO329" s="67" t="str" vm="6569">
        <f>CUBEVALUE(ConnectionString,ReportMonth,Table1[[#This Row],[Site ID (from DATIM)]],"[Measures].[MMS_63+]")</f>
        <v/>
      </c>
      <c r="AP329" s="67" t="str" vm="6023">
        <f>CUBEVALUE(ConnectionString,ReportMonth,Table1[[#This Row],[Site ID (from DATIM)]],"[Measures].[TBPREV_D]")</f>
        <v/>
      </c>
      <c r="AQ329" s="67" t="str" vm="4914">
        <f>CUBEVALUE(ConnectionString,ReportMonth,Table1[[#This Row],[Site ID (from DATIM)]],"[Measures].[TBPREV_N]")</f>
        <v/>
      </c>
      <c r="AR329" s="67" t="str" vm="4863">
        <f>CUBEVALUE(ConnectionString,ReportMonth,Table1[[#This Row],[Site ID (from DATIM)]],"[Measures].[TBPREV_NEW]")</f>
        <v/>
      </c>
      <c r="AS329" s="67" t="str" vm="5950">
        <f>CUBEVALUE(ConnectionString,ReportMonth,Table1[[#This Row],[Site ID (from DATIM)]],"[Measures].[HVL_ELIG_P]")</f>
        <v/>
      </c>
      <c r="AT329" s="67" t="str" vm="6446">
        <f>CUBEVALUE(ConnectionString,ReportMonth,Table1[[#This Row],[Site ID (from DATIM)]],"[Measures].[HVL_D_P]")</f>
        <v/>
      </c>
      <c r="AU329" s="67" t="str" vm="10093">
        <f>CUBEVALUE(ConnectionString,ReportMonth,Table1[[#This Row],[Site ID (from DATIM)]],"[Measures].[HVL_N_P]")</f>
        <v/>
      </c>
      <c r="AV329" s="68" t="str" vm="8161">
        <f>CUBEVALUE(ConnectionString,ReportMonth,Table1[[#This Row],[Site ID (from DATIM)]],"[Measures].[HVL_ELIG_A]")</f>
        <v/>
      </c>
      <c r="AW329" s="68" t="str" vm="10638">
        <f>CUBEVALUE(ConnectionString,ReportMonth,Table1[[#This Row],[Site ID (from DATIM)]],"[Measures].[HVL_D_A]")</f>
        <v/>
      </c>
      <c r="AX329" s="68" t="str" vm="8517">
        <f>CUBEVALUE(ConnectionString,ReportMonth,Table1[[#This Row],[Site ID (from DATIM)]],"[Measures].[HVL_N_A]")</f>
        <v/>
      </c>
      <c r="AY329" s="67"/>
      <c r="AZ329" s="67"/>
      <c r="BA329" s="67"/>
      <c r="BB329" s="67"/>
      <c r="BC329" s="67"/>
      <c r="BD329" s="67"/>
      <c r="BE329" s="67"/>
      <c r="BF329" s="67"/>
      <c r="BG329" s="67" t="str" vm="13681">
        <f>CUBEVALUE(ConnectionString,ReportMonth,Table1[[#This Row],[Site ID (from DATIM)]],"[Measures].[TX_NEW_F_A]")</f>
        <v/>
      </c>
      <c r="BH329" s="67" t="str" vm="17421">
        <f>CUBEVALUE(ConnectionString,ReportMonth,Table1[[#This Row],[Site ID (from DATIM)]],"[Measures].[TX_NEW_M_A]")</f>
        <v/>
      </c>
      <c r="BI329" s="67" t="str" vm="15679">
        <f>CUBEVALUE(ConnectionString,ReportMonth,Table1[[#This Row],[Site ID (from DATIM)]],"[Measures].[TX_NEW_F_P]")</f>
        <v/>
      </c>
      <c r="BJ329" s="68" t="str" vm="13440">
        <f>CUBEVALUE(ConnectionString,ReportMonth,Table1[[#This Row],[Site ID (from DATIM)]],"[Measures].[TX_NEW_M_P]")</f>
        <v/>
      </c>
      <c r="BK329" s="68"/>
      <c r="BL329" s="68"/>
      <c r="BM329" s="68"/>
      <c r="BN329" s="68"/>
      <c r="BO329" s="68"/>
      <c r="BP329" s="68"/>
      <c r="BQ329" s="68" t="str" vm="10109">
        <f>CUBEVALUE(ConnectionString,ReportMonth,Table1[[#This Row],[Site ID (from DATIM)]],"[Measures].[TX_CURR_F_P]")</f>
        <v/>
      </c>
      <c r="BR329" s="68" t="str" vm="9575">
        <f>CUBEVALUE(ConnectionString,ReportMonth,Table1[[#This Row],[Site ID (from DATIM)]],"[Measures].[TX_CURR_M_P]")</f>
        <v/>
      </c>
      <c r="BS329" s="68" t="str" vm="7732">
        <f>CUBEVALUE(ConnectionString,ReportMonth,Table1[[#This Row],[Site ID (from DATIM)]],"[Measures].[TX_CURR_F_A]")</f>
        <v/>
      </c>
      <c r="BT329" s="68" t="str" vm="8584">
        <f>CUBEVALUE(ConnectionString,ReportMonth,Table1[[#This Row],[Site ID (from DATIM)]],"[Measures].[TX_CURR_M_A]")</f>
        <v/>
      </c>
      <c r="BU329" s="68" t="str" vm="20122">
        <f>CUBEVALUE(ConnectionString,ReportMonth,Table1[[#This Row],[Site ID (from DATIM)]],"[Measures].[MMS_01_89_F_P]")</f>
        <v/>
      </c>
      <c r="BV329" s="68" t="str" vm="20078">
        <f>CUBEVALUE(ConnectionString,ReportMonth,Table1[[#This Row],[Site ID (from DATIM)]],"[Measures].[MMS_01_89_M_P]")</f>
        <v/>
      </c>
      <c r="BW329" s="68" t="str" vm="19626">
        <f>CUBEVALUE(ConnectionString,ReportMonth,Table1[[#This Row],[Site ID (from DATIM)]],"[Measures].[MMS_01_89_F_A]")</f>
        <v/>
      </c>
      <c r="BX329" s="68" t="str" vm="17647">
        <f>CUBEVALUE(ConnectionString,ReportMonth,Table1[[#This Row],[Site ID (from DATIM)]],"[Measures].[MMS_01_89_M_A]")</f>
        <v/>
      </c>
      <c r="BY329" s="68" t="str" vm="19856">
        <f>CUBEVALUE(ConnectionString,ReportMonth,Table1[[#This Row],[Site ID (from DATIM)]],"[Measures].[MMS_90_179_F_P]")</f>
        <v/>
      </c>
      <c r="BZ329" s="68" t="str" vm="16448">
        <f>CUBEVALUE(ConnectionString,ReportMonth,Table1[[#This Row],[Site ID (from DATIM)]],"[Measures].[MMS_90_179_M_P]")</f>
        <v/>
      </c>
      <c r="CA329" s="68" t="str" vm="17659">
        <f>CUBEVALUE(ConnectionString,ReportMonth,Table1[[#This Row],[Site ID (from DATIM)]],"[Measures].[MMS_90_179_F_A]")</f>
        <v/>
      </c>
      <c r="CB329" s="68" t="str" vm="15518">
        <f>CUBEVALUE(ConnectionString,ReportMonth,Table1[[#This Row],[Site ID (from DATIM)]],"[Measures].[MMS_90_179_M_A]")</f>
        <v/>
      </c>
      <c r="CC329" s="68" t="str" vm="15563">
        <f>CUBEVALUE(ConnectionString,ReportMonth,Table1[[#This Row],[Site ID (from DATIM)]],"[Measures].[MMS_180+_F_P]")</f>
        <v/>
      </c>
      <c r="CD329" s="68" t="str" vm="14514">
        <f>CUBEVALUE(ConnectionString,ReportMonth,Table1[[#This Row],[Site ID (from DATIM)]],"[Measures].[MMS_180+_M_P]")</f>
        <v/>
      </c>
      <c r="CE329" s="68" t="str" vm="16684">
        <f>CUBEVALUE(ConnectionString,ReportMonth,Table1[[#This Row],[Site ID (from DATIM)]],"[Measures].[MMS_180+_F_A]")</f>
        <v/>
      </c>
      <c r="CF329" s="68" t="str" vm="15715">
        <f>CUBEVALUE(ConnectionString,ReportMonth,Table1[[#This Row],[Site ID (from DATIM)]],"[Measures].[MMS_180+_M_A]")</f>
        <v/>
      </c>
      <c r="CG329" s="68" t="str" vm="6320">
        <f>CUBEVALUE(ConnectionString,ReportMonth,Table1[[#This Row],[Site ID (from DATIM)]],"[Measures].[MISSEDAPP]")</f>
        <v/>
      </c>
      <c r="CH329" s="68" t="str" vm="13271">
        <f>CUBEVALUE(ConnectionString,ReportMonth,Table1[[#This Row],[Site ID (from DATIM)]],"[Measures].[MMS_180+_P]")</f>
        <v/>
      </c>
      <c r="CI329" s="68" t="str" vm="14112">
        <f>CUBEVALUE(ConnectionString,ReportMonth,Table1[[#This Row],[Site ID (from DATIM)]],"[Measures].[MMS_180+_A]")</f>
        <v/>
      </c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  <c r="CW329" s="68"/>
      <c r="CX329" s="68"/>
      <c r="CY329" s="68"/>
      <c r="CZ329" s="68"/>
      <c r="DA329" s="68"/>
      <c r="DB329" s="68"/>
      <c r="DC329" s="68"/>
    </row>
    <row r="330" spans="1:107" x14ac:dyDescent="0.25">
      <c r="A330" s="66">
        <v>4</v>
      </c>
      <c r="B330" s="67" t="str" vm="4">
        <f t="shared" si="6"/>
        <v>Mar-2021</v>
      </c>
      <c r="C330" s="67"/>
      <c r="D330" s="67" t="s">
        <v>232</v>
      </c>
      <c r="E330" s="67" t="s">
        <v>233</v>
      </c>
      <c r="F330" s="67" t="s">
        <v>437</v>
      </c>
      <c r="G330" s="67"/>
      <c r="H330" s="67" t="s">
        <v>442</v>
      </c>
      <c r="I330" s="67" t="s">
        <v>745</v>
      </c>
      <c r="J330" s="67" t="s">
        <v>746</v>
      </c>
      <c r="K330" s="67" t="s">
        <v>747</v>
      </c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 t="str" vm="2205">
        <f>CUBEVALUE(ConnectionString,ReportMonth,Table1[[#This Row],[Site ID (from DATIM)]],"TX_NEW_2VIS")</f>
        <v/>
      </c>
      <c r="AE330" s="67" t="str" vm="4394">
        <f>CUBEVALUE(ConnectionString,ReportMonth,Table1[[#This Row],[Site ID (from DATIM)]],INDEX(SDI_Measures,1))</f>
        <v/>
      </c>
      <c r="AF330" s="67" t="str" vm="404">
        <f>CUBEVALUE(ConnectionString,ReportMonth,Table1[[#This Row],[Site ID (from DATIM)]],INDEX(SDI_Measures,2))</f>
        <v/>
      </c>
      <c r="AG330" s="67" t="str" vm="3882">
        <f>CUBEVALUE(ConnectionString,ReportMonth,Table1[[#This Row],[Site ID (from DATIM)]],INDEX(SDI_Measures,3))</f>
        <v/>
      </c>
      <c r="AH330" s="67" t="str" vm="2353">
        <f>CUBEVALUE(ConnectionString,ReportMonth,Table1[[#This Row],[Site ID (from DATIM)]],"TX_CURR_PRIOR_MONTH")</f>
        <v/>
      </c>
      <c r="AI330" s="67" t="str" vm="2890">
        <f>CUBEVALUE(ConnectionString,ReportMonth,Table1[[#This Row],[Site ID (from DATIM)]],"TX_CURR")</f>
        <v/>
      </c>
      <c r="AJ330" s="67" t="str" vm="4008">
        <f>CUBEVALUE(ConnectionString,ReportMonth,Table1[[#This Row],[Site ID (from DATIM)]],"[Measures].[TI]")</f>
        <v/>
      </c>
      <c r="AK330" s="67" t="str" vm="3076">
        <f>CUBEVALUE(ConnectionString,ReportMonth,Table1[[#This Row],[Site ID (from DATIM)]],"[Measures].[TO]")</f>
        <v/>
      </c>
      <c r="AL330" s="67" t="str" vm="3043">
        <f>CUBEVALUE(ConnectionString,ReportMonth,Table1[[#This Row],[Site ID (from DATIM)]],"[Measures].[DIED]")</f>
        <v/>
      </c>
      <c r="AM330" s="67" t="str" vm="3927">
        <f>CUBEVALUE(ConnectionString,ReportMonth,Table1[[#This Row],[Site ID (from DATIM)]],"[Measures].[MMS_01_31]")</f>
        <v/>
      </c>
      <c r="AN330" s="67" t="str" vm="7606">
        <f>CUBEVALUE(ConnectionString,ReportMonth,Table1[[#This Row],[Site ID (from DATIM)]],"[Measures].[MMS_32_62]")</f>
        <v/>
      </c>
      <c r="AO330" s="67" t="str" vm="6820">
        <f>CUBEVALUE(ConnectionString,ReportMonth,Table1[[#This Row],[Site ID (from DATIM)]],"[Measures].[MMS_63+]")</f>
        <v/>
      </c>
      <c r="AP330" s="67" t="str" vm="6473">
        <f>CUBEVALUE(ConnectionString,ReportMonth,Table1[[#This Row],[Site ID (from DATIM)]],"[Measures].[TBPREV_D]")</f>
        <v/>
      </c>
      <c r="AQ330" s="67" t="str" vm="8119">
        <f>CUBEVALUE(ConnectionString,ReportMonth,Table1[[#This Row],[Site ID (from DATIM)]],"[Measures].[TBPREV_N]")</f>
        <v/>
      </c>
      <c r="AR330" s="67" t="str" vm="5682">
        <f>CUBEVALUE(ConnectionString,ReportMonth,Table1[[#This Row],[Site ID (from DATIM)]],"[Measures].[TBPREV_NEW]")</f>
        <v/>
      </c>
      <c r="AS330" s="67" t="str" vm="5798">
        <f>CUBEVALUE(ConnectionString,ReportMonth,Table1[[#This Row],[Site ID (from DATIM)]],"[Measures].[HVL_ELIG_P]")</f>
        <v/>
      </c>
      <c r="AT330" s="67" t="str" vm="8946">
        <f>CUBEVALUE(ConnectionString,ReportMonth,Table1[[#This Row],[Site ID (from DATIM)]],"[Measures].[HVL_D_P]")</f>
        <v/>
      </c>
      <c r="AU330" s="67" t="str" vm="11535">
        <f>CUBEVALUE(ConnectionString,ReportMonth,Table1[[#This Row],[Site ID (from DATIM)]],"[Measures].[HVL_N_P]")</f>
        <v/>
      </c>
      <c r="AV330" s="68" t="str" vm="11601">
        <f>CUBEVALUE(ConnectionString,ReportMonth,Table1[[#This Row],[Site ID (from DATIM)]],"[Measures].[HVL_ELIG_A]")</f>
        <v/>
      </c>
      <c r="AW330" s="68" t="str" vm="9308">
        <f>CUBEVALUE(ConnectionString,ReportMonth,Table1[[#This Row],[Site ID (from DATIM)]],"[Measures].[HVL_D_A]")</f>
        <v/>
      </c>
      <c r="AX330" s="68" t="str" vm="7944">
        <f>CUBEVALUE(ConnectionString,ReportMonth,Table1[[#This Row],[Site ID (from DATIM)]],"[Measures].[HVL_N_A]")</f>
        <v/>
      </c>
      <c r="AY330" s="67"/>
      <c r="AZ330" s="67"/>
      <c r="BA330" s="67"/>
      <c r="BB330" s="67"/>
      <c r="BC330" s="67"/>
      <c r="BD330" s="67"/>
      <c r="BE330" s="67"/>
      <c r="BF330" s="67"/>
      <c r="BG330" s="67" t="str" vm="15283">
        <f>CUBEVALUE(ConnectionString,ReportMonth,Table1[[#This Row],[Site ID (from DATIM)]],"[Measures].[TX_NEW_F_A]")</f>
        <v/>
      </c>
      <c r="BH330" s="67" t="str" vm="12120">
        <f>CUBEVALUE(ConnectionString,ReportMonth,Table1[[#This Row],[Site ID (from DATIM)]],"[Measures].[TX_NEW_M_A]")</f>
        <v/>
      </c>
      <c r="BI330" s="67" t="str" vm="17080">
        <f>CUBEVALUE(ConnectionString,ReportMonth,Table1[[#This Row],[Site ID (from DATIM)]],"[Measures].[TX_NEW_F_P]")</f>
        <v/>
      </c>
      <c r="BJ330" s="68" t="str" vm="17434">
        <f>CUBEVALUE(ConnectionString,ReportMonth,Table1[[#This Row],[Site ID (from DATIM)]],"[Measures].[TX_NEW_M_P]")</f>
        <v/>
      </c>
      <c r="BK330" s="68"/>
      <c r="BL330" s="68"/>
      <c r="BM330" s="68"/>
      <c r="BN330" s="68"/>
      <c r="BO330" s="68"/>
      <c r="BP330" s="68"/>
      <c r="BQ330" s="68" t="str" vm="9099">
        <f>CUBEVALUE(ConnectionString,ReportMonth,Table1[[#This Row],[Site ID (from DATIM)]],"[Measures].[TX_CURR_F_P]")</f>
        <v/>
      </c>
      <c r="BR330" s="68" t="str" vm="11390">
        <f>CUBEVALUE(ConnectionString,ReportMonth,Table1[[#This Row],[Site ID (from DATIM)]],"[Measures].[TX_CURR_M_P]")</f>
        <v/>
      </c>
      <c r="BS330" s="68" t="str" vm="9670">
        <f>CUBEVALUE(ConnectionString,ReportMonth,Table1[[#This Row],[Site ID (from DATIM)]],"[Measures].[TX_CURR_F_A]")</f>
        <v/>
      </c>
      <c r="BT330" s="68" t="str" vm="9215">
        <f>CUBEVALUE(ConnectionString,ReportMonth,Table1[[#This Row],[Site ID (from DATIM)]],"[Measures].[TX_CURR_M_A]")</f>
        <v/>
      </c>
      <c r="BU330" s="68" t="str" vm="18389">
        <f>CUBEVALUE(ConnectionString,ReportMonth,Table1[[#This Row],[Site ID (from DATIM)]],"[Measures].[MMS_01_89_F_P]")</f>
        <v/>
      </c>
      <c r="BV330" s="68" t="str" vm="18282">
        <f>CUBEVALUE(ConnectionString,ReportMonth,Table1[[#This Row],[Site ID (from DATIM)]],"[Measures].[MMS_01_89_M_P]")</f>
        <v/>
      </c>
      <c r="BW330" s="68" t="str" vm="19463">
        <f>CUBEVALUE(ConnectionString,ReportMonth,Table1[[#This Row],[Site ID (from DATIM)]],"[Measures].[MMS_01_89_F_A]")</f>
        <v/>
      </c>
      <c r="BX330" s="68" t="str" vm="18260">
        <f>CUBEVALUE(ConnectionString,ReportMonth,Table1[[#This Row],[Site ID (from DATIM)]],"[Measures].[MMS_01_89_M_A]")</f>
        <v/>
      </c>
      <c r="BY330" s="68" t="str" vm="16082">
        <f>CUBEVALUE(ConnectionString,ReportMonth,Table1[[#This Row],[Site ID (from DATIM)]],"[Measures].[MMS_90_179_F_P]")</f>
        <v/>
      </c>
      <c r="BZ330" s="68" t="str" vm="16523">
        <f>CUBEVALUE(ConnectionString,ReportMonth,Table1[[#This Row],[Site ID (from DATIM)]],"[Measures].[MMS_90_179_M_P]")</f>
        <v/>
      </c>
      <c r="CA330" s="68" t="str" vm="17636">
        <f>CUBEVALUE(ConnectionString,ReportMonth,Table1[[#This Row],[Site ID (from DATIM)]],"[Measures].[MMS_90_179_F_A]")</f>
        <v/>
      </c>
      <c r="CB330" s="68" t="str" vm="15176">
        <f>CUBEVALUE(ConnectionString,ReportMonth,Table1[[#This Row],[Site ID (from DATIM)]],"[Measures].[MMS_90_179_M_A]")</f>
        <v/>
      </c>
      <c r="CC330" s="68" t="str" vm="14610">
        <f>CUBEVALUE(ConnectionString,ReportMonth,Table1[[#This Row],[Site ID (from DATIM)]],"[Measures].[MMS_180+_F_P]")</f>
        <v/>
      </c>
      <c r="CD330" s="68" t="str" vm="14513">
        <f>CUBEVALUE(ConnectionString,ReportMonth,Table1[[#This Row],[Site ID (from DATIM)]],"[Measures].[MMS_180+_M_P]")</f>
        <v/>
      </c>
      <c r="CE330" s="68" t="str" vm="17513">
        <f>CUBEVALUE(ConnectionString,ReportMonth,Table1[[#This Row],[Site ID (from DATIM)]],"[Measures].[MMS_180+_F_A]")</f>
        <v/>
      </c>
      <c r="CF330" s="68" t="str" vm="272">
        <f>CUBEVALUE(ConnectionString,ReportMonth,Table1[[#This Row],[Site ID (from DATIM)]],"[Measures].[MMS_180+_M_A]")</f>
        <v/>
      </c>
      <c r="CG330" s="68" t="str" vm="8184">
        <f>CUBEVALUE(ConnectionString,ReportMonth,Table1[[#This Row],[Site ID (from DATIM)]],"[Measures].[MISSEDAPP]")</f>
        <v/>
      </c>
      <c r="CH330" s="68" t="str" vm="14821">
        <f>CUBEVALUE(ConnectionString,ReportMonth,Table1[[#This Row],[Site ID (from DATIM)]],"[Measures].[MMS_180+_P]")</f>
        <v/>
      </c>
      <c r="CI330" s="68" t="str" vm="13557">
        <f>CUBEVALUE(ConnectionString,ReportMonth,Table1[[#This Row],[Site ID (from DATIM)]],"[Measures].[MMS_180+_A]")</f>
        <v/>
      </c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  <c r="CW330" s="68"/>
      <c r="CX330" s="68"/>
      <c r="CY330" s="68"/>
      <c r="CZ330" s="68"/>
      <c r="DA330" s="68"/>
      <c r="DB330" s="68"/>
      <c r="DC330" s="68"/>
    </row>
    <row r="331" spans="1:107" x14ac:dyDescent="0.25">
      <c r="A331" s="66">
        <v>4</v>
      </c>
      <c r="B331" s="67" t="str" vm="4">
        <f t="shared" si="6"/>
        <v>Mar-2021</v>
      </c>
      <c r="C331" s="67"/>
      <c r="D331" s="67" t="s">
        <v>232</v>
      </c>
      <c r="E331" s="67" t="s">
        <v>233</v>
      </c>
      <c r="F331" s="67" t="s">
        <v>831</v>
      </c>
      <c r="G331" s="67"/>
      <c r="H331" s="67" t="s">
        <v>847</v>
      </c>
      <c r="I331" s="67" t="s">
        <v>997</v>
      </c>
      <c r="J331" s="67" t="s">
        <v>998</v>
      </c>
      <c r="K331" s="67" t="s">
        <v>999</v>
      </c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 vm="620">
        <f>CUBEVALUE(ConnectionString,ReportMonth,Table1[[#This Row],[Site ID (from DATIM)]],"TX_NEW_2VIS")</f>
        <v>1</v>
      </c>
      <c r="AE331" s="67" vm="601">
        <f>CUBEVALUE(ConnectionString,ReportMonth,Table1[[#This Row],[Site ID (from DATIM)]],INDEX(SDI_Measures,1))</f>
        <v>2</v>
      </c>
      <c r="AF331" s="67" t="str" vm="753">
        <f>CUBEVALUE(ConnectionString,ReportMonth,Table1[[#This Row],[Site ID (from DATIM)]],INDEX(SDI_Measures,2))</f>
        <v/>
      </c>
      <c r="AG331" s="67" t="str" vm="4512">
        <f>CUBEVALUE(ConnectionString,ReportMonth,Table1[[#This Row],[Site ID (from DATIM)]],INDEX(SDI_Measures,3))</f>
        <v/>
      </c>
      <c r="AH331" s="67" vm="2028">
        <f>CUBEVALUE(ConnectionString,ReportMonth,Table1[[#This Row],[Site ID (from DATIM)]],"TX_CURR_PRIOR_MONTH")</f>
        <v>447</v>
      </c>
      <c r="AI331" s="67" vm="1386">
        <f>CUBEVALUE(ConnectionString,ReportMonth,Table1[[#This Row],[Site ID (from DATIM)]],"TX_CURR")</f>
        <v>409</v>
      </c>
      <c r="AJ331" s="67" t="str" vm="3278">
        <f>CUBEVALUE(ConnectionString,ReportMonth,Table1[[#This Row],[Site ID (from DATIM)]],"[Measures].[TI]")</f>
        <v/>
      </c>
      <c r="AK331" s="67" vm="2963">
        <f>CUBEVALUE(ConnectionString,ReportMonth,Table1[[#This Row],[Site ID (from DATIM)]],"[Measures].[TO]")</f>
        <v>1</v>
      </c>
      <c r="AL331" s="67" vm="4446">
        <f>CUBEVALUE(ConnectionString,ReportMonth,Table1[[#This Row],[Site ID (from DATIM)]],"[Measures].[DIED]")</f>
        <v>2</v>
      </c>
      <c r="AM331" s="67" vm="3745">
        <f>CUBEVALUE(ConnectionString,ReportMonth,Table1[[#This Row],[Site ID (from DATIM)]],"[Measures].[MMS_01_31]")</f>
        <v>94</v>
      </c>
      <c r="AN331" s="67" vm="7318">
        <f>CUBEVALUE(ConnectionString,ReportMonth,Table1[[#This Row],[Site ID (from DATIM)]],"[Measures].[MMS_32_62]")</f>
        <v>14</v>
      </c>
      <c r="AO331" s="67" vm="6649">
        <f>CUBEVALUE(ConnectionString,ReportMonth,Table1[[#This Row],[Site ID (from DATIM)]],"[Measures].[MMS_63+]")</f>
        <v>301</v>
      </c>
      <c r="AP331" s="67" vm="5199">
        <f>CUBEVALUE(ConnectionString,ReportMonth,Table1[[#This Row],[Site ID (from DATIM)]],"[Measures].[TBPREV_D]")</f>
        <v>10</v>
      </c>
      <c r="AQ331" s="67" vm="4577">
        <f>CUBEVALUE(ConnectionString,ReportMonth,Table1[[#This Row],[Site ID (from DATIM)]],"[Measures].[TBPREV_N]")</f>
        <v>6</v>
      </c>
      <c r="AR331" s="67" vm="6864">
        <f>CUBEVALUE(ConnectionString,ReportMonth,Table1[[#This Row],[Site ID (from DATIM)]],"[Measures].[TBPREV_NEW]")</f>
        <v>2</v>
      </c>
      <c r="AS331" s="67" vm="5548">
        <f>CUBEVALUE(ConnectionString,ReportMonth,Table1[[#This Row],[Site ID (from DATIM)]],"[Measures].[HVL_ELIG_P]")</f>
        <v>26</v>
      </c>
      <c r="AT331" s="67" vm="8360">
        <f>CUBEVALUE(ConnectionString,ReportMonth,Table1[[#This Row],[Site ID (from DATIM)]],"[Measures].[HVL_D_P]")</f>
        <v>15</v>
      </c>
      <c r="AU331" s="67" vm="9555">
        <f>CUBEVALUE(ConnectionString,ReportMonth,Table1[[#This Row],[Site ID (from DATIM)]],"[Measures].[HVL_N_P]")</f>
        <v>13</v>
      </c>
      <c r="AV331" s="68" vm="8558">
        <f>CUBEVALUE(ConnectionString,ReportMonth,Table1[[#This Row],[Site ID (from DATIM)]],"[Measures].[HVL_ELIG_A]")</f>
        <v>331</v>
      </c>
      <c r="AW331" s="68" vm="10584">
        <f>CUBEVALUE(ConnectionString,ReportMonth,Table1[[#This Row],[Site ID (from DATIM)]],"[Measures].[HVL_D_A]")</f>
        <v>266</v>
      </c>
      <c r="AX331" s="68" vm="9757">
        <f>CUBEVALUE(ConnectionString,ReportMonth,Table1[[#This Row],[Site ID (from DATIM)]],"[Measures].[HVL_N_A]")</f>
        <v>254</v>
      </c>
      <c r="AY331" s="67"/>
      <c r="AZ331" s="67"/>
      <c r="BA331" s="67"/>
      <c r="BB331" s="67"/>
      <c r="BC331" s="67"/>
      <c r="BD331" s="67"/>
      <c r="BE331" s="67"/>
      <c r="BF331" s="67"/>
      <c r="BG331" s="67" vm="11230">
        <f>CUBEVALUE(ConnectionString,ReportMonth,Table1[[#This Row],[Site ID (from DATIM)]],"[Measures].[TX_NEW_F_A]")</f>
        <v>1</v>
      </c>
      <c r="BH331" s="67" t="str" vm="12502">
        <f>CUBEVALUE(ConnectionString,ReportMonth,Table1[[#This Row],[Site ID (from DATIM)]],"[Measures].[TX_NEW_M_A]")</f>
        <v/>
      </c>
      <c r="BI331" s="67" vm="14033">
        <f>CUBEVALUE(ConnectionString,ReportMonth,Table1[[#This Row],[Site ID (from DATIM)]],"[Measures].[TX_NEW_F_P]")</f>
        <v>1</v>
      </c>
      <c r="BJ331" s="68" t="str" vm="14278">
        <f>CUBEVALUE(ConnectionString,ReportMonth,Table1[[#This Row],[Site ID (from DATIM)]],"[Measures].[TX_NEW_M_P]")</f>
        <v/>
      </c>
      <c r="BK331" s="68"/>
      <c r="BL331" s="68"/>
      <c r="BM331" s="68"/>
      <c r="BN331" s="68"/>
      <c r="BO331" s="68"/>
      <c r="BP331" s="68"/>
      <c r="BQ331" s="68" vm="7300">
        <f>CUBEVALUE(ConnectionString,ReportMonth,Table1[[#This Row],[Site ID (from DATIM)]],"[Measures].[TX_CURR_F_P]")</f>
        <v>17</v>
      </c>
      <c r="BR331" s="68" vm="8435">
        <f>CUBEVALUE(ConnectionString,ReportMonth,Table1[[#This Row],[Site ID (from DATIM)]],"[Measures].[TX_CURR_M_P]")</f>
        <v>12</v>
      </c>
      <c r="BS331" s="68" vm="11111">
        <f>CUBEVALUE(ConnectionString,ReportMonth,Table1[[#This Row],[Site ID (from DATIM)]],"[Measures].[TX_CURR_F_A]")</f>
        <v>237</v>
      </c>
      <c r="BT331" s="68" vm="10993">
        <f>CUBEVALUE(ConnectionString,ReportMonth,Table1[[#This Row],[Site ID (from DATIM)]],"[Measures].[TX_CURR_M_A]")</f>
        <v>143</v>
      </c>
      <c r="BU331" s="68" vm="20092">
        <f>CUBEVALUE(ConnectionString,ReportMonth,Table1[[#This Row],[Site ID (from DATIM)]],"[Measures].[MMS_01_89_F_P]")</f>
        <v>11</v>
      </c>
      <c r="BV331" s="68" vm="18664">
        <f>CUBEVALUE(ConnectionString,ReportMonth,Table1[[#This Row],[Site ID (from DATIM)]],"[Measures].[MMS_01_89_M_P]")</f>
        <v>9</v>
      </c>
      <c r="BW331" s="68" vm="19462">
        <f>CUBEVALUE(ConnectionString,ReportMonth,Table1[[#This Row],[Site ID (from DATIM)]],"[Measures].[MMS_01_89_F_A]")</f>
        <v>49</v>
      </c>
      <c r="BX331" s="68" vm="19909">
        <f>CUBEVALUE(ConnectionString,ReportMonth,Table1[[#This Row],[Site ID (from DATIM)]],"[Measures].[MMS_01_89_M_A]")</f>
        <v>39</v>
      </c>
      <c r="BY331" s="68" vm="18175">
        <f>CUBEVALUE(ConnectionString,ReportMonth,Table1[[#This Row],[Site ID (from DATIM)]],"[Measures].[MMS_90_179_F_P]")</f>
        <v>6</v>
      </c>
      <c r="BZ331" s="68" vm="15151">
        <f>CUBEVALUE(ConnectionString,ReportMonth,Table1[[#This Row],[Site ID (from DATIM)]],"[Measures].[MMS_90_179_M_P]")</f>
        <v>3</v>
      </c>
      <c r="CA331" s="68" vm="17287">
        <f>CUBEVALUE(ConnectionString,ReportMonth,Table1[[#This Row],[Site ID (from DATIM)]],"[Measures].[MMS_90_179_F_A]")</f>
        <v>188</v>
      </c>
      <c r="CB331" s="68" vm="17751">
        <f>CUBEVALUE(ConnectionString,ReportMonth,Table1[[#This Row],[Site ID (from DATIM)]],"[Measures].[MMS_90_179_M_A]")</f>
        <v>104</v>
      </c>
      <c r="CC331" s="68" t="str" vm="15749">
        <f>CUBEVALUE(ConnectionString,ReportMonth,Table1[[#This Row],[Site ID (from DATIM)]],"[Measures].[MMS_180+_F_P]")</f>
        <v/>
      </c>
      <c r="CD331" s="68" t="str" vm="17519">
        <f>CUBEVALUE(ConnectionString,ReportMonth,Table1[[#This Row],[Site ID (from DATIM)]],"[Measures].[MMS_180+_M_P]")</f>
        <v/>
      </c>
      <c r="CE331" s="68" t="str" vm="17551">
        <f>CUBEVALUE(ConnectionString,ReportMonth,Table1[[#This Row],[Site ID (from DATIM)]],"[Measures].[MMS_180+_F_A]")</f>
        <v/>
      </c>
      <c r="CF331" s="68" t="str" vm="9">
        <f>CUBEVALUE(ConnectionString,ReportMonth,Table1[[#This Row],[Site ID (from DATIM)]],"[Measures].[MMS_180+_M_A]")</f>
        <v/>
      </c>
      <c r="CG331" s="68" vm="7454">
        <f>CUBEVALUE(ConnectionString,ReportMonth,Table1[[#This Row],[Site ID (from DATIM)]],"[Measures].[MISSEDAPP]")</f>
        <v>183</v>
      </c>
      <c r="CH331" s="68" t="str" vm="11206">
        <f>CUBEVALUE(ConnectionString,ReportMonth,Table1[[#This Row],[Site ID (from DATIM)]],"[Measures].[MMS_180+_P]")</f>
        <v/>
      </c>
      <c r="CI331" s="68" t="str" vm="10857">
        <f>CUBEVALUE(ConnectionString,ReportMonth,Table1[[#This Row],[Site ID (from DATIM)]],"[Measures].[MMS_180+_A]")</f>
        <v/>
      </c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</row>
    <row r="332" spans="1:107" x14ac:dyDescent="0.25">
      <c r="A332" s="66">
        <v>4</v>
      </c>
      <c r="B332" s="67" t="str" vm="4">
        <f t="shared" si="6"/>
        <v>Mar-2021</v>
      </c>
      <c r="C332" s="67"/>
      <c r="D332" s="67" t="s">
        <v>232</v>
      </c>
      <c r="E332" s="67" t="s">
        <v>233</v>
      </c>
      <c r="F332" s="67" t="s">
        <v>1083</v>
      </c>
      <c r="G332" s="67"/>
      <c r="H332" s="67" t="s">
        <v>1113</v>
      </c>
      <c r="I332" s="67" t="s">
        <v>1199</v>
      </c>
      <c r="J332" s="67" t="s">
        <v>1238</v>
      </c>
      <c r="K332" s="67" t="s">
        <v>1239</v>
      </c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 t="str" vm="2799">
        <f>CUBEVALUE(ConnectionString,ReportMonth,Table1[[#This Row],[Site ID (from DATIM)]],"TX_NEW_2VIS")</f>
        <v/>
      </c>
      <c r="AE332" s="67" t="str" vm="2682">
        <f>CUBEVALUE(ConnectionString,ReportMonth,Table1[[#This Row],[Site ID (from DATIM)]],INDEX(SDI_Measures,1))</f>
        <v/>
      </c>
      <c r="AF332" s="67" t="str" vm="1372">
        <f>CUBEVALUE(ConnectionString,ReportMonth,Table1[[#This Row],[Site ID (from DATIM)]],INDEX(SDI_Measures,2))</f>
        <v/>
      </c>
      <c r="AG332" s="67" t="str" vm="1219">
        <f>CUBEVALUE(ConnectionString,ReportMonth,Table1[[#This Row],[Site ID (from DATIM)]],INDEX(SDI_Measures,3))</f>
        <v/>
      </c>
      <c r="AH332" s="67" vm="893">
        <f>CUBEVALUE(ConnectionString,ReportMonth,Table1[[#This Row],[Site ID (from DATIM)]],"TX_CURR_PRIOR_MONTH")</f>
        <v>137</v>
      </c>
      <c r="AI332" s="67" vm="3703">
        <f>CUBEVALUE(ConnectionString,ReportMonth,Table1[[#This Row],[Site ID (from DATIM)]],"TX_CURR")</f>
        <v>84</v>
      </c>
      <c r="AJ332" s="67" t="str" vm="2408">
        <f>CUBEVALUE(ConnectionString,ReportMonth,Table1[[#This Row],[Site ID (from DATIM)]],"[Measures].[TI]")</f>
        <v/>
      </c>
      <c r="AK332" s="67" t="str" vm="3818">
        <f>CUBEVALUE(ConnectionString,ReportMonth,Table1[[#This Row],[Site ID (from DATIM)]],"[Measures].[TO]")</f>
        <v/>
      </c>
      <c r="AL332" s="67" t="str" vm="3744">
        <f>CUBEVALUE(ConnectionString,ReportMonth,Table1[[#This Row],[Site ID (from DATIM)]],"[Measures].[DIED]")</f>
        <v/>
      </c>
      <c r="AM332" s="67" vm="4302">
        <f>CUBEVALUE(ConnectionString,ReportMonth,Table1[[#This Row],[Site ID (from DATIM)]],"[Measures].[MMS_01_31]")</f>
        <v>22</v>
      </c>
      <c r="AN332" s="67" t="str" vm="7162">
        <f>CUBEVALUE(ConnectionString,ReportMonth,Table1[[#This Row],[Site ID (from DATIM)]],"[Measures].[MMS_32_62]")</f>
        <v/>
      </c>
      <c r="AO332" s="67" vm="6404">
        <f>CUBEVALUE(ConnectionString,ReportMonth,Table1[[#This Row],[Site ID (from DATIM)]],"[Measures].[MMS_63+]")</f>
        <v>62</v>
      </c>
      <c r="AP332" s="67" vm="7118">
        <f>CUBEVALUE(ConnectionString,ReportMonth,Table1[[#This Row],[Site ID (from DATIM)]],"[Measures].[TBPREV_D]")</f>
        <v>3</v>
      </c>
      <c r="AQ332" s="67" vm="6064">
        <f>CUBEVALUE(ConnectionString,ReportMonth,Table1[[#This Row],[Site ID (from DATIM)]],"[Measures].[TBPREV_N]")</f>
        <v>1</v>
      </c>
      <c r="AR332" s="67" t="str" vm="5054">
        <f>CUBEVALUE(ConnectionString,ReportMonth,Table1[[#This Row],[Site ID (from DATIM)]],"[Measures].[TBPREV_NEW]")</f>
        <v/>
      </c>
      <c r="AS332" s="67" vm="9228">
        <f>CUBEVALUE(ConnectionString,ReportMonth,Table1[[#This Row],[Site ID (from DATIM)]],"[Measures].[HVL_ELIG_P]")</f>
        <v>4</v>
      </c>
      <c r="AT332" s="67" vm="7572">
        <f>CUBEVALUE(ConnectionString,ReportMonth,Table1[[#This Row],[Site ID (from DATIM)]],"[Measures].[HVL_D_P]")</f>
        <v>3</v>
      </c>
      <c r="AU332" s="67" vm="8639">
        <f>CUBEVALUE(ConnectionString,ReportMonth,Table1[[#This Row],[Site ID (from DATIM)]],"[Measures].[HVL_N_P]")</f>
        <v>1</v>
      </c>
      <c r="AV332" s="68" vm="9128">
        <f>CUBEVALUE(ConnectionString,ReportMonth,Table1[[#This Row],[Site ID (from DATIM)]],"[Measures].[HVL_ELIG_A]")</f>
        <v>77</v>
      </c>
      <c r="AW332" s="68" vm="10655">
        <f>CUBEVALUE(ConnectionString,ReportMonth,Table1[[#This Row],[Site ID (from DATIM)]],"[Measures].[HVL_D_A]")</f>
        <v>76</v>
      </c>
      <c r="AX332" s="68" vm="7915">
        <f>CUBEVALUE(ConnectionString,ReportMonth,Table1[[#This Row],[Site ID (from DATIM)]],"[Measures].[HVL_N_A]")</f>
        <v>68</v>
      </c>
      <c r="AY332" s="67"/>
      <c r="AZ332" s="67"/>
      <c r="BA332" s="67"/>
      <c r="BB332" s="67"/>
      <c r="BC332" s="67"/>
      <c r="BD332" s="67"/>
      <c r="BE332" s="67"/>
      <c r="BF332" s="67"/>
      <c r="BG332" s="67" t="str" vm="10667">
        <f>CUBEVALUE(ConnectionString,ReportMonth,Table1[[#This Row],[Site ID (from DATIM)]],"[Measures].[TX_NEW_F_A]")</f>
        <v/>
      </c>
      <c r="BH332" s="67" t="str" vm="12809">
        <f>CUBEVALUE(ConnectionString,ReportMonth,Table1[[#This Row],[Site ID (from DATIM)]],"[Measures].[TX_NEW_M_A]")</f>
        <v/>
      </c>
      <c r="BI332" s="67" t="str" vm="13166">
        <f>CUBEVALUE(ConnectionString,ReportMonth,Table1[[#This Row],[Site ID (from DATIM)]],"[Measures].[TX_NEW_F_P]")</f>
        <v/>
      </c>
      <c r="BJ332" s="68" t="str" vm="14236">
        <f>CUBEVALUE(ConnectionString,ReportMonth,Table1[[#This Row],[Site ID (from DATIM)]],"[Measures].[TX_NEW_M_P]")</f>
        <v/>
      </c>
      <c r="BK332" s="68"/>
      <c r="BL332" s="68"/>
      <c r="BM332" s="68"/>
      <c r="BN332" s="68"/>
      <c r="BO332" s="68"/>
      <c r="BP332" s="68"/>
      <c r="BQ332" s="68" vm="17431">
        <f>CUBEVALUE(ConnectionString,ReportMonth,Table1[[#This Row],[Site ID (from DATIM)]],"[Measures].[TX_CURR_F_P]")</f>
        <v>2</v>
      </c>
      <c r="BR332" s="68" vm="11620">
        <f>CUBEVALUE(ConnectionString,ReportMonth,Table1[[#This Row],[Site ID (from DATIM)]],"[Measures].[TX_CURR_M_P]")</f>
        <v>2</v>
      </c>
      <c r="BS332" s="68" vm="10511">
        <f>CUBEVALUE(ConnectionString,ReportMonth,Table1[[#This Row],[Site ID (from DATIM)]],"[Measures].[TX_CURR_F_A]")</f>
        <v>59</v>
      </c>
      <c r="BT332" s="68" vm="13267">
        <f>CUBEVALUE(ConnectionString,ReportMonth,Table1[[#This Row],[Site ID (from DATIM)]],"[Measures].[TX_CURR_M_A]")</f>
        <v>21</v>
      </c>
      <c r="BU332" s="68" t="str" vm="18128">
        <f>CUBEVALUE(ConnectionString,ReportMonth,Table1[[#This Row],[Site ID (from DATIM)]],"[Measures].[MMS_01_89_F_P]")</f>
        <v/>
      </c>
      <c r="BV332" s="68" vm="17864">
        <f>CUBEVALUE(ConnectionString,ReportMonth,Table1[[#This Row],[Site ID (from DATIM)]],"[Measures].[MMS_01_89_M_P]")</f>
        <v>1</v>
      </c>
      <c r="BW332" s="68" vm="19932">
        <f>CUBEVALUE(ConnectionString,ReportMonth,Table1[[#This Row],[Site ID (from DATIM)]],"[Measures].[MMS_01_89_F_A]")</f>
        <v>16</v>
      </c>
      <c r="BX332" s="68" vm="18903">
        <f>CUBEVALUE(ConnectionString,ReportMonth,Table1[[#This Row],[Site ID (from DATIM)]],"[Measures].[MMS_01_89_M_A]")</f>
        <v>5</v>
      </c>
      <c r="BY332" s="68" vm="19949">
        <f>CUBEVALUE(ConnectionString,ReportMonth,Table1[[#This Row],[Site ID (from DATIM)]],"[Measures].[MMS_90_179_F_P]")</f>
        <v>2</v>
      </c>
      <c r="BZ332" s="68" vm="18799">
        <f>CUBEVALUE(ConnectionString,ReportMonth,Table1[[#This Row],[Site ID (from DATIM)]],"[Measures].[MMS_90_179_M_P]")</f>
        <v>1</v>
      </c>
      <c r="CA332" s="68" vm="15146">
        <f>CUBEVALUE(ConnectionString,ReportMonth,Table1[[#This Row],[Site ID (from DATIM)]],"[Measures].[MMS_90_179_F_A]")</f>
        <v>43</v>
      </c>
      <c r="CB332" s="68" vm="17206">
        <f>CUBEVALUE(ConnectionString,ReportMonth,Table1[[#This Row],[Site ID (from DATIM)]],"[Measures].[MMS_90_179_M_A]")</f>
        <v>16</v>
      </c>
      <c r="CC332" s="68" t="str" vm="16823">
        <f>CUBEVALUE(ConnectionString,ReportMonth,Table1[[#This Row],[Site ID (from DATIM)]],"[Measures].[MMS_180+_F_P]")</f>
        <v/>
      </c>
      <c r="CD332" s="68" t="str" vm="17583">
        <f>CUBEVALUE(ConnectionString,ReportMonth,Table1[[#This Row],[Site ID (from DATIM)]],"[Measures].[MMS_180+_M_P]")</f>
        <v/>
      </c>
      <c r="CE332" s="68" t="str" vm="15738">
        <f>CUBEVALUE(ConnectionString,ReportMonth,Table1[[#This Row],[Site ID (from DATIM)]],"[Measures].[MMS_180+_F_A]")</f>
        <v/>
      </c>
      <c r="CF332" s="68" t="str" vm="142">
        <f>CUBEVALUE(ConnectionString,ReportMonth,Table1[[#This Row],[Site ID (from DATIM)]],"[Measures].[MMS_180+_M_A]")</f>
        <v/>
      </c>
      <c r="CG332" s="68" vm="5263">
        <f>CUBEVALUE(ConnectionString,ReportMonth,Table1[[#This Row],[Site ID (from DATIM)]],"[Measures].[MISSEDAPP]")</f>
        <v>44</v>
      </c>
      <c r="CH332" s="68" t="str" vm="13662">
        <f>CUBEVALUE(ConnectionString,ReportMonth,Table1[[#This Row],[Site ID (from DATIM)]],"[Measures].[MMS_180+_P]")</f>
        <v/>
      </c>
      <c r="CI332" s="68" t="str" vm="10357">
        <f>CUBEVALUE(ConnectionString,ReportMonth,Table1[[#This Row],[Site ID (from DATIM)]],"[Measures].[MMS_180+_A]")</f>
        <v/>
      </c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  <c r="CW332" s="68"/>
      <c r="CX332" s="68"/>
      <c r="CY332" s="68"/>
      <c r="CZ332" s="68"/>
      <c r="DA332" s="68"/>
      <c r="DB332" s="68"/>
      <c r="DC332" s="68"/>
    </row>
    <row r="333" spans="1:107" x14ac:dyDescent="0.25">
      <c r="A333" s="66">
        <v>4</v>
      </c>
      <c r="B333" s="67" t="str" vm="4">
        <f t="shared" si="6"/>
        <v>Mar-2021</v>
      </c>
      <c r="C333" s="67"/>
      <c r="D333" s="67" t="s">
        <v>232</v>
      </c>
      <c r="E333" s="67" t="s">
        <v>233</v>
      </c>
      <c r="F333" s="67" t="s">
        <v>831</v>
      </c>
      <c r="G333" s="67"/>
      <c r="H333" s="67" t="s">
        <v>832</v>
      </c>
      <c r="I333" s="67" t="s">
        <v>1000</v>
      </c>
      <c r="J333" s="67" t="s">
        <v>1001</v>
      </c>
      <c r="K333" s="67" t="s">
        <v>1002</v>
      </c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 t="str" vm="2901">
        <f>CUBEVALUE(ConnectionString,ReportMonth,Table1[[#This Row],[Site ID (from DATIM)]],"TX_NEW_2VIS")</f>
        <v/>
      </c>
      <c r="AE333" s="67" t="str" vm="903">
        <f>CUBEVALUE(ConnectionString,ReportMonth,Table1[[#This Row],[Site ID (from DATIM)]],INDEX(SDI_Measures,1))</f>
        <v/>
      </c>
      <c r="AF333" s="67" t="str" vm="955">
        <f>CUBEVALUE(ConnectionString,ReportMonth,Table1[[#This Row],[Site ID (from DATIM)]],INDEX(SDI_Measures,2))</f>
        <v/>
      </c>
      <c r="AG333" s="67" t="str" vm="1566">
        <f>CUBEVALUE(ConnectionString,ReportMonth,Table1[[#This Row],[Site ID (from DATIM)]],INDEX(SDI_Measures,3))</f>
        <v/>
      </c>
      <c r="AH333" s="67" vm="3130">
        <f>CUBEVALUE(ConnectionString,ReportMonth,Table1[[#This Row],[Site ID (from DATIM)]],"TX_CURR_PRIOR_MONTH")</f>
        <v>65</v>
      </c>
      <c r="AI333" s="67" vm="4036">
        <f>CUBEVALUE(ConnectionString,ReportMonth,Table1[[#This Row],[Site ID (from DATIM)]],"TX_CURR")</f>
        <v>58</v>
      </c>
      <c r="AJ333" s="67" t="str" vm="1641">
        <f>CUBEVALUE(ConnectionString,ReportMonth,Table1[[#This Row],[Site ID (from DATIM)]],"[Measures].[TI]")</f>
        <v/>
      </c>
      <c r="AK333" s="67" t="str" vm="4274">
        <f>CUBEVALUE(ConnectionString,ReportMonth,Table1[[#This Row],[Site ID (from DATIM)]],"[Measures].[TO]")</f>
        <v/>
      </c>
      <c r="AL333" s="67" t="str" vm="3289">
        <f>CUBEVALUE(ConnectionString,ReportMonth,Table1[[#This Row],[Site ID (from DATIM)]],"[Measures].[DIED]")</f>
        <v/>
      </c>
      <c r="AM333" s="67" vm="3729">
        <f>CUBEVALUE(ConnectionString,ReportMonth,Table1[[#This Row],[Site ID (from DATIM)]],"[Measures].[MMS_01_31]")</f>
        <v>19</v>
      </c>
      <c r="AN333" s="67" t="str" vm="5968">
        <f>CUBEVALUE(ConnectionString,ReportMonth,Table1[[#This Row],[Site ID (from DATIM)]],"[Measures].[MMS_32_62]")</f>
        <v/>
      </c>
      <c r="AO333" s="67" vm="5558">
        <f>CUBEVALUE(ConnectionString,ReportMonth,Table1[[#This Row],[Site ID (from DATIM)]],"[Measures].[MMS_63+]")</f>
        <v>39</v>
      </c>
      <c r="AP333" s="67" t="str" vm="6160">
        <f>CUBEVALUE(ConnectionString,ReportMonth,Table1[[#This Row],[Site ID (from DATIM)]],"[Measures].[TBPREV_D]")</f>
        <v/>
      </c>
      <c r="AQ333" s="67" t="str" vm="6976">
        <f>CUBEVALUE(ConnectionString,ReportMonth,Table1[[#This Row],[Site ID (from DATIM)]],"[Measures].[TBPREV_N]")</f>
        <v/>
      </c>
      <c r="AR333" s="67" t="str" vm="11087">
        <f>CUBEVALUE(ConnectionString,ReportMonth,Table1[[#This Row],[Site ID (from DATIM)]],"[Measures].[TBPREV_NEW]")</f>
        <v/>
      </c>
      <c r="AS333" s="67" vm="7910">
        <f>CUBEVALUE(ConnectionString,ReportMonth,Table1[[#This Row],[Site ID (from DATIM)]],"[Measures].[HVL_ELIG_P]")</f>
        <v>4</v>
      </c>
      <c r="AT333" s="67" vm="7098">
        <f>CUBEVALUE(ConnectionString,ReportMonth,Table1[[#This Row],[Site ID (from DATIM)]],"[Measures].[HVL_D_P]")</f>
        <v>3</v>
      </c>
      <c r="AU333" s="67" vm="10891">
        <f>CUBEVALUE(ConnectionString,ReportMonth,Table1[[#This Row],[Site ID (from DATIM)]],"[Measures].[HVL_N_P]")</f>
        <v>2</v>
      </c>
      <c r="AV333" s="68" vm="11334">
        <f>CUBEVALUE(ConnectionString,ReportMonth,Table1[[#This Row],[Site ID (from DATIM)]],"[Measures].[HVL_ELIG_A]")</f>
        <v>43</v>
      </c>
      <c r="AW333" s="68" vm="6830">
        <f>CUBEVALUE(ConnectionString,ReportMonth,Table1[[#This Row],[Site ID (from DATIM)]],"[Measures].[HVL_D_A]")</f>
        <v>32</v>
      </c>
      <c r="AX333" s="68" vm="6616">
        <f>CUBEVALUE(ConnectionString,ReportMonth,Table1[[#This Row],[Site ID (from DATIM)]],"[Measures].[HVL_N_A]")</f>
        <v>26</v>
      </c>
      <c r="AY333" s="67"/>
      <c r="AZ333" s="67"/>
      <c r="BA333" s="67"/>
      <c r="BB333" s="67"/>
      <c r="BC333" s="67"/>
      <c r="BD333" s="67"/>
      <c r="BE333" s="67"/>
      <c r="BF333" s="67"/>
      <c r="BG333" s="67" t="str" vm="13292">
        <f>CUBEVALUE(ConnectionString,ReportMonth,Table1[[#This Row],[Site ID (from DATIM)]],"[Measures].[TX_NEW_F_A]")</f>
        <v/>
      </c>
      <c r="BH333" s="67" t="str" vm="12500">
        <f>CUBEVALUE(ConnectionString,ReportMonth,Table1[[#This Row],[Site ID (from DATIM)]],"[Measures].[TX_NEW_M_A]")</f>
        <v/>
      </c>
      <c r="BI333" s="67" t="str" vm="14355">
        <f>CUBEVALUE(ConnectionString,ReportMonth,Table1[[#This Row],[Site ID (from DATIM)]],"[Measures].[TX_NEW_F_P]")</f>
        <v/>
      </c>
      <c r="BJ333" s="68" t="str" vm="12306">
        <f>CUBEVALUE(ConnectionString,ReportMonth,Table1[[#This Row],[Site ID (from DATIM)]],"[Measures].[TX_NEW_M_P]")</f>
        <v/>
      </c>
      <c r="BK333" s="68"/>
      <c r="BL333" s="68"/>
      <c r="BM333" s="68"/>
      <c r="BN333" s="68"/>
      <c r="BO333" s="68"/>
      <c r="BP333" s="68"/>
      <c r="BQ333" s="68" vm="9730">
        <f>CUBEVALUE(ConnectionString,ReportMonth,Table1[[#This Row],[Site ID (from DATIM)]],"[Measures].[TX_CURR_F_P]")</f>
        <v>1</v>
      </c>
      <c r="BR333" s="68" vm="6357">
        <f>CUBEVALUE(ConnectionString,ReportMonth,Table1[[#This Row],[Site ID (from DATIM)]],"[Measures].[TX_CURR_M_P]")</f>
        <v>3</v>
      </c>
      <c r="BS333" s="68" vm="8374">
        <f>CUBEVALUE(ConnectionString,ReportMonth,Table1[[#This Row],[Site ID (from DATIM)]],"[Measures].[TX_CURR_F_A]")</f>
        <v>42</v>
      </c>
      <c r="BT333" s="68" vm="10951">
        <f>CUBEVALUE(ConnectionString,ReportMonth,Table1[[#This Row],[Site ID (from DATIM)]],"[Measures].[TX_CURR_M_A]")</f>
        <v>12</v>
      </c>
      <c r="BU333" s="68" t="str" vm="18050">
        <f>CUBEVALUE(ConnectionString,ReportMonth,Table1[[#This Row],[Site ID (from DATIM)]],"[Measures].[MMS_01_89_F_P]")</f>
        <v/>
      </c>
      <c r="BV333" s="68" vm="19425">
        <f>CUBEVALUE(ConnectionString,ReportMonth,Table1[[#This Row],[Site ID (from DATIM)]],"[Measures].[MMS_01_89_M_P]")</f>
        <v>2</v>
      </c>
      <c r="BW333" s="68" vm="19983">
        <f>CUBEVALUE(ConnectionString,ReportMonth,Table1[[#This Row],[Site ID (from DATIM)]],"[Measures].[MMS_01_89_F_A]")</f>
        <v>14</v>
      </c>
      <c r="BX333" s="68" vm="16364">
        <f>CUBEVALUE(ConnectionString,ReportMonth,Table1[[#This Row],[Site ID (from DATIM)]],"[Measures].[MMS_01_89_M_A]")</f>
        <v>5</v>
      </c>
      <c r="BY333" s="68" vm="18880">
        <f>CUBEVALUE(ConnectionString,ReportMonth,Table1[[#This Row],[Site ID (from DATIM)]],"[Measures].[MMS_90_179_F_P]")</f>
        <v>1</v>
      </c>
      <c r="BZ333" s="68" vm="19848">
        <f>CUBEVALUE(ConnectionString,ReportMonth,Table1[[#This Row],[Site ID (from DATIM)]],"[Measures].[MMS_90_179_M_P]")</f>
        <v>1</v>
      </c>
      <c r="CA333" s="68" vm="16663">
        <f>CUBEVALUE(ConnectionString,ReportMonth,Table1[[#This Row],[Site ID (from DATIM)]],"[Measures].[MMS_90_179_F_A]")</f>
        <v>28</v>
      </c>
      <c r="CB333" s="68" vm="14673">
        <f>CUBEVALUE(ConnectionString,ReportMonth,Table1[[#This Row],[Site ID (from DATIM)]],"[Measures].[MMS_90_179_M_A]")</f>
        <v>7</v>
      </c>
      <c r="CC333" s="68" t="str" vm="14532">
        <f>CUBEVALUE(ConnectionString,ReportMonth,Table1[[#This Row],[Site ID (from DATIM)]],"[Measures].[MMS_180+_F_P]")</f>
        <v/>
      </c>
      <c r="CD333" s="68" t="str" vm="16269">
        <f>CUBEVALUE(ConnectionString,ReportMonth,Table1[[#This Row],[Site ID (from DATIM)]],"[Measures].[MMS_180+_M_P]")</f>
        <v/>
      </c>
      <c r="CE333" s="68" t="str" vm="16284">
        <f>CUBEVALUE(ConnectionString,ReportMonth,Table1[[#This Row],[Site ID (from DATIM)]],"[Measures].[MMS_180+_F_A]")</f>
        <v/>
      </c>
      <c r="CF333" s="68" t="str" vm="291">
        <f>CUBEVALUE(ConnectionString,ReportMonth,Table1[[#This Row],[Site ID (from DATIM)]],"[Measures].[MMS_180+_M_A]")</f>
        <v/>
      </c>
      <c r="CG333" s="68" vm="8358">
        <f>CUBEVALUE(ConnectionString,ReportMonth,Table1[[#This Row],[Site ID (from DATIM)]],"[Measures].[MISSEDAPP]")</f>
        <v>28</v>
      </c>
      <c r="CH333" s="68" t="str" vm="12691">
        <f>CUBEVALUE(ConnectionString,ReportMonth,Table1[[#This Row],[Site ID (from DATIM)]],"[Measures].[MMS_180+_P]")</f>
        <v/>
      </c>
      <c r="CI333" s="68" t="str" vm="17063">
        <f>CUBEVALUE(ConnectionString,ReportMonth,Table1[[#This Row],[Site ID (from DATIM)]],"[Measures].[MMS_180+_A]")</f>
        <v/>
      </c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  <c r="CW333" s="68"/>
      <c r="CX333" s="68"/>
      <c r="CY333" s="68"/>
      <c r="CZ333" s="68"/>
      <c r="DA333" s="68"/>
      <c r="DB333" s="68"/>
      <c r="DC333" s="68"/>
    </row>
    <row r="334" spans="1:107" x14ac:dyDescent="0.25">
      <c r="A334" s="66">
        <v>4</v>
      </c>
      <c r="B334" s="67" t="str" vm="4">
        <f t="shared" si="6"/>
        <v>Mar-2021</v>
      </c>
      <c r="C334" s="67"/>
      <c r="D334" s="67" t="s">
        <v>232</v>
      </c>
      <c r="E334" s="67" t="s">
        <v>233</v>
      </c>
      <c r="F334" s="67" t="s">
        <v>234</v>
      </c>
      <c r="G334" s="67"/>
      <c r="H334" s="67" t="s">
        <v>249</v>
      </c>
      <c r="I334" s="67" t="s">
        <v>374</v>
      </c>
      <c r="J334" s="67" t="s">
        <v>375</v>
      </c>
      <c r="K334" s="67" t="s">
        <v>376</v>
      </c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 t="str" vm="849">
        <f>CUBEVALUE(ConnectionString,ReportMonth,Table1[[#This Row],[Site ID (from DATIM)]],"TX_NEW_2VIS")</f>
        <v/>
      </c>
      <c r="AE334" s="67" t="str" vm="8814">
        <f>CUBEVALUE(ConnectionString,ReportMonth,Table1[[#This Row],[Site ID (from DATIM)]],INDEX(SDI_Measures,1))</f>
        <v/>
      </c>
      <c r="AF334" s="67" t="str" vm="605">
        <f>CUBEVALUE(ConnectionString,ReportMonth,Table1[[#This Row],[Site ID (from DATIM)]],INDEX(SDI_Measures,2))</f>
        <v/>
      </c>
      <c r="AG334" s="67" t="str" vm="1181">
        <f>CUBEVALUE(ConnectionString,ReportMonth,Table1[[#This Row],[Site ID (from DATIM)]],INDEX(SDI_Measures,3))</f>
        <v/>
      </c>
      <c r="AH334" s="67" vm="3349">
        <f>CUBEVALUE(ConnectionString,ReportMonth,Table1[[#This Row],[Site ID (from DATIM)]],"TX_CURR_PRIOR_MONTH")</f>
        <v>22</v>
      </c>
      <c r="AI334" s="67" vm="764">
        <f>CUBEVALUE(ConnectionString,ReportMonth,Table1[[#This Row],[Site ID (from DATIM)]],"TX_CURR")</f>
        <v>17</v>
      </c>
      <c r="AJ334" s="67" t="str" vm="2489">
        <f>CUBEVALUE(ConnectionString,ReportMonth,Table1[[#This Row],[Site ID (from DATIM)]],"[Measures].[TI]")</f>
        <v/>
      </c>
      <c r="AK334" s="67" t="str" vm="2157">
        <f>CUBEVALUE(ConnectionString,ReportMonth,Table1[[#This Row],[Site ID (from DATIM)]],"[Measures].[TO]")</f>
        <v/>
      </c>
      <c r="AL334" s="67" t="str" vm="2918">
        <f>CUBEVALUE(ConnectionString,ReportMonth,Table1[[#This Row],[Site ID (from DATIM)]],"[Measures].[DIED]")</f>
        <v/>
      </c>
      <c r="AM334" s="67" vm="4377">
        <f>CUBEVALUE(ConnectionString,ReportMonth,Table1[[#This Row],[Site ID (from DATIM)]],"[Measures].[MMS_01_31]")</f>
        <v>11</v>
      </c>
      <c r="AN334" s="67" t="str" vm="7418">
        <f>CUBEVALUE(ConnectionString,ReportMonth,Table1[[#This Row],[Site ID (from DATIM)]],"[Measures].[MMS_32_62]")</f>
        <v/>
      </c>
      <c r="AO334" s="67" vm="6076">
        <f>CUBEVALUE(ConnectionString,ReportMonth,Table1[[#This Row],[Site ID (from DATIM)]],"[Measures].[MMS_63+]")</f>
        <v>6</v>
      </c>
      <c r="AP334" s="67" vm="5737">
        <f>CUBEVALUE(ConnectionString,ReportMonth,Table1[[#This Row],[Site ID (from DATIM)]],"[Measures].[TBPREV_D]")</f>
        <v>1</v>
      </c>
      <c r="AQ334" s="67" vm="4656">
        <f>CUBEVALUE(ConnectionString,ReportMonth,Table1[[#This Row],[Site ID (from DATIM)]],"[Measures].[TBPREV_N]")</f>
        <v>1</v>
      </c>
      <c r="AR334" s="67" t="str" vm="5925">
        <f>CUBEVALUE(ConnectionString,ReportMonth,Table1[[#This Row],[Site ID (from DATIM)]],"[Measures].[TBPREV_NEW]")</f>
        <v/>
      </c>
      <c r="AS334" s="67" t="str" vm="6772">
        <f>CUBEVALUE(ConnectionString,ReportMonth,Table1[[#This Row],[Site ID (from DATIM)]],"[Measures].[HVL_ELIG_P]")</f>
        <v/>
      </c>
      <c r="AT334" s="67" t="str" vm="9339">
        <f>CUBEVALUE(ConnectionString,ReportMonth,Table1[[#This Row],[Site ID (from DATIM)]],"[Measures].[HVL_D_P]")</f>
        <v/>
      </c>
      <c r="AU334" s="67" t="str" vm="9548">
        <f>CUBEVALUE(ConnectionString,ReportMonth,Table1[[#This Row],[Site ID (from DATIM)]],"[Measures].[HVL_N_P]")</f>
        <v/>
      </c>
      <c r="AV334" s="68" vm="11889">
        <f>CUBEVALUE(ConnectionString,ReportMonth,Table1[[#This Row],[Site ID (from DATIM)]],"[Measures].[HVL_ELIG_A]")</f>
        <v>8</v>
      </c>
      <c r="AW334" s="68" vm="10789">
        <f>CUBEVALUE(ConnectionString,ReportMonth,Table1[[#This Row],[Site ID (from DATIM)]],"[Measures].[HVL_D_A]")</f>
        <v>4</v>
      </c>
      <c r="AX334" s="68" vm="14052">
        <f>CUBEVALUE(ConnectionString,ReportMonth,Table1[[#This Row],[Site ID (from DATIM)]],"[Measures].[HVL_N_A]")</f>
        <v>3</v>
      </c>
      <c r="AY334" s="67"/>
      <c r="AZ334" s="67"/>
      <c r="BA334" s="67"/>
      <c r="BB334" s="67"/>
      <c r="BC334" s="67"/>
      <c r="BD334" s="67"/>
      <c r="BE334" s="67"/>
      <c r="BF334" s="67"/>
      <c r="BG334" s="67" t="str" vm="10671">
        <f>CUBEVALUE(ConnectionString,ReportMonth,Table1[[#This Row],[Site ID (from DATIM)]],"[Measures].[TX_NEW_F_A]")</f>
        <v/>
      </c>
      <c r="BH334" s="67" t="str" vm="14271">
        <f>CUBEVALUE(ConnectionString,ReportMonth,Table1[[#This Row],[Site ID (from DATIM)]],"[Measures].[TX_NEW_M_A]")</f>
        <v/>
      </c>
      <c r="BI334" s="67" t="str" vm="11021">
        <f>CUBEVALUE(ConnectionString,ReportMonth,Table1[[#This Row],[Site ID (from DATIM)]],"[Measures].[TX_NEW_F_P]")</f>
        <v/>
      </c>
      <c r="BJ334" s="68" t="str" vm="16559">
        <f>CUBEVALUE(ConnectionString,ReportMonth,Table1[[#This Row],[Site ID (from DATIM)]],"[Measures].[TX_NEW_M_P]")</f>
        <v/>
      </c>
      <c r="BK334" s="68"/>
      <c r="BL334" s="68"/>
      <c r="BM334" s="68"/>
      <c r="BN334" s="68"/>
      <c r="BO334" s="68"/>
      <c r="BP334" s="68"/>
      <c r="BQ334" s="68" t="str" vm="11590">
        <f>CUBEVALUE(ConnectionString,ReportMonth,Table1[[#This Row],[Site ID (from DATIM)]],"[Measures].[TX_CURR_F_P]")</f>
        <v/>
      </c>
      <c r="BR334" s="68" t="str" vm="13118">
        <f>CUBEVALUE(ConnectionString,ReportMonth,Table1[[#This Row],[Site ID (from DATIM)]],"[Measures].[TX_CURR_M_P]")</f>
        <v/>
      </c>
      <c r="BS334" s="68" vm="10880">
        <f>CUBEVALUE(ConnectionString,ReportMonth,Table1[[#This Row],[Site ID (from DATIM)]],"[Measures].[TX_CURR_F_A]")</f>
        <v>15</v>
      </c>
      <c r="BT334" s="68" vm="10896">
        <f>CUBEVALUE(ConnectionString,ReportMonth,Table1[[#This Row],[Site ID (from DATIM)]],"[Measures].[TX_CURR_M_A]")</f>
        <v>2</v>
      </c>
      <c r="BU334" s="68" t="str" vm="19785">
        <f>CUBEVALUE(ConnectionString,ReportMonth,Table1[[#This Row],[Site ID (from DATIM)]],"[Measures].[MMS_01_89_F_P]")</f>
        <v/>
      </c>
      <c r="BV334" s="68" t="str" vm="18422">
        <f>CUBEVALUE(ConnectionString,ReportMonth,Table1[[#This Row],[Site ID (from DATIM)]],"[Measures].[MMS_01_89_M_P]")</f>
        <v/>
      </c>
      <c r="BW334" s="68" vm="18990">
        <f>CUBEVALUE(ConnectionString,ReportMonth,Table1[[#This Row],[Site ID (from DATIM)]],"[Measures].[MMS_01_89_F_A]")</f>
        <v>11</v>
      </c>
      <c r="BX334" s="68" t="str" vm="16915">
        <f>CUBEVALUE(ConnectionString,ReportMonth,Table1[[#This Row],[Site ID (from DATIM)]],"[Measures].[MMS_01_89_M_A]")</f>
        <v/>
      </c>
      <c r="BY334" s="68" t="str" vm="15600">
        <f>CUBEVALUE(ConnectionString,ReportMonth,Table1[[#This Row],[Site ID (from DATIM)]],"[Measures].[MMS_90_179_F_P]")</f>
        <v/>
      </c>
      <c r="BZ334" s="68" t="str" vm="17344">
        <f>CUBEVALUE(ConnectionString,ReportMonth,Table1[[#This Row],[Site ID (from DATIM)]],"[Measures].[MMS_90_179_M_P]")</f>
        <v/>
      </c>
      <c r="CA334" s="68" vm="19044">
        <f>CUBEVALUE(ConnectionString,ReportMonth,Table1[[#This Row],[Site ID (from DATIM)]],"[Measures].[MMS_90_179_F_A]")</f>
        <v>4</v>
      </c>
      <c r="CB334" s="68" vm="16346">
        <f>CUBEVALUE(ConnectionString,ReportMonth,Table1[[#This Row],[Site ID (from DATIM)]],"[Measures].[MMS_90_179_M_A]")</f>
        <v>2</v>
      </c>
      <c r="CC334" s="68" t="str" vm="15031">
        <f>CUBEVALUE(ConnectionString,ReportMonth,Table1[[#This Row],[Site ID (from DATIM)]],"[Measures].[MMS_180+_F_P]")</f>
        <v/>
      </c>
      <c r="CD334" s="68" t="str" vm="16757">
        <f>CUBEVALUE(ConnectionString,ReportMonth,Table1[[#This Row],[Site ID (from DATIM)]],"[Measures].[MMS_180+_M_P]")</f>
        <v/>
      </c>
      <c r="CE334" s="68" t="str" vm="14487">
        <f>CUBEVALUE(ConnectionString,ReportMonth,Table1[[#This Row],[Site ID (from DATIM)]],"[Measures].[MMS_180+_F_A]")</f>
        <v/>
      </c>
      <c r="CF334" s="68" t="str" vm="16667">
        <f>CUBEVALUE(ConnectionString,ReportMonth,Table1[[#This Row],[Site ID (from DATIM)]],"[Measures].[MMS_180+_M_A]")</f>
        <v/>
      </c>
      <c r="CG334" s="68" vm="4733">
        <f>CUBEVALUE(ConnectionString,ReportMonth,Table1[[#This Row],[Site ID (from DATIM)]],"[Measures].[MISSEDAPP]")</f>
        <v>9</v>
      </c>
      <c r="CH334" s="68" t="str" vm="12788">
        <f>CUBEVALUE(ConnectionString,ReportMonth,Table1[[#This Row],[Site ID (from DATIM)]],"[Measures].[MMS_180+_P]")</f>
        <v/>
      </c>
      <c r="CI334" s="68" t="str" vm="14316">
        <f>CUBEVALUE(ConnectionString,ReportMonth,Table1[[#This Row],[Site ID (from DATIM)]],"[Measures].[MMS_180+_A]")</f>
        <v/>
      </c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  <c r="CW334" s="68"/>
      <c r="CX334" s="68"/>
      <c r="CY334" s="68"/>
      <c r="CZ334" s="68"/>
      <c r="DA334" s="68"/>
      <c r="DB334" s="68"/>
      <c r="DC334" s="68"/>
    </row>
    <row r="335" spans="1:107" x14ac:dyDescent="0.25">
      <c r="A335" s="66">
        <v>4</v>
      </c>
      <c r="B335" s="67" t="str" vm="4">
        <f t="shared" si="6"/>
        <v>Mar-2021</v>
      </c>
      <c r="C335" s="67"/>
      <c r="D335" s="67" t="s">
        <v>232</v>
      </c>
      <c r="E335" s="67" t="s">
        <v>233</v>
      </c>
      <c r="F335" s="67" t="s">
        <v>1083</v>
      </c>
      <c r="G335" s="67"/>
      <c r="H335" s="67" t="s">
        <v>1113</v>
      </c>
      <c r="I335" s="67" t="s">
        <v>1202</v>
      </c>
      <c r="J335" s="67" t="s">
        <v>1240</v>
      </c>
      <c r="K335" s="67" t="s">
        <v>1241</v>
      </c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 t="str" vm="3166">
        <f>CUBEVALUE(ConnectionString,ReportMonth,Table1[[#This Row],[Site ID (from DATIM)]],"TX_NEW_2VIS")</f>
        <v/>
      </c>
      <c r="AE335" s="67" t="str" vm="3827">
        <f>CUBEVALUE(ConnectionString,ReportMonth,Table1[[#This Row],[Site ID (from DATIM)]],INDEX(SDI_Measures,1))</f>
        <v/>
      </c>
      <c r="AF335" s="67" t="str" vm="873">
        <f>CUBEVALUE(ConnectionString,ReportMonth,Table1[[#This Row],[Site ID (from DATIM)]],INDEX(SDI_Measures,2))</f>
        <v/>
      </c>
      <c r="AG335" s="67" t="str" vm="3497">
        <f>CUBEVALUE(ConnectionString,ReportMonth,Table1[[#This Row],[Site ID (from DATIM)]],INDEX(SDI_Measures,3))</f>
        <v/>
      </c>
      <c r="AH335" s="67" vm="2185">
        <f>CUBEVALUE(ConnectionString,ReportMonth,Table1[[#This Row],[Site ID (from DATIM)]],"TX_CURR_PRIOR_MONTH")</f>
        <v>12</v>
      </c>
      <c r="AI335" s="67" vm="3061">
        <f>CUBEVALUE(ConnectionString,ReportMonth,Table1[[#This Row],[Site ID (from DATIM)]],"TX_CURR")</f>
        <v>12</v>
      </c>
      <c r="AJ335" s="67" t="str" vm="7150">
        <f>CUBEVALUE(ConnectionString,ReportMonth,Table1[[#This Row],[Site ID (from DATIM)]],"[Measures].[TI]")</f>
        <v/>
      </c>
      <c r="AK335" s="67" t="str" vm="966">
        <f>CUBEVALUE(ConnectionString,ReportMonth,Table1[[#This Row],[Site ID (from DATIM)]],"[Measures].[TO]")</f>
        <v/>
      </c>
      <c r="AL335" s="67" t="str" vm="2734">
        <f>CUBEVALUE(ConnectionString,ReportMonth,Table1[[#This Row],[Site ID (from DATIM)]],"[Measures].[DIED]")</f>
        <v/>
      </c>
      <c r="AM335" s="67" vm="6066">
        <f>CUBEVALUE(ConnectionString,ReportMonth,Table1[[#This Row],[Site ID (from DATIM)]],"[Measures].[MMS_01_31]")</f>
        <v>12</v>
      </c>
      <c r="AN335" s="67" t="str" vm="4950">
        <f>CUBEVALUE(ConnectionString,ReportMonth,Table1[[#This Row],[Site ID (from DATIM)]],"[Measures].[MMS_32_62]")</f>
        <v/>
      </c>
      <c r="AO335" s="67" t="str" vm="6227">
        <f>CUBEVALUE(ConnectionString,ReportMonth,Table1[[#This Row],[Site ID (from DATIM)]],"[Measures].[MMS_63+]")</f>
        <v/>
      </c>
      <c r="AP335" s="67" t="str" vm="5887">
        <f>CUBEVALUE(ConnectionString,ReportMonth,Table1[[#This Row],[Site ID (from DATIM)]],"[Measures].[TBPREV_D]")</f>
        <v/>
      </c>
      <c r="AQ335" s="67" t="str" vm="5119">
        <f>CUBEVALUE(ConnectionString,ReportMonth,Table1[[#This Row],[Site ID (from DATIM)]],"[Measures].[TBPREV_N]")</f>
        <v/>
      </c>
      <c r="AR335" s="67" t="str" vm="4870">
        <f>CUBEVALUE(ConnectionString,ReportMonth,Table1[[#This Row],[Site ID (from DATIM)]],"[Measures].[TBPREV_NEW]")</f>
        <v/>
      </c>
      <c r="AS335" s="67" t="str" vm="9904">
        <f>CUBEVALUE(ConnectionString,ReportMonth,Table1[[#This Row],[Site ID (from DATIM)]],"[Measures].[HVL_ELIG_P]")</f>
        <v/>
      </c>
      <c r="AT335" s="67" t="str" vm="9120">
        <f>CUBEVALUE(ConnectionString,ReportMonth,Table1[[#This Row],[Site ID (from DATIM)]],"[Measures].[HVL_D_P]")</f>
        <v/>
      </c>
      <c r="AU335" s="67" t="str" vm="8096">
        <f>CUBEVALUE(ConnectionString,ReportMonth,Table1[[#This Row],[Site ID (from DATIM)]],"[Measures].[HVL_N_P]")</f>
        <v/>
      </c>
      <c r="AV335" s="68" vm="7291">
        <f>CUBEVALUE(ConnectionString,ReportMonth,Table1[[#This Row],[Site ID (from DATIM)]],"[Measures].[HVL_ELIG_A]")</f>
        <v>10</v>
      </c>
      <c r="AW335" s="68" t="str" vm="10503">
        <f>CUBEVALUE(ConnectionString,ReportMonth,Table1[[#This Row],[Site ID (from DATIM)]],"[Measures].[HVL_D_A]")</f>
        <v/>
      </c>
      <c r="AX335" s="68" t="str" vm="11851">
        <f>CUBEVALUE(ConnectionString,ReportMonth,Table1[[#This Row],[Site ID (from DATIM)]],"[Measures].[HVL_N_A]")</f>
        <v/>
      </c>
      <c r="AY335" s="67"/>
      <c r="AZ335" s="67"/>
      <c r="BA335" s="67"/>
      <c r="BB335" s="67"/>
      <c r="BC335" s="67"/>
      <c r="BD335" s="67"/>
      <c r="BE335" s="67"/>
      <c r="BF335" s="67"/>
      <c r="BG335" s="67" t="str" vm="14077">
        <f>CUBEVALUE(ConnectionString,ReportMonth,Table1[[#This Row],[Site ID (from DATIM)]],"[Measures].[TX_NEW_F_A]")</f>
        <v/>
      </c>
      <c r="BH335" s="67" t="str" vm="13729">
        <f>CUBEVALUE(ConnectionString,ReportMonth,Table1[[#This Row],[Site ID (from DATIM)]],"[Measures].[TX_NEW_M_A]")</f>
        <v/>
      </c>
      <c r="BI335" s="67" t="str" vm="12060">
        <f>CUBEVALUE(ConnectionString,ReportMonth,Table1[[#This Row],[Site ID (from DATIM)]],"[Measures].[TX_NEW_F_P]")</f>
        <v/>
      </c>
      <c r="BJ335" s="68" t="str" vm="16123">
        <f>CUBEVALUE(ConnectionString,ReportMonth,Table1[[#This Row],[Site ID (from DATIM)]],"[Measures].[TX_NEW_M_P]")</f>
        <v/>
      </c>
      <c r="BK335" s="68"/>
      <c r="BL335" s="68"/>
      <c r="BM335" s="68"/>
      <c r="BN335" s="68"/>
      <c r="BO335" s="68"/>
      <c r="BP335" s="68"/>
      <c r="BQ335" s="68" t="str" vm="9559">
        <f>CUBEVALUE(ConnectionString,ReportMonth,Table1[[#This Row],[Site ID (from DATIM)]],"[Measures].[TX_CURR_F_P]")</f>
        <v/>
      </c>
      <c r="BR335" s="68" t="str" vm="8922">
        <f>CUBEVALUE(ConnectionString,ReportMonth,Table1[[#This Row],[Site ID (from DATIM)]],"[Measures].[TX_CURR_M_P]")</f>
        <v/>
      </c>
      <c r="BS335" s="68" vm="7254">
        <f>CUBEVALUE(ConnectionString,ReportMonth,Table1[[#This Row],[Site ID (from DATIM)]],"[Measures].[TX_CURR_F_A]")</f>
        <v>9</v>
      </c>
      <c r="BT335" s="68" vm="12864">
        <f>CUBEVALUE(ConnectionString,ReportMonth,Table1[[#This Row],[Site ID (from DATIM)]],"[Measures].[TX_CURR_M_A]")</f>
        <v>3</v>
      </c>
      <c r="BU335" s="68" t="str" vm="19542">
        <f>CUBEVALUE(ConnectionString,ReportMonth,Table1[[#This Row],[Site ID (from DATIM)]],"[Measures].[MMS_01_89_F_P]")</f>
        <v/>
      </c>
      <c r="BV335" s="68" t="str" vm="19528">
        <f>CUBEVALUE(ConnectionString,ReportMonth,Table1[[#This Row],[Site ID (from DATIM)]],"[Measures].[MMS_01_89_M_P]")</f>
        <v/>
      </c>
      <c r="BW335" s="68" vm="18281">
        <f>CUBEVALUE(ConnectionString,ReportMonth,Table1[[#This Row],[Site ID (from DATIM)]],"[Measures].[MMS_01_89_F_A]")</f>
        <v>9</v>
      </c>
      <c r="BX335" s="68" vm="18577">
        <f>CUBEVALUE(ConnectionString,ReportMonth,Table1[[#This Row],[Site ID (from DATIM)]],"[Measures].[MMS_01_89_M_A]")</f>
        <v>3</v>
      </c>
      <c r="BY335" s="68" t="str" vm="19151">
        <f>CUBEVALUE(ConnectionString,ReportMonth,Table1[[#This Row],[Site ID (from DATIM)]],"[Measures].[MMS_90_179_F_P]")</f>
        <v/>
      </c>
      <c r="BZ335" s="68" t="str" vm="16041">
        <f>CUBEVALUE(ConnectionString,ReportMonth,Table1[[#This Row],[Site ID (from DATIM)]],"[Measures].[MMS_90_179_M_P]")</f>
        <v/>
      </c>
      <c r="CA335" s="68" t="str" vm="16884">
        <f>CUBEVALUE(ConnectionString,ReportMonth,Table1[[#This Row],[Site ID (from DATIM)]],"[Measures].[MMS_90_179_F_A]")</f>
        <v/>
      </c>
      <c r="CB335" s="68" t="str" vm="15112">
        <f>CUBEVALUE(ConnectionString,ReportMonth,Table1[[#This Row],[Site ID (from DATIM)]],"[Measures].[MMS_90_179_M_A]")</f>
        <v/>
      </c>
      <c r="CC335" s="68" t="str" vm="16761">
        <f>CUBEVALUE(ConnectionString,ReportMonth,Table1[[#This Row],[Site ID (from DATIM)]],"[Measures].[MMS_180+_F_P]")</f>
        <v/>
      </c>
      <c r="CD335" s="68" t="str" vm="151">
        <f>CUBEVALUE(ConnectionString,ReportMonth,Table1[[#This Row],[Site ID (from DATIM)]],"[Measures].[MMS_180+_M_P]")</f>
        <v/>
      </c>
      <c r="CE335" s="68" t="str" vm="14939">
        <f>CUBEVALUE(ConnectionString,ReportMonth,Table1[[#This Row],[Site ID (from DATIM)]],"[Measures].[MMS_180+_F_A]")</f>
        <v/>
      </c>
      <c r="CF335" s="68" t="str" vm="16666">
        <f>CUBEVALUE(ConnectionString,ReportMonth,Table1[[#This Row],[Site ID (from DATIM)]],"[Measures].[MMS_180+_M_A]")</f>
        <v/>
      </c>
      <c r="CG335" s="68" vm="8117">
        <f>CUBEVALUE(ConnectionString,ReportMonth,Table1[[#This Row],[Site ID (from DATIM)]],"[Measures].[MISSEDAPP]")</f>
        <v>12</v>
      </c>
      <c r="CH335" s="68" t="str" vm="13779">
        <f>CUBEVALUE(ConnectionString,ReportMonth,Table1[[#This Row],[Site ID (from DATIM)]],"[Measures].[MMS_180+_P]")</f>
        <v/>
      </c>
      <c r="CI335" s="68" t="str" vm="11648">
        <f>CUBEVALUE(ConnectionString,ReportMonth,Table1[[#This Row],[Site ID (from DATIM)]],"[Measures].[MMS_180+_A]")</f>
        <v/>
      </c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  <c r="CW335" s="68"/>
      <c r="CX335" s="68"/>
      <c r="CY335" s="68"/>
      <c r="CZ335" s="68"/>
      <c r="DA335" s="68"/>
      <c r="DB335" s="68"/>
      <c r="DC335" s="68"/>
    </row>
    <row r="336" spans="1:107" x14ac:dyDescent="0.25">
      <c r="A336" s="66">
        <v>4</v>
      </c>
      <c r="B336" s="67" t="str" vm="4">
        <f t="shared" si="6"/>
        <v>Mar-2021</v>
      </c>
      <c r="C336" s="67"/>
      <c r="D336" s="67" t="s">
        <v>232</v>
      </c>
      <c r="E336" s="67" t="s">
        <v>233</v>
      </c>
      <c r="F336" s="67" t="s">
        <v>1083</v>
      </c>
      <c r="G336" s="67"/>
      <c r="H336" s="67" t="s">
        <v>1113</v>
      </c>
      <c r="I336" s="67" t="s">
        <v>1199</v>
      </c>
      <c r="J336" s="67" t="s">
        <v>1242</v>
      </c>
      <c r="K336" s="67" t="s">
        <v>1243</v>
      </c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 t="str" vm="3155">
        <f>CUBEVALUE(ConnectionString,ReportMonth,Table1[[#This Row],[Site ID (from DATIM)]],"TX_NEW_2VIS")</f>
        <v/>
      </c>
      <c r="AE336" s="67" t="str" vm="1614">
        <f>CUBEVALUE(ConnectionString,ReportMonth,Table1[[#This Row],[Site ID (from DATIM)]],INDEX(SDI_Measures,1))</f>
        <v/>
      </c>
      <c r="AF336" s="67" t="str" vm="4314">
        <f>CUBEVALUE(ConnectionString,ReportMonth,Table1[[#This Row],[Site ID (from DATIM)]],INDEX(SDI_Measures,2))</f>
        <v/>
      </c>
      <c r="AG336" s="67" t="str" vm="549">
        <f>CUBEVALUE(ConnectionString,ReportMonth,Table1[[#This Row],[Site ID (from DATIM)]],INDEX(SDI_Measures,3))</f>
        <v/>
      </c>
      <c r="AH336" s="67" vm="2525">
        <f>CUBEVALUE(ConnectionString,ReportMonth,Table1[[#This Row],[Site ID (from DATIM)]],"TX_CURR_PRIOR_MONTH")</f>
        <v>56</v>
      </c>
      <c r="AI336" s="67" vm="2066">
        <f>CUBEVALUE(ConnectionString,ReportMonth,Table1[[#This Row],[Site ID (from DATIM)]],"TX_CURR")</f>
        <v>12</v>
      </c>
      <c r="AJ336" s="67" t="str" vm="3570">
        <f>CUBEVALUE(ConnectionString,ReportMonth,Table1[[#This Row],[Site ID (from DATIM)]],"[Measures].[TI]")</f>
        <v/>
      </c>
      <c r="AK336" s="67" t="str" vm="1810">
        <f>CUBEVALUE(ConnectionString,ReportMonth,Table1[[#This Row],[Site ID (from DATIM)]],"[Measures].[TO]")</f>
        <v/>
      </c>
      <c r="AL336" s="67" t="str" vm="4235">
        <f>CUBEVALUE(ConnectionString,ReportMonth,Table1[[#This Row],[Site ID (from DATIM)]],"[Measures].[DIED]")</f>
        <v/>
      </c>
      <c r="AM336" s="67" vm="3512">
        <f>CUBEVALUE(ConnectionString,ReportMonth,Table1[[#This Row],[Site ID (from DATIM)]],"[Measures].[MMS_01_31]")</f>
        <v>4</v>
      </c>
      <c r="AN336" s="67" t="str" vm="6297">
        <f>CUBEVALUE(ConnectionString,ReportMonth,Table1[[#This Row],[Site ID (from DATIM)]],"[Measures].[MMS_32_62]")</f>
        <v/>
      </c>
      <c r="AO336" s="67" vm="6712">
        <f>CUBEVALUE(ConnectionString,ReportMonth,Table1[[#This Row],[Site ID (from DATIM)]],"[Measures].[MMS_63+]")</f>
        <v>8</v>
      </c>
      <c r="AP336" s="67" t="str" vm="6949">
        <f>CUBEVALUE(ConnectionString,ReportMonth,Table1[[#This Row],[Site ID (from DATIM)]],"[Measures].[TBPREV_D]")</f>
        <v/>
      </c>
      <c r="AQ336" s="67" t="str" vm="5208">
        <f>CUBEVALUE(ConnectionString,ReportMonth,Table1[[#This Row],[Site ID (from DATIM)]],"[Measures].[TBPREV_N]")</f>
        <v/>
      </c>
      <c r="AR336" s="67" t="str" vm="6211">
        <f>CUBEVALUE(ConnectionString,ReportMonth,Table1[[#This Row],[Site ID (from DATIM)]],"[Measures].[TBPREV_NEW]")</f>
        <v/>
      </c>
      <c r="AS336" s="67" t="str" vm="5648">
        <f>CUBEVALUE(ConnectionString,ReportMonth,Table1[[#This Row],[Site ID (from DATIM)]],"[Measures].[HVL_ELIG_P]")</f>
        <v/>
      </c>
      <c r="AT336" s="67" t="str" vm="11325">
        <f>CUBEVALUE(ConnectionString,ReportMonth,Table1[[#This Row],[Site ID (from DATIM)]],"[Measures].[HVL_D_P]")</f>
        <v/>
      </c>
      <c r="AU336" s="67" t="str" vm="12916">
        <f>CUBEVALUE(ConnectionString,ReportMonth,Table1[[#This Row],[Site ID (from DATIM)]],"[Measures].[HVL_N_P]")</f>
        <v/>
      </c>
      <c r="AV336" s="68" vm="10314">
        <f>CUBEVALUE(ConnectionString,ReportMonth,Table1[[#This Row],[Site ID (from DATIM)]],"[Measures].[HVL_ELIG_A]")</f>
        <v>6</v>
      </c>
      <c r="AW336" s="68" vm="9350">
        <f>CUBEVALUE(ConnectionString,ReportMonth,Table1[[#This Row],[Site ID (from DATIM)]],"[Measures].[HVL_D_A]")</f>
        <v>5</v>
      </c>
      <c r="AX336" s="68" vm="12213">
        <f>CUBEVALUE(ConnectionString,ReportMonth,Table1[[#This Row],[Site ID (from DATIM)]],"[Measures].[HVL_N_A]")</f>
        <v>4</v>
      </c>
      <c r="AY336" s="67"/>
      <c r="AZ336" s="67"/>
      <c r="BA336" s="67"/>
      <c r="BB336" s="67"/>
      <c r="BC336" s="67"/>
      <c r="BD336" s="67"/>
      <c r="BE336" s="67"/>
      <c r="BF336" s="67"/>
      <c r="BG336" s="67" t="str" vm="13079">
        <f>CUBEVALUE(ConnectionString,ReportMonth,Table1[[#This Row],[Site ID (from DATIM)]],"[Measures].[TX_NEW_F_A]")</f>
        <v/>
      </c>
      <c r="BH336" s="67" t="str" vm="14293">
        <f>CUBEVALUE(ConnectionString,ReportMonth,Table1[[#This Row],[Site ID (from DATIM)]],"[Measures].[TX_NEW_M_A]")</f>
        <v/>
      </c>
      <c r="BI336" s="67" t="str" vm="14198">
        <f>CUBEVALUE(ConnectionString,ReportMonth,Table1[[#This Row],[Site ID (from DATIM)]],"[Measures].[TX_NEW_F_P]")</f>
        <v/>
      </c>
      <c r="BJ336" s="68" t="str" vm="16200">
        <f>CUBEVALUE(ConnectionString,ReportMonth,Table1[[#This Row],[Site ID (from DATIM)]],"[Measures].[TX_NEW_M_P]")</f>
        <v/>
      </c>
      <c r="BK336" s="68"/>
      <c r="BL336" s="68"/>
      <c r="BM336" s="68"/>
      <c r="BN336" s="68"/>
      <c r="BO336" s="68"/>
      <c r="BP336" s="68"/>
      <c r="BQ336" s="68" t="str" vm="8643">
        <f>CUBEVALUE(ConnectionString,ReportMonth,Table1[[#This Row],[Site ID (from DATIM)]],"[Measures].[TX_CURR_F_P]")</f>
        <v/>
      </c>
      <c r="BR336" s="68" t="str" vm="8072">
        <f>CUBEVALUE(ConnectionString,ReportMonth,Table1[[#This Row],[Site ID (from DATIM)]],"[Measures].[TX_CURR_M_P]")</f>
        <v/>
      </c>
      <c r="BS336" s="68" vm="11118">
        <f>CUBEVALUE(ConnectionString,ReportMonth,Table1[[#This Row],[Site ID (from DATIM)]],"[Measures].[TX_CURR_F_A]")</f>
        <v>11</v>
      </c>
      <c r="BT336" s="68" vm="8271">
        <f>CUBEVALUE(ConnectionString,ReportMonth,Table1[[#This Row],[Site ID (from DATIM)]],"[Measures].[TX_CURR_M_A]")</f>
        <v>1</v>
      </c>
      <c r="BU336" s="68" t="str" vm="18386">
        <f>CUBEVALUE(ConnectionString,ReportMonth,Table1[[#This Row],[Site ID (from DATIM)]],"[Measures].[MMS_01_89_F_P]")</f>
        <v/>
      </c>
      <c r="BV336" s="68" t="str" vm="19813">
        <f>CUBEVALUE(ConnectionString,ReportMonth,Table1[[#This Row],[Site ID (from DATIM)]],"[Measures].[MMS_01_89_M_P]")</f>
        <v/>
      </c>
      <c r="BW336" s="68" vm="18620">
        <f>CUBEVALUE(ConnectionString,ReportMonth,Table1[[#This Row],[Site ID (from DATIM)]],"[Measures].[MMS_01_89_F_A]")</f>
        <v>4</v>
      </c>
      <c r="BX336" s="68" t="str" vm="17778">
        <f>CUBEVALUE(ConnectionString,ReportMonth,Table1[[#This Row],[Site ID (from DATIM)]],"[Measures].[MMS_01_89_M_A]")</f>
        <v/>
      </c>
      <c r="BY336" s="68" t="str" vm="16066">
        <f>CUBEVALUE(ConnectionString,ReportMonth,Table1[[#This Row],[Site ID (from DATIM)]],"[Measures].[MMS_90_179_F_P]")</f>
        <v/>
      </c>
      <c r="BZ336" s="68" t="str" vm="15462">
        <f>CUBEVALUE(ConnectionString,ReportMonth,Table1[[#This Row],[Site ID (from DATIM)]],"[Measures].[MMS_90_179_M_P]")</f>
        <v/>
      </c>
      <c r="CA336" s="68" vm="15083">
        <f>CUBEVALUE(ConnectionString,ReportMonth,Table1[[#This Row],[Site ID (from DATIM)]],"[Measures].[MMS_90_179_F_A]")</f>
        <v>7</v>
      </c>
      <c r="CB336" s="68" vm="15992">
        <f>CUBEVALUE(ConnectionString,ReportMonth,Table1[[#This Row],[Site ID (from DATIM)]],"[Measures].[MMS_90_179_M_A]")</f>
        <v>1</v>
      </c>
      <c r="CC336" s="68" t="str" vm="16731">
        <f>CUBEVALUE(ConnectionString,ReportMonth,Table1[[#This Row],[Site ID (from DATIM)]],"[Measures].[MMS_180+_F_P]")</f>
        <v/>
      </c>
      <c r="CD336" s="68" t="str" vm="16295">
        <f>CUBEVALUE(ConnectionString,ReportMonth,Table1[[#This Row],[Site ID (from DATIM)]],"[Measures].[MMS_180+_M_P]")</f>
        <v/>
      </c>
      <c r="CE336" s="68" t="str" vm="13">
        <f>CUBEVALUE(ConnectionString,ReportMonth,Table1[[#This Row],[Site ID (from DATIM)]],"[Measures].[MMS_180+_F_A]")</f>
        <v/>
      </c>
      <c r="CF336" s="68" t="str" vm="15359">
        <f>CUBEVALUE(ConnectionString,ReportMonth,Table1[[#This Row],[Site ID (from DATIM)]],"[Measures].[MMS_180+_M_A]")</f>
        <v/>
      </c>
      <c r="CG336" s="68" vm="7266">
        <f>CUBEVALUE(ConnectionString,ReportMonth,Table1[[#This Row],[Site ID (from DATIM)]],"[Measures].[MISSEDAPP]")</f>
        <v>12</v>
      </c>
      <c r="CH336" s="68" t="str" vm="12419">
        <f>CUBEVALUE(ConnectionString,ReportMonth,Table1[[#This Row],[Site ID (from DATIM)]],"[Measures].[MMS_180+_P]")</f>
        <v/>
      </c>
      <c r="CI336" s="68" t="str" vm="11464">
        <f>CUBEVALUE(ConnectionString,ReportMonth,Table1[[#This Row],[Site ID (from DATIM)]],"[Measures].[MMS_180+_A]")</f>
        <v/>
      </c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  <c r="CW336" s="68"/>
      <c r="CX336" s="68"/>
      <c r="CY336" s="68"/>
      <c r="CZ336" s="68"/>
      <c r="DA336" s="68"/>
      <c r="DB336" s="68"/>
      <c r="DC336" s="68"/>
    </row>
    <row r="337" spans="1:107" x14ac:dyDescent="0.25">
      <c r="A337" s="66">
        <v>3</v>
      </c>
      <c r="B337" s="67" t="str" vm="4">
        <f t="shared" si="6"/>
        <v>Mar-2021</v>
      </c>
      <c r="C337" s="67"/>
      <c r="D337" s="67" t="s">
        <v>232</v>
      </c>
      <c r="E337" s="67" t="s">
        <v>233</v>
      </c>
      <c r="F337" s="67" t="s">
        <v>234</v>
      </c>
      <c r="G337" s="67"/>
      <c r="H337" s="67" t="s">
        <v>263</v>
      </c>
      <c r="I337" s="67" t="s">
        <v>377</v>
      </c>
      <c r="J337" s="67" t="s">
        <v>378</v>
      </c>
      <c r="K337" s="67" t="s">
        <v>379</v>
      </c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 vm="1313">
        <f>CUBEVALUE(ConnectionString,ReportMonth,Table1[[#This Row],[Site ID (from DATIM)]],"TX_NEW_2VIS")</f>
        <v>4</v>
      </c>
      <c r="AE337" s="67" vm="1869">
        <f>CUBEVALUE(ConnectionString,ReportMonth,Table1[[#This Row],[Site ID (from DATIM)]],INDEX(SDI_Measures,1))</f>
        <v>4</v>
      </c>
      <c r="AF337" s="67" t="str" vm="4107">
        <f>CUBEVALUE(ConnectionString,ReportMonth,Table1[[#This Row],[Site ID (from DATIM)]],INDEX(SDI_Measures,2))</f>
        <v/>
      </c>
      <c r="AG337" s="67" t="str" vm="3014">
        <f>CUBEVALUE(ConnectionString,ReportMonth,Table1[[#This Row],[Site ID (from DATIM)]],INDEX(SDI_Measures,3))</f>
        <v/>
      </c>
      <c r="AH337" s="67" vm="2613">
        <f>CUBEVALUE(ConnectionString,ReportMonth,Table1[[#This Row],[Site ID (from DATIM)]],"TX_CURR_PRIOR_MONTH")</f>
        <v>233</v>
      </c>
      <c r="AI337" s="67" vm="4091">
        <f>CUBEVALUE(ConnectionString,ReportMonth,Table1[[#This Row],[Site ID (from DATIM)]],"TX_CURR")</f>
        <v>224</v>
      </c>
      <c r="AJ337" s="67" t="str" vm="6232">
        <f>CUBEVALUE(ConnectionString,ReportMonth,Table1[[#This Row],[Site ID (from DATIM)]],"[Measures].[TI]")</f>
        <v/>
      </c>
      <c r="AK337" s="67" t="str" vm="2411">
        <f>CUBEVALUE(ConnectionString,ReportMonth,Table1[[#This Row],[Site ID (from DATIM)]],"[Measures].[TO]")</f>
        <v/>
      </c>
      <c r="AL337" s="67" t="str" vm="943">
        <f>CUBEVALUE(ConnectionString,ReportMonth,Table1[[#This Row],[Site ID (from DATIM)]],"[Measures].[DIED]")</f>
        <v/>
      </c>
      <c r="AM337" s="67" vm="4555">
        <f>CUBEVALUE(ConnectionString,ReportMonth,Table1[[#This Row],[Site ID (from DATIM)]],"[Measures].[MMS_01_31]")</f>
        <v>101</v>
      </c>
      <c r="AN337" s="67" vm="8180">
        <f>CUBEVALUE(ConnectionString,ReportMonth,Table1[[#This Row],[Site ID (from DATIM)]],"[Measures].[MMS_32_62]")</f>
        <v>4</v>
      </c>
      <c r="AO337" s="67" vm="5037">
        <f>CUBEVALUE(ConnectionString,ReportMonth,Table1[[#This Row],[Site ID (from DATIM)]],"[Measures].[MMS_63+]")</f>
        <v>119</v>
      </c>
      <c r="AP337" s="67" vm="11567">
        <f>CUBEVALUE(ConnectionString,ReportMonth,Table1[[#This Row],[Site ID (from DATIM)]],"[Measures].[TBPREV_D]")</f>
        <v>2</v>
      </c>
      <c r="AQ337" s="67" vm="4617">
        <f>CUBEVALUE(ConnectionString,ReportMonth,Table1[[#This Row],[Site ID (from DATIM)]],"[Measures].[TBPREV_N]")</f>
        <v>1</v>
      </c>
      <c r="AR337" s="67" vm="5999">
        <f>CUBEVALUE(ConnectionString,ReportMonth,Table1[[#This Row],[Site ID (from DATIM)]],"[Measures].[TBPREV_NEW]")</f>
        <v>3</v>
      </c>
      <c r="AS337" s="67" vm="5897">
        <f>CUBEVALUE(ConnectionString,ReportMonth,Table1[[#This Row],[Site ID (from DATIM)]],"[Measures].[HVL_ELIG_P]")</f>
        <v>10</v>
      </c>
      <c r="AT337" s="67" vm="5747">
        <f>CUBEVALUE(ConnectionString,ReportMonth,Table1[[#This Row],[Site ID (from DATIM)]],"[Measures].[HVL_D_P]")</f>
        <v>11</v>
      </c>
      <c r="AU337" s="67" vm="10298">
        <f>CUBEVALUE(ConnectionString,ReportMonth,Table1[[#This Row],[Site ID (from DATIM)]],"[Measures].[HVL_N_P]")</f>
        <v>10</v>
      </c>
      <c r="AV337" s="68" vm="11849">
        <f>CUBEVALUE(ConnectionString,ReportMonth,Table1[[#This Row],[Site ID (from DATIM)]],"[Measures].[HVL_ELIG_A]")</f>
        <v>184</v>
      </c>
      <c r="AW337" s="68" vm="8461">
        <f>CUBEVALUE(ConnectionString,ReportMonth,Table1[[#This Row],[Site ID (from DATIM)]],"[Measures].[HVL_D_A]")</f>
        <v>147</v>
      </c>
      <c r="AX337" s="68" vm="9771">
        <f>CUBEVALUE(ConnectionString,ReportMonth,Table1[[#This Row],[Site ID (from DATIM)]],"[Measures].[HVL_N_A]")</f>
        <v>135</v>
      </c>
      <c r="AY337" s="67"/>
      <c r="AZ337" s="67"/>
      <c r="BA337" s="67"/>
      <c r="BB337" s="67"/>
      <c r="BC337" s="67"/>
      <c r="BD337" s="67"/>
      <c r="BE337" s="67"/>
      <c r="BF337" s="67"/>
      <c r="BG337" s="67" vm="13626">
        <f>CUBEVALUE(ConnectionString,ReportMonth,Table1[[#This Row],[Site ID (from DATIM)]],"[Measures].[TX_NEW_F_A]")</f>
        <v>2</v>
      </c>
      <c r="BH337" s="67" t="str" vm="13951">
        <f>CUBEVALUE(ConnectionString,ReportMonth,Table1[[#This Row],[Site ID (from DATIM)]],"[Measures].[TX_NEW_M_A]")</f>
        <v/>
      </c>
      <c r="BI337" s="67" t="str" vm="14197">
        <f>CUBEVALUE(ConnectionString,ReportMonth,Table1[[#This Row],[Site ID (from DATIM)]],"[Measures].[TX_NEW_F_P]")</f>
        <v/>
      </c>
      <c r="BJ337" s="68" vm="16567">
        <f>CUBEVALUE(ConnectionString,ReportMonth,Table1[[#This Row],[Site ID (from DATIM)]],"[Measures].[TX_NEW_M_P]")</f>
        <v>2</v>
      </c>
      <c r="BK337" s="68"/>
      <c r="BL337" s="68"/>
      <c r="BM337" s="68"/>
      <c r="BN337" s="68"/>
      <c r="BO337" s="68"/>
      <c r="BP337" s="68"/>
      <c r="BQ337" s="68" vm="13805">
        <f>CUBEVALUE(ConnectionString,ReportMonth,Table1[[#This Row],[Site ID (from DATIM)]],"[Measures].[TX_CURR_F_P]")</f>
        <v>6</v>
      </c>
      <c r="BR337" s="68" vm="9973">
        <f>CUBEVALUE(ConnectionString,ReportMonth,Table1[[#This Row],[Site ID (from DATIM)]],"[Measures].[TX_CURR_M_P]")</f>
        <v>8</v>
      </c>
      <c r="BS337" s="68" vm="8514">
        <f>CUBEVALUE(ConnectionString,ReportMonth,Table1[[#This Row],[Site ID (from DATIM)]],"[Measures].[TX_CURR_F_A]")</f>
        <v>169</v>
      </c>
      <c r="BT337" s="68" vm="9844">
        <f>CUBEVALUE(ConnectionString,ReportMonth,Table1[[#This Row],[Site ID (from DATIM)]],"[Measures].[TX_CURR_M_A]")</f>
        <v>41</v>
      </c>
      <c r="BU337" s="68" vm="18411">
        <f>CUBEVALUE(ConnectionString,ReportMonth,Table1[[#This Row],[Site ID (from DATIM)]],"[Measures].[MMS_01_89_F_P]")</f>
        <v>5</v>
      </c>
      <c r="BV337" s="68" vm="18090">
        <f>CUBEVALUE(ConnectionString,ReportMonth,Table1[[#This Row],[Site ID (from DATIM)]],"[Measures].[MMS_01_89_M_P]")</f>
        <v>5</v>
      </c>
      <c r="BW337" s="68" vm="18198">
        <f>CUBEVALUE(ConnectionString,ReportMonth,Table1[[#This Row],[Site ID (from DATIM)]],"[Measures].[MMS_01_89_F_A]")</f>
        <v>81</v>
      </c>
      <c r="BX337" s="68" vm="19090">
        <f>CUBEVALUE(ConnectionString,ReportMonth,Table1[[#This Row],[Site ID (from DATIM)]],"[Measures].[MMS_01_89_M_A]")</f>
        <v>15</v>
      </c>
      <c r="BY337" s="68" vm="19964">
        <f>CUBEVALUE(ConnectionString,ReportMonth,Table1[[#This Row],[Site ID (from DATIM)]],"[Measures].[MMS_90_179_F_P]")</f>
        <v>1</v>
      </c>
      <c r="BZ337" s="68" vm="16105">
        <f>CUBEVALUE(ConnectionString,ReportMonth,Table1[[#This Row],[Site ID (from DATIM)]],"[Measures].[MMS_90_179_M_P]")</f>
        <v>3</v>
      </c>
      <c r="CA337" s="68" vm="16935">
        <f>CUBEVALUE(ConnectionString,ReportMonth,Table1[[#This Row],[Site ID (from DATIM)]],"[Measures].[MMS_90_179_F_A]")</f>
        <v>88</v>
      </c>
      <c r="CB337" s="68" vm="16796">
        <f>CUBEVALUE(ConnectionString,ReportMonth,Table1[[#This Row],[Site ID (from DATIM)]],"[Measures].[MMS_90_179_M_A]")</f>
        <v>26</v>
      </c>
      <c r="CC337" s="68" t="str" vm="16832">
        <f>CUBEVALUE(ConnectionString,ReportMonth,Table1[[#This Row],[Site ID (from DATIM)]],"[Measures].[MMS_180+_F_P]")</f>
        <v/>
      </c>
      <c r="CD337" s="68" t="str" vm="16272">
        <f>CUBEVALUE(ConnectionString,ReportMonth,Table1[[#This Row],[Site ID (from DATIM)]],"[Measures].[MMS_180+_M_P]")</f>
        <v/>
      </c>
      <c r="CE337" s="68" t="str" vm="16253">
        <f>CUBEVALUE(ConnectionString,ReportMonth,Table1[[#This Row],[Site ID (from DATIM)]],"[Measures].[MMS_180+_F_A]")</f>
        <v/>
      </c>
      <c r="CF337" s="68" t="str" vm="14500">
        <f>CUBEVALUE(ConnectionString,ReportMonth,Table1[[#This Row],[Site ID (from DATIM)]],"[Measures].[MMS_180+_M_A]")</f>
        <v/>
      </c>
      <c r="CG337" s="68" vm="7133">
        <f>CUBEVALUE(ConnectionString,ReportMonth,Table1[[#This Row],[Site ID (from DATIM)]],"[Measures].[MISSEDAPP]")</f>
        <v>80</v>
      </c>
      <c r="CH337" s="68" t="str" vm="13930">
        <f>CUBEVALUE(ConnectionString,ReportMonth,Table1[[#This Row],[Site ID (from DATIM)]],"[Measures].[MMS_180+_P]")</f>
        <v/>
      </c>
      <c r="CI337" s="68" t="str" vm="12530">
        <f>CUBEVALUE(ConnectionString,ReportMonth,Table1[[#This Row],[Site ID (from DATIM)]],"[Measures].[MMS_180+_A]")</f>
        <v/>
      </c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  <c r="CW337" s="68"/>
      <c r="CX337" s="68"/>
      <c r="CY337" s="68"/>
      <c r="CZ337" s="68"/>
      <c r="DA337" s="68"/>
      <c r="DB337" s="68"/>
      <c r="DC337" s="68"/>
    </row>
    <row r="338" spans="1:107" x14ac:dyDescent="0.25">
      <c r="A338" s="66">
        <v>2</v>
      </c>
      <c r="B338" s="67" t="str" vm="4">
        <f t="shared" si="6"/>
        <v>Mar-2021</v>
      </c>
      <c r="C338" s="67"/>
      <c r="D338" s="67" t="s">
        <v>232</v>
      </c>
      <c r="E338" s="67" t="s">
        <v>233</v>
      </c>
      <c r="F338" s="67" t="s">
        <v>1286</v>
      </c>
      <c r="G338" s="67"/>
      <c r="H338" s="67" t="s">
        <v>1287</v>
      </c>
      <c r="I338" s="67" t="s">
        <v>1479</v>
      </c>
      <c r="J338" s="67" t="s">
        <v>1480</v>
      </c>
      <c r="K338" s="67" t="s">
        <v>1481</v>
      </c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 t="str" vm="4406">
        <f>CUBEVALUE(ConnectionString,ReportMonth,Table1[[#This Row],[Site ID (from DATIM)]],"TX_NEW_2VIS")</f>
        <v/>
      </c>
      <c r="AE338" s="67" t="str" vm="258">
        <f>CUBEVALUE(ConnectionString,ReportMonth,Table1[[#This Row],[Site ID (from DATIM)]],INDEX(SDI_Measures,1))</f>
        <v/>
      </c>
      <c r="AF338" s="67" t="str" vm="1163">
        <f>CUBEVALUE(ConnectionString,ReportMonth,Table1[[#This Row],[Site ID (from DATIM)]],INDEX(SDI_Measures,2))</f>
        <v/>
      </c>
      <c r="AG338" s="67" t="str" vm="1172">
        <f>CUBEVALUE(ConnectionString,ReportMonth,Table1[[#This Row],[Site ID (from DATIM)]],INDEX(SDI_Measures,3))</f>
        <v/>
      </c>
      <c r="AH338" s="67" t="str" vm="1432">
        <f>CUBEVALUE(ConnectionString,ReportMonth,Table1[[#This Row],[Site ID (from DATIM)]],"TX_CURR_PRIOR_MONTH")</f>
        <v/>
      </c>
      <c r="AI338" s="67" t="str" vm="1973">
        <f>CUBEVALUE(ConnectionString,ReportMonth,Table1[[#This Row],[Site ID (from DATIM)]],"TX_CURR")</f>
        <v/>
      </c>
      <c r="AJ338" s="67" t="str" vm="3406">
        <f>CUBEVALUE(ConnectionString,ReportMonth,Table1[[#This Row],[Site ID (from DATIM)]],"[Measures].[TI]")</f>
        <v/>
      </c>
      <c r="AK338" s="67" t="str" vm="3822">
        <f>CUBEVALUE(ConnectionString,ReportMonth,Table1[[#This Row],[Site ID (from DATIM)]],"[Measures].[TO]")</f>
        <v/>
      </c>
      <c r="AL338" s="67" t="str" vm="3122">
        <f>CUBEVALUE(ConnectionString,ReportMonth,Table1[[#This Row],[Site ID (from DATIM)]],"[Measures].[DIED]")</f>
        <v/>
      </c>
      <c r="AM338" s="67" t="str" vm="8004">
        <f>CUBEVALUE(ConnectionString,ReportMonth,Table1[[#This Row],[Site ID (from DATIM)]],"[Measures].[MMS_01_31]")</f>
        <v/>
      </c>
      <c r="AN338" s="67" t="str" vm="5523">
        <f>CUBEVALUE(ConnectionString,ReportMonth,Table1[[#This Row],[Site ID (from DATIM)]],"[Measures].[MMS_32_62]")</f>
        <v/>
      </c>
      <c r="AO338" s="67" t="str" vm="14088">
        <f>CUBEVALUE(ConnectionString,ReportMonth,Table1[[#This Row],[Site ID (from DATIM)]],"[Measures].[MMS_63+]")</f>
        <v/>
      </c>
      <c r="AP338" s="67" t="str" vm="6127">
        <f>CUBEVALUE(ConnectionString,ReportMonth,Table1[[#This Row],[Site ID (from DATIM)]],"[Measures].[TBPREV_D]")</f>
        <v/>
      </c>
      <c r="AQ338" s="67" t="str" vm="4620">
        <f>CUBEVALUE(ConnectionString,ReportMonth,Table1[[#This Row],[Site ID (from DATIM)]],"[Measures].[TBPREV_N]")</f>
        <v/>
      </c>
      <c r="AR338" s="67" t="str" vm="5983">
        <f>CUBEVALUE(ConnectionString,ReportMonth,Table1[[#This Row],[Site ID (from DATIM)]],"[Measures].[TBPREV_NEW]")</f>
        <v/>
      </c>
      <c r="AS338" s="67" t="str" vm="10926">
        <f>CUBEVALUE(ConnectionString,ReportMonth,Table1[[#This Row],[Site ID (from DATIM)]],"[Measures].[HVL_ELIG_P]")</f>
        <v/>
      </c>
      <c r="AT338" s="67" t="str" vm="10765">
        <f>CUBEVALUE(ConnectionString,ReportMonth,Table1[[#This Row],[Site ID (from DATIM)]],"[Measures].[HVL_D_P]")</f>
        <v/>
      </c>
      <c r="AU338" s="67" t="str" vm="9485">
        <f>CUBEVALUE(ConnectionString,ReportMonth,Table1[[#This Row],[Site ID (from DATIM)]],"[Measures].[HVL_N_P]")</f>
        <v/>
      </c>
      <c r="AV338" s="68" t="str" vm="12088">
        <f>CUBEVALUE(ConnectionString,ReportMonth,Table1[[#This Row],[Site ID (from DATIM)]],"[Measures].[HVL_ELIG_A]")</f>
        <v/>
      </c>
      <c r="AW338" s="68" t="str" vm="9129">
        <f>CUBEVALUE(ConnectionString,ReportMonth,Table1[[#This Row],[Site ID (from DATIM)]],"[Measures].[HVL_D_A]")</f>
        <v/>
      </c>
      <c r="AX338" s="68" t="str" vm="8268">
        <f>CUBEVALUE(ConnectionString,ReportMonth,Table1[[#This Row],[Site ID (from DATIM)]],"[Measures].[HVL_N_A]")</f>
        <v/>
      </c>
      <c r="AY338" s="67"/>
      <c r="AZ338" s="67"/>
      <c r="BA338" s="67"/>
      <c r="BB338" s="67"/>
      <c r="BC338" s="67"/>
      <c r="BD338" s="67"/>
      <c r="BE338" s="67"/>
      <c r="BF338" s="67"/>
      <c r="BG338" s="67" t="str" vm="11233">
        <f>CUBEVALUE(ConnectionString,ReportMonth,Table1[[#This Row],[Site ID (from DATIM)]],"[Measures].[TX_NEW_F_A]")</f>
        <v/>
      </c>
      <c r="BH338" s="67" t="str" vm="13707">
        <f>CUBEVALUE(ConnectionString,ReportMonth,Table1[[#This Row],[Site ID (from DATIM)]],"[Measures].[TX_NEW_M_A]")</f>
        <v/>
      </c>
      <c r="BI338" s="67" t="str" vm="16611">
        <f>CUBEVALUE(ConnectionString,ReportMonth,Table1[[#This Row],[Site ID (from DATIM)]],"[Measures].[TX_NEW_F_P]")</f>
        <v/>
      </c>
      <c r="BJ338" s="68" t="str" vm="13173">
        <f>CUBEVALUE(ConnectionString,ReportMonth,Table1[[#This Row],[Site ID (from DATIM)]],"[Measures].[TX_NEW_M_P]")</f>
        <v/>
      </c>
      <c r="BK338" s="68"/>
      <c r="BL338" s="68"/>
      <c r="BM338" s="68"/>
      <c r="BN338" s="68"/>
      <c r="BO338" s="68"/>
      <c r="BP338" s="68"/>
      <c r="BQ338" s="68" t="str" vm="14223">
        <f>CUBEVALUE(ConnectionString,ReportMonth,Table1[[#This Row],[Site ID (from DATIM)]],"[Measures].[TX_CURR_F_P]")</f>
        <v/>
      </c>
      <c r="BR338" s="68" t="str" vm="9185">
        <f>CUBEVALUE(ConnectionString,ReportMonth,Table1[[#This Row],[Site ID (from DATIM)]],"[Measures].[TX_CURR_M_P]")</f>
        <v/>
      </c>
      <c r="BS338" s="68" t="str" vm="12774">
        <f>CUBEVALUE(ConnectionString,ReportMonth,Table1[[#This Row],[Site ID (from DATIM)]],"[Measures].[TX_CURR_F_A]")</f>
        <v/>
      </c>
      <c r="BT338" s="68" t="str" vm="14042">
        <f>CUBEVALUE(ConnectionString,ReportMonth,Table1[[#This Row],[Site ID (from DATIM)]],"[Measures].[TX_CURR_M_A]")</f>
        <v/>
      </c>
      <c r="BU338" s="68" t="str" vm="18672">
        <f>CUBEVALUE(ConnectionString,ReportMonth,Table1[[#This Row],[Site ID (from DATIM)]],"[Measures].[MMS_01_89_F_P]")</f>
        <v/>
      </c>
      <c r="BV338" s="68" t="str" vm="18565">
        <f>CUBEVALUE(ConnectionString,ReportMonth,Table1[[#This Row],[Site ID (from DATIM)]],"[Measures].[MMS_01_89_M_P]")</f>
        <v/>
      </c>
      <c r="BW338" s="68" t="str" vm="19447">
        <f>CUBEVALUE(ConnectionString,ReportMonth,Table1[[#This Row],[Site ID (from DATIM)]],"[Measures].[MMS_01_89_F_A]")</f>
        <v/>
      </c>
      <c r="BX338" s="68" t="str" vm="19940">
        <f>CUBEVALUE(ConnectionString,ReportMonth,Table1[[#This Row],[Site ID (from DATIM)]],"[Measures].[MMS_01_89_M_A]")</f>
        <v/>
      </c>
      <c r="BY338" s="68" t="str" vm="14778">
        <f>CUBEVALUE(ConnectionString,ReportMonth,Table1[[#This Row],[Site ID (from DATIM)]],"[Measures].[MMS_90_179_F_P]")</f>
        <v/>
      </c>
      <c r="BZ338" s="68" t="str" vm="17846">
        <f>CUBEVALUE(ConnectionString,ReportMonth,Table1[[#This Row],[Site ID (from DATIM)]],"[Measures].[MMS_90_179_M_P]")</f>
        <v/>
      </c>
      <c r="CA338" s="68" t="str" vm="16476">
        <f>CUBEVALUE(ConnectionString,ReportMonth,Table1[[#This Row],[Site ID (from DATIM)]],"[Measures].[MMS_90_179_F_A]")</f>
        <v/>
      </c>
      <c r="CB338" s="68" t="str" vm="15943">
        <f>CUBEVALUE(ConnectionString,ReportMonth,Table1[[#This Row],[Site ID (from DATIM)]],"[Measures].[MMS_90_179_M_A]")</f>
        <v/>
      </c>
      <c r="CC338" s="68" t="str" vm="15513">
        <f>CUBEVALUE(ConnectionString,ReportMonth,Table1[[#This Row],[Site ID (from DATIM)]],"[Measures].[MMS_180+_F_P]")</f>
        <v/>
      </c>
      <c r="CD338" s="68" t="str" vm="127">
        <f>CUBEVALUE(ConnectionString,ReportMonth,Table1[[#This Row],[Site ID (from DATIM)]],"[Measures].[MMS_180+_M_P]")</f>
        <v/>
      </c>
      <c r="CE338" s="68" t="str" vm="17129">
        <f>CUBEVALUE(ConnectionString,ReportMonth,Table1[[#This Row],[Site ID (from DATIM)]],"[Measures].[MMS_180+_F_A]")</f>
        <v/>
      </c>
      <c r="CF338" s="68" t="str" vm="343">
        <f>CUBEVALUE(ConnectionString,ReportMonth,Table1[[#This Row],[Site ID (from DATIM)]],"[Measures].[MMS_180+_M_A]")</f>
        <v/>
      </c>
      <c r="CG338" s="68" t="str" vm="10723">
        <f>CUBEVALUE(ConnectionString,ReportMonth,Table1[[#This Row],[Site ID (from DATIM)]],"[Measures].[MISSEDAPP]")</f>
        <v/>
      </c>
      <c r="CH338" s="68" t="str" vm="10841">
        <f>CUBEVALUE(ConnectionString,ReportMonth,Table1[[#This Row],[Site ID (from DATIM)]],"[Measures].[MMS_180+_P]")</f>
        <v/>
      </c>
      <c r="CI338" s="68" t="str" vm="13337">
        <f>CUBEVALUE(ConnectionString,ReportMonth,Table1[[#This Row],[Site ID (from DATIM)]],"[Measures].[MMS_180+_A]")</f>
        <v/>
      </c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  <c r="CW338" s="68"/>
      <c r="CX338" s="68"/>
      <c r="CY338" s="68"/>
      <c r="CZ338" s="68"/>
      <c r="DA338" s="68"/>
      <c r="DB338" s="68"/>
      <c r="DC338" s="68"/>
    </row>
    <row r="339" spans="1:107" x14ac:dyDescent="0.25">
      <c r="A339" s="66">
        <v>4</v>
      </c>
      <c r="B339" s="67" t="str" vm="4">
        <f t="shared" si="6"/>
        <v>Mar-2021</v>
      </c>
      <c r="C339" s="67"/>
      <c r="D339" s="67" t="s">
        <v>232</v>
      </c>
      <c r="E339" s="67" t="s">
        <v>233</v>
      </c>
      <c r="F339" s="67" t="s">
        <v>1083</v>
      </c>
      <c r="G339" s="67"/>
      <c r="H339" s="67" t="s">
        <v>1084</v>
      </c>
      <c r="I339" s="67" t="s">
        <v>1014</v>
      </c>
      <c r="J339" s="67" t="s">
        <v>1244</v>
      </c>
      <c r="K339" s="67" t="s">
        <v>1245</v>
      </c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 t="str" vm="1480">
        <f>CUBEVALUE(ConnectionString,ReportMonth,Table1[[#This Row],[Site ID (from DATIM)]],"TX_NEW_2VIS")</f>
        <v/>
      </c>
      <c r="AE339" s="67" t="str" vm="1229">
        <f>CUBEVALUE(ConnectionString,ReportMonth,Table1[[#This Row],[Site ID (from DATIM)]],INDEX(SDI_Measures,1))</f>
        <v/>
      </c>
      <c r="AF339" s="67" t="str" vm="834">
        <f>CUBEVALUE(ConnectionString,ReportMonth,Table1[[#This Row],[Site ID (from DATIM)]],INDEX(SDI_Measures,2))</f>
        <v/>
      </c>
      <c r="AG339" s="67" t="str" vm="1029">
        <f>CUBEVALUE(ConnectionString,ReportMonth,Table1[[#This Row],[Site ID (from DATIM)]],INDEX(SDI_Measures,3))</f>
        <v/>
      </c>
      <c r="AH339" s="67" vm="2885">
        <f>CUBEVALUE(ConnectionString,ReportMonth,Table1[[#This Row],[Site ID (from DATIM)]],"TX_CURR_PRIOR_MONTH")</f>
        <v>13</v>
      </c>
      <c r="AI339" s="67" vm="3024">
        <f>CUBEVALUE(ConnectionString,ReportMonth,Table1[[#This Row],[Site ID (from DATIM)]],"TX_CURR")</f>
        <v>13</v>
      </c>
      <c r="AJ339" s="67" t="str" vm="4018">
        <f>CUBEVALUE(ConnectionString,ReportMonth,Table1[[#This Row],[Site ID (from DATIM)]],"[Measures].[TI]")</f>
        <v/>
      </c>
      <c r="AK339" s="67" t="str" vm="2881">
        <f>CUBEVALUE(ConnectionString,ReportMonth,Table1[[#This Row],[Site ID (from DATIM)]],"[Measures].[TO]")</f>
        <v/>
      </c>
      <c r="AL339" s="67" t="str" vm="3975">
        <f>CUBEVALUE(ConnectionString,ReportMonth,Table1[[#This Row],[Site ID (from DATIM)]],"[Measures].[DIED]")</f>
        <v/>
      </c>
      <c r="AM339" s="67" vm="3907">
        <f>CUBEVALUE(ConnectionString,ReportMonth,Table1[[#This Row],[Site ID (from DATIM)]],"[Measures].[MMS_01_31]")</f>
        <v>12</v>
      </c>
      <c r="AN339" s="67" vm="7822">
        <f>CUBEVALUE(ConnectionString,ReportMonth,Table1[[#This Row],[Site ID (from DATIM)]],"[Measures].[MMS_32_62]")</f>
        <v>1</v>
      </c>
      <c r="AO339" s="67" t="str" vm="5944">
        <f>CUBEVALUE(ConnectionString,ReportMonth,Table1[[#This Row],[Site ID (from DATIM)]],"[Measures].[MMS_63+]")</f>
        <v/>
      </c>
      <c r="AP339" s="67" t="str" vm="8716">
        <f>CUBEVALUE(ConnectionString,ReportMonth,Table1[[#This Row],[Site ID (from DATIM)]],"[Measures].[TBPREV_D]")</f>
        <v/>
      </c>
      <c r="AQ339" s="67" t="str" vm="4904">
        <f>CUBEVALUE(ConnectionString,ReportMonth,Table1[[#This Row],[Site ID (from DATIM)]],"[Measures].[TBPREV_N]")</f>
        <v/>
      </c>
      <c r="AR339" s="67" t="str" vm="5732">
        <f>CUBEVALUE(ConnectionString,ReportMonth,Table1[[#This Row],[Site ID (from DATIM)]],"[Measures].[TBPREV_NEW]")</f>
        <v/>
      </c>
      <c r="AS339" s="67" t="str" vm="6502">
        <f>CUBEVALUE(ConnectionString,ReportMonth,Table1[[#This Row],[Site ID (from DATIM)]],"[Measures].[HVL_ELIG_P]")</f>
        <v/>
      </c>
      <c r="AT339" s="67" t="str" vm="7576">
        <f>CUBEVALUE(ConnectionString,ReportMonth,Table1[[#This Row],[Site ID (from DATIM)]],"[Measures].[HVL_D_P]")</f>
        <v/>
      </c>
      <c r="AU339" s="67" t="str" vm="6821">
        <f>CUBEVALUE(ConnectionString,ReportMonth,Table1[[#This Row],[Site ID (from DATIM)]],"[Measures].[HVL_N_P]")</f>
        <v/>
      </c>
      <c r="AV339" s="68" vm="11355">
        <f>CUBEVALUE(ConnectionString,ReportMonth,Table1[[#This Row],[Site ID (from DATIM)]],"[Measures].[HVL_ELIG_A]")</f>
        <v>10</v>
      </c>
      <c r="AW339" s="68" t="str" vm="6808">
        <f>CUBEVALUE(ConnectionString,ReportMonth,Table1[[#This Row],[Site ID (from DATIM)]],"[Measures].[HVL_D_A]")</f>
        <v/>
      </c>
      <c r="AX339" s="68" t="str" vm="11115">
        <f>CUBEVALUE(ConnectionString,ReportMonth,Table1[[#This Row],[Site ID (from DATIM)]],"[Measures].[HVL_N_A]")</f>
        <v/>
      </c>
      <c r="AY339" s="67"/>
      <c r="AZ339" s="67"/>
      <c r="BA339" s="67"/>
      <c r="BB339" s="67"/>
      <c r="BC339" s="67"/>
      <c r="BD339" s="67"/>
      <c r="BE339" s="67"/>
      <c r="BF339" s="67"/>
      <c r="BG339" s="67" t="str" vm="11907">
        <f>CUBEVALUE(ConnectionString,ReportMonth,Table1[[#This Row],[Site ID (from DATIM)]],"[Measures].[TX_NEW_F_A]")</f>
        <v/>
      </c>
      <c r="BH339" s="67" t="str" vm="12448">
        <f>CUBEVALUE(ConnectionString,ReportMonth,Table1[[#This Row],[Site ID (from DATIM)]],"[Measures].[TX_NEW_M_A]")</f>
        <v/>
      </c>
      <c r="BI339" s="67" t="str" vm="16556">
        <f>CUBEVALUE(ConnectionString,ReportMonth,Table1[[#This Row],[Site ID (from DATIM)]],"[Measures].[TX_NEW_F_P]")</f>
        <v/>
      </c>
      <c r="BJ339" s="68" t="str" vm="17055">
        <f>CUBEVALUE(ConnectionString,ReportMonth,Table1[[#This Row],[Site ID (from DATIM)]],"[Measures].[TX_NEW_M_P]")</f>
        <v/>
      </c>
      <c r="BK339" s="68"/>
      <c r="BL339" s="68"/>
      <c r="BM339" s="68"/>
      <c r="BN339" s="68"/>
      <c r="BO339" s="68"/>
      <c r="BP339" s="68"/>
      <c r="BQ339" s="68" t="str" vm="8455">
        <f>CUBEVALUE(ConnectionString,ReportMonth,Table1[[#This Row],[Site ID (from DATIM)]],"[Measures].[TX_CURR_F_P]")</f>
        <v/>
      </c>
      <c r="BR339" s="68" t="str" vm="13445">
        <f>CUBEVALUE(ConnectionString,ReportMonth,Table1[[#This Row],[Site ID (from DATIM)]],"[Measures].[TX_CURR_M_P]")</f>
        <v/>
      </c>
      <c r="BS339" s="68" vm="10974">
        <f>CUBEVALUE(ConnectionString,ReportMonth,Table1[[#This Row],[Site ID (from DATIM)]],"[Measures].[TX_CURR_F_A]")</f>
        <v>13</v>
      </c>
      <c r="BT339" s="68" t="str" vm="14168">
        <f>CUBEVALUE(ConnectionString,ReportMonth,Table1[[#This Row],[Site ID (from DATIM)]],"[Measures].[TX_CURR_M_A]")</f>
        <v/>
      </c>
      <c r="BU339" s="68" t="str" vm="19818">
        <f>CUBEVALUE(ConnectionString,ReportMonth,Table1[[#This Row],[Site ID (from DATIM)]],"[Measures].[MMS_01_89_F_P]")</f>
        <v/>
      </c>
      <c r="BV339" s="68" t="str" vm="19742">
        <f>CUBEVALUE(ConnectionString,ReportMonth,Table1[[#This Row],[Site ID (from DATIM)]],"[Measures].[MMS_01_89_M_P]")</f>
        <v/>
      </c>
      <c r="BW339" s="68" vm="19446">
        <f>CUBEVALUE(ConnectionString,ReportMonth,Table1[[#This Row],[Site ID (from DATIM)]],"[Measures].[MMS_01_89_F_A]")</f>
        <v>13</v>
      </c>
      <c r="BX339" s="68" t="str" vm="18860">
        <f>CUBEVALUE(ConnectionString,ReportMonth,Table1[[#This Row],[Site ID (from DATIM)]],"[Measures].[MMS_01_89_M_A]")</f>
        <v/>
      </c>
      <c r="BY339" s="68" t="str" vm="19614">
        <f>CUBEVALUE(ConnectionString,ReportMonth,Table1[[#This Row],[Site ID (from DATIM)]],"[Measures].[MMS_90_179_F_P]")</f>
        <v/>
      </c>
      <c r="BZ339" s="68" t="str" vm="18446">
        <f>CUBEVALUE(ConnectionString,ReportMonth,Table1[[#This Row],[Site ID (from DATIM)]],"[Measures].[MMS_90_179_M_P]")</f>
        <v/>
      </c>
      <c r="CA339" s="68" t="str" vm="15576">
        <f>CUBEVALUE(ConnectionString,ReportMonth,Table1[[#This Row],[Site ID (from DATIM)]],"[Measures].[MMS_90_179_F_A]")</f>
        <v/>
      </c>
      <c r="CB339" s="68" t="str" vm="16008">
        <f>CUBEVALUE(ConnectionString,ReportMonth,Table1[[#This Row],[Site ID (from DATIM)]],"[Measures].[MMS_90_179_M_A]")</f>
        <v/>
      </c>
      <c r="CC339" s="68" t="str" vm="16760">
        <f>CUBEVALUE(ConnectionString,ReportMonth,Table1[[#This Row],[Site ID (from DATIM)]],"[Measures].[MMS_180+_F_P]")</f>
        <v/>
      </c>
      <c r="CD339" s="68" t="str" vm="15816">
        <f>CUBEVALUE(ConnectionString,ReportMonth,Table1[[#This Row],[Site ID (from DATIM)]],"[Measures].[MMS_180+_M_P]")</f>
        <v/>
      </c>
      <c r="CE339" s="68" t="str" vm="14431">
        <f>CUBEVALUE(ConnectionString,ReportMonth,Table1[[#This Row],[Site ID (from DATIM)]],"[Measures].[MMS_180+_F_A]")</f>
        <v/>
      </c>
      <c r="CF339" s="68" t="str" vm="207">
        <f>CUBEVALUE(ConnectionString,ReportMonth,Table1[[#This Row],[Site ID (from DATIM)]],"[Measures].[MMS_180+_M_A]")</f>
        <v/>
      </c>
      <c r="CG339" s="68" vm="14344">
        <f>CUBEVALUE(ConnectionString,ReportMonth,Table1[[#This Row],[Site ID (from DATIM)]],"[Measures].[MISSEDAPP]")</f>
        <v>7</v>
      </c>
      <c r="CH339" s="68" t="str" vm="11416">
        <f>CUBEVALUE(ConnectionString,ReportMonth,Table1[[#This Row],[Site ID (from DATIM)]],"[Measures].[MMS_180+_P]")</f>
        <v/>
      </c>
      <c r="CI339" s="68" t="str" vm="12941">
        <f>CUBEVALUE(ConnectionString,ReportMonth,Table1[[#This Row],[Site ID (from DATIM)]],"[Measures].[MMS_180+_A]")</f>
        <v/>
      </c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  <c r="CW339" s="68"/>
      <c r="CX339" s="68"/>
      <c r="CY339" s="68"/>
      <c r="CZ339" s="68"/>
      <c r="DA339" s="68"/>
      <c r="DB339" s="68"/>
      <c r="DC339" s="68"/>
    </row>
    <row r="340" spans="1:107" x14ac:dyDescent="0.25">
      <c r="A340" s="66">
        <v>4</v>
      </c>
      <c r="B340" s="67" t="str" vm="4">
        <f t="shared" si="6"/>
        <v>Mar-2021</v>
      </c>
      <c r="C340" s="67"/>
      <c r="D340" s="67" t="s">
        <v>232</v>
      </c>
      <c r="E340" s="67" t="s">
        <v>233</v>
      </c>
      <c r="F340" s="67" t="s">
        <v>1083</v>
      </c>
      <c r="G340" s="67"/>
      <c r="H340" s="67" t="s">
        <v>1084</v>
      </c>
      <c r="I340" s="67" t="s">
        <v>1246</v>
      </c>
      <c r="J340" s="67" t="s">
        <v>1247</v>
      </c>
      <c r="K340" s="67" t="s">
        <v>1248</v>
      </c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 t="str" vm="1526">
        <f>CUBEVALUE(ConnectionString,ReportMonth,Table1[[#This Row],[Site ID (from DATIM)]],"TX_NEW_2VIS")</f>
        <v/>
      </c>
      <c r="AE340" s="67" t="str" vm="2751">
        <f>CUBEVALUE(ConnectionString,ReportMonth,Table1[[#This Row],[Site ID (from DATIM)]],INDEX(SDI_Measures,1))</f>
        <v/>
      </c>
      <c r="AF340" s="67" t="str" vm="2019">
        <f>CUBEVALUE(ConnectionString,ReportMonth,Table1[[#This Row],[Site ID (from DATIM)]],INDEX(SDI_Measures,2))</f>
        <v/>
      </c>
      <c r="AG340" s="67" t="str" vm="1855">
        <f>CUBEVALUE(ConnectionString,ReportMonth,Table1[[#This Row],[Site ID (from DATIM)]],INDEX(SDI_Measures,3))</f>
        <v/>
      </c>
      <c r="AH340" s="67" vm="513">
        <f>CUBEVALUE(ConnectionString,ReportMonth,Table1[[#This Row],[Site ID (from DATIM)]],"TX_CURR_PRIOR_MONTH")</f>
        <v>88</v>
      </c>
      <c r="AI340" s="67" vm="3900">
        <f>CUBEVALUE(ConnectionString,ReportMonth,Table1[[#This Row],[Site ID (from DATIM)]],"TX_CURR")</f>
        <v>86</v>
      </c>
      <c r="AJ340" s="67" t="str" vm="3161">
        <f>CUBEVALUE(ConnectionString,ReportMonth,Table1[[#This Row],[Site ID (from DATIM)]],"[Measures].[TI]")</f>
        <v/>
      </c>
      <c r="AK340" s="67" t="str" vm="4236">
        <f>CUBEVALUE(ConnectionString,ReportMonth,Table1[[#This Row],[Site ID (from DATIM)]],"[Measures].[TO]")</f>
        <v/>
      </c>
      <c r="AL340" s="67" t="str" vm="2672">
        <f>CUBEVALUE(ConnectionString,ReportMonth,Table1[[#This Row],[Site ID (from DATIM)]],"[Measures].[DIED]")</f>
        <v/>
      </c>
      <c r="AM340" s="67" vm="5204">
        <f>CUBEVALUE(ConnectionString,ReportMonth,Table1[[#This Row],[Site ID (from DATIM)]],"[Measures].[MMS_01_31]")</f>
        <v>68</v>
      </c>
      <c r="AN340" s="67" t="str" vm="4860">
        <f>CUBEVALUE(ConnectionString,ReportMonth,Table1[[#This Row],[Site ID (from DATIM)]],"[Measures].[MMS_32_62]")</f>
        <v/>
      </c>
      <c r="AO340" s="67" vm="6312">
        <f>CUBEVALUE(ConnectionString,ReportMonth,Table1[[#This Row],[Site ID (from DATIM)]],"[Measures].[MMS_63+]")</f>
        <v>18</v>
      </c>
      <c r="AP340" s="67" vm="6558">
        <f>CUBEVALUE(ConnectionString,ReportMonth,Table1[[#This Row],[Site ID (from DATIM)]],"[Measures].[TBPREV_D]")</f>
        <v>4</v>
      </c>
      <c r="AQ340" s="67" vm="6972">
        <f>CUBEVALUE(ConnectionString,ReportMonth,Table1[[#This Row],[Site ID (from DATIM)]],"[Measures].[TBPREV_N]")</f>
        <v>2</v>
      </c>
      <c r="AR340" s="67" t="str" vm="7543">
        <f>CUBEVALUE(ConnectionString,ReportMonth,Table1[[#This Row],[Site ID (from DATIM)]],"[Measures].[TBPREV_NEW]")</f>
        <v/>
      </c>
      <c r="AS340" s="67" vm="4942">
        <f>CUBEVALUE(ConnectionString,ReportMonth,Table1[[#This Row],[Site ID (from DATIM)]],"[Measures].[HVL_ELIG_P]")</f>
        <v>5</v>
      </c>
      <c r="AT340" s="67" t="str" vm="5180">
        <f>CUBEVALUE(ConnectionString,ReportMonth,Table1[[#This Row],[Site ID (from DATIM)]],"[Measures].[HVL_D_P]")</f>
        <v/>
      </c>
      <c r="AU340" s="67" t="str" vm="9853">
        <f>CUBEVALUE(ConnectionString,ReportMonth,Table1[[#This Row],[Site ID (from DATIM)]],"[Measures].[HVL_N_P]")</f>
        <v/>
      </c>
      <c r="AV340" s="68" vm="9735">
        <f>CUBEVALUE(ConnectionString,ReportMonth,Table1[[#This Row],[Site ID (from DATIM)]],"[Measures].[HVL_ELIG_A]")</f>
        <v>69</v>
      </c>
      <c r="AW340" s="68" vm="12670">
        <f>CUBEVALUE(ConnectionString,ReportMonth,Table1[[#This Row],[Site ID (from DATIM)]],"[Measures].[HVL_D_A]")</f>
        <v>8</v>
      </c>
      <c r="AX340" s="68" vm="12923">
        <f>CUBEVALUE(ConnectionString,ReportMonth,Table1[[#This Row],[Site ID (from DATIM)]],"[Measures].[HVL_N_A]")</f>
        <v>5</v>
      </c>
      <c r="AY340" s="67"/>
      <c r="AZ340" s="67"/>
      <c r="BA340" s="67"/>
      <c r="BB340" s="67"/>
      <c r="BC340" s="67"/>
      <c r="BD340" s="67"/>
      <c r="BE340" s="67"/>
      <c r="BF340" s="67"/>
      <c r="BG340" s="67" t="str" vm="11418">
        <f>CUBEVALUE(ConnectionString,ReportMonth,Table1[[#This Row],[Site ID (from DATIM)]],"[Measures].[TX_NEW_F_A]")</f>
        <v/>
      </c>
      <c r="BH340" s="67" t="str" vm="12757">
        <f>CUBEVALUE(ConnectionString,ReportMonth,Table1[[#This Row],[Site ID (from DATIM)]],"[Measures].[TX_NEW_M_A]")</f>
        <v/>
      </c>
      <c r="BI340" s="67" t="str" vm="15641">
        <f>CUBEVALUE(ConnectionString,ReportMonth,Table1[[#This Row],[Site ID (from DATIM)]],"[Measures].[TX_NEW_F_P]")</f>
        <v/>
      </c>
      <c r="BJ340" s="68" t="str" vm="12858">
        <f>CUBEVALUE(ConnectionString,ReportMonth,Table1[[#This Row],[Site ID (from DATIM)]],"[Measures].[TX_NEW_M_P]")</f>
        <v/>
      </c>
      <c r="BK340" s="68"/>
      <c r="BL340" s="68"/>
      <c r="BM340" s="68"/>
      <c r="BN340" s="68"/>
      <c r="BO340" s="68"/>
      <c r="BP340" s="68"/>
      <c r="BQ340" s="68" vm="8127">
        <f>CUBEVALUE(ConnectionString,ReportMonth,Table1[[#This Row],[Site ID (from DATIM)]],"[Measures].[TX_CURR_F_P]")</f>
        <v>3</v>
      </c>
      <c r="BR340" s="68" vm="12965">
        <f>CUBEVALUE(ConnectionString,ReportMonth,Table1[[#This Row],[Site ID (from DATIM)]],"[Measures].[TX_CURR_M_P]")</f>
        <v>3</v>
      </c>
      <c r="BS340" s="68" vm="9631">
        <f>CUBEVALUE(ConnectionString,ReportMonth,Table1[[#This Row],[Site ID (from DATIM)]],"[Measures].[TX_CURR_F_A]")</f>
        <v>59</v>
      </c>
      <c r="BT340" s="68" vm="12980">
        <f>CUBEVALUE(ConnectionString,ReportMonth,Table1[[#This Row],[Site ID (from DATIM)]],"[Measures].[TX_CURR_M_A]")</f>
        <v>21</v>
      </c>
      <c r="BU340" s="68" vm="18707">
        <f>CUBEVALUE(ConnectionString,ReportMonth,Table1[[#This Row],[Site ID (from DATIM)]],"[Measures].[MMS_01_89_F_P]")</f>
        <v>3</v>
      </c>
      <c r="BV340" s="68" vm="18679">
        <f>CUBEVALUE(ConnectionString,ReportMonth,Table1[[#This Row],[Site ID (from DATIM)]],"[Measures].[MMS_01_89_M_P]")</f>
        <v>3</v>
      </c>
      <c r="BW340" s="68" vm="19112">
        <f>CUBEVALUE(ConnectionString,ReportMonth,Table1[[#This Row],[Site ID (from DATIM)]],"[Measures].[MMS_01_89_F_A]")</f>
        <v>47</v>
      </c>
      <c r="BX340" s="68" vm="18231">
        <f>CUBEVALUE(ConnectionString,ReportMonth,Table1[[#This Row],[Site ID (from DATIM)]],"[Measures].[MMS_01_89_M_A]")</f>
        <v>16</v>
      </c>
      <c r="BY340" s="68" t="str" vm="19888">
        <f>CUBEVALUE(ConnectionString,ReportMonth,Table1[[#This Row],[Site ID (from DATIM)]],"[Measures].[MMS_90_179_F_P]")</f>
        <v/>
      </c>
      <c r="BZ340" s="68" t="str" vm="18171">
        <f>CUBEVALUE(ConnectionString,ReportMonth,Table1[[#This Row],[Site ID (from DATIM)]],"[Measures].[MMS_90_179_M_P]")</f>
        <v/>
      </c>
      <c r="CA340" s="68" vm="16862">
        <f>CUBEVALUE(ConnectionString,ReportMonth,Table1[[#This Row],[Site ID (from DATIM)]],"[Measures].[MMS_90_179_F_A]")</f>
        <v>12</v>
      </c>
      <c r="CB340" s="68" vm="17733">
        <f>CUBEVALUE(ConnectionString,ReportMonth,Table1[[#This Row],[Site ID (from DATIM)]],"[Measures].[MMS_90_179_M_A]")</f>
        <v>5</v>
      </c>
      <c r="CC340" s="68" t="str" vm="14631">
        <f>CUBEVALUE(ConnectionString,ReportMonth,Table1[[#This Row],[Site ID (from DATIM)]],"[Measures].[MMS_180+_F_P]")</f>
        <v/>
      </c>
      <c r="CD340" s="68" t="str" vm="15482">
        <f>CUBEVALUE(ConnectionString,ReportMonth,Table1[[#This Row],[Site ID (from DATIM)]],"[Measures].[MMS_180+_M_P]")</f>
        <v/>
      </c>
      <c r="CE340" s="68" t="str" vm="15448">
        <f>CUBEVALUE(ConnectionString,ReportMonth,Table1[[#This Row],[Site ID (from DATIM)]],"[Measures].[MMS_180+_F_A]")</f>
        <v/>
      </c>
      <c r="CF340" s="68" t="str" vm="20230">
        <f>CUBEVALUE(ConnectionString,ReportMonth,Table1[[#This Row],[Site ID (from DATIM)]],"[Measures].[MMS_180+_M_A]")</f>
        <v/>
      </c>
      <c r="CG340" s="68" vm="5547">
        <f>CUBEVALUE(ConnectionString,ReportMonth,Table1[[#This Row],[Site ID (from DATIM)]],"[Measures].[MISSEDAPP]")</f>
        <v>69</v>
      </c>
      <c r="CH340" s="68" t="str" vm="14388">
        <f>CUBEVALUE(ConnectionString,ReportMonth,Table1[[#This Row],[Site ID (from DATIM)]],"[Measures].[MMS_180+_P]")</f>
        <v/>
      </c>
      <c r="CI340" s="68" t="str" vm="12825">
        <f>CUBEVALUE(ConnectionString,ReportMonth,Table1[[#This Row],[Site ID (from DATIM)]],"[Measures].[MMS_180+_A]")</f>
        <v/>
      </c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  <c r="CW340" s="68"/>
      <c r="CX340" s="68"/>
      <c r="CY340" s="68"/>
      <c r="CZ340" s="68"/>
      <c r="DA340" s="68"/>
      <c r="DB340" s="68"/>
      <c r="DC340" s="68"/>
    </row>
    <row r="341" spans="1:107" x14ac:dyDescent="0.25">
      <c r="A341" s="66">
        <v>4</v>
      </c>
      <c r="B341" s="67" t="str" vm="4">
        <f t="shared" si="6"/>
        <v>Mar-2021</v>
      </c>
      <c r="C341" s="67"/>
      <c r="D341" s="67" t="s">
        <v>232</v>
      </c>
      <c r="E341" s="67" t="s">
        <v>233</v>
      </c>
      <c r="F341" s="67" t="s">
        <v>1286</v>
      </c>
      <c r="G341" s="67"/>
      <c r="H341" s="67" t="s">
        <v>1296</v>
      </c>
      <c r="I341" s="67" t="s">
        <v>1482</v>
      </c>
      <c r="J341" s="67" t="s">
        <v>1483</v>
      </c>
      <c r="K341" s="67" t="s">
        <v>1484</v>
      </c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 t="str" vm="3669">
        <f>CUBEVALUE(ConnectionString,ReportMonth,Table1[[#This Row],[Site ID (from DATIM)]],"TX_NEW_2VIS")</f>
        <v/>
      </c>
      <c r="AE341" s="67" t="str" vm="354">
        <f>CUBEVALUE(ConnectionString,ReportMonth,Table1[[#This Row],[Site ID (from DATIM)]],INDEX(SDI_Measures,1))</f>
        <v/>
      </c>
      <c r="AF341" s="67" t="str" vm="395">
        <f>CUBEVALUE(ConnectionString,ReportMonth,Table1[[#This Row],[Site ID (from DATIM)]],INDEX(SDI_Measures,2))</f>
        <v/>
      </c>
      <c r="AG341" s="67" t="str" vm="3886">
        <f>CUBEVALUE(ConnectionString,ReportMonth,Table1[[#This Row],[Site ID (from DATIM)]],INDEX(SDI_Measures,3))</f>
        <v/>
      </c>
      <c r="AH341" s="67" t="str" vm="618">
        <f>CUBEVALUE(ConnectionString,ReportMonth,Table1[[#This Row],[Site ID (from DATIM)]],"TX_CURR_PRIOR_MONTH")</f>
        <v/>
      </c>
      <c r="AI341" s="67" t="str" vm="2639">
        <f>CUBEVALUE(ConnectionString,ReportMonth,Table1[[#This Row],[Site ID (from DATIM)]],"TX_CURR")</f>
        <v/>
      </c>
      <c r="AJ341" s="67" t="str" vm="3990">
        <f>CUBEVALUE(ConnectionString,ReportMonth,Table1[[#This Row],[Site ID (from DATIM)]],"[Measures].[TI]")</f>
        <v/>
      </c>
      <c r="AK341" s="67" t="str" vm="3407">
        <f>CUBEVALUE(ConnectionString,ReportMonth,Table1[[#This Row],[Site ID (from DATIM)]],"[Measures].[TO]")</f>
        <v/>
      </c>
      <c r="AL341" s="67" t="str" vm="1417">
        <f>CUBEVALUE(ConnectionString,ReportMonth,Table1[[#This Row],[Site ID (from DATIM)]],"[Measures].[DIED]")</f>
        <v/>
      </c>
      <c r="AM341" s="67" t="str" vm="4501">
        <f>CUBEVALUE(ConnectionString,ReportMonth,Table1[[#This Row],[Site ID (from DATIM)]],"[Measures].[MMS_01_31]")</f>
        <v/>
      </c>
      <c r="AN341" s="67" t="str" vm="5144">
        <f>CUBEVALUE(ConnectionString,ReportMonth,Table1[[#This Row],[Site ID (from DATIM)]],"[Measures].[MMS_32_62]")</f>
        <v/>
      </c>
      <c r="AO341" s="67" t="str" vm="8733">
        <f>CUBEVALUE(ConnectionString,ReportMonth,Table1[[#This Row],[Site ID (from DATIM)]],"[Measures].[MMS_63+]")</f>
        <v/>
      </c>
      <c r="AP341" s="67" t="str" vm="6866">
        <f>CUBEVALUE(ConnectionString,ReportMonth,Table1[[#This Row],[Site ID (from DATIM)]],"[Measures].[TBPREV_D]")</f>
        <v/>
      </c>
      <c r="AQ341" s="67" t="str" vm="5689">
        <f>CUBEVALUE(ConnectionString,ReportMonth,Table1[[#This Row],[Site ID (from DATIM)]],"[Measures].[TBPREV_N]")</f>
        <v/>
      </c>
      <c r="AR341" s="67" t="str" vm="7876">
        <f>CUBEVALUE(ConnectionString,ReportMonth,Table1[[#This Row],[Site ID (from DATIM)]],"[Measures].[TBPREV_NEW]")</f>
        <v/>
      </c>
      <c r="AS341" s="67" t="str" vm="9000">
        <f>CUBEVALUE(ConnectionString,ReportMonth,Table1[[#This Row],[Site ID (from DATIM)]],"[Measures].[HVL_ELIG_P]")</f>
        <v/>
      </c>
      <c r="AT341" s="67" t="str" vm="4676">
        <f>CUBEVALUE(ConnectionString,ReportMonth,Table1[[#This Row],[Site ID (from DATIM)]],"[Measures].[HVL_D_P]")</f>
        <v/>
      </c>
      <c r="AU341" s="67" t="str" vm="8932">
        <f>CUBEVALUE(ConnectionString,ReportMonth,Table1[[#This Row],[Site ID (from DATIM)]],"[Measures].[HVL_N_P]")</f>
        <v/>
      </c>
      <c r="AV341" s="68" t="str" vm="13620">
        <f>CUBEVALUE(ConnectionString,ReportMonth,Table1[[#This Row],[Site ID (from DATIM)]],"[Measures].[HVL_ELIG_A]")</f>
        <v/>
      </c>
      <c r="AW341" s="68" t="str" vm="9847">
        <f>CUBEVALUE(ConnectionString,ReportMonth,Table1[[#This Row],[Site ID (from DATIM)]],"[Measures].[HVL_D_A]")</f>
        <v/>
      </c>
      <c r="AX341" s="68" t="str" vm="9628">
        <f>CUBEVALUE(ConnectionString,ReportMonth,Table1[[#This Row],[Site ID (from DATIM)]],"[Measures].[HVL_N_A]")</f>
        <v/>
      </c>
      <c r="AY341" s="67"/>
      <c r="AZ341" s="67"/>
      <c r="BA341" s="67"/>
      <c r="BB341" s="67"/>
      <c r="BC341" s="67"/>
      <c r="BD341" s="67"/>
      <c r="BE341" s="67"/>
      <c r="BF341" s="67"/>
      <c r="BG341" s="67" t="str" vm="13000">
        <f>CUBEVALUE(ConnectionString,ReportMonth,Table1[[#This Row],[Site ID (from DATIM)]],"[Measures].[TX_NEW_F_A]")</f>
        <v/>
      </c>
      <c r="BH341" s="67" t="str" vm="12446">
        <f>CUBEVALUE(ConnectionString,ReportMonth,Table1[[#This Row],[Site ID (from DATIM)]],"[Measures].[TX_NEW_M_A]")</f>
        <v/>
      </c>
      <c r="BI341" s="67" t="str" vm="14345">
        <f>CUBEVALUE(ConnectionString,ReportMonth,Table1[[#This Row],[Site ID (from DATIM)]],"[Measures].[TX_NEW_F_P]")</f>
        <v/>
      </c>
      <c r="BJ341" s="68" t="str" vm="14366">
        <f>CUBEVALUE(ConnectionString,ReportMonth,Table1[[#This Row],[Site ID (from DATIM)]],"[Measures].[TX_NEW_M_P]")</f>
        <v/>
      </c>
      <c r="BK341" s="68"/>
      <c r="BL341" s="68"/>
      <c r="BM341" s="68"/>
      <c r="BN341" s="68"/>
      <c r="BO341" s="68"/>
      <c r="BP341" s="68"/>
      <c r="BQ341" s="68" t="str" vm="8325">
        <f>CUBEVALUE(ConnectionString,ReportMonth,Table1[[#This Row],[Site ID (from DATIM)]],"[Measures].[TX_CURR_F_P]")</f>
        <v/>
      </c>
      <c r="BR341" s="68" t="str" vm="8737">
        <f>CUBEVALUE(ConnectionString,ReportMonth,Table1[[#This Row],[Site ID (from DATIM)]],"[Measures].[TX_CURR_M_P]")</f>
        <v/>
      </c>
      <c r="BS341" s="68" t="str" vm="12407">
        <f>CUBEVALUE(ConnectionString,ReportMonth,Table1[[#This Row],[Site ID (from DATIM)]],"[Measures].[TX_CURR_F_A]")</f>
        <v/>
      </c>
      <c r="BT341" s="68" t="str" vm="10844">
        <f>CUBEVALUE(ConnectionString,ReportMonth,Table1[[#This Row],[Site ID (from DATIM)]],"[Measures].[TX_CURR_M_A]")</f>
        <v/>
      </c>
      <c r="BU341" s="68" t="str" vm="18722">
        <f>CUBEVALUE(ConnectionString,ReportMonth,Table1[[#This Row],[Site ID (from DATIM)]],"[Measures].[MMS_01_89_F_P]")</f>
        <v/>
      </c>
      <c r="BV341" s="68" t="str" vm="18678">
        <f>CUBEVALUE(ConnectionString,ReportMonth,Table1[[#This Row],[Site ID (from DATIM)]],"[Measures].[MMS_01_89_M_P]")</f>
        <v/>
      </c>
      <c r="BW341" s="68" t="str" vm="16515">
        <f>CUBEVALUE(ConnectionString,ReportMonth,Table1[[#This Row],[Site ID (from DATIM)]],"[Measures].[MMS_01_89_F_A]")</f>
        <v/>
      </c>
      <c r="BX341" s="68" t="str" vm="19417">
        <f>CUBEVALUE(ConnectionString,ReportMonth,Table1[[#This Row],[Site ID (from DATIM)]],"[Measures].[MMS_01_89_M_A]")</f>
        <v/>
      </c>
      <c r="BY341" s="68" t="str" vm="16034">
        <f>CUBEVALUE(ConnectionString,ReportMonth,Table1[[#This Row],[Site ID (from DATIM)]],"[Measures].[MMS_90_179_F_P]")</f>
        <v/>
      </c>
      <c r="BZ341" s="68" t="str" vm="16026">
        <f>CUBEVALUE(ConnectionString,ReportMonth,Table1[[#This Row],[Site ID (from DATIM)]],"[Measures].[MMS_90_179_M_P]")</f>
        <v/>
      </c>
      <c r="CA341" s="68" t="str" vm="15180">
        <f>CUBEVALUE(ConnectionString,ReportMonth,Table1[[#This Row],[Site ID (from DATIM)]],"[Measures].[MMS_90_179_F_A]")</f>
        <v/>
      </c>
      <c r="CB341" s="68" t="str" vm="15107">
        <f>CUBEVALUE(ConnectionString,ReportMonth,Table1[[#This Row],[Site ID (from DATIM)]],"[Measures].[MMS_90_179_M_A]")</f>
        <v/>
      </c>
      <c r="CC341" s="68" t="str" vm="14969">
        <f>CUBEVALUE(ConnectionString,ReportMonth,Table1[[#This Row],[Site ID (from DATIM)]],"[Measures].[MMS_180+_F_P]")</f>
        <v/>
      </c>
      <c r="CD341" s="68" t="str" vm="15763">
        <f>CUBEVALUE(ConnectionString,ReportMonth,Table1[[#This Row],[Site ID (from DATIM)]],"[Measures].[MMS_180+_M_P]")</f>
        <v/>
      </c>
      <c r="CE341" s="68" t="str" vm="16638">
        <f>CUBEVALUE(ConnectionString,ReportMonth,Table1[[#This Row],[Site ID (from DATIM)]],"[Measures].[MMS_180+_F_A]")</f>
        <v/>
      </c>
      <c r="CF341" s="68" t="str" vm="14887">
        <f>CUBEVALUE(ConnectionString,ReportMonth,Table1[[#This Row],[Site ID (from DATIM)]],"[Measures].[MMS_180+_M_A]")</f>
        <v/>
      </c>
      <c r="CG341" s="68" t="str" vm="11528">
        <f>CUBEVALUE(ConnectionString,ReportMonth,Table1[[#This Row],[Site ID (from DATIM)]],"[Measures].[MISSEDAPP]")</f>
        <v/>
      </c>
      <c r="CH341" s="68" t="str" vm="11408">
        <f>CUBEVALUE(ConnectionString,ReportMonth,Table1[[#This Row],[Site ID (from DATIM)]],"[Measures].[MMS_180+_P]")</f>
        <v/>
      </c>
      <c r="CI341" s="68" t="str" vm="10397">
        <f>CUBEVALUE(ConnectionString,ReportMonth,Table1[[#This Row],[Site ID (from DATIM)]],"[Measures].[MMS_180+_A]")</f>
        <v/>
      </c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  <c r="CW341" s="68"/>
      <c r="CX341" s="68"/>
      <c r="CY341" s="68"/>
      <c r="CZ341" s="68"/>
      <c r="DA341" s="68"/>
      <c r="DB341" s="68"/>
      <c r="DC341" s="68"/>
    </row>
    <row r="342" spans="1:107" x14ac:dyDescent="0.25">
      <c r="A342" s="66">
        <v>2</v>
      </c>
      <c r="B342" s="67" t="str" vm="4">
        <f t="shared" si="6"/>
        <v>Mar-2021</v>
      </c>
      <c r="C342" s="67"/>
      <c r="D342" s="67" t="s">
        <v>232</v>
      </c>
      <c r="E342" s="67" t="s">
        <v>233</v>
      </c>
      <c r="F342" s="67" t="s">
        <v>831</v>
      </c>
      <c r="G342" s="67"/>
      <c r="H342" s="67" t="s">
        <v>840</v>
      </c>
      <c r="I342" s="67" t="s">
        <v>1003</v>
      </c>
      <c r="J342" s="67" t="s">
        <v>1004</v>
      </c>
      <c r="K342" s="67" t="s">
        <v>1005</v>
      </c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 t="str" vm="2305">
        <f>CUBEVALUE(ConnectionString,ReportMonth,Table1[[#This Row],[Site ID (from DATIM)]],"TX_NEW_2VIS")</f>
        <v/>
      </c>
      <c r="AE342" s="67" vm="1821">
        <f>CUBEVALUE(ConnectionString,ReportMonth,Table1[[#This Row],[Site ID (from DATIM)]],INDEX(SDI_Measures,1))</f>
        <v>1</v>
      </c>
      <c r="AF342" s="67" t="str" vm="227">
        <f>CUBEVALUE(ConnectionString,ReportMonth,Table1[[#This Row],[Site ID (from DATIM)]],INDEX(SDI_Measures,2))</f>
        <v/>
      </c>
      <c r="AG342" s="67" t="str" vm="4542">
        <f>CUBEVALUE(ConnectionString,ReportMonth,Table1[[#This Row],[Site ID (from DATIM)]],INDEX(SDI_Measures,3))</f>
        <v/>
      </c>
      <c r="AH342" s="67" vm="3062">
        <f>CUBEVALUE(ConnectionString,ReportMonth,Table1[[#This Row],[Site ID (from DATIM)]],"TX_CURR_PRIOR_MONTH")</f>
        <v>716</v>
      </c>
      <c r="AI342" s="67" vm="9160">
        <f>CUBEVALUE(ConnectionString,ReportMonth,Table1[[#This Row],[Site ID (from DATIM)]],"TX_CURR")</f>
        <v>642</v>
      </c>
      <c r="AJ342" s="67" t="str" vm="3372">
        <f>CUBEVALUE(ConnectionString,ReportMonth,Table1[[#This Row],[Site ID (from DATIM)]],"[Measures].[TI]")</f>
        <v/>
      </c>
      <c r="AK342" s="67" t="str" vm="1793">
        <f>CUBEVALUE(ConnectionString,ReportMonth,Table1[[#This Row],[Site ID (from DATIM)]],"[Measures].[TO]")</f>
        <v/>
      </c>
      <c r="AL342" s="67" t="str" vm="4490">
        <f>CUBEVALUE(ConnectionString,ReportMonth,Table1[[#This Row],[Site ID (from DATIM)]],"[Measures].[DIED]")</f>
        <v/>
      </c>
      <c r="AM342" s="67" vm="4023">
        <f>CUBEVALUE(ConnectionString,ReportMonth,Table1[[#This Row],[Site ID (from DATIM)]],"[Measures].[MMS_01_31]")</f>
        <v>91</v>
      </c>
      <c r="AN342" s="67" vm="5619">
        <f>CUBEVALUE(ConnectionString,ReportMonth,Table1[[#This Row],[Site ID (from DATIM)]],"[Measures].[MMS_32_62]")</f>
        <v>19</v>
      </c>
      <c r="AO342" s="67" vm="5824">
        <f>CUBEVALUE(ConnectionString,ReportMonth,Table1[[#This Row],[Site ID (from DATIM)]],"[Measures].[MMS_63+]")</f>
        <v>532</v>
      </c>
      <c r="AP342" s="67" vm="6428">
        <f>CUBEVALUE(ConnectionString,ReportMonth,Table1[[#This Row],[Site ID (from DATIM)]],"[Measures].[TBPREV_D]")</f>
        <v>13</v>
      </c>
      <c r="AQ342" s="67" vm="5570">
        <f>CUBEVALUE(ConnectionString,ReportMonth,Table1[[#This Row],[Site ID (from DATIM)]],"[Measures].[TBPREV_N]")</f>
        <v>8</v>
      </c>
      <c r="AR342" s="67" t="str" vm="6903">
        <f>CUBEVALUE(ConnectionString,ReportMonth,Table1[[#This Row],[Site ID (from DATIM)]],"[Measures].[TBPREV_NEW]")</f>
        <v/>
      </c>
      <c r="AS342" s="67" vm="6761">
        <f>CUBEVALUE(ConnectionString,ReportMonth,Table1[[#This Row],[Site ID (from DATIM)]],"[Measures].[HVL_ELIG_P]")</f>
        <v>24</v>
      </c>
      <c r="AT342" s="67" vm="13644">
        <f>CUBEVALUE(ConnectionString,ReportMonth,Table1[[#This Row],[Site ID (from DATIM)]],"[Measures].[HVL_D_P]")</f>
        <v>24</v>
      </c>
      <c r="AU342" s="67" vm="12245">
        <f>CUBEVALUE(ConnectionString,ReportMonth,Table1[[#This Row],[Site ID (from DATIM)]],"[Measures].[HVL_N_P]")</f>
        <v>21</v>
      </c>
      <c r="AV342" s="68" vm="11147">
        <f>CUBEVALUE(ConnectionString,ReportMonth,Table1[[#This Row],[Site ID (from DATIM)]],"[Measures].[HVL_ELIG_A]")</f>
        <v>587</v>
      </c>
      <c r="AW342" s="68" vm="10751">
        <f>CUBEVALUE(ConnectionString,ReportMonth,Table1[[#This Row],[Site ID (from DATIM)]],"[Measures].[HVL_D_A]")</f>
        <v>463</v>
      </c>
      <c r="AX342" s="68" vm="10476">
        <f>CUBEVALUE(ConnectionString,ReportMonth,Table1[[#This Row],[Site ID (from DATIM)]],"[Measures].[HVL_N_A]")</f>
        <v>443</v>
      </c>
      <c r="AY342" s="67"/>
      <c r="AZ342" s="67"/>
      <c r="BA342" s="67"/>
      <c r="BB342" s="67"/>
      <c r="BC342" s="67"/>
      <c r="BD342" s="67"/>
      <c r="BE342" s="67"/>
      <c r="BF342" s="67"/>
      <c r="BG342" s="67" t="str" vm="14182">
        <f>CUBEVALUE(ConnectionString,ReportMonth,Table1[[#This Row],[Site ID (from DATIM)]],"[Measures].[TX_NEW_F_A]")</f>
        <v/>
      </c>
      <c r="BH342" s="67" vm="12560">
        <f>CUBEVALUE(ConnectionString,ReportMonth,Table1[[#This Row],[Site ID (from DATIM)]],"[Measures].[TX_NEW_M_A]")</f>
        <v>1</v>
      </c>
      <c r="BI342" s="67" t="str" vm="13126">
        <f>CUBEVALUE(ConnectionString,ReportMonth,Table1[[#This Row],[Site ID (from DATIM)]],"[Measures].[TX_NEW_F_P]")</f>
        <v/>
      </c>
      <c r="BJ342" s="68" t="str" vm="17430">
        <f>CUBEVALUE(ConnectionString,ReportMonth,Table1[[#This Row],[Site ID (from DATIM)]],"[Measures].[TX_NEW_M_P]")</f>
        <v/>
      </c>
      <c r="BK342" s="68"/>
      <c r="BL342" s="68"/>
      <c r="BM342" s="68"/>
      <c r="BN342" s="68"/>
      <c r="BO342" s="68"/>
      <c r="BP342" s="68"/>
      <c r="BQ342" s="68" vm="8710">
        <f>CUBEVALUE(ConnectionString,ReportMonth,Table1[[#This Row],[Site ID (from DATIM)]],"[Measures].[TX_CURR_F_P]")</f>
        <v>13</v>
      </c>
      <c r="BR342" s="68" vm="10342">
        <f>CUBEVALUE(ConnectionString,ReportMonth,Table1[[#This Row],[Site ID (from DATIM)]],"[Measures].[TX_CURR_M_P]")</f>
        <v>13</v>
      </c>
      <c r="BS342" s="68" vm="10589">
        <f>CUBEVALUE(ConnectionString,ReportMonth,Table1[[#This Row],[Site ID (from DATIM)]],"[Measures].[TX_CURR_F_A]")</f>
        <v>459</v>
      </c>
      <c r="BT342" s="68" vm="8855">
        <f>CUBEVALUE(ConnectionString,ReportMonth,Table1[[#This Row],[Site ID (from DATIM)]],"[Measures].[TX_CURR_M_A]")</f>
        <v>157</v>
      </c>
      <c r="BU342" s="68" vm="20056">
        <f>CUBEVALUE(ConnectionString,ReportMonth,Table1[[#This Row],[Site ID (from DATIM)]],"[Measures].[MMS_01_89_F_P]")</f>
        <v>4</v>
      </c>
      <c r="BV342" s="68" vm="18744">
        <f>CUBEVALUE(ConnectionString,ReportMonth,Table1[[#This Row],[Site ID (from DATIM)]],"[Measures].[MMS_01_89_M_P]")</f>
        <v>6</v>
      </c>
      <c r="BW342" s="68" vm="19702">
        <f>CUBEVALUE(ConnectionString,ReportMonth,Table1[[#This Row],[Site ID (from DATIM)]],"[Measures].[MMS_01_89_F_A]")</f>
        <v>77</v>
      </c>
      <c r="BX342" s="68" vm="19359">
        <f>CUBEVALUE(ConnectionString,ReportMonth,Table1[[#This Row],[Site ID (from DATIM)]],"[Measures].[MMS_01_89_M_A]")</f>
        <v>29</v>
      </c>
      <c r="BY342" s="68" vm="19105">
        <f>CUBEVALUE(ConnectionString,ReportMonth,Table1[[#This Row],[Site ID (from DATIM)]],"[Measures].[MMS_90_179_F_P]")</f>
        <v>9</v>
      </c>
      <c r="BZ342" s="68" vm="14788">
        <f>CUBEVALUE(ConnectionString,ReportMonth,Table1[[#This Row],[Site ID (from DATIM)]],"[Measures].[MMS_90_179_M_P]")</f>
        <v>7</v>
      </c>
      <c r="CA342" s="68" vm="17737">
        <f>CUBEVALUE(ConnectionString,ReportMonth,Table1[[#This Row],[Site ID (from DATIM)]],"[Measures].[MMS_90_179_F_A]")</f>
        <v>382</v>
      </c>
      <c r="CB342" s="68" vm="15066">
        <f>CUBEVALUE(ConnectionString,ReportMonth,Table1[[#This Row],[Site ID (from DATIM)]],"[Measures].[MMS_90_179_M_A]")</f>
        <v>128</v>
      </c>
      <c r="CC342" s="68" t="str" vm="15958">
        <f>CUBEVALUE(ConnectionString,ReportMonth,Table1[[#This Row],[Site ID (from DATIM)]],"[Measures].[MMS_180+_F_P]")</f>
        <v/>
      </c>
      <c r="CD342" s="68" t="str" vm="137">
        <f>CUBEVALUE(ConnectionString,ReportMonth,Table1[[#This Row],[Site ID (from DATIM)]],"[Measures].[MMS_180+_M_P]")</f>
        <v/>
      </c>
      <c r="CE342" s="68" t="str" vm="15343">
        <f>CUBEVALUE(ConnectionString,ReportMonth,Table1[[#This Row],[Site ID (from DATIM)]],"[Measures].[MMS_180+_F_A]")</f>
        <v/>
      </c>
      <c r="CF342" s="68" t="str" vm="17105">
        <f>CUBEVALUE(ConnectionString,ReportMonth,Table1[[#This Row],[Site ID (from DATIM)]],"[Measures].[MMS_180+_M_A]")</f>
        <v/>
      </c>
      <c r="CG342" s="68" vm="7438">
        <f>CUBEVALUE(ConnectionString,ReportMonth,Table1[[#This Row],[Site ID (from DATIM)]],"[Measures].[MISSEDAPP]")</f>
        <v>163</v>
      </c>
      <c r="CH342" s="68" t="str" vm="10902">
        <f>CUBEVALUE(ConnectionString,ReportMonth,Table1[[#This Row],[Site ID (from DATIM)]],"[Measures].[MMS_180+_P]")</f>
        <v/>
      </c>
      <c r="CI342" s="68" t="str" vm="11713">
        <f>CUBEVALUE(ConnectionString,ReportMonth,Table1[[#This Row],[Site ID (from DATIM)]],"[Measures].[MMS_180+_A]")</f>
        <v/>
      </c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  <c r="CW342" s="68"/>
      <c r="CX342" s="68"/>
      <c r="CY342" s="68"/>
      <c r="CZ342" s="68"/>
      <c r="DA342" s="68"/>
      <c r="DB342" s="68"/>
      <c r="DC342" s="68"/>
    </row>
    <row r="343" spans="1:107" x14ac:dyDescent="0.25">
      <c r="A343" s="66">
        <v>4</v>
      </c>
      <c r="B343" s="67" t="str" vm="4">
        <f t="shared" si="6"/>
        <v>Mar-2021</v>
      </c>
      <c r="C343" s="67"/>
      <c r="D343" s="67" t="s">
        <v>232</v>
      </c>
      <c r="E343" s="67" t="s">
        <v>233</v>
      </c>
      <c r="F343" s="67" t="s">
        <v>234</v>
      </c>
      <c r="G343" s="67"/>
      <c r="H343" s="67" t="s">
        <v>270</v>
      </c>
      <c r="I343" s="67" t="s">
        <v>380</v>
      </c>
      <c r="J343" s="67" t="s">
        <v>381</v>
      </c>
      <c r="K343" s="67" t="s">
        <v>382</v>
      </c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 t="str" vm="2526">
        <f>CUBEVALUE(ConnectionString,ReportMonth,Table1[[#This Row],[Site ID (from DATIM)]],"TX_NEW_2VIS")</f>
        <v/>
      </c>
      <c r="AE343" s="67" t="str" vm="1440">
        <f>CUBEVALUE(ConnectionString,ReportMonth,Table1[[#This Row],[Site ID (from DATIM)]],INDEX(SDI_Measures,1))</f>
        <v/>
      </c>
      <c r="AF343" s="67" t="str" vm="15720">
        <f>CUBEVALUE(ConnectionString,ReportMonth,Table1[[#This Row],[Site ID (from DATIM)]],INDEX(SDI_Measures,2))</f>
        <v/>
      </c>
      <c r="AG343" s="67" t="str" vm="1502">
        <f>CUBEVALUE(ConnectionString,ReportMonth,Table1[[#This Row],[Site ID (from DATIM)]],INDEX(SDI_Measures,3))</f>
        <v/>
      </c>
      <c r="AH343" s="67" vm="4526">
        <f>CUBEVALUE(ConnectionString,ReportMonth,Table1[[#This Row],[Site ID (from DATIM)]],"TX_CURR_PRIOR_MONTH")</f>
        <v>136</v>
      </c>
      <c r="AI343" s="67" vm="3525">
        <f>CUBEVALUE(ConnectionString,ReportMonth,Table1[[#This Row],[Site ID (from DATIM)]],"TX_CURR")</f>
        <v>133</v>
      </c>
      <c r="AJ343" s="67" t="str" vm="568">
        <f>CUBEVALUE(ConnectionString,ReportMonth,Table1[[#This Row],[Site ID (from DATIM)]],"[Measures].[TI]")</f>
        <v/>
      </c>
      <c r="AK343" s="67" t="str" vm="1537">
        <f>CUBEVALUE(ConnectionString,ReportMonth,Table1[[#This Row],[Site ID (from DATIM)]],"[Measures].[TO]")</f>
        <v/>
      </c>
      <c r="AL343" s="67" t="str" vm="2415">
        <f>CUBEVALUE(ConnectionString,ReportMonth,Table1[[#This Row],[Site ID (from DATIM)]],"[Measures].[DIED]")</f>
        <v/>
      </c>
      <c r="AM343" s="67" vm="4959">
        <f>CUBEVALUE(ConnectionString,ReportMonth,Table1[[#This Row],[Site ID (from DATIM)]],"[Measures].[MMS_01_31]")</f>
        <v>46</v>
      </c>
      <c r="AN343" s="67" vm="5250">
        <f>CUBEVALUE(ConnectionString,ReportMonth,Table1[[#This Row],[Site ID (from DATIM)]],"[Measures].[MMS_32_62]")</f>
        <v>2</v>
      </c>
      <c r="AO343" s="67" vm="6788">
        <f>CUBEVALUE(ConnectionString,ReportMonth,Table1[[#This Row],[Site ID (from DATIM)]],"[Measures].[MMS_63+]")</f>
        <v>85</v>
      </c>
      <c r="AP343" s="67" vm="5988">
        <f>CUBEVALUE(ConnectionString,ReportMonth,Table1[[#This Row],[Site ID (from DATIM)]],"[Measures].[TBPREV_D]")</f>
        <v>7</v>
      </c>
      <c r="AQ343" s="67" vm="5353">
        <f>CUBEVALUE(ConnectionString,ReportMonth,Table1[[#This Row],[Site ID (from DATIM)]],"[Measures].[TBPREV_N]")</f>
        <v>3</v>
      </c>
      <c r="AR343" s="67" t="str" vm="4624">
        <f>CUBEVALUE(ConnectionString,ReportMonth,Table1[[#This Row],[Site ID (from DATIM)]],"[Measures].[TBPREV_NEW]")</f>
        <v/>
      </c>
      <c r="AS343" s="67" vm="7142">
        <f>CUBEVALUE(ConnectionString,ReportMonth,Table1[[#This Row],[Site ID (from DATIM)]],"[Measures].[HVL_ELIG_P]")</f>
        <v>7</v>
      </c>
      <c r="AT343" s="67" vm="14143">
        <f>CUBEVALUE(ConnectionString,ReportMonth,Table1[[#This Row],[Site ID (from DATIM)]],"[Measures].[HVL_D_P]")</f>
        <v>2</v>
      </c>
      <c r="AU343" s="67" vm="8670">
        <f>CUBEVALUE(ConnectionString,ReportMonth,Table1[[#This Row],[Site ID (from DATIM)]],"[Measures].[HVL_N_P]")</f>
        <v>1</v>
      </c>
      <c r="AV343" s="68" vm="8090">
        <f>CUBEVALUE(ConnectionString,ReportMonth,Table1[[#This Row],[Site ID (from DATIM)]],"[Measures].[HVL_ELIG_A]")</f>
        <v>109</v>
      </c>
      <c r="AW343" s="68" vm="10062">
        <f>CUBEVALUE(ConnectionString,ReportMonth,Table1[[#This Row],[Site ID (from DATIM)]],"[Measures].[HVL_D_A]")</f>
        <v>53</v>
      </c>
      <c r="AX343" s="68" vm="9786">
        <f>CUBEVALUE(ConnectionString,ReportMonth,Table1[[#This Row],[Site ID (from DATIM)]],"[Measures].[HVL_N_A]")</f>
        <v>44</v>
      </c>
      <c r="AY343" s="67"/>
      <c r="AZ343" s="67"/>
      <c r="BA343" s="67"/>
      <c r="BB343" s="67"/>
      <c r="BC343" s="67"/>
      <c r="BD343" s="67"/>
      <c r="BE343" s="67"/>
      <c r="BF343" s="67"/>
      <c r="BG343" s="67" t="str" vm="12052">
        <f>CUBEVALUE(ConnectionString,ReportMonth,Table1[[#This Row],[Site ID (from DATIM)]],"[Measures].[TX_NEW_F_A]")</f>
        <v/>
      </c>
      <c r="BH343" s="67" t="str" vm="14319">
        <f>CUBEVALUE(ConnectionString,ReportMonth,Table1[[#This Row],[Site ID (from DATIM)]],"[Measures].[TX_NEW_M_A]")</f>
        <v/>
      </c>
      <c r="BI343" s="67" t="str" vm="16613">
        <f>CUBEVALUE(ConnectionString,ReportMonth,Table1[[#This Row],[Site ID (from DATIM)]],"[Measures].[TX_NEW_F_P]")</f>
        <v/>
      </c>
      <c r="BJ343" s="68" t="str" vm="17008">
        <f>CUBEVALUE(ConnectionString,ReportMonth,Table1[[#This Row],[Site ID (from DATIM)]],"[Measures].[TX_NEW_M_P]")</f>
        <v/>
      </c>
      <c r="BK343" s="68"/>
      <c r="BL343" s="68"/>
      <c r="BM343" s="68"/>
      <c r="BN343" s="68"/>
      <c r="BO343" s="68"/>
      <c r="BP343" s="68"/>
      <c r="BQ343" s="68" vm="6385">
        <f>CUBEVALUE(ConnectionString,ReportMonth,Table1[[#This Row],[Site ID (from DATIM)]],"[Measures].[TX_CURR_F_P]")</f>
        <v>3</v>
      </c>
      <c r="BR343" s="68" vm="10499">
        <f>CUBEVALUE(ConnectionString,ReportMonth,Table1[[#This Row],[Site ID (from DATIM)]],"[Measures].[TX_CURR_M_P]")</f>
        <v>5</v>
      </c>
      <c r="BS343" s="68" vm="13875">
        <f>CUBEVALUE(ConnectionString,ReportMonth,Table1[[#This Row],[Site ID (from DATIM)]],"[Measures].[TX_CURR_F_A]")</f>
        <v>95</v>
      </c>
      <c r="BT343" s="68" vm="9663">
        <f>CUBEVALUE(ConnectionString,ReportMonth,Table1[[#This Row],[Site ID (from DATIM)]],"[Measures].[TX_CURR_M_A]")</f>
        <v>30</v>
      </c>
      <c r="BU343" s="68" vm="20147">
        <f>CUBEVALUE(ConnectionString,ReportMonth,Table1[[#This Row],[Site ID (from DATIM)]],"[Measures].[MMS_01_89_F_P]")</f>
        <v>3</v>
      </c>
      <c r="BV343" s="68" vm="19777">
        <f>CUBEVALUE(ConnectionString,ReportMonth,Table1[[#This Row],[Site ID (from DATIM)]],"[Measures].[MMS_01_89_M_P]")</f>
        <v>3</v>
      </c>
      <c r="BW343" s="68" vm="18068">
        <f>CUBEVALUE(ConnectionString,ReportMonth,Table1[[#This Row],[Site ID (from DATIM)]],"[Measures].[MMS_01_89_F_A]")</f>
        <v>31</v>
      </c>
      <c r="BX343" s="68" vm="18242">
        <f>CUBEVALUE(ConnectionString,ReportMonth,Table1[[#This Row],[Site ID (from DATIM)]],"[Measures].[MMS_01_89_M_A]")</f>
        <v>11</v>
      </c>
      <c r="BY343" s="68" t="str" vm="18539">
        <f>CUBEVALUE(ConnectionString,ReportMonth,Table1[[#This Row],[Site ID (from DATIM)]],"[Measures].[MMS_90_179_F_P]")</f>
        <v/>
      </c>
      <c r="BZ343" s="68" vm="19582">
        <f>CUBEVALUE(ConnectionString,ReportMonth,Table1[[#This Row],[Site ID (from DATIM)]],"[Measures].[MMS_90_179_M_P]")</f>
        <v>2</v>
      </c>
      <c r="CA343" s="68" vm="16896">
        <f>CUBEVALUE(ConnectionString,ReportMonth,Table1[[#This Row],[Site ID (from DATIM)]],"[Measures].[MMS_90_179_F_A]")</f>
        <v>64</v>
      </c>
      <c r="CB343" s="68" vm="16778">
        <f>CUBEVALUE(ConnectionString,ReportMonth,Table1[[#This Row],[Site ID (from DATIM)]],"[Measures].[MMS_90_179_M_A]")</f>
        <v>19</v>
      </c>
      <c r="CC343" s="68" t="str" vm="17576">
        <f>CUBEVALUE(ConnectionString,ReportMonth,Table1[[#This Row],[Site ID (from DATIM)]],"[Measures].[MMS_180+_F_P]")</f>
        <v/>
      </c>
      <c r="CD343" s="68" t="str" vm="14979">
        <f>CUBEVALUE(ConnectionString,ReportMonth,Table1[[#This Row],[Site ID (from DATIM)]],"[Measures].[MMS_180+_M_P]")</f>
        <v/>
      </c>
      <c r="CE343" s="68" t="str" vm="198">
        <f>CUBEVALUE(ConnectionString,ReportMonth,Table1[[#This Row],[Site ID (from DATIM)]],"[Measures].[MMS_180+_F_A]")</f>
        <v/>
      </c>
      <c r="CF343" s="68" t="str" vm="20171">
        <f>CUBEVALUE(ConnectionString,ReportMonth,Table1[[#This Row],[Site ID (from DATIM)]],"[Measures].[MMS_180+_M_A]")</f>
        <v/>
      </c>
      <c r="CG343" s="68" vm="7899">
        <f>CUBEVALUE(ConnectionString,ReportMonth,Table1[[#This Row],[Site ID (from DATIM)]],"[Measures].[MISSEDAPP]")</f>
        <v>70</v>
      </c>
      <c r="CH343" s="68" t="str" vm="14119">
        <f>CUBEVALUE(ConnectionString,ReportMonth,Table1[[#This Row],[Site ID (from DATIM)]],"[Measures].[MMS_180+_P]")</f>
        <v/>
      </c>
      <c r="CI343" s="68" t="str" vm="13604">
        <f>CUBEVALUE(ConnectionString,ReportMonth,Table1[[#This Row],[Site ID (from DATIM)]],"[Measures].[MMS_180+_A]")</f>
        <v/>
      </c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  <c r="CW343" s="68"/>
      <c r="CX343" s="68"/>
      <c r="CY343" s="68"/>
      <c r="CZ343" s="68"/>
      <c r="DA343" s="68"/>
      <c r="DB343" s="68"/>
      <c r="DC343" s="68"/>
    </row>
    <row r="344" spans="1:107" x14ac:dyDescent="0.25">
      <c r="A344" s="66">
        <v>4</v>
      </c>
      <c r="B344" s="67" t="str" vm="4">
        <f t="shared" si="6"/>
        <v>Mar-2021</v>
      </c>
      <c r="C344" s="67"/>
      <c r="D344" s="67" t="s">
        <v>232</v>
      </c>
      <c r="E344" s="67" t="s">
        <v>233</v>
      </c>
      <c r="F344" s="67" t="s">
        <v>831</v>
      </c>
      <c r="G344" s="67"/>
      <c r="H344" s="67" t="s">
        <v>876</v>
      </c>
      <c r="I344" s="67" t="s">
        <v>994</v>
      </c>
      <c r="J344" s="67" t="s">
        <v>1006</v>
      </c>
      <c r="K344" s="67" t="s">
        <v>1007</v>
      </c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 t="str" vm="593">
        <f>CUBEVALUE(ConnectionString,ReportMonth,Table1[[#This Row],[Site ID (from DATIM)]],"TX_NEW_2VIS")</f>
        <v/>
      </c>
      <c r="AE344" s="67" t="str" vm="4225">
        <f>CUBEVALUE(ConnectionString,ReportMonth,Table1[[#This Row],[Site ID (from DATIM)]],INDEX(SDI_Measures,1))</f>
        <v/>
      </c>
      <c r="AF344" s="67" t="str" vm="709">
        <f>CUBEVALUE(ConnectionString,ReportMonth,Table1[[#This Row],[Site ID (from DATIM)]],INDEX(SDI_Measures,2))</f>
        <v/>
      </c>
      <c r="AG344" s="67" t="str" vm="3758">
        <f>CUBEVALUE(ConnectionString,ReportMonth,Table1[[#This Row],[Site ID (from DATIM)]],INDEX(SDI_Measures,3))</f>
        <v/>
      </c>
      <c r="AH344" s="67" vm="308">
        <f>CUBEVALUE(ConnectionString,ReportMonth,Table1[[#This Row],[Site ID (from DATIM)]],"TX_CURR_PRIOR_MONTH")</f>
        <v>8</v>
      </c>
      <c r="AI344" s="67" vm="3893">
        <f>CUBEVALUE(ConnectionString,ReportMonth,Table1[[#This Row],[Site ID (from DATIM)]],"TX_CURR")</f>
        <v>4</v>
      </c>
      <c r="AJ344" s="67" t="str" vm="2791">
        <f>CUBEVALUE(ConnectionString,ReportMonth,Table1[[#This Row],[Site ID (from DATIM)]],"[Measures].[TI]")</f>
        <v/>
      </c>
      <c r="AK344" s="67" t="str" vm="6719">
        <f>CUBEVALUE(ConnectionString,ReportMonth,Table1[[#This Row],[Site ID (from DATIM)]],"[Measures].[TO]")</f>
        <v/>
      </c>
      <c r="AL344" s="67" t="str" vm="4129">
        <f>CUBEVALUE(ConnectionString,ReportMonth,Table1[[#This Row],[Site ID (from DATIM)]],"[Measures].[DIED]")</f>
        <v/>
      </c>
      <c r="AM344" s="67" vm="6059">
        <f>CUBEVALUE(ConnectionString,ReportMonth,Table1[[#This Row],[Site ID (from DATIM)]],"[Measures].[MMS_01_31]")</f>
        <v>4</v>
      </c>
      <c r="AN344" s="67" t="str" vm="7549">
        <f>CUBEVALUE(ConnectionString,ReportMonth,Table1[[#This Row],[Site ID (from DATIM)]],"[Measures].[MMS_32_62]")</f>
        <v/>
      </c>
      <c r="AO344" s="67" t="str" vm="5325">
        <f>CUBEVALUE(ConnectionString,ReportMonth,Table1[[#This Row],[Site ID (from DATIM)]],"[Measures].[MMS_63+]")</f>
        <v/>
      </c>
      <c r="AP344" s="67" t="str" vm="11780">
        <f>CUBEVALUE(ConnectionString,ReportMonth,Table1[[#This Row],[Site ID (from DATIM)]],"[Measures].[TBPREV_D]")</f>
        <v/>
      </c>
      <c r="AQ344" s="67" t="str" vm="7264">
        <f>CUBEVALUE(ConnectionString,ReportMonth,Table1[[#This Row],[Site ID (from DATIM)]],"[Measures].[TBPREV_N]")</f>
        <v/>
      </c>
      <c r="AR344" s="67" t="str" vm="11098">
        <f>CUBEVALUE(ConnectionString,ReportMonth,Table1[[#This Row],[Site ID (from DATIM)]],"[Measures].[TBPREV_NEW]")</f>
        <v/>
      </c>
      <c r="AS344" s="67" t="str" vm="4586">
        <f>CUBEVALUE(ConnectionString,ReportMonth,Table1[[#This Row],[Site ID (from DATIM)]],"[Measures].[HVL_ELIG_P]")</f>
        <v/>
      </c>
      <c r="AT344" s="67" t="str" vm="11223">
        <f>CUBEVALUE(ConnectionString,ReportMonth,Table1[[#This Row],[Site ID (from DATIM)]],"[Measures].[HVL_D_P]")</f>
        <v/>
      </c>
      <c r="AU344" s="67" t="str" vm="9452">
        <f>CUBEVALUE(ConnectionString,ReportMonth,Table1[[#This Row],[Site ID (from DATIM)]],"[Measures].[HVL_N_P]")</f>
        <v/>
      </c>
      <c r="AV344" s="68" vm="13675">
        <f>CUBEVALUE(ConnectionString,ReportMonth,Table1[[#This Row],[Site ID (from DATIM)]],"[Measures].[HVL_ELIG_A]")</f>
        <v>1</v>
      </c>
      <c r="AW344" s="68" t="str" vm="12686">
        <f>CUBEVALUE(ConnectionString,ReportMonth,Table1[[#This Row],[Site ID (from DATIM)]],"[Measures].[HVL_D_A]")</f>
        <v/>
      </c>
      <c r="AX344" s="68" t="str" vm="6624">
        <f>CUBEVALUE(ConnectionString,ReportMonth,Table1[[#This Row],[Site ID (from DATIM)]],"[Measures].[HVL_N_A]")</f>
        <v/>
      </c>
      <c r="AY344" s="67"/>
      <c r="AZ344" s="67"/>
      <c r="BA344" s="67"/>
      <c r="BB344" s="67"/>
      <c r="BC344" s="67"/>
      <c r="BD344" s="67"/>
      <c r="BE344" s="67"/>
      <c r="BF344" s="67"/>
      <c r="BG344" s="67" t="str" vm="11962">
        <f>CUBEVALUE(ConnectionString,ReportMonth,Table1[[#This Row],[Site ID (from DATIM)]],"[Measures].[TX_NEW_F_A]")</f>
        <v/>
      </c>
      <c r="BH344" s="67" t="str" vm="12658">
        <f>CUBEVALUE(ConnectionString,ReportMonth,Table1[[#This Row],[Site ID (from DATIM)]],"[Measures].[TX_NEW_M_A]")</f>
        <v/>
      </c>
      <c r="BI344" s="67" t="str" vm="14298">
        <f>CUBEVALUE(ConnectionString,ReportMonth,Table1[[#This Row],[Site ID (from DATIM)]],"[Measures].[TX_NEW_F_P]")</f>
        <v/>
      </c>
      <c r="BJ344" s="68" t="str" vm="14329">
        <f>CUBEVALUE(ConnectionString,ReportMonth,Table1[[#This Row],[Site ID (from DATIM)]],"[Measures].[TX_NEW_M_P]")</f>
        <v/>
      </c>
      <c r="BK344" s="68"/>
      <c r="BL344" s="68"/>
      <c r="BM344" s="68"/>
      <c r="BN344" s="68"/>
      <c r="BO344" s="68"/>
      <c r="BP344" s="68"/>
      <c r="BQ344" s="68" t="str" vm="10828">
        <f>CUBEVALUE(ConnectionString,ReportMonth,Table1[[#This Row],[Site ID (from DATIM)]],"[Measures].[TX_CURR_F_P]")</f>
        <v/>
      </c>
      <c r="BR344" s="68" t="str" vm="11338">
        <f>CUBEVALUE(ConnectionString,ReportMonth,Table1[[#This Row],[Site ID (from DATIM)]],"[Measures].[TX_CURR_M_P]")</f>
        <v/>
      </c>
      <c r="BS344" s="68" vm="11194">
        <f>CUBEVALUE(ConnectionString,ReportMonth,Table1[[#This Row],[Site ID (from DATIM)]],"[Measures].[TX_CURR_F_A]")</f>
        <v>4</v>
      </c>
      <c r="BT344" s="68" t="str" vm="11119">
        <f>CUBEVALUE(ConnectionString,ReportMonth,Table1[[#This Row],[Site ID (from DATIM)]],"[Measures].[TX_CURR_M_A]")</f>
        <v/>
      </c>
      <c r="BU344" s="68" t="str" vm="20086">
        <f>CUBEVALUE(ConnectionString,ReportMonth,Table1[[#This Row],[Site ID (from DATIM)]],"[Measures].[MMS_01_89_F_P]")</f>
        <v/>
      </c>
      <c r="BV344" s="68" t="str" vm="18879">
        <f>CUBEVALUE(ConnectionString,ReportMonth,Table1[[#This Row],[Site ID (from DATIM)]],"[Measures].[MMS_01_89_M_P]")</f>
        <v/>
      </c>
      <c r="BW344" s="68" vm="18630">
        <f>CUBEVALUE(ConnectionString,ReportMonth,Table1[[#This Row],[Site ID (from DATIM)]],"[Measures].[MMS_01_89_F_A]")</f>
        <v>4</v>
      </c>
      <c r="BX344" s="68" t="str" vm="19723">
        <f>CUBEVALUE(ConnectionString,ReportMonth,Table1[[#This Row],[Site ID (from DATIM)]],"[Measures].[MMS_01_89_M_A]")</f>
        <v/>
      </c>
      <c r="BY344" s="68" t="str" vm="18270">
        <f>CUBEVALUE(ConnectionString,ReportMonth,Table1[[#This Row],[Site ID (from DATIM)]],"[Measures].[MMS_90_179_F_P]")</f>
        <v/>
      </c>
      <c r="BZ344" s="68" t="str" vm="17356">
        <f>CUBEVALUE(ConnectionString,ReportMonth,Table1[[#This Row],[Site ID (from DATIM)]],"[Measures].[MMS_90_179_M_P]")</f>
        <v/>
      </c>
      <c r="CA344" s="68" t="str" vm="15165">
        <f>CUBEVALUE(ConnectionString,ReportMonth,Table1[[#This Row],[Site ID (from DATIM)]],"[Measures].[MMS_90_179_F_A]")</f>
        <v/>
      </c>
      <c r="CB344" s="68" t="str" vm="15034">
        <f>CUBEVALUE(ConnectionString,ReportMonth,Table1[[#This Row],[Site ID (from DATIM)]],"[Measures].[MMS_90_179_M_A]")</f>
        <v/>
      </c>
      <c r="CC344" s="68" t="str" vm="17700">
        <f>CUBEVALUE(ConnectionString,ReportMonth,Table1[[#This Row],[Site ID (from DATIM)]],"[Measures].[MMS_180+_F_P]")</f>
        <v/>
      </c>
      <c r="CD344" s="68" t="str" vm="14963">
        <f>CUBEVALUE(ConnectionString,ReportMonth,Table1[[#This Row],[Site ID (from DATIM)]],"[Measures].[MMS_180+_M_P]")</f>
        <v/>
      </c>
      <c r="CE344" s="68" t="str" vm="14550">
        <f>CUBEVALUE(ConnectionString,ReportMonth,Table1[[#This Row],[Site ID (from DATIM)]],"[Measures].[MMS_180+_F_A]")</f>
        <v/>
      </c>
      <c r="CF344" s="68" t="str" vm="20240">
        <f>CUBEVALUE(ConnectionString,ReportMonth,Table1[[#This Row],[Site ID (from DATIM)]],"[Measures].[MMS_180+_M_A]")</f>
        <v/>
      </c>
      <c r="CG344" s="68" vm="6756">
        <f>CUBEVALUE(ConnectionString,ReportMonth,Table1[[#This Row],[Site ID (from DATIM)]],"[Measures].[MISSEDAPP]")</f>
        <v>3</v>
      </c>
      <c r="CH344" s="68" t="str" vm="10226">
        <f>CUBEVALUE(ConnectionString,ReportMonth,Table1[[#This Row],[Site ID (from DATIM)]],"[Measures].[MMS_180+_P]")</f>
        <v/>
      </c>
      <c r="CI344" s="68" t="str" vm="13877">
        <f>CUBEVALUE(ConnectionString,ReportMonth,Table1[[#This Row],[Site ID (from DATIM)]],"[Measures].[MMS_180+_A]")</f>
        <v/>
      </c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  <c r="CW344" s="68"/>
      <c r="CX344" s="68"/>
      <c r="CY344" s="68"/>
      <c r="CZ344" s="68"/>
      <c r="DA344" s="68"/>
      <c r="DB344" s="68"/>
      <c r="DC344" s="68"/>
    </row>
    <row r="345" spans="1:107" x14ac:dyDescent="0.25">
      <c r="A345" s="66">
        <v>4</v>
      </c>
      <c r="B345" s="67" t="str" vm="4">
        <f t="shared" si="6"/>
        <v>Mar-2021</v>
      </c>
      <c r="C345" s="67"/>
      <c r="D345" s="67" t="s">
        <v>232</v>
      </c>
      <c r="E345" s="67" t="s">
        <v>233</v>
      </c>
      <c r="F345" s="67" t="s">
        <v>1083</v>
      </c>
      <c r="G345" s="67"/>
      <c r="H345" s="67" t="s">
        <v>1113</v>
      </c>
      <c r="I345" s="67" t="s">
        <v>1249</v>
      </c>
      <c r="J345" s="67" t="s">
        <v>1250</v>
      </c>
      <c r="K345" s="67" t="s">
        <v>1251</v>
      </c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 t="str" vm="895">
        <f>CUBEVALUE(ConnectionString,ReportMonth,Table1[[#This Row],[Site ID (from DATIM)]],"TX_NEW_2VIS")</f>
        <v/>
      </c>
      <c r="AE345" s="67" t="str" vm="2656">
        <f>CUBEVALUE(ConnectionString,ReportMonth,Table1[[#This Row],[Site ID (from DATIM)]],INDEX(SDI_Measures,1))</f>
        <v/>
      </c>
      <c r="AF345" s="67" t="str" vm="532">
        <f>CUBEVALUE(ConnectionString,ReportMonth,Table1[[#This Row],[Site ID (from DATIM)]],INDEX(SDI_Measures,2))</f>
        <v/>
      </c>
      <c r="AG345" s="67" t="str" vm="1187">
        <f>CUBEVALUE(ConnectionString,ReportMonth,Table1[[#This Row],[Site ID (from DATIM)]],INDEX(SDI_Measures,3))</f>
        <v/>
      </c>
      <c r="AH345" s="67" vm="4093">
        <f>CUBEVALUE(ConnectionString,ReportMonth,Table1[[#This Row],[Site ID (from DATIM)]],"TX_CURR_PRIOR_MONTH")</f>
        <v>60</v>
      </c>
      <c r="AI345" s="67" vm="1504">
        <f>CUBEVALUE(ConnectionString,ReportMonth,Table1[[#This Row],[Site ID (from DATIM)]],"TX_CURR")</f>
        <v>26</v>
      </c>
      <c r="AJ345" s="67" t="str" vm="3951">
        <f>CUBEVALUE(ConnectionString,ReportMonth,Table1[[#This Row],[Site ID (from DATIM)]],"[Measures].[TI]")</f>
        <v/>
      </c>
      <c r="AK345" s="67" t="str" vm="3549">
        <f>CUBEVALUE(ConnectionString,ReportMonth,Table1[[#This Row],[Site ID (from DATIM)]],"[Measures].[TO]")</f>
        <v/>
      </c>
      <c r="AL345" s="67" t="str" vm="2434">
        <f>CUBEVALUE(ConnectionString,ReportMonth,Table1[[#This Row],[Site ID (from DATIM)]],"[Measures].[DIED]")</f>
        <v/>
      </c>
      <c r="AM345" s="67" vm="4141">
        <f>CUBEVALUE(ConnectionString,ReportMonth,Table1[[#This Row],[Site ID (from DATIM)]],"[Measures].[MMS_01_31]")</f>
        <v>4</v>
      </c>
      <c r="AN345" s="67" vm="7433">
        <f>CUBEVALUE(ConnectionString,ReportMonth,Table1[[#This Row],[Site ID (from DATIM)]],"[Measures].[MMS_32_62]")</f>
        <v>2</v>
      </c>
      <c r="AO345" s="67" vm="5554">
        <f>CUBEVALUE(ConnectionString,ReportMonth,Table1[[#This Row],[Site ID (from DATIM)]],"[Measures].[MMS_63+]")</f>
        <v>20</v>
      </c>
      <c r="AP345" s="67" vm="7599">
        <f>CUBEVALUE(ConnectionString,ReportMonth,Table1[[#This Row],[Site ID (from DATIM)]],"[Measures].[TBPREV_D]")</f>
        <v>1</v>
      </c>
      <c r="AQ345" s="67" t="str" vm="4961">
        <f>CUBEVALUE(ConnectionString,ReportMonth,Table1[[#This Row],[Site ID (from DATIM)]],"[Measures].[TBPREV_N]")</f>
        <v/>
      </c>
      <c r="AR345" s="67" t="str" vm="5367">
        <f>CUBEVALUE(ConnectionString,ReportMonth,Table1[[#This Row],[Site ID (from DATIM)]],"[Measures].[TBPREV_NEW]")</f>
        <v/>
      </c>
      <c r="AS345" s="67" t="str" vm="11901">
        <f>CUBEVALUE(ConnectionString,ReportMonth,Table1[[#This Row],[Site ID (from DATIM)]],"[Measures].[HVL_ELIG_P]")</f>
        <v/>
      </c>
      <c r="AT345" s="67" t="str" vm="5695">
        <f>CUBEVALUE(ConnectionString,ReportMonth,Table1[[#This Row],[Site ID (from DATIM)]],"[Measures].[HVL_D_P]")</f>
        <v/>
      </c>
      <c r="AU345" s="67" t="str" vm="8089">
        <f>CUBEVALUE(ConnectionString,ReportMonth,Table1[[#This Row],[Site ID (from DATIM)]],"[Measures].[HVL_N_P]")</f>
        <v/>
      </c>
      <c r="AV345" s="68" vm="10929">
        <f>CUBEVALUE(ConnectionString,ReportMonth,Table1[[#This Row],[Site ID (from DATIM)]],"[Measures].[HVL_ELIG_A]")</f>
        <v>2</v>
      </c>
      <c r="AW345" s="68" vm="11925">
        <f>CUBEVALUE(ConnectionString,ReportMonth,Table1[[#This Row],[Site ID (from DATIM)]],"[Measures].[HVL_D_A]")</f>
        <v>1</v>
      </c>
      <c r="AX345" s="68" vm="7484">
        <f>CUBEVALUE(ConnectionString,ReportMonth,Table1[[#This Row],[Site ID (from DATIM)]],"[Measures].[HVL_N_A]")</f>
        <v>1</v>
      </c>
      <c r="AY345" s="67"/>
      <c r="AZ345" s="67"/>
      <c r="BA345" s="67"/>
      <c r="BB345" s="67"/>
      <c r="BC345" s="67"/>
      <c r="BD345" s="67"/>
      <c r="BE345" s="67"/>
      <c r="BF345" s="67"/>
      <c r="BG345" s="67" t="str" vm="13571">
        <f>CUBEVALUE(ConnectionString,ReportMonth,Table1[[#This Row],[Site ID (from DATIM)]],"[Measures].[TX_NEW_F_A]")</f>
        <v/>
      </c>
      <c r="BH345" s="67" t="str" vm="13897">
        <f>CUBEVALUE(ConnectionString,ReportMonth,Table1[[#This Row],[Site ID (from DATIM)]],"[Measures].[TX_NEW_M_A]")</f>
        <v/>
      </c>
      <c r="BI345" s="67" t="str" vm="14827">
        <f>CUBEVALUE(ConnectionString,ReportMonth,Table1[[#This Row],[Site ID (from DATIM)]],"[Measures].[TX_NEW_F_P]")</f>
        <v/>
      </c>
      <c r="BJ345" s="68" t="str" vm="17076">
        <f>CUBEVALUE(ConnectionString,ReportMonth,Table1[[#This Row],[Site ID (from DATIM)]],"[Measures].[TX_NEW_M_P]")</f>
        <v/>
      </c>
      <c r="BK345" s="68"/>
      <c r="BL345" s="68"/>
      <c r="BM345" s="68"/>
      <c r="BN345" s="68"/>
      <c r="BO345" s="68"/>
      <c r="BP345" s="68"/>
      <c r="BQ345" s="68" vm="8340">
        <f>CUBEVALUE(ConnectionString,ReportMonth,Table1[[#This Row],[Site ID (from DATIM)]],"[Measures].[TX_CURR_F_P]")</f>
        <v>1</v>
      </c>
      <c r="BR345" s="68" t="str" vm="10556">
        <f>CUBEVALUE(ConnectionString,ReportMonth,Table1[[#This Row],[Site ID (from DATIM)]],"[Measures].[TX_CURR_M_P]")</f>
        <v/>
      </c>
      <c r="BS345" s="68" vm="13995">
        <f>CUBEVALUE(ConnectionString,ReportMonth,Table1[[#This Row],[Site ID (from DATIM)]],"[Measures].[TX_CURR_F_A]")</f>
        <v>15</v>
      </c>
      <c r="BT345" s="68" vm="13328">
        <f>CUBEVALUE(ConnectionString,ReportMonth,Table1[[#This Row],[Site ID (from DATIM)]],"[Measures].[TX_CURR_M_A]")</f>
        <v>10</v>
      </c>
      <c r="BU345" s="68" vm="18397">
        <f>CUBEVALUE(ConnectionString,ReportMonth,Table1[[#This Row],[Site ID (from DATIM)]],"[Measures].[MMS_01_89_F_P]")</f>
        <v>1</v>
      </c>
      <c r="BV345" s="68" t="str" vm="19478">
        <f>CUBEVALUE(ConnectionString,ReportMonth,Table1[[#This Row],[Site ID (from DATIM)]],"[Measures].[MMS_01_89_M_P]")</f>
        <v/>
      </c>
      <c r="BW345" s="68" vm="18971">
        <f>CUBEVALUE(ConnectionString,ReportMonth,Table1[[#This Row],[Site ID (from DATIM)]],"[Measures].[MMS_01_89_F_A]")</f>
        <v>1</v>
      </c>
      <c r="BX345" s="68" vm="18214">
        <f>CUBEVALUE(ConnectionString,ReportMonth,Table1[[#This Row],[Site ID (from DATIM)]],"[Measures].[MMS_01_89_M_A]")</f>
        <v>4</v>
      </c>
      <c r="BY345" s="68" t="str" vm="17976">
        <f>CUBEVALUE(ConnectionString,ReportMonth,Table1[[#This Row],[Site ID (from DATIM)]],"[Measures].[MMS_90_179_F_P]")</f>
        <v/>
      </c>
      <c r="BZ345" s="68" t="str" vm="19868">
        <f>CUBEVALUE(ConnectionString,ReportMonth,Table1[[#This Row],[Site ID (from DATIM)]],"[Measures].[MMS_90_179_M_P]")</f>
        <v/>
      </c>
      <c r="CA345" s="68" vm="16511">
        <f>CUBEVALUE(ConnectionString,ReportMonth,Table1[[#This Row],[Site ID (from DATIM)]],"[Measures].[MMS_90_179_F_A]")</f>
        <v>14</v>
      </c>
      <c r="CB345" s="68" vm="16780">
        <f>CUBEVALUE(ConnectionString,ReportMonth,Table1[[#This Row],[Site ID (from DATIM)]],"[Measures].[MMS_90_179_M_A]")</f>
        <v>6</v>
      </c>
      <c r="CC345" s="68" t="str" vm="14624">
        <f>CUBEVALUE(ConnectionString,ReportMonth,Table1[[#This Row],[Site ID (from DATIM)]],"[Measures].[MMS_180+_F_P]")</f>
        <v/>
      </c>
      <c r="CD345" s="68" t="str" vm="15766">
        <f>CUBEVALUE(ConnectionString,ReportMonth,Table1[[#This Row],[Site ID (from DATIM)]],"[Measures].[MMS_180+_M_P]")</f>
        <v/>
      </c>
      <c r="CE345" s="68" t="str" vm="16652">
        <f>CUBEVALUE(ConnectionString,ReportMonth,Table1[[#This Row],[Site ID (from DATIM)]],"[Measures].[MMS_180+_F_A]")</f>
        <v/>
      </c>
      <c r="CF345" s="68" t="str" vm="20239">
        <f>CUBEVALUE(ConnectionString,ReportMonth,Table1[[#This Row],[Site ID (from DATIM)]],"[Measures].[MMS_180+_M_A]")</f>
        <v/>
      </c>
      <c r="CG345" s="68" vm="6871">
        <f>CUBEVALUE(ConnectionString,ReportMonth,Table1[[#This Row],[Site ID (from DATIM)]],"[Measures].[MISSEDAPP]")</f>
        <v>9</v>
      </c>
      <c r="CH345" s="68" t="str" vm="13652">
        <f>CUBEVALUE(ConnectionString,ReportMonth,Table1[[#This Row],[Site ID (from DATIM)]],"[Measures].[MMS_180+_P]")</f>
        <v/>
      </c>
      <c r="CI345" s="68" t="str" vm="12374">
        <f>CUBEVALUE(ConnectionString,ReportMonth,Table1[[#This Row],[Site ID (from DATIM)]],"[Measures].[MMS_180+_A]")</f>
        <v/>
      </c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</row>
    <row r="346" spans="1:107" x14ac:dyDescent="0.25">
      <c r="A346" s="66">
        <v>4</v>
      </c>
      <c r="B346" s="67" t="str" vm="4">
        <f t="shared" si="6"/>
        <v>Mar-2021</v>
      </c>
      <c r="C346" s="67"/>
      <c r="D346" s="67" t="s">
        <v>232</v>
      </c>
      <c r="E346" s="67" t="s">
        <v>233</v>
      </c>
      <c r="F346" s="67" t="s">
        <v>1286</v>
      </c>
      <c r="G346" s="67"/>
      <c r="H346" s="67" t="s">
        <v>1344</v>
      </c>
      <c r="I346" s="67" t="s">
        <v>1485</v>
      </c>
      <c r="J346" s="67" t="s">
        <v>1486</v>
      </c>
      <c r="K346" s="67" t="s">
        <v>1487</v>
      </c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 t="str" vm="1956">
        <f>CUBEVALUE(ConnectionString,ReportMonth,Table1[[#This Row],[Site ID (from DATIM)]],"TX_NEW_2VIS")</f>
        <v/>
      </c>
      <c r="AE346" s="67" t="str" vm="1552">
        <f>CUBEVALUE(ConnectionString,ReportMonth,Table1[[#This Row],[Site ID (from DATIM)]],INDEX(SDI_Measures,1))</f>
        <v/>
      </c>
      <c r="AF346" s="67" t="str" vm="531">
        <f>CUBEVALUE(ConnectionString,ReportMonth,Table1[[#This Row],[Site ID (from DATIM)]],INDEX(SDI_Measures,2))</f>
        <v/>
      </c>
      <c r="AG346" s="67" t="str" vm="1856">
        <f>CUBEVALUE(ConnectionString,ReportMonth,Table1[[#This Row],[Site ID (from DATIM)]],INDEX(SDI_Measures,3))</f>
        <v/>
      </c>
      <c r="AH346" s="67" t="str" vm="3060">
        <f>CUBEVALUE(ConnectionString,ReportMonth,Table1[[#This Row],[Site ID (from DATIM)]],"TX_CURR_PRIOR_MONTH")</f>
        <v/>
      </c>
      <c r="AI346" s="67" t="str" vm="1716">
        <f>CUBEVALUE(ConnectionString,ReportMonth,Table1[[#This Row],[Site ID (from DATIM)]],"TX_CURR")</f>
        <v/>
      </c>
      <c r="AJ346" s="67" t="str" vm="2921">
        <f>CUBEVALUE(ConnectionString,ReportMonth,Table1[[#This Row],[Site ID (from DATIM)]],"[Measures].[TI]")</f>
        <v/>
      </c>
      <c r="AK346" s="67" t="str" vm="2448">
        <f>CUBEVALUE(ConnectionString,ReportMonth,Table1[[#This Row],[Site ID (from DATIM)]],"[Measures].[TO]")</f>
        <v/>
      </c>
      <c r="AL346" s="67" t="str" vm="415">
        <f>CUBEVALUE(ConnectionString,ReportMonth,Table1[[#This Row],[Site ID (from DATIM)]],"[Measures].[DIED]")</f>
        <v/>
      </c>
      <c r="AM346" s="67" t="str" vm="3982">
        <f>CUBEVALUE(ConnectionString,ReportMonth,Table1[[#This Row],[Site ID (from DATIM)]],"[Measures].[MMS_01_31]")</f>
        <v/>
      </c>
      <c r="AN346" s="67" t="str" vm="5817">
        <f>CUBEVALUE(ConnectionString,ReportMonth,Table1[[#This Row],[Site ID (from DATIM)]],"[Measures].[MMS_32_62]")</f>
        <v/>
      </c>
      <c r="AO346" s="67" t="str" vm="6223">
        <f>CUBEVALUE(ConnectionString,ReportMonth,Table1[[#This Row],[Site ID (from DATIM)]],"[Measures].[MMS_63+]")</f>
        <v/>
      </c>
      <c r="AP346" s="67" t="str" vm="7157">
        <f>CUBEVALUE(ConnectionString,ReportMonth,Table1[[#This Row],[Site ID (from DATIM)]],"[Measures].[TBPREV_D]")</f>
        <v/>
      </c>
      <c r="AQ346" s="67" t="str" vm="6898">
        <f>CUBEVALUE(ConnectionString,ReportMonth,Table1[[#This Row],[Site ID (from DATIM)]],"[Measures].[TBPREV_N]")</f>
        <v/>
      </c>
      <c r="AR346" s="67" t="str" vm="5203">
        <f>CUBEVALUE(ConnectionString,ReportMonth,Table1[[#This Row],[Site ID (from DATIM)]],"[Measures].[TBPREV_NEW]")</f>
        <v/>
      </c>
      <c r="AS346" s="67" t="str" vm="9208">
        <f>CUBEVALUE(ConnectionString,ReportMonth,Table1[[#This Row],[Site ID (from DATIM)]],"[Measures].[HVL_ELIG_P]")</f>
        <v/>
      </c>
      <c r="AT346" s="67" t="str" vm="5042">
        <f>CUBEVALUE(ConnectionString,ReportMonth,Table1[[#This Row],[Site ID (from DATIM)]],"[Measures].[HVL_D_P]")</f>
        <v/>
      </c>
      <c r="AU346" s="67" t="str" vm="13273">
        <f>CUBEVALUE(ConnectionString,ReportMonth,Table1[[#This Row],[Site ID (from DATIM)]],"[Measures].[HVL_N_P]")</f>
        <v/>
      </c>
      <c r="AV346" s="68" t="str" vm="10486">
        <f>CUBEVALUE(ConnectionString,ReportMonth,Table1[[#This Row],[Site ID (from DATIM)]],"[Measures].[HVL_ELIG_A]")</f>
        <v/>
      </c>
      <c r="AW346" s="68" t="str" vm="9010">
        <f>CUBEVALUE(ConnectionString,ReportMonth,Table1[[#This Row],[Site ID (from DATIM)]],"[Measures].[HVL_D_A]")</f>
        <v/>
      </c>
      <c r="AX346" s="68" t="str" vm="9551">
        <f>CUBEVALUE(ConnectionString,ReportMonth,Table1[[#This Row],[Site ID (from DATIM)]],"[Measures].[HVL_N_A]")</f>
        <v/>
      </c>
      <c r="AY346" s="67"/>
      <c r="AZ346" s="67"/>
      <c r="BA346" s="67"/>
      <c r="BB346" s="67"/>
      <c r="BC346" s="67"/>
      <c r="BD346" s="67"/>
      <c r="BE346" s="67"/>
      <c r="BF346" s="67"/>
      <c r="BG346" s="67" t="str" vm="13295">
        <f>CUBEVALUE(ConnectionString,ReportMonth,Table1[[#This Row],[Site ID (from DATIM)]],"[Measures].[TX_NEW_F_A]")</f>
        <v/>
      </c>
      <c r="BH346" s="67" t="str" vm="11967">
        <f>CUBEVALUE(ConnectionString,ReportMonth,Table1[[#This Row],[Site ID (from DATIM)]],"[Measures].[TX_NEW_M_A]")</f>
        <v/>
      </c>
      <c r="BI346" s="67" t="str" vm="17050">
        <f>CUBEVALUE(ConnectionString,ReportMonth,Table1[[#This Row],[Site ID (from DATIM)]],"[Measures].[TX_NEW_F_P]")</f>
        <v/>
      </c>
      <c r="BJ346" s="68" t="str" vm="15705">
        <f>CUBEVALUE(ConnectionString,ReportMonth,Table1[[#This Row],[Site ID (from DATIM)]],"[Measures].[TX_NEW_M_P]")</f>
        <v/>
      </c>
      <c r="BK346" s="68"/>
      <c r="BL346" s="68"/>
      <c r="BM346" s="68"/>
      <c r="BN346" s="68"/>
      <c r="BO346" s="68"/>
      <c r="BP346" s="68"/>
      <c r="BQ346" s="68" t="str" vm="12917">
        <f>CUBEVALUE(ConnectionString,ReportMonth,Table1[[#This Row],[Site ID (from DATIM)]],"[Measures].[TX_CURR_F_P]")</f>
        <v/>
      </c>
      <c r="BR346" s="68" t="str" vm="8366">
        <f>CUBEVALUE(ConnectionString,ReportMonth,Table1[[#This Row],[Site ID (from DATIM)]],"[Measures].[TX_CURR_M_P]")</f>
        <v/>
      </c>
      <c r="BS346" s="68" t="str" vm="7918">
        <f>CUBEVALUE(ConnectionString,ReportMonth,Table1[[#This Row],[Site ID (from DATIM)]],"[Measures].[TX_CURR_F_A]")</f>
        <v/>
      </c>
      <c r="BT346" s="68" t="str" vm="11255">
        <f>CUBEVALUE(ConnectionString,ReportMonth,Table1[[#This Row],[Site ID (from DATIM)]],"[Measures].[TX_CURR_M_A]")</f>
        <v/>
      </c>
      <c r="BU346" s="68" t="str" vm="18985">
        <f>CUBEVALUE(ConnectionString,ReportMonth,Table1[[#This Row],[Site ID (from DATIM)]],"[Measures].[MMS_01_89_F_P]")</f>
        <v/>
      </c>
      <c r="BV346" s="68" t="str" vm="18440">
        <f>CUBEVALUE(ConnectionString,ReportMonth,Table1[[#This Row],[Site ID (from DATIM)]],"[Measures].[MMS_01_89_M_P]")</f>
        <v/>
      </c>
      <c r="BW346" s="68" t="str" vm="16087">
        <f>CUBEVALUE(ConnectionString,ReportMonth,Table1[[#This Row],[Site ID (from DATIM)]],"[Measures].[MMS_01_89_F_A]")</f>
        <v/>
      </c>
      <c r="BX346" s="68" t="str" vm="19641">
        <f>CUBEVALUE(ConnectionString,ReportMonth,Table1[[#This Row],[Site ID (from DATIM)]],"[Measures].[MMS_01_89_M_A]")</f>
        <v/>
      </c>
      <c r="BY346" s="68" t="str" vm="19613">
        <f>CUBEVALUE(ConnectionString,ReportMonth,Table1[[#This Row],[Site ID (from DATIM)]],"[Measures].[MMS_90_179_F_P]")</f>
        <v/>
      </c>
      <c r="BZ346" s="68" t="str" vm="15599">
        <f>CUBEVALUE(ConnectionString,ReportMonth,Table1[[#This Row],[Site ID (from DATIM)]],"[Measures].[MMS_90_179_M_P]")</f>
        <v/>
      </c>
      <c r="CA346" s="68" t="str" vm="16016">
        <f>CUBEVALUE(ConnectionString,ReportMonth,Table1[[#This Row],[Site ID (from DATIM)]],"[Measures].[MMS_90_179_F_A]")</f>
        <v/>
      </c>
      <c r="CB346" s="68" t="str" vm="15617">
        <f>CUBEVALUE(ConnectionString,ReportMonth,Table1[[#This Row],[Site ID (from DATIM)]],"[Measures].[MMS_90_179_M_A]")</f>
        <v/>
      </c>
      <c r="CC346" s="68" t="str" vm="16791">
        <f>CUBEVALUE(ConnectionString,ReportMonth,Table1[[#This Row],[Site ID (from DATIM)]],"[Measures].[MMS_180+_F_P]")</f>
        <v/>
      </c>
      <c r="CD346" s="68" t="str" vm="16271">
        <f>CUBEVALUE(ConnectionString,ReportMonth,Table1[[#This Row],[Site ID (from DATIM)]],"[Measures].[MMS_180+_M_P]")</f>
        <v/>
      </c>
      <c r="CE346" s="68" t="str" vm="17481">
        <f>CUBEVALUE(ConnectionString,ReportMonth,Table1[[#This Row],[Site ID (from DATIM)]],"[Measures].[MMS_180+_F_A]")</f>
        <v/>
      </c>
      <c r="CF346" s="68" t="str" vm="17093">
        <f>CUBEVALUE(ConnectionString,ReportMonth,Table1[[#This Row],[Site ID (from DATIM)]],"[Measures].[MMS_180+_M_A]")</f>
        <v/>
      </c>
      <c r="CG346" s="68" t="str" vm="10524">
        <f>CUBEVALUE(ConnectionString,ReportMonth,Table1[[#This Row],[Site ID (from DATIM)]],"[Measures].[MISSEDAPP]")</f>
        <v/>
      </c>
      <c r="CH346" s="68" t="str" vm="12977">
        <f>CUBEVALUE(ConnectionString,ReportMonth,Table1[[#This Row],[Site ID (from DATIM)]],"[Measures].[MMS_180+_P]")</f>
        <v/>
      </c>
      <c r="CI346" s="68" t="str" vm="13507">
        <f>CUBEVALUE(ConnectionString,ReportMonth,Table1[[#This Row],[Site ID (from DATIM)]],"[Measures].[MMS_180+_A]")</f>
        <v/>
      </c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</row>
    <row r="347" spans="1:107" x14ac:dyDescent="0.25">
      <c r="A347" s="66">
        <v>4</v>
      </c>
      <c r="B347" s="67" t="str" vm="4">
        <f t="shared" si="6"/>
        <v>Mar-2021</v>
      </c>
      <c r="C347" s="67"/>
      <c r="D347" s="67" t="s">
        <v>232</v>
      </c>
      <c r="E347" s="67" t="s">
        <v>233</v>
      </c>
      <c r="F347" s="67" t="s">
        <v>234</v>
      </c>
      <c r="G347" s="67"/>
      <c r="H347" s="67" t="s">
        <v>270</v>
      </c>
      <c r="I347" s="67" t="s">
        <v>383</v>
      </c>
      <c r="J347" s="67" t="s">
        <v>384</v>
      </c>
      <c r="K347" s="67" t="s">
        <v>385</v>
      </c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 t="str" vm="862">
        <f>CUBEVALUE(ConnectionString,ReportMonth,Table1[[#This Row],[Site ID (from DATIM)]],"TX_NEW_2VIS")</f>
        <v/>
      </c>
      <c r="AE347" s="67" t="str" vm="1437">
        <f>CUBEVALUE(ConnectionString,ReportMonth,Table1[[#This Row],[Site ID (from DATIM)]],INDEX(SDI_Measures,1))</f>
        <v/>
      </c>
      <c r="AF347" s="67" t="str" vm="859">
        <f>CUBEVALUE(ConnectionString,ReportMonth,Table1[[#This Row],[Site ID (from DATIM)]],INDEX(SDI_Measures,2))</f>
        <v/>
      </c>
      <c r="AG347" s="67" t="str" vm="638">
        <f>CUBEVALUE(ConnectionString,ReportMonth,Table1[[#This Row],[Site ID (from DATIM)]],INDEX(SDI_Measures,3))</f>
        <v/>
      </c>
      <c r="AH347" s="67" t="str" vm="2691">
        <f>CUBEVALUE(ConnectionString,ReportMonth,Table1[[#This Row],[Site ID (from DATIM)]],"TX_CURR_PRIOR_MONTH")</f>
        <v/>
      </c>
      <c r="AI347" s="67" t="str" vm="2642">
        <f>CUBEVALUE(ConnectionString,ReportMonth,Table1[[#This Row],[Site ID (from DATIM)]],"TX_CURR")</f>
        <v/>
      </c>
      <c r="AJ347" s="67" t="str" vm="4603">
        <f>CUBEVALUE(ConnectionString,ReportMonth,Table1[[#This Row],[Site ID (from DATIM)]],"[Measures].[TI]")</f>
        <v/>
      </c>
      <c r="AK347" s="67" t="str" vm="4168">
        <f>CUBEVALUE(ConnectionString,ReportMonth,Table1[[#This Row],[Site ID (from DATIM)]],"[Measures].[TO]")</f>
        <v/>
      </c>
      <c r="AL347" s="67" t="str" vm="3895">
        <f>CUBEVALUE(ConnectionString,ReportMonth,Table1[[#This Row],[Site ID (from DATIM)]],"[Measures].[DIED]")</f>
        <v/>
      </c>
      <c r="AM347" s="67" t="str" vm="4579">
        <f>CUBEVALUE(ConnectionString,ReportMonth,Table1[[#This Row],[Site ID (from DATIM)]],"[Measures].[MMS_01_31]")</f>
        <v/>
      </c>
      <c r="AN347" s="67" t="str" vm="4924">
        <f>CUBEVALUE(ConnectionString,ReportMonth,Table1[[#This Row],[Site ID (from DATIM)]],"[Measures].[MMS_32_62]")</f>
        <v/>
      </c>
      <c r="AO347" s="67" t="str" vm="5691">
        <f>CUBEVALUE(ConnectionString,ReportMonth,Table1[[#This Row],[Site ID (from DATIM)]],"[Measures].[MMS_63+]")</f>
        <v/>
      </c>
      <c r="AP347" s="67" t="str" vm="6743">
        <f>CUBEVALUE(ConnectionString,ReportMonth,Table1[[#This Row],[Site ID (from DATIM)]],"[Measures].[TBPREV_D]")</f>
        <v/>
      </c>
      <c r="AQ347" s="67" t="str" vm="5819">
        <f>CUBEVALUE(ConnectionString,ReportMonth,Table1[[#This Row],[Site ID (from DATIM)]],"[Measures].[TBPREV_N]")</f>
        <v/>
      </c>
      <c r="AR347" s="67" t="str" vm="6020">
        <f>CUBEVALUE(ConnectionString,ReportMonth,Table1[[#This Row],[Site ID (from DATIM)]],"[Measures].[TBPREV_NEW]")</f>
        <v/>
      </c>
      <c r="AS347" s="67" t="str" vm="6441">
        <f>CUBEVALUE(ConnectionString,ReportMonth,Table1[[#This Row],[Site ID (from DATIM)]],"[Measures].[HVL_ELIG_P]")</f>
        <v/>
      </c>
      <c r="AT347" s="67" t="str" vm="8883">
        <f>CUBEVALUE(ConnectionString,ReportMonth,Table1[[#This Row],[Site ID (from DATIM)]],"[Measures].[HVL_D_P]")</f>
        <v/>
      </c>
      <c r="AU347" s="67" t="str" vm="9362">
        <f>CUBEVALUE(ConnectionString,ReportMonth,Table1[[#This Row],[Site ID (from DATIM)]],"[Measures].[HVL_N_P]")</f>
        <v/>
      </c>
      <c r="AV347" s="68" t="str" vm="8873">
        <f>CUBEVALUE(ConnectionString,ReportMonth,Table1[[#This Row],[Site ID (from DATIM)]],"[Measures].[HVL_ELIG_A]")</f>
        <v/>
      </c>
      <c r="AW347" s="68" t="str" vm="8735">
        <f>CUBEVALUE(ConnectionString,ReportMonth,Table1[[#This Row],[Site ID (from DATIM)]],"[Measures].[HVL_D_A]")</f>
        <v/>
      </c>
      <c r="AX347" s="68" t="str" vm="10078">
        <f>CUBEVALUE(ConnectionString,ReportMonth,Table1[[#This Row],[Site ID (from DATIM)]],"[Measures].[HVL_N_A]")</f>
        <v/>
      </c>
      <c r="AY347" s="67"/>
      <c r="AZ347" s="67"/>
      <c r="BA347" s="67"/>
      <c r="BB347" s="67"/>
      <c r="BC347" s="67"/>
      <c r="BD347" s="67"/>
      <c r="BE347" s="67"/>
      <c r="BF347" s="67"/>
      <c r="BG347" s="67" t="str" vm="12339">
        <f>CUBEVALUE(ConnectionString,ReportMonth,Table1[[#This Row],[Site ID (from DATIM)]],"[Measures].[TX_NEW_F_A]")</f>
        <v/>
      </c>
      <c r="BH347" s="67" t="str" vm="12902">
        <f>CUBEVALUE(ConnectionString,ReportMonth,Table1[[#This Row],[Site ID (from DATIM)]],"[Measures].[TX_NEW_M_A]")</f>
        <v/>
      </c>
      <c r="BI347" s="67" t="str" vm="13695">
        <f>CUBEVALUE(ConnectionString,ReportMonth,Table1[[#This Row],[Site ID (from DATIM)]],"[Measures].[TX_NEW_F_P]")</f>
        <v/>
      </c>
      <c r="BJ347" s="68" t="str" vm="14878">
        <f>CUBEVALUE(ConnectionString,ReportMonth,Table1[[#This Row],[Site ID (from DATIM)]],"[Measures].[TX_NEW_M_P]")</f>
        <v/>
      </c>
      <c r="BK347" s="68"/>
      <c r="BL347" s="68"/>
      <c r="BM347" s="68"/>
      <c r="BN347" s="68"/>
      <c r="BO347" s="68"/>
      <c r="BP347" s="68"/>
      <c r="BQ347" s="68" t="str" vm="9303">
        <f>CUBEVALUE(ConnectionString,ReportMonth,Table1[[#This Row],[Site ID (from DATIM)]],"[Measures].[TX_CURR_F_P]")</f>
        <v/>
      </c>
      <c r="BR347" s="68" t="str" vm="11801">
        <f>CUBEVALUE(ConnectionString,ReportMonth,Table1[[#This Row],[Site ID (from DATIM)]],"[Measures].[TX_CURR_M_P]")</f>
        <v/>
      </c>
      <c r="BS347" s="68" t="str" vm="16201">
        <f>CUBEVALUE(ConnectionString,ReportMonth,Table1[[#This Row],[Site ID (from DATIM)]],"[Measures].[TX_CURR_F_A]")</f>
        <v/>
      </c>
      <c r="BT347" s="68" t="str" vm="10441">
        <f>CUBEVALUE(ConnectionString,ReportMonth,Table1[[#This Row],[Site ID (from DATIM)]],"[Measures].[TX_CURR_M_A]")</f>
        <v/>
      </c>
      <c r="BU347" s="68" t="str" vm="18955">
        <f>CUBEVALUE(ConnectionString,ReportMonth,Table1[[#This Row],[Site ID (from DATIM)]],"[Measures].[MMS_01_89_F_P]")</f>
        <v/>
      </c>
      <c r="BV347" s="68" t="str" vm="18952">
        <f>CUBEVALUE(ConnectionString,ReportMonth,Table1[[#This Row],[Site ID (from DATIM)]],"[Measures].[MMS_01_89_M_P]")</f>
        <v/>
      </c>
      <c r="BW347" s="68" t="str" vm="19688">
        <f>CUBEVALUE(ConnectionString,ReportMonth,Table1[[#This Row],[Site ID (from DATIM)]],"[Measures].[MMS_01_89_F_A]")</f>
        <v/>
      </c>
      <c r="BX347" s="68" t="str" vm="18212">
        <f>CUBEVALUE(ConnectionString,ReportMonth,Table1[[#This Row],[Site ID (from DATIM)]],"[Measures].[MMS_01_89_M_A]")</f>
        <v/>
      </c>
      <c r="BY347" s="68" t="str" vm="15581">
        <f>CUBEVALUE(ConnectionString,ReportMonth,Table1[[#This Row],[Site ID (from DATIM)]],"[Measures].[MMS_90_179_F_P]")</f>
        <v/>
      </c>
      <c r="BZ347" s="68" t="str" vm="15627">
        <f>CUBEVALUE(ConnectionString,ReportMonth,Table1[[#This Row],[Site ID (from DATIM)]],"[Measures].[MMS_90_179_M_P]")</f>
        <v/>
      </c>
      <c r="CA347" s="68" t="str" vm="14638">
        <f>CUBEVALUE(ConnectionString,ReportMonth,Table1[[#This Row],[Site ID (from DATIM)]],"[Measures].[MMS_90_179_F_A]")</f>
        <v/>
      </c>
      <c r="CB347" s="68" t="str" vm="14703">
        <f>CUBEVALUE(ConnectionString,ReportMonth,Table1[[#This Row],[Site ID (from DATIM)]],"[Measures].[MMS_90_179_M_A]")</f>
        <v/>
      </c>
      <c r="CC347" s="68" t="str" vm="16809">
        <f>CUBEVALUE(ConnectionString,ReportMonth,Table1[[#This Row],[Site ID (from DATIM)]],"[Measures].[MMS_180+_F_P]")</f>
        <v/>
      </c>
      <c r="CD347" s="68" t="str" vm="15855">
        <f>CUBEVALUE(ConnectionString,ReportMonth,Table1[[#This Row],[Site ID (from DATIM)]],"[Measures].[MMS_180+_M_P]")</f>
        <v/>
      </c>
      <c r="CE347" s="68" t="str" vm="14506">
        <f>CUBEVALUE(ConnectionString,ReportMonth,Table1[[#This Row],[Site ID (from DATIM)]],"[Measures].[MMS_180+_F_A]")</f>
        <v/>
      </c>
      <c r="CF347" s="68" t="str" vm="17101">
        <f>CUBEVALUE(ConnectionString,ReportMonth,Table1[[#This Row],[Site ID (from DATIM)]],"[Measures].[MMS_180+_M_A]")</f>
        <v/>
      </c>
      <c r="CG347" s="68" t="str" vm="5455">
        <f>CUBEVALUE(ConnectionString,ReportMonth,Table1[[#This Row],[Site ID (from DATIM)]],"[Measures].[MISSEDAPP]")</f>
        <v/>
      </c>
      <c r="CH347" s="68" t="str" vm="11412">
        <f>CUBEVALUE(ConnectionString,ReportMonth,Table1[[#This Row],[Site ID (from DATIM)]],"[Measures].[MMS_180+_P]")</f>
        <v/>
      </c>
      <c r="CI347" s="68" t="str" vm="11204">
        <f>CUBEVALUE(ConnectionString,ReportMonth,Table1[[#This Row],[Site ID (from DATIM)]],"[Measures].[MMS_180+_A]")</f>
        <v/>
      </c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  <c r="CW347" s="68"/>
      <c r="CX347" s="68"/>
      <c r="CY347" s="68"/>
      <c r="CZ347" s="68"/>
      <c r="DA347" s="68"/>
      <c r="DB347" s="68"/>
      <c r="DC347" s="68"/>
    </row>
    <row r="348" spans="1:107" x14ac:dyDescent="0.25">
      <c r="A348" s="66">
        <v>4</v>
      </c>
      <c r="B348" s="67" t="str" vm="4">
        <f t="shared" si="6"/>
        <v>Mar-2021</v>
      </c>
      <c r="C348" s="67"/>
      <c r="D348" s="67" t="s">
        <v>232</v>
      </c>
      <c r="E348" s="67" t="s">
        <v>233</v>
      </c>
      <c r="F348" s="67" t="s">
        <v>234</v>
      </c>
      <c r="G348" s="67"/>
      <c r="H348" s="67" t="s">
        <v>249</v>
      </c>
      <c r="I348" s="67" t="s">
        <v>386</v>
      </c>
      <c r="J348" s="67" t="s">
        <v>387</v>
      </c>
      <c r="K348" s="67" t="s">
        <v>388</v>
      </c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 t="str" vm="1681">
        <f>CUBEVALUE(ConnectionString,ReportMonth,Table1[[#This Row],[Site ID (from DATIM)]],"TX_NEW_2VIS")</f>
        <v/>
      </c>
      <c r="AE348" s="67" t="str" vm="416">
        <f>CUBEVALUE(ConnectionString,ReportMonth,Table1[[#This Row],[Site ID (from DATIM)]],INDEX(SDI_Measures,1))</f>
        <v/>
      </c>
      <c r="AF348" s="67" t="str" vm="1722">
        <f>CUBEVALUE(ConnectionString,ReportMonth,Table1[[#This Row],[Site ID (from DATIM)]],INDEX(SDI_Measures,2))</f>
        <v/>
      </c>
      <c r="AG348" s="67" t="str" vm="3049">
        <f>CUBEVALUE(ConnectionString,ReportMonth,Table1[[#This Row],[Site ID (from DATIM)]],INDEX(SDI_Measures,3))</f>
        <v/>
      </c>
      <c r="AH348" s="67" vm="3834">
        <f>CUBEVALUE(ConnectionString,ReportMonth,Table1[[#This Row],[Site ID (from DATIM)]],"TX_CURR_PRIOR_MONTH")</f>
        <v>13</v>
      </c>
      <c r="AI348" s="67" vm="7350">
        <f>CUBEVALUE(ConnectionString,ReportMonth,Table1[[#This Row],[Site ID (from DATIM)]],"TX_CURR")</f>
        <v>12</v>
      </c>
      <c r="AJ348" s="67" t="str" vm="1157">
        <f>CUBEVALUE(ConnectionString,ReportMonth,Table1[[#This Row],[Site ID (from DATIM)]],"[Measures].[TI]")</f>
        <v/>
      </c>
      <c r="AK348" s="67" t="str" vm="1501">
        <f>CUBEVALUE(ConnectionString,ReportMonth,Table1[[#This Row],[Site ID (from DATIM)]],"[Measures].[TO]")</f>
        <v/>
      </c>
      <c r="AL348" s="67" t="str" vm="2864">
        <f>CUBEVALUE(ConnectionString,ReportMonth,Table1[[#This Row],[Site ID (from DATIM)]],"[Measures].[DIED]")</f>
        <v/>
      </c>
      <c r="AM348" s="67" vm="7208">
        <f>CUBEVALUE(ConnectionString,ReportMonth,Table1[[#This Row],[Site ID (from DATIM)]],"[Measures].[MMS_01_31]")</f>
        <v>7</v>
      </c>
      <c r="AN348" s="67" vm="7363">
        <f>CUBEVALUE(ConnectionString,ReportMonth,Table1[[#This Row],[Site ID (from DATIM)]],"[Measures].[MMS_32_62]")</f>
        <v>1</v>
      </c>
      <c r="AO348" s="67" vm="11920">
        <f>CUBEVALUE(ConnectionString,ReportMonth,Table1[[#This Row],[Site ID (from DATIM)]],"[Measures].[MMS_63+]")</f>
        <v>4</v>
      </c>
      <c r="AP348" s="67" t="str" vm="5978">
        <f>CUBEVALUE(ConnectionString,ReportMonth,Table1[[#This Row],[Site ID (from DATIM)]],"[Measures].[TBPREV_D]")</f>
        <v/>
      </c>
      <c r="AQ348" s="67" t="str" vm="5639">
        <f>CUBEVALUE(ConnectionString,ReportMonth,Table1[[#This Row],[Site ID (from DATIM)]],"[Measures].[TBPREV_N]")</f>
        <v/>
      </c>
      <c r="AR348" s="67" t="str" vm="7359">
        <f>CUBEVALUE(ConnectionString,ReportMonth,Table1[[#This Row],[Site ID (from DATIM)]],"[Measures].[TBPREV_NEW]")</f>
        <v/>
      </c>
      <c r="AS348" s="67" vm="5084">
        <f>CUBEVALUE(ConnectionString,ReportMonth,Table1[[#This Row],[Site ID (from DATIM)]],"[Measures].[HVL_ELIG_P]")</f>
        <v>1</v>
      </c>
      <c r="AT348" s="67" t="str" vm="5124">
        <f>CUBEVALUE(ConnectionString,ReportMonth,Table1[[#This Row],[Site ID (from DATIM)]],"[Measures].[HVL_D_P]")</f>
        <v/>
      </c>
      <c r="AU348" s="67" t="str" vm="11803">
        <f>CUBEVALUE(ConnectionString,ReportMonth,Table1[[#This Row],[Site ID (from DATIM)]],"[Measures].[HVL_N_P]")</f>
        <v/>
      </c>
      <c r="AV348" s="68" vm="14288">
        <f>CUBEVALUE(ConnectionString,ReportMonth,Table1[[#This Row],[Site ID (from DATIM)]],"[Measures].[HVL_ELIG_A]")</f>
        <v>9</v>
      </c>
      <c r="AW348" s="68" vm="10077">
        <f>CUBEVALUE(ConnectionString,ReportMonth,Table1[[#This Row],[Site ID (from DATIM)]],"[Measures].[HVL_D_A]")</f>
        <v>2</v>
      </c>
      <c r="AX348" s="68" vm="9863">
        <f>CUBEVALUE(ConnectionString,ReportMonth,Table1[[#This Row],[Site ID (from DATIM)]],"[Measures].[HVL_N_A]")</f>
        <v>2</v>
      </c>
      <c r="AY348" s="67"/>
      <c r="AZ348" s="67"/>
      <c r="BA348" s="67"/>
      <c r="BB348" s="67"/>
      <c r="BC348" s="67"/>
      <c r="BD348" s="67"/>
      <c r="BE348" s="67"/>
      <c r="BF348" s="67"/>
      <c r="BG348" s="67" t="str" vm="13078">
        <f>CUBEVALUE(ConnectionString,ReportMonth,Table1[[#This Row],[Site ID (from DATIM)]],"[Measures].[TX_NEW_F_A]")</f>
        <v/>
      </c>
      <c r="BH348" s="67" t="str" vm="12705">
        <f>CUBEVALUE(ConnectionString,ReportMonth,Table1[[#This Row],[Site ID (from DATIM)]],"[Measures].[TX_NEW_M_A]")</f>
        <v/>
      </c>
      <c r="BI348" s="67" t="str" vm="14797">
        <f>CUBEVALUE(ConnectionString,ReportMonth,Table1[[#This Row],[Site ID (from DATIM)]],"[Measures].[TX_NEW_F_P]")</f>
        <v/>
      </c>
      <c r="BJ348" s="68" t="str" vm="13714">
        <f>CUBEVALUE(ConnectionString,ReportMonth,Table1[[#This Row],[Site ID (from DATIM)]],"[Measures].[TX_NEW_M_P]")</f>
        <v/>
      </c>
      <c r="BK348" s="68"/>
      <c r="BL348" s="68"/>
      <c r="BM348" s="68"/>
      <c r="BN348" s="68"/>
      <c r="BO348" s="68"/>
      <c r="BP348" s="68"/>
      <c r="BQ348" s="68" t="str" vm="9498">
        <f>CUBEVALUE(ConnectionString,ReportMonth,Table1[[#This Row],[Site ID (from DATIM)]],"[Measures].[TX_CURR_F_P]")</f>
        <v/>
      </c>
      <c r="BR348" s="68" vm="9270">
        <f>CUBEVALUE(ConnectionString,ReportMonth,Table1[[#This Row],[Site ID (from DATIM)]],"[Measures].[TX_CURR_M_P]")</f>
        <v>1</v>
      </c>
      <c r="BS348" s="68" vm="9767">
        <f>CUBEVALUE(ConnectionString,ReportMonth,Table1[[#This Row],[Site ID (from DATIM)]],"[Measures].[TX_CURR_F_A]")</f>
        <v>8</v>
      </c>
      <c r="BT348" s="68" vm="6388">
        <f>CUBEVALUE(ConnectionString,ReportMonth,Table1[[#This Row],[Site ID (from DATIM)]],"[Measures].[TX_CURR_M_A]")</f>
        <v>3</v>
      </c>
      <c r="BU348" s="68" t="str" vm="18693">
        <f>CUBEVALUE(ConnectionString,ReportMonth,Table1[[#This Row],[Site ID (from DATIM)]],"[Measures].[MMS_01_89_F_P]")</f>
        <v/>
      </c>
      <c r="BV348" s="68" t="str" vm="18992">
        <f>CUBEVALUE(ConnectionString,ReportMonth,Table1[[#This Row],[Site ID (from DATIM)]],"[Measures].[MMS_01_89_M_P]")</f>
        <v/>
      </c>
      <c r="BW348" s="68" vm="19423">
        <f>CUBEVALUE(ConnectionString,ReportMonth,Table1[[#This Row],[Site ID (from DATIM)]],"[Measures].[MMS_01_89_F_A]")</f>
        <v>6</v>
      </c>
      <c r="BX348" s="68" vm="17841">
        <f>CUBEVALUE(ConnectionString,ReportMonth,Table1[[#This Row],[Site ID (from DATIM)]],"[Measures].[MMS_01_89_M_A]")</f>
        <v>2</v>
      </c>
      <c r="BY348" s="68" t="str" vm="19584">
        <f>CUBEVALUE(ConnectionString,ReportMonth,Table1[[#This Row],[Site ID (from DATIM)]],"[Measures].[MMS_90_179_F_P]")</f>
        <v/>
      </c>
      <c r="BZ348" s="68" vm="16104">
        <f>CUBEVALUE(ConnectionString,ReportMonth,Table1[[#This Row],[Site ID (from DATIM)]],"[Measures].[MMS_90_179_M_P]")</f>
        <v>1</v>
      </c>
      <c r="CA348" s="68" vm="16397">
        <f>CUBEVALUE(ConnectionString,ReportMonth,Table1[[#This Row],[Site ID (from DATIM)]],"[Measures].[MMS_90_179_F_A]")</f>
        <v>2</v>
      </c>
      <c r="CB348" s="68" vm="16795">
        <f>CUBEVALUE(ConnectionString,ReportMonth,Table1[[#This Row],[Site ID (from DATIM)]],"[Measures].[MMS_90_179_M_A]")</f>
        <v>1</v>
      </c>
      <c r="CC348" s="68" t="str" vm="232">
        <f>CUBEVALUE(ConnectionString,ReportMonth,Table1[[#This Row],[Site ID (from DATIM)]],"[Measures].[MMS_180+_F_P]")</f>
        <v/>
      </c>
      <c r="CD348" s="68" t="str" vm="15481">
        <f>CUBEVALUE(ConnectionString,ReportMonth,Table1[[#This Row],[Site ID (from DATIM)]],"[Measures].[MMS_180+_M_P]")</f>
        <v/>
      </c>
      <c r="CE348" s="68" t="str" vm="178">
        <f>CUBEVALUE(ConnectionString,ReportMonth,Table1[[#This Row],[Site ID (from DATIM)]],"[Measures].[MMS_180+_F_A]")</f>
        <v/>
      </c>
      <c r="CF348" s="68" t="str" vm="260">
        <f>CUBEVALUE(ConnectionString,ReportMonth,Table1[[#This Row],[Site ID (from DATIM)]],"[Measures].[MMS_180+_M_A]")</f>
        <v/>
      </c>
      <c r="CG348" s="68" vm="6273">
        <f>CUBEVALUE(ConnectionString,ReportMonth,Table1[[#This Row],[Site ID (from DATIM)]],"[Measures].[MISSEDAPP]")</f>
        <v>7</v>
      </c>
      <c r="CH348" s="68" t="str" vm="12676">
        <f>CUBEVALUE(ConnectionString,ReportMonth,Table1[[#This Row],[Site ID (from DATIM)]],"[Measures].[MMS_180+_P]")</f>
        <v/>
      </c>
      <c r="CI348" s="68" t="str" vm="11036">
        <f>CUBEVALUE(ConnectionString,ReportMonth,Table1[[#This Row],[Site ID (from DATIM)]],"[Measures].[MMS_180+_A]")</f>
        <v/>
      </c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  <c r="CW348" s="68"/>
      <c r="CX348" s="68"/>
      <c r="CY348" s="68"/>
      <c r="CZ348" s="68"/>
      <c r="DA348" s="68"/>
      <c r="DB348" s="68"/>
      <c r="DC348" s="68"/>
    </row>
    <row r="349" spans="1:107" x14ac:dyDescent="0.25">
      <c r="A349" s="66">
        <v>4</v>
      </c>
      <c r="B349" s="67" t="str" vm="4">
        <f t="shared" si="6"/>
        <v>Mar-2021</v>
      </c>
      <c r="C349" s="67"/>
      <c r="D349" s="67" t="s">
        <v>232</v>
      </c>
      <c r="E349" s="67" t="s">
        <v>233</v>
      </c>
      <c r="F349" s="67" t="s">
        <v>831</v>
      </c>
      <c r="G349" s="67"/>
      <c r="H349" s="67" t="s">
        <v>832</v>
      </c>
      <c r="I349" s="67" t="s">
        <v>1008</v>
      </c>
      <c r="J349" s="67" t="s">
        <v>1009</v>
      </c>
      <c r="K349" s="67" t="s">
        <v>1010</v>
      </c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 t="str" vm="1609">
        <f>CUBEVALUE(ConnectionString,ReportMonth,Table1[[#This Row],[Site ID (from DATIM)]],"TX_NEW_2VIS")</f>
        <v/>
      </c>
      <c r="AE349" s="67" t="str" vm="1336">
        <f>CUBEVALUE(ConnectionString,ReportMonth,Table1[[#This Row],[Site ID (from DATIM)]],INDEX(SDI_Measures,1))</f>
        <v/>
      </c>
      <c r="AF349" s="67" t="str" vm="78">
        <f>CUBEVALUE(ConnectionString,ReportMonth,Table1[[#This Row],[Site ID (from DATIM)]],INDEX(SDI_Measures,2))</f>
        <v/>
      </c>
      <c r="AG349" s="67" t="str" vm="2910">
        <f>CUBEVALUE(ConnectionString,ReportMonth,Table1[[#This Row],[Site ID (from DATIM)]],INDEX(SDI_Measures,3))</f>
        <v/>
      </c>
      <c r="AH349" s="67" t="str" vm="3921">
        <f>CUBEVALUE(ConnectionString,ReportMonth,Table1[[#This Row],[Site ID (from DATIM)]],"TX_CURR_PRIOR_MONTH")</f>
        <v/>
      </c>
      <c r="AI349" s="67" t="str" vm="802">
        <f>CUBEVALUE(ConnectionString,ReportMonth,Table1[[#This Row],[Site ID (from DATIM)]],"TX_CURR")</f>
        <v/>
      </c>
      <c r="AJ349" s="67" t="str" vm="2925">
        <f>CUBEVALUE(ConnectionString,ReportMonth,Table1[[#This Row],[Site ID (from DATIM)]],"[Measures].[TI]")</f>
        <v/>
      </c>
      <c r="AK349" s="67" t="str" vm="1447">
        <f>CUBEVALUE(ConnectionString,ReportMonth,Table1[[#This Row],[Site ID (from DATIM)]],"[Measures].[TO]")</f>
        <v/>
      </c>
      <c r="AL349" s="67" t="str" vm="2962">
        <f>CUBEVALUE(ConnectionString,ReportMonth,Table1[[#This Row],[Site ID (from DATIM)]],"[Measures].[DIED]")</f>
        <v/>
      </c>
      <c r="AM349" s="67" t="str" vm="5475">
        <f>CUBEVALUE(ConnectionString,ReportMonth,Table1[[#This Row],[Site ID (from DATIM)]],"[Measures].[MMS_01_31]")</f>
        <v/>
      </c>
      <c r="AN349" s="67" t="str" vm="6941">
        <f>CUBEVALUE(ConnectionString,ReportMonth,Table1[[#This Row],[Site ID (from DATIM)]],"[Measures].[MMS_32_62]")</f>
        <v/>
      </c>
      <c r="AO349" s="67" t="str" vm="7882">
        <f>CUBEVALUE(ConnectionString,ReportMonth,Table1[[#This Row],[Site ID (from DATIM)]],"[Measures].[MMS_63+]")</f>
        <v/>
      </c>
      <c r="AP349" s="67" t="str" vm="7375">
        <f>CUBEVALUE(ConnectionString,ReportMonth,Table1[[#This Row],[Site ID (from DATIM)]],"[Measures].[TBPREV_D]")</f>
        <v/>
      </c>
      <c r="AQ349" s="67" t="str" vm="5939">
        <f>CUBEVALUE(ConnectionString,ReportMonth,Table1[[#This Row],[Site ID (from DATIM)]],"[Measures].[TBPREV_N]")</f>
        <v/>
      </c>
      <c r="AR349" s="67" t="str" vm="13489">
        <f>CUBEVALUE(ConnectionString,ReportMonth,Table1[[#This Row],[Site ID (from DATIM)]],"[Measures].[TBPREV_NEW]")</f>
        <v/>
      </c>
      <c r="AS349" s="67" t="str" vm="5001">
        <f>CUBEVALUE(ConnectionString,ReportMonth,Table1[[#This Row],[Site ID (from DATIM)]],"[Measures].[HVL_ELIG_P]")</f>
        <v/>
      </c>
      <c r="AT349" s="67" t="str" vm="7633">
        <f>CUBEVALUE(ConnectionString,ReportMonth,Table1[[#This Row],[Site ID (from DATIM)]],"[Measures].[HVL_D_P]")</f>
        <v/>
      </c>
      <c r="AU349" s="67" t="str" vm="9734">
        <f>CUBEVALUE(ConnectionString,ReportMonth,Table1[[#This Row],[Site ID (from DATIM)]],"[Measures].[HVL_N_P]")</f>
        <v/>
      </c>
      <c r="AV349" s="68" t="str" vm="12135">
        <f>CUBEVALUE(ConnectionString,ReportMonth,Table1[[#This Row],[Site ID (from DATIM)]],"[Measures].[HVL_ELIG_A]")</f>
        <v/>
      </c>
      <c r="AW349" s="68" t="str" vm="8445">
        <f>CUBEVALUE(ConnectionString,ReportMonth,Table1[[#This Row],[Site ID (from DATIM)]],"[Measures].[HVL_D_A]")</f>
        <v/>
      </c>
      <c r="AX349" s="68" t="str" vm="8208">
        <f>CUBEVALUE(ConnectionString,ReportMonth,Table1[[#This Row],[Site ID (from DATIM)]],"[Measures].[HVL_N_A]")</f>
        <v/>
      </c>
      <c r="AY349" s="67"/>
      <c r="AZ349" s="67"/>
      <c r="BA349" s="67"/>
      <c r="BB349" s="67"/>
      <c r="BC349" s="67"/>
      <c r="BD349" s="67"/>
      <c r="BE349" s="67"/>
      <c r="BF349" s="67"/>
      <c r="BG349" s="67" t="str" vm="13752">
        <f>CUBEVALUE(ConnectionString,ReportMonth,Table1[[#This Row],[Site ID (from DATIM)]],"[Measures].[TX_NEW_F_A]")</f>
        <v/>
      </c>
      <c r="BH349" s="67" t="str" vm="14026">
        <f>CUBEVALUE(ConnectionString,ReportMonth,Table1[[#This Row],[Site ID (from DATIM)]],"[Measures].[TX_NEW_M_A]")</f>
        <v/>
      </c>
      <c r="BI349" s="67" t="str" vm="12321">
        <f>CUBEVALUE(ConnectionString,ReportMonth,Table1[[#This Row],[Site ID (from DATIM)]],"[Measures].[TX_NEW_F_P]")</f>
        <v/>
      </c>
      <c r="BJ349" s="68" t="str" vm="13962">
        <f>CUBEVALUE(ConnectionString,ReportMonth,Table1[[#This Row],[Site ID (from DATIM)]],"[Measures].[TX_NEW_M_P]")</f>
        <v/>
      </c>
      <c r="BK349" s="68"/>
      <c r="BL349" s="68"/>
      <c r="BM349" s="68"/>
      <c r="BN349" s="68"/>
      <c r="BO349" s="68"/>
      <c r="BP349" s="68"/>
      <c r="BQ349" s="68" t="str" vm="8141">
        <f>CUBEVALUE(ConnectionString,ReportMonth,Table1[[#This Row],[Site ID (from DATIM)]],"[Measures].[TX_CURR_F_P]")</f>
        <v/>
      </c>
      <c r="BR349" s="68" t="str" vm="9125">
        <f>CUBEVALUE(ConnectionString,ReportMonth,Table1[[#This Row],[Site ID (from DATIM)]],"[Measures].[TX_CURR_M_P]")</f>
        <v/>
      </c>
      <c r="BS349" s="68" t="str" vm="13223">
        <f>CUBEVALUE(ConnectionString,ReportMonth,Table1[[#This Row],[Site ID (from DATIM)]],"[Measures].[TX_CURR_F_A]")</f>
        <v/>
      </c>
      <c r="BT349" s="68" t="str" vm="8066">
        <f>CUBEVALUE(ConnectionString,ReportMonth,Table1[[#This Row],[Site ID (from DATIM)]],"[Measures].[TX_CURR_M_A]")</f>
        <v/>
      </c>
      <c r="BU349" s="68" t="str" vm="18134">
        <f>CUBEVALUE(ConnectionString,ReportMonth,Table1[[#This Row],[Site ID (from DATIM)]],"[Measures].[MMS_01_89_F_P]")</f>
        <v/>
      </c>
      <c r="BV349" s="68" t="str" vm="18991">
        <f>CUBEVALUE(ConnectionString,ReportMonth,Table1[[#This Row],[Site ID (from DATIM)]],"[Measures].[MMS_01_89_M_P]")</f>
        <v/>
      </c>
      <c r="BW349" s="68" t="str" vm="18216">
        <f>CUBEVALUE(ConnectionString,ReportMonth,Table1[[#This Row],[Site ID (from DATIM)]],"[Measures].[MMS_01_89_F_A]")</f>
        <v/>
      </c>
      <c r="BX349" s="68" t="str" vm="19666">
        <f>CUBEVALUE(ConnectionString,ReportMonth,Table1[[#This Row],[Site ID (from DATIM)]],"[Measures].[MMS_01_89_M_A]")</f>
        <v/>
      </c>
      <c r="BY349" s="68" t="str" vm="19599">
        <f>CUBEVALUE(ConnectionString,ReportMonth,Table1[[#This Row],[Site ID (from DATIM)]],"[Measures].[MMS_90_179_F_P]")</f>
        <v/>
      </c>
      <c r="BZ349" s="68" t="str" vm="14647">
        <f>CUBEVALUE(ConnectionString,ReportMonth,Table1[[#This Row],[Site ID (from DATIM)]],"[Measures].[MMS_90_179_M_P]")</f>
        <v/>
      </c>
      <c r="CA349" s="68" t="str" vm="15621">
        <f>CUBEVALUE(ConnectionString,ReportMonth,Table1[[#This Row],[Site ID (from DATIM)]],"[Measures].[MMS_90_179_F_A]")</f>
        <v/>
      </c>
      <c r="CB349" s="68" t="str" vm="15016">
        <f>CUBEVALUE(ConnectionString,ReportMonth,Table1[[#This Row],[Site ID (from DATIM)]],"[Measures].[MMS_90_179_M_A]")</f>
        <v/>
      </c>
      <c r="CC349" s="68" t="str" vm="15502">
        <f>CUBEVALUE(ConnectionString,ReportMonth,Table1[[#This Row],[Site ID (from DATIM)]],"[Measures].[MMS_180+_F_P]")</f>
        <v/>
      </c>
      <c r="CD349" s="68" t="str" vm="16237">
        <f>CUBEVALUE(ConnectionString,ReportMonth,Table1[[#This Row],[Site ID (from DATIM)]],"[Measures].[MMS_180+_M_P]")</f>
        <v/>
      </c>
      <c r="CE349" s="68" t="str" vm="17498">
        <f>CUBEVALUE(ConnectionString,ReportMonth,Table1[[#This Row],[Site ID (from DATIM)]],"[Measures].[MMS_180+_F_A]")</f>
        <v/>
      </c>
      <c r="CF349" s="68" t="str" vm="17455">
        <f>CUBEVALUE(ConnectionString,ReportMonth,Table1[[#This Row],[Site ID (from DATIM)]],"[Measures].[MMS_180+_M_A]")</f>
        <v/>
      </c>
      <c r="CG349" s="68" t="str" vm="6985">
        <f>CUBEVALUE(ConnectionString,ReportMonth,Table1[[#This Row],[Site ID (from DATIM)]],"[Measures].[MISSEDAPP]")</f>
        <v/>
      </c>
      <c r="CH349" s="68" t="str" vm="9201">
        <f>CUBEVALUE(ConnectionString,ReportMonth,Table1[[#This Row],[Site ID (from DATIM)]],"[Measures].[MMS_180+_P]")</f>
        <v/>
      </c>
      <c r="CI349" s="68" t="str" vm="11157">
        <f>CUBEVALUE(ConnectionString,ReportMonth,Table1[[#This Row],[Site ID (from DATIM)]],"[Measures].[MMS_180+_A]")</f>
        <v/>
      </c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  <c r="CW349" s="68"/>
      <c r="CX349" s="68"/>
      <c r="CY349" s="68"/>
      <c r="CZ349" s="68"/>
      <c r="DA349" s="68"/>
      <c r="DB349" s="68"/>
      <c r="DC349" s="68"/>
    </row>
    <row r="350" spans="1:107" x14ac:dyDescent="0.25">
      <c r="A350" s="66">
        <v>2</v>
      </c>
      <c r="B350" s="67" t="str" vm="4">
        <f t="shared" si="6"/>
        <v>Mar-2021</v>
      </c>
      <c r="C350" s="67"/>
      <c r="D350" s="67" t="s">
        <v>232</v>
      </c>
      <c r="E350" s="67" t="s">
        <v>233</v>
      </c>
      <c r="F350" s="67" t="s">
        <v>234</v>
      </c>
      <c r="G350" s="67"/>
      <c r="H350" s="67" t="s">
        <v>239</v>
      </c>
      <c r="I350" s="67" t="s">
        <v>243</v>
      </c>
      <c r="J350" s="67" t="s">
        <v>389</v>
      </c>
      <c r="K350" s="67" t="s">
        <v>390</v>
      </c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 vm="3799">
        <f>CUBEVALUE(ConnectionString,ReportMonth,Table1[[#This Row],[Site ID (from DATIM)]],"TX_NEW_2VIS")</f>
        <v>6</v>
      </c>
      <c r="AE350" s="67" vm="3513">
        <f>CUBEVALUE(ConnectionString,ReportMonth,Table1[[#This Row],[Site ID (from DATIM)]],INDEX(SDI_Measures,1))</f>
        <v>12</v>
      </c>
      <c r="AF350" s="67" t="str" vm="3337">
        <f>CUBEVALUE(ConnectionString,ReportMonth,Table1[[#This Row],[Site ID (from DATIM)]],INDEX(SDI_Measures,2))</f>
        <v/>
      </c>
      <c r="AG350" s="67" t="str" vm="3239">
        <f>CUBEVALUE(ConnectionString,ReportMonth,Table1[[#This Row],[Site ID (from DATIM)]],INDEX(SDI_Measures,3))</f>
        <v/>
      </c>
      <c r="AH350" s="67" vm="1929">
        <f>CUBEVALUE(ConnectionString,ReportMonth,Table1[[#This Row],[Site ID (from DATIM)]],"TX_CURR_PRIOR_MONTH")</f>
        <v>1338</v>
      </c>
      <c r="AI350" s="67" vm="2579">
        <f>CUBEVALUE(ConnectionString,ReportMonth,Table1[[#This Row],[Site ID (from DATIM)]],"TX_CURR")</f>
        <v>1283</v>
      </c>
      <c r="AJ350" s="67" vm="4113">
        <f>CUBEVALUE(ConnectionString,ReportMonth,Table1[[#This Row],[Site ID (from DATIM)]],"[Measures].[TI]")</f>
        <v>1</v>
      </c>
      <c r="AK350" s="67" vm="2464">
        <f>CUBEVALUE(ConnectionString,ReportMonth,Table1[[#This Row],[Site ID (from DATIM)]],"[Measures].[TO]")</f>
        <v>1</v>
      </c>
      <c r="AL350" s="67" vm="3714">
        <f>CUBEVALUE(ConnectionString,ReportMonth,Table1[[#This Row],[Site ID (from DATIM)]],"[Measures].[DIED]")</f>
        <v>2</v>
      </c>
      <c r="AM350" s="67" vm="3614">
        <f>CUBEVALUE(ConnectionString,ReportMonth,Table1[[#This Row],[Site ID (from DATIM)]],"[Measures].[MMS_01_31]")</f>
        <v>446</v>
      </c>
      <c r="AN350" s="67" vm="5868">
        <f>CUBEVALUE(ConnectionString,ReportMonth,Table1[[#This Row],[Site ID (from DATIM)]],"[Measures].[MMS_32_62]")</f>
        <v>26</v>
      </c>
      <c r="AO350" s="67" vm="4570">
        <f>CUBEVALUE(ConnectionString,ReportMonth,Table1[[#This Row],[Site ID (from DATIM)]],"[Measures].[MMS_63+]")</f>
        <v>811</v>
      </c>
      <c r="AP350" s="67" vm="5348">
        <f>CUBEVALUE(ConnectionString,ReportMonth,Table1[[#This Row],[Site ID (from DATIM)]],"[Measures].[TBPREV_D]")</f>
        <v>25</v>
      </c>
      <c r="AQ350" s="67" vm="6892">
        <f>CUBEVALUE(ConnectionString,ReportMonth,Table1[[#This Row],[Site ID (from DATIM)]],"[Measures].[TBPREV_N]")</f>
        <v>15</v>
      </c>
      <c r="AR350" s="67" vm="5769">
        <f>CUBEVALUE(ConnectionString,ReportMonth,Table1[[#This Row],[Site ID (from DATIM)]],"[Measures].[TBPREV_NEW]")</f>
        <v>8</v>
      </c>
      <c r="AS350" s="67" vm="8759">
        <f>CUBEVALUE(ConnectionString,ReportMonth,Table1[[#This Row],[Site ID (from DATIM)]],"[Measures].[HVL_ELIG_P]")</f>
        <v>51</v>
      </c>
      <c r="AT350" s="67" vm="6975">
        <f>CUBEVALUE(ConnectionString,ReportMonth,Table1[[#This Row],[Site ID (from DATIM)]],"[Measures].[HVL_D_P]")</f>
        <v>50</v>
      </c>
      <c r="AU350" s="67" vm="7220">
        <f>CUBEVALUE(ConnectionString,ReportMonth,Table1[[#This Row],[Site ID (from DATIM)]],"[Measures].[HVL_N_P]")</f>
        <v>38</v>
      </c>
      <c r="AV350" s="68" vm="11617">
        <f>CUBEVALUE(ConnectionString,ReportMonth,Table1[[#This Row],[Site ID (from DATIM)]],"[Measures].[HVL_ELIG_A]")</f>
        <v>1086</v>
      </c>
      <c r="AW350" s="68" vm="9183">
        <f>CUBEVALUE(ConnectionString,ReportMonth,Table1[[#This Row],[Site ID (from DATIM)]],"[Measures].[HVL_D_A]")</f>
        <v>885</v>
      </c>
      <c r="AX350" s="68" vm="8532">
        <f>CUBEVALUE(ConnectionString,ReportMonth,Table1[[#This Row],[Site ID (from DATIM)]],"[Measures].[HVL_N_A]")</f>
        <v>832</v>
      </c>
      <c r="AY350" s="67"/>
      <c r="AZ350" s="67"/>
      <c r="BA350" s="67"/>
      <c r="BB350" s="67"/>
      <c r="BC350" s="67"/>
      <c r="BD350" s="67"/>
      <c r="BE350" s="67"/>
      <c r="BF350" s="67"/>
      <c r="BG350" s="67" vm="12699">
        <f>CUBEVALUE(ConnectionString,ReportMonth,Table1[[#This Row],[Site ID (from DATIM)]],"[Measures].[TX_NEW_F_A]")</f>
        <v>7</v>
      </c>
      <c r="BH350" s="67" vm="14078">
        <f>CUBEVALUE(ConnectionString,ReportMonth,Table1[[#This Row],[Site ID (from DATIM)]],"[Measures].[TX_NEW_M_A]")</f>
        <v>3</v>
      </c>
      <c r="BI350" s="67" vm="12600">
        <f>CUBEVALUE(ConnectionString,ReportMonth,Table1[[#This Row],[Site ID (from DATIM)]],"[Measures].[TX_NEW_F_P]")</f>
        <v>1</v>
      </c>
      <c r="BJ350" s="68" vm="11022">
        <f>CUBEVALUE(ConnectionString,ReportMonth,Table1[[#This Row],[Site ID (from DATIM)]],"[Measures].[TX_NEW_M_P]")</f>
        <v>1</v>
      </c>
      <c r="BK350" s="68"/>
      <c r="BL350" s="68"/>
      <c r="BM350" s="68"/>
      <c r="BN350" s="68"/>
      <c r="BO350" s="68"/>
      <c r="BP350" s="68"/>
      <c r="BQ350" s="68" vm="8553">
        <f>CUBEVALUE(ConnectionString,ReportMonth,Table1[[#This Row],[Site ID (from DATIM)]],"[Measures].[TX_CURR_F_P]")</f>
        <v>33</v>
      </c>
      <c r="BR350" s="68" vm="8464">
        <f>CUBEVALUE(ConnectionString,ReportMonth,Table1[[#This Row],[Site ID (from DATIM)]],"[Measures].[TX_CURR_M_P]")</f>
        <v>26</v>
      </c>
      <c r="BS350" s="68" vm="9320">
        <f>CUBEVALUE(ConnectionString,ReportMonth,Table1[[#This Row],[Site ID (from DATIM)]],"[Measures].[TX_CURR_F_A]")</f>
        <v>1023</v>
      </c>
      <c r="BT350" s="68" vm="10700">
        <f>CUBEVALUE(ConnectionString,ReportMonth,Table1[[#This Row],[Site ID (from DATIM)]],"[Measures].[TX_CURR_M_A]")</f>
        <v>201</v>
      </c>
      <c r="BU350" s="68" vm="19249">
        <f>CUBEVALUE(ConnectionString,ReportMonth,Table1[[#This Row],[Site ID (from DATIM)]],"[Measures].[MMS_01_89_F_P]")</f>
        <v>14</v>
      </c>
      <c r="BV350" s="68" vm="18977">
        <f>CUBEVALUE(ConnectionString,ReportMonth,Table1[[#This Row],[Site ID (from DATIM)]],"[Measures].[MMS_01_89_M_P]")</f>
        <v>13</v>
      </c>
      <c r="BW350" s="68" vm="18909">
        <f>CUBEVALUE(ConnectionString,ReportMonth,Table1[[#This Row],[Site ID (from DATIM)]],"[Measures].[MMS_01_89_F_A]")</f>
        <v>382</v>
      </c>
      <c r="BX350" s="68" vm="19747">
        <f>CUBEVALUE(ConnectionString,ReportMonth,Table1[[#This Row],[Site ID (from DATIM)]],"[Measures].[MMS_01_89_M_A]")</f>
        <v>64</v>
      </c>
      <c r="BY350" s="68" vm="18492">
        <f>CUBEVALUE(ConnectionString,ReportMonth,Table1[[#This Row],[Site ID (from DATIM)]],"[Measures].[MMS_90_179_F_P]")</f>
        <v>19</v>
      </c>
      <c r="BZ350" s="68" vm="18489">
        <f>CUBEVALUE(ConnectionString,ReportMonth,Table1[[#This Row],[Site ID (from DATIM)]],"[Measures].[MMS_90_179_M_P]")</f>
        <v>13</v>
      </c>
      <c r="CA350" s="68" vm="14697">
        <f>CUBEVALUE(ConnectionString,ReportMonth,Table1[[#This Row],[Site ID (from DATIM)]],"[Measures].[MMS_90_179_F_A]")</f>
        <v>640</v>
      </c>
      <c r="CB350" s="68" vm="15553">
        <f>CUBEVALUE(ConnectionString,ReportMonth,Table1[[#This Row],[Site ID (from DATIM)]],"[Measures].[MMS_90_179_M_A]")</f>
        <v>136</v>
      </c>
      <c r="CC350" s="68" t="str" vm="16433">
        <f>CUBEVALUE(ConnectionString,ReportMonth,Table1[[#This Row],[Site ID (from DATIM)]],"[Measures].[MMS_180+_F_P]")</f>
        <v/>
      </c>
      <c r="CD350" s="68" t="str" vm="17210">
        <f>CUBEVALUE(ConnectionString,ReportMonth,Table1[[#This Row],[Site ID (from DATIM)]],"[Measures].[MMS_180+_M_P]")</f>
        <v/>
      </c>
      <c r="CE350" s="68" vm="17504">
        <f>CUBEVALUE(ConnectionString,ReportMonth,Table1[[#This Row],[Site ID (from DATIM)]],"[Measures].[MMS_180+_F_A]")</f>
        <v>1</v>
      </c>
      <c r="CF350" s="68" vm="17087">
        <f>CUBEVALUE(ConnectionString,ReportMonth,Table1[[#This Row],[Site ID (from DATIM)]],"[Measures].[MMS_180+_M_A]")</f>
        <v>1</v>
      </c>
      <c r="CG350" s="68" vm="4675">
        <f>CUBEVALUE(ConnectionString,ReportMonth,Table1[[#This Row],[Site ID (from DATIM)]],"[Measures].[MISSEDAPP]")</f>
        <v>492</v>
      </c>
      <c r="CH350" s="68" t="str" vm="12725">
        <f>CUBEVALUE(ConnectionString,ReportMonth,Table1[[#This Row],[Site ID (from DATIM)]],"[Measures].[MMS_180+_P]")</f>
        <v/>
      </c>
      <c r="CI350" s="68" vm="10168">
        <f>CUBEVALUE(ConnectionString,ReportMonth,Table1[[#This Row],[Site ID (from DATIM)]],"[Measures].[MMS_180+_A]")</f>
        <v>2</v>
      </c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  <c r="CW350" s="68"/>
      <c r="CX350" s="68"/>
      <c r="CY350" s="68"/>
      <c r="CZ350" s="68"/>
      <c r="DA350" s="68"/>
      <c r="DB350" s="68"/>
      <c r="DC350" s="68"/>
    </row>
    <row r="351" spans="1:107" x14ac:dyDescent="0.25">
      <c r="A351" s="66">
        <v>4</v>
      </c>
      <c r="B351" s="67" t="str" vm="4">
        <f t="shared" si="6"/>
        <v>Mar-2021</v>
      </c>
      <c r="C351" s="67"/>
      <c r="D351" s="67" t="s">
        <v>232</v>
      </c>
      <c r="E351" s="67" t="s">
        <v>233</v>
      </c>
      <c r="F351" s="67" t="s">
        <v>234</v>
      </c>
      <c r="G351" s="67"/>
      <c r="H351" s="67" t="s">
        <v>235</v>
      </c>
      <c r="I351" s="67" t="s">
        <v>236</v>
      </c>
      <c r="J351" s="67" t="s">
        <v>391</v>
      </c>
      <c r="K351" s="67" t="s">
        <v>392</v>
      </c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 t="str" vm="3718">
        <f>CUBEVALUE(ConnectionString,ReportMonth,Table1[[#This Row],[Site ID (from DATIM)]],"TX_NEW_2VIS")</f>
        <v/>
      </c>
      <c r="AE351" s="67" t="str" vm="1343">
        <f>CUBEVALUE(ConnectionString,ReportMonth,Table1[[#This Row],[Site ID (from DATIM)]],INDEX(SDI_Measures,1))</f>
        <v/>
      </c>
      <c r="AF351" s="67" t="str" vm="716">
        <f>CUBEVALUE(ConnectionString,ReportMonth,Table1[[#This Row],[Site ID (from DATIM)]],INDEX(SDI_Measures,2))</f>
        <v/>
      </c>
      <c r="AG351" s="67" t="str" vm="2242">
        <f>CUBEVALUE(ConnectionString,ReportMonth,Table1[[#This Row],[Site ID (from DATIM)]],INDEX(SDI_Measures,3))</f>
        <v/>
      </c>
      <c r="AH351" s="67" vm="1961">
        <f>CUBEVALUE(ConnectionString,ReportMonth,Table1[[#This Row],[Site ID (from DATIM)]],"TX_CURR_PRIOR_MONTH")</f>
        <v>67</v>
      </c>
      <c r="AI351" s="67" vm="1321">
        <f>CUBEVALUE(ConnectionString,ReportMonth,Table1[[#This Row],[Site ID (from DATIM)]],"TX_CURR")</f>
        <v>34</v>
      </c>
      <c r="AJ351" s="67" t="str" vm="2245">
        <f>CUBEVALUE(ConnectionString,ReportMonth,Table1[[#This Row],[Site ID (from DATIM)]],"[Measures].[TI]")</f>
        <v/>
      </c>
      <c r="AK351" s="67" t="str" vm="2674">
        <f>CUBEVALUE(ConnectionString,ReportMonth,Table1[[#This Row],[Site ID (from DATIM)]],"[Measures].[TO]")</f>
        <v/>
      </c>
      <c r="AL351" s="67" t="str" vm="3280">
        <f>CUBEVALUE(ConnectionString,ReportMonth,Table1[[#This Row],[Site ID (from DATIM)]],"[Measures].[DIED]")</f>
        <v/>
      </c>
      <c r="AM351" s="67" vm="4238">
        <f>CUBEVALUE(ConnectionString,ReportMonth,Table1[[#This Row],[Site ID (from DATIM)]],"[Measures].[MMS_01_31]")</f>
        <v>3</v>
      </c>
      <c r="AN351" s="67" t="str" vm="7366">
        <f>CUBEVALUE(ConnectionString,ReportMonth,Table1[[#This Row],[Site ID (from DATIM)]],"[Measures].[MMS_32_62]")</f>
        <v/>
      </c>
      <c r="AO351" s="67" vm="7128">
        <f>CUBEVALUE(ConnectionString,ReportMonth,Table1[[#This Row],[Site ID (from DATIM)]],"[Measures].[MMS_63+]")</f>
        <v>31</v>
      </c>
      <c r="AP351" s="67" t="str" vm="6205">
        <f>CUBEVALUE(ConnectionString,ReportMonth,Table1[[#This Row],[Site ID (from DATIM)]],"[Measures].[TBPREV_D]")</f>
        <v/>
      </c>
      <c r="AQ351" s="67" t="str" vm="4717">
        <f>CUBEVALUE(ConnectionString,ReportMonth,Table1[[#This Row],[Site ID (from DATIM)]],"[Measures].[TBPREV_N]")</f>
        <v/>
      </c>
      <c r="AR351" s="67" t="str" vm="7658">
        <f>CUBEVALUE(ConnectionString,ReportMonth,Table1[[#This Row],[Site ID (from DATIM)]],"[Measures].[TBPREV_NEW]")</f>
        <v/>
      </c>
      <c r="AS351" s="67" t="str" vm="12962">
        <f>CUBEVALUE(ConnectionString,ReportMonth,Table1[[#This Row],[Site ID (from DATIM)]],"[Measures].[HVL_ELIG_P]")</f>
        <v/>
      </c>
      <c r="AT351" s="67" vm="5217">
        <f>CUBEVALUE(ConnectionString,ReportMonth,Table1[[#This Row],[Site ID (from DATIM)]],"[Measures].[HVL_D_P]")</f>
        <v>1</v>
      </c>
      <c r="AU351" s="67" vm="9033">
        <f>CUBEVALUE(ConnectionString,ReportMonth,Table1[[#This Row],[Site ID (from DATIM)]],"[Measures].[HVL_N_P]")</f>
        <v>1</v>
      </c>
      <c r="AV351" s="68" vm="10817">
        <f>CUBEVALUE(ConnectionString,ReportMonth,Table1[[#This Row],[Site ID (from DATIM)]],"[Measures].[HVL_ELIG_A]")</f>
        <v>32</v>
      </c>
      <c r="AW351" s="68" vm="12459">
        <f>CUBEVALUE(ConnectionString,ReportMonth,Table1[[#This Row],[Site ID (from DATIM)]],"[Measures].[HVL_D_A]")</f>
        <v>36</v>
      </c>
      <c r="AX351" s="68" vm="9712">
        <f>CUBEVALUE(ConnectionString,ReportMonth,Table1[[#This Row],[Site ID (from DATIM)]],"[Measures].[HVL_N_A]")</f>
        <v>30</v>
      </c>
      <c r="AY351" s="67"/>
      <c r="AZ351" s="67"/>
      <c r="BA351" s="67"/>
      <c r="BB351" s="67"/>
      <c r="BC351" s="67"/>
      <c r="BD351" s="67"/>
      <c r="BE351" s="67"/>
      <c r="BF351" s="67"/>
      <c r="BG351" s="67" t="str" vm="14409">
        <f>CUBEVALUE(ConnectionString,ReportMonth,Table1[[#This Row],[Site ID (from DATIM)]],"[Measures].[TX_NEW_F_A]")</f>
        <v/>
      </c>
      <c r="BH351" s="67" t="str" vm="13947">
        <f>CUBEVALUE(ConnectionString,ReportMonth,Table1[[#This Row],[Site ID (from DATIM)]],"[Measures].[TX_NEW_M_A]")</f>
        <v/>
      </c>
      <c r="BI351" s="67" t="str" vm="13795">
        <f>CUBEVALUE(ConnectionString,ReportMonth,Table1[[#This Row],[Site ID (from DATIM)]],"[Measures].[TX_NEW_F_P]")</f>
        <v/>
      </c>
      <c r="BJ351" s="68" t="str" vm="12568">
        <f>CUBEVALUE(ConnectionString,ReportMonth,Table1[[#This Row],[Site ID (from DATIM)]],"[Measures].[TX_NEW_M_P]")</f>
        <v/>
      </c>
      <c r="BK351" s="68"/>
      <c r="BL351" s="68"/>
      <c r="BM351" s="68"/>
      <c r="BN351" s="68"/>
      <c r="BO351" s="68"/>
      <c r="BP351" s="68"/>
      <c r="BQ351" s="68" t="str" vm="9006">
        <f>CUBEVALUE(ConnectionString,ReportMonth,Table1[[#This Row],[Site ID (from DATIM)]],"[Measures].[TX_CURR_F_P]")</f>
        <v/>
      </c>
      <c r="BR351" s="68" t="str" vm="11838">
        <f>CUBEVALUE(ConnectionString,ReportMonth,Table1[[#This Row],[Site ID (from DATIM)]],"[Measures].[TX_CURR_M_P]")</f>
        <v/>
      </c>
      <c r="BS351" s="68" vm="7232">
        <f>CUBEVALUE(ConnectionString,ReportMonth,Table1[[#This Row],[Site ID (from DATIM)]],"[Measures].[TX_CURR_F_A]")</f>
        <v>23</v>
      </c>
      <c r="BT351" s="68" vm="10410">
        <f>CUBEVALUE(ConnectionString,ReportMonth,Table1[[#This Row],[Site ID (from DATIM)]],"[Measures].[TX_CURR_M_A]")</f>
        <v>11</v>
      </c>
      <c r="BU351" s="68" t="str" vm="19250">
        <f>CUBEVALUE(ConnectionString,ReportMonth,Table1[[#This Row],[Site ID (from DATIM)]],"[Measures].[MMS_01_89_F_P]")</f>
        <v/>
      </c>
      <c r="BV351" s="68" t="str" vm="19231">
        <f>CUBEVALUE(ConnectionString,ReportMonth,Table1[[#This Row],[Site ID (from DATIM)]],"[Measures].[MMS_01_89_M_P]")</f>
        <v/>
      </c>
      <c r="BW351" s="68" vm="19227">
        <f>CUBEVALUE(ConnectionString,ReportMonth,Table1[[#This Row],[Site ID (from DATIM)]],"[Measures].[MMS_01_89_F_A]")</f>
        <v>3</v>
      </c>
      <c r="BX351" s="68" vm="17985">
        <f>CUBEVALUE(ConnectionString,ReportMonth,Table1[[#This Row],[Site ID (from DATIM)]],"[Measures].[MMS_01_89_M_A]")</f>
        <v>1</v>
      </c>
      <c r="BY351" s="68" t="str" vm="18228">
        <f>CUBEVALUE(ConnectionString,ReportMonth,Table1[[#This Row],[Site ID (from DATIM)]],"[Measures].[MMS_90_179_F_P]")</f>
        <v/>
      </c>
      <c r="BZ351" s="68" t="str" vm="16519">
        <f>CUBEVALUE(ConnectionString,ReportMonth,Table1[[#This Row],[Site ID (from DATIM)]],"[Measures].[MMS_90_179_M_P]")</f>
        <v/>
      </c>
      <c r="CA351" s="68" vm="14641">
        <f>CUBEVALUE(ConnectionString,ReportMonth,Table1[[#This Row],[Site ID (from DATIM)]],"[Measures].[MMS_90_179_F_A]")</f>
        <v>20</v>
      </c>
      <c r="CB351" s="68" vm="16012">
        <f>CUBEVALUE(ConnectionString,ReportMonth,Table1[[#This Row],[Site ID (from DATIM)]],"[Measures].[MMS_90_179_M_A]")</f>
        <v>10</v>
      </c>
      <c r="CC351" s="68" t="str" vm="15525">
        <f>CUBEVALUE(ConnectionString,ReportMonth,Table1[[#This Row],[Site ID (from DATIM)]],"[Measures].[MMS_180+_F_P]")</f>
        <v/>
      </c>
      <c r="CD351" s="68" t="str" vm="14984">
        <f>CUBEVALUE(ConnectionString,ReportMonth,Table1[[#This Row],[Site ID (from DATIM)]],"[Measures].[MMS_180+_M_P]")</f>
        <v/>
      </c>
      <c r="CE351" s="68" t="str" vm="14474">
        <f>CUBEVALUE(ConnectionString,ReportMonth,Table1[[#This Row],[Site ID (from DATIM)]],"[Measures].[MMS_180+_F_A]")</f>
        <v/>
      </c>
      <c r="CF351" s="68" t="str" vm="90">
        <f>CUBEVALUE(ConnectionString,ReportMonth,Table1[[#This Row],[Site ID (from DATIM)]],"[Measures].[MMS_180+_M_A]")</f>
        <v/>
      </c>
      <c r="CG351" s="68" vm="5701">
        <f>CUBEVALUE(ConnectionString,ReportMonth,Table1[[#This Row],[Site ID (from DATIM)]],"[Measures].[MISSEDAPP]")</f>
        <v>15</v>
      </c>
      <c r="CH351" s="68" t="str" vm="11947">
        <f>CUBEVALUE(ConnectionString,ReportMonth,Table1[[#This Row],[Site ID (from DATIM)]],"[Measures].[MMS_180+_P]")</f>
        <v/>
      </c>
      <c r="CI351" s="68" t="str" vm="13866">
        <f>CUBEVALUE(ConnectionString,ReportMonth,Table1[[#This Row],[Site ID (from DATIM)]],"[Measures].[MMS_180+_A]")</f>
        <v/>
      </c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  <c r="CW351" s="68"/>
      <c r="CX351" s="68"/>
      <c r="CY351" s="68"/>
      <c r="CZ351" s="68"/>
      <c r="DA351" s="68"/>
      <c r="DB351" s="68"/>
      <c r="DC351" s="68"/>
    </row>
    <row r="352" spans="1:107" x14ac:dyDescent="0.25">
      <c r="A352" s="66">
        <v>4</v>
      </c>
      <c r="B352" s="67" t="str" vm="4">
        <f t="shared" si="6"/>
        <v>Mar-2021</v>
      </c>
      <c r="C352" s="67"/>
      <c r="D352" s="67" t="s">
        <v>232</v>
      </c>
      <c r="E352" s="67" t="s">
        <v>233</v>
      </c>
      <c r="F352" s="67" t="s">
        <v>437</v>
      </c>
      <c r="G352" s="67"/>
      <c r="H352" s="67" t="s">
        <v>513</v>
      </c>
      <c r="I352" s="67" t="s">
        <v>748</v>
      </c>
      <c r="J352" s="67" t="s">
        <v>749</v>
      </c>
      <c r="K352" s="67" t="s">
        <v>750</v>
      </c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 t="str" vm="942">
        <f>CUBEVALUE(ConnectionString,ReportMonth,Table1[[#This Row],[Site ID (from DATIM)]],"TX_NEW_2VIS")</f>
        <v/>
      </c>
      <c r="AE352" s="67" t="str" vm="634">
        <f>CUBEVALUE(ConnectionString,ReportMonth,Table1[[#This Row],[Site ID (from DATIM)]],INDEX(SDI_Measures,1))</f>
        <v/>
      </c>
      <c r="AF352" s="67" t="str" vm="20170">
        <f>CUBEVALUE(ConnectionString,ReportMonth,Table1[[#This Row],[Site ID (from DATIM)]],INDEX(SDI_Measures,2))</f>
        <v/>
      </c>
      <c r="AG352" s="67" t="str" vm="1035">
        <f>CUBEVALUE(ConnectionString,ReportMonth,Table1[[#This Row],[Site ID (from DATIM)]],INDEX(SDI_Measures,3))</f>
        <v/>
      </c>
      <c r="AH352" s="67" t="str" vm="1695">
        <f>CUBEVALUE(ConnectionString,ReportMonth,Table1[[#This Row],[Site ID (from DATIM)]],"TX_CURR_PRIOR_MONTH")</f>
        <v/>
      </c>
      <c r="AI352" s="67" t="str" vm="2714">
        <f>CUBEVALUE(ConnectionString,ReportMonth,Table1[[#This Row],[Site ID (from DATIM)]],"TX_CURR")</f>
        <v/>
      </c>
      <c r="AJ352" s="67" t="str" vm="2612">
        <f>CUBEVALUE(ConnectionString,ReportMonth,Table1[[#This Row],[Site ID (from DATIM)]],"[Measures].[TI]")</f>
        <v/>
      </c>
      <c r="AK352" s="67" t="str" vm="1888">
        <f>CUBEVALUE(ConnectionString,ReportMonth,Table1[[#This Row],[Site ID (from DATIM)]],"[Measures].[TO]")</f>
        <v/>
      </c>
      <c r="AL352" s="67" t="str" vm="4387">
        <f>CUBEVALUE(ConnectionString,ReportMonth,Table1[[#This Row],[Site ID (from DATIM)]],"[Measures].[DIED]")</f>
        <v/>
      </c>
      <c r="AM352" s="67" t="str" vm="3967">
        <f>CUBEVALUE(ConnectionString,ReportMonth,Table1[[#This Row],[Site ID (from DATIM)]],"[Measures].[MMS_01_31]")</f>
        <v/>
      </c>
      <c r="AN352" s="67" t="str" vm="6939">
        <f>CUBEVALUE(ConnectionString,ReportMonth,Table1[[#This Row],[Site ID (from DATIM)]],"[Measures].[MMS_32_62]")</f>
        <v/>
      </c>
      <c r="AO352" s="67" t="str" vm="8314">
        <f>CUBEVALUE(ConnectionString,ReportMonth,Table1[[#This Row],[Site ID (from DATIM)]],"[Measures].[MMS_63+]")</f>
        <v/>
      </c>
      <c r="AP352" s="67" t="str" vm="7649">
        <f>CUBEVALUE(ConnectionString,ReportMonth,Table1[[#This Row],[Site ID (from DATIM)]],"[Measures].[TBPREV_D]")</f>
        <v/>
      </c>
      <c r="AQ352" s="67" t="str" vm="6474">
        <f>CUBEVALUE(ConnectionString,ReportMonth,Table1[[#This Row],[Site ID (from DATIM)]],"[Measures].[TBPREV_N]")</f>
        <v/>
      </c>
      <c r="AR352" s="67" t="str" vm="5098">
        <f>CUBEVALUE(ConnectionString,ReportMonth,Table1[[#This Row],[Site ID (from DATIM)]],"[Measures].[TBPREV_NEW]")</f>
        <v/>
      </c>
      <c r="AS352" s="67" t="str" vm="11615">
        <f>CUBEVALUE(ConnectionString,ReportMonth,Table1[[#This Row],[Site ID (from DATIM)]],"[Measures].[HVL_ELIG_P]")</f>
        <v/>
      </c>
      <c r="AT352" s="67" t="str" vm="5447">
        <f>CUBEVALUE(ConnectionString,ReportMonth,Table1[[#This Row],[Site ID (from DATIM)]],"[Measures].[HVL_D_P]")</f>
        <v/>
      </c>
      <c r="AU352" s="67" t="str" vm="8124">
        <f>CUBEVALUE(ConnectionString,ReportMonth,Table1[[#This Row],[Site ID (from DATIM)]],"[Measures].[HVL_N_P]")</f>
        <v/>
      </c>
      <c r="AV352" s="68" t="str" vm="9052">
        <f>CUBEVALUE(ConnectionString,ReportMonth,Table1[[#This Row],[Site ID (from DATIM)]],"[Measures].[HVL_ELIG_A]")</f>
        <v/>
      </c>
      <c r="AW352" s="68" t="str" vm="11865">
        <f>CUBEVALUE(ConnectionString,ReportMonth,Table1[[#This Row],[Site ID (from DATIM)]],"[Measures].[HVL_D_A]")</f>
        <v/>
      </c>
      <c r="AX352" s="68" t="str" vm="11071">
        <f>CUBEVALUE(ConnectionString,ReportMonth,Table1[[#This Row],[Site ID (from DATIM)]],"[Measures].[HVL_N_A]")</f>
        <v/>
      </c>
      <c r="AY352" s="67"/>
      <c r="AZ352" s="67"/>
      <c r="BA352" s="67"/>
      <c r="BB352" s="67"/>
      <c r="BC352" s="67"/>
      <c r="BD352" s="67"/>
      <c r="BE352" s="67"/>
      <c r="BF352" s="67"/>
      <c r="BG352" s="67" t="str" vm="10622">
        <f>CUBEVALUE(ConnectionString,ReportMonth,Table1[[#This Row],[Site ID (from DATIM)]],"[Measures].[TX_NEW_F_A]")</f>
        <v/>
      </c>
      <c r="BH352" s="67" t="str" vm="13358">
        <f>CUBEVALUE(ConnectionString,ReportMonth,Table1[[#This Row],[Site ID (from DATIM)]],"[Measures].[TX_NEW_M_A]")</f>
        <v/>
      </c>
      <c r="BI352" s="67" t="str" vm="15269">
        <f>CUBEVALUE(ConnectionString,ReportMonth,Table1[[#This Row],[Site ID (from DATIM)]],"[Measures].[TX_NEW_F_P]")</f>
        <v/>
      </c>
      <c r="BJ352" s="68" t="str" vm="16160">
        <f>CUBEVALUE(ConnectionString,ReportMonth,Table1[[#This Row],[Site ID (from DATIM)]],"[Measures].[TX_NEW_M_P]")</f>
        <v/>
      </c>
      <c r="BK352" s="68"/>
      <c r="BL352" s="68"/>
      <c r="BM352" s="68"/>
      <c r="BN352" s="68"/>
      <c r="BO352" s="68"/>
      <c r="BP352" s="68"/>
      <c r="BQ352" s="68" t="str" vm="7009">
        <f>CUBEVALUE(ConnectionString,ReportMonth,Table1[[#This Row],[Site ID (from DATIM)]],"[Measures].[TX_CURR_F_P]")</f>
        <v/>
      </c>
      <c r="BR352" s="68" t="str" vm="12986">
        <f>CUBEVALUE(ConnectionString,ReportMonth,Table1[[#This Row],[Site ID (from DATIM)]],"[Measures].[TX_CURR_M_P]")</f>
        <v/>
      </c>
      <c r="BS352" s="68" t="str" vm="11458">
        <f>CUBEVALUE(ConnectionString,ReportMonth,Table1[[#This Row],[Site ID (from DATIM)]],"[Measures].[TX_CURR_F_A]")</f>
        <v/>
      </c>
      <c r="BT352" s="68" t="str" vm="9119">
        <f>CUBEVALUE(ConnectionString,ReportMonth,Table1[[#This Row],[Site ID (from DATIM)]],"[Measures].[TX_CURR_M_A]")</f>
        <v/>
      </c>
      <c r="BU352" s="68" t="str" vm="18098">
        <f>CUBEVALUE(ConnectionString,ReportMonth,Table1[[#This Row],[Site ID (from DATIM)]],"[Measures].[MMS_01_89_F_P]")</f>
        <v/>
      </c>
      <c r="BV352" s="68" t="str" vm="19792">
        <f>CUBEVALUE(ConnectionString,ReportMonth,Table1[[#This Row],[Site ID (from DATIM)]],"[Measures].[MMS_01_89_M_P]")</f>
        <v/>
      </c>
      <c r="BW352" s="68" t="str" vm="18824">
        <f>CUBEVALUE(ConnectionString,ReportMonth,Table1[[#This Row],[Site ID (from DATIM)]],"[Measures].[MMS_01_89_F_A]")</f>
        <v/>
      </c>
      <c r="BX352" s="68" t="str" vm="17996">
        <f>CUBEVALUE(ConnectionString,ReportMonth,Table1[[#This Row],[Site ID (from DATIM)]],"[Measures].[MMS_01_89_M_A]")</f>
        <v/>
      </c>
      <c r="BY352" s="68" t="str" vm="18553">
        <f>CUBEVALUE(ConnectionString,ReportMonth,Table1[[#This Row],[Site ID (from DATIM)]],"[Measures].[MMS_90_179_F_P]")</f>
        <v/>
      </c>
      <c r="BZ352" s="68" t="str" vm="15166">
        <f>CUBEVALUE(ConnectionString,ReportMonth,Table1[[#This Row],[Site ID (from DATIM)]],"[Measures].[MMS_90_179_M_P]")</f>
        <v/>
      </c>
      <c r="CA352" s="68" t="str" vm="17675">
        <f>CUBEVALUE(ConnectionString,ReportMonth,Table1[[#This Row],[Site ID (from DATIM)]],"[Measures].[MMS_90_179_F_A]")</f>
        <v/>
      </c>
      <c r="CB352" s="68" t="str" vm="15494">
        <f>CUBEVALUE(ConnectionString,ReportMonth,Table1[[#This Row],[Site ID (from DATIM)]],"[Measures].[MMS_90_179_M_A]")</f>
        <v/>
      </c>
      <c r="CC352" s="68" t="str" vm="16329">
        <f>CUBEVALUE(ConnectionString,ReportMonth,Table1[[#This Row],[Site ID (from DATIM)]],"[Measures].[MMS_180+_F_P]")</f>
        <v/>
      </c>
      <c r="CD352" s="68" t="str" vm="17470">
        <f>CUBEVALUE(ConnectionString,ReportMonth,Table1[[#This Row],[Site ID (from DATIM)]],"[Measures].[MMS_180+_M_P]")</f>
        <v/>
      </c>
      <c r="CE352" s="68" t="str" vm="211">
        <f>CUBEVALUE(ConnectionString,ReportMonth,Table1[[#This Row],[Site ID (from DATIM)]],"[Measures].[MMS_180+_F_A]")</f>
        <v/>
      </c>
      <c r="CF352" s="68" t="str" vm="14501">
        <f>CUBEVALUE(ConnectionString,ReportMonth,Table1[[#This Row],[Site ID (from DATIM)]],"[Measures].[MMS_180+_M_A]")</f>
        <v/>
      </c>
      <c r="CG352" s="68" t="str" vm="9368">
        <f>CUBEVALUE(ConnectionString,ReportMonth,Table1[[#This Row],[Site ID (from DATIM)]],"[Measures].[MISSEDAPP]")</f>
        <v/>
      </c>
      <c r="CH352" s="68" t="str" vm="13826">
        <f>CUBEVALUE(ConnectionString,ReportMonth,Table1[[#This Row],[Site ID (from DATIM)]],"[Measures].[MMS_180+_P]")</f>
        <v/>
      </c>
      <c r="CI352" s="68" t="str" vm="13771">
        <f>CUBEVALUE(ConnectionString,ReportMonth,Table1[[#This Row],[Site ID (from DATIM)]],"[Measures].[MMS_180+_A]")</f>
        <v/>
      </c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  <c r="CW352" s="68"/>
      <c r="CX352" s="68"/>
      <c r="CY352" s="68"/>
      <c r="CZ352" s="68"/>
      <c r="DA352" s="68"/>
      <c r="DB352" s="68"/>
      <c r="DC352" s="68"/>
    </row>
    <row r="353" spans="1:107" x14ac:dyDescent="0.25">
      <c r="A353" s="66">
        <v>4</v>
      </c>
      <c r="B353" s="67" t="str" vm="4">
        <f t="shared" si="6"/>
        <v>Mar-2021</v>
      </c>
      <c r="C353" s="67"/>
      <c r="D353" s="67" t="s">
        <v>232</v>
      </c>
      <c r="E353" s="67" t="s">
        <v>233</v>
      </c>
      <c r="F353" s="67" t="s">
        <v>437</v>
      </c>
      <c r="G353" s="67"/>
      <c r="H353" s="67" t="s">
        <v>438</v>
      </c>
      <c r="I353" s="67" t="s">
        <v>458</v>
      </c>
      <c r="J353" s="67" t="s">
        <v>751</v>
      </c>
      <c r="K353" s="67" t="s">
        <v>752</v>
      </c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 vm="3079">
        <f>CUBEVALUE(ConnectionString,ReportMonth,Table1[[#This Row],[Site ID (from DATIM)]],"TX_NEW_2VIS")</f>
        <v>1</v>
      </c>
      <c r="AE353" s="67" t="str" vm="13566">
        <f>CUBEVALUE(ConnectionString,ReportMonth,Table1[[#This Row],[Site ID (from DATIM)]],INDEX(SDI_Measures,1))</f>
        <v/>
      </c>
      <c r="AF353" s="67" t="str" vm="1846">
        <f>CUBEVALUE(ConnectionString,ReportMonth,Table1[[#This Row],[Site ID (from DATIM)]],INDEX(SDI_Measures,2))</f>
        <v/>
      </c>
      <c r="AG353" s="67" t="str" vm="1232">
        <f>CUBEVALUE(ConnectionString,ReportMonth,Table1[[#This Row],[Site ID (from DATIM)]],INDEX(SDI_Measures,3))</f>
        <v/>
      </c>
      <c r="AH353" s="67" vm="2118">
        <f>CUBEVALUE(ConnectionString,ReportMonth,Table1[[#This Row],[Site ID (from DATIM)]],"TX_CURR_PRIOR_MONTH")</f>
        <v>48</v>
      </c>
      <c r="AI353" s="67" vm="2670">
        <f>CUBEVALUE(ConnectionString,ReportMonth,Table1[[#This Row],[Site ID (from DATIM)]],"TX_CURR")</f>
        <v>41</v>
      </c>
      <c r="AJ353" s="67" t="str" vm="3452">
        <f>CUBEVALUE(ConnectionString,ReportMonth,Table1[[#This Row],[Site ID (from DATIM)]],"[Measures].[TI]")</f>
        <v/>
      </c>
      <c r="AK353" s="67" t="str" vm="5771">
        <f>CUBEVALUE(ConnectionString,ReportMonth,Table1[[#This Row],[Site ID (from DATIM)]],"[Measures].[TO]")</f>
        <v/>
      </c>
      <c r="AL353" s="67" t="str" vm="3610">
        <f>CUBEVALUE(ConnectionString,ReportMonth,Table1[[#This Row],[Site ID (from DATIM)]],"[Measures].[DIED]")</f>
        <v/>
      </c>
      <c r="AM353" s="67" vm="7202">
        <f>CUBEVALUE(ConnectionString,ReportMonth,Table1[[#This Row],[Site ID (from DATIM)]],"[Measures].[MMS_01_31]")</f>
        <v>32</v>
      </c>
      <c r="AN353" s="67" vm="8940">
        <f>CUBEVALUE(ConnectionString,ReportMonth,Table1[[#This Row],[Site ID (from DATIM)]],"[Measures].[MMS_32_62]")</f>
        <v>2</v>
      </c>
      <c r="AO353" s="67" vm="10435">
        <f>CUBEVALUE(ConnectionString,ReportMonth,Table1[[#This Row],[Site ID (from DATIM)]],"[Measures].[MMS_63+]")</f>
        <v>7</v>
      </c>
      <c r="AP353" s="67" t="str" vm="4175">
        <f>CUBEVALUE(ConnectionString,ReportMonth,Table1[[#This Row],[Site ID (from DATIM)]],"[Measures].[TBPREV_D]")</f>
        <v/>
      </c>
      <c r="AQ353" s="67" t="str" vm="4811">
        <f>CUBEVALUE(ConnectionString,ReportMonth,Table1[[#This Row],[Site ID (from DATIM)]],"[Measures].[TBPREV_N]")</f>
        <v/>
      </c>
      <c r="AR353" s="67" t="str" vm="5150">
        <f>CUBEVALUE(ConnectionString,ReportMonth,Table1[[#This Row],[Site ID (from DATIM)]],"[Measures].[TBPREV_NEW]")</f>
        <v/>
      </c>
      <c r="AS353" s="67" vm="9655">
        <f>CUBEVALUE(ConnectionString,ReportMonth,Table1[[#This Row],[Site ID (from DATIM)]],"[Measures].[HVL_ELIG_P]")</f>
        <v>1</v>
      </c>
      <c r="AT353" s="67" t="str" vm="12038">
        <f>CUBEVALUE(ConnectionString,ReportMonth,Table1[[#This Row],[Site ID (from DATIM)]],"[Measures].[HVL_D_P]")</f>
        <v/>
      </c>
      <c r="AU353" s="67" t="str" vm="11600">
        <f>CUBEVALUE(ConnectionString,ReportMonth,Table1[[#This Row],[Site ID (from DATIM)]],"[Measures].[HVL_N_P]")</f>
        <v/>
      </c>
      <c r="AV353" s="68" vm="7228">
        <f>CUBEVALUE(ConnectionString,ReportMonth,Table1[[#This Row],[Site ID (from DATIM)]],"[Measures].[HVL_ELIG_A]")</f>
        <v>34</v>
      </c>
      <c r="AW353" s="68" vm="6601">
        <f>CUBEVALUE(ConnectionString,ReportMonth,Table1[[#This Row],[Site ID (from DATIM)]],"[Measures].[HVL_D_A]")</f>
        <v>17</v>
      </c>
      <c r="AX353" s="68" vm="9411">
        <f>CUBEVALUE(ConnectionString,ReportMonth,Table1[[#This Row],[Site ID (from DATIM)]],"[Measures].[HVL_N_A]")</f>
        <v>16</v>
      </c>
      <c r="AY353" s="67"/>
      <c r="AZ353" s="67"/>
      <c r="BA353" s="67"/>
      <c r="BB353" s="67"/>
      <c r="BC353" s="67"/>
      <c r="BD353" s="67"/>
      <c r="BE353" s="67"/>
      <c r="BF353" s="67"/>
      <c r="BG353" s="67" t="str" vm="12651">
        <f>CUBEVALUE(ConnectionString,ReportMonth,Table1[[#This Row],[Site ID (from DATIM)]],"[Measures].[TX_NEW_F_A]")</f>
        <v/>
      </c>
      <c r="BH353" s="67" t="str" vm="13843">
        <f>CUBEVALUE(ConnectionString,ReportMonth,Table1[[#This Row],[Site ID (from DATIM)]],"[Measures].[TX_NEW_M_A]")</f>
        <v/>
      </c>
      <c r="BI353" s="67" t="str" vm="16557">
        <f>CUBEVALUE(ConnectionString,ReportMonth,Table1[[#This Row],[Site ID (from DATIM)]],"[Measures].[TX_NEW_F_P]")</f>
        <v/>
      </c>
      <c r="BJ353" s="68" t="str" vm="14851">
        <f>CUBEVALUE(ConnectionString,ReportMonth,Table1[[#This Row],[Site ID (from DATIM)]],"[Measures].[TX_NEW_M_P]")</f>
        <v/>
      </c>
      <c r="BK353" s="68"/>
      <c r="BL353" s="68"/>
      <c r="BM353" s="68"/>
      <c r="BN353" s="68"/>
      <c r="BO353" s="68"/>
      <c r="BP353" s="68"/>
      <c r="BQ353" s="68" vm="11066">
        <f>CUBEVALUE(ConnectionString,ReportMonth,Table1[[#This Row],[Site ID (from DATIM)]],"[Measures].[TX_CURR_F_P]")</f>
        <v>2</v>
      </c>
      <c r="BR353" s="68" t="str" vm="14222">
        <f>CUBEVALUE(ConnectionString,ReportMonth,Table1[[#This Row],[Site ID (from DATIM)]],"[Measures].[TX_CURR_M_P]")</f>
        <v/>
      </c>
      <c r="BS353" s="68" vm="8367">
        <f>CUBEVALUE(ConnectionString,ReportMonth,Table1[[#This Row],[Site ID (from DATIM)]],"[Measures].[TX_CURR_F_A]")</f>
        <v>30</v>
      </c>
      <c r="BT353" s="68" vm="10940">
        <f>CUBEVALUE(ConnectionString,ReportMonth,Table1[[#This Row],[Site ID (from DATIM)]],"[Measures].[TX_CURR_M_A]")</f>
        <v>9</v>
      </c>
      <c r="BU353" s="68" vm="18390">
        <f>CUBEVALUE(ConnectionString,ReportMonth,Table1[[#This Row],[Site ID (from DATIM)]],"[Measures].[MMS_01_89_F_P]")</f>
        <v>2</v>
      </c>
      <c r="BV353" s="68" t="str" vm="18624">
        <f>CUBEVALUE(ConnectionString,ReportMonth,Table1[[#This Row],[Site ID (from DATIM)]],"[Measures].[MMS_01_89_M_P]")</f>
        <v/>
      </c>
      <c r="BW353" s="68" vm="20025">
        <f>CUBEVALUE(ConnectionString,ReportMonth,Table1[[#This Row],[Site ID (from DATIM)]],"[Measures].[MMS_01_89_F_A]")</f>
        <v>27</v>
      </c>
      <c r="BX353" s="68" vm="19597">
        <f>CUBEVALUE(ConnectionString,ReportMonth,Table1[[#This Row],[Site ID (from DATIM)]],"[Measures].[MMS_01_89_M_A]")</f>
        <v>5</v>
      </c>
      <c r="BY353" s="68" t="str" vm="17792">
        <f>CUBEVALUE(ConnectionString,ReportMonth,Table1[[#This Row],[Site ID (from DATIM)]],"[Measures].[MMS_90_179_F_P]")</f>
        <v/>
      </c>
      <c r="BZ353" s="68" t="str" vm="14792">
        <f>CUBEVALUE(ConnectionString,ReportMonth,Table1[[#This Row],[Site ID (from DATIM)]],"[Measures].[MMS_90_179_M_P]")</f>
        <v/>
      </c>
      <c r="CA353" s="68" vm="16911">
        <f>CUBEVALUE(ConnectionString,ReportMonth,Table1[[#This Row],[Site ID (from DATIM)]],"[Measures].[MMS_90_179_F_A]")</f>
        <v>3</v>
      </c>
      <c r="CB353" s="68" vm="16504">
        <f>CUBEVALUE(ConnectionString,ReportMonth,Table1[[#This Row],[Site ID (from DATIM)]],"[Measures].[MMS_90_179_M_A]")</f>
        <v>3</v>
      </c>
      <c r="CC353" s="68" t="str" vm="14611">
        <f>CUBEVALUE(ConnectionString,ReportMonth,Table1[[#This Row],[Site ID (from DATIM)]],"[Measures].[MMS_180+_F_P]")</f>
        <v/>
      </c>
      <c r="CD353" s="68" t="str" vm="16240">
        <f>CUBEVALUE(ConnectionString,ReportMonth,Table1[[#This Row],[Site ID (from DATIM)]],"[Measures].[MMS_180+_M_P]")</f>
        <v/>
      </c>
      <c r="CE353" s="68" t="str" vm="16631">
        <f>CUBEVALUE(ConnectionString,ReportMonth,Table1[[#This Row],[Site ID (from DATIM)]],"[Measures].[MMS_180+_F_A]")</f>
        <v/>
      </c>
      <c r="CF353" s="68" vm="15752">
        <f>CUBEVALUE(ConnectionString,ReportMonth,Table1[[#This Row],[Site ID (from DATIM)]],"[Measures].[MMS_180+_M_A]")</f>
        <v>1</v>
      </c>
      <c r="CG353" s="68" vm="9008">
        <f>CUBEVALUE(ConnectionString,ReportMonth,Table1[[#This Row],[Site ID (from DATIM)]],"[Measures].[MISSEDAPP]")</f>
        <v>20</v>
      </c>
      <c r="CH353" s="68" t="str" vm="12149">
        <f>CUBEVALUE(ConnectionString,ReportMonth,Table1[[#This Row],[Site ID (from DATIM)]],"[Measures].[MMS_180+_P]")</f>
        <v/>
      </c>
      <c r="CI353" s="68" vm="12438">
        <f>CUBEVALUE(ConnectionString,ReportMonth,Table1[[#This Row],[Site ID (from DATIM)]],"[Measures].[MMS_180+_A]")</f>
        <v>1</v>
      </c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  <c r="CW353" s="68"/>
      <c r="CX353" s="68"/>
      <c r="CY353" s="68"/>
      <c r="CZ353" s="68"/>
      <c r="DA353" s="68"/>
      <c r="DB353" s="68"/>
      <c r="DC353" s="68"/>
    </row>
    <row r="354" spans="1:107" x14ac:dyDescent="0.25">
      <c r="A354" s="66">
        <v>4</v>
      </c>
      <c r="B354" s="67" t="str" vm="4">
        <f t="shared" si="6"/>
        <v>Mar-2021</v>
      </c>
      <c r="C354" s="67"/>
      <c r="D354" s="67" t="s">
        <v>232</v>
      </c>
      <c r="E354" s="67" t="s">
        <v>233</v>
      </c>
      <c r="F354" s="67" t="s">
        <v>437</v>
      </c>
      <c r="G354" s="67"/>
      <c r="H354" s="67" t="s">
        <v>442</v>
      </c>
      <c r="I354" s="67" t="s">
        <v>504</v>
      </c>
      <c r="J354" s="67" t="s">
        <v>753</v>
      </c>
      <c r="K354" s="67" t="s">
        <v>754</v>
      </c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 t="str" vm="3487">
        <f>CUBEVALUE(ConnectionString,ReportMonth,Table1[[#This Row],[Site ID (from DATIM)]],"TX_NEW_2VIS")</f>
        <v/>
      </c>
      <c r="AE354" s="67" t="str" vm="4250">
        <f>CUBEVALUE(ConnectionString,ReportMonth,Table1[[#This Row],[Site ID (from DATIM)]],INDEX(SDI_Measures,1))</f>
        <v/>
      </c>
      <c r="AF354" s="67" t="str" vm="3904">
        <f>CUBEVALUE(ConnectionString,ReportMonth,Table1[[#This Row],[Site ID (from DATIM)]],INDEX(SDI_Measures,2))</f>
        <v/>
      </c>
      <c r="AG354" s="67" t="str" vm="3194">
        <f>CUBEVALUE(ConnectionString,ReportMonth,Table1[[#This Row],[Site ID (from DATIM)]],INDEX(SDI_Measures,3))</f>
        <v/>
      </c>
      <c r="AH354" s="67" vm="3282">
        <f>CUBEVALUE(ConnectionString,ReportMonth,Table1[[#This Row],[Site ID (from DATIM)]],"TX_CURR_PRIOR_MONTH")</f>
        <v>15</v>
      </c>
      <c r="AI354" s="67" vm="3689">
        <f>CUBEVALUE(ConnectionString,ReportMonth,Table1[[#This Row],[Site ID (from DATIM)]],"TX_CURR")</f>
        <v>14</v>
      </c>
      <c r="AJ354" s="67" t="str" vm="1124">
        <f>CUBEVALUE(ConnectionString,ReportMonth,Table1[[#This Row],[Site ID (from DATIM)]],"[Measures].[TI]")</f>
        <v/>
      </c>
      <c r="AK354" s="67" t="str" vm="2712">
        <f>CUBEVALUE(ConnectionString,ReportMonth,Table1[[#This Row],[Site ID (from DATIM)]],"[Measures].[TO]")</f>
        <v/>
      </c>
      <c r="AL354" s="67" t="str" vm="3653">
        <f>CUBEVALUE(ConnectionString,ReportMonth,Table1[[#This Row],[Site ID (from DATIM)]],"[Measures].[DIED]")</f>
        <v/>
      </c>
      <c r="AM354" s="67" vm="4657">
        <f>CUBEVALUE(ConnectionString,ReportMonth,Table1[[#This Row],[Site ID (from DATIM)]],"[Measures].[MMS_01_31]")</f>
        <v>14</v>
      </c>
      <c r="AN354" s="67" t="str" vm="7758">
        <f>CUBEVALUE(ConnectionString,ReportMonth,Table1[[#This Row],[Site ID (from DATIM)]],"[Measures].[MMS_32_62]")</f>
        <v/>
      </c>
      <c r="AO354" s="67" t="str" vm="5090">
        <f>CUBEVALUE(ConnectionString,ReportMonth,Table1[[#This Row],[Site ID (from DATIM)]],"[Measures].[MMS_63+]")</f>
        <v/>
      </c>
      <c r="AP354" s="67" vm="8409">
        <f>CUBEVALUE(ConnectionString,ReportMonth,Table1[[#This Row],[Site ID (from DATIM)]],"[Measures].[TBPREV_D]")</f>
        <v>1</v>
      </c>
      <c r="AQ354" s="67" vm="6766">
        <f>CUBEVALUE(ConnectionString,ReportMonth,Table1[[#This Row],[Site ID (from DATIM)]],"[Measures].[TBPREV_N]")</f>
        <v>1</v>
      </c>
      <c r="AR354" s="67" t="str" vm="7165">
        <f>CUBEVALUE(ConnectionString,ReportMonth,Table1[[#This Row],[Site ID (from DATIM)]],"[Measures].[TBPREV_NEW]")</f>
        <v/>
      </c>
      <c r="AS354" s="67" t="str" vm="9748">
        <f>CUBEVALUE(ConnectionString,ReportMonth,Table1[[#This Row],[Site ID (from DATIM)]],"[Measures].[HVL_ELIG_P]")</f>
        <v/>
      </c>
      <c r="AT354" s="67" t="str" vm="5549">
        <f>CUBEVALUE(ConnectionString,ReportMonth,Table1[[#This Row],[Site ID (from DATIM)]],"[Measures].[HVL_D_P]")</f>
        <v/>
      </c>
      <c r="AU354" s="67" t="str" vm="11038">
        <f>CUBEVALUE(ConnectionString,ReportMonth,Table1[[#This Row],[Site ID (from DATIM)]],"[Measures].[HVL_N_P]")</f>
        <v/>
      </c>
      <c r="AV354" s="68" vm="8251">
        <f>CUBEVALUE(ConnectionString,ReportMonth,Table1[[#This Row],[Site ID (from DATIM)]],"[Measures].[HVL_ELIG_A]")</f>
        <v>11</v>
      </c>
      <c r="AW354" s="68" t="str" vm="11773">
        <f>CUBEVALUE(ConnectionString,ReportMonth,Table1[[#This Row],[Site ID (from DATIM)]],"[Measures].[HVL_D_A]")</f>
        <v/>
      </c>
      <c r="AX354" s="68" t="str" vm="7223">
        <f>CUBEVALUE(ConnectionString,ReportMonth,Table1[[#This Row],[Site ID (from DATIM)]],"[Measures].[HVL_N_A]")</f>
        <v/>
      </c>
      <c r="AY354" s="67"/>
      <c r="AZ354" s="67"/>
      <c r="BA354" s="67"/>
      <c r="BB354" s="67"/>
      <c r="BC354" s="67"/>
      <c r="BD354" s="67"/>
      <c r="BE354" s="67"/>
      <c r="BF354" s="67"/>
      <c r="BG354" s="67" t="str" vm="11910">
        <f>CUBEVALUE(ConnectionString,ReportMonth,Table1[[#This Row],[Site ID (from DATIM)]],"[Measures].[TX_NEW_F_A]")</f>
        <v/>
      </c>
      <c r="BH354" s="67" t="str" vm="10627">
        <f>CUBEVALUE(ConnectionString,ReportMonth,Table1[[#This Row],[Site ID (from DATIM)]],"[Measures].[TX_NEW_M_A]")</f>
        <v/>
      </c>
      <c r="BI354" s="67" t="str" vm="14196">
        <f>CUBEVALUE(ConnectionString,ReportMonth,Table1[[#This Row],[Site ID (from DATIM)]],"[Measures].[TX_NEW_F_P]")</f>
        <v/>
      </c>
      <c r="BJ354" s="68" t="str" vm="16561">
        <f>CUBEVALUE(ConnectionString,ReportMonth,Table1[[#This Row],[Site ID (from DATIM)]],"[Measures].[TX_NEW_M_P]")</f>
        <v/>
      </c>
      <c r="BK354" s="68"/>
      <c r="BL354" s="68"/>
      <c r="BM354" s="68"/>
      <c r="BN354" s="68"/>
      <c r="BO354" s="68"/>
      <c r="BP354" s="68"/>
      <c r="BQ354" s="68" t="str" vm="8813">
        <f>CUBEVALUE(ConnectionString,ReportMonth,Table1[[#This Row],[Site ID (from DATIM)]],"[Measures].[TX_CURR_F_P]")</f>
        <v/>
      </c>
      <c r="BR354" s="68" t="str" vm="8984">
        <f>CUBEVALUE(ConnectionString,ReportMonth,Table1[[#This Row],[Site ID (from DATIM)]],"[Measures].[TX_CURR_M_P]")</f>
        <v/>
      </c>
      <c r="BS354" s="68" vm="9576">
        <f>CUBEVALUE(ConnectionString,ReportMonth,Table1[[#This Row],[Site ID (from DATIM)]],"[Measures].[TX_CURR_F_A]")</f>
        <v>14</v>
      </c>
      <c r="BT354" s="68" t="str" vm="7240">
        <f>CUBEVALUE(ConnectionString,ReportMonth,Table1[[#This Row],[Site ID (from DATIM)]],"[Measures].[TX_CURR_M_A]")</f>
        <v/>
      </c>
      <c r="BU354" s="68" t="str" vm="18060">
        <f>CUBEVALUE(ConnectionString,ReportMonth,Table1[[#This Row],[Site ID (from DATIM)]],"[Measures].[MMS_01_89_F_P]")</f>
        <v/>
      </c>
      <c r="BV354" s="68" t="str" vm="20098">
        <f>CUBEVALUE(ConnectionString,ReportMonth,Table1[[#This Row],[Site ID (from DATIM)]],"[Measures].[MMS_01_89_M_P]")</f>
        <v/>
      </c>
      <c r="BW354" s="68" vm="19186">
        <f>CUBEVALUE(ConnectionString,ReportMonth,Table1[[#This Row],[Site ID (from DATIM)]],"[Measures].[MMS_01_89_F_A]")</f>
        <v>14</v>
      </c>
      <c r="BX354" s="68" t="str" vm="16021">
        <f>CUBEVALUE(ConnectionString,ReportMonth,Table1[[#This Row],[Site ID (from DATIM)]],"[Measures].[MMS_01_89_M_A]")</f>
        <v/>
      </c>
      <c r="BY354" s="68" t="str" vm="15215">
        <f>CUBEVALUE(ConnectionString,ReportMonth,Table1[[#This Row],[Site ID (from DATIM)]],"[Measures].[MMS_90_179_F_P]")</f>
        <v/>
      </c>
      <c r="BZ354" s="68" t="str" vm="19580">
        <f>CUBEVALUE(ConnectionString,ReportMonth,Table1[[#This Row],[Site ID (from DATIM)]],"[Measures].[MMS_90_179_M_P]")</f>
        <v/>
      </c>
      <c r="CA354" s="68" t="str" vm="15596">
        <f>CUBEVALUE(ConnectionString,ReportMonth,Table1[[#This Row],[Site ID (from DATIM)]],"[Measures].[MMS_90_179_F_A]")</f>
        <v/>
      </c>
      <c r="CB354" s="68" t="str" vm="15477">
        <f>CUBEVALUE(ConnectionString,ReportMonth,Table1[[#This Row],[Site ID (from DATIM)]],"[Measures].[MMS_90_179_M_A]")</f>
        <v/>
      </c>
      <c r="CC354" s="68" t="str" vm="16775">
        <f>CUBEVALUE(ConnectionString,ReportMonth,Table1[[#This Row],[Site ID (from DATIM)]],"[Measures].[MMS_180+_F_P]")</f>
        <v/>
      </c>
      <c r="CD354" s="68" t="str" vm="17585">
        <f>CUBEVALUE(ConnectionString,ReportMonth,Table1[[#This Row],[Site ID (from DATIM)]],"[Measures].[MMS_180+_M_P]")</f>
        <v/>
      </c>
      <c r="CE354" s="68" t="str" vm="30">
        <f>CUBEVALUE(ConnectionString,ReportMonth,Table1[[#This Row],[Site ID (from DATIM)]],"[Measures].[MMS_180+_F_A]")</f>
        <v/>
      </c>
      <c r="CF354" s="68" t="str" vm="16698">
        <f>CUBEVALUE(ConnectionString,ReportMonth,Table1[[#This Row],[Site ID (from DATIM)]],"[Measures].[MMS_180+_M_A]")</f>
        <v/>
      </c>
      <c r="CG354" s="68" vm="6400">
        <f>CUBEVALUE(ConnectionString,ReportMonth,Table1[[#This Row],[Site ID (from DATIM)]],"[Measures].[MISSEDAPP]")</f>
        <v>10</v>
      </c>
      <c r="CH354" s="68" t="str" vm="12865">
        <f>CUBEVALUE(ConnectionString,ReportMonth,Table1[[#This Row],[Site ID (from DATIM)]],"[Measures].[MMS_180+_P]")</f>
        <v/>
      </c>
      <c r="CI354" s="68" t="str" vm="10949">
        <f>CUBEVALUE(ConnectionString,ReportMonth,Table1[[#This Row],[Site ID (from DATIM)]],"[Measures].[MMS_180+_A]")</f>
        <v/>
      </c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  <c r="CW354" s="68"/>
      <c r="CX354" s="68"/>
      <c r="CY354" s="68"/>
      <c r="CZ354" s="68"/>
      <c r="DA354" s="68"/>
      <c r="DB354" s="68"/>
      <c r="DC354" s="68"/>
    </row>
    <row r="355" spans="1:107" x14ac:dyDescent="0.25">
      <c r="A355" s="66">
        <v>4</v>
      </c>
      <c r="B355" s="67" t="str" vm="4">
        <f t="shared" si="6"/>
        <v>Mar-2021</v>
      </c>
      <c r="C355" s="67"/>
      <c r="D355" s="67" t="s">
        <v>232</v>
      </c>
      <c r="E355" s="67" t="s">
        <v>233</v>
      </c>
      <c r="F355" s="67" t="s">
        <v>1286</v>
      </c>
      <c r="G355" s="67"/>
      <c r="H355" s="67" t="s">
        <v>1344</v>
      </c>
      <c r="I355" s="67" t="s">
        <v>1488</v>
      </c>
      <c r="J355" s="67" t="s">
        <v>1489</v>
      </c>
      <c r="K355" s="67" t="s">
        <v>1490</v>
      </c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 t="str" vm="550">
        <f>CUBEVALUE(ConnectionString,ReportMonth,Table1[[#This Row],[Site ID (from DATIM)]],"TX_NEW_2VIS")</f>
        <v/>
      </c>
      <c r="AE355" s="67" t="str" vm="2587">
        <f>CUBEVALUE(ConnectionString,ReportMonth,Table1[[#This Row],[Site ID (from DATIM)]],INDEX(SDI_Measures,1))</f>
        <v/>
      </c>
      <c r="AF355" s="67" t="str" vm="6724">
        <f>CUBEVALUE(ConnectionString,ReportMonth,Table1[[#This Row],[Site ID (from DATIM)]],INDEX(SDI_Measures,2))</f>
        <v/>
      </c>
      <c r="AG355" s="67" t="str" vm="690">
        <f>CUBEVALUE(ConnectionString,ReportMonth,Table1[[#This Row],[Site ID (from DATIM)]],INDEX(SDI_Measures,3))</f>
        <v/>
      </c>
      <c r="AH355" s="67" t="str" vm="3698">
        <f>CUBEVALUE(ConnectionString,ReportMonth,Table1[[#This Row],[Site ID (from DATIM)]],"TX_CURR_PRIOR_MONTH")</f>
        <v/>
      </c>
      <c r="AI355" s="67" t="str" vm="1414">
        <f>CUBEVALUE(ConnectionString,ReportMonth,Table1[[#This Row],[Site ID (from DATIM)]],"TX_CURR")</f>
        <v/>
      </c>
      <c r="AJ355" s="67" t="str" vm="3269">
        <f>CUBEVALUE(ConnectionString,ReportMonth,Table1[[#This Row],[Site ID (from DATIM)]],"[Measures].[TI]")</f>
        <v/>
      </c>
      <c r="AK355" s="67" t="str" vm="3639">
        <f>CUBEVALUE(ConnectionString,ReportMonth,Table1[[#This Row],[Site ID (from DATIM)]],"[Measures].[TO]")</f>
        <v/>
      </c>
      <c r="AL355" s="67" t="str" vm="3260">
        <f>CUBEVALUE(ConnectionString,ReportMonth,Table1[[#This Row],[Site ID (from DATIM)]],"[Measures].[DIED]")</f>
        <v/>
      </c>
      <c r="AM355" s="67" t="str" vm="4101">
        <f>CUBEVALUE(ConnectionString,ReportMonth,Table1[[#This Row],[Site ID (from DATIM)]],"[Measures].[MMS_01_31]")</f>
        <v/>
      </c>
      <c r="AN355" s="67" t="str" vm="5165">
        <f>CUBEVALUE(ConnectionString,ReportMonth,Table1[[#This Row],[Site ID (from DATIM)]],"[Measures].[MMS_32_62]")</f>
        <v/>
      </c>
      <c r="AO355" s="67" t="str" vm="5439">
        <f>CUBEVALUE(ConnectionString,ReportMonth,Table1[[#This Row],[Site ID (from DATIM)]],"[Measures].[MMS_63+]")</f>
        <v/>
      </c>
      <c r="AP355" s="67" t="str" vm="6751">
        <f>CUBEVALUE(ConnectionString,ReportMonth,Table1[[#This Row],[Site ID (from DATIM)]],"[Measures].[TBPREV_D]")</f>
        <v/>
      </c>
      <c r="AQ355" s="67" t="str" vm="7865">
        <f>CUBEVALUE(ConnectionString,ReportMonth,Table1[[#This Row],[Site ID (from DATIM)]],"[Measures].[TBPREV_N]")</f>
        <v/>
      </c>
      <c r="AR355" s="67" t="str" vm="11079">
        <f>CUBEVALUE(ConnectionString,ReportMonth,Table1[[#This Row],[Site ID (from DATIM)]],"[Measures].[TBPREV_NEW]")</f>
        <v/>
      </c>
      <c r="AS355" s="67" t="str" vm="5311">
        <f>CUBEVALUE(ConnectionString,ReportMonth,Table1[[#This Row],[Site ID (from DATIM)]],"[Measures].[HVL_ELIG_P]")</f>
        <v/>
      </c>
      <c r="AT355" s="67" t="str" vm="5400">
        <f>CUBEVALUE(ConnectionString,ReportMonth,Table1[[#This Row],[Site ID (from DATIM)]],"[Measures].[HVL_D_P]")</f>
        <v/>
      </c>
      <c r="AU355" s="67" t="str" vm="8266">
        <f>CUBEVALUE(ConnectionString,ReportMonth,Table1[[#This Row],[Site ID (from DATIM)]],"[Measures].[HVL_N_P]")</f>
        <v/>
      </c>
      <c r="AV355" s="68" t="str" vm="11820">
        <f>CUBEVALUE(ConnectionString,ReportMonth,Table1[[#This Row],[Site ID (from DATIM)]],"[Measures].[HVL_ELIG_A]")</f>
        <v/>
      </c>
      <c r="AW355" s="68" t="str" vm="10540">
        <f>CUBEVALUE(ConnectionString,ReportMonth,Table1[[#This Row],[Site ID (from DATIM)]],"[Measures].[HVL_D_A]")</f>
        <v/>
      </c>
      <c r="AX355" s="68" t="str" vm="9537">
        <f>CUBEVALUE(ConnectionString,ReportMonth,Table1[[#This Row],[Site ID (from DATIM)]],"[Measures].[HVL_N_A]")</f>
        <v/>
      </c>
      <c r="AY355" s="67"/>
      <c r="AZ355" s="67"/>
      <c r="BA355" s="67"/>
      <c r="BB355" s="67"/>
      <c r="BC355" s="67"/>
      <c r="BD355" s="67"/>
      <c r="BE355" s="67"/>
      <c r="BF355" s="67"/>
      <c r="BG355" s="67" t="str" vm="13402">
        <f>CUBEVALUE(ConnectionString,ReportMonth,Table1[[#This Row],[Site ID (from DATIM)]],"[Measures].[TX_NEW_F_A]")</f>
        <v/>
      </c>
      <c r="BH355" s="67" t="str" vm="14250">
        <f>CUBEVALUE(ConnectionString,ReportMonth,Table1[[#This Row],[Site ID (from DATIM)]],"[Measures].[TX_NEW_M_A]")</f>
        <v/>
      </c>
      <c r="BI355" s="67" t="str" vm="17415">
        <f>CUBEVALUE(ConnectionString,ReportMonth,Table1[[#This Row],[Site ID (from DATIM)]],"[Measures].[TX_NEW_F_P]")</f>
        <v/>
      </c>
      <c r="BJ355" s="68" t="str" vm="14258">
        <f>CUBEVALUE(ConnectionString,ReportMonth,Table1[[#This Row],[Site ID (from DATIM)]],"[Measures].[TX_NEW_M_P]")</f>
        <v/>
      </c>
      <c r="BK355" s="68"/>
      <c r="BL355" s="68"/>
      <c r="BM355" s="68"/>
      <c r="BN355" s="68"/>
      <c r="BO355" s="68"/>
      <c r="BP355" s="68"/>
      <c r="BQ355" s="68" t="str" vm="9723">
        <f>CUBEVALUE(ConnectionString,ReportMonth,Table1[[#This Row],[Site ID (from DATIM)]],"[Measures].[TX_CURR_F_P]")</f>
        <v/>
      </c>
      <c r="BR355" s="68" t="str" vm="8093">
        <f>CUBEVALUE(ConnectionString,ReportMonth,Table1[[#This Row],[Site ID (from DATIM)]],"[Measures].[TX_CURR_M_P]")</f>
        <v/>
      </c>
      <c r="BS355" s="68" t="str" vm="9421">
        <f>CUBEVALUE(ConnectionString,ReportMonth,Table1[[#This Row],[Site ID (from DATIM)]],"[Measures].[TX_CURR_F_A]")</f>
        <v/>
      </c>
      <c r="BT355" s="68" t="str" vm="12466">
        <f>CUBEVALUE(ConnectionString,ReportMonth,Table1[[#This Row],[Site ID (from DATIM)]],"[Measures].[TX_CURR_M_A]")</f>
        <v/>
      </c>
      <c r="BU355" s="68" t="str" vm="19804">
        <f>CUBEVALUE(ConnectionString,ReportMonth,Table1[[#This Row],[Site ID (from DATIM)]],"[Measures].[MMS_01_89_F_P]")</f>
        <v/>
      </c>
      <c r="BV355" s="68" t="str" vm="18936">
        <f>CUBEVALUE(ConnectionString,ReportMonth,Table1[[#This Row],[Site ID (from DATIM)]],"[Measures].[MMS_01_89_M_P]")</f>
        <v/>
      </c>
      <c r="BW355" s="68" t="str" vm="19185">
        <f>CUBEVALUE(ConnectionString,ReportMonth,Table1[[#This Row],[Site ID (from DATIM)]],"[Measures].[MMS_01_89_F_A]")</f>
        <v/>
      </c>
      <c r="BX355" s="68" t="str" vm="18194">
        <f>CUBEVALUE(ConnectionString,ReportMonth,Table1[[#This Row],[Site ID (from DATIM)]],"[Measures].[MMS_01_89_M_A]")</f>
        <v/>
      </c>
      <c r="BY355" s="68" t="str" vm="19612">
        <f>CUBEVALUE(ConnectionString,ReportMonth,Table1[[#This Row],[Site ID (from DATIM)]],"[Measures].[MMS_90_179_F_P]")</f>
        <v/>
      </c>
      <c r="BZ355" s="68" t="str" vm="19590">
        <f>CUBEVALUE(ConnectionString,ReportMonth,Table1[[#This Row],[Site ID (from DATIM)]],"[Measures].[MMS_90_179_M_P]")</f>
        <v/>
      </c>
      <c r="CA355" s="68" t="str" vm="15091">
        <f>CUBEVALUE(ConnectionString,ReportMonth,Table1[[#This Row],[Site ID (from DATIM)]],"[Measures].[MMS_90_179_F_A]")</f>
        <v/>
      </c>
      <c r="CB355" s="68" t="str" vm="17705">
        <f>CUBEVALUE(ConnectionString,ReportMonth,Table1[[#This Row],[Site ID (from DATIM)]],"[Measures].[MMS_90_179_M_A]")</f>
        <v/>
      </c>
      <c r="CC355" s="68" t="str" vm="16371">
        <f>CUBEVALUE(ConnectionString,ReportMonth,Table1[[#This Row],[Site ID (from DATIM)]],"[Measures].[MMS_180+_F_P]")</f>
        <v/>
      </c>
      <c r="CD355" s="68" t="str" vm="17135">
        <f>CUBEVALUE(ConnectionString,ReportMonth,Table1[[#This Row],[Site ID (from DATIM)]],"[Measures].[MMS_180+_M_P]")</f>
        <v/>
      </c>
      <c r="CE355" s="68" t="str" vm="16251">
        <f>CUBEVALUE(ConnectionString,ReportMonth,Table1[[#This Row],[Site ID (from DATIM)]],"[Measures].[MMS_180+_F_A]")</f>
        <v/>
      </c>
      <c r="CF355" s="68" t="str" vm="205">
        <f>CUBEVALUE(ConnectionString,ReportMonth,Table1[[#This Row],[Site ID (from DATIM)]],"[Measures].[MMS_180+_M_A]")</f>
        <v/>
      </c>
      <c r="CG355" s="68" t="str" vm="8240">
        <f>CUBEVALUE(ConnectionString,ReportMonth,Table1[[#This Row],[Site ID (from DATIM)]],"[Measures].[MISSEDAPP]")</f>
        <v/>
      </c>
      <c r="CH355" s="68" t="str" vm="12025">
        <f>CUBEVALUE(ConnectionString,ReportMonth,Table1[[#This Row],[Site ID (from DATIM)]],"[Measures].[MMS_180+_P]")</f>
        <v/>
      </c>
      <c r="CI355" s="68" t="str" vm="12002">
        <f>CUBEVALUE(ConnectionString,ReportMonth,Table1[[#This Row],[Site ID (from DATIM)]],"[Measures].[MMS_180+_A]")</f>
        <v/>
      </c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  <c r="CW355" s="68"/>
      <c r="CX355" s="68"/>
      <c r="CY355" s="68"/>
      <c r="CZ355" s="68"/>
      <c r="DA355" s="68"/>
      <c r="DB355" s="68"/>
      <c r="DC355" s="68"/>
    </row>
    <row r="356" spans="1:107" x14ac:dyDescent="0.25">
      <c r="A356" s="66">
        <v>3</v>
      </c>
      <c r="B356" s="67" t="str" vm="4">
        <f t="shared" si="6"/>
        <v>Mar-2021</v>
      </c>
      <c r="C356" s="67"/>
      <c r="D356" s="67" t="s">
        <v>232</v>
      </c>
      <c r="E356" s="67" t="s">
        <v>233</v>
      </c>
      <c r="F356" s="67" t="s">
        <v>437</v>
      </c>
      <c r="G356" s="67"/>
      <c r="H356" s="67" t="s">
        <v>454</v>
      </c>
      <c r="I356" s="67" t="s">
        <v>755</v>
      </c>
      <c r="J356" s="67" t="s">
        <v>756</v>
      </c>
      <c r="K356" s="67" t="s">
        <v>757</v>
      </c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 vm="3813">
        <f>CUBEVALUE(ConnectionString,ReportMonth,Table1[[#This Row],[Site ID (from DATIM)]],"TX_NEW_2VIS")</f>
        <v>3</v>
      </c>
      <c r="AE356" s="67" vm="2039">
        <f>CUBEVALUE(ConnectionString,ReportMonth,Table1[[#This Row],[Site ID (from DATIM)]],INDEX(SDI_Measures,1))</f>
        <v>6</v>
      </c>
      <c r="AF356" s="67" t="str" vm="20227">
        <f>CUBEVALUE(ConnectionString,ReportMonth,Table1[[#This Row],[Site ID (from DATIM)]],INDEX(SDI_Measures,2))</f>
        <v/>
      </c>
      <c r="AG356" s="67" t="str" vm="3042">
        <f>CUBEVALUE(ConnectionString,ReportMonth,Table1[[#This Row],[Site ID (from DATIM)]],INDEX(SDI_Measures,3))</f>
        <v/>
      </c>
      <c r="AH356" s="67" vm="745">
        <f>CUBEVALUE(ConnectionString,ReportMonth,Table1[[#This Row],[Site ID (from DATIM)]],"TX_CURR_PRIOR_MONTH")</f>
        <v>386</v>
      </c>
      <c r="AI356" s="67" vm="2445">
        <f>CUBEVALUE(ConnectionString,ReportMonth,Table1[[#This Row],[Site ID (from DATIM)]],"TX_CURR")</f>
        <v>387</v>
      </c>
      <c r="AJ356" s="67" vm="2197">
        <f>CUBEVALUE(ConnectionString,ReportMonth,Table1[[#This Row],[Site ID (from DATIM)]],"[Measures].[TI]")</f>
        <v>1</v>
      </c>
      <c r="AK356" s="67" t="str" vm="2079">
        <f>CUBEVALUE(ConnectionString,ReportMonth,Table1[[#This Row],[Site ID (from DATIM)]],"[Measures].[TO]")</f>
        <v/>
      </c>
      <c r="AL356" s="67" vm="944">
        <f>CUBEVALUE(ConnectionString,ReportMonth,Table1[[#This Row],[Site ID (from DATIM)]],"[Measures].[DIED]")</f>
        <v>2</v>
      </c>
      <c r="AM356" s="67" vm="5776">
        <f>CUBEVALUE(ConnectionString,ReportMonth,Table1[[#This Row],[Site ID (from DATIM)]],"[Measures].[MMS_01_31]")</f>
        <v>91</v>
      </c>
      <c r="AN356" s="67" vm="5512">
        <f>CUBEVALUE(ConnectionString,ReportMonth,Table1[[#This Row],[Site ID (from DATIM)]],"[Measures].[MMS_32_62]")</f>
        <v>21</v>
      </c>
      <c r="AO356" s="67" vm="5321">
        <f>CUBEVALUE(ConnectionString,ReportMonth,Table1[[#This Row],[Site ID (from DATIM)]],"[Measures].[MMS_63+]")</f>
        <v>275</v>
      </c>
      <c r="AP356" s="67" vm="4976">
        <f>CUBEVALUE(ConnectionString,ReportMonth,Table1[[#This Row],[Site ID (from DATIM)]],"[Measures].[TBPREV_D]")</f>
        <v>23</v>
      </c>
      <c r="AQ356" s="67" vm="5888">
        <f>CUBEVALUE(ConnectionString,ReportMonth,Table1[[#This Row],[Site ID (from DATIM)]],"[Measures].[TBPREV_N]")</f>
        <v>17</v>
      </c>
      <c r="AR356" s="67" vm="4743">
        <f>CUBEVALUE(ConnectionString,ReportMonth,Table1[[#This Row],[Site ID (from DATIM)]],"[Measures].[TBPREV_NEW]")</f>
        <v>6</v>
      </c>
      <c r="AS356" s="67" vm="6498">
        <f>CUBEVALUE(ConnectionString,ReportMonth,Table1[[#This Row],[Site ID (from DATIM)]],"[Measures].[HVL_ELIG_P]")</f>
        <v>9</v>
      </c>
      <c r="AT356" s="67" vm="13032">
        <f>CUBEVALUE(ConnectionString,ReportMonth,Table1[[#This Row],[Site ID (from DATIM)]],"[Measures].[HVL_D_P]")</f>
        <v>10</v>
      </c>
      <c r="AU356" s="67" vm="9194">
        <f>CUBEVALUE(ConnectionString,ReportMonth,Table1[[#This Row],[Site ID (from DATIM)]],"[Measures].[HVL_N_P]")</f>
        <v>8</v>
      </c>
      <c r="AV356" s="68" vm="11496">
        <f>CUBEVALUE(ConnectionString,ReportMonth,Table1[[#This Row],[Site ID (from DATIM)]],"[Measures].[HVL_ELIG_A]")</f>
        <v>315</v>
      </c>
      <c r="AW356" s="68" vm="16585">
        <f>CUBEVALUE(ConnectionString,ReportMonth,Table1[[#This Row],[Site ID (from DATIM)]],"[Measures].[HVL_D_A]")</f>
        <v>249</v>
      </c>
      <c r="AX356" s="68" vm="6831">
        <f>CUBEVALUE(ConnectionString,ReportMonth,Table1[[#This Row],[Site ID (from DATIM)]],"[Measures].[HVL_N_A]")</f>
        <v>245</v>
      </c>
      <c r="AY356" s="67"/>
      <c r="AZ356" s="67"/>
      <c r="BA356" s="67"/>
      <c r="BB356" s="67"/>
      <c r="BC356" s="67"/>
      <c r="BD356" s="67"/>
      <c r="BE356" s="67"/>
      <c r="BF356" s="67"/>
      <c r="BG356" s="67" vm="12801">
        <f>CUBEVALUE(ConnectionString,ReportMonth,Table1[[#This Row],[Site ID (from DATIM)]],"[Measures].[TX_NEW_F_A]")</f>
        <v>2</v>
      </c>
      <c r="BH356" s="67" vm="13788">
        <f>CUBEVALUE(ConnectionString,ReportMonth,Table1[[#This Row],[Site ID (from DATIM)]],"[Measures].[TX_NEW_M_A]")</f>
        <v>4</v>
      </c>
      <c r="BI356" s="67" t="str" vm="13452">
        <f>CUBEVALUE(ConnectionString,ReportMonth,Table1[[#This Row],[Site ID (from DATIM)]],"[Measures].[TX_NEW_F_P]")</f>
        <v/>
      </c>
      <c r="BJ356" s="68" t="str" vm="16176">
        <f>CUBEVALUE(ConnectionString,ReportMonth,Table1[[#This Row],[Site ID (from DATIM)]],"[Measures].[TX_NEW_M_P]")</f>
        <v/>
      </c>
      <c r="BK356" s="68"/>
      <c r="BL356" s="68"/>
      <c r="BM356" s="68"/>
      <c r="BN356" s="68"/>
      <c r="BO356" s="68"/>
      <c r="BP356" s="68"/>
      <c r="BQ356" s="68" vm="8447">
        <f>CUBEVALUE(ConnectionString,ReportMonth,Table1[[#This Row],[Site ID (from DATIM)]],"[Measures].[TX_CURR_F_P]")</f>
        <v>8</v>
      </c>
      <c r="BR356" s="68" vm="11877">
        <f>CUBEVALUE(ConnectionString,ReportMonth,Table1[[#This Row],[Site ID (from DATIM)]],"[Measures].[TX_CURR_M_P]")</f>
        <v>4</v>
      </c>
      <c r="BS356" s="68" vm="8555">
        <f>CUBEVALUE(ConnectionString,ReportMonth,Table1[[#This Row],[Site ID (from DATIM)]],"[Measures].[TX_CURR_F_A]")</f>
        <v>264</v>
      </c>
      <c r="BT356" s="68" vm="7955">
        <f>CUBEVALUE(ConnectionString,ReportMonth,Table1[[#This Row],[Site ID (from DATIM)]],"[Measures].[TX_CURR_M_A]")</f>
        <v>111</v>
      </c>
      <c r="BU356" s="68" vm="18978">
        <f>CUBEVALUE(ConnectionString,ReportMonth,Table1[[#This Row],[Site ID (from DATIM)]],"[Measures].[MMS_01_89_F_P]")</f>
        <v>4</v>
      </c>
      <c r="BV356" s="68" vm="19990">
        <f>CUBEVALUE(ConnectionString,ReportMonth,Table1[[#This Row],[Site ID (from DATIM)]],"[Measures].[MMS_01_89_M_P]")</f>
        <v>2</v>
      </c>
      <c r="BW356" s="68" vm="19236">
        <f>CUBEVALUE(ConnectionString,ReportMonth,Table1[[#This Row],[Site ID (from DATIM)]],"[Measures].[MMS_01_89_F_A]")</f>
        <v>77</v>
      </c>
      <c r="BX356" s="68" vm="19954">
        <f>CUBEVALUE(ConnectionString,ReportMonth,Table1[[#This Row],[Site ID (from DATIM)]],"[Measures].[MMS_01_89_M_A]")</f>
        <v>29</v>
      </c>
      <c r="BY356" s="68" vm="18522">
        <f>CUBEVALUE(ConnectionString,ReportMonth,Table1[[#This Row],[Site ID (from DATIM)]],"[Measures].[MMS_90_179_F_P]")</f>
        <v>4</v>
      </c>
      <c r="BZ356" s="68" vm="19579">
        <f>CUBEVALUE(ConnectionString,ReportMonth,Table1[[#This Row],[Site ID (from DATIM)]],"[Measures].[MMS_90_179_M_P]")</f>
        <v>2</v>
      </c>
      <c r="CA356" s="68" vm="17274">
        <f>CUBEVALUE(ConnectionString,ReportMonth,Table1[[#This Row],[Site ID (from DATIM)]],"[Measures].[MMS_90_179_F_A]")</f>
        <v>187</v>
      </c>
      <c r="CB356" s="68" vm="17732">
        <f>CUBEVALUE(ConnectionString,ReportMonth,Table1[[#This Row],[Site ID (from DATIM)]],"[Measures].[MMS_90_179_M_A]")</f>
        <v>82</v>
      </c>
      <c r="CC356" s="68" t="str" vm="14935">
        <f>CUBEVALUE(ConnectionString,ReportMonth,Table1[[#This Row],[Site ID (from DATIM)]],"[Measures].[MMS_180+_F_P]")</f>
        <v/>
      </c>
      <c r="CD356" s="68" t="str" vm="14981">
        <f>CUBEVALUE(ConnectionString,ReportMonth,Table1[[#This Row],[Site ID (from DATIM)]],"[Measures].[MMS_180+_M_P]")</f>
        <v/>
      </c>
      <c r="CE356" s="68" t="str" vm="16220">
        <f>CUBEVALUE(ConnectionString,ReportMonth,Table1[[#This Row],[Site ID (from DATIM)]],"[Measures].[MMS_180+_F_A]")</f>
        <v/>
      </c>
      <c r="CF356" s="68" t="str" vm="14950">
        <f>CUBEVALUE(ConnectionString,ReportMonth,Table1[[#This Row],[Site ID (from DATIM)]],"[Measures].[MMS_180+_M_A]")</f>
        <v/>
      </c>
      <c r="CG356" s="68" vm="6150">
        <f>CUBEVALUE(ConnectionString,ReportMonth,Table1[[#This Row],[Site ID (from DATIM)]],"[Measures].[MISSEDAPP]")</f>
        <v>92</v>
      </c>
      <c r="CH356" s="68" t="str" vm="13027">
        <f>CUBEVALUE(ConnectionString,ReportMonth,Table1[[#This Row],[Site ID (from DATIM)]],"[Measures].[MMS_180+_P]")</f>
        <v/>
      </c>
      <c r="CI356" s="68" t="str" vm="12692">
        <f>CUBEVALUE(ConnectionString,ReportMonth,Table1[[#This Row],[Site ID (from DATIM)]],"[Measures].[MMS_180+_A]")</f>
        <v/>
      </c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  <c r="CW356" s="68"/>
      <c r="CX356" s="68"/>
      <c r="CY356" s="68"/>
      <c r="CZ356" s="68"/>
      <c r="DA356" s="68"/>
      <c r="DB356" s="68"/>
      <c r="DC356" s="68"/>
    </row>
    <row r="357" spans="1:107" x14ac:dyDescent="0.25">
      <c r="A357" s="66">
        <v>4</v>
      </c>
      <c r="B357" s="67" t="str" vm="4">
        <f t="shared" si="6"/>
        <v>Mar-2021</v>
      </c>
      <c r="C357" s="67"/>
      <c r="D357" s="67" t="s">
        <v>232</v>
      </c>
      <c r="E357" s="67" t="s">
        <v>233</v>
      </c>
      <c r="F357" s="67" t="s">
        <v>234</v>
      </c>
      <c r="G357" s="67"/>
      <c r="H357" s="67" t="s">
        <v>270</v>
      </c>
      <c r="I357" s="67" t="s">
        <v>393</v>
      </c>
      <c r="J357" s="67" t="s">
        <v>394</v>
      </c>
      <c r="K357" s="67" t="s">
        <v>395</v>
      </c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 t="str" vm="542">
        <f>CUBEVALUE(ConnectionString,ReportMonth,Table1[[#This Row],[Site ID (from DATIM)]],"TX_NEW_2VIS")</f>
        <v/>
      </c>
      <c r="AE357" s="67" vm="820">
        <f>CUBEVALUE(ConnectionString,ReportMonth,Table1[[#This Row],[Site ID (from DATIM)]],INDEX(SDI_Measures,1))</f>
        <v>2</v>
      </c>
      <c r="AF357" s="67" t="str" vm="4813">
        <f>CUBEVALUE(ConnectionString,ReportMonth,Table1[[#This Row],[Site ID (from DATIM)]],INDEX(SDI_Measures,2))</f>
        <v/>
      </c>
      <c r="AG357" s="67" t="str" vm="2651">
        <f>CUBEVALUE(ConnectionString,ReportMonth,Table1[[#This Row],[Site ID (from DATIM)]],INDEX(SDI_Measures,3))</f>
        <v/>
      </c>
      <c r="AH357" s="67" vm="3153">
        <f>CUBEVALUE(ConnectionString,ReportMonth,Table1[[#This Row],[Site ID (from DATIM)]],"TX_CURR_PRIOR_MONTH")</f>
        <v>173</v>
      </c>
      <c r="AI357" s="67" vm="3607">
        <f>CUBEVALUE(ConnectionString,ReportMonth,Table1[[#This Row],[Site ID (from DATIM)]],"TX_CURR")</f>
        <v>158</v>
      </c>
      <c r="AJ357" s="67" t="str" vm="2373">
        <f>CUBEVALUE(ConnectionString,ReportMonth,Table1[[#This Row],[Site ID (from DATIM)]],"[Measures].[TI]")</f>
        <v/>
      </c>
      <c r="AK357" s="67" t="str" vm="2583">
        <f>CUBEVALUE(ConnectionString,ReportMonth,Table1[[#This Row],[Site ID (from DATIM)]],"[Measures].[TO]")</f>
        <v/>
      </c>
      <c r="AL357" s="67" t="str" vm="3281">
        <f>CUBEVALUE(ConnectionString,ReportMonth,Table1[[#This Row],[Site ID (from DATIM)]],"[Measures].[DIED]")</f>
        <v/>
      </c>
      <c r="AM357" s="67" vm="3826">
        <f>CUBEVALUE(ConnectionString,ReportMonth,Table1[[#This Row],[Site ID (from DATIM)]],"[Measures].[MMS_01_31]")</f>
        <v>74</v>
      </c>
      <c r="AN357" s="67" vm="3458">
        <f>CUBEVALUE(ConnectionString,ReportMonth,Table1[[#This Row],[Site ID (from DATIM)]],"[Measures].[MMS_32_62]")</f>
        <v>7</v>
      </c>
      <c r="AO357" s="67" vm="5550">
        <f>CUBEVALUE(ConnectionString,ReportMonth,Table1[[#This Row],[Site ID (from DATIM)]],"[Measures].[MMS_63+]")</f>
        <v>77</v>
      </c>
      <c r="AP357" s="67" vm="6424">
        <f>CUBEVALUE(ConnectionString,ReportMonth,Table1[[#This Row],[Site ID (from DATIM)]],"[Measures].[TBPREV_D]")</f>
        <v>1</v>
      </c>
      <c r="AQ357" s="67" vm="5296">
        <f>CUBEVALUE(ConnectionString,ReportMonth,Table1[[#This Row],[Site ID (from DATIM)]],"[Measures].[TBPREV_N]")</f>
        <v>1</v>
      </c>
      <c r="AR357" s="67" t="str" vm="7427">
        <f>CUBEVALUE(ConnectionString,ReportMonth,Table1[[#This Row],[Site ID (from DATIM)]],"[Measures].[TBPREV_NEW]")</f>
        <v/>
      </c>
      <c r="AS357" s="67" vm="7344">
        <f>CUBEVALUE(ConnectionString,ReportMonth,Table1[[#This Row],[Site ID (from DATIM)]],"[Measures].[HVL_ELIG_P]")</f>
        <v>4</v>
      </c>
      <c r="AT357" s="67" vm="9640">
        <f>CUBEVALUE(ConnectionString,ReportMonth,Table1[[#This Row],[Site ID (from DATIM)]],"[Measures].[HVL_D_P]")</f>
        <v>3</v>
      </c>
      <c r="AU357" s="67" vm="8917">
        <f>CUBEVALUE(ConnectionString,ReportMonth,Table1[[#This Row],[Site ID (from DATIM)]],"[Measures].[HVL_N_P]")</f>
        <v>3</v>
      </c>
      <c r="AV357" s="68" vm="10076">
        <f>CUBEVALUE(ConnectionString,ReportMonth,Table1[[#This Row],[Site ID (from DATIM)]],"[Measures].[HVL_ELIG_A]")</f>
        <v>113</v>
      </c>
      <c r="AW357" s="68" vm="11541">
        <f>CUBEVALUE(ConnectionString,ReportMonth,Table1[[#This Row],[Site ID (from DATIM)]],"[Measures].[HVL_D_A]")</f>
        <v>84</v>
      </c>
      <c r="AX357" s="68" vm="10735">
        <f>CUBEVALUE(ConnectionString,ReportMonth,Table1[[#This Row],[Site ID (from DATIM)]],"[Measures].[HVL_N_A]")</f>
        <v>81</v>
      </c>
      <c r="AY357" s="67"/>
      <c r="AZ357" s="67"/>
      <c r="BA357" s="67"/>
      <c r="BB357" s="67"/>
      <c r="BC357" s="67"/>
      <c r="BD357" s="67"/>
      <c r="BE357" s="67"/>
      <c r="BF357" s="67"/>
      <c r="BG357" s="67" vm="10915">
        <f>CUBEVALUE(ConnectionString,ReportMonth,Table1[[#This Row],[Site ID (from DATIM)]],"[Measures].[TX_NEW_F_A]")</f>
        <v>2</v>
      </c>
      <c r="BH357" s="67" t="str" vm="13120">
        <f>CUBEVALUE(ConnectionString,ReportMonth,Table1[[#This Row],[Site ID (from DATIM)]],"[Measures].[TX_NEW_M_A]")</f>
        <v/>
      </c>
      <c r="BI357" s="67" t="str" vm="12561">
        <f>CUBEVALUE(ConnectionString,ReportMonth,Table1[[#This Row],[Site ID (from DATIM)]],"[Measures].[TX_NEW_F_P]")</f>
        <v/>
      </c>
      <c r="BJ357" s="68" t="str" vm="15329">
        <f>CUBEVALUE(ConnectionString,ReportMonth,Table1[[#This Row],[Site ID (from DATIM)]],"[Measures].[TX_NEW_M_P]")</f>
        <v/>
      </c>
      <c r="BK357" s="68"/>
      <c r="BL357" s="68"/>
      <c r="BM357" s="68"/>
      <c r="BN357" s="68"/>
      <c r="BO357" s="68"/>
      <c r="BP357" s="68"/>
      <c r="BQ357" s="68" vm="7986">
        <f>CUBEVALUE(ConnectionString,ReportMonth,Table1[[#This Row],[Site ID (from DATIM)]],"[Measures].[TX_CURR_F_P]")</f>
        <v>3</v>
      </c>
      <c r="BR357" s="68" vm="11824">
        <f>CUBEVALUE(ConnectionString,ReportMonth,Table1[[#This Row],[Site ID (from DATIM)]],"[Measures].[TX_CURR_M_P]")</f>
        <v>2</v>
      </c>
      <c r="BS357" s="68" vm="13221">
        <f>CUBEVALUE(ConnectionString,ReportMonth,Table1[[#This Row],[Site ID (from DATIM)]],"[Measures].[TX_CURR_F_A]")</f>
        <v>112</v>
      </c>
      <c r="BT357" s="68" vm="10649">
        <f>CUBEVALUE(ConnectionString,ReportMonth,Table1[[#This Row],[Site ID (from DATIM)]],"[Measures].[TX_CURR_M_A]")</f>
        <v>41</v>
      </c>
      <c r="BU357" s="68" t="str" vm="20150">
        <f>CUBEVALUE(ConnectionString,ReportMonth,Table1[[#This Row],[Site ID (from DATIM)]],"[Measures].[MMS_01_89_F_P]")</f>
        <v/>
      </c>
      <c r="BV357" s="68" vm="18922">
        <f>CUBEVALUE(ConnectionString,ReportMonth,Table1[[#This Row],[Site ID (from DATIM)]],"[Measures].[MMS_01_89_M_P]")</f>
        <v>2</v>
      </c>
      <c r="BW357" s="68" vm="19748">
        <f>CUBEVALUE(ConnectionString,ReportMonth,Table1[[#This Row],[Site ID (from DATIM)]],"[Measures].[MMS_01_89_F_A]")</f>
        <v>64</v>
      </c>
      <c r="BX357" s="68" vm="19138">
        <f>CUBEVALUE(ConnectionString,ReportMonth,Table1[[#This Row],[Site ID (from DATIM)]],"[Measures].[MMS_01_89_M_A]")</f>
        <v>15</v>
      </c>
      <c r="BY357" s="68" vm="19367">
        <f>CUBEVALUE(ConnectionString,ReportMonth,Table1[[#This Row],[Site ID (from DATIM)]],"[Measures].[MMS_90_179_F_P]")</f>
        <v>3</v>
      </c>
      <c r="BZ357" s="68" t="str" vm="16807">
        <f>CUBEVALUE(ConnectionString,ReportMonth,Table1[[#This Row],[Site ID (from DATIM)]],"[Measures].[MMS_90_179_M_P]")</f>
        <v/>
      </c>
      <c r="CA357" s="68" vm="15979">
        <f>CUBEVALUE(ConnectionString,ReportMonth,Table1[[#This Row],[Site ID (from DATIM)]],"[Measures].[MMS_90_179_F_A]")</f>
        <v>48</v>
      </c>
      <c r="CB357" s="68" vm="15408">
        <f>CUBEVALUE(ConnectionString,ReportMonth,Table1[[#This Row],[Site ID (from DATIM)]],"[Measures].[MMS_90_179_M_A]")</f>
        <v>26</v>
      </c>
      <c r="CC357" s="68" t="str" vm="15486">
        <f>CUBEVALUE(ConnectionString,ReportMonth,Table1[[#This Row],[Site ID (from DATIM)]],"[Measures].[MMS_180+_F_P]")</f>
        <v/>
      </c>
      <c r="CD357" s="68" t="str" vm="5">
        <f>CUBEVALUE(ConnectionString,ReportMonth,Table1[[#This Row],[Site ID (from DATIM)]],"[Measures].[MMS_180+_M_P]")</f>
        <v/>
      </c>
      <c r="CE357" s="68" t="str" vm="14449">
        <f>CUBEVALUE(ConnectionString,ReportMonth,Table1[[#This Row],[Site ID (from DATIM)]],"[Measures].[MMS_180+_F_A]")</f>
        <v/>
      </c>
      <c r="CF357" s="68" t="str" vm="86">
        <f>CUBEVALUE(ConnectionString,ReportMonth,Table1[[#This Row],[Site ID (from DATIM)]],"[Measures].[MMS_180+_M_A]")</f>
        <v/>
      </c>
      <c r="CG357" s="68" vm="9808">
        <f>CUBEVALUE(ConnectionString,ReportMonth,Table1[[#This Row],[Site ID (from DATIM)]],"[Measures].[MISSEDAPP]")</f>
        <v>91</v>
      </c>
      <c r="CH357" s="68" t="str" vm="13386">
        <f>CUBEVALUE(ConnectionString,ReportMonth,Table1[[#This Row],[Site ID (from DATIM)]],"[Measures].[MMS_180+_P]")</f>
        <v/>
      </c>
      <c r="CI357" s="68" t="str" vm="14069">
        <f>CUBEVALUE(ConnectionString,ReportMonth,Table1[[#This Row],[Site ID (from DATIM)]],"[Measures].[MMS_180+_A]")</f>
        <v/>
      </c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  <c r="CW357" s="68"/>
      <c r="CX357" s="68"/>
      <c r="CY357" s="68"/>
      <c r="CZ357" s="68"/>
      <c r="DA357" s="68"/>
      <c r="DB357" s="68"/>
      <c r="DC357" s="68"/>
    </row>
    <row r="358" spans="1:107" x14ac:dyDescent="0.25">
      <c r="A358" s="66">
        <v>4</v>
      </c>
      <c r="B358" s="67" t="str" vm="4">
        <f t="shared" si="6"/>
        <v>Mar-2021</v>
      </c>
      <c r="C358" s="67"/>
      <c r="D358" s="67" t="s">
        <v>232</v>
      </c>
      <c r="E358" s="67" t="s">
        <v>233</v>
      </c>
      <c r="F358" s="67" t="s">
        <v>1083</v>
      </c>
      <c r="G358" s="67"/>
      <c r="H358" s="67" t="s">
        <v>1113</v>
      </c>
      <c r="I358" s="67" t="s">
        <v>1252</v>
      </c>
      <c r="J358" s="67" t="s">
        <v>1253</v>
      </c>
      <c r="K358" s="67" t="s">
        <v>1254</v>
      </c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 t="str" vm="3058">
        <f>CUBEVALUE(ConnectionString,ReportMonth,Table1[[#This Row],[Site ID (from DATIM)]],"TX_NEW_2VIS")</f>
        <v/>
      </c>
      <c r="AE358" s="67" t="str" vm="1726">
        <f>CUBEVALUE(ConnectionString,ReportMonth,Table1[[#This Row],[Site ID (from DATIM)]],INDEX(SDI_Measures,1))</f>
        <v/>
      </c>
      <c r="AF358" s="67" t="str" vm="1019">
        <f>CUBEVALUE(ConnectionString,ReportMonth,Table1[[#This Row],[Site ID (from DATIM)]],INDEX(SDI_Measures,2))</f>
        <v/>
      </c>
      <c r="AG358" s="67" t="str" vm="1072">
        <f>CUBEVALUE(ConnectionString,ReportMonth,Table1[[#This Row],[Site ID (from DATIM)]],INDEX(SDI_Measures,3))</f>
        <v/>
      </c>
      <c r="AH358" s="67" vm="1320">
        <f>CUBEVALUE(ConnectionString,ReportMonth,Table1[[#This Row],[Site ID (from DATIM)]],"TX_CURR_PRIOR_MONTH")</f>
        <v>183</v>
      </c>
      <c r="AI358" s="67" vm="571">
        <f>CUBEVALUE(ConnectionString,ReportMonth,Table1[[#This Row],[Site ID (from DATIM)]],"TX_CURR")</f>
        <v>164</v>
      </c>
      <c r="AJ358" s="67" t="str" vm="3185">
        <f>CUBEVALUE(ConnectionString,ReportMonth,Table1[[#This Row],[Site ID (from DATIM)]],"[Measures].[TI]")</f>
        <v/>
      </c>
      <c r="AK358" s="67" t="str" vm="2275">
        <f>CUBEVALUE(ConnectionString,ReportMonth,Table1[[#This Row],[Site ID (from DATIM)]],"[Measures].[TO]")</f>
        <v/>
      </c>
      <c r="AL358" s="67" t="str" vm="2354">
        <f>CUBEVALUE(ConnectionString,ReportMonth,Table1[[#This Row],[Site ID (from DATIM)]],"[Measures].[DIED]")</f>
        <v/>
      </c>
      <c r="AM358" s="67" vm="4953">
        <f>CUBEVALUE(ConnectionString,ReportMonth,Table1[[#This Row],[Site ID (from DATIM)]],"[Measures].[MMS_01_31]")</f>
        <v>29</v>
      </c>
      <c r="AN358" s="67" t="str" vm="7622">
        <f>CUBEVALUE(ConnectionString,ReportMonth,Table1[[#This Row],[Site ID (from DATIM)]],"[Measures].[MMS_32_62]")</f>
        <v/>
      </c>
      <c r="AO358" s="67" vm="9230">
        <f>CUBEVALUE(ConnectionString,ReportMonth,Table1[[#This Row],[Site ID (from DATIM)]],"[Measures].[MMS_63+]")</f>
        <v>135</v>
      </c>
      <c r="AP358" s="67" vm="5626">
        <f>CUBEVALUE(ConnectionString,ReportMonth,Table1[[#This Row],[Site ID (from DATIM)]],"[Measures].[TBPREV_D]")</f>
        <v>3</v>
      </c>
      <c r="AQ358" s="67" vm="5808">
        <f>CUBEVALUE(ConnectionString,ReportMonth,Table1[[#This Row],[Site ID (from DATIM)]],"[Measures].[TBPREV_N]")</f>
        <v>1</v>
      </c>
      <c r="AR358" s="67" t="str" vm="5254">
        <f>CUBEVALUE(ConnectionString,ReportMonth,Table1[[#This Row],[Site ID (from DATIM)]],"[Measures].[TBPREV_NEW]")</f>
        <v/>
      </c>
      <c r="AS358" s="67" vm="7833">
        <f>CUBEVALUE(ConnectionString,ReportMonth,Table1[[#This Row],[Site ID (from DATIM)]],"[Measures].[HVL_ELIG_P]")</f>
        <v>7</v>
      </c>
      <c r="AT358" s="67" t="str" vm="6613">
        <f>CUBEVALUE(ConnectionString,ReportMonth,Table1[[#This Row],[Site ID (from DATIM)]],"[Measures].[HVL_D_P]")</f>
        <v/>
      </c>
      <c r="AU358" s="67" t="str" vm="8592">
        <f>CUBEVALUE(ConnectionString,ReportMonth,Table1[[#This Row],[Site ID (from DATIM)]],"[Measures].[HVL_N_P]")</f>
        <v/>
      </c>
      <c r="AV358" s="68" vm="9728">
        <f>CUBEVALUE(ConnectionString,ReportMonth,Table1[[#This Row],[Site ID (from DATIM)]],"[Measures].[HVL_ELIG_A]")</f>
        <v>147</v>
      </c>
      <c r="AW358" s="68" vm="7504">
        <f>CUBEVALUE(ConnectionString,ReportMonth,Table1[[#This Row],[Site ID (from DATIM)]],"[Measures].[HVL_D_A]")</f>
        <v>24</v>
      </c>
      <c r="AX358" s="68" vm="9689">
        <f>CUBEVALUE(ConnectionString,ReportMonth,Table1[[#This Row],[Site ID (from DATIM)]],"[Measures].[HVL_N_A]")</f>
        <v>24</v>
      </c>
      <c r="AY358" s="67"/>
      <c r="AZ358" s="67"/>
      <c r="BA358" s="67"/>
      <c r="BB358" s="67"/>
      <c r="BC358" s="67"/>
      <c r="BD358" s="67"/>
      <c r="BE358" s="67"/>
      <c r="BF358" s="67"/>
      <c r="BG358" s="67" t="str" vm="12164">
        <f>CUBEVALUE(ConnectionString,ReportMonth,Table1[[#This Row],[Site ID (from DATIM)]],"[Measures].[TX_NEW_F_A]")</f>
        <v/>
      </c>
      <c r="BH358" s="67" t="str" vm="12506">
        <f>CUBEVALUE(ConnectionString,ReportMonth,Table1[[#This Row],[Site ID (from DATIM)]],"[Measures].[TX_NEW_M_A]")</f>
        <v/>
      </c>
      <c r="BI358" s="67" t="str" vm="14213">
        <f>CUBEVALUE(ConnectionString,ReportMonth,Table1[[#This Row],[Site ID (from DATIM)]],"[Measures].[TX_NEW_F_P]")</f>
        <v/>
      </c>
      <c r="BJ358" s="68" t="str" vm="14306">
        <f>CUBEVALUE(ConnectionString,ReportMonth,Table1[[#This Row],[Site ID (from DATIM)]],"[Measures].[TX_NEW_M_P]")</f>
        <v/>
      </c>
      <c r="BK358" s="68"/>
      <c r="BL358" s="68"/>
      <c r="BM358" s="68"/>
      <c r="BN358" s="68"/>
      <c r="BO358" s="68"/>
      <c r="BP358" s="68"/>
      <c r="BQ358" s="68" vm="11735">
        <f>CUBEVALUE(ConnectionString,ReportMonth,Table1[[#This Row],[Site ID (from DATIM)]],"[Measures].[TX_CURR_F_P]")</f>
        <v>5</v>
      </c>
      <c r="BR358" s="68" vm="10636">
        <f>CUBEVALUE(ConnectionString,ReportMonth,Table1[[#This Row],[Site ID (from DATIM)]],"[Measures].[TX_CURR_M_P]")</f>
        <v>4</v>
      </c>
      <c r="BS358" s="68" vm="8711">
        <f>CUBEVALUE(ConnectionString,ReportMonth,Table1[[#This Row],[Site ID (from DATIM)]],"[Measures].[TX_CURR_F_A]")</f>
        <v>115</v>
      </c>
      <c r="BT358" s="68" vm="14820">
        <f>CUBEVALUE(ConnectionString,ReportMonth,Table1[[#This Row],[Site ID (from DATIM)]],"[Measures].[TX_CURR_M_A]")</f>
        <v>40</v>
      </c>
      <c r="BU358" s="68" vm="18351">
        <f>CUBEVALUE(ConnectionString,ReportMonth,Table1[[#This Row],[Site ID (from DATIM)]],"[Measures].[MMS_01_89_F_P]")</f>
        <v>4</v>
      </c>
      <c r="BV358" s="68" vm="18102">
        <f>CUBEVALUE(ConnectionString,ReportMonth,Table1[[#This Row],[Site ID (from DATIM)]],"[Measures].[MMS_01_89_M_P]")</f>
        <v>2</v>
      </c>
      <c r="BW358" s="68" vm="19161">
        <f>CUBEVALUE(ConnectionString,ReportMonth,Table1[[#This Row],[Site ID (from DATIM)]],"[Measures].[MMS_01_89_F_A]")</f>
        <v>25</v>
      </c>
      <c r="BX358" s="68" vm="18196">
        <f>CUBEVALUE(ConnectionString,ReportMonth,Table1[[#This Row],[Site ID (from DATIM)]],"[Measures].[MMS_01_89_M_A]")</f>
        <v>7</v>
      </c>
      <c r="BY358" s="68" vm="18571">
        <f>CUBEVALUE(ConnectionString,ReportMonth,Table1[[#This Row],[Site ID (from DATIM)]],"[Measures].[MMS_90_179_F_P]")</f>
        <v>1</v>
      </c>
      <c r="BZ358" s="68" vm="16970">
        <f>CUBEVALUE(ConnectionString,ReportMonth,Table1[[#This Row],[Site ID (from DATIM)]],"[Measures].[MMS_90_179_M_P]")</f>
        <v>2</v>
      </c>
      <c r="CA358" s="68" vm="14692">
        <f>CUBEVALUE(ConnectionString,ReportMonth,Table1[[#This Row],[Site ID (from DATIM)]],"[Measures].[MMS_90_179_F_A]")</f>
        <v>90</v>
      </c>
      <c r="CB358" s="68" vm="15890">
        <f>CUBEVALUE(ConnectionString,ReportMonth,Table1[[#This Row],[Site ID (from DATIM)]],"[Measures].[MMS_90_179_M_A]")</f>
        <v>33</v>
      </c>
      <c r="CC358" s="68" t="str" vm="15475">
        <f>CUBEVALUE(ConnectionString,ReportMonth,Table1[[#This Row],[Site ID (from DATIM)]],"[Measures].[MMS_180+_F_P]")</f>
        <v/>
      </c>
      <c r="CD358" s="68" t="str" vm="15041">
        <f>CUBEVALUE(ConnectionString,ReportMonth,Table1[[#This Row],[Site ID (from DATIM)]],"[Measures].[MMS_180+_M_P]")</f>
        <v/>
      </c>
      <c r="CE358" s="68" t="str" vm="14519">
        <f>CUBEVALUE(ConnectionString,ReportMonth,Table1[[#This Row],[Site ID (from DATIM)]],"[Measures].[MMS_180+_F_A]")</f>
        <v/>
      </c>
      <c r="CF358" s="68" t="str" vm="113">
        <f>CUBEVALUE(ConnectionString,ReportMonth,Table1[[#This Row],[Site ID (from DATIM)]],"[Measures].[MMS_180+_M_A]")</f>
        <v/>
      </c>
      <c r="CG358" s="68" vm="10059">
        <f>CUBEVALUE(ConnectionString,ReportMonth,Table1[[#This Row],[Site ID (from DATIM)]],"[Measures].[MISSEDAPP]")</f>
        <v>47</v>
      </c>
      <c r="CH358" s="68" t="str" vm="12611">
        <f>CUBEVALUE(ConnectionString,ReportMonth,Table1[[#This Row],[Site ID (from DATIM)]],"[Measures].[MMS_180+_P]")</f>
        <v/>
      </c>
      <c r="CI358" s="68" t="str" vm="12385">
        <f>CUBEVALUE(ConnectionString,ReportMonth,Table1[[#This Row],[Site ID (from DATIM)]],"[Measures].[MMS_180+_A]")</f>
        <v/>
      </c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  <c r="CW358" s="68"/>
      <c r="CX358" s="68"/>
      <c r="CY358" s="68"/>
      <c r="CZ358" s="68"/>
      <c r="DA358" s="68"/>
      <c r="DB358" s="68"/>
      <c r="DC358" s="68"/>
    </row>
    <row r="359" spans="1:107" x14ac:dyDescent="0.25">
      <c r="A359" s="66">
        <v>4</v>
      </c>
      <c r="B359" s="67" t="str" vm="4">
        <f t="shared" si="6"/>
        <v>Mar-2021</v>
      </c>
      <c r="C359" s="67"/>
      <c r="D359" s="67" t="s">
        <v>232</v>
      </c>
      <c r="E359" s="67" t="s">
        <v>233</v>
      </c>
      <c r="F359" s="67" t="s">
        <v>831</v>
      </c>
      <c r="G359" s="67"/>
      <c r="H359" s="67" t="s">
        <v>867</v>
      </c>
      <c r="I359" s="67" t="s">
        <v>1011</v>
      </c>
      <c r="J359" s="67" t="s">
        <v>1012</v>
      </c>
      <c r="K359" s="67" t="s">
        <v>1013</v>
      </c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 vm="3244">
        <f>CUBEVALUE(ConnectionString,ReportMonth,Table1[[#This Row],[Site ID (from DATIM)]],"TX_NEW_2VIS")</f>
        <v>1</v>
      </c>
      <c r="AE359" s="67" t="str" vm="507">
        <f>CUBEVALUE(ConnectionString,ReportMonth,Table1[[#This Row],[Site ID (from DATIM)]],INDEX(SDI_Measures,1))</f>
        <v/>
      </c>
      <c r="AF359" s="67" t="str" vm="751">
        <f>CUBEVALUE(ConnectionString,ReportMonth,Table1[[#This Row],[Site ID (from DATIM)]],INDEX(SDI_Measures,2))</f>
        <v/>
      </c>
      <c r="AG359" s="67" t="str" vm="1171">
        <f>CUBEVALUE(ConnectionString,ReportMonth,Table1[[#This Row],[Site ID (from DATIM)]],INDEX(SDI_Measures,3))</f>
        <v/>
      </c>
      <c r="AH359" s="67" vm="3165">
        <f>CUBEVALUE(ConnectionString,ReportMonth,Table1[[#This Row],[Site ID (from DATIM)]],"TX_CURR_PRIOR_MONTH")</f>
        <v>259</v>
      </c>
      <c r="AI359" s="67" vm="1108">
        <f>CUBEVALUE(ConnectionString,ReportMonth,Table1[[#This Row],[Site ID (from DATIM)]],"TX_CURR")</f>
        <v>240</v>
      </c>
      <c r="AJ359" s="67" t="str" vm="1406">
        <f>CUBEVALUE(ConnectionString,ReportMonth,Table1[[#This Row],[Site ID (from DATIM)]],"[Measures].[TI]")</f>
        <v/>
      </c>
      <c r="AK359" s="67" t="str" vm="3103">
        <f>CUBEVALUE(ConnectionString,ReportMonth,Table1[[#This Row],[Site ID (from DATIM)]],"[Measures].[TO]")</f>
        <v/>
      </c>
      <c r="AL359" s="67" t="str" vm="3031">
        <f>CUBEVALUE(ConnectionString,ReportMonth,Table1[[#This Row],[Site ID (from DATIM)]],"[Measures].[DIED]")</f>
        <v/>
      </c>
      <c r="AM359" s="67" vm="4466">
        <f>CUBEVALUE(ConnectionString,ReportMonth,Table1[[#This Row],[Site ID (from DATIM)]],"[Measures].[MMS_01_31]")</f>
        <v>23</v>
      </c>
      <c r="AN359" s="67" vm="5479">
        <f>CUBEVALUE(ConnectionString,ReportMonth,Table1[[#This Row],[Site ID (from DATIM)]],"[Measures].[MMS_32_62]")</f>
        <v>5</v>
      </c>
      <c r="AO359" s="67" vm="7886">
        <f>CUBEVALUE(ConnectionString,ReportMonth,Table1[[#This Row],[Site ID (from DATIM)]],"[Measures].[MMS_63+]")</f>
        <v>212</v>
      </c>
      <c r="AP359" s="67" vm="5243">
        <f>CUBEVALUE(ConnectionString,ReportMonth,Table1[[#This Row],[Site ID (from DATIM)]],"[Measures].[TBPREV_D]")</f>
        <v>1</v>
      </c>
      <c r="AQ359" s="67" t="str" vm="5979">
        <f>CUBEVALUE(ConnectionString,ReportMonth,Table1[[#This Row],[Site ID (from DATIM)]],"[Measures].[TBPREV_N]")</f>
        <v/>
      </c>
      <c r="AR359" s="67" t="str" vm="4203">
        <f>CUBEVALUE(ConnectionString,ReportMonth,Table1[[#This Row],[Site ID (from DATIM)]],"[Measures].[TBPREV_NEW]")</f>
        <v/>
      </c>
      <c r="AS359" s="67" vm="7273">
        <f>CUBEVALUE(ConnectionString,ReportMonth,Table1[[#This Row],[Site ID (from DATIM)]],"[Measures].[HVL_ELIG_P]")</f>
        <v>9</v>
      </c>
      <c r="AT359" s="67" vm="7401">
        <f>CUBEVALUE(ConnectionString,ReportMonth,Table1[[#This Row],[Site ID (from DATIM)]],"[Measures].[HVL_D_P]")</f>
        <v>9</v>
      </c>
      <c r="AU359" s="67" vm="10744">
        <f>CUBEVALUE(ConnectionString,ReportMonth,Table1[[#This Row],[Site ID (from DATIM)]],"[Measures].[HVL_N_P]")</f>
        <v>7</v>
      </c>
      <c r="AV359" s="68" vm="10386">
        <f>CUBEVALUE(ConnectionString,ReportMonth,Table1[[#This Row],[Site ID (from DATIM)]],"[Measures].[HVL_ELIG_A]")</f>
        <v>213</v>
      </c>
      <c r="AW359" s="68" vm="10487">
        <f>CUBEVALUE(ConnectionString,ReportMonth,Table1[[#This Row],[Site ID (from DATIM)]],"[Measures].[HVL_D_A]")</f>
        <v>178</v>
      </c>
      <c r="AX359" s="68" vm="10613">
        <f>CUBEVALUE(ConnectionString,ReportMonth,Table1[[#This Row],[Site ID (from DATIM)]],"[Measures].[HVL_N_A]")</f>
        <v>163</v>
      </c>
      <c r="AY359" s="67"/>
      <c r="AZ359" s="67"/>
      <c r="BA359" s="67"/>
      <c r="BB359" s="67"/>
      <c r="BC359" s="67"/>
      <c r="BD359" s="67"/>
      <c r="BE359" s="67"/>
      <c r="BF359" s="67"/>
      <c r="BG359" s="67" t="str" vm="11721">
        <f>CUBEVALUE(ConnectionString,ReportMonth,Table1[[#This Row],[Site ID (from DATIM)]],"[Measures].[TX_NEW_F_A]")</f>
        <v/>
      </c>
      <c r="BH359" s="67" t="str" vm="13204">
        <f>CUBEVALUE(ConnectionString,ReportMonth,Table1[[#This Row],[Site ID (from DATIM)]],"[Measures].[TX_NEW_M_A]")</f>
        <v/>
      </c>
      <c r="BI359" s="67" t="str" vm="17051">
        <f>CUBEVALUE(ConnectionString,ReportMonth,Table1[[#This Row],[Site ID (from DATIM)]],"[Measures].[TX_NEW_F_P]")</f>
        <v/>
      </c>
      <c r="BJ359" s="68" t="str" vm="14834">
        <f>CUBEVALUE(ConnectionString,ReportMonth,Table1[[#This Row],[Site ID (from DATIM)]],"[Measures].[TX_NEW_M_P]")</f>
        <v/>
      </c>
      <c r="BK359" s="68"/>
      <c r="BL359" s="68"/>
      <c r="BM359" s="68"/>
      <c r="BN359" s="68"/>
      <c r="BO359" s="68"/>
      <c r="BP359" s="68"/>
      <c r="BQ359" s="68" vm="9366">
        <f>CUBEVALUE(ConnectionString,ReportMonth,Table1[[#This Row],[Site ID (from DATIM)]],"[Measures].[TX_CURR_F_P]")</f>
        <v>3</v>
      </c>
      <c r="BR359" s="68" vm="8197">
        <f>CUBEVALUE(ConnectionString,ReportMonth,Table1[[#This Row],[Site ID (from DATIM)]],"[Measures].[TX_CURR_M_P]")</f>
        <v>6</v>
      </c>
      <c r="BS359" s="68" vm="8396">
        <f>CUBEVALUE(ConnectionString,ReportMonth,Table1[[#This Row],[Site ID (from DATIM)]],"[Measures].[TX_CURR_F_A]")</f>
        <v>150</v>
      </c>
      <c r="BT359" s="68" vm="13915">
        <f>CUBEVALUE(ConnectionString,ReportMonth,Table1[[#This Row],[Site ID (from DATIM)]],"[Measures].[TX_CURR_M_A]")</f>
        <v>81</v>
      </c>
      <c r="BU359" s="68" vm="19535">
        <f>CUBEVALUE(ConnectionString,ReportMonth,Table1[[#This Row],[Site ID (from DATIM)]],"[Measures].[MMS_01_89_F_P]")</f>
        <v>1</v>
      </c>
      <c r="BV359" s="68" vm="18326">
        <f>CUBEVALUE(ConnectionString,ReportMonth,Table1[[#This Row],[Site ID (from DATIM)]],"[Measures].[MMS_01_89_M_P]")</f>
        <v>1</v>
      </c>
      <c r="BW359" s="68" vm="18322">
        <f>CUBEVALUE(ConnectionString,ReportMonth,Table1[[#This Row],[Site ID (from DATIM)]],"[Measures].[MMS_01_89_F_A]")</f>
        <v>18</v>
      </c>
      <c r="BX359" s="68" vm="17953">
        <f>CUBEVALUE(ConnectionString,ReportMonth,Table1[[#This Row],[Site ID (from DATIM)]],"[Measures].[MMS_01_89_M_A]")</f>
        <v>14</v>
      </c>
      <c r="BY359" s="68" vm="18151">
        <f>CUBEVALUE(ConnectionString,ReportMonth,Table1[[#This Row],[Site ID (from DATIM)]],"[Measures].[MMS_90_179_F_P]")</f>
        <v>2</v>
      </c>
      <c r="BZ359" s="68" vm="19630">
        <f>CUBEVALUE(ConnectionString,ReportMonth,Table1[[#This Row],[Site ID (from DATIM)]],"[Measures].[MMS_90_179_M_P]")</f>
        <v>5</v>
      </c>
      <c r="CA359" s="68" vm="17323">
        <f>CUBEVALUE(ConnectionString,ReportMonth,Table1[[#This Row],[Site ID (from DATIM)]],"[Measures].[MMS_90_179_F_A]")</f>
        <v>132</v>
      </c>
      <c r="CB359" s="68" vm="16396">
        <f>CUBEVALUE(ConnectionString,ReportMonth,Table1[[#This Row],[Site ID (from DATIM)]],"[Measures].[MMS_90_179_M_A]")</f>
        <v>67</v>
      </c>
      <c r="CC359" s="68" t="str" vm="17189">
        <f>CUBEVALUE(ConnectionString,ReportMonth,Table1[[#This Row],[Site ID (from DATIM)]],"[Measures].[MMS_180+_F_P]")</f>
        <v/>
      </c>
      <c r="CD359" s="68" t="str" vm="15010">
        <f>CUBEVALUE(ConnectionString,ReportMonth,Table1[[#This Row],[Site ID (from DATIM)]],"[Measures].[MMS_180+_M_P]")</f>
        <v/>
      </c>
      <c r="CE359" s="68" t="str" vm="186">
        <f>CUBEVALUE(ConnectionString,ReportMonth,Table1[[#This Row],[Site ID (from DATIM)]],"[Measures].[MMS_180+_F_A]")</f>
        <v/>
      </c>
      <c r="CF359" s="68" t="str" vm="17104">
        <f>CUBEVALUE(ConnectionString,ReportMonth,Table1[[#This Row],[Site ID (from DATIM)]],"[Measures].[MMS_180+_M_A]")</f>
        <v/>
      </c>
      <c r="CG359" s="68" vm="4996">
        <f>CUBEVALUE(ConnectionString,ReportMonth,Table1[[#This Row],[Site ID (from DATIM)]],"[Measures].[MISSEDAPP]")</f>
        <v>115</v>
      </c>
      <c r="CH359" s="68" t="str" vm="13203">
        <f>CUBEVALUE(ConnectionString,ReportMonth,Table1[[#This Row],[Site ID (from DATIM)]],"[Measures].[MMS_180+_P]")</f>
        <v/>
      </c>
      <c r="CI359" s="68" t="str" vm="13345">
        <f>CUBEVALUE(ConnectionString,ReportMonth,Table1[[#This Row],[Site ID (from DATIM)]],"[Measures].[MMS_180+_A]")</f>
        <v/>
      </c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  <c r="CW359" s="68"/>
      <c r="CX359" s="68"/>
      <c r="CY359" s="68"/>
      <c r="CZ359" s="68"/>
      <c r="DA359" s="68"/>
      <c r="DB359" s="68"/>
      <c r="DC359" s="68"/>
    </row>
    <row r="360" spans="1:107" x14ac:dyDescent="0.25">
      <c r="A360" s="66">
        <v>4</v>
      </c>
      <c r="B360" s="67" t="str" vm="4">
        <f t="shared" si="6"/>
        <v>Mar-2021</v>
      </c>
      <c r="C360" s="67"/>
      <c r="D360" s="67" t="s">
        <v>232</v>
      </c>
      <c r="E360" s="67" t="s">
        <v>233</v>
      </c>
      <c r="F360" s="67" t="s">
        <v>437</v>
      </c>
      <c r="G360" s="67"/>
      <c r="H360" s="67" t="s">
        <v>454</v>
      </c>
      <c r="I360" s="67" t="s">
        <v>758</v>
      </c>
      <c r="J360" s="67" t="s">
        <v>759</v>
      </c>
      <c r="K360" s="67" t="s">
        <v>760</v>
      </c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 t="str" vm="1011">
        <f>CUBEVALUE(ConnectionString,ReportMonth,Table1[[#This Row],[Site ID (from DATIM)]],"TX_NEW_2VIS")</f>
        <v/>
      </c>
      <c r="AE360" s="67" t="str" vm="1763">
        <f>CUBEVALUE(ConnectionString,ReportMonth,Table1[[#This Row],[Site ID (from DATIM)]],INDEX(SDI_Measures,1))</f>
        <v/>
      </c>
      <c r="AF360" s="67" t="str" vm="2919">
        <f>CUBEVALUE(ConnectionString,ReportMonth,Table1[[#This Row],[Site ID (from DATIM)]],INDEX(SDI_Measures,2))</f>
        <v/>
      </c>
      <c r="AG360" s="67" t="str" vm="783">
        <f>CUBEVALUE(ConnectionString,ReportMonth,Table1[[#This Row],[Site ID (from DATIM)]],INDEX(SDI_Measures,3))</f>
        <v/>
      </c>
      <c r="AH360" s="67" vm="3077">
        <f>CUBEVALUE(ConnectionString,ReportMonth,Table1[[#This Row],[Site ID (from DATIM)]],"TX_CURR_PRIOR_MONTH")</f>
        <v>40</v>
      </c>
      <c r="AI360" s="67" vm="1684">
        <f>CUBEVALUE(ConnectionString,ReportMonth,Table1[[#This Row],[Site ID (from DATIM)]],"TX_CURR")</f>
        <v>40</v>
      </c>
      <c r="AJ360" s="67" t="str" vm="2868">
        <f>CUBEVALUE(ConnectionString,ReportMonth,Table1[[#This Row],[Site ID (from DATIM)]],"[Measures].[TI]")</f>
        <v/>
      </c>
      <c r="AK360" s="67" t="str" vm="2283">
        <f>CUBEVALUE(ConnectionString,ReportMonth,Table1[[#This Row],[Site ID (from DATIM)]],"[Measures].[TO]")</f>
        <v/>
      </c>
      <c r="AL360" s="67" t="str" vm="3936">
        <f>CUBEVALUE(ConnectionString,ReportMonth,Table1[[#This Row],[Site ID (from DATIM)]],"[Measures].[DIED]")</f>
        <v/>
      </c>
      <c r="AM360" s="67" vm="7594">
        <f>CUBEVALUE(ConnectionString,ReportMonth,Table1[[#This Row],[Site ID (from DATIM)]],"[Measures].[MMS_01_31]")</f>
        <v>31</v>
      </c>
      <c r="AN360" s="67" t="str" vm="7107">
        <f>CUBEVALUE(ConnectionString,ReportMonth,Table1[[#This Row],[Site ID (from DATIM)]],"[Measures].[MMS_32_62]")</f>
        <v/>
      </c>
      <c r="AO360" s="67" vm="6919">
        <f>CUBEVALUE(ConnectionString,ReportMonth,Table1[[#This Row],[Site ID (from DATIM)]],"[Measures].[MMS_63+]")</f>
        <v>9</v>
      </c>
      <c r="AP360" s="67" vm="5155">
        <f>CUBEVALUE(ConnectionString,ReportMonth,Table1[[#This Row],[Site ID (from DATIM)]],"[Measures].[TBPREV_D]")</f>
        <v>4</v>
      </c>
      <c r="AQ360" s="67" vm="6128">
        <f>CUBEVALUE(ConnectionString,ReportMonth,Table1[[#This Row],[Site ID (from DATIM)]],"[Measures].[TBPREV_N]")</f>
        <v>4</v>
      </c>
      <c r="AR360" s="67" t="str" vm="11329">
        <f>CUBEVALUE(ConnectionString,ReportMonth,Table1[[#This Row],[Site ID (from DATIM)]],"[Measures].[TBPREV_NEW]")</f>
        <v/>
      </c>
      <c r="AS360" s="67" vm="8058">
        <f>CUBEVALUE(ConnectionString,ReportMonth,Table1[[#This Row],[Site ID (from DATIM)]],"[Measures].[HVL_ELIG_P]")</f>
        <v>2</v>
      </c>
      <c r="AT360" s="67" t="str" vm="5602">
        <f>CUBEVALUE(ConnectionString,ReportMonth,Table1[[#This Row],[Site ID (from DATIM)]],"[Measures].[HVL_D_P]")</f>
        <v/>
      </c>
      <c r="AU360" s="67" t="str" vm="9641">
        <f>CUBEVALUE(ConnectionString,ReportMonth,Table1[[#This Row],[Site ID (from DATIM)]],"[Measures].[HVL_N_P]")</f>
        <v/>
      </c>
      <c r="AV360" s="68" vm="10546">
        <f>CUBEVALUE(ConnectionString,ReportMonth,Table1[[#This Row],[Site ID (from DATIM)]],"[Measures].[HVL_ELIG_A]")</f>
        <v>24</v>
      </c>
      <c r="AW360" s="68" vm="8162">
        <f>CUBEVALUE(ConnectionString,ReportMonth,Table1[[#This Row],[Site ID (from DATIM)]],"[Measures].[HVL_D_A]")</f>
        <v>3</v>
      </c>
      <c r="AX360" s="68" vm="6609">
        <f>CUBEVALUE(ConnectionString,ReportMonth,Table1[[#This Row],[Site ID (from DATIM)]],"[Measures].[HVL_N_A]")</f>
        <v>3</v>
      </c>
      <c r="AY360" s="67"/>
      <c r="AZ360" s="67"/>
      <c r="BA360" s="67"/>
      <c r="BB360" s="67"/>
      <c r="BC360" s="67"/>
      <c r="BD360" s="67"/>
      <c r="BE360" s="67"/>
      <c r="BF360" s="67"/>
      <c r="BG360" s="67" t="str" vm="17079">
        <f>CUBEVALUE(ConnectionString,ReportMonth,Table1[[#This Row],[Site ID (from DATIM)]],"[Measures].[TX_NEW_F_A]")</f>
        <v/>
      </c>
      <c r="BH360" s="67" t="str" vm="13791">
        <f>CUBEVALUE(ConnectionString,ReportMonth,Table1[[#This Row],[Site ID (from DATIM)]],"[Measures].[TX_NEW_M_A]")</f>
        <v/>
      </c>
      <c r="BI360" s="67" t="str" vm="12065">
        <f>CUBEVALUE(ConnectionString,ReportMonth,Table1[[#This Row],[Site ID (from DATIM)]],"[Measures].[TX_NEW_F_P]")</f>
        <v/>
      </c>
      <c r="BJ360" s="68" t="str" vm="16159">
        <f>CUBEVALUE(ConnectionString,ReportMonth,Table1[[#This Row],[Site ID (from DATIM)]],"[Measures].[TX_NEW_M_P]")</f>
        <v/>
      </c>
      <c r="BK360" s="68"/>
      <c r="BL360" s="68"/>
      <c r="BM360" s="68"/>
      <c r="BN360" s="68"/>
      <c r="BO360" s="68"/>
      <c r="BP360" s="68"/>
      <c r="BQ360" s="68" vm="9198">
        <f>CUBEVALUE(ConnectionString,ReportMonth,Table1[[#This Row],[Site ID (from DATIM)]],"[Measures].[TX_CURR_F_P]")</f>
        <v>1</v>
      </c>
      <c r="BR360" s="68" vm="10200">
        <f>CUBEVALUE(ConnectionString,ReportMonth,Table1[[#This Row],[Site ID (from DATIM)]],"[Measures].[TX_CURR_M_P]")</f>
        <v>1</v>
      </c>
      <c r="BS360" s="68" vm="9489">
        <f>CUBEVALUE(ConnectionString,ReportMonth,Table1[[#This Row],[Site ID (from DATIM)]],"[Measures].[TX_CURR_F_A]")</f>
        <v>27</v>
      </c>
      <c r="BT360" s="68" vm="14157">
        <f>CUBEVALUE(ConnectionString,ReportMonth,Table1[[#This Row],[Site ID (from DATIM)]],"[Measures].[TX_CURR_M_A]")</f>
        <v>11</v>
      </c>
      <c r="BU360" s="68" vm="18353">
        <f>CUBEVALUE(ConnectionString,ReportMonth,Table1[[#This Row],[Site ID (from DATIM)]],"[Measures].[MMS_01_89_F_P]")</f>
        <v>1</v>
      </c>
      <c r="BV360" s="68" vm="20063">
        <f>CUBEVALUE(ConnectionString,ReportMonth,Table1[[#This Row],[Site ID (from DATIM)]],"[Measures].[MMS_01_89_M_P]")</f>
        <v>1</v>
      </c>
      <c r="BW360" s="68" vm="19091">
        <f>CUBEVALUE(ConnectionString,ReportMonth,Table1[[#This Row],[Site ID (from DATIM)]],"[Measures].[MMS_01_89_F_A]")</f>
        <v>18</v>
      </c>
      <c r="BX360" s="68" vm="16999">
        <f>CUBEVALUE(ConnectionString,ReportMonth,Table1[[#This Row],[Site ID (from DATIM)]],"[Measures].[MMS_01_89_M_A]")</f>
        <v>11</v>
      </c>
      <c r="BY360" s="68" t="str" vm="18155">
        <f>CUBEVALUE(ConnectionString,ReportMonth,Table1[[#This Row],[Site ID (from DATIM)]],"[Measures].[MMS_90_179_F_P]")</f>
        <v/>
      </c>
      <c r="BZ360" s="68" t="str" vm="19317">
        <f>CUBEVALUE(ConnectionString,ReportMonth,Table1[[#This Row],[Site ID (from DATIM)]],"[Measures].[MMS_90_179_M_P]")</f>
        <v/>
      </c>
      <c r="CA360" s="68" vm="15994">
        <f>CUBEVALUE(ConnectionString,ReportMonth,Table1[[#This Row],[Site ID (from DATIM)]],"[Measures].[MMS_90_179_F_A]")</f>
        <v>9</v>
      </c>
      <c r="CB360" s="68" t="str" vm="15566">
        <f>CUBEVALUE(ConnectionString,ReportMonth,Table1[[#This Row],[Site ID (from DATIM)]],"[Measures].[MMS_90_179_M_A]")</f>
        <v/>
      </c>
      <c r="CC360" s="68" t="str" vm="15030">
        <f>CUBEVALUE(ConnectionString,ReportMonth,Table1[[#This Row],[Site ID (from DATIM)]],"[Measures].[MMS_180+_F_P]")</f>
        <v/>
      </c>
      <c r="CD360" s="68" t="str" vm="15779">
        <f>CUBEVALUE(ConnectionString,ReportMonth,Table1[[#This Row],[Site ID (from DATIM)]],"[Measures].[MMS_180+_M_P]")</f>
        <v/>
      </c>
      <c r="CE360" s="68" t="str" vm="14924">
        <f>CUBEVALUE(ConnectionString,ReportMonth,Table1[[#This Row],[Site ID (from DATIM)]],"[Measures].[MMS_180+_F_A]")</f>
        <v/>
      </c>
      <c r="CF360" s="68" t="str" vm="20236">
        <f>CUBEVALUE(ConnectionString,ReportMonth,Table1[[#This Row],[Site ID (from DATIM)]],"[Measures].[MMS_180+_M_A]")</f>
        <v/>
      </c>
      <c r="CG360" s="68" vm="7210">
        <f>CUBEVALUE(ConnectionString,ReportMonth,Table1[[#This Row],[Site ID (from DATIM)]],"[Measures].[MISSEDAPP]")</f>
        <v>29</v>
      </c>
      <c r="CH360" s="68" t="str" vm="10360">
        <f>CUBEVALUE(ConnectionString,ReportMonth,Table1[[#This Row],[Site ID (from DATIM)]],"[Measures].[MMS_180+_P]")</f>
        <v/>
      </c>
      <c r="CI360" s="68" t="str" vm="12681">
        <f>CUBEVALUE(ConnectionString,ReportMonth,Table1[[#This Row],[Site ID (from DATIM)]],"[Measures].[MMS_180+_A]")</f>
        <v/>
      </c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  <c r="CW360" s="68"/>
      <c r="CX360" s="68"/>
      <c r="CY360" s="68"/>
      <c r="CZ360" s="68"/>
      <c r="DA360" s="68"/>
      <c r="DB360" s="68"/>
      <c r="DC360" s="68"/>
    </row>
    <row r="361" spans="1:107" x14ac:dyDescent="0.25">
      <c r="A361" s="66">
        <v>3</v>
      </c>
      <c r="B361" s="67" t="str" vm="4">
        <f t="shared" si="6"/>
        <v>Mar-2021</v>
      </c>
      <c r="C361" s="67"/>
      <c r="D361" s="67" t="s">
        <v>232</v>
      </c>
      <c r="E361" s="67" t="s">
        <v>233</v>
      </c>
      <c r="F361" s="67" t="s">
        <v>831</v>
      </c>
      <c r="G361" s="67"/>
      <c r="H361" s="67" t="s">
        <v>836</v>
      </c>
      <c r="I361" s="67" t="s">
        <v>1014</v>
      </c>
      <c r="J361" s="67" t="s">
        <v>1015</v>
      </c>
      <c r="K361" s="67" t="s">
        <v>1016</v>
      </c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 t="str" vm="2135">
        <f>CUBEVALUE(ConnectionString,ReportMonth,Table1[[#This Row],[Site ID (from DATIM)]],"TX_NEW_2VIS")</f>
        <v/>
      </c>
      <c r="AE361" s="67" t="str" vm="386">
        <f>CUBEVALUE(ConnectionString,ReportMonth,Table1[[#This Row],[Site ID (from DATIM)]],INDEX(SDI_Measures,1))</f>
        <v/>
      </c>
      <c r="AF361" s="67" t="str" vm="4608">
        <f>CUBEVALUE(ConnectionString,ReportMonth,Table1[[#This Row],[Site ID (from DATIM)]],INDEX(SDI_Measures,2))</f>
        <v/>
      </c>
      <c r="AG361" s="67" t="str" vm="3222">
        <f>CUBEVALUE(ConnectionString,ReportMonth,Table1[[#This Row],[Site ID (from DATIM)]],INDEX(SDI_Measures,3))</f>
        <v/>
      </c>
      <c r="AH361" s="67" vm="2537">
        <f>CUBEVALUE(ConnectionString,ReportMonth,Table1[[#This Row],[Site ID (from DATIM)]],"TX_CURR_PRIOR_MONTH")</f>
        <v>40</v>
      </c>
      <c r="AI361" s="67" vm="2225">
        <f>CUBEVALUE(ConnectionString,ReportMonth,Table1[[#This Row],[Site ID (from DATIM)]],"TX_CURR")</f>
        <v>37</v>
      </c>
      <c r="AJ361" s="67" t="str" vm="1915">
        <f>CUBEVALUE(ConnectionString,ReportMonth,Table1[[#This Row],[Site ID (from DATIM)]],"[Measures].[TI]")</f>
        <v/>
      </c>
      <c r="AK361" s="67" t="str" vm="3626">
        <f>CUBEVALUE(ConnectionString,ReportMonth,Table1[[#This Row],[Site ID (from DATIM)]],"[Measures].[TO]")</f>
        <v/>
      </c>
      <c r="AL361" s="67" t="str" vm="2951">
        <f>CUBEVALUE(ConnectionString,ReportMonth,Table1[[#This Row],[Site ID (from DATIM)]],"[Measures].[DIED]")</f>
        <v/>
      </c>
      <c r="AM361" s="67" vm="6670">
        <f>CUBEVALUE(ConnectionString,ReportMonth,Table1[[#This Row],[Site ID (from DATIM)]],"[Measures].[MMS_01_31]")</f>
        <v>17</v>
      </c>
      <c r="AN361" s="67" t="str" vm="6956">
        <f>CUBEVALUE(ConnectionString,ReportMonth,Table1[[#This Row],[Site ID (from DATIM)]],"[Measures].[MMS_32_62]")</f>
        <v/>
      </c>
      <c r="AO361" s="67" vm="6650">
        <f>CUBEVALUE(ConnectionString,ReportMonth,Table1[[#This Row],[Site ID (from DATIM)]],"[Measures].[MMS_63+]")</f>
        <v>20</v>
      </c>
      <c r="AP361" s="67" vm="5616">
        <f>CUBEVALUE(ConnectionString,ReportMonth,Table1[[#This Row],[Site ID (from DATIM)]],"[Measures].[TBPREV_D]")</f>
        <v>1</v>
      </c>
      <c r="AQ361" s="67" t="str" vm="7630">
        <f>CUBEVALUE(ConnectionString,ReportMonth,Table1[[#This Row],[Site ID (from DATIM)]],"[Measures].[TBPREV_N]")</f>
        <v/>
      </c>
      <c r="AR361" s="67" t="str" vm="5125">
        <f>CUBEVALUE(ConnectionString,ReportMonth,Table1[[#This Row],[Site ID (from DATIM)]],"[Measures].[TBPREV_NEW]")</f>
        <v/>
      </c>
      <c r="AS361" s="67" t="str" vm="7691">
        <f>CUBEVALUE(ConnectionString,ReportMonth,Table1[[#This Row],[Site ID (from DATIM)]],"[Measures].[HVL_ELIG_P]")</f>
        <v/>
      </c>
      <c r="AT361" s="67" t="str" vm="9407">
        <f>CUBEVALUE(ConnectionString,ReportMonth,Table1[[#This Row],[Site ID (from DATIM)]],"[Measures].[HVL_D_P]")</f>
        <v/>
      </c>
      <c r="AU361" s="67" t="str" vm="8557">
        <f>CUBEVALUE(ConnectionString,ReportMonth,Table1[[#This Row],[Site ID (from DATIM)]],"[Measures].[HVL_N_P]")</f>
        <v/>
      </c>
      <c r="AV361" s="68" vm="11100">
        <f>CUBEVALUE(ConnectionString,ReportMonth,Table1[[#This Row],[Site ID (from DATIM)]],"[Measures].[HVL_ELIG_A]")</f>
        <v>33</v>
      </c>
      <c r="AW361" s="68" t="str" vm="9015">
        <f>CUBEVALUE(ConnectionString,ReportMonth,Table1[[#This Row],[Site ID (from DATIM)]],"[Measures].[HVL_D_A]")</f>
        <v/>
      </c>
      <c r="AX361" s="68" t="str" vm="12794">
        <f>CUBEVALUE(ConnectionString,ReportMonth,Table1[[#This Row],[Site ID (from DATIM)]],"[Measures].[HVL_N_A]")</f>
        <v/>
      </c>
      <c r="AY361" s="67"/>
      <c r="AZ361" s="67"/>
      <c r="BA361" s="67"/>
      <c r="BB361" s="67"/>
      <c r="BC361" s="67"/>
      <c r="BD361" s="67"/>
      <c r="BE361" s="67"/>
      <c r="BF361" s="67"/>
      <c r="BG361" s="67" t="str" vm="13469">
        <f>CUBEVALUE(ConnectionString,ReportMonth,Table1[[#This Row],[Site ID (from DATIM)]],"[Measures].[TX_NEW_F_A]")</f>
        <v/>
      </c>
      <c r="BH361" s="67" t="str" vm="13525">
        <f>CUBEVALUE(ConnectionString,ReportMonth,Table1[[#This Row],[Site ID (from DATIM)]],"[Measures].[TX_NEW_M_A]")</f>
        <v/>
      </c>
      <c r="BI361" s="67" t="str" vm="12064">
        <f>CUBEVALUE(ConnectionString,ReportMonth,Table1[[#This Row],[Site ID (from DATIM)]],"[Measures].[TX_NEW_F_P]")</f>
        <v/>
      </c>
      <c r="BJ361" s="68" t="str" vm="17410">
        <f>CUBEVALUE(ConnectionString,ReportMonth,Table1[[#This Row],[Site ID (from DATIM)]],"[Measures].[TX_NEW_M_P]")</f>
        <v/>
      </c>
      <c r="BK361" s="68"/>
      <c r="BL361" s="68"/>
      <c r="BM361" s="68"/>
      <c r="BN361" s="68"/>
      <c r="BO361" s="68"/>
      <c r="BP361" s="68"/>
      <c r="BQ361" s="68" t="str" vm="11358">
        <f>CUBEVALUE(ConnectionString,ReportMonth,Table1[[#This Row],[Site ID (from DATIM)]],"[Measures].[TX_CURR_F_P]")</f>
        <v/>
      </c>
      <c r="BR361" s="68" t="str" vm="11779">
        <f>CUBEVALUE(ConnectionString,ReportMonth,Table1[[#This Row],[Site ID (from DATIM)]],"[Measures].[TX_CURR_M_P]")</f>
        <v/>
      </c>
      <c r="BS361" s="68" vm="10113">
        <f>CUBEVALUE(ConnectionString,ReportMonth,Table1[[#This Row],[Site ID (from DATIM)]],"[Measures].[TX_CURR_F_A]")</f>
        <v>28</v>
      </c>
      <c r="BT361" s="68" vm="13808">
        <f>CUBEVALUE(ConnectionString,ReportMonth,Table1[[#This Row],[Site ID (from DATIM)]],"[Measures].[TX_CURR_M_A]")</f>
        <v>9</v>
      </c>
      <c r="BU361" s="68" t="str" vm="18673">
        <f>CUBEVALUE(ConnectionString,ReportMonth,Table1[[#This Row],[Site ID (from DATIM)]],"[Measures].[MMS_01_89_F_P]")</f>
        <v/>
      </c>
      <c r="BV361" s="68" t="str" vm="18608">
        <f>CUBEVALUE(ConnectionString,ReportMonth,Table1[[#This Row],[Site ID (from DATIM)]],"[Measures].[MMS_01_89_M_P]")</f>
        <v/>
      </c>
      <c r="BW361" s="68" vm="19216">
        <f>CUBEVALUE(ConnectionString,ReportMonth,Table1[[#This Row],[Site ID (from DATIM)]],"[Measures].[MMS_01_89_F_A]")</f>
        <v>14</v>
      </c>
      <c r="BX361" s="68" vm="19457">
        <f>CUBEVALUE(ConnectionString,ReportMonth,Table1[[#This Row],[Site ID (from DATIM)]],"[Measures].[MMS_01_89_M_A]")</f>
        <v>3</v>
      </c>
      <c r="BY361" s="68" t="str" vm="19369">
        <f>CUBEVALUE(ConnectionString,ReportMonth,Table1[[#This Row],[Site ID (from DATIM)]],"[Measures].[MMS_90_179_F_P]")</f>
        <v/>
      </c>
      <c r="BZ361" s="68" t="str" vm="16974">
        <f>CUBEVALUE(ConnectionString,ReportMonth,Table1[[#This Row],[Site ID (from DATIM)]],"[Measures].[MMS_90_179_M_P]")</f>
        <v/>
      </c>
      <c r="CA361" s="68" vm="17353">
        <f>CUBEVALUE(ConnectionString,ReportMonth,Table1[[#This Row],[Site ID (from DATIM)]],"[Measures].[MMS_90_179_F_A]")</f>
        <v>14</v>
      </c>
      <c r="CB361" s="68" vm="16904">
        <f>CUBEVALUE(ConnectionString,ReportMonth,Table1[[#This Row],[Site ID (from DATIM)]],"[Measures].[MMS_90_179_M_A]")</f>
        <v>6</v>
      </c>
      <c r="CC361" s="68" t="str" vm="14716">
        <f>CUBEVALUE(ConnectionString,ReportMonth,Table1[[#This Row],[Site ID (from DATIM)]],"[Measures].[MMS_180+_F_P]")</f>
        <v/>
      </c>
      <c r="CD361" s="68" t="str" vm="20244">
        <f>CUBEVALUE(ConnectionString,ReportMonth,Table1[[#This Row],[Site ID (from DATIM)]],"[Measures].[MMS_180+_M_P]")</f>
        <v/>
      </c>
      <c r="CE361" s="68" t="str" vm="152">
        <f>CUBEVALUE(ConnectionString,ReportMonth,Table1[[#This Row],[Site ID (from DATIM)]],"[Measures].[MMS_180+_F_A]")</f>
        <v/>
      </c>
      <c r="CF361" s="68" t="str" vm="16226">
        <f>CUBEVALUE(ConnectionString,ReportMonth,Table1[[#This Row],[Site ID (from DATIM)]],"[Measures].[MMS_180+_M_A]")</f>
        <v/>
      </c>
      <c r="CG361" s="68" vm="10037">
        <f>CUBEVALUE(ConnectionString,ReportMonth,Table1[[#This Row],[Site ID (from DATIM)]],"[Measures].[MISSEDAPP]")</f>
        <v>22</v>
      </c>
      <c r="CH361" s="68" t="str" vm="17046">
        <f>CUBEVALUE(ConnectionString,ReportMonth,Table1[[#This Row],[Site ID (from DATIM)]],"[Measures].[MMS_180+_P]")</f>
        <v/>
      </c>
      <c r="CI361" s="68" t="str" vm="12678">
        <f>CUBEVALUE(ConnectionString,ReportMonth,Table1[[#This Row],[Site ID (from DATIM)]],"[Measures].[MMS_180+_A]")</f>
        <v/>
      </c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  <c r="CW361" s="68"/>
      <c r="CX361" s="68"/>
      <c r="CY361" s="68"/>
      <c r="CZ361" s="68"/>
      <c r="DA361" s="68"/>
      <c r="DB361" s="68"/>
      <c r="DC361" s="68"/>
    </row>
    <row r="362" spans="1:107" x14ac:dyDescent="0.25">
      <c r="A362" s="66">
        <v>4</v>
      </c>
      <c r="B362" s="67" t="str" vm="4">
        <f t="shared" si="6"/>
        <v>Mar-2021</v>
      </c>
      <c r="C362" s="67"/>
      <c r="D362" s="67" t="s">
        <v>232</v>
      </c>
      <c r="E362" s="67" t="s">
        <v>233</v>
      </c>
      <c r="F362" s="67" t="s">
        <v>1083</v>
      </c>
      <c r="G362" s="67"/>
      <c r="H362" s="67" t="s">
        <v>1084</v>
      </c>
      <c r="I362" s="67" t="s">
        <v>1014</v>
      </c>
      <c r="J362" s="67" t="s">
        <v>1015</v>
      </c>
      <c r="K362" s="67" t="s">
        <v>1255</v>
      </c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 t="str" vm="1947">
        <f>CUBEVALUE(ConnectionString,ReportMonth,Table1[[#This Row],[Site ID (from DATIM)]],"TX_NEW_2VIS")</f>
        <v/>
      </c>
      <c r="AE362" s="67" t="str" vm="1816">
        <f>CUBEVALUE(ConnectionString,ReportMonth,Table1[[#This Row],[Site ID (from DATIM)]],INDEX(SDI_Measures,1))</f>
        <v/>
      </c>
      <c r="AF362" s="67" t="str" vm="2630">
        <f>CUBEVALUE(ConnectionString,ReportMonth,Table1[[#This Row],[Site ID (from DATIM)]],INDEX(SDI_Measures,2))</f>
        <v/>
      </c>
      <c r="AG362" s="67" t="str" vm="2709">
        <f>CUBEVALUE(ConnectionString,ReportMonth,Table1[[#This Row],[Site ID (from DATIM)]],INDEX(SDI_Measures,3))</f>
        <v/>
      </c>
      <c r="AH362" s="67" vm="3214">
        <f>CUBEVALUE(ConnectionString,ReportMonth,Table1[[#This Row],[Site ID (from DATIM)]],"TX_CURR_PRIOR_MONTH")</f>
        <v>100</v>
      </c>
      <c r="AI362" s="67" vm="636">
        <f>CUBEVALUE(ConnectionString,ReportMonth,Table1[[#This Row],[Site ID (from DATIM)]],"TX_CURR")</f>
        <v>95</v>
      </c>
      <c r="AJ362" s="67" t="str" vm="1356">
        <f>CUBEVALUE(ConnectionString,ReportMonth,Table1[[#This Row],[Site ID (from DATIM)]],"[Measures].[TI]")</f>
        <v/>
      </c>
      <c r="AK362" s="67" t="str" vm="1097">
        <f>CUBEVALUE(ConnectionString,ReportMonth,Table1[[#This Row],[Site ID (from DATIM)]],"[Measures].[TO]")</f>
        <v/>
      </c>
      <c r="AL362" s="67" t="str" vm="2439">
        <f>CUBEVALUE(ConnectionString,ReportMonth,Table1[[#This Row],[Site ID (from DATIM)]],"[Measures].[DIED]")</f>
        <v/>
      </c>
      <c r="AM362" s="67" vm="13259">
        <f>CUBEVALUE(ConnectionString,ReportMonth,Table1[[#This Row],[Site ID (from DATIM)]],"[Measures].[MMS_01_31]")</f>
        <v>41</v>
      </c>
      <c r="AN362" s="67" vm="6461">
        <f>CUBEVALUE(ConnectionString,ReportMonth,Table1[[#This Row],[Site ID (from DATIM)]],"[Measures].[MMS_32_62]")</f>
        <v>1</v>
      </c>
      <c r="AO362" s="67" vm="7919">
        <f>CUBEVALUE(ConnectionString,ReportMonth,Table1[[#This Row],[Site ID (from DATIM)]],"[Measures].[MMS_63+]")</f>
        <v>53</v>
      </c>
      <c r="AP362" s="67" vm="8545">
        <f>CUBEVALUE(ConnectionString,ReportMonth,Table1[[#This Row],[Site ID (from DATIM)]],"[Measures].[TBPREV_D]")</f>
        <v>3</v>
      </c>
      <c r="AQ362" s="67" vm="7175">
        <f>CUBEVALUE(ConnectionString,ReportMonth,Table1[[#This Row],[Site ID (from DATIM)]],"[Measures].[TBPREV_N]")</f>
        <v>2</v>
      </c>
      <c r="AR362" s="67" t="str" vm="4637">
        <f>CUBEVALUE(ConnectionString,ReportMonth,Table1[[#This Row],[Site ID (from DATIM)]],"[Measures].[TBPREV_NEW]")</f>
        <v/>
      </c>
      <c r="AS362" s="67" vm="9532">
        <f>CUBEVALUE(ConnectionString,ReportMonth,Table1[[#This Row],[Site ID (from DATIM)]],"[Measures].[HVL_ELIG_P]")</f>
        <v>9</v>
      </c>
      <c r="AT362" s="67" t="str" vm="5312">
        <f>CUBEVALUE(ConnectionString,ReportMonth,Table1[[#This Row],[Site ID (from DATIM)]],"[Measures].[HVL_D_P]")</f>
        <v/>
      </c>
      <c r="AU362" s="67" t="str" vm="8529">
        <f>CUBEVALUE(ConnectionString,ReportMonth,Table1[[#This Row],[Site ID (from DATIM)]],"[Measures].[HVL_N_P]")</f>
        <v/>
      </c>
      <c r="AV362" s="68" vm="10452">
        <f>CUBEVALUE(ConnectionString,ReportMonth,Table1[[#This Row],[Site ID (from DATIM)]],"[Measures].[HVL_ELIG_A]")</f>
        <v>78</v>
      </c>
      <c r="AW362" s="68" t="str" vm="14067">
        <f>CUBEVALUE(ConnectionString,ReportMonth,Table1[[#This Row],[Site ID (from DATIM)]],"[Measures].[HVL_D_A]")</f>
        <v/>
      </c>
      <c r="AX362" s="68" t="str" vm="9176">
        <f>CUBEVALUE(ConnectionString,ReportMonth,Table1[[#This Row],[Site ID (from DATIM)]],"[Measures].[HVL_N_A]")</f>
        <v/>
      </c>
      <c r="AY362" s="67"/>
      <c r="AZ362" s="67"/>
      <c r="BA362" s="67"/>
      <c r="BB362" s="67"/>
      <c r="BC362" s="67"/>
      <c r="BD362" s="67"/>
      <c r="BE362" s="67"/>
      <c r="BF362" s="67"/>
      <c r="BG362" s="67" t="str" vm="10423">
        <f>CUBEVALUE(ConnectionString,ReportMonth,Table1[[#This Row],[Site ID (from DATIM)]],"[Measures].[TX_NEW_F_A]")</f>
        <v/>
      </c>
      <c r="BH362" s="67" t="str" vm="14855">
        <f>CUBEVALUE(ConnectionString,ReportMonth,Table1[[#This Row],[Site ID (from DATIM)]],"[Measures].[TX_NEW_M_A]")</f>
        <v/>
      </c>
      <c r="BI362" s="67" t="str" vm="13167">
        <f>CUBEVALUE(ConnectionString,ReportMonth,Table1[[#This Row],[Site ID (from DATIM)]],"[Measures].[TX_NEW_F_P]")</f>
        <v/>
      </c>
      <c r="BJ362" s="68" t="str" vm="14800">
        <f>CUBEVALUE(ConnectionString,ReportMonth,Table1[[#This Row],[Site ID (from DATIM)]],"[Measures].[TX_NEW_M_P]")</f>
        <v/>
      </c>
      <c r="BK362" s="68"/>
      <c r="BL362" s="68"/>
      <c r="BM362" s="68"/>
      <c r="BN362" s="68"/>
      <c r="BO362" s="68"/>
      <c r="BP362" s="68"/>
      <c r="BQ362" s="68" vm="9084">
        <f>CUBEVALUE(ConnectionString,ReportMonth,Table1[[#This Row],[Site ID (from DATIM)]],"[Measures].[TX_CURR_F_P]")</f>
        <v>5</v>
      </c>
      <c r="BR362" s="68" vm="8313">
        <f>CUBEVALUE(ConnectionString,ReportMonth,Table1[[#This Row],[Site ID (from DATIM)]],"[Measures].[TX_CURR_M_P]")</f>
        <v>5</v>
      </c>
      <c r="BS362" s="68" vm="9974">
        <f>CUBEVALUE(ConnectionString,ReportMonth,Table1[[#This Row],[Site ID (from DATIM)]],"[Measures].[TX_CURR_F_A]")</f>
        <v>71</v>
      </c>
      <c r="BT362" s="68" vm="13424">
        <f>CUBEVALUE(ConnectionString,ReportMonth,Table1[[#This Row],[Site ID (from DATIM)]],"[Measures].[TX_CURR_M_A]")</f>
        <v>14</v>
      </c>
      <c r="BU362" s="68" vm="19471">
        <f>CUBEVALUE(ConnectionString,ReportMonth,Table1[[#This Row],[Site ID (from DATIM)]],"[Measures].[MMS_01_89_F_P]")</f>
        <v>2</v>
      </c>
      <c r="BV362" s="68" vm="19491">
        <f>CUBEVALUE(ConnectionString,ReportMonth,Table1[[#This Row],[Site ID (from DATIM)]],"[Measures].[MMS_01_89_M_P]")</f>
        <v>5</v>
      </c>
      <c r="BW362" s="68" vm="18845">
        <f>CUBEVALUE(ConnectionString,ReportMonth,Table1[[#This Row],[Site ID (from DATIM)]],"[Measures].[MMS_01_89_F_A]")</f>
        <v>30</v>
      </c>
      <c r="BX362" s="68" vm="18493">
        <f>CUBEVALUE(ConnectionString,ReportMonth,Table1[[#This Row],[Site ID (from DATIM)]],"[Measures].[MMS_01_89_M_A]")</f>
        <v>6</v>
      </c>
      <c r="BY362" s="68" vm="19294">
        <f>CUBEVALUE(ConnectionString,ReportMonth,Table1[[#This Row],[Site ID (from DATIM)]],"[Measures].[MMS_90_179_F_P]")</f>
        <v>3</v>
      </c>
      <c r="BZ362" s="68" t="str" vm="15954">
        <f>CUBEVALUE(ConnectionString,ReportMonth,Table1[[#This Row],[Site ID (from DATIM)]],"[Measures].[MMS_90_179_M_P]")</f>
        <v/>
      </c>
      <c r="CA362" s="68" vm="16491">
        <f>CUBEVALUE(ConnectionString,ReportMonth,Table1[[#This Row],[Site ID (from DATIM)]],"[Measures].[MMS_90_179_F_A]")</f>
        <v>41</v>
      </c>
      <c r="CB362" s="68" vm="15975">
        <f>CUBEVALUE(ConnectionString,ReportMonth,Table1[[#This Row],[Site ID (from DATIM)]],"[Measures].[MMS_90_179_M_A]")</f>
        <v>8</v>
      </c>
      <c r="CC362" s="68" t="str" vm="16682">
        <f>CUBEVALUE(ConnectionString,ReportMonth,Table1[[#This Row],[Site ID (from DATIM)]],"[Measures].[MMS_180+_F_P]")</f>
        <v/>
      </c>
      <c r="CD362" s="68" t="str" vm="16784">
        <f>CUBEVALUE(ConnectionString,ReportMonth,Table1[[#This Row],[Site ID (from DATIM)]],"[Measures].[MMS_180+_M_P]")</f>
        <v/>
      </c>
      <c r="CE362" s="68" t="str" vm="220">
        <f>CUBEVALUE(ConnectionString,ReportMonth,Table1[[#This Row],[Site ID (from DATIM)]],"[Measures].[MMS_180+_F_A]")</f>
        <v/>
      </c>
      <c r="CF362" s="68" t="str" vm="16208">
        <f>CUBEVALUE(ConnectionString,ReportMonth,Table1[[#This Row],[Site ID (from DATIM)]],"[Measures].[MMS_180+_M_A]")</f>
        <v/>
      </c>
      <c r="CG362" s="68" vm="5083">
        <f>CUBEVALUE(ConnectionString,ReportMonth,Table1[[#This Row],[Site ID (from DATIM)]],"[Measures].[MISSEDAPP]")</f>
        <v>74</v>
      </c>
      <c r="CH362" s="68" t="str" vm="12383">
        <f>CUBEVALUE(ConnectionString,ReportMonth,Table1[[#This Row],[Site ID (from DATIM)]],"[Measures].[MMS_180+_P]")</f>
        <v/>
      </c>
      <c r="CI362" s="68" t="str" vm="12146">
        <f>CUBEVALUE(ConnectionString,ReportMonth,Table1[[#This Row],[Site ID (from DATIM)]],"[Measures].[MMS_180+_A]")</f>
        <v/>
      </c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  <c r="CW362" s="68"/>
      <c r="CX362" s="68"/>
      <c r="CY362" s="68"/>
      <c r="CZ362" s="68"/>
      <c r="DA362" s="68"/>
      <c r="DB362" s="68"/>
      <c r="DC362" s="68"/>
    </row>
    <row r="363" spans="1:107" x14ac:dyDescent="0.25">
      <c r="A363" s="66">
        <v>4</v>
      </c>
      <c r="B363" s="67" t="str" vm="4">
        <f t="shared" si="6"/>
        <v>Mar-2021</v>
      </c>
      <c r="C363" s="67"/>
      <c r="D363" s="67" t="s">
        <v>232</v>
      </c>
      <c r="E363" s="67" t="s">
        <v>233</v>
      </c>
      <c r="F363" s="67" t="s">
        <v>437</v>
      </c>
      <c r="G363" s="67"/>
      <c r="H363" s="67" t="s">
        <v>442</v>
      </c>
      <c r="I363" s="67" t="s">
        <v>553</v>
      </c>
      <c r="J363" s="67" t="s">
        <v>761</v>
      </c>
      <c r="K363" s="67" t="s">
        <v>762</v>
      </c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 t="str" vm="3564">
        <f>CUBEVALUE(ConnectionString,ReportMonth,Table1[[#This Row],[Site ID (from DATIM)]],"TX_NEW_2VIS")</f>
        <v/>
      </c>
      <c r="AE363" s="67" t="str" vm="821">
        <f>CUBEVALUE(ConnectionString,ReportMonth,Table1[[#This Row],[Site ID (from DATIM)]],INDEX(SDI_Measures,1))</f>
        <v/>
      </c>
      <c r="AF363" s="67" t="str" vm="382">
        <f>CUBEVALUE(ConnectionString,ReportMonth,Table1[[#This Row],[Site ID (from DATIM)]],INDEX(SDI_Measures,2))</f>
        <v/>
      </c>
      <c r="AG363" s="67" t="str" vm="1393">
        <f>CUBEVALUE(ConnectionString,ReportMonth,Table1[[#This Row],[Site ID (from DATIM)]],INDEX(SDI_Measures,3))</f>
        <v/>
      </c>
      <c r="AH363" s="67" vm="1516">
        <f>CUBEVALUE(ConnectionString,ReportMonth,Table1[[#This Row],[Site ID (from DATIM)]],"TX_CURR_PRIOR_MONTH")</f>
        <v>18</v>
      </c>
      <c r="AI363" s="67" vm="435">
        <f>CUBEVALUE(ConnectionString,ReportMonth,Table1[[#This Row],[Site ID (from DATIM)]],"TX_CURR")</f>
        <v>17</v>
      </c>
      <c r="AJ363" s="67" t="str" vm="4474">
        <f>CUBEVALUE(ConnectionString,ReportMonth,Table1[[#This Row],[Site ID (from DATIM)]],"[Measures].[TI]")</f>
        <v/>
      </c>
      <c r="AK363" s="67" t="str" vm="2037">
        <f>CUBEVALUE(ConnectionString,ReportMonth,Table1[[#This Row],[Site ID (from DATIM)]],"[Measures].[TO]")</f>
        <v/>
      </c>
      <c r="AL363" s="67" t="str" vm="3191">
        <f>CUBEVALUE(ConnectionString,ReportMonth,Table1[[#This Row],[Site ID (from DATIM)]],"[Measures].[DIED]")</f>
        <v/>
      </c>
      <c r="AM363" s="67" vm="5772">
        <f>CUBEVALUE(ConnectionString,ReportMonth,Table1[[#This Row],[Site ID (from DATIM)]],"[Measures].[MMS_01_31]")</f>
        <v>17</v>
      </c>
      <c r="AN363" s="67" t="str" vm="5471">
        <f>CUBEVALUE(ConnectionString,ReportMonth,Table1[[#This Row],[Site ID (from DATIM)]],"[Measures].[MMS_32_62]")</f>
        <v/>
      </c>
      <c r="AO363" s="67" t="str" vm="5397">
        <f>CUBEVALUE(ConnectionString,ReportMonth,Table1[[#This Row],[Site ID (from DATIM)]],"[Measures].[MMS_63+]")</f>
        <v/>
      </c>
      <c r="AP363" s="67" t="str" vm="6198">
        <f>CUBEVALUE(ConnectionString,ReportMonth,Table1[[#This Row],[Site ID (from DATIM)]],"[Measures].[TBPREV_D]")</f>
        <v/>
      </c>
      <c r="AQ363" s="67" t="str" vm="13639">
        <f>CUBEVALUE(ConnectionString,ReportMonth,Table1[[#This Row],[Site ID (from DATIM)]],"[Measures].[TBPREV_N]")</f>
        <v/>
      </c>
      <c r="AR363" s="67" t="str" vm="6069">
        <f>CUBEVALUE(ConnectionString,ReportMonth,Table1[[#This Row],[Site ID (from DATIM)]],"[Measures].[TBPREV_NEW]")</f>
        <v/>
      </c>
      <c r="AS363" s="67" t="str" vm="5607">
        <f>CUBEVALUE(ConnectionString,ReportMonth,Table1[[#This Row],[Site ID (from DATIM)]],"[Measures].[HVL_ELIG_P]")</f>
        <v/>
      </c>
      <c r="AT363" s="67" t="str" vm="10478">
        <f>CUBEVALUE(ConnectionString,ReportMonth,Table1[[#This Row],[Site ID (from DATIM)]],"[Measures].[HVL_D_P]")</f>
        <v/>
      </c>
      <c r="AU363" s="67" t="str" vm="7283">
        <f>CUBEVALUE(ConnectionString,ReportMonth,Table1[[#This Row],[Site ID (from DATIM)]],"[Measures].[HVL_N_P]")</f>
        <v/>
      </c>
      <c r="AV363" s="68" vm="11246">
        <f>CUBEVALUE(ConnectionString,ReportMonth,Table1[[#This Row],[Site ID (from DATIM)]],"[Measures].[HVL_ELIG_A]")</f>
        <v>3</v>
      </c>
      <c r="AW363" s="68" vm="9550">
        <f>CUBEVALUE(ConnectionString,ReportMonth,Table1[[#This Row],[Site ID (from DATIM)]],"[Measures].[HVL_D_A]")</f>
        <v>3</v>
      </c>
      <c r="AX363" s="68" vm="11212">
        <f>CUBEVALUE(ConnectionString,ReportMonth,Table1[[#This Row],[Site ID (from DATIM)]],"[Measures].[HVL_N_A]")</f>
        <v>1</v>
      </c>
      <c r="AY363" s="67"/>
      <c r="AZ363" s="67"/>
      <c r="BA363" s="67"/>
      <c r="BB363" s="67"/>
      <c r="BC363" s="67"/>
      <c r="BD363" s="67"/>
      <c r="BE363" s="67"/>
      <c r="BF363" s="67"/>
      <c r="BG363" s="67" t="str" vm="13348">
        <f>CUBEVALUE(ConnectionString,ReportMonth,Table1[[#This Row],[Site ID (from DATIM)]],"[Measures].[TX_NEW_F_A]")</f>
        <v/>
      </c>
      <c r="BH363" s="67" t="str" vm="10186">
        <f>CUBEVALUE(ConnectionString,ReportMonth,Table1[[#This Row],[Site ID (from DATIM)]],"[Measures].[TX_NEW_M_A]")</f>
        <v/>
      </c>
      <c r="BI363" s="67" t="str" vm="12302">
        <f>CUBEVALUE(ConnectionString,ReportMonth,Table1[[#This Row],[Site ID (from DATIM)]],"[Measures].[TX_NEW_F_P]")</f>
        <v/>
      </c>
      <c r="BJ363" s="68" t="str" vm="15704">
        <f>CUBEVALUE(ConnectionString,ReportMonth,Table1[[#This Row],[Site ID (from DATIM)]],"[Measures].[TX_NEW_M_P]")</f>
        <v/>
      </c>
      <c r="BK363" s="68"/>
      <c r="BL363" s="68"/>
      <c r="BM363" s="68"/>
      <c r="BN363" s="68"/>
      <c r="BO363" s="68"/>
      <c r="BP363" s="68"/>
      <c r="BQ363" s="68" t="str" vm="10498">
        <f>CUBEVALUE(ConnectionString,ReportMonth,Table1[[#This Row],[Site ID (from DATIM)]],"[Measures].[TX_CURR_F_P]")</f>
        <v/>
      </c>
      <c r="BR363" s="68" t="str" vm="9622">
        <f>CUBEVALUE(ConnectionString,ReportMonth,Table1[[#This Row],[Site ID (from DATIM)]],"[Measures].[TX_CURR_M_P]")</f>
        <v/>
      </c>
      <c r="BS363" s="68" vm="10971">
        <f>CUBEVALUE(ConnectionString,ReportMonth,Table1[[#This Row],[Site ID (from DATIM)]],"[Measures].[TX_CURR_F_A]")</f>
        <v>16</v>
      </c>
      <c r="BT363" s="68" vm="9946">
        <f>CUBEVALUE(ConnectionString,ReportMonth,Table1[[#This Row],[Site ID (from DATIM)]],"[Measures].[TX_CURR_M_A]")</f>
        <v>1</v>
      </c>
      <c r="BU363" s="68" t="str" vm="19833">
        <f>CUBEVALUE(ConnectionString,ReportMonth,Table1[[#This Row],[Site ID (from DATIM)]],"[Measures].[MMS_01_89_F_P]")</f>
        <v/>
      </c>
      <c r="BV363" s="68" t="str" vm="19826">
        <f>CUBEVALUE(ConnectionString,ReportMonth,Table1[[#This Row],[Site ID (from DATIM)]],"[Measures].[MMS_01_89_M_P]")</f>
        <v/>
      </c>
      <c r="BW363" s="68" vm="19959">
        <f>CUBEVALUE(ConnectionString,ReportMonth,Table1[[#This Row],[Site ID (from DATIM)]],"[Measures].[MMS_01_89_F_A]")</f>
        <v>16</v>
      </c>
      <c r="BX363" s="68" vm="14649">
        <f>CUBEVALUE(ConnectionString,ReportMonth,Table1[[#This Row],[Site ID (from DATIM)]],"[Measures].[MMS_01_89_M_A]")</f>
        <v>1</v>
      </c>
      <c r="BY363" s="68" t="str" vm="19919">
        <f>CUBEVALUE(ConnectionString,ReportMonth,Table1[[#This Row],[Site ID (from DATIM)]],"[Measures].[MMS_90_179_F_P]")</f>
        <v/>
      </c>
      <c r="BZ363" s="68" t="str" vm="19077">
        <f>CUBEVALUE(ConnectionString,ReportMonth,Table1[[#This Row],[Site ID (from DATIM)]],"[Measures].[MMS_90_179_M_P]")</f>
        <v/>
      </c>
      <c r="CA363" s="68" t="str" vm="14730">
        <f>CUBEVALUE(ConnectionString,ReportMonth,Table1[[#This Row],[Site ID (from DATIM)]],"[Measures].[MMS_90_179_F_A]")</f>
        <v/>
      </c>
      <c r="CB363" s="68" t="str" vm="16483">
        <f>CUBEVALUE(ConnectionString,ReportMonth,Table1[[#This Row],[Site ID (from DATIM)]],"[Measures].[MMS_90_179_M_A]")</f>
        <v/>
      </c>
      <c r="CC363" s="68" t="str" vm="16759">
        <f>CUBEVALUE(ConnectionString,ReportMonth,Table1[[#This Row],[Site ID (from DATIM)]],"[Measures].[MMS_180+_F_P]")</f>
        <v/>
      </c>
      <c r="CD363" s="68" t="str" vm="16294">
        <f>CUBEVALUE(ConnectionString,ReportMonth,Table1[[#This Row],[Site ID (from DATIM)]],"[Measures].[MMS_180+_M_P]")</f>
        <v/>
      </c>
      <c r="CE363" s="68" t="str" vm="168">
        <f>CUBEVALUE(ConnectionString,ReportMonth,Table1[[#This Row],[Site ID (from DATIM)]],"[Measures].[MMS_180+_F_A]")</f>
        <v/>
      </c>
      <c r="CF363" s="68" t="str" vm="164">
        <f>CUBEVALUE(ConnectionString,ReportMonth,Table1[[#This Row],[Site ID (from DATIM)]],"[Measures].[MMS_180+_M_A]")</f>
        <v/>
      </c>
      <c r="CG363" s="68" vm="4888">
        <f>CUBEVALUE(ConnectionString,ReportMonth,Table1[[#This Row],[Site ID (from DATIM)]],"[Measures].[MISSEDAPP]")</f>
        <v>11</v>
      </c>
      <c r="CH363" s="68" t="str" vm="10904">
        <f>CUBEVALUE(ConnectionString,ReportMonth,Table1[[#This Row],[Site ID (from DATIM)]],"[Measures].[MMS_180+_P]")</f>
        <v/>
      </c>
      <c r="CI363" s="68" t="str" vm="12491">
        <f>CUBEVALUE(ConnectionString,ReportMonth,Table1[[#This Row],[Site ID (from DATIM)]],"[Measures].[MMS_180+_A]")</f>
        <v/>
      </c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</row>
    <row r="364" spans="1:107" x14ac:dyDescent="0.25">
      <c r="A364" s="66">
        <v>4</v>
      </c>
      <c r="B364" s="67" t="str" vm="4">
        <f t="shared" si="6"/>
        <v>Mar-2021</v>
      </c>
      <c r="C364" s="67"/>
      <c r="D364" s="67" t="s">
        <v>232</v>
      </c>
      <c r="E364" s="67" t="s">
        <v>233</v>
      </c>
      <c r="F364" s="67" t="s">
        <v>234</v>
      </c>
      <c r="G364" s="67"/>
      <c r="H364" s="67" t="s">
        <v>235</v>
      </c>
      <c r="I364" s="67" t="s">
        <v>396</v>
      </c>
      <c r="J364" s="67" t="s">
        <v>397</v>
      </c>
      <c r="K364" s="67" t="s">
        <v>398</v>
      </c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 t="str" vm="3830">
        <f>CUBEVALUE(ConnectionString,ReportMonth,Table1[[#This Row],[Site ID (from DATIM)]],"TX_NEW_2VIS")</f>
        <v/>
      </c>
      <c r="AE364" s="67" t="str" vm="1692">
        <f>CUBEVALUE(ConnectionString,ReportMonth,Table1[[#This Row],[Site ID (from DATIM)]],INDEX(SDI_Measures,1))</f>
        <v/>
      </c>
      <c r="AF364" s="67" t="str" vm="351">
        <f>CUBEVALUE(ConnectionString,ReportMonth,Table1[[#This Row],[Site ID (from DATIM)]],INDEX(SDI_Measures,2))</f>
        <v/>
      </c>
      <c r="AG364" s="67" t="str" vm="894">
        <f>CUBEVALUE(ConnectionString,ReportMonth,Table1[[#This Row],[Site ID (from DATIM)]],INDEX(SDI_Measures,3))</f>
        <v/>
      </c>
      <c r="AH364" s="67" vm="3619">
        <f>CUBEVALUE(ConnectionString,ReportMonth,Table1[[#This Row],[Site ID (from DATIM)]],"TX_CURR_PRIOR_MONTH")</f>
        <v>175</v>
      </c>
      <c r="AI364" s="67" vm="1039">
        <f>CUBEVALUE(ConnectionString,ReportMonth,Table1[[#This Row],[Site ID (from DATIM)]],"TX_CURR")</f>
        <v>76</v>
      </c>
      <c r="AJ364" s="67" t="str" vm="3835">
        <f>CUBEVALUE(ConnectionString,ReportMonth,Table1[[#This Row],[Site ID (from DATIM)]],"[Measures].[TI]")</f>
        <v/>
      </c>
      <c r="AK364" s="67" t="str" vm="3292">
        <f>CUBEVALUE(ConnectionString,ReportMonth,Table1[[#This Row],[Site ID (from DATIM)]],"[Measures].[TO]")</f>
        <v/>
      </c>
      <c r="AL364" s="67" t="str" vm="1589">
        <f>CUBEVALUE(ConnectionString,ReportMonth,Table1[[#This Row],[Site ID (from DATIM)]],"[Measures].[DIED]")</f>
        <v/>
      </c>
      <c r="AM364" s="67" t="str" vm="4045">
        <f>CUBEVALUE(ConnectionString,ReportMonth,Table1[[#This Row],[Site ID (from DATIM)]],"[Measures].[MMS_01_31]")</f>
        <v/>
      </c>
      <c r="AN364" s="67" vm="4805">
        <f>CUBEVALUE(ConnectionString,ReportMonth,Table1[[#This Row],[Site ID (from DATIM)]],"[Measures].[MMS_32_62]")</f>
        <v>3</v>
      </c>
      <c r="AO364" s="67" vm="11815">
        <f>CUBEVALUE(ConnectionString,ReportMonth,Table1[[#This Row],[Site ID (from DATIM)]],"[Measures].[MMS_63+]")</f>
        <v>73</v>
      </c>
      <c r="AP364" s="67" vm="5158">
        <f>CUBEVALUE(ConnectionString,ReportMonth,Table1[[#This Row],[Site ID (from DATIM)]],"[Measures].[TBPREV_D]")</f>
        <v>7</v>
      </c>
      <c r="AQ364" s="67" t="str" vm="5244">
        <f>CUBEVALUE(ConnectionString,ReportMonth,Table1[[#This Row],[Site ID (from DATIM)]],"[Measures].[TBPREV_N]")</f>
        <v/>
      </c>
      <c r="AR364" s="67" t="str" vm="6648">
        <f>CUBEVALUE(ConnectionString,ReportMonth,Table1[[#This Row],[Site ID (from DATIM)]],"[Measures].[TBPREV_NEW]")</f>
        <v/>
      </c>
      <c r="AS364" s="67" vm="5377">
        <f>CUBEVALUE(ConnectionString,ReportMonth,Table1[[#This Row],[Site ID (from DATIM)]],"[Measures].[HVL_ELIG_P]")</f>
        <v>1</v>
      </c>
      <c r="AT364" s="67" vm="8668">
        <f>CUBEVALUE(ConnectionString,ReportMonth,Table1[[#This Row],[Site ID (from DATIM)]],"[Measures].[HVL_D_P]")</f>
        <v>7</v>
      </c>
      <c r="AU364" s="67" vm="11608">
        <f>CUBEVALUE(ConnectionString,ReportMonth,Table1[[#This Row],[Site ID (from DATIM)]],"[Measures].[HVL_N_P]")</f>
        <v>7</v>
      </c>
      <c r="AV364" s="68" vm="9491">
        <f>CUBEVALUE(ConnectionString,ReportMonth,Table1[[#This Row],[Site ID (from DATIM)]],"[Measures].[HVL_ELIG_A]")</f>
        <v>75</v>
      </c>
      <c r="AW364" s="68" vm="8274">
        <f>CUBEVALUE(ConnectionString,ReportMonth,Table1[[#This Row],[Site ID (from DATIM)]],"[Measures].[HVL_D_A]")</f>
        <v>103</v>
      </c>
      <c r="AX364" s="68" vm="9848">
        <f>CUBEVALUE(ConnectionString,ReportMonth,Table1[[#This Row],[Site ID (from DATIM)]],"[Measures].[HVL_N_A]")</f>
        <v>102</v>
      </c>
      <c r="AY364" s="67"/>
      <c r="AZ364" s="67"/>
      <c r="BA364" s="67"/>
      <c r="BB364" s="67"/>
      <c r="BC364" s="67"/>
      <c r="BD364" s="67"/>
      <c r="BE364" s="67"/>
      <c r="BF364" s="67"/>
      <c r="BG364" s="67" t="str" vm="12749">
        <f>CUBEVALUE(ConnectionString,ReportMonth,Table1[[#This Row],[Site ID (from DATIM)]],"[Measures].[TX_NEW_F_A]")</f>
        <v/>
      </c>
      <c r="BH364" s="67" t="str" vm="15284">
        <f>CUBEVALUE(ConnectionString,ReportMonth,Table1[[#This Row],[Site ID (from DATIM)]],"[Measures].[TX_NEW_M_A]")</f>
        <v/>
      </c>
      <c r="BI364" s="67" t="str" vm="12562">
        <f>CUBEVALUE(ConnectionString,ReportMonth,Table1[[#This Row],[Site ID (from DATIM)]],"[Measures].[TX_NEW_F_P]")</f>
        <v/>
      </c>
      <c r="BJ364" s="68" t="str" vm="14217">
        <f>CUBEVALUE(ConnectionString,ReportMonth,Table1[[#This Row],[Site ID (from DATIM)]],"[Measures].[TX_NEW_M_P]")</f>
        <v/>
      </c>
      <c r="BK364" s="68"/>
      <c r="BL364" s="68"/>
      <c r="BM364" s="68"/>
      <c r="BN364" s="68"/>
      <c r="BO364" s="68"/>
      <c r="BP364" s="68"/>
      <c r="BQ364" s="68" t="str" vm="7937">
        <f>CUBEVALUE(ConnectionString,ReportMonth,Table1[[#This Row],[Site ID (from DATIM)]],"[Measures].[TX_CURR_F_P]")</f>
        <v/>
      </c>
      <c r="BR364" s="68" vm="9829">
        <f>CUBEVALUE(ConnectionString,ReportMonth,Table1[[#This Row],[Site ID (from DATIM)]],"[Measures].[TX_CURR_M_P]")</f>
        <v>1</v>
      </c>
      <c r="BS364" s="68" vm="7039">
        <f>CUBEVALUE(ConnectionString,ReportMonth,Table1[[#This Row],[Site ID (from DATIM)]],"[Measures].[TX_CURR_F_A]")</f>
        <v>56</v>
      </c>
      <c r="BT364" s="68" vm="6620">
        <f>CUBEVALUE(ConnectionString,ReportMonth,Table1[[#This Row],[Site ID (from DATIM)]],"[Measures].[TX_CURR_M_A]")</f>
        <v>19</v>
      </c>
      <c r="BU364" s="68" t="str" vm="18686">
        <f>CUBEVALUE(ConnectionString,ReportMonth,Table1[[#This Row],[Site ID (from DATIM)]],"[Measures].[MMS_01_89_F_P]")</f>
        <v/>
      </c>
      <c r="BV364" s="68" t="str" vm="19598">
        <f>CUBEVALUE(ConnectionString,ReportMonth,Table1[[#This Row],[Site ID (from DATIM)]],"[Measures].[MMS_01_89_M_P]")</f>
        <v/>
      </c>
      <c r="BW364" s="68" vm="18589">
        <f>CUBEVALUE(ConnectionString,ReportMonth,Table1[[#This Row],[Site ID (from DATIM)]],"[Measures].[MMS_01_89_F_A]")</f>
        <v>2</v>
      </c>
      <c r="BX364" s="68" vm="19155">
        <f>CUBEVALUE(ConnectionString,ReportMonth,Table1[[#This Row],[Site ID (from DATIM)]],"[Measures].[MMS_01_89_M_A]")</f>
        <v>2</v>
      </c>
      <c r="BY364" s="68" t="str" vm="17775">
        <f>CUBEVALUE(ConnectionString,ReportMonth,Table1[[#This Row],[Site ID (from DATIM)]],"[Measures].[MMS_90_179_F_P]")</f>
        <v/>
      </c>
      <c r="BZ364" s="68" vm="14790">
        <f>CUBEVALUE(ConnectionString,ReportMonth,Table1[[#This Row],[Site ID (from DATIM)]],"[Measures].[MMS_90_179_M_P]")</f>
        <v>1</v>
      </c>
      <c r="CA364" s="68" vm="17710">
        <f>CUBEVALUE(ConnectionString,ReportMonth,Table1[[#This Row],[Site ID (from DATIM)]],"[Measures].[MMS_90_179_F_A]")</f>
        <v>54</v>
      </c>
      <c r="CB364" s="68" vm="15548">
        <f>CUBEVALUE(ConnectionString,ReportMonth,Table1[[#This Row],[Site ID (from DATIM)]],"[Measures].[MMS_90_179_M_A]")</f>
        <v>17</v>
      </c>
      <c r="CC364" s="68" t="str" vm="16810">
        <f>CUBEVALUE(ConnectionString,ReportMonth,Table1[[#This Row],[Site ID (from DATIM)]],"[Measures].[MMS_180+_F_P]")</f>
        <v/>
      </c>
      <c r="CD364" s="68" t="str" vm="16742">
        <f>CUBEVALUE(ConnectionString,ReportMonth,Table1[[#This Row],[Site ID (from DATIM)]],"[Measures].[MMS_180+_M_P]")</f>
        <v/>
      </c>
      <c r="CE364" s="68" t="str" vm="14973">
        <f>CUBEVALUE(ConnectionString,ReportMonth,Table1[[#This Row],[Site ID (from DATIM)]],"[Measures].[MMS_180+_F_A]")</f>
        <v/>
      </c>
      <c r="CF364" s="68" t="str" vm="313">
        <f>CUBEVALUE(ConnectionString,ReportMonth,Table1[[#This Row],[Site ID (from DATIM)]],"[Measures].[MMS_180+_M_A]")</f>
        <v/>
      </c>
      <c r="CG364" s="68" vm="8715">
        <f>CUBEVALUE(ConnectionString,ReportMonth,Table1[[#This Row],[Site ID (from DATIM)]],"[Measures].[MISSEDAPP]")</f>
        <v>57</v>
      </c>
      <c r="CH364" s="68" t="str" vm="13388">
        <f>CUBEVALUE(ConnectionString,ReportMonth,Table1[[#This Row],[Site ID (from DATIM)]],"[Measures].[MMS_180+_P]")</f>
        <v/>
      </c>
      <c r="CI364" s="68" t="str" vm="11409">
        <f>CUBEVALUE(ConnectionString,ReportMonth,Table1[[#This Row],[Site ID (from DATIM)]],"[Measures].[MMS_180+_A]")</f>
        <v/>
      </c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  <c r="CW364" s="68"/>
      <c r="CX364" s="68"/>
      <c r="CY364" s="68"/>
      <c r="CZ364" s="68"/>
      <c r="DA364" s="68"/>
      <c r="DB364" s="68"/>
      <c r="DC364" s="68"/>
    </row>
    <row r="365" spans="1:107" x14ac:dyDescent="0.25">
      <c r="A365" s="66">
        <v>4</v>
      </c>
      <c r="B365" s="67" t="str" vm="4">
        <f t="shared" si="6"/>
        <v>Mar-2021</v>
      </c>
      <c r="C365" s="67"/>
      <c r="D365" s="67" t="s">
        <v>232</v>
      </c>
      <c r="E365" s="67" t="s">
        <v>233</v>
      </c>
      <c r="F365" s="67" t="s">
        <v>1286</v>
      </c>
      <c r="G365" s="67"/>
      <c r="H365" s="67" t="s">
        <v>1291</v>
      </c>
      <c r="I365" s="67" t="s">
        <v>1452</v>
      </c>
      <c r="J365" s="67" t="s">
        <v>1491</v>
      </c>
      <c r="K365" s="67" t="s">
        <v>1492</v>
      </c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 t="str" vm="2311">
        <f>CUBEVALUE(ConnectionString,ReportMonth,Table1[[#This Row],[Site ID (from DATIM)]],"TX_NEW_2VIS")</f>
        <v/>
      </c>
      <c r="AE365" s="67" t="str" vm="4409">
        <f>CUBEVALUE(ConnectionString,ReportMonth,Table1[[#This Row],[Site ID (from DATIM)]],INDEX(SDI_Measures,1))</f>
        <v/>
      </c>
      <c r="AF365" s="67" t="str" vm="1196">
        <f>CUBEVALUE(ConnectionString,ReportMonth,Table1[[#This Row],[Site ID (from DATIM)]],INDEX(SDI_Measures,2))</f>
        <v/>
      </c>
      <c r="AG365" s="67" t="str" vm="2458">
        <f>CUBEVALUE(ConnectionString,ReportMonth,Table1[[#This Row],[Site ID (from DATIM)]],INDEX(SDI_Measures,3))</f>
        <v/>
      </c>
      <c r="AH365" s="67" t="str" vm="486">
        <f>CUBEVALUE(ConnectionString,ReportMonth,Table1[[#This Row],[Site ID (from DATIM)]],"TX_CURR_PRIOR_MONTH")</f>
        <v/>
      </c>
      <c r="AI365" s="67" t="str" vm="1683">
        <f>CUBEVALUE(ConnectionString,ReportMonth,Table1[[#This Row],[Site ID (from DATIM)]],"TX_CURR")</f>
        <v/>
      </c>
      <c r="AJ365" s="67" t="str" vm="4252">
        <f>CUBEVALUE(ConnectionString,ReportMonth,Table1[[#This Row],[Site ID (from DATIM)]],"[Measures].[TI]")</f>
        <v/>
      </c>
      <c r="AK365" s="67" t="str" vm="2658">
        <f>CUBEVALUE(ConnectionString,ReportMonth,Table1[[#This Row],[Site ID (from DATIM)]],"[Measures].[TO]")</f>
        <v/>
      </c>
      <c r="AL365" s="67" t="str" vm="4300">
        <f>CUBEVALUE(ConnectionString,ReportMonth,Table1[[#This Row],[Site ID (from DATIM)]],"[Measures].[DIED]")</f>
        <v/>
      </c>
      <c r="AM365" s="67" t="str" vm="4375">
        <f>CUBEVALUE(ConnectionString,ReportMonth,Table1[[#This Row],[Site ID (from DATIM)]],"[Measures].[MMS_01_31]")</f>
        <v/>
      </c>
      <c r="AN365" s="67" t="str" vm="5962">
        <f>CUBEVALUE(ConnectionString,ReportMonth,Table1[[#This Row],[Site ID (from DATIM)]],"[Measures].[MMS_32_62]")</f>
        <v/>
      </c>
      <c r="AO365" s="67" t="str" vm="4187">
        <f>CUBEVALUE(ConnectionString,ReportMonth,Table1[[#This Row],[Site ID (from DATIM)]],"[Measures].[MMS_63+]")</f>
        <v/>
      </c>
      <c r="AP365" s="67" t="str" vm="4711">
        <f>CUBEVALUE(ConnectionString,ReportMonth,Table1[[#This Row],[Site ID (from DATIM)]],"[Measures].[TBPREV_D]")</f>
        <v/>
      </c>
      <c r="AQ365" s="67" t="str" vm="4568">
        <f>CUBEVALUE(ConnectionString,ReportMonth,Table1[[#This Row],[Site ID (from DATIM)]],"[Measures].[TBPREV_N]")</f>
        <v/>
      </c>
      <c r="AR365" s="67" t="str" vm="6855">
        <f>CUBEVALUE(ConnectionString,ReportMonth,Table1[[#This Row],[Site ID (from DATIM)]],"[Measures].[TBPREV_NEW]")</f>
        <v/>
      </c>
      <c r="AS365" s="67" t="str" vm="9648">
        <f>CUBEVALUE(ConnectionString,ReportMonth,Table1[[#This Row],[Site ID (from DATIM)]],"[Measures].[HVL_ELIG_P]")</f>
        <v/>
      </c>
      <c r="AT365" s="67" t="str" vm="4842">
        <f>CUBEVALUE(ConnectionString,ReportMonth,Table1[[#This Row],[Site ID (from DATIM)]],"[Measures].[HVL_D_P]")</f>
        <v/>
      </c>
      <c r="AU365" s="67" t="str" vm="11057">
        <f>CUBEVALUE(ConnectionString,ReportMonth,Table1[[#This Row],[Site ID (from DATIM)]],"[Measures].[HVL_N_P]")</f>
        <v/>
      </c>
      <c r="AV365" s="68" t="str" vm="8273">
        <f>CUBEVALUE(ConnectionString,ReportMonth,Table1[[#This Row],[Site ID (from DATIM)]],"[Measures].[HVL_ELIG_A]")</f>
        <v/>
      </c>
      <c r="AW365" s="68" t="str" vm="9122">
        <f>CUBEVALUE(ConnectionString,ReportMonth,Table1[[#This Row],[Site ID (from DATIM)]],"[Measures].[HVL_D_A]")</f>
        <v/>
      </c>
      <c r="AX365" s="68" t="str" vm="8838">
        <f>CUBEVALUE(ConnectionString,ReportMonth,Table1[[#This Row],[Site ID (from DATIM)]],"[Measures].[HVL_N_A]")</f>
        <v/>
      </c>
      <c r="AY365" s="67"/>
      <c r="AZ365" s="67"/>
      <c r="BA365" s="67"/>
      <c r="BB365" s="67"/>
      <c r="BC365" s="67"/>
      <c r="BD365" s="67"/>
      <c r="BE365" s="67"/>
      <c r="BF365" s="67"/>
      <c r="BG365" s="67" t="str" vm="10180">
        <f>CUBEVALUE(ConnectionString,ReportMonth,Table1[[#This Row],[Site ID (from DATIM)]],"[Measures].[TX_NEW_F_A]")</f>
        <v/>
      </c>
      <c r="BH365" s="67" t="str" vm="10184">
        <f>CUBEVALUE(ConnectionString,ReportMonth,Table1[[#This Row],[Site ID (from DATIM)]],"[Measures].[TX_NEW_M_A]")</f>
        <v/>
      </c>
      <c r="BI365" s="67" t="str" vm="12507">
        <f>CUBEVALUE(ConnectionString,ReportMonth,Table1[[#This Row],[Site ID (from DATIM)]],"[Measures].[TX_NEW_F_P]")</f>
        <v/>
      </c>
      <c r="BJ365" s="68" t="str" vm="16175">
        <f>CUBEVALUE(ConnectionString,ReportMonth,Table1[[#This Row],[Site ID (from DATIM)]],"[Measures].[TX_NEW_M_P]")</f>
        <v/>
      </c>
      <c r="BK365" s="68"/>
      <c r="BL365" s="68"/>
      <c r="BM365" s="68"/>
      <c r="BN365" s="68"/>
      <c r="BO365" s="68"/>
      <c r="BP365" s="68"/>
      <c r="BQ365" s="68" t="str" vm="11290">
        <f>CUBEVALUE(ConnectionString,ReportMonth,Table1[[#This Row],[Site ID (from DATIM)]],"[Measures].[TX_CURR_F_P]")</f>
        <v/>
      </c>
      <c r="BR365" s="68" t="str" vm="10645">
        <f>CUBEVALUE(ConnectionString,ReportMonth,Table1[[#This Row],[Site ID (from DATIM)]],"[Measures].[TX_CURR_M_P]")</f>
        <v/>
      </c>
      <c r="BS365" s="68" t="str" vm="12294">
        <f>CUBEVALUE(ConnectionString,ReportMonth,Table1[[#This Row],[Site ID (from DATIM)]],"[Measures].[TX_CURR_F_A]")</f>
        <v/>
      </c>
      <c r="BT365" s="68" t="str" vm="14152">
        <f>CUBEVALUE(ConnectionString,ReportMonth,Table1[[#This Row],[Site ID (from DATIM)]],"[Measures].[TX_CURR_M_A]")</f>
        <v/>
      </c>
      <c r="BU365" s="68" t="str" vm="19277">
        <f>CUBEVALUE(ConnectionString,ReportMonth,Table1[[#This Row],[Site ID (from DATIM)]],"[Measures].[MMS_01_89_F_P]")</f>
        <v/>
      </c>
      <c r="BV365" s="68" t="str" vm="19674">
        <f>CUBEVALUE(ConnectionString,ReportMonth,Table1[[#This Row],[Site ID (from DATIM)]],"[Measures].[MMS_01_89_M_P]")</f>
        <v/>
      </c>
      <c r="BW365" s="68" t="str" vm="19092">
        <f>CUBEVALUE(ConnectionString,ReportMonth,Table1[[#This Row],[Site ID (from DATIM)]],"[Measures].[MMS_01_89_F_A]")</f>
        <v/>
      </c>
      <c r="BX365" s="68" t="str" vm="18858">
        <f>CUBEVALUE(ConnectionString,ReportMonth,Table1[[#This Row],[Site ID (from DATIM)]],"[Measures].[MMS_01_89_M_A]")</f>
        <v/>
      </c>
      <c r="BY365" s="68" t="str" vm="19371">
        <f>CUBEVALUE(ConnectionString,ReportMonth,Table1[[#This Row],[Site ID (from DATIM)]],"[Measures].[MMS_90_179_F_P]")</f>
        <v/>
      </c>
      <c r="BZ365" s="68" t="str" vm="19076">
        <f>CUBEVALUE(ConnectionString,ReportMonth,Table1[[#This Row],[Site ID (from DATIM)]],"[Measures].[MMS_90_179_M_P]")</f>
        <v/>
      </c>
      <c r="CA365" s="68" t="str" vm="15133">
        <f>CUBEVALUE(ConnectionString,ReportMonth,Table1[[#This Row],[Site ID (from DATIM)]],"[Measures].[MMS_90_179_F_A]")</f>
        <v/>
      </c>
      <c r="CB365" s="68" t="str" vm="17664">
        <f>CUBEVALUE(ConnectionString,ReportMonth,Table1[[#This Row],[Site ID (from DATIM)]],"[Measures].[MMS_90_179_M_A]")</f>
        <v/>
      </c>
      <c r="CC365" s="68" t="str" vm="16693">
        <f>CUBEVALUE(ConnectionString,ReportMonth,Table1[[#This Row],[Site ID (from DATIM)]],"[Measures].[MMS_180+_F_P]")</f>
        <v/>
      </c>
      <c r="CD365" s="68" t="str" vm="15006">
        <f>CUBEVALUE(ConnectionString,ReportMonth,Table1[[#This Row],[Site ID (from DATIM)]],"[Measures].[MMS_180+_M_P]")</f>
        <v/>
      </c>
      <c r="CE365" s="68" t="str" vm="15717">
        <f>CUBEVALUE(ConnectionString,ReportMonth,Table1[[#This Row],[Site ID (from DATIM)]],"[Measures].[MMS_180+_F_A]")</f>
        <v/>
      </c>
      <c r="CF365" s="68" t="str" vm="15783">
        <f>CUBEVALUE(ConnectionString,ReportMonth,Table1[[#This Row],[Site ID (from DATIM)]],"[Measures].[MMS_180+_M_A]")</f>
        <v/>
      </c>
      <c r="CG365" s="68" t="str" vm="5130">
        <f>CUBEVALUE(ConnectionString,ReportMonth,Table1[[#This Row],[Site ID (from DATIM)]],"[Measures].[MISSEDAPP]")</f>
        <v/>
      </c>
      <c r="CH365" s="68" t="str" vm="17027">
        <f>CUBEVALUE(ConnectionString,ReportMonth,Table1[[#This Row],[Site ID (from DATIM)]],"[Measures].[MMS_180+_P]")</f>
        <v/>
      </c>
      <c r="CI365" s="68" t="str" vm="12541">
        <f>CUBEVALUE(ConnectionString,ReportMonth,Table1[[#This Row],[Site ID (from DATIM)]],"[Measures].[MMS_180+_A]")</f>
        <v/>
      </c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  <c r="CW365" s="68"/>
      <c r="CX365" s="68"/>
      <c r="CY365" s="68"/>
      <c r="CZ365" s="68"/>
      <c r="DA365" s="68"/>
      <c r="DB365" s="68"/>
      <c r="DC365" s="68"/>
    </row>
    <row r="366" spans="1:107" x14ac:dyDescent="0.25">
      <c r="A366" s="66">
        <v>4</v>
      </c>
      <c r="B366" s="67" t="str" vm="4">
        <f t="shared" si="6"/>
        <v>Mar-2021</v>
      </c>
      <c r="C366" s="67"/>
      <c r="D366" s="67" t="s">
        <v>232</v>
      </c>
      <c r="E366" s="67" t="s">
        <v>233</v>
      </c>
      <c r="F366" s="67" t="s">
        <v>1286</v>
      </c>
      <c r="G366" s="67"/>
      <c r="H366" s="67" t="s">
        <v>1323</v>
      </c>
      <c r="I366" s="67" t="s">
        <v>1493</v>
      </c>
      <c r="J366" s="67" t="s">
        <v>1494</v>
      </c>
      <c r="K366" s="67" t="s">
        <v>1495</v>
      </c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 t="str" vm="2722">
        <f>CUBEVALUE(ConnectionString,ReportMonth,Table1[[#This Row],[Site ID (from DATIM)]],"TX_NEW_2VIS")</f>
        <v/>
      </c>
      <c r="AE366" s="67" t="str" vm="4269">
        <f>CUBEVALUE(ConnectionString,ReportMonth,Table1[[#This Row],[Site ID (from DATIM)]],INDEX(SDI_Measures,1))</f>
        <v/>
      </c>
      <c r="AF366" s="67" t="str" vm="857">
        <f>CUBEVALUE(ConnectionString,ReportMonth,Table1[[#This Row],[Site ID (from DATIM)]],INDEX(SDI_Measures,2))</f>
        <v/>
      </c>
      <c r="AG366" s="67" t="str" vm="912">
        <f>CUBEVALUE(ConnectionString,ReportMonth,Table1[[#This Row],[Site ID (from DATIM)]],INDEX(SDI_Measures,3))</f>
        <v/>
      </c>
      <c r="AH366" s="67" t="str" vm="6508">
        <f>CUBEVALUE(ConnectionString,ReportMonth,Table1[[#This Row],[Site ID (from DATIM)]],"TX_CURR_PRIOR_MONTH")</f>
        <v/>
      </c>
      <c r="AI366" s="67" t="str" vm="886">
        <f>CUBEVALUE(ConnectionString,ReportMonth,Table1[[#This Row],[Site ID (from DATIM)]],"TX_CURR")</f>
        <v/>
      </c>
      <c r="AJ366" s="67" t="str" vm="1931">
        <f>CUBEVALUE(ConnectionString,ReportMonth,Table1[[#This Row],[Site ID (from DATIM)]],"[Measures].[TI]")</f>
        <v/>
      </c>
      <c r="AK366" s="67" t="str" vm="3915">
        <f>CUBEVALUE(ConnectionString,ReportMonth,Table1[[#This Row],[Site ID (from DATIM)]],"[Measures].[TO]")</f>
        <v/>
      </c>
      <c r="AL366" s="67" t="str" vm="3675">
        <f>CUBEVALUE(ConnectionString,ReportMonth,Table1[[#This Row],[Site ID (from DATIM)]],"[Measures].[DIED]")</f>
        <v/>
      </c>
      <c r="AM366" s="67" t="str" vm="7642">
        <f>CUBEVALUE(ConnectionString,ReportMonth,Table1[[#This Row],[Site ID (from DATIM)]],"[Measures].[MMS_01_31]")</f>
        <v/>
      </c>
      <c r="AN366" s="67" t="str" vm="5436">
        <f>CUBEVALUE(ConnectionString,ReportMonth,Table1[[#This Row],[Site ID (from DATIM)]],"[Measures].[MMS_32_62]")</f>
        <v/>
      </c>
      <c r="AO366" s="67" t="str" vm="6529">
        <f>CUBEVALUE(ConnectionString,ReportMonth,Table1[[#This Row],[Site ID (from DATIM)]],"[Measures].[MMS_63+]")</f>
        <v/>
      </c>
      <c r="AP366" s="67" t="str" vm="8410">
        <f>CUBEVALUE(ConnectionString,ReportMonth,Table1[[#This Row],[Site ID (from DATIM)]],"[Measures].[TBPREV_D]")</f>
        <v/>
      </c>
      <c r="AQ366" s="67" t="str" vm="6209">
        <f>CUBEVALUE(ConnectionString,ReportMonth,Table1[[#This Row],[Site ID (from DATIM)]],"[Measures].[TBPREV_N]")</f>
        <v/>
      </c>
      <c r="AR366" s="67" t="str" vm="4739">
        <f>CUBEVALUE(ConnectionString,ReportMonth,Table1[[#This Row],[Site ID (from DATIM)]],"[Measures].[TBPREV_NEW]")</f>
        <v/>
      </c>
      <c r="AS366" s="67" t="str" vm="4938">
        <f>CUBEVALUE(ConnectionString,ReportMonth,Table1[[#This Row],[Site ID (from DATIM)]],"[Measures].[HVL_ELIG_P]")</f>
        <v/>
      </c>
      <c r="AT366" s="67" t="str" vm="7726">
        <f>CUBEVALUE(ConnectionString,ReportMonth,Table1[[#This Row],[Site ID (from DATIM)]],"[Measures].[HVL_D_P]")</f>
        <v/>
      </c>
      <c r="AU366" s="67" t="str" vm="9173">
        <f>CUBEVALUE(ConnectionString,ReportMonth,Table1[[#This Row],[Site ID (from DATIM)]],"[Measures].[HVL_N_P]")</f>
        <v/>
      </c>
      <c r="AV366" s="68" t="str" vm="8323">
        <f>CUBEVALUE(ConnectionString,ReportMonth,Table1[[#This Row],[Site ID (from DATIM)]],"[Measures].[HVL_ELIG_A]")</f>
        <v/>
      </c>
      <c r="AW366" s="68" t="str" vm="7476">
        <f>CUBEVALUE(ConnectionString,ReportMonth,Table1[[#This Row],[Site ID (from DATIM)]],"[Measures].[HVL_D_A]")</f>
        <v/>
      </c>
      <c r="AX366" s="68" t="str" vm="10008">
        <f>CUBEVALUE(ConnectionString,ReportMonth,Table1[[#This Row],[Site ID (from DATIM)]],"[Measures].[HVL_N_A]")</f>
        <v/>
      </c>
      <c r="AY366" s="67"/>
      <c r="AZ366" s="67"/>
      <c r="BA366" s="67"/>
      <c r="BB366" s="67"/>
      <c r="BC366" s="67"/>
      <c r="BD366" s="67"/>
      <c r="BE366" s="67"/>
      <c r="BF366" s="67"/>
      <c r="BG366" s="67" t="str" vm="14796">
        <f>CUBEVALUE(ConnectionString,ReportMonth,Table1[[#This Row],[Site ID (from DATIM)]],"[Measures].[TX_NEW_F_A]")</f>
        <v/>
      </c>
      <c r="BH366" s="67" t="str" vm="12225">
        <f>CUBEVALUE(ConnectionString,ReportMonth,Table1[[#This Row],[Site ID (from DATIM)]],"[Measures].[TX_NEW_M_A]")</f>
        <v/>
      </c>
      <c r="BI366" s="67" t="str" vm="15710">
        <f>CUBEVALUE(ConnectionString,ReportMonth,Table1[[#This Row],[Site ID (from DATIM)]],"[Measures].[TX_NEW_F_P]")</f>
        <v/>
      </c>
      <c r="BJ366" s="68" t="str" vm="17005">
        <f>CUBEVALUE(ConnectionString,ReportMonth,Table1[[#This Row],[Site ID (from DATIM)]],"[Measures].[TX_NEW_M_P]")</f>
        <v/>
      </c>
      <c r="BK366" s="68"/>
      <c r="BL366" s="68"/>
      <c r="BM366" s="68"/>
      <c r="BN366" s="68"/>
      <c r="BO366" s="68"/>
      <c r="BP366" s="68"/>
      <c r="BQ366" s="68" t="str" vm="13551">
        <f>CUBEVALUE(ConnectionString,ReportMonth,Table1[[#This Row],[Site ID (from DATIM)]],"[Measures].[TX_CURR_F_P]")</f>
        <v/>
      </c>
      <c r="BR366" s="68" t="str" vm="6604">
        <f>CUBEVALUE(ConnectionString,ReportMonth,Table1[[#This Row],[Site ID (from DATIM)]],"[Measures].[TX_CURR_M_P]")</f>
        <v/>
      </c>
      <c r="BS366" s="68" t="str" vm="8637">
        <f>CUBEVALUE(ConnectionString,ReportMonth,Table1[[#This Row],[Site ID (from DATIM)]],"[Measures].[TX_CURR_F_A]")</f>
        <v/>
      </c>
      <c r="BT366" s="68" t="str" vm="11652">
        <f>CUBEVALUE(ConnectionString,ReportMonth,Table1[[#This Row],[Site ID (from DATIM)]],"[Measures].[TX_CURR_M_A]")</f>
        <v/>
      </c>
      <c r="BU366" s="68" t="str" vm="18728">
        <f>CUBEVALUE(ConnectionString,ReportMonth,Table1[[#This Row],[Site ID (from DATIM)]],"[Measures].[MMS_01_89_F_P]")</f>
        <v/>
      </c>
      <c r="BV366" s="68" t="str" vm="18731">
        <f>CUBEVALUE(ConnectionString,ReportMonth,Table1[[#This Row],[Site ID (from DATIM)]],"[Measures].[MMS_01_89_M_P]")</f>
        <v/>
      </c>
      <c r="BW366" s="68" t="str" vm="20110">
        <f>CUBEVALUE(ConnectionString,ReportMonth,Table1[[#This Row],[Site ID (from DATIM)]],"[Measures].[MMS_01_89_F_A]")</f>
        <v/>
      </c>
      <c r="BX366" s="68" t="str" vm="20011">
        <f>CUBEVALUE(ConnectionString,ReportMonth,Table1[[#This Row],[Site ID (from DATIM)]],"[Measures].[MMS_01_89_M_A]")</f>
        <v/>
      </c>
      <c r="BY366" s="68" t="str" vm="18884">
        <f>CUBEVALUE(ConnectionString,ReportMonth,Table1[[#This Row],[Site ID (from DATIM)]],"[Measures].[MMS_90_179_F_P]")</f>
        <v/>
      </c>
      <c r="BZ366" s="68" t="str" vm="19098">
        <f>CUBEVALUE(ConnectionString,ReportMonth,Table1[[#This Row],[Site ID (from DATIM)]],"[Measures].[MMS_90_179_M_P]")</f>
        <v/>
      </c>
      <c r="CA366" s="68" t="str" vm="17342">
        <f>CUBEVALUE(ConnectionString,ReportMonth,Table1[[#This Row],[Site ID (from DATIM)]],"[Measures].[MMS_90_179_F_A]")</f>
        <v/>
      </c>
      <c r="CB366" s="68" t="str" vm="14549">
        <f>CUBEVALUE(ConnectionString,ReportMonth,Table1[[#This Row],[Site ID (from DATIM)]],"[Measures].[MMS_90_179_M_A]")</f>
        <v/>
      </c>
      <c r="CC366" s="68" t="str" vm="16717">
        <f>CUBEVALUE(ConnectionString,ReportMonth,Table1[[#This Row],[Site ID (from DATIM)]],"[Measures].[MMS_180+_F_P]")</f>
        <v/>
      </c>
      <c r="CD366" s="68" t="str" vm="16322">
        <f>CUBEVALUE(ConnectionString,ReportMonth,Table1[[#This Row],[Site ID (from DATIM)]],"[Measures].[MMS_180+_M_P]")</f>
        <v/>
      </c>
      <c r="CE366" s="68" t="str" vm="14455">
        <f>CUBEVALUE(ConnectionString,ReportMonth,Table1[[#This Row],[Site ID (from DATIM)]],"[Measures].[MMS_180+_F_A]")</f>
        <v/>
      </c>
      <c r="CF366" s="68" t="str" vm="15">
        <f>CUBEVALUE(ConnectionString,ReportMonth,Table1[[#This Row],[Site ID (from DATIM)]],"[Measures].[MMS_180+_M_A]")</f>
        <v/>
      </c>
      <c r="CG366" s="68" t="str" vm="9391">
        <f>CUBEVALUE(ConnectionString,ReportMonth,Table1[[#This Row],[Site ID (from DATIM)]],"[Measures].[MISSEDAPP]")</f>
        <v/>
      </c>
      <c r="CH366" s="68" t="str" vm="15693">
        <f>CUBEVALUE(ConnectionString,ReportMonth,Table1[[#This Row],[Site ID (from DATIM)]],"[Measures].[MMS_180+_P]")</f>
        <v/>
      </c>
      <c r="CI366" s="68" t="str" vm="11271">
        <f>CUBEVALUE(ConnectionString,ReportMonth,Table1[[#This Row],[Site ID (from DATIM)]],"[Measures].[MMS_180+_A]")</f>
        <v/>
      </c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  <c r="CW366" s="68"/>
      <c r="CX366" s="68"/>
      <c r="CY366" s="68"/>
      <c r="CZ366" s="68"/>
      <c r="DA366" s="68"/>
      <c r="DB366" s="68"/>
      <c r="DC366" s="68"/>
    </row>
    <row r="367" spans="1:107" x14ac:dyDescent="0.25">
      <c r="A367" s="66">
        <v>4</v>
      </c>
      <c r="B367" s="67" t="str" vm="4">
        <f t="shared" si="6"/>
        <v>Mar-2021</v>
      </c>
      <c r="C367" s="67"/>
      <c r="D367" s="67" t="s">
        <v>232</v>
      </c>
      <c r="E367" s="67" t="s">
        <v>233</v>
      </c>
      <c r="F367" s="67" t="s">
        <v>437</v>
      </c>
      <c r="G367" s="67"/>
      <c r="H367" s="67" t="s">
        <v>438</v>
      </c>
      <c r="I367" s="67" t="s">
        <v>664</v>
      </c>
      <c r="J367" s="67" t="s">
        <v>763</v>
      </c>
      <c r="K367" s="67" t="s">
        <v>764</v>
      </c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 t="str" vm="1538">
        <f>CUBEVALUE(ConnectionString,ReportMonth,Table1[[#This Row],[Site ID (from DATIM)]],"TX_NEW_2VIS")</f>
        <v/>
      </c>
      <c r="AE367" s="67" t="str" vm="896">
        <f>CUBEVALUE(ConnectionString,ReportMonth,Table1[[#This Row],[Site ID (from DATIM)]],INDEX(SDI_Measures,1))</f>
        <v/>
      </c>
      <c r="AF367" s="67" t="str" vm="2263">
        <f>CUBEVALUE(ConnectionString,ReportMonth,Table1[[#This Row],[Site ID (from DATIM)]],INDEX(SDI_Measures,2))</f>
        <v/>
      </c>
      <c r="AG367" s="67" t="str" vm="3642">
        <f>CUBEVALUE(ConnectionString,ReportMonth,Table1[[#This Row],[Site ID (from DATIM)]],INDEX(SDI_Measures,3))</f>
        <v/>
      </c>
      <c r="AH367" s="67" t="str" vm="563">
        <f>CUBEVALUE(ConnectionString,ReportMonth,Table1[[#This Row],[Site ID (from DATIM)]],"TX_CURR_PRIOR_MONTH")</f>
        <v/>
      </c>
      <c r="AI367" s="67" t="str" vm="2960">
        <f>CUBEVALUE(ConnectionString,ReportMonth,Table1[[#This Row],[Site ID (from DATIM)]],"TX_CURR")</f>
        <v/>
      </c>
      <c r="AJ367" s="67" t="str" vm="3766">
        <f>CUBEVALUE(ConnectionString,ReportMonth,Table1[[#This Row],[Site ID (from DATIM)]],"[Measures].[TI]")</f>
        <v/>
      </c>
      <c r="AK367" s="67" t="str" vm="3768">
        <f>CUBEVALUE(ConnectionString,ReportMonth,Table1[[#This Row],[Site ID (from DATIM)]],"[Measures].[TO]")</f>
        <v/>
      </c>
      <c r="AL367" s="67" t="str" vm="1419">
        <f>CUBEVALUE(ConnectionString,ReportMonth,Table1[[#This Row],[Site ID (from DATIM)]],"[Measures].[DIED]")</f>
        <v/>
      </c>
      <c r="AM367" s="67" t="str" vm="3748">
        <f>CUBEVALUE(ConnectionString,ReportMonth,Table1[[#This Row],[Site ID (from DATIM)]],"[Measures].[MMS_01_31]")</f>
        <v/>
      </c>
      <c r="AN367" s="67" t="str" vm="7803">
        <f>CUBEVALUE(ConnectionString,ReportMonth,Table1[[#This Row],[Site ID (from DATIM)]],"[Measures].[MMS_32_62]")</f>
        <v/>
      </c>
      <c r="AO367" s="67" t="str" vm="10384">
        <f>CUBEVALUE(ConnectionString,ReportMonth,Table1[[#This Row],[Site ID (from DATIM)]],"[Measures].[MMS_63+]")</f>
        <v/>
      </c>
      <c r="AP367" s="67" t="str" vm="5248">
        <f>CUBEVALUE(ConnectionString,ReportMonth,Table1[[#This Row],[Site ID (from DATIM)]],"[Measures].[TBPREV_D]")</f>
        <v/>
      </c>
      <c r="AQ367" s="67" t="str" vm="6736">
        <f>CUBEVALUE(ConnectionString,ReportMonth,Table1[[#This Row],[Site ID (from DATIM)]],"[Measures].[TBPREV_N]")</f>
        <v/>
      </c>
      <c r="AR367" s="67" t="str" vm="6422">
        <f>CUBEVALUE(ConnectionString,ReportMonth,Table1[[#This Row],[Site ID (from DATIM)]],"[Measures].[TBPREV_NEW]")</f>
        <v/>
      </c>
      <c r="AS367" s="67" t="str" vm="4594">
        <f>CUBEVALUE(ConnectionString,ReportMonth,Table1[[#This Row],[Site ID (from DATIM)]],"[Measures].[HVL_ELIG_P]")</f>
        <v/>
      </c>
      <c r="AT367" s="67" t="str" vm="6495">
        <f>CUBEVALUE(ConnectionString,ReportMonth,Table1[[#This Row],[Site ID (from DATIM)]],"[Measures].[HVL_D_P]")</f>
        <v/>
      </c>
      <c r="AU367" s="67" t="str" vm="13236">
        <f>CUBEVALUE(ConnectionString,ReportMonth,Table1[[#This Row],[Site ID (from DATIM)]],"[Measures].[HVL_N_P]")</f>
        <v/>
      </c>
      <c r="AV367" s="68" t="str" vm="9370">
        <f>CUBEVALUE(ConnectionString,ReportMonth,Table1[[#This Row],[Site ID (from DATIM)]],"[Measures].[HVL_ELIG_A]")</f>
        <v/>
      </c>
      <c r="AW367" s="68" t="str" vm="8252">
        <f>CUBEVALUE(ConnectionString,ReportMonth,Table1[[#This Row],[Site ID (from DATIM)]],"[Measures].[HVL_D_A]")</f>
        <v/>
      </c>
      <c r="AX367" s="68" t="str" vm="11489">
        <f>CUBEVALUE(ConnectionString,ReportMonth,Table1[[#This Row],[Site ID (from DATIM)]],"[Measures].[HVL_N_A]")</f>
        <v/>
      </c>
      <c r="AY367" s="67"/>
      <c r="AZ367" s="67"/>
      <c r="BA367" s="67"/>
      <c r="BB367" s="67"/>
      <c r="BC367" s="67"/>
      <c r="BD367" s="67"/>
      <c r="BE367" s="67"/>
      <c r="BF367" s="67"/>
      <c r="BG367" s="67" t="str" vm="10376">
        <f>CUBEVALUE(ConnectionString,ReportMonth,Table1[[#This Row],[Site ID (from DATIM)]],"[Measures].[TX_NEW_F_A]")</f>
        <v/>
      </c>
      <c r="BH367" s="67" t="str" vm="12284">
        <f>CUBEVALUE(ConnectionString,ReportMonth,Table1[[#This Row],[Site ID (from DATIM)]],"[Measures].[TX_NEW_M_A]")</f>
        <v/>
      </c>
      <c r="BI367" s="67" t="str" vm="14856">
        <f>CUBEVALUE(ConnectionString,ReportMonth,Table1[[#This Row],[Site ID (from DATIM)]],"[Measures].[TX_NEW_F_P]")</f>
        <v/>
      </c>
      <c r="BJ367" s="68" t="str" vm="14241">
        <f>CUBEVALUE(ConnectionString,ReportMonth,Table1[[#This Row],[Site ID (from DATIM)]],"[Measures].[TX_NEW_M_P]")</f>
        <v/>
      </c>
      <c r="BK367" s="68"/>
      <c r="BL367" s="68"/>
      <c r="BM367" s="68"/>
      <c r="BN367" s="68"/>
      <c r="BO367" s="68"/>
      <c r="BP367" s="68"/>
      <c r="BQ367" s="68" t="str" vm="12634">
        <f>CUBEVALUE(ConnectionString,ReportMonth,Table1[[#This Row],[Site ID (from DATIM)]],"[Measures].[TX_CURR_F_P]")</f>
        <v/>
      </c>
      <c r="BR367" s="68" t="str" vm="6583">
        <f>CUBEVALUE(ConnectionString,ReportMonth,Table1[[#This Row],[Site ID (from DATIM)]],"[Measures].[TX_CURR_M_P]")</f>
        <v/>
      </c>
      <c r="BS367" s="68" t="str" vm="11775">
        <f>CUBEVALUE(ConnectionString,ReportMonth,Table1[[#This Row],[Site ID (from DATIM)]],"[Measures].[TX_CURR_F_A]")</f>
        <v/>
      </c>
      <c r="BT367" s="68" t="str" vm="11515">
        <f>CUBEVALUE(ConnectionString,ReportMonth,Table1[[#This Row],[Site ID (from DATIM)]],"[Measures].[TX_CURR_M_A]")</f>
        <v/>
      </c>
      <c r="BU367" s="68" t="str" vm="18712">
        <f>CUBEVALUE(ConnectionString,ReportMonth,Table1[[#This Row],[Site ID (from DATIM)]],"[Measures].[MMS_01_89_F_P]")</f>
        <v/>
      </c>
      <c r="BV367" s="68" t="str" vm="18310">
        <f>CUBEVALUE(ConnectionString,ReportMonth,Table1[[#This Row],[Site ID (from DATIM)]],"[Measures].[MMS_01_89_M_P]")</f>
        <v/>
      </c>
      <c r="BW367" s="68" t="str" vm="18306">
        <f>CUBEVALUE(ConnectionString,ReportMonth,Table1[[#This Row],[Site ID (from DATIM)]],"[Measures].[MMS_01_89_F_A]")</f>
        <v/>
      </c>
      <c r="BX367" s="68" t="str" vm="19182">
        <f>CUBEVALUE(ConnectionString,ReportMonth,Table1[[#This Row],[Site ID (from DATIM)]],"[Measures].[MMS_01_89_M_A]")</f>
        <v/>
      </c>
      <c r="BY367" s="68" t="str" vm="17306">
        <f>CUBEVALUE(ConnectionString,ReportMonth,Table1[[#This Row],[Site ID (from DATIM)]],"[Measures].[MMS_90_179_F_P]")</f>
        <v/>
      </c>
      <c r="BZ367" s="68" t="str" vm="18849">
        <f>CUBEVALUE(ConnectionString,ReportMonth,Table1[[#This Row],[Site ID (from DATIM)]],"[Measures].[MMS_90_179_M_P]")</f>
        <v/>
      </c>
      <c r="CA367" s="68" t="str" vm="15059">
        <f>CUBEVALUE(ConnectionString,ReportMonth,Table1[[#This Row],[Site ID (from DATIM)]],"[Measures].[MMS_90_179_F_A]")</f>
        <v/>
      </c>
      <c r="CB367" s="68" t="str" vm="15585">
        <f>CUBEVALUE(ConnectionString,ReportMonth,Table1[[#This Row],[Site ID (from DATIM)]],"[Measures].[MMS_90_179_M_A]")</f>
        <v/>
      </c>
      <c r="CC367" s="68" t="str" vm="17217">
        <f>CUBEVALUE(ConnectionString,ReportMonth,Table1[[#This Row],[Site ID (from DATIM)]],"[Measures].[MMS_180+_F_P]")</f>
        <v/>
      </c>
      <c r="CD367" s="68" t="str" vm="15423">
        <f>CUBEVALUE(ConnectionString,ReportMonth,Table1[[#This Row],[Site ID (from DATIM)]],"[Measures].[MMS_180+_M_P]")</f>
        <v/>
      </c>
      <c r="CE367" s="68" t="str" vm="16332">
        <f>CUBEVALUE(ConnectionString,ReportMonth,Table1[[#This Row],[Site ID (from DATIM)]],"[Measures].[MMS_180+_F_A]")</f>
        <v/>
      </c>
      <c r="CF367" s="68" t="str" vm="273">
        <f>CUBEVALUE(ConnectionString,ReportMonth,Table1[[#This Row],[Site ID (from DATIM)]],"[Measures].[MMS_180+_M_A]")</f>
        <v/>
      </c>
      <c r="CG367" s="68" t="str" vm="6043">
        <f>CUBEVALUE(ConnectionString,ReportMonth,Table1[[#This Row],[Site ID (from DATIM)]],"[Measures].[MISSEDAPP]")</f>
        <v/>
      </c>
      <c r="CH367" s="68" t="str" vm="11647">
        <f>CUBEVALUE(ConnectionString,ReportMonth,Table1[[#This Row],[Site ID (from DATIM)]],"[Measures].[MMS_180+_P]")</f>
        <v/>
      </c>
      <c r="CI367" s="68" t="str" vm="11259">
        <f>CUBEVALUE(ConnectionString,ReportMonth,Table1[[#This Row],[Site ID (from DATIM)]],"[Measures].[MMS_180+_A]")</f>
        <v/>
      </c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  <c r="CW367" s="68"/>
      <c r="CX367" s="68"/>
      <c r="CY367" s="68"/>
      <c r="CZ367" s="68"/>
      <c r="DA367" s="68"/>
      <c r="DB367" s="68"/>
      <c r="DC367" s="68"/>
    </row>
    <row r="368" spans="1:107" x14ac:dyDescent="0.25">
      <c r="A368" s="66">
        <v>4</v>
      </c>
      <c r="B368" s="67" t="str" vm="4">
        <f t="shared" si="6"/>
        <v>Mar-2021</v>
      </c>
      <c r="C368" s="67"/>
      <c r="D368" s="67" t="s">
        <v>232</v>
      </c>
      <c r="E368" s="67" t="s">
        <v>233</v>
      </c>
      <c r="F368" s="67" t="s">
        <v>1286</v>
      </c>
      <c r="G368" s="67"/>
      <c r="H368" s="67" t="s">
        <v>1344</v>
      </c>
      <c r="I368" s="67" t="s">
        <v>724</v>
      </c>
      <c r="J368" s="67" t="s">
        <v>1496</v>
      </c>
      <c r="K368" s="67" t="s">
        <v>1497</v>
      </c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 t="str" vm="4341">
        <f>CUBEVALUE(ConnectionString,ReportMonth,Table1[[#This Row],[Site ID (from DATIM)]],"TX_NEW_2VIS")</f>
        <v/>
      </c>
      <c r="AE368" s="67" t="str" vm="9740">
        <f>CUBEVALUE(ConnectionString,ReportMonth,Table1[[#This Row],[Site ID (from DATIM)]],INDEX(SDI_Measures,1))</f>
        <v/>
      </c>
      <c r="AF368" s="67" t="str" vm="469">
        <f>CUBEVALUE(ConnectionString,ReportMonth,Table1[[#This Row],[Site ID (from DATIM)]],INDEX(SDI_Measures,2))</f>
        <v/>
      </c>
      <c r="AG368" s="67" t="str" vm="2719">
        <f>CUBEVALUE(ConnectionString,ReportMonth,Table1[[#This Row],[Site ID (from DATIM)]],INDEX(SDI_Measures,3))</f>
        <v/>
      </c>
      <c r="AH368" s="67" t="str" vm="3760">
        <f>CUBEVALUE(ConnectionString,ReportMonth,Table1[[#This Row],[Site ID (from DATIM)]],"TX_CURR_PRIOR_MONTH")</f>
        <v/>
      </c>
      <c r="AI368" s="67" t="str" vm="579">
        <f>CUBEVALUE(ConnectionString,ReportMonth,Table1[[#This Row],[Site ID (from DATIM)]],"TX_CURR")</f>
        <v/>
      </c>
      <c r="AJ368" s="67" t="str" vm="2703">
        <f>CUBEVALUE(ConnectionString,ReportMonth,Table1[[#This Row],[Site ID (from DATIM)]],"[Measures].[TI]")</f>
        <v/>
      </c>
      <c r="AK368" s="67" t="str" vm="3725">
        <f>CUBEVALUE(ConnectionString,ReportMonth,Table1[[#This Row],[Site ID (from DATIM)]],"[Measures].[TO]")</f>
        <v/>
      </c>
      <c r="AL368" s="67" t="str" vm="4090">
        <f>CUBEVALUE(ConnectionString,ReportMonth,Table1[[#This Row],[Site ID (from DATIM)]],"[Measures].[DIED]")</f>
        <v/>
      </c>
      <c r="AM368" s="67" t="str" vm="4541">
        <f>CUBEVALUE(ConnectionString,ReportMonth,Table1[[#This Row],[Site ID (from DATIM)]],"[Measures].[MMS_01_31]")</f>
        <v/>
      </c>
      <c r="AN368" s="67" t="str" vm="7544">
        <f>CUBEVALUE(ConnectionString,ReportMonth,Table1[[#This Row],[Site ID (from DATIM)]],"[Measures].[MMS_32_62]")</f>
        <v/>
      </c>
      <c r="AO368" s="67" t="str" vm="5086">
        <f>CUBEVALUE(ConnectionString,ReportMonth,Table1[[#This Row],[Site ID (from DATIM)]],"[Measures].[MMS_63+]")</f>
        <v/>
      </c>
      <c r="AP368" s="67" t="str" vm="5232">
        <f>CUBEVALUE(ConnectionString,ReportMonth,Table1[[#This Row],[Site ID (from DATIM)]],"[Measures].[TBPREV_D]")</f>
        <v/>
      </c>
      <c r="AQ368" s="67" t="str" vm="7158">
        <f>CUBEVALUE(ConnectionString,ReportMonth,Table1[[#This Row],[Site ID (from DATIM)]],"[Measures].[TBPREV_N]")</f>
        <v/>
      </c>
      <c r="AR368" s="67" t="str" vm="4672">
        <f>CUBEVALUE(ConnectionString,ReportMonth,Table1[[#This Row],[Site ID (from DATIM)]],"[Measures].[TBPREV_NEW]")</f>
        <v/>
      </c>
      <c r="AS368" s="67" t="str" vm="9342">
        <f>CUBEVALUE(ConnectionString,ReportMonth,Table1[[#This Row],[Site ID (from DATIM)]],"[Measures].[HVL_ELIG_P]")</f>
        <v/>
      </c>
      <c r="AT368" s="67" t="str" vm="7517">
        <f>CUBEVALUE(ConnectionString,ReportMonth,Table1[[#This Row],[Site ID (from DATIM)]],"[Measures].[HVL_D_P]")</f>
        <v/>
      </c>
      <c r="AU368" s="67" t="str" vm="9514">
        <f>CUBEVALUE(ConnectionString,ReportMonth,Table1[[#This Row],[Site ID (from DATIM)]],"[Measures].[HVL_N_P]")</f>
        <v/>
      </c>
      <c r="AV368" s="68" t="str" vm="8897">
        <f>CUBEVALUE(ConnectionString,ReportMonth,Table1[[#This Row],[Site ID (from DATIM)]],"[Measures].[HVL_ELIG_A]")</f>
        <v/>
      </c>
      <c r="AW368" s="68" t="str" vm="11850">
        <f>CUBEVALUE(ConnectionString,ReportMonth,Table1[[#This Row],[Site ID (from DATIM)]],"[Measures].[HVL_D_A]")</f>
        <v/>
      </c>
      <c r="AX368" s="68" t="str" vm="7999">
        <f>CUBEVALUE(ConnectionString,ReportMonth,Table1[[#This Row],[Site ID (from DATIM)]],"[Measures].[HVL_N_A]")</f>
        <v/>
      </c>
      <c r="AY368" s="67"/>
      <c r="AZ368" s="67"/>
      <c r="BA368" s="67"/>
      <c r="BB368" s="67"/>
      <c r="BC368" s="67"/>
      <c r="BD368" s="67"/>
      <c r="BE368" s="67"/>
      <c r="BF368" s="67"/>
      <c r="BG368" s="67" t="str" vm="14184">
        <f>CUBEVALUE(ConnectionString,ReportMonth,Table1[[#This Row],[Site ID (from DATIM)]],"[Measures].[TX_NEW_F_A]")</f>
        <v/>
      </c>
      <c r="BH368" s="67" t="str" vm="15695">
        <f>CUBEVALUE(ConnectionString,ReportMonth,Table1[[#This Row],[Site ID (from DATIM)]],"[Measures].[TX_NEW_M_A]")</f>
        <v/>
      </c>
      <c r="BI368" s="67" t="str" vm="17376">
        <f>CUBEVALUE(ConnectionString,ReportMonth,Table1[[#This Row],[Site ID (from DATIM)]],"[Measures].[TX_NEW_F_P]")</f>
        <v/>
      </c>
      <c r="BJ368" s="68" t="str" vm="14219">
        <f>CUBEVALUE(ConnectionString,ReportMonth,Table1[[#This Row],[Site ID (from DATIM)]],"[Measures].[TX_NEW_M_P]")</f>
        <v/>
      </c>
      <c r="BK368" s="68"/>
      <c r="BL368" s="68"/>
      <c r="BM368" s="68"/>
      <c r="BN368" s="68"/>
      <c r="BO368" s="68"/>
      <c r="BP368" s="68"/>
      <c r="BQ368" s="68" t="str" vm="8000">
        <f>CUBEVALUE(ConnectionString,ReportMonth,Table1[[#This Row],[Site ID (from DATIM)]],"[Measures].[TX_CURR_F_P]")</f>
        <v/>
      </c>
      <c r="BR368" s="68" t="str" vm="10080">
        <f>CUBEVALUE(ConnectionString,ReportMonth,Table1[[#This Row],[Site ID (from DATIM)]],"[Measures].[TX_CURR_M_P]")</f>
        <v/>
      </c>
      <c r="BS368" s="68" t="str" vm="8807">
        <f>CUBEVALUE(ConnectionString,ReportMonth,Table1[[#This Row],[Site ID (from DATIM)]],"[Measures].[TX_CURR_F_A]")</f>
        <v/>
      </c>
      <c r="BT368" s="68" t="str" vm="13280">
        <f>CUBEVALUE(ConnectionString,ReportMonth,Table1[[#This Row],[Site ID (from DATIM)]],"[Measures].[TX_CURR_M_A]")</f>
        <v/>
      </c>
      <c r="BU368" s="68" t="str" vm="18669">
        <f>CUBEVALUE(ConnectionString,ReportMonth,Table1[[#This Row],[Site ID (from DATIM)]],"[Measures].[MMS_01_89_F_P]")</f>
        <v/>
      </c>
      <c r="BV368" s="68" t="str" vm="19440">
        <f>CUBEVALUE(ConnectionString,ReportMonth,Table1[[#This Row],[Site ID (from DATIM)]],"[Measures].[MMS_01_89_M_P]")</f>
        <v/>
      </c>
      <c r="BW368" s="68" t="str" vm="18604">
        <f>CUBEVALUE(ConnectionString,ReportMonth,Table1[[#This Row],[Site ID (from DATIM)]],"[Measures].[MMS_01_89_F_A]")</f>
        <v/>
      </c>
      <c r="BX368" s="68" t="str" vm="18637">
        <f>CUBEVALUE(ConnectionString,ReportMonth,Table1[[#This Row],[Site ID (from DATIM)]],"[Measures].[MMS_01_89_M_A]")</f>
        <v/>
      </c>
      <c r="BY368" s="68" t="str" vm="19922">
        <f>CUBEVALUE(ConnectionString,ReportMonth,Table1[[#This Row],[Site ID (from DATIM)]],"[Measures].[MMS_90_179_F_P]")</f>
        <v/>
      </c>
      <c r="BZ368" s="68" t="str" vm="16933">
        <f>CUBEVALUE(ConnectionString,ReportMonth,Table1[[#This Row],[Site ID (from DATIM)]],"[Measures].[MMS_90_179_M_P]")</f>
        <v/>
      </c>
      <c r="CA368" s="68" t="str" vm="16512">
        <f>CUBEVALUE(ConnectionString,ReportMonth,Table1[[#This Row],[Site ID (from DATIM)]],"[Measures].[MMS_90_179_F_A]")</f>
        <v/>
      </c>
      <c r="CB368" s="68" t="str" vm="16470">
        <f>CUBEVALUE(ConnectionString,ReportMonth,Table1[[#This Row],[Site ID (from DATIM)]],"[Measures].[MMS_90_179_M_A]")</f>
        <v/>
      </c>
      <c r="CC368" s="68" t="str" vm="14620">
        <f>CUBEVALUE(ConnectionString,ReportMonth,Table1[[#This Row],[Site ID (from DATIM)]],"[Measures].[MMS_180+_F_P]")</f>
        <v/>
      </c>
      <c r="CD368" s="68" t="str" vm="16687">
        <f>CUBEVALUE(ConnectionString,ReportMonth,Table1[[#This Row],[Site ID (from DATIM)]],"[Measures].[MMS_180+_M_P]")</f>
        <v/>
      </c>
      <c r="CE368" s="68" t="str" vm="15725">
        <f>CUBEVALUE(ConnectionString,ReportMonth,Table1[[#This Row],[Site ID (from DATIM)]],"[Measures].[MMS_180+_F_A]")</f>
        <v/>
      </c>
      <c r="CF368" s="68" t="str" vm="121">
        <f>CUBEVALUE(ConnectionString,ReportMonth,Table1[[#This Row],[Site ID (from DATIM)]],"[Measures].[MMS_180+_M_A]")</f>
        <v/>
      </c>
      <c r="CG368" s="68" t="str" vm="5711">
        <f>CUBEVALUE(ConnectionString,ReportMonth,Table1[[#This Row],[Site ID (from DATIM)]],"[Measures].[MISSEDAPP]")</f>
        <v/>
      </c>
      <c r="CH368" s="68" t="str" vm="12257">
        <f>CUBEVALUE(ConnectionString,ReportMonth,Table1[[#This Row],[Site ID (from DATIM)]],"[Measures].[MMS_180+_P]")</f>
        <v/>
      </c>
      <c r="CI368" s="68" t="str" vm="11207">
        <f>CUBEVALUE(ConnectionString,ReportMonth,Table1[[#This Row],[Site ID (from DATIM)]],"[Measures].[MMS_180+_A]")</f>
        <v/>
      </c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  <c r="CW368" s="68"/>
      <c r="CX368" s="68"/>
      <c r="CY368" s="68"/>
      <c r="CZ368" s="68"/>
      <c r="DA368" s="68"/>
      <c r="DB368" s="68"/>
      <c r="DC368" s="68"/>
    </row>
    <row r="369" spans="1:107" x14ac:dyDescent="0.25">
      <c r="A369" s="66">
        <v>4</v>
      </c>
      <c r="B369" s="67" t="str" vm="4">
        <f t="shared" si="6"/>
        <v>Mar-2021</v>
      </c>
      <c r="C369" s="67"/>
      <c r="D369" s="67" t="s">
        <v>232</v>
      </c>
      <c r="E369" s="67" t="s">
        <v>233</v>
      </c>
      <c r="F369" s="67" t="s">
        <v>831</v>
      </c>
      <c r="G369" s="67"/>
      <c r="H369" s="67" t="s">
        <v>856</v>
      </c>
      <c r="I369" s="67" t="s">
        <v>1017</v>
      </c>
      <c r="J369" s="67" t="s">
        <v>1018</v>
      </c>
      <c r="K369" s="67" t="s">
        <v>1019</v>
      </c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 t="str" vm="3052">
        <f>CUBEVALUE(ConnectionString,ReportMonth,Table1[[#This Row],[Site ID (from DATIM)]],"TX_NEW_2VIS")</f>
        <v/>
      </c>
      <c r="AE369" s="67" t="str" vm="3944">
        <f>CUBEVALUE(ConnectionString,ReportMonth,Table1[[#This Row],[Site ID (from DATIM)]],INDEX(SDI_Measures,1))</f>
        <v/>
      </c>
      <c r="AF369" s="67" t="str" vm="733">
        <f>CUBEVALUE(ConnectionString,ReportMonth,Table1[[#This Row],[Site ID (from DATIM)]],INDEX(SDI_Measures,2))</f>
        <v/>
      </c>
      <c r="AG369" s="67" t="str" vm="2558">
        <f>CUBEVALUE(ConnectionString,ReportMonth,Table1[[#This Row],[Site ID (from DATIM)]],INDEX(SDI_Measures,3))</f>
        <v/>
      </c>
      <c r="AH369" s="67" t="str" vm="785">
        <f>CUBEVALUE(ConnectionString,ReportMonth,Table1[[#This Row],[Site ID (from DATIM)]],"TX_CURR_PRIOR_MONTH")</f>
        <v/>
      </c>
      <c r="AI369" s="67" t="str" vm="3207">
        <f>CUBEVALUE(ConnectionString,ReportMonth,Table1[[#This Row],[Site ID (from DATIM)]],"TX_CURR")</f>
        <v/>
      </c>
      <c r="AJ369" s="67" t="str" vm="1529">
        <f>CUBEVALUE(ConnectionString,ReportMonth,Table1[[#This Row],[Site ID (from DATIM)]],"[Measures].[TI]")</f>
        <v/>
      </c>
      <c r="AK369" s="67" t="str" vm="625">
        <f>CUBEVALUE(ConnectionString,ReportMonth,Table1[[#This Row],[Site ID (from DATIM)]],"[Measures].[TO]")</f>
        <v/>
      </c>
      <c r="AL369" s="67" t="str" vm="2687">
        <f>CUBEVALUE(ConnectionString,ReportMonth,Table1[[#This Row],[Site ID (from DATIM)]],"[Measures].[DIED]")</f>
        <v/>
      </c>
      <c r="AM369" s="67" t="str" vm="8234">
        <f>CUBEVALUE(ConnectionString,ReportMonth,Table1[[#This Row],[Site ID (from DATIM)]],"[Measures].[MMS_01_31]")</f>
        <v/>
      </c>
      <c r="AN369" s="67" t="str" vm="5575">
        <f>CUBEVALUE(ConnectionString,ReportMonth,Table1[[#This Row],[Site ID (from DATIM)]],"[Measures].[MMS_32_62]")</f>
        <v/>
      </c>
      <c r="AO369" s="67" t="str" vm="5317">
        <f>CUBEVALUE(ConnectionString,ReportMonth,Table1[[#This Row],[Site ID (from DATIM)]],"[Measures].[MMS_63+]")</f>
        <v/>
      </c>
      <c r="AP369" s="67" t="str" vm="4673">
        <f>CUBEVALUE(ConnectionString,ReportMonth,Table1[[#This Row],[Site ID (from DATIM)]],"[Measures].[TBPREV_D]")</f>
        <v/>
      </c>
      <c r="AQ369" s="67" t="str" vm="4780">
        <f>CUBEVALUE(ConnectionString,ReportMonth,Table1[[#This Row],[Site ID (from DATIM)]],"[Measures].[TBPREV_N]")</f>
        <v/>
      </c>
      <c r="AR369" s="67" t="str" vm="4726">
        <f>CUBEVALUE(ConnectionString,ReportMonth,Table1[[#This Row],[Site ID (from DATIM)]],"[Measures].[TBPREV_NEW]")</f>
        <v/>
      </c>
      <c r="AS369" s="67" t="str" vm="8293">
        <f>CUBEVALUE(ConnectionString,ReportMonth,Table1[[#This Row],[Site ID (from DATIM)]],"[Measures].[HVL_ELIG_P]")</f>
        <v/>
      </c>
      <c r="AT369" s="67" vm="10722">
        <f>CUBEVALUE(ConnectionString,ReportMonth,Table1[[#This Row],[Site ID (from DATIM)]],"[Measures].[HVL_D_P]")</f>
        <v>4</v>
      </c>
      <c r="AU369" s="67" vm="8206">
        <f>CUBEVALUE(ConnectionString,ReportMonth,Table1[[#This Row],[Site ID (from DATIM)]],"[Measures].[HVL_N_P]")</f>
        <v>3</v>
      </c>
      <c r="AV369" s="68" t="str" vm="8061">
        <f>CUBEVALUE(ConnectionString,ReportMonth,Table1[[#This Row],[Site ID (from DATIM)]],"[Measures].[HVL_ELIG_A]")</f>
        <v/>
      </c>
      <c r="AW369" s="68" vm="12767">
        <f>CUBEVALUE(ConnectionString,ReportMonth,Table1[[#This Row],[Site ID (from DATIM)]],"[Measures].[HVL_D_A]")</f>
        <v>50</v>
      </c>
      <c r="AX369" s="68" vm="13742">
        <f>CUBEVALUE(ConnectionString,ReportMonth,Table1[[#This Row],[Site ID (from DATIM)]],"[Measures].[HVL_N_A]")</f>
        <v>45</v>
      </c>
      <c r="AY369" s="67"/>
      <c r="AZ369" s="67"/>
      <c r="BA369" s="67"/>
      <c r="BB369" s="67"/>
      <c r="BC369" s="67"/>
      <c r="BD369" s="67"/>
      <c r="BE369" s="67"/>
      <c r="BF369" s="67"/>
      <c r="BG369" s="67" t="str" vm="11232">
        <f>CUBEVALUE(ConnectionString,ReportMonth,Table1[[#This Row],[Site ID (from DATIM)]],"[Measures].[TX_NEW_F_A]")</f>
        <v/>
      </c>
      <c r="BH369" s="67" t="str" vm="14294">
        <f>CUBEVALUE(ConnectionString,ReportMonth,Table1[[#This Row],[Site ID (from DATIM)]],"[Measures].[TX_NEW_M_A]")</f>
        <v/>
      </c>
      <c r="BI369" s="67" t="str" vm="13474">
        <f>CUBEVALUE(ConnectionString,ReportMonth,Table1[[#This Row],[Site ID (from DATIM)]],"[Measures].[TX_NEW_F_P]")</f>
        <v/>
      </c>
      <c r="BJ369" s="68" t="str" vm="14280">
        <f>CUBEVALUE(ConnectionString,ReportMonth,Table1[[#This Row],[Site ID (from DATIM)]],"[Measures].[TX_NEW_M_P]")</f>
        <v/>
      </c>
      <c r="BK369" s="68"/>
      <c r="BL369" s="68"/>
      <c r="BM369" s="68"/>
      <c r="BN369" s="68"/>
      <c r="BO369" s="68"/>
      <c r="BP369" s="68"/>
      <c r="BQ369" s="68" t="str" vm="11974">
        <f>CUBEVALUE(ConnectionString,ReportMonth,Table1[[#This Row],[Site ID (from DATIM)]],"[Measures].[TX_CURR_F_P]")</f>
        <v/>
      </c>
      <c r="BR369" s="68" t="str" vm="7280">
        <f>CUBEVALUE(ConnectionString,ReportMonth,Table1[[#This Row],[Site ID (from DATIM)]],"[Measures].[TX_CURR_M_P]")</f>
        <v/>
      </c>
      <c r="BS369" s="68" t="str" vm="13722">
        <f>CUBEVALUE(ConnectionString,ReportMonth,Table1[[#This Row],[Site ID (from DATIM)]],"[Measures].[TX_CURR_F_A]")</f>
        <v/>
      </c>
      <c r="BT369" s="68" t="str" vm="15655">
        <f>CUBEVALUE(ConnectionString,ReportMonth,Table1[[#This Row],[Site ID (from DATIM)]],"[Measures].[TX_CURR_M_A]")</f>
        <v/>
      </c>
      <c r="BU369" s="68" t="str" vm="18986">
        <f>CUBEVALUE(ConnectionString,ReportMonth,Table1[[#This Row],[Site ID (from DATIM)]],"[Measures].[MMS_01_89_F_P]")</f>
        <v/>
      </c>
      <c r="BV369" s="68" t="str" vm="20155">
        <f>CUBEVALUE(ConnectionString,ReportMonth,Table1[[#This Row],[Site ID (from DATIM)]],"[Measures].[MMS_01_89_M_P]")</f>
        <v/>
      </c>
      <c r="BW369" s="68" t="str" vm="19200">
        <f>CUBEVALUE(ConnectionString,ReportMonth,Table1[[#This Row],[Site ID (from DATIM)]],"[Measures].[MMS_01_89_F_A]")</f>
        <v/>
      </c>
      <c r="BX369" s="68" t="str" vm="19972">
        <f>CUBEVALUE(ConnectionString,ReportMonth,Table1[[#This Row],[Site ID (from DATIM)]],"[Measures].[MMS_01_89_M_A]")</f>
        <v/>
      </c>
      <c r="BY369" s="68" t="str" vm="14747">
        <f>CUBEVALUE(ConnectionString,ReportMonth,Table1[[#This Row],[Site ID (from DATIM)]],"[Measures].[MMS_90_179_F_P]")</f>
        <v/>
      </c>
      <c r="BZ369" s="68" t="str" vm="19562">
        <f>CUBEVALUE(ConnectionString,ReportMonth,Table1[[#This Row],[Site ID (from DATIM)]],"[Measures].[MMS_90_179_M_P]")</f>
        <v/>
      </c>
      <c r="CA369" s="68" t="str" vm="16464">
        <f>CUBEVALUE(ConnectionString,ReportMonth,Table1[[#This Row],[Site ID (from DATIM)]],"[Measures].[MMS_90_179_F_A]")</f>
        <v/>
      </c>
      <c r="CB369" s="68" t="str" vm="17346">
        <f>CUBEVALUE(ConnectionString,ReportMonth,Table1[[#This Row],[Site ID (from DATIM)]],"[Measures].[MMS_90_179_M_A]")</f>
        <v/>
      </c>
      <c r="CC369" s="68" t="str" vm="15514">
        <f>CUBEVALUE(ConnectionString,ReportMonth,Table1[[#This Row],[Site ID (from DATIM)]],"[Measures].[MMS_180+_F_P]")</f>
        <v/>
      </c>
      <c r="CD369" s="68" t="str" vm="15009">
        <f>CUBEVALUE(ConnectionString,ReportMonth,Table1[[#This Row],[Site ID (from DATIM)]],"[Measures].[MMS_180+_M_P]")</f>
        <v/>
      </c>
      <c r="CE369" s="68" t="str" vm="14538">
        <f>CUBEVALUE(ConnectionString,ReportMonth,Table1[[#This Row],[Site ID (from DATIM)]],"[Measures].[MMS_180+_F_A]")</f>
        <v/>
      </c>
      <c r="CF369" s="68" t="str" vm="122">
        <f>CUBEVALUE(ConnectionString,ReportMonth,Table1[[#This Row],[Site ID (from DATIM)]],"[Measures].[MMS_180+_M_A]")</f>
        <v/>
      </c>
      <c r="CG369" s="68" t="str" vm="9810">
        <f>CUBEVALUE(ConnectionString,ReportMonth,Table1[[#This Row],[Site ID (from DATIM)]],"[Measures].[MISSEDAPP]")</f>
        <v/>
      </c>
      <c r="CH369" s="68" t="str" vm="10354">
        <f>CUBEVALUE(ConnectionString,ReportMonth,Table1[[#This Row],[Site ID (from DATIM)]],"[Measures].[MMS_180+_P]")</f>
        <v/>
      </c>
      <c r="CI369" s="68" t="str" vm="11417">
        <f>CUBEVALUE(ConnectionString,ReportMonth,Table1[[#This Row],[Site ID (from DATIM)]],"[Measures].[MMS_180+_A]")</f>
        <v/>
      </c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  <c r="CW369" s="68"/>
      <c r="CX369" s="68"/>
      <c r="CY369" s="68"/>
      <c r="CZ369" s="68"/>
      <c r="DA369" s="68"/>
      <c r="DB369" s="68"/>
      <c r="DC369" s="68"/>
    </row>
    <row r="370" spans="1:107" x14ac:dyDescent="0.25">
      <c r="A370" s="66">
        <v>4</v>
      </c>
      <c r="B370" s="67" t="str" vm="4">
        <f t="shared" si="6"/>
        <v>Mar-2021</v>
      </c>
      <c r="C370" s="67"/>
      <c r="D370" s="67" t="s">
        <v>232</v>
      </c>
      <c r="E370" s="67" t="s">
        <v>233</v>
      </c>
      <c r="F370" s="67" t="s">
        <v>437</v>
      </c>
      <c r="G370" s="67"/>
      <c r="H370" s="67" t="s">
        <v>442</v>
      </c>
      <c r="I370" s="67" t="s">
        <v>498</v>
      </c>
      <c r="J370" s="67" t="s">
        <v>765</v>
      </c>
      <c r="K370" s="67" t="s">
        <v>766</v>
      </c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 t="str" vm="1510">
        <f>CUBEVALUE(ConnectionString,ReportMonth,Table1[[#This Row],[Site ID (from DATIM)]],"TX_NEW_2VIS")</f>
        <v/>
      </c>
      <c r="AE370" s="67" t="str" vm="3229">
        <f>CUBEVALUE(ConnectionString,ReportMonth,Table1[[#This Row],[Site ID (from DATIM)]],INDEX(SDI_Measures,1))</f>
        <v/>
      </c>
      <c r="AF370" s="67" t="str" vm="883">
        <f>CUBEVALUE(ConnectionString,ReportMonth,Table1[[#This Row],[Site ID (from DATIM)]],INDEX(SDI_Measures,2))</f>
        <v/>
      </c>
      <c r="AG370" s="67" t="str" vm="1757">
        <f>CUBEVALUE(ConnectionString,ReportMonth,Table1[[#This Row],[Site ID (from DATIM)]],INDEX(SDI_Measures,3))</f>
        <v/>
      </c>
      <c r="AH370" s="67" t="str" vm="3811">
        <f>CUBEVALUE(ConnectionString,ReportMonth,Table1[[#This Row],[Site ID (from DATIM)]],"TX_CURR_PRIOR_MONTH")</f>
        <v/>
      </c>
      <c r="AI370" s="67" t="str" vm="1598">
        <f>CUBEVALUE(ConnectionString,ReportMonth,Table1[[#This Row],[Site ID (from DATIM)]],"TX_CURR")</f>
        <v/>
      </c>
      <c r="AJ370" s="67" t="str" vm="2769">
        <f>CUBEVALUE(ConnectionString,ReportMonth,Table1[[#This Row],[Site ID (from DATIM)]],"[Measures].[TI]")</f>
        <v/>
      </c>
      <c r="AK370" s="67" t="str" vm="3772">
        <f>CUBEVALUE(ConnectionString,ReportMonth,Table1[[#This Row],[Site ID (from DATIM)]],"[Measures].[TO]")</f>
        <v/>
      </c>
      <c r="AL370" s="67" t="str" vm="3330">
        <f>CUBEVALUE(ConnectionString,ReportMonth,Table1[[#This Row],[Site ID (from DATIM)]],"[Measures].[DIED]")</f>
        <v/>
      </c>
      <c r="AM370" s="67" t="str" vm="3659">
        <f>CUBEVALUE(ConnectionString,ReportMonth,Table1[[#This Row],[Site ID (from DATIM)]],"[Measures].[MMS_01_31]")</f>
        <v/>
      </c>
      <c r="AN370" s="67" t="str" vm="6326">
        <f>CUBEVALUE(ConnectionString,ReportMonth,Table1[[#This Row],[Site ID (from DATIM)]],"[Measures].[MMS_32_62]")</f>
        <v/>
      </c>
      <c r="AO370" s="67" t="str" vm="6923">
        <f>CUBEVALUE(ConnectionString,ReportMonth,Table1[[#This Row],[Site ID (from DATIM)]],"[Measures].[MMS_63+]")</f>
        <v/>
      </c>
      <c r="AP370" s="67" t="str" vm="6965">
        <f>CUBEVALUE(ConnectionString,ReportMonth,Table1[[#This Row],[Site ID (from DATIM)]],"[Measures].[TBPREV_D]")</f>
        <v/>
      </c>
      <c r="AQ370" s="67" t="str" vm="6950">
        <f>CUBEVALUE(ConnectionString,ReportMonth,Table1[[#This Row],[Site ID (from DATIM)]],"[Measures].[TBPREV_N]")</f>
        <v/>
      </c>
      <c r="AR370" s="67" t="str" vm="5129">
        <f>CUBEVALUE(ConnectionString,ReportMonth,Table1[[#This Row],[Site ID (from DATIM)]],"[Measures].[TBPREV_NEW]")</f>
        <v/>
      </c>
      <c r="AS370" s="67" t="str" vm="5323">
        <f>CUBEVALUE(ConnectionString,ReportMonth,Table1[[#This Row],[Site ID (from DATIM)]],"[Measures].[HVL_ELIG_P]")</f>
        <v/>
      </c>
      <c r="AT370" s="67" t="str" vm="5257">
        <f>CUBEVALUE(ConnectionString,ReportMonth,Table1[[#This Row],[Site ID (from DATIM)]],"[Measures].[HVL_D_P]")</f>
        <v/>
      </c>
      <c r="AU370" s="67" t="str" vm="9686">
        <f>CUBEVALUE(ConnectionString,ReportMonth,Table1[[#This Row],[Site ID (from DATIM)]],"[Measures].[HVL_N_P]")</f>
        <v/>
      </c>
      <c r="AV370" s="68" t="str" vm="9217">
        <f>CUBEVALUE(ConnectionString,ReportMonth,Table1[[#This Row],[Site ID (from DATIM)]],"[Measures].[HVL_ELIG_A]")</f>
        <v/>
      </c>
      <c r="AW370" s="68" t="str" vm="6391">
        <f>CUBEVALUE(ConnectionString,ReportMonth,Table1[[#This Row],[Site ID (from DATIM)]],"[Measures].[HVL_D_A]")</f>
        <v/>
      </c>
      <c r="AX370" s="68" t="str" vm="12742">
        <f>CUBEVALUE(ConnectionString,ReportMonth,Table1[[#This Row],[Site ID (from DATIM)]],"[Measures].[HVL_N_A]")</f>
        <v/>
      </c>
      <c r="AY370" s="67"/>
      <c r="AZ370" s="67"/>
      <c r="BA370" s="67"/>
      <c r="BB370" s="67"/>
      <c r="BC370" s="67"/>
      <c r="BD370" s="67"/>
      <c r="BE370" s="67"/>
      <c r="BF370" s="67"/>
      <c r="BG370" s="67" t="str" vm="12897">
        <f>CUBEVALUE(ConnectionString,ReportMonth,Table1[[#This Row],[Site ID (from DATIM)]],"[Measures].[TX_NEW_F_A]")</f>
        <v/>
      </c>
      <c r="BH370" s="67" t="str" vm="14189">
        <f>CUBEVALUE(ConnectionString,ReportMonth,Table1[[#This Row],[Site ID (from DATIM)]],"[Measures].[TX_NEW_M_A]")</f>
        <v/>
      </c>
      <c r="BI370" s="67" t="str" vm="14808">
        <f>CUBEVALUE(ConnectionString,ReportMonth,Table1[[#This Row],[Site ID (from DATIM)]],"[Measures].[TX_NEW_F_P]")</f>
        <v/>
      </c>
      <c r="BJ370" s="68" t="str" vm="17428">
        <f>CUBEVALUE(ConnectionString,ReportMonth,Table1[[#This Row],[Site ID (from DATIM)]],"[Measures].[TX_NEW_M_P]")</f>
        <v/>
      </c>
      <c r="BK370" s="68"/>
      <c r="BL370" s="68"/>
      <c r="BM370" s="68"/>
      <c r="BN370" s="68"/>
      <c r="BO370" s="68"/>
      <c r="BP370" s="68"/>
      <c r="BQ370" s="68" t="str" vm="12872">
        <f>CUBEVALUE(ConnectionString,ReportMonth,Table1[[#This Row],[Site ID (from DATIM)]],"[Measures].[TX_CURR_F_P]")</f>
        <v/>
      </c>
      <c r="BR370" s="68" t="str" vm="7478">
        <f>CUBEVALUE(ConnectionString,ReportMonth,Table1[[#This Row],[Site ID (from DATIM)]],"[Measures].[TX_CURR_M_P]")</f>
        <v/>
      </c>
      <c r="BS370" s="68" t="str" vm="13544">
        <f>CUBEVALUE(ConnectionString,ReportMonth,Table1[[#This Row],[Site ID (from DATIM)]],"[Measures].[TX_CURR_F_A]")</f>
        <v/>
      </c>
      <c r="BT370" s="68" t="str" vm="10108">
        <f>CUBEVALUE(ConnectionString,ReportMonth,Table1[[#This Row],[Site ID (from DATIM)]],"[Measures].[TX_CURR_M_A]")</f>
        <v/>
      </c>
      <c r="BU370" s="68" t="str" vm="19834">
        <f>CUBEVALUE(ConnectionString,ReportMonth,Table1[[#This Row],[Site ID (from DATIM)]],"[Measures].[MMS_01_89_F_P]")</f>
        <v/>
      </c>
      <c r="BV370" s="68" t="str" vm="20077">
        <f>CUBEVALUE(ConnectionString,ReportMonth,Table1[[#This Row],[Site ID (from DATIM)]],"[Measures].[MMS_01_89_M_P]")</f>
        <v/>
      </c>
      <c r="BW370" s="68" t="str" vm="19606">
        <f>CUBEVALUE(ConnectionString,ReportMonth,Table1[[#This Row],[Site ID (from DATIM)]],"[Measures].[MMS_01_89_F_A]")</f>
        <v/>
      </c>
      <c r="BX370" s="68" t="str" vm="18213">
        <f>CUBEVALUE(ConnectionString,ReportMonth,Table1[[#This Row],[Site ID (from DATIM)]],"[Measures].[MMS_01_89_M_A]")</f>
        <v/>
      </c>
      <c r="BY370" s="68" t="str" vm="16429">
        <f>CUBEVALUE(ConnectionString,ReportMonth,Table1[[#This Row],[Site ID (from DATIM)]],"[Measures].[MMS_90_179_F_P]")</f>
        <v/>
      </c>
      <c r="BZ370" s="68" t="str" vm="18464">
        <f>CUBEVALUE(ConnectionString,ReportMonth,Table1[[#This Row],[Site ID (from DATIM)]],"[Measures].[MMS_90_179_M_P]")</f>
        <v/>
      </c>
      <c r="CA370" s="68" t="str" vm="15951">
        <f>CUBEVALUE(ConnectionString,ReportMonth,Table1[[#This Row],[Site ID (from DATIM)]],"[Measures].[MMS_90_179_F_A]")</f>
        <v/>
      </c>
      <c r="CB370" s="68" t="str" vm="17547">
        <f>CUBEVALUE(ConnectionString,ReportMonth,Table1[[#This Row],[Site ID (from DATIM)]],"[Measures].[MMS_90_179_M_A]")</f>
        <v/>
      </c>
      <c r="CC370" s="68" t="str" vm="17120">
        <f>CUBEVALUE(ConnectionString,ReportMonth,Table1[[#This Row],[Site ID (from DATIM)]],"[Measures].[MMS_180+_F_P]")</f>
        <v/>
      </c>
      <c r="CD370" s="68" t="str" vm="16744">
        <f>CUBEVALUE(ConnectionString,ReportMonth,Table1[[#This Row],[Site ID (from DATIM)]],"[Measures].[MMS_180+_M_P]")</f>
        <v/>
      </c>
      <c r="CE370" s="68" t="str" vm="15450">
        <f>CUBEVALUE(ConnectionString,ReportMonth,Table1[[#This Row],[Site ID (from DATIM)]],"[Measures].[MMS_180+_F_A]")</f>
        <v/>
      </c>
      <c r="CF370" s="68" t="str" vm="14464">
        <f>CUBEVALUE(ConnectionString,ReportMonth,Table1[[#This Row],[Site ID (from DATIM)]],"[Measures].[MMS_180+_M_A]")</f>
        <v/>
      </c>
      <c r="CG370" s="68" t="str" vm="6444">
        <f>CUBEVALUE(ConnectionString,ReportMonth,Table1[[#This Row],[Site ID (from DATIM)]],"[Measures].[MISSEDAPP]")</f>
        <v/>
      </c>
      <c r="CH370" s="68" t="str" vm="11764">
        <f>CUBEVALUE(ConnectionString,ReportMonth,Table1[[#This Row],[Site ID (from DATIM)]],"[Measures].[MMS_180+_P]")</f>
        <v/>
      </c>
      <c r="CI370" s="68" t="str" vm="14008">
        <f>CUBEVALUE(ConnectionString,ReportMonth,Table1[[#This Row],[Site ID (from DATIM)]],"[Measures].[MMS_180+_A]")</f>
        <v/>
      </c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  <c r="CW370" s="68"/>
      <c r="CX370" s="68"/>
      <c r="CY370" s="68"/>
      <c r="CZ370" s="68"/>
      <c r="DA370" s="68"/>
      <c r="DB370" s="68"/>
      <c r="DC370" s="68"/>
    </row>
    <row r="371" spans="1:107" x14ac:dyDescent="0.25">
      <c r="A371" s="66">
        <v>3</v>
      </c>
      <c r="B371" s="67" t="str" vm="4">
        <f t="shared" si="6"/>
        <v>Mar-2021</v>
      </c>
      <c r="C371" s="67"/>
      <c r="D371" s="67" t="s">
        <v>232</v>
      </c>
      <c r="E371" s="67" t="s">
        <v>233</v>
      </c>
      <c r="F371" s="67" t="s">
        <v>1286</v>
      </c>
      <c r="G371" s="67"/>
      <c r="H371" s="67" t="s">
        <v>1287</v>
      </c>
      <c r="I371" s="67" t="s">
        <v>1498</v>
      </c>
      <c r="J371" s="67" t="s">
        <v>1499</v>
      </c>
      <c r="K371" s="67" t="s">
        <v>1500</v>
      </c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 t="str" vm="3545">
        <f>CUBEVALUE(ConnectionString,ReportMonth,Table1[[#This Row],[Site ID (from DATIM)]],"TX_NEW_2VIS")</f>
        <v/>
      </c>
      <c r="AE371" s="67" t="str" vm="1154">
        <f>CUBEVALUE(ConnectionString,ReportMonth,Table1[[#This Row],[Site ID (from DATIM)]],INDEX(SDI_Measures,1))</f>
        <v/>
      </c>
      <c r="AF371" s="67" t="str" vm="2915">
        <f>CUBEVALUE(ConnectionString,ReportMonth,Table1[[#This Row],[Site ID (from DATIM)]],INDEX(SDI_Measures,2))</f>
        <v/>
      </c>
      <c r="AG371" s="67" t="str" vm="2187">
        <f>CUBEVALUE(ConnectionString,ReportMonth,Table1[[#This Row],[Site ID (from DATIM)]],INDEX(SDI_Measures,3))</f>
        <v/>
      </c>
      <c r="AH371" s="67" t="str" vm="3843">
        <f>CUBEVALUE(ConnectionString,ReportMonth,Table1[[#This Row],[Site ID (from DATIM)]],"TX_CURR_PRIOR_MONTH")</f>
        <v/>
      </c>
      <c r="AI371" s="67" t="str" vm="1208">
        <f>CUBEVALUE(ConnectionString,ReportMonth,Table1[[#This Row],[Site ID (from DATIM)]],"TX_CURR")</f>
        <v/>
      </c>
      <c r="AJ371" s="67" t="str" vm="3774">
        <f>CUBEVALUE(ConnectionString,ReportMonth,Table1[[#This Row],[Site ID (from DATIM)]],"[Measures].[TI]")</f>
        <v/>
      </c>
      <c r="AK371" s="67" t="str" vm="3355">
        <f>CUBEVALUE(ConnectionString,ReportMonth,Table1[[#This Row],[Site ID (from DATIM)]],"[Measures].[TO]")</f>
        <v/>
      </c>
      <c r="AL371" s="67" t="str" vm="4232">
        <f>CUBEVALUE(ConnectionString,ReportMonth,Table1[[#This Row],[Site ID (from DATIM)]],"[Measures].[DIED]")</f>
        <v/>
      </c>
      <c r="AM371" s="67" t="str" vm="3978">
        <f>CUBEVALUE(ConnectionString,ReportMonth,Table1[[#This Row],[Site ID (from DATIM)]],"[Measures].[MMS_01_31]")</f>
        <v/>
      </c>
      <c r="AN371" s="67" t="str" vm="6857">
        <f>CUBEVALUE(ConnectionString,ReportMonth,Table1[[#This Row],[Site ID (from DATIM)]],"[Measures].[MMS_32_62]")</f>
        <v/>
      </c>
      <c r="AO371" s="67" t="str" vm="10333">
        <f>CUBEVALUE(ConnectionString,ReportMonth,Table1[[#This Row],[Site ID (from DATIM)]],"[Measures].[MMS_63+]")</f>
        <v/>
      </c>
      <c r="AP371" s="67" t="str" vm="5152">
        <f>CUBEVALUE(ConnectionString,ReportMonth,Table1[[#This Row],[Site ID (from DATIM)]],"[Measures].[TBPREV_D]")</f>
        <v/>
      </c>
      <c r="AQ371" s="67" t="str" vm="5993">
        <f>CUBEVALUE(ConnectionString,ReportMonth,Table1[[#This Row],[Site ID (from DATIM)]],"[Measures].[TBPREV_N]")</f>
        <v/>
      </c>
      <c r="AR371" s="67" t="str" vm="7901">
        <f>CUBEVALUE(ConnectionString,ReportMonth,Table1[[#This Row],[Site ID (from DATIM)]],"[Measures].[TBPREV_NEW]")</f>
        <v/>
      </c>
      <c r="AS371" s="67" t="str" vm="5946">
        <f>CUBEVALUE(ConnectionString,ReportMonth,Table1[[#This Row],[Site ID (from DATIM)]],"[Measures].[HVL_ELIG_P]")</f>
        <v/>
      </c>
      <c r="AT371" s="67" t="str" vm="6987">
        <f>CUBEVALUE(ConnectionString,ReportMonth,Table1[[#This Row],[Site ID (from DATIM)]],"[Measures].[HVL_D_P]")</f>
        <v/>
      </c>
      <c r="AU371" s="67" t="str" vm="8315">
        <f>CUBEVALUE(ConnectionString,ReportMonth,Table1[[#This Row],[Site ID (from DATIM)]],"[Measures].[HVL_N_P]")</f>
        <v/>
      </c>
      <c r="AV371" s="68" t="str" vm="7743">
        <f>CUBEVALUE(ConnectionString,ReportMonth,Table1[[#This Row],[Site ID (from DATIM)]],"[Measures].[HVL_ELIG_A]")</f>
        <v/>
      </c>
      <c r="AW371" s="68" t="str" vm="9536">
        <f>CUBEVALUE(ConnectionString,ReportMonth,Table1[[#This Row],[Site ID (from DATIM)]],"[Measures].[HVL_D_A]")</f>
        <v/>
      </c>
      <c r="AX371" s="68" t="str" vm="10387">
        <f>CUBEVALUE(ConnectionString,ReportMonth,Table1[[#This Row],[Site ID (from DATIM)]],"[Measures].[HVL_N_A]")</f>
        <v/>
      </c>
      <c r="AY371" s="67"/>
      <c r="AZ371" s="67"/>
      <c r="BA371" s="67"/>
      <c r="BB371" s="67"/>
      <c r="BC371" s="67"/>
      <c r="BD371" s="67"/>
      <c r="BE371" s="67"/>
      <c r="BF371" s="67"/>
      <c r="BG371" s="67" t="str" vm="13294">
        <f>CUBEVALUE(ConnectionString,ReportMonth,Table1[[#This Row],[Site ID (from DATIM)]],"[Measures].[TX_NEW_F_A]")</f>
        <v/>
      </c>
      <c r="BH371" s="67" t="str" vm="10868">
        <f>CUBEVALUE(ConnectionString,ReportMonth,Table1[[#This Row],[Site ID (from DATIM)]],"[Measures].[TX_NEW_M_A]")</f>
        <v/>
      </c>
      <c r="BI371" s="67" t="str" vm="12618">
        <f>CUBEVALUE(ConnectionString,ReportMonth,Table1[[#This Row],[Site ID (from DATIM)]],"[Measures].[TX_NEW_F_P]")</f>
        <v/>
      </c>
      <c r="BJ371" s="68" t="str" vm="16158">
        <f>CUBEVALUE(ConnectionString,ReportMonth,Table1[[#This Row],[Site ID (from DATIM)]],"[Measures].[TX_NEW_M_P]")</f>
        <v/>
      </c>
      <c r="BK371" s="68"/>
      <c r="BL371" s="68"/>
      <c r="BM371" s="68"/>
      <c r="BN371" s="68"/>
      <c r="BO371" s="68"/>
      <c r="BP371" s="68"/>
      <c r="BQ371" s="68" t="str" vm="7016">
        <f>CUBEVALUE(ConnectionString,ReportMonth,Table1[[#This Row],[Site ID (from DATIM)]],"[Measures].[TX_CURR_F_P]")</f>
        <v/>
      </c>
      <c r="BR371" s="68" t="str" vm="6797">
        <f>CUBEVALUE(ConnectionString,ReportMonth,Table1[[#This Row],[Site ID (from DATIM)]],"[Measures].[TX_CURR_M_P]")</f>
        <v/>
      </c>
      <c r="BS371" s="68" t="str" vm="8652">
        <f>CUBEVALUE(ConnectionString,ReportMonth,Table1[[#This Row],[Site ID (from DATIM)]],"[Measures].[TX_CURR_F_A]")</f>
        <v/>
      </c>
      <c r="BT371" s="68" t="str" vm="11875">
        <f>CUBEVALUE(ConnectionString,ReportMonth,Table1[[#This Row],[Site ID (from DATIM)]],"[Measures].[TX_CURR_M_A]")</f>
        <v/>
      </c>
      <c r="BU371" s="68" t="str" vm="20085">
        <f>CUBEVALUE(ConnectionString,ReportMonth,Table1[[#This Row],[Site ID (from DATIM)]],"[Measures].[MMS_01_89_F_P]")</f>
        <v/>
      </c>
      <c r="BV371" s="68" t="str" vm="18118">
        <f>CUBEVALUE(ConnectionString,ReportMonth,Table1[[#This Row],[Site ID (from DATIM)]],"[Measures].[MMS_01_89_M_P]")</f>
        <v/>
      </c>
      <c r="BW371" s="68" t="str" vm="19392">
        <f>CUBEVALUE(ConnectionString,ReportMonth,Table1[[#This Row],[Site ID (from DATIM)]],"[Measures].[MMS_01_89_F_A]")</f>
        <v/>
      </c>
      <c r="BX371" s="68" t="str" vm="18188">
        <f>CUBEVALUE(ConnectionString,ReportMonth,Table1[[#This Row],[Site ID (from DATIM)]],"[Measures].[MMS_01_89_M_A]")</f>
        <v/>
      </c>
      <c r="BY371" s="68" t="str" vm="19923">
        <f>CUBEVALUE(ConnectionString,ReportMonth,Table1[[#This Row],[Site ID (from DATIM)]],"[Measures].[MMS_90_179_F_P]")</f>
        <v/>
      </c>
      <c r="BZ371" s="68" t="str" vm="19067">
        <f>CUBEVALUE(ConnectionString,ReportMonth,Table1[[#This Row],[Site ID (from DATIM)]],"[Measures].[MMS_90_179_M_P]")</f>
        <v/>
      </c>
      <c r="CA371" s="68" t="str" vm="15096">
        <f>CUBEVALUE(ConnectionString,ReportMonth,Table1[[#This Row],[Site ID (from DATIM)]],"[Measures].[MMS_90_179_F_A]")</f>
        <v/>
      </c>
      <c r="CB371" s="68" t="str" vm="15540">
        <f>CUBEVALUE(ConnectionString,ReportMonth,Table1[[#This Row],[Site ID (from DATIM)]],"[Measures].[MMS_90_179_M_A]")</f>
        <v/>
      </c>
      <c r="CC371" s="68" t="str" vm="17629">
        <f>CUBEVALUE(ConnectionString,ReportMonth,Table1[[#This Row],[Site ID (from DATIM)]],"[Measures].[MMS_180+_F_P]")</f>
        <v/>
      </c>
      <c r="CD371" s="68" t="str" vm="17201">
        <f>CUBEVALUE(ConnectionString,ReportMonth,Table1[[#This Row],[Site ID (from DATIM)]],"[Measures].[MMS_180+_M_P]")</f>
        <v/>
      </c>
      <c r="CE371" s="68" t="str" vm="16650">
        <f>CUBEVALUE(ConnectionString,ReportMonth,Table1[[#This Row],[Site ID (from DATIM)]],"[Measures].[MMS_180+_F_A]")</f>
        <v/>
      </c>
      <c r="CF371" s="68" t="str" vm="20163">
        <f>CUBEVALUE(ConnectionString,ReportMonth,Table1[[#This Row],[Site ID (from DATIM)]],"[Measures].[MMS_180+_M_A]")</f>
        <v/>
      </c>
      <c r="CG371" s="68" t="str" vm="5704">
        <f>CUBEVALUE(ConnectionString,ReportMonth,Table1[[#This Row],[Site ID (from DATIM)]],"[Measures].[MISSEDAPP]")</f>
        <v/>
      </c>
      <c r="CH371" s="68" t="str" vm="11500">
        <f>CUBEVALUE(ConnectionString,ReportMonth,Table1[[#This Row],[Site ID (from DATIM)]],"[Measures].[MMS_180+_P]")</f>
        <v/>
      </c>
      <c r="CI371" s="68" t="str" vm="11264">
        <f>CUBEVALUE(ConnectionString,ReportMonth,Table1[[#This Row],[Site ID (from DATIM)]],"[Measures].[MMS_180+_A]")</f>
        <v/>
      </c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  <c r="CW371" s="68"/>
      <c r="CX371" s="68"/>
      <c r="CY371" s="68"/>
      <c r="CZ371" s="68"/>
      <c r="DA371" s="68"/>
      <c r="DB371" s="68"/>
      <c r="DC371" s="68"/>
    </row>
    <row r="372" spans="1:107" x14ac:dyDescent="0.25">
      <c r="A372" s="66">
        <v>4</v>
      </c>
      <c r="B372" s="67" t="str" vm="4">
        <f t="shared" si="6"/>
        <v>Mar-2021</v>
      </c>
      <c r="C372" s="67"/>
      <c r="D372" s="67" t="s">
        <v>232</v>
      </c>
      <c r="E372" s="67" t="s">
        <v>233</v>
      </c>
      <c r="F372" s="67" t="s">
        <v>1083</v>
      </c>
      <c r="G372" s="67"/>
      <c r="H372" s="67" t="s">
        <v>1113</v>
      </c>
      <c r="I372" s="67" t="s">
        <v>1252</v>
      </c>
      <c r="J372" s="67" t="s">
        <v>1256</v>
      </c>
      <c r="K372" s="67" t="s">
        <v>1257</v>
      </c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 t="str" vm="330">
        <f>CUBEVALUE(ConnectionString,ReportMonth,Table1[[#This Row],[Site ID (from DATIM)]],"TX_NEW_2VIS")</f>
        <v/>
      </c>
      <c r="AE372" s="67" t="str" vm="2491">
        <f>CUBEVALUE(ConnectionString,ReportMonth,Table1[[#This Row],[Site ID (from DATIM)]],INDEX(SDI_Measures,1))</f>
        <v/>
      </c>
      <c r="AF372" s="67" t="str" vm="275">
        <f>CUBEVALUE(ConnectionString,ReportMonth,Table1[[#This Row],[Site ID (from DATIM)]],INDEX(SDI_Measures,2))</f>
        <v/>
      </c>
      <c r="AG372" s="67" t="str" vm="2026">
        <f>CUBEVALUE(ConnectionString,ReportMonth,Table1[[#This Row],[Site ID (from DATIM)]],INDEX(SDI_Measures,3))</f>
        <v/>
      </c>
      <c r="AH372" s="67" vm="2652">
        <f>CUBEVALUE(ConnectionString,ReportMonth,Table1[[#This Row],[Site ID (from DATIM)]],"TX_CURR_PRIOR_MONTH")</f>
        <v>100</v>
      </c>
      <c r="AI372" s="67" vm="4416">
        <f>CUBEVALUE(ConnectionString,ReportMonth,Table1[[#This Row],[Site ID (from DATIM)]],"TX_CURR")</f>
        <v>38</v>
      </c>
      <c r="AJ372" s="67" t="str" vm="3283">
        <f>CUBEVALUE(ConnectionString,ReportMonth,Table1[[#This Row],[Site ID (from DATIM)]],"[Measures].[TI]")</f>
        <v/>
      </c>
      <c r="AK372" s="67" t="str" vm="4532">
        <f>CUBEVALUE(ConnectionString,ReportMonth,Table1[[#This Row],[Site ID (from DATIM)]],"[Measures].[TO]")</f>
        <v/>
      </c>
      <c r="AL372" s="67" t="str" vm="932">
        <f>CUBEVALUE(ConnectionString,ReportMonth,Table1[[#This Row],[Site ID (from DATIM)]],"[Measures].[DIED]")</f>
        <v/>
      </c>
      <c r="AM372" s="67" vm="4401">
        <f>CUBEVALUE(ConnectionString,ReportMonth,Table1[[#This Row],[Site ID (from DATIM)]],"[Measures].[MMS_01_31]")</f>
        <v>1</v>
      </c>
      <c r="AN372" s="67" vm="7200">
        <f>CUBEVALUE(ConnectionString,ReportMonth,Table1[[#This Row],[Site ID (from DATIM)]],"[Measures].[MMS_32_62]")</f>
        <v>1</v>
      </c>
      <c r="AO372" s="67" vm="6439">
        <f>CUBEVALUE(ConnectionString,ReportMonth,Table1[[#This Row],[Site ID (from DATIM)]],"[Measures].[MMS_63+]")</f>
        <v>36</v>
      </c>
      <c r="AP372" s="67" t="str" vm="7558">
        <f>CUBEVALUE(ConnectionString,ReportMonth,Table1[[#This Row],[Site ID (from DATIM)]],"[Measures].[TBPREV_D]")</f>
        <v/>
      </c>
      <c r="AQ372" s="67" t="str" vm="9522">
        <f>CUBEVALUE(ConnectionString,ReportMonth,Table1[[#This Row],[Site ID (from DATIM)]],"[Measures].[TBPREV_N]")</f>
        <v/>
      </c>
      <c r="AR372" s="67" t="str" vm="7123">
        <f>CUBEVALUE(ConnectionString,ReportMonth,Table1[[#This Row],[Site ID (from DATIM)]],"[Measures].[TBPREV_NEW]")</f>
        <v/>
      </c>
      <c r="AS372" s="67" t="str" vm="7785">
        <f>CUBEVALUE(ConnectionString,ReportMonth,Table1[[#This Row],[Site ID (from DATIM)]],"[Measures].[HVL_ELIG_P]")</f>
        <v/>
      </c>
      <c r="AT372" s="67" vm="8479">
        <f>CUBEVALUE(ConnectionString,ReportMonth,Table1[[#This Row],[Site ID (from DATIM)]],"[Measures].[HVL_D_P]")</f>
        <v>4</v>
      </c>
      <c r="AU372" s="67" vm="8802">
        <f>CUBEVALUE(ConnectionString,ReportMonth,Table1[[#This Row],[Site ID (from DATIM)]],"[Measures].[HVL_N_P]")</f>
        <v>4</v>
      </c>
      <c r="AV372" s="68" vm="8918">
        <f>CUBEVALUE(ConnectionString,ReportMonth,Table1[[#This Row],[Site ID (from DATIM)]],"[Measures].[HVL_ELIG_A]")</f>
        <v>37</v>
      </c>
      <c r="AW372" s="68" vm="9949">
        <f>CUBEVALUE(ConnectionString,ReportMonth,Table1[[#This Row],[Site ID (from DATIM)]],"[Measures].[HVL_D_A]")</f>
        <v>80</v>
      </c>
      <c r="AX372" s="68" vm="8446">
        <f>CUBEVALUE(ConnectionString,ReportMonth,Table1[[#This Row],[Site ID (from DATIM)]],"[Measures].[HVL_N_A]")</f>
        <v>73</v>
      </c>
      <c r="AY372" s="67"/>
      <c r="AZ372" s="67"/>
      <c r="BA372" s="67"/>
      <c r="BB372" s="67"/>
      <c r="BC372" s="67"/>
      <c r="BD372" s="67"/>
      <c r="BE372" s="67"/>
      <c r="BF372" s="67"/>
      <c r="BG372" s="67" t="str" vm="12697">
        <f>CUBEVALUE(ConnectionString,ReportMonth,Table1[[#This Row],[Site ID (from DATIM)]],"[Measures].[TX_NEW_F_A]")</f>
        <v/>
      </c>
      <c r="BH372" s="67" t="str" vm="10428">
        <f>CUBEVALUE(ConnectionString,ReportMonth,Table1[[#This Row],[Site ID (from DATIM)]],"[Measures].[TX_NEW_M_A]")</f>
        <v/>
      </c>
      <c r="BI372" s="67" t="str" vm="12508">
        <f>CUBEVALUE(ConnectionString,ReportMonth,Table1[[#This Row],[Site ID (from DATIM)]],"[Measures].[TX_NEW_F_P]")</f>
        <v/>
      </c>
      <c r="BJ372" s="68" t="str" vm="14311">
        <f>CUBEVALUE(ConnectionString,ReportMonth,Table1[[#This Row],[Site ID (from DATIM)]],"[Measures].[TX_NEW_M_P]")</f>
        <v/>
      </c>
      <c r="BK372" s="68"/>
      <c r="BL372" s="68"/>
      <c r="BM372" s="68"/>
      <c r="BN372" s="68"/>
      <c r="BO372" s="68"/>
      <c r="BP372" s="68"/>
      <c r="BQ372" s="68" t="str" vm="13724">
        <f>CUBEVALUE(ConnectionString,ReportMonth,Table1[[#This Row],[Site ID (from DATIM)]],"[Measures].[TX_CURR_F_P]")</f>
        <v/>
      </c>
      <c r="BR372" s="68" t="str" vm="9511">
        <f>CUBEVALUE(ConnectionString,ReportMonth,Table1[[#This Row],[Site ID (from DATIM)]],"[Measures].[TX_CURR_M_P]")</f>
        <v/>
      </c>
      <c r="BS372" s="68" vm="8211">
        <f>CUBEVALUE(ConnectionString,ReportMonth,Table1[[#This Row],[Site ID (from DATIM)]],"[Measures].[TX_CURR_F_A]")</f>
        <v>26</v>
      </c>
      <c r="BT372" s="68" vm="10696">
        <f>CUBEVALUE(ConnectionString,ReportMonth,Table1[[#This Row],[Site ID (from DATIM)]],"[Measures].[TX_CURR_M_A]")</f>
        <v>12</v>
      </c>
      <c r="BU372" s="68" t="str" vm="18582">
        <f>CUBEVALUE(ConnectionString,ReportMonth,Table1[[#This Row],[Site ID (from DATIM)]],"[Measures].[MMS_01_89_F_P]")</f>
        <v/>
      </c>
      <c r="BV372" s="68" t="str" vm="17942">
        <f>CUBEVALUE(ConnectionString,ReportMonth,Table1[[#This Row],[Site ID (from DATIM)]],"[Measures].[MMS_01_89_M_P]")</f>
        <v/>
      </c>
      <c r="BW372" s="68" vm="19892">
        <f>CUBEVALUE(ConnectionString,ReportMonth,Table1[[#This Row],[Site ID (from DATIM)]],"[Measures].[MMS_01_89_F_A]")</f>
        <v>1</v>
      </c>
      <c r="BX372" s="68" vm="18313">
        <f>CUBEVALUE(ConnectionString,ReportMonth,Table1[[#This Row],[Site ID (from DATIM)]],"[Measures].[MMS_01_89_M_A]")</f>
        <v>2</v>
      </c>
      <c r="BY372" s="68" t="str" vm="17825">
        <f>CUBEVALUE(ConnectionString,ReportMonth,Table1[[#This Row],[Site ID (from DATIM)]],"[Measures].[MMS_90_179_F_P]")</f>
        <v/>
      </c>
      <c r="BZ372" s="68" t="str" vm="16989">
        <f>CUBEVALUE(ConnectionString,ReportMonth,Table1[[#This Row],[Site ID (from DATIM)]],"[Measures].[MMS_90_179_M_P]")</f>
        <v/>
      </c>
      <c r="CA372" s="68" vm="16424">
        <f>CUBEVALUE(ConnectionString,ReportMonth,Table1[[#This Row],[Site ID (from DATIM)]],"[Measures].[MMS_90_179_F_A]")</f>
        <v>25</v>
      </c>
      <c r="CB372" s="68" vm="17609">
        <f>CUBEVALUE(ConnectionString,ReportMonth,Table1[[#This Row],[Site ID (from DATIM)]],"[Measures].[MMS_90_179_M_A]")</f>
        <v>10</v>
      </c>
      <c r="CC372" s="68" t="str" vm="15909">
        <f>CUBEVALUE(ConnectionString,ReportMonth,Table1[[#This Row],[Site ID (from DATIM)]],"[Measures].[MMS_180+_F_P]")</f>
        <v/>
      </c>
      <c r="CD372" s="68" t="str" vm="167">
        <f>CUBEVALUE(ConnectionString,ReportMonth,Table1[[#This Row],[Site ID (from DATIM)]],"[Measures].[MMS_180+_M_P]")</f>
        <v/>
      </c>
      <c r="CE372" s="68" t="str" vm="20207">
        <f>CUBEVALUE(ConnectionString,ReportMonth,Table1[[#This Row],[Site ID (from DATIM)]],"[Measures].[MMS_180+_F_A]")</f>
        <v/>
      </c>
      <c r="CF372" s="68" t="str" vm="17122">
        <f>CUBEVALUE(ConnectionString,ReportMonth,Table1[[#This Row],[Site ID (from DATIM)]],"[Measures].[MMS_180+_M_A]")</f>
        <v/>
      </c>
      <c r="CG372" s="68" vm="5994">
        <f>CUBEVALUE(ConnectionString,ReportMonth,Table1[[#This Row],[Site ID (from DATIM)]],"[Measures].[MISSEDAPP]")</f>
        <v>27</v>
      </c>
      <c r="CH372" s="68" t="str" vm="10174">
        <f>CUBEVALUE(ConnectionString,ReportMonth,Table1[[#This Row],[Site ID (from DATIM)]],"[Measures].[MMS_180+_P]")</f>
        <v/>
      </c>
      <c r="CI372" s="68" t="str" vm="10160">
        <f>CUBEVALUE(ConnectionString,ReportMonth,Table1[[#This Row],[Site ID (from DATIM)]],"[Measures].[MMS_180+_A]")</f>
        <v/>
      </c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  <c r="CW372" s="68"/>
      <c r="CX372" s="68"/>
      <c r="CY372" s="68"/>
      <c r="CZ372" s="68"/>
      <c r="DA372" s="68"/>
      <c r="DB372" s="68"/>
      <c r="DC372" s="68"/>
    </row>
    <row r="373" spans="1:107" x14ac:dyDescent="0.25">
      <c r="A373" s="66">
        <v>4</v>
      </c>
      <c r="B373" s="67" t="str" vm="4">
        <f t="shared" si="6"/>
        <v>Mar-2021</v>
      </c>
      <c r="C373" s="67"/>
      <c r="D373" s="67" t="s">
        <v>232</v>
      </c>
      <c r="E373" s="67" t="s">
        <v>233</v>
      </c>
      <c r="F373" s="67" t="s">
        <v>437</v>
      </c>
      <c r="G373" s="67"/>
      <c r="H373" s="67" t="s">
        <v>438</v>
      </c>
      <c r="I373" s="67" t="s">
        <v>767</v>
      </c>
      <c r="J373" s="67" t="s">
        <v>768</v>
      </c>
      <c r="K373" s="67" t="s">
        <v>769</v>
      </c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 t="str" vm="4349">
        <f>CUBEVALUE(ConnectionString,ReportMonth,Table1[[#This Row],[Site ID (from DATIM)]],"TX_NEW_2VIS")</f>
        <v/>
      </c>
      <c r="AE373" s="67" t="str" vm="1100">
        <f>CUBEVALUE(ConnectionString,ReportMonth,Table1[[#This Row],[Site ID (from DATIM)]],INDEX(SDI_Measures,1))</f>
        <v/>
      </c>
      <c r="AF373" s="67" t="str" vm="371">
        <f>CUBEVALUE(ConnectionString,ReportMonth,Table1[[#This Row],[Site ID (from DATIM)]],INDEX(SDI_Measures,2))</f>
        <v/>
      </c>
      <c r="AG373" s="67" t="str" vm="6626">
        <f>CUBEVALUE(ConnectionString,ReportMonth,Table1[[#This Row],[Site ID (from DATIM)]],INDEX(SDI_Measures,3))</f>
        <v/>
      </c>
      <c r="AH373" s="67" t="str" vm="2595">
        <f>CUBEVALUE(ConnectionString,ReportMonth,Table1[[#This Row],[Site ID (from DATIM)]],"TX_CURR_PRIOR_MONTH")</f>
        <v/>
      </c>
      <c r="AI373" s="67" t="str" vm="954">
        <f>CUBEVALUE(ConnectionString,ReportMonth,Table1[[#This Row],[Site ID (from DATIM)]],"TX_CURR")</f>
        <v/>
      </c>
      <c r="AJ373" s="67" t="str" vm="2721">
        <f>CUBEVALUE(ConnectionString,ReportMonth,Table1[[#This Row],[Site ID (from DATIM)]],"[Measures].[TI]")</f>
        <v/>
      </c>
      <c r="AK373" s="67" t="str" vm="2424">
        <f>CUBEVALUE(ConnectionString,ReportMonth,Table1[[#This Row],[Site ID (from DATIM)]],"[Measures].[TO]")</f>
        <v/>
      </c>
      <c r="AL373" s="67" t="str" vm="1489">
        <f>CUBEVALUE(ConnectionString,ReportMonth,Table1[[#This Row],[Site ID (from DATIM)]],"[Measures].[DIED]")</f>
        <v/>
      </c>
      <c r="AM373" s="67" t="str" vm="4013">
        <f>CUBEVALUE(ConnectionString,ReportMonth,Table1[[#This Row],[Site ID (from DATIM)]],"[Measures].[MMS_01_31]")</f>
        <v/>
      </c>
      <c r="AN373" s="67" t="str" vm="3812">
        <f>CUBEVALUE(ConnectionString,ReportMonth,Table1[[#This Row],[Site ID (from DATIM)]],"[Measures].[MMS_32_62]")</f>
        <v/>
      </c>
      <c r="AO373" s="67" t="str" vm="11284">
        <f>CUBEVALUE(ConnectionString,ReportMonth,Table1[[#This Row],[Site ID (from DATIM)]],"[Measures].[MMS_63+]")</f>
        <v/>
      </c>
      <c r="AP373" s="67" t="str" vm="4820">
        <f>CUBEVALUE(ConnectionString,ReportMonth,Table1[[#This Row],[Site ID (from DATIM)]],"[Measures].[TBPREV_D]")</f>
        <v/>
      </c>
      <c r="AQ373" s="67" t="str" vm="7419">
        <f>CUBEVALUE(ConnectionString,ReportMonth,Table1[[#This Row],[Site ID (from DATIM)]],"[Measures].[TBPREV_N]")</f>
        <v/>
      </c>
      <c r="AR373" s="67" t="str" vm="5104">
        <f>CUBEVALUE(ConnectionString,ReportMonth,Table1[[#This Row],[Site ID (from DATIM)]],"[Measures].[TBPREV_NEW]")</f>
        <v/>
      </c>
      <c r="AS373" s="67" t="str" vm="7183">
        <f>CUBEVALUE(ConnectionString,ReportMonth,Table1[[#This Row],[Site ID (from DATIM)]],"[Measures].[HVL_ELIG_P]")</f>
        <v/>
      </c>
      <c r="AT373" s="67" t="str" vm="9815">
        <f>CUBEVALUE(ConnectionString,ReportMonth,Table1[[#This Row],[Site ID (from DATIM)]],"[Measures].[HVL_D_P]")</f>
        <v/>
      </c>
      <c r="AU373" s="67" t="str" vm="11833">
        <f>CUBEVALUE(ConnectionString,ReportMonth,Table1[[#This Row],[Site ID (from DATIM)]],"[Measures].[HVL_N_P]")</f>
        <v/>
      </c>
      <c r="AV373" s="68" t="str" vm="8787">
        <f>CUBEVALUE(ConnectionString,ReportMonth,Table1[[#This Row],[Site ID (from DATIM)]],"[Measures].[HVL_ELIG_A]")</f>
        <v/>
      </c>
      <c r="AW373" s="68" t="str" vm="13073">
        <f>CUBEVALUE(ConnectionString,ReportMonth,Table1[[#This Row],[Site ID (from DATIM)]],"[Measures].[HVL_D_A]")</f>
        <v/>
      </c>
      <c r="AX373" s="68" t="str" vm="13016">
        <f>CUBEVALUE(ConnectionString,ReportMonth,Table1[[#This Row],[Site ID (from DATIM)]],"[Measures].[HVL_N_A]")</f>
        <v/>
      </c>
      <c r="AY373" s="67"/>
      <c r="AZ373" s="67"/>
      <c r="BA373" s="67"/>
      <c r="BB373" s="67"/>
      <c r="BC373" s="67"/>
      <c r="BD373" s="67"/>
      <c r="BE373" s="67"/>
      <c r="BF373" s="67"/>
      <c r="BG373" s="67" t="str" vm="12494">
        <f>CUBEVALUE(ConnectionString,ReportMonth,Table1[[#This Row],[Site ID (from DATIM)]],"[Measures].[TX_NEW_F_A]")</f>
        <v/>
      </c>
      <c r="BH373" s="67" t="str" vm="10866">
        <f>CUBEVALUE(ConnectionString,ReportMonth,Table1[[#This Row],[Site ID (from DATIM)]],"[Measures].[TX_NEW_M_A]")</f>
        <v/>
      </c>
      <c r="BI373" s="67" t="str" vm="12453">
        <f>CUBEVALUE(ConnectionString,ReportMonth,Table1[[#This Row],[Site ID (from DATIM)]],"[Measures].[TX_NEW_F_P]")</f>
        <v/>
      </c>
      <c r="BJ373" s="68" t="str" vm="14037">
        <f>CUBEVALUE(ConnectionString,ReportMonth,Table1[[#This Row],[Site ID (from DATIM)]],"[Measures].[TX_NEW_M_P]")</f>
        <v/>
      </c>
      <c r="BK373" s="68"/>
      <c r="BL373" s="68"/>
      <c r="BM373" s="68"/>
      <c r="BN373" s="68"/>
      <c r="BO373" s="68"/>
      <c r="BP373" s="68"/>
      <c r="BQ373" s="68" t="str" vm="10855">
        <f>CUBEVALUE(ConnectionString,ReportMonth,Table1[[#This Row],[Site ID (from DATIM)]],"[Measures].[TX_CURR_F_P]")</f>
        <v/>
      </c>
      <c r="BR373" s="68" t="str" vm="8189">
        <f>CUBEVALUE(ConnectionString,ReportMonth,Table1[[#This Row],[Site ID (from DATIM)]],"[Measures].[TX_CURR_M_P]")</f>
        <v/>
      </c>
      <c r="BS373" s="68" t="str" vm="9788">
        <f>CUBEVALUE(ConnectionString,ReportMonth,Table1[[#This Row],[Site ID (from DATIM)]],"[Measures].[TX_CURR_F_A]")</f>
        <v/>
      </c>
      <c r="BT373" s="68" t="str" vm="8808">
        <f>CUBEVALUE(ConnectionString,ReportMonth,Table1[[#This Row],[Site ID (from DATIM)]],"[Measures].[TX_CURR_M_A]")</f>
        <v/>
      </c>
      <c r="BU373" s="68" t="str" vm="19514">
        <f>CUBEVALUE(ConnectionString,ReportMonth,Table1[[#This Row],[Site ID (from DATIM)]],"[Measures].[MMS_01_89_F_P]")</f>
        <v/>
      </c>
      <c r="BV373" s="68" t="str" vm="19146">
        <f>CUBEVALUE(ConnectionString,ReportMonth,Table1[[#This Row],[Site ID (from DATIM)]],"[Measures].[MMS_01_89_M_P]")</f>
        <v/>
      </c>
      <c r="BW373" s="68" t="str" vm="20012">
        <f>CUBEVALUE(ConnectionString,ReportMonth,Table1[[#This Row],[Site ID (from DATIM)]],"[Measures].[MMS_01_89_F_A]")</f>
        <v/>
      </c>
      <c r="BX373" s="68" t="str" vm="19337">
        <f>CUBEVALUE(ConnectionString,ReportMonth,Table1[[#This Row],[Site ID (from DATIM)]],"[Measures].[MMS_01_89_M_A]")</f>
        <v/>
      </c>
      <c r="BY373" s="68" t="str" vm="17909">
        <f>CUBEVALUE(ConnectionString,ReportMonth,Table1[[#This Row],[Site ID (from DATIM)]],"[Measures].[MMS_90_179_F_P]")</f>
        <v/>
      </c>
      <c r="BZ373" s="68" t="str" vm="16019">
        <f>CUBEVALUE(ConnectionString,ReportMonth,Table1[[#This Row],[Site ID (from DATIM)]],"[Measures].[MMS_90_179_M_P]")</f>
        <v/>
      </c>
      <c r="CA373" s="68" t="str" vm="15574">
        <f>CUBEVALUE(ConnectionString,ReportMonth,Table1[[#This Row],[Site ID (from DATIM)]],"[Measures].[MMS_90_179_F_A]")</f>
        <v/>
      </c>
      <c r="CB373" s="68" t="str" vm="17749">
        <f>CUBEVALUE(ConnectionString,ReportMonth,Table1[[#This Row],[Site ID (from DATIM)]],"[Measures].[MMS_90_179_M_A]")</f>
        <v/>
      </c>
      <c r="CC373" s="68" t="str" vm="16262">
        <f>CUBEVALUE(ConnectionString,ReportMonth,Table1[[#This Row],[Site ID (from DATIM)]],"[Measures].[MMS_180+_F_P]")</f>
        <v/>
      </c>
      <c r="CD373" s="68" t="str" vm="17571">
        <f>CUBEVALUE(ConnectionString,ReportMonth,Table1[[#This Row],[Site ID (from DATIM)]],"[Measures].[MMS_180+_M_P]")</f>
        <v/>
      </c>
      <c r="CE373" s="68" t="str" vm="20241">
        <f>CUBEVALUE(ConnectionString,ReportMonth,Table1[[#This Row],[Site ID (from DATIM)]],"[Measures].[MMS_180+_F_A]")</f>
        <v/>
      </c>
      <c r="CF373" s="68" t="str" vm="20188">
        <f>CUBEVALUE(ConnectionString,ReportMonth,Table1[[#This Row],[Site ID (from DATIM)]],"[Measures].[MMS_180+_M_A]")</f>
        <v/>
      </c>
      <c r="CG373" s="68" t="str" vm="4880">
        <f>CUBEVALUE(ConnectionString,ReportMonth,Table1[[#This Row],[Site ID (from DATIM)]],"[Measures].[MISSEDAPP]")</f>
        <v/>
      </c>
      <c r="CH373" s="68" t="str" vm="12417">
        <f>CUBEVALUE(ConnectionString,ReportMonth,Table1[[#This Row],[Site ID (from DATIM)]],"[Measures].[MMS_180+_P]")</f>
        <v/>
      </c>
      <c r="CI373" s="68" t="str" vm="11757">
        <f>CUBEVALUE(ConnectionString,ReportMonth,Table1[[#This Row],[Site ID (from DATIM)]],"[Measures].[MMS_180+_A]")</f>
        <v/>
      </c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  <c r="CW373" s="68"/>
      <c r="CX373" s="68"/>
      <c r="CY373" s="68"/>
      <c r="CZ373" s="68"/>
      <c r="DA373" s="68"/>
      <c r="DB373" s="68"/>
      <c r="DC373" s="68"/>
    </row>
    <row r="374" spans="1:107" x14ac:dyDescent="0.25">
      <c r="A374" s="66">
        <v>4</v>
      </c>
      <c r="B374" s="67" t="str" vm="4">
        <f t="shared" si="6"/>
        <v>Mar-2021</v>
      </c>
      <c r="C374" s="67"/>
      <c r="D374" s="67" t="s">
        <v>232</v>
      </c>
      <c r="E374" s="67" t="s">
        <v>233</v>
      </c>
      <c r="F374" s="67" t="s">
        <v>437</v>
      </c>
      <c r="G374" s="67"/>
      <c r="H374" s="67" t="s">
        <v>438</v>
      </c>
      <c r="I374" s="67" t="s">
        <v>770</v>
      </c>
      <c r="J374" s="67" t="s">
        <v>771</v>
      </c>
      <c r="K374" s="67" t="s">
        <v>772</v>
      </c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 t="str" vm="405">
        <f>CUBEVALUE(ConnectionString,ReportMonth,Table1[[#This Row],[Site ID (from DATIM)]],"TX_NEW_2VIS")</f>
        <v/>
      </c>
      <c r="AE374" s="67" t="str" vm="1098">
        <f>CUBEVALUE(ConnectionString,ReportMonth,Table1[[#This Row],[Site ID (from DATIM)]],INDEX(SDI_Measures,1))</f>
        <v/>
      </c>
      <c r="AF374" s="67" t="str" vm="3527">
        <f>CUBEVALUE(ConnectionString,ReportMonth,Table1[[#This Row],[Site ID (from DATIM)]],INDEX(SDI_Measures,2))</f>
        <v/>
      </c>
      <c r="AG374" s="67" t="str" vm="2757">
        <f>CUBEVALUE(ConnectionString,ReportMonth,Table1[[#This Row],[Site ID (from DATIM)]],INDEX(SDI_Measures,3))</f>
        <v/>
      </c>
      <c r="AH374" s="67" vm="2217">
        <f>CUBEVALUE(ConnectionString,ReportMonth,Table1[[#This Row],[Site ID (from DATIM)]],"TX_CURR_PRIOR_MONTH")</f>
        <v>33</v>
      </c>
      <c r="AI374" s="67" vm="2144">
        <f>CUBEVALUE(ConnectionString,ReportMonth,Table1[[#This Row],[Site ID (from DATIM)]],"TX_CURR")</f>
        <v>31</v>
      </c>
      <c r="AJ374" s="67" t="str" vm="4473">
        <f>CUBEVALUE(ConnectionString,ReportMonth,Table1[[#This Row],[Site ID (from DATIM)]],"[Measures].[TI]")</f>
        <v/>
      </c>
      <c r="AK374" s="67" t="str" vm="1071">
        <f>CUBEVALUE(ConnectionString,ReportMonth,Table1[[#This Row],[Site ID (from DATIM)]],"[Measures].[TO]")</f>
        <v/>
      </c>
      <c r="AL374" s="67" t="str" vm="3485">
        <f>CUBEVALUE(ConnectionString,ReportMonth,Table1[[#This Row],[Site ID (from DATIM)]],"[Measures].[DIED]")</f>
        <v/>
      </c>
      <c r="AM374" s="67" vm="5460">
        <f>CUBEVALUE(ConnectionString,ReportMonth,Table1[[#This Row],[Site ID (from DATIM)]],"[Measures].[MMS_01_31]")</f>
        <v>29</v>
      </c>
      <c r="AN374" s="67" t="str" vm="5684">
        <f>CUBEVALUE(ConnectionString,ReportMonth,Table1[[#This Row],[Site ID (from DATIM)]],"[Measures].[MMS_32_62]")</f>
        <v/>
      </c>
      <c r="AO374" s="67" vm="7369">
        <f>CUBEVALUE(ConnectionString,ReportMonth,Table1[[#This Row],[Site ID (from DATIM)]],"[Measures].[MMS_63+]")</f>
        <v>2</v>
      </c>
      <c r="AP374" s="67" t="str" vm="5670">
        <f>CUBEVALUE(ConnectionString,ReportMonth,Table1[[#This Row],[Site ID (from DATIM)]],"[Measures].[TBPREV_D]")</f>
        <v/>
      </c>
      <c r="AQ374" s="67" t="str" vm="6695">
        <f>CUBEVALUE(ConnectionString,ReportMonth,Table1[[#This Row],[Site ID (from DATIM)]],"[Measures].[TBPREV_N]")</f>
        <v/>
      </c>
      <c r="AR374" s="67" t="str" vm="11862">
        <f>CUBEVALUE(ConnectionString,ReportMonth,Table1[[#This Row],[Site ID (from DATIM)]],"[Measures].[TBPREV_NEW]")</f>
        <v/>
      </c>
      <c r="AS374" s="67" t="str" vm="10245">
        <f>CUBEVALUE(ConnectionString,ReportMonth,Table1[[#This Row],[Site ID (from DATIM)]],"[Measures].[HVL_ELIG_P]")</f>
        <v/>
      </c>
      <c r="AT374" s="67" t="str" vm="7452">
        <f>CUBEVALUE(ConnectionString,ReportMonth,Table1[[#This Row],[Site ID (from DATIM)]],"[Measures].[HVL_D_P]")</f>
        <v/>
      </c>
      <c r="AU374" s="67" t="str" vm="10687">
        <f>CUBEVALUE(ConnectionString,ReportMonth,Table1[[#This Row],[Site ID (from DATIM)]],"[Measures].[HVL_N_P]")</f>
        <v/>
      </c>
      <c r="AV374" s="68" vm="8139">
        <f>CUBEVALUE(ConnectionString,ReportMonth,Table1[[#This Row],[Site ID (from DATIM)]],"[Measures].[HVL_ELIG_A]")</f>
        <v>27</v>
      </c>
      <c r="AW374" s="68" t="str" vm="8516">
        <f>CUBEVALUE(ConnectionString,ReportMonth,Table1[[#This Row],[Site ID (from DATIM)]],"[Measures].[HVL_D_A]")</f>
        <v/>
      </c>
      <c r="AX374" s="68" t="str" vm="10548">
        <f>CUBEVALUE(ConnectionString,ReportMonth,Table1[[#This Row],[Site ID (from DATIM)]],"[Measures].[HVL_N_A]")</f>
        <v/>
      </c>
      <c r="AY374" s="67"/>
      <c r="AZ374" s="67"/>
      <c r="BA374" s="67"/>
      <c r="BB374" s="67"/>
      <c r="BC374" s="67"/>
      <c r="BD374" s="67"/>
      <c r="BE374" s="67"/>
      <c r="BF374" s="67"/>
      <c r="BG374" s="67" t="str" vm="11422">
        <f>CUBEVALUE(ConnectionString,ReportMonth,Table1[[#This Row],[Site ID (from DATIM)]],"[Measures].[TX_NEW_F_A]")</f>
        <v/>
      </c>
      <c r="BH374" s="67" t="str" vm="12452">
        <f>CUBEVALUE(ConnectionString,ReportMonth,Table1[[#This Row],[Site ID (from DATIM)]],"[Measures].[TX_NEW_M_A]")</f>
        <v/>
      </c>
      <c r="BI374" s="67" t="str" vm="12821">
        <f>CUBEVALUE(ConnectionString,ReportMonth,Table1[[#This Row],[Site ID (from DATIM)]],"[Measures].[TX_NEW_F_P]")</f>
        <v/>
      </c>
      <c r="BJ374" s="68" t="str" vm="15275">
        <f>CUBEVALUE(ConnectionString,ReportMonth,Table1[[#This Row],[Site ID (from DATIM)]],"[Measures].[TX_NEW_M_P]")</f>
        <v/>
      </c>
      <c r="BK374" s="68"/>
      <c r="BL374" s="68"/>
      <c r="BM374" s="68"/>
      <c r="BN374" s="68"/>
      <c r="BO374" s="68"/>
      <c r="BP374" s="68"/>
      <c r="BQ374" s="68" t="str" vm="6817">
        <f>CUBEVALUE(ConnectionString,ReportMonth,Table1[[#This Row],[Site ID (from DATIM)]],"[Measures].[TX_CURR_F_P]")</f>
        <v/>
      </c>
      <c r="BR374" s="68" t="str" vm="9499">
        <f>CUBEVALUE(ConnectionString,ReportMonth,Table1[[#This Row],[Site ID (from DATIM)]],"[Measures].[TX_CURR_M_P]")</f>
        <v/>
      </c>
      <c r="BS374" s="68" vm="13542">
        <f>CUBEVALUE(ConnectionString,ReportMonth,Table1[[#This Row],[Site ID (from DATIM)]],"[Measures].[TX_CURR_F_A]")</f>
        <v>31</v>
      </c>
      <c r="BT374" s="68" t="str" vm="11550">
        <f>CUBEVALUE(ConnectionString,ReportMonth,Table1[[#This Row],[Site ID (from DATIM)]],"[Measures].[TX_CURR_M_A]")</f>
        <v/>
      </c>
      <c r="BU374" s="68" t="str" vm="20154">
        <f>CUBEVALUE(ConnectionString,ReportMonth,Table1[[#This Row],[Site ID (from DATIM)]],"[Measures].[MMS_01_89_F_P]")</f>
        <v/>
      </c>
      <c r="BV374" s="68" t="str" vm="18103">
        <f>CUBEVALUE(ConnectionString,ReportMonth,Table1[[#This Row],[Site ID (from DATIM)]],"[Measures].[MMS_01_89_M_P]")</f>
        <v/>
      </c>
      <c r="BW374" s="68" vm="19489">
        <f>CUBEVALUE(ConnectionString,ReportMonth,Table1[[#This Row],[Site ID (from DATIM)]],"[Measures].[MMS_01_89_F_A]")</f>
        <v>29</v>
      </c>
      <c r="BX374" s="68" t="str" vm="19995">
        <f>CUBEVALUE(ConnectionString,ReportMonth,Table1[[#This Row],[Site ID (from DATIM)]],"[Measures].[MMS_01_89_M_A]")</f>
        <v/>
      </c>
      <c r="BY374" s="68" t="str" vm="18241">
        <f>CUBEVALUE(ConnectionString,ReportMonth,Table1[[#This Row],[Site ID (from DATIM)]],"[Measures].[MMS_90_179_F_P]")</f>
        <v/>
      </c>
      <c r="BZ374" s="68" t="str" vm="19561">
        <f>CUBEVALUE(ConnectionString,ReportMonth,Table1[[#This Row],[Site ID (from DATIM)]],"[Measures].[MMS_90_179_M_P]")</f>
        <v/>
      </c>
      <c r="CA374" s="68" vm="17337">
        <f>CUBEVALUE(ConnectionString,ReportMonth,Table1[[#This Row],[Site ID (from DATIM)]],"[Measures].[MMS_90_179_F_A]")</f>
        <v>2</v>
      </c>
      <c r="CB374" s="68" t="str" vm="17252">
        <f>CUBEVALUE(ConnectionString,ReportMonth,Table1[[#This Row],[Site ID (from DATIM)]],"[Measures].[MMS_90_179_M_A]")</f>
        <v/>
      </c>
      <c r="CC374" s="68" t="str" vm="14634">
        <f>CUBEVALUE(ConnectionString,ReportMonth,Table1[[#This Row],[Site ID (from DATIM)]],"[Measures].[MMS_180+_F_P]")</f>
        <v/>
      </c>
      <c r="CD374" s="68" t="str" vm="15025">
        <f>CUBEVALUE(ConnectionString,ReportMonth,Table1[[#This Row],[Site ID (from DATIM)]],"[Measures].[MMS_180+_M_P]")</f>
        <v/>
      </c>
      <c r="CE374" s="68" t="str" vm="14956">
        <f>CUBEVALUE(ConnectionString,ReportMonth,Table1[[#This Row],[Site ID (from DATIM)]],"[Measures].[MMS_180+_F_A]")</f>
        <v/>
      </c>
      <c r="CF374" s="68" t="str" vm="66">
        <f>CUBEVALUE(ConnectionString,ReportMonth,Table1[[#This Row],[Site ID (from DATIM)]],"[Measures].[MMS_180+_M_A]")</f>
        <v/>
      </c>
      <c r="CG374" s="68" vm="9814">
        <f>CUBEVALUE(ConnectionString,ReportMonth,Table1[[#This Row],[Site ID (from DATIM)]],"[Measures].[MISSEDAPP]")</f>
        <v>23</v>
      </c>
      <c r="CH374" s="68" t="str" vm="9313">
        <f>CUBEVALUE(ConnectionString,ReportMonth,Table1[[#This Row],[Site ID (from DATIM)]],"[Measures].[MMS_180+_P]")</f>
        <v/>
      </c>
      <c r="CI374" s="68" t="str" vm="15687">
        <f>CUBEVALUE(ConnectionString,ReportMonth,Table1[[#This Row],[Site ID (from DATIM)]],"[Measures].[MMS_180+_A]")</f>
        <v/>
      </c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  <c r="CW374" s="68"/>
      <c r="CX374" s="68"/>
      <c r="CY374" s="68"/>
      <c r="CZ374" s="68"/>
      <c r="DA374" s="68"/>
      <c r="DB374" s="68"/>
      <c r="DC374" s="68"/>
    </row>
    <row r="375" spans="1:107" x14ac:dyDescent="0.25">
      <c r="A375" s="66">
        <v>4</v>
      </c>
      <c r="B375" s="67" t="str" vm="4">
        <f t="shared" si="6"/>
        <v>Mar-2021</v>
      </c>
      <c r="C375" s="67"/>
      <c r="D375" s="67" t="s">
        <v>232</v>
      </c>
      <c r="E375" s="67" t="s">
        <v>233</v>
      </c>
      <c r="F375" s="67" t="s">
        <v>234</v>
      </c>
      <c r="G375" s="67"/>
      <c r="H375" s="67" t="s">
        <v>256</v>
      </c>
      <c r="I375" s="67" t="s">
        <v>399</v>
      </c>
      <c r="J375" s="67" t="s">
        <v>400</v>
      </c>
      <c r="K375" s="67" t="s">
        <v>401</v>
      </c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 t="str" vm="2091">
        <f>CUBEVALUE(ConnectionString,ReportMonth,Table1[[#This Row],[Site ID (from DATIM)]],"TX_NEW_2VIS")</f>
        <v/>
      </c>
      <c r="AE375" s="67" t="str" vm="3523">
        <f>CUBEVALUE(ConnectionString,ReportMonth,Table1[[#This Row],[Site ID (from DATIM)]],INDEX(SDI_Measures,1))</f>
        <v/>
      </c>
      <c r="AF375" s="67" t="str" vm="4260">
        <f>CUBEVALUE(ConnectionString,ReportMonth,Table1[[#This Row],[Site ID (from DATIM)]],INDEX(SDI_Measures,2))</f>
        <v/>
      </c>
      <c r="AG375" s="67" t="str" vm="476">
        <f>CUBEVALUE(ConnectionString,ReportMonth,Table1[[#This Row],[Site ID (from DATIM)]],INDEX(SDI_Measures,3))</f>
        <v/>
      </c>
      <c r="AH375" s="67" vm="1129">
        <f>CUBEVALUE(ConnectionString,ReportMonth,Table1[[#This Row],[Site ID (from DATIM)]],"TX_CURR_PRIOR_MONTH")</f>
        <v>49</v>
      </c>
      <c r="AI375" s="67" vm="4340">
        <f>CUBEVALUE(ConnectionString,ReportMonth,Table1[[#This Row],[Site ID (from DATIM)]],"TX_CURR")</f>
        <v>45</v>
      </c>
      <c r="AJ375" s="67" t="str" vm="1300">
        <f>CUBEVALUE(ConnectionString,ReportMonth,Table1[[#This Row],[Site ID (from DATIM)]],"[Measures].[TI]")</f>
        <v/>
      </c>
      <c r="AK375" s="67" t="str" vm="3878">
        <f>CUBEVALUE(ConnectionString,ReportMonth,Table1[[#This Row],[Site ID (from DATIM)]],"[Measures].[TO]")</f>
        <v/>
      </c>
      <c r="AL375" s="67" t="str" vm="1643">
        <f>CUBEVALUE(ConnectionString,ReportMonth,Table1[[#This Row],[Site ID (from DATIM)]],"[Measures].[DIED]")</f>
        <v/>
      </c>
      <c r="AM375" s="67" vm="5563">
        <f>CUBEVALUE(ConnectionString,ReportMonth,Table1[[#This Row],[Site ID (from DATIM)]],"[Measures].[MMS_01_31]")</f>
        <v>16</v>
      </c>
      <c r="AN375" s="67" t="str" vm="5340">
        <f>CUBEVALUE(ConnectionString,ReportMonth,Table1[[#This Row],[Site ID (from DATIM)]],"[Measures].[MMS_32_62]")</f>
        <v/>
      </c>
      <c r="AO375" s="67" vm="5945">
        <f>CUBEVALUE(ConnectionString,ReportMonth,Table1[[#This Row],[Site ID (from DATIM)]],"[Measures].[MMS_63+]")</f>
        <v>29</v>
      </c>
      <c r="AP375" s="67" t="str" vm="9273">
        <f>CUBEVALUE(ConnectionString,ReportMonth,Table1[[#This Row],[Site ID (from DATIM)]],"[Measures].[TBPREV_D]")</f>
        <v/>
      </c>
      <c r="AQ375" s="67" t="str" vm="5051">
        <f>CUBEVALUE(ConnectionString,ReportMonth,Table1[[#This Row],[Site ID (from DATIM)]],"[Measures].[TBPREV_N]")</f>
        <v/>
      </c>
      <c r="AR375" s="67" t="str" vm="9930">
        <f>CUBEVALUE(ConnectionString,ReportMonth,Table1[[#This Row],[Site ID (from DATIM)]],"[Measures].[TBPREV_NEW]")</f>
        <v/>
      </c>
      <c r="AS375" s="67" vm="5660">
        <f>CUBEVALUE(ConnectionString,ReportMonth,Table1[[#This Row],[Site ID (from DATIM)]],"[Measures].[HVL_ELIG_P]")</f>
        <v>3</v>
      </c>
      <c r="AT375" s="67" vm="8356">
        <f>CUBEVALUE(ConnectionString,ReportMonth,Table1[[#This Row],[Site ID (from DATIM)]],"[Measures].[HVL_D_P]")</f>
        <v>1</v>
      </c>
      <c r="AU375" s="67" vm="8214">
        <f>CUBEVALUE(ConnectionString,ReportMonth,Table1[[#This Row],[Site ID (from DATIM)]],"[Measures].[HVL_N_P]")</f>
        <v>1</v>
      </c>
      <c r="AV375" s="68" vm="9150">
        <f>CUBEVALUE(ConnectionString,ReportMonth,Table1[[#This Row],[Site ID (from DATIM)]],"[Measures].[HVL_ELIG_A]")</f>
        <v>37</v>
      </c>
      <c r="AW375" s="68" vm="9446">
        <f>CUBEVALUE(ConnectionString,ReportMonth,Table1[[#This Row],[Site ID (from DATIM)]],"[Measures].[HVL_D_A]")</f>
        <v>26</v>
      </c>
      <c r="AX375" s="68" vm="9137">
        <f>CUBEVALUE(ConnectionString,ReportMonth,Table1[[#This Row],[Site ID (from DATIM)]],"[Measures].[HVL_N_A]")</f>
        <v>24</v>
      </c>
      <c r="AY375" s="67"/>
      <c r="AZ375" s="67"/>
      <c r="BA375" s="67"/>
      <c r="BB375" s="67"/>
      <c r="BC375" s="67"/>
      <c r="BD375" s="67"/>
      <c r="BE375" s="67"/>
      <c r="BF375" s="67"/>
      <c r="BG375" s="67" t="str" vm="14391">
        <f>CUBEVALUE(ConnectionString,ReportMonth,Table1[[#This Row],[Site ID (from DATIM)]],"[Measures].[TX_NEW_F_A]")</f>
        <v/>
      </c>
      <c r="BH375" s="67" t="str" vm="12813">
        <f>CUBEVALUE(ConnectionString,ReportMonth,Table1[[#This Row],[Site ID (from DATIM)]],"[Measures].[TX_NEW_M_A]")</f>
        <v/>
      </c>
      <c r="BI375" s="67" t="str" vm="14087">
        <f>CUBEVALUE(ConnectionString,ReportMonth,Table1[[#This Row],[Site ID (from DATIM)]],"[Measures].[TX_NEW_F_P]")</f>
        <v/>
      </c>
      <c r="BJ375" s="68" t="str" vm="13436">
        <f>CUBEVALUE(ConnectionString,ReportMonth,Table1[[#This Row],[Site ID (from DATIM)]],"[Measures].[TX_NEW_M_P]")</f>
        <v/>
      </c>
      <c r="BK375" s="68"/>
      <c r="BL375" s="68"/>
      <c r="BM375" s="68"/>
      <c r="BN375" s="68"/>
      <c r="BO375" s="68"/>
      <c r="BP375" s="68"/>
      <c r="BQ375" s="68" vm="9380">
        <f>CUBEVALUE(ConnectionString,ReportMonth,Table1[[#This Row],[Site ID (from DATIM)]],"[Measures].[TX_CURR_F_P]")</f>
        <v>1</v>
      </c>
      <c r="BR375" s="68" vm="13029">
        <f>CUBEVALUE(ConnectionString,ReportMonth,Table1[[#This Row],[Site ID (from DATIM)]],"[Measures].[TX_CURR_M_P]")</f>
        <v>2</v>
      </c>
      <c r="BS375" s="68" vm="11104">
        <f>CUBEVALUE(ConnectionString,ReportMonth,Table1[[#This Row],[Site ID (from DATIM)]],"[Measures].[TX_CURR_F_A]")</f>
        <v>30</v>
      </c>
      <c r="BT375" s="68" vm="12846">
        <f>CUBEVALUE(ConnectionString,ReportMonth,Table1[[#This Row],[Site ID (from DATIM)]],"[Measures].[TX_CURR_M_A]")</f>
        <v>12</v>
      </c>
      <c r="BU375" s="68" t="str" vm="19758">
        <f>CUBEVALUE(ConnectionString,ReportMonth,Table1[[#This Row],[Site ID (from DATIM)]],"[Measures].[MMS_01_89_F_P]")</f>
        <v/>
      </c>
      <c r="BV375" s="68" vm="18720">
        <f>CUBEVALUE(ConnectionString,ReportMonth,Table1[[#This Row],[Site ID (from DATIM)]],"[Measures].[MMS_01_89_M_P]")</f>
        <v>1</v>
      </c>
      <c r="BW375" s="68" vm="18564">
        <f>CUBEVALUE(ConnectionString,ReportMonth,Table1[[#This Row],[Site ID (from DATIM)]],"[Measures].[MMS_01_89_F_A]")</f>
        <v>12</v>
      </c>
      <c r="BX375" s="68" vm="19655">
        <f>CUBEVALUE(ConnectionString,ReportMonth,Table1[[#This Row],[Site ID (from DATIM)]],"[Measures].[MMS_01_89_M_A]")</f>
        <v>3</v>
      </c>
      <c r="BY375" s="68" vm="19104">
        <f>CUBEVALUE(ConnectionString,ReportMonth,Table1[[#This Row],[Site ID (from DATIM)]],"[Measures].[MMS_90_179_F_P]")</f>
        <v>1</v>
      </c>
      <c r="BZ375" s="68" vm="15138">
        <f>CUBEVALUE(ConnectionString,ReportMonth,Table1[[#This Row],[Site ID (from DATIM)]],"[Measures].[MMS_90_179_M_P]")</f>
        <v>1</v>
      </c>
      <c r="CA375" s="68" vm="15971">
        <f>CUBEVALUE(ConnectionString,ReportMonth,Table1[[#This Row],[Site ID (from DATIM)]],"[Measures].[MMS_90_179_F_A]")</f>
        <v>18</v>
      </c>
      <c r="CB375" s="68" vm="16487">
        <f>CUBEVALUE(ConnectionString,ReportMonth,Table1[[#This Row],[Site ID (from DATIM)]],"[Measures].[MMS_90_179_M_A]")</f>
        <v>9</v>
      </c>
      <c r="CC375" s="68" t="str" vm="14718">
        <f>CUBEVALUE(ConnectionString,ReportMonth,Table1[[#This Row],[Site ID (from DATIM)]],"[Measures].[MMS_180+_F_P]")</f>
        <v/>
      </c>
      <c r="CD375" s="68" t="str" vm="17617">
        <f>CUBEVALUE(ConnectionString,ReportMonth,Table1[[#This Row],[Site ID (from DATIM)]],"[Measures].[MMS_180+_M_P]")</f>
        <v/>
      </c>
      <c r="CE375" s="68" t="str" vm="14907">
        <f>CUBEVALUE(ConnectionString,ReportMonth,Table1[[#This Row],[Site ID (from DATIM)]],"[Measures].[MMS_180+_F_A]")</f>
        <v/>
      </c>
      <c r="CF375" s="68" t="str" vm="17159">
        <f>CUBEVALUE(ConnectionString,ReportMonth,Table1[[#This Row],[Site ID (from DATIM)]],"[Measures].[MMS_180+_M_A]")</f>
        <v/>
      </c>
      <c r="CG375" s="68" vm="5659">
        <f>CUBEVALUE(ConnectionString,ReportMonth,Table1[[#This Row],[Site ID (from DATIM)]],"[Measures].[MISSEDAPP]")</f>
        <v>23</v>
      </c>
      <c r="CH375" s="68" t="str" vm="13865">
        <f>CUBEVALUE(ConnectionString,ReportMonth,Table1[[#This Row],[Site ID (from DATIM)]],"[Measures].[MMS_180+_P]")</f>
        <v/>
      </c>
      <c r="CI375" s="68" t="str" vm="10161">
        <f>CUBEVALUE(ConnectionString,ReportMonth,Table1[[#This Row],[Site ID (from DATIM)]],"[Measures].[MMS_180+_A]")</f>
        <v/>
      </c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  <c r="CW375" s="68"/>
      <c r="CX375" s="68"/>
      <c r="CY375" s="68"/>
      <c r="CZ375" s="68"/>
      <c r="DA375" s="68"/>
      <c r="DB375" s="68"/>
      <c r="DC375" s="68"/>
    </row>
    <row r="376" spans="1:107" x14ac:dyDescent="0.25">
      <c r="A376" s="66">
        <v>4</v>
      </c>
      <c r="B376" s="67" t="str" vm="4">
        <f t="shared" si="6"/>
        <v>Mar-2021</v>
      </c>
      <c r="C376" s="67"/>
      <c r="D376" s="67" t="s">
        <v>232</v>
      </c>
      <c r="E376" s="67" t="s">
        <v>233</v>
      </c>
      <c r="F376" s="67" t="s">
        <v>234</v>
      </c>
      <c r="G376" s="67"/>
      <c r="H376" s="67" t="s">
        <v>270</v>
      </c>
      <c r="I376" s="67" t="s">
        <v>402</v>
      </c>
      <c r="J376" s="67" t="s">
        <v>403</v>
      </c>
      <c r="K376" s="67" t="s">
        <v>404</v>
      </c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 t="str" vm="1796">
        <f>CUBEVALUE(ConnectionString,ReportMonth,Table1[[#This Row],[Site ID (from DATIM)]],"TX_NEW_2VIS")</f>
        <v/>
      </c>
      <c r="AE376" s="67" t="str" vm="1058">
        <f>CUBEVALUE(ConnectionString,ReportMonth,Table1[[#This Row],[Site ID (from DATIM)]],INDEX(SDI_Measures,1))</f>
        <v/>
      </c>
      <c r="AF376" s="67" t="str" vm="3113">
        <f>CUBEVALUE(ConnectionString,ReportMonth,Table1[[#This Row],[Site ID (from DATIM)]],INDEX(SDI_Measures,2))</f>
        <v/>
      </c>
      <c r="AG376" s="67" t="str" vm="1682">
        <f>CUBEVALUE(ConnectionString,ReportMonth,Table1[[#This Row],[Site ID (from DATIM)]],INDEX(SDI_Measures,3))</f>
        <v/>
      </c>
      <c r="AH376" s="67" vm="2519">
        <f>CUBEVALUE(ConnectionString,ReportMonth,Table1[[#This Row],[Site ID (from DATIM)]],"TX_CURR_PRIOR_MONTH")</f>
        <v>49</v>
      </c>
      <c r="AI376" s="67" vm="1328">
        <f>CUBEVALUE(ConnectionString,ReportMonth,Table1[[#This Row],[Site ID (from DATIM)]],"TX_CURR")</f>
        <v>48</v>
      </c>
      <c r="AJ376" s="67" t="str" vm="2298">
        <f>CUBEVALUE(ConnectionString,ReportMonth,Table1[[#This Row],[Site ID (from DATIM)]],"[Measures].[TI]")</f>
        <v/>
      </c>
      <c r="AK376" s="67" t="str" vm="3974">
        <f>CUBEVALUE(ConnectionString,ReportMonth,Table1[[#This Row],[Site ID (from DATIM)]],"[Measures].[TO]")</f>
        <v/>
      </c>
      <c r="AL376" s="67" t="str" vm="2667">
        <f>CUBEVALUE(ConnectionString,ReportMonth,Table1[[#This Row],[Site ID (from DATIM)]],"[Measures].[DIED]")</f>
        <v/>
      </c>
      <c r="AM376" s="67" vm="4263">
        <f>CUBEVALUE(ConnectionString,ReportMonth,Table1[[#This Row],[Site ID (from DATIM)]],"[Measures].[MMS_01_31]")</f>
        <v>28</v>
      </c>
      <c r="AN376" s="67" vm="5675">
        <f>CUBEVALUE(ConnectionString,ReportMonth,Table1[[#This Row],[Site ID (from DATIM)]],"[Measures].[MMS_32_62]")</f>
        <v>3</v>
      </c>
      <c r="AO376" s="67" vm="9875">
        <f>CUBEVALUE(ConnectionString,ReportMonth,Table1[[#This Row],[Site ID (from DATIM)]],"[Measures].[MMS_63+]")</f>
        <v>17</v>
      </c>
      <c r="AP376" s="67" vm="10759">
        <f>CUBEVALUE(ConnectionString,ReportMonth,Table1[[#This Row],[Site ID (from DATIM)]],"[Measures].[TBPREV_D]")</f>
        <v>2</v>
      </c>
      <c r="AQ376" s="67" vm="8658">
        <f>CUBEVALUE(ConnectionString,ReportMonth,Table1[[#This Row],[Site ID (from DATIM)]],"[Measures].[TBPREV_N]")</f>
        <v>2</v>
      </c>
      <c r="AR376" s="67" t="str" vm="4923">
        <f>CUBEVALUE(ConnectionString,ReportMonth,Table1[[#This Row],[Site ID (from DATIM)]],"[Measures].[TBPREV_NEW]")</f>
        <v/>
      </c>
      <c r="AS376" s="67" t="str" vm="7211">
        <f>CUBEVALUE(ConnectionString,ReportMonth,Table1[[#This Row],[Site ID (from DATIM)]],"[Measures].[HVL_ELIG_P]")</f>
        <v/>
      </c>
      <c r="AT376" s="67" t="str" vm="9753">
        <f>CUBEVALUE(ConnectionString,ReportMonth,Table1[[#This Row],[Site ID (from DATIM)]],"[Measures].[HVL_D_P]")</f>
        <v/>
      </c>
      <c r="AU376" s="67" t="str" vm="9314">
        <f>CUBEVALUE(ConnectionString,ReportMonth,Table1[[#This Row],[Site ID (from DATIM)]],"[Measures].[HVL_N_P]")</f>
        <v/>
      </c>
      <c r="AV376" s="68" vm="12517">
        <f>CUBEVALUE(ConnectionString,ReportMonth,Table1[[#This Row],[Site ID (from DATIM)]],"[Measures].[HVL_ELIG_A]")</f>
        <v>33</v>
      </c>
      <c r="AW376" s="68" vm="11247">
        <f>CUBEVALUE(ConnectionString,ReportMonth,Table1[[#This Row],[Site ID (from DATIM)]],"[Measures].[HVL_D_A]")</f>
        <v>13</v>
      </c>
      <c r="AX376" s="68" vm="8077">
        <f>CUBEVALUE(ConnectionString,ReportMonth,Table1[[#This Row],[Site ID (from DATIM)]],"[Measures].[HVL_N_A]")</f>
        <v>9</v>
      </c>
      <c r="AY376" s="67"/>
      <c r="AZ376" s="67"/>
      <c r="BA376" s="67"/>
      <c r="BB376" s="67"/>
      <c r="BC376" s="67"/>
      <c r="BD376" s="67"/>
      <c r="BE376" s="67"/>
      <c r="BF376" s="67"/>
      <c r="BG376" s="67" t="str" vm="14130">
        <f>CUBEVALUE(ConnectionString,ReportMonth,Table1[[#This Row],[Site ID (from DATIM)]],"[Measures].[TX_NEW_F_A]")</f>
        <v/>
      </c>
      <c r="BH376" s="67" t="str" vm="13304">
        <f>CUBEVALUE(ConnectionString,ReportMonth,Table1[[#This Row],[Site ID (from DATIM)]],"[Measures].[TX_NEW_M_A]")</f>
        <v/>
      </c>
      <c r="BI376" s="67" t="str" vm="12324">
        <f>CUBEVALUE(ConnectionString,ReportMonth,Table1[[#This Row],[Site ID (from DATIM)]],"[Measures].[TX_NEW_F_P]")</f>
        <v/>
      </c>
      <c r="BJ376" s="68" t="str" vm="14276">
        <f>CUBEVALUE(ConnectionString,ReportMonth,Table1[[#This Row],[Site ID (from DATIM)]],"[Measures].[TX_NEW_M_P]")</f>
        <v/>
      </c>
      <c r="BK376" s="68"/>
      <c r="BL376" s="68"/>
      <c r="BM376" s="68"/>
      <c r="BN376" s="68"/>
      <c r="BO376" s="68"/>
      <c r="BP376" s="68"/>
      <c r="BQ376" s="68" t="str" vm="8092">
        <f>CUBEVALUE(ConnectionString,ReportMonth,Table1[[#This Row],[Site ID (from DATIM)]],"[Measures].[TX_CURR_F_P]")</f>
        <v/>
      </c>
      <c r="BR376" s="68" t="str" vm="8277">
        <f>CUBEVALUE(ConnectionString,ReportMonth,Table1[[#This Row],[Site ID (from DATIM)]],"[Measures].[TX_CURR_M_P]")</f>
        <v/>
      </c>
      <c r="BS376" s="68" vm="9023">
        <f>CUBEVALUE(ConnectionString,ReportMonth,Table1[[#This Row],[Site ID (from DATIM)]],"[Measures].[TX_CURR_F_A]")</f>
        <v>38</v>
      </c>
      <c r="BT376" s="68" vm="12488">
        <f>CUBEVALUE(ConnectionString,ReportMonth,Table1[[#This Row],[Site ID (from DATIM)]],"[Measures].[TX_CURR_M_A]")</f>
        <v>10</v>
      </c>
      <c r="BU376" s="68" t="str" vm="18135">
        <f>CUBEVALUE(ConnectionString,ReportMonth,Table1[[#This Row],[Site ID (from DATIM)]],"[Measures].[MMS_01_89_F_P]")</f>
        <v/>
      </c>
      <c r="BV376" s="68" t="str" vm="18538">
        <f>CUBEVALUE(ConnectionString,ReportMonth,Table1[[#This Row],[Site ID (from DATIM)]],"[Measures].[MMS_01_89_M_P]")</f>
        <v/>
      </c>
      <c r="BW376" s="68" vm="20017">
        <f>CUBEVALUE(ConnectionString,ReportMonth,Table1[[#This Row],[Site ID (from DATIM)]],"[Measures].[MMS_01_89_F_A]")</f>
        <v>25</v>
      </c>
      <c r="BX376" s="68" vm="18257">
        <f>CUBEVALUE(ConnectionString,ReportMonth,Table1[[#This Row],[Site ID (from DATIM)]],"[Measures].[MMS_01_89_M_A]")</f>
        <v>6</v>
      </c>
      <c r="BY376" s="68" t="str" vm="16947">
        <f>CUBEVALUE(ConnectionString,ReportMonth,Table1[[#This Row],[Site ID (from DATIM)]],"[Measures].[MMS_90_179_F_P]")</f>
        <v/>
      </c>
      <c r="BZ376" s="68" t="str" vm="16074">
        <f>CUBEVALUE(ConnectionString,ReportMonth,Table1[[#This Row],[Site ID (from DATIM)]],"[Measures].[MMS_90_179_M_P]")</f>
        <v/>
      </c>
      <c r="CA376" s="68" vm="16472">
        <f>CUBEVALUE(ConnectionString,ReportMonth,Table1[[#This Row],[Site ID (from DATIM)]],"[Measures].[MMS_90_179_F_A]")</f>
        <v>13</v>
      </c>
      <c r="CB376" s="68" vm="15478">
        <f>CUBEVALUE(ConnectionString,ReportMonth,Table1[[#This Row],[Site ID (from DATIM)]],"[Measures].[MMS_90_179_M_A]")</f>
        <v>4</v>
      </c>
      <c r="CC376" s="68" t="str" vm="14652">
        <f>CUBEVALUE(ConnectionString,ReportMonth,Table1[[#This Row],[Site ID (from DATIM)]],"[Measures].[MMS_180+_F_P]")</f>
        <v/>
      </c>
      <c r="CD376" s="68" t="str" vm="14492">
        <f>CUBEVALUE(ConnectionString,ReportMonth,Table1[[#This Row],[Site ID (from DATIM)]],"[Measures].[MMS_180+_M_P]")</f>
        <v/>
      </c>
      <c r="CE376" s="68" t="str" vm="15811">
        <f>CUBEVALUE(ConnectionString,ReportMonth,Table1[[#This Row],[Site ID (from DATIM)]],"[Measures].[MMS_180+_F_A]")</f>
        <v/>
      </c>
      <c r="CF376" s="68" t="str" vm="300">
        <f>CUBEVALUE(ConnectionString,ReportMonth,Table1[[#This Row],[Site ID (from DATIM)]],"[Measures].[MMS_180+_M_A]")</f>
        <v/>
      </c>
      <c r="CG376" s="68" vm="5960">
        <f>CUBEVALUE(ConnectionString,ReportMonth,Table1[[#This Row],[Site ID (from DATIM)]],"[Measures].[MISSEDAPP]")</f>
        <v>33</v>
      </c>
      <c r="CH376" s="68" t="str" vm="13702">
        <f>CUBEVALUE(ConnectionString,ReportMonth,Table1[[#This Row],[Site ID (from DATIM)]],"[Measures].[MMS_180+_P]")</f>
        <v/>
      </c>
      <c r="CI376" s="68" t="str" vm="13598">
        <f>CUBEVALUE(ConnectionString,ReportMonth,Table1[[#This Row],[Site ID (from DATIM)]],"[Measures].[MMS_180+_A]")</f>
        <v/>
      </c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  <c r="CW376" s="68"/>
      <c r="CX376" s="68"/>
      <c r="CY376" s="68"/>
      <c r="CZ376" s="68"/>
      <c r="DA376" s="68"/>
      <c r="DB376" s="68"/>
      <c r="DC376" s="68"/>
    </row>
    <row r="377" spans="1:107" x14ac:dyDescent="0.25">
      <c r="A377" s="66">
        <v>3</v>
      </c>
      <c r="B377" s="67" t="str" vm="4">
        <f t="shared" si="6"/>
        <v>Mar-2021</v>
      </c>
      <c r="C377" s="67"/>
      <c r="D377" s="67" t="s">
        <v>232</v>
      </c>
      <c r="E377" s="67" t="s">
        <v>233</v>
      </c>
      <c r="F377" s="67" t="s">
        <v>234</v>
      </c>
      <c r="G377" s="67"/>
      <c r="H377" s="67" t="s">
        <v>270</v>
      </c>
      <c r="I377" s="67" t="s">
        <v>405</v>
      </c>
      <c r="J377" s="67" t="s">
        <v>406</v>
      </c>
      <c r="K377" s="67" t="s">
        <v>407</v>
      </c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 vm="615">
        <f>CUBEVALUE(ConnectionString,ReportMonth,Table1[[#This Row],[Site ID (from DATIM)]],"TX_NEW_2VIS")</f>
        <v>2</v>
      </c>
      <c r="AE377" s="67" vm="1653">
        <f>CUBEVALUE(ConnectionString,ReportMonth,Table1[[#This Row],[Site ID (from DATIM)]],INDEX(SDI_Measures,1))</f>
        <v>3</v>
      </c>
      <c r="AF377" s="67" t="str" vm="1635">
        <f>CUBEVALUE(ConnectionString,ReportMonth,Table1[[#This Row],[Site ID (from DATIM)]],INDEX(SDI_Measures,2))</f>
        <v/>
      </c>
      <c r="AG377" s="67" t="str" vm="367">
        <f>CUBEVALUE(ConnectionString,ReportMonth,Table1[[#This Row],[Site ID (from DATIM)]],INDEX(SDI_Measures,3))</f>
        <v/>
      </c>
      <c r="AH377" s="67" vm="2239">
        <f>CUBEVALUE(ConnectionString,ReportMonth,Table1[[#This Row],[Site ID (from DATIM)]],"TX_CURR_PRIOR_MONTH")</f>
        <v>437</v>
      </c>
      <c r="AI377" s="67" vm="1359">
        <f>CUBEVALUE(ConnectionString,ReportMonth,Table1[[#This Row],[Site ID (from DATIM)]],"TX_CURR")</f>
        <v>439</v>
      </c>
      <c r="AJ377" s="67" t="str" vm="3027">
        <f>CUBEVALUE(ConnectionString,ReportMonth,Table1[[#This Row],[Site ID (from DATIM)]],"[Measures].[TI]")</f>
        <v/>
      </c>
      <c r="AK377" s="67" vm="3359">
        <f>CUBEVALUE(ConnectionString,ReportMonth,Table1[[#This Row],[Site ID (from DATIM)]],"[Measures].[TO]")</f>
        <v>1</v>
      </c>
      <c r="AL377" s="67" t="str" vm="3404">
        <f>CUBEVALUE(ConnectionString,ReportMonth,Table1[[#This Row],[Site ID (from DATIM)]],"[Measures].[DIED]")</f>
        <v/>
      </c>
      <c r="AM377" s="67" vm="4402">
        <f>CUBEVALUE(ConnectionString,ReportMonth,Table1[[#This Row],[Site ID (from DATIM)]],"[Measures].[MMS_01_31]")</f>
        <v>143</v>
      </c>
      <c r="AN377" s="67" vm="4707">
        <f>CUBEVALUE(ConnectionString,ReportMonth,Table1[[#This Row],[Site ID (from DATIM)]],"[Measures].[MMS_32_62]")</f>
        <v>7</v>
      </c>
      <c r="AO377" s="67" vm="11770">
        <f>CUBEVALUE(ConnectionString,ReportMonth,Table1[[#This Row],[Site ID (from DATIM)]],"[Measures].[MMS_63+]")</f>
        <v>289</v>
      </c>
      <c r="AP377" s="67" vm="5794">
        <f>CUBEVALUE(ConnectionString,ReportMonth,Table1[[#This Row],[Site ID (from DATIM)]],"[Measures].[TBPREV_D]")</f>
        <v>6</v>
      </c>
      <c r="AQ377" s="67" vm="7073">
        <f>CUBEVALUE(ConnectionString,ReportMonth,Table1[[#This Row],[Site ID (from DATIM)]],"[Measures].[TBPREV_N]")</f>
        <v>6</v>
      </c>
      <c r="AR377" s="67" vm="4978">
        <f>CUBEVALUE(ConnectionString,ReportMonth,Table1[[#This Row],[Site ID (from DATIM)]],"[Measures].[TBPREV_NEW]")</f>
        <v>4</v>
      </c>
      <c r="AS377" s="67" vm="5610">
        <f>CUBEVALUE(ConnectionString,ReportMonth,Table1[[#This Row],[Site ID (from DATIM)]],"[Measures].[HVL_ELIG_P]")</f>
        <v>25</v>
      </c>
      <c r="AT377" s="67" vm="7698">
        <f>CUBEVALUE(ConnectionString,ReportMonth,Table1[[#This Row],[Site ID (from DATIM)]],"[Measures].[HVL_D_P]")</f>
        <v>21</v>
      </c>
      <c r="AU377" s="67" vm="11593">
        <f>CUBEVALUE(ConnectionString,ReportMonth,Table1[[#This Row],[Site ID (from DATIM)]],"[Measures].[HVL_N_P]")</f>
        <v>18</v>
      </c>
      <c r="AV377" s="68" vm="11992">
        <f>CUBEVALUE(ConnectionString,ReportMonth,Table1[[#This Row],[Site ID (from DATIM)]],"[Measures].[HVL_ELIG_A]")</f>
        <v>360</v>
      </c>
      <c r="AW377" s="68" vm="9115">
        <f>CUBEVALUE(ConnectionString,ReportMonth,Table1[[#This Row],[Site ID (from DATIM)]],"[Measures].[HVL_D_A]")</f>
        <v>252</v>
      </c>
      <c r="AX377" s="68" vm="8224">
        <f>CUBEVALUE(ConnectionString,ReportMonth,Table1[[#This Row],[Site ID (from DATIM)]],"[Measures].[HVL_N_A]")</f>
        <v>245</v>
      </c>
      <c r="AY377" s="67"/>
      <c r="AZ377" s="67"/>
      <c r="BA377" s="67"/>
      <c r="BB377" s="67"/>
      <c r="BC377" s="67"/>
      <c r="BD377" s="67"/>
      <c r="BE377" s="67"/>
      <c r="BF377" s="67"/>
      <c r="BG377" s="67" vm="11909">
        <f>CUBEVALUE(ConnectionString,ReportMonth,Table1[[#This Row],[Site ID (from DATIM)]],"[Measures].[TX_NEW_F_A]")</f>
        <v>3</v>
      </c>
      <c r="BH377" s="67" t="str" vm="11481">
        <f>CUBEVALUE(ConnectionString,ReportMonth,Table1[[#This Row],[Site ID (from DATIM)]],"[Measures].[TX_NEW_M_A]")</f>
        <v/>
      </c>
      <c r="BI377" s="67" t="str" vm="12853">
        <f>CUBEVALUE(ConnectionString,ReportMonth,Table1[[#This Row],[Site ID (from DATIM)]],"[Measures].[TX_NEW_F_P]")</f>
        <v/>
      </c>
      <c r="BJ377" s="68" t="str" vm="14260">
        <f>CUBEVALUE(ConnectionString,ReportMonth,Table1[[#This Row],[Site ID (from DATIM)]],"[Measures].[TX_NEW_M_P]")</f>
        <v/>
      </c>
      <c r="BK377" s="68"/>
      <c r="BL377" s="68"/>
      <c r="BM377" s="68"/>
      <c r="BN377" s="68"/>
      <c r="BO377" s="68"/>
      <c r="BP377" s="68"/>
      <c r="BQ377" s="68" vm="9951">
        <f>CUBEVALUE(ConnectionString,ReportMonth,Table1[[#This Row],[Site ID (from DATIM)]],"[Measures].[TX_CURR_F_P]")</f>
        <v>14</v>
      </c>
      <c r="BR377" s="68" vm="12252">
        <f>CUBEVALUE(ConnectionString,ReportMonth,Table1[[#This Row],[Site ID (from DATIM)]],"[Measures].[TX_CURR_M_P]")</f>
        <v>14</v>
      </c>
      <c r="BS377" s="68" vm="9155">
        <f>CUBEVALUE(ConnectionString,ReportMonth,Table1[[#This Row],[Site ID (from DATIM)]],"[Measures].[TX_CURR_F_A]")</f>
        <v>253</v>
      </c>
      <c r="BT377" s="68" vm="11981">
        <f>CUBEVALUE(ConnectionString,ReportMonth,Table1[[#This Row],[Site ID (from DATIM)]],"[Measures].[TX_CURR_M_A]")</f>
        <v>158</v>
      </c>
      <c r="BU377" s="68" vm="18636">
        <f>CUBEVALUE(ConnectionString,ReportMonth,Table1[[#This Row],[Site ID (from DATIM)]],"[Measures].[MMS_01_89_F_P]")</f>
        <v>4</v>
      </c>
      <c r="BV377" s="68" vm="19812">
        <f>CUBEVALUE(ConnectionString,ReportMonth,Table1[[#This Row],[Site ID (from DATIM)]],"[Measures].[MMS_01_89_M_P]")</f>
        <v>9</v>
      </c>
      <c r="BW377" s="68" vm="19176">
        <f>CUBEVALUE(ConnectionString,ReportMonth,Table1[[#This Row],[Site ID (from DATIM)]],"[Measures].[MMS_01_89_F_A]")</f>
        <v>92</v>
      </c>
      <c r="BX377" s="68" vm="17984">
        <f>CUBEVALUE(ConnectionString,ReportMonth,Table1[[#This Row],[Site ID (from DATIM)]],"[Measures].[MMS_01_89_M_A]")</f>
        <v>60</v>
      </c>
      <c r="BY377" s="68" vm="14734">
        <f>CUBEVALUE(ConnectionString,ReportMonth,Table1[[#This Row],[Site ID (from DATIM)]],"[Measures].[MMS_90_179_F_P]")</f>
        <v>10</v>
      </c>
      <c r="BZ377" s="68" vm="17772">
        <f>CUBEVALUE(ConnectionString,ReportMonth,Table1[[#This Row],[Site ID (from DATIM)]],"[Measures].[MMS_90_179_M_P]")</f>
        <v>5</v>
      </c>
      <c r="CA377" s="68" vm="16984">
        <f>CUBEVALUE(ConnectionString,ReportMonth,Table1[[#This Row],[Site ID (from DATIM)]],"[Measures].[MMS_90_179_F_A]")</f>
        <v>161</v>
      </c>
      <c r="CB377" s="68" vm="16457">
        <f>CUBEVALUE(ConnectionString,ReportMonth,Table1[[#This Row],[Site ID (from DATIM)]],"[Measures].[MMS_90_179_M_A]")</f>
        <v>98</v>
      </c>
      <c r="CC377" s="68" t="str" vm="16792">
        <f>CUBEVALUE(ConnectionString,ReportMonth,Table1[[#This Row],[Site ID (from DATIM)]],"[Measures].[MMS_180+_F_P]")</f>
        <v/>
      </c>
      <c r="CD377" s="68" t="str" vm="17615">
        <f>CUBEVALUE(ConnectionString,ReportMonth,Table1[[#This Row],[Site ID (from DATIM)]],"[Measures].[MMS_180+_M_P]")</f>
        <v/>
      </c>
      <c r="CE377" s="68" t="str" vm="160">
        <f>CUBEVALUE(ConnectionString,ReportMonth,Table1[[#This Row],[Site ID (from DATIM)]],"[Measures].[MMS_180+_F_A]")</f>
        <v/>
      </c>
      <c r="CF377" s="68" t="str" vm="171">
        <f>CUBEVALUE(ConnectionString,ReportMonth,Table1[[#This Row],[Site ID (from DATIM)]],"[Measures].[MMS_180+_M_A]")</f>
        <v/>
      </c>
      <c r="CG377" s="68" vm="5271">
        <f>CUBEVALUE(ConnectionString,ReportMonth,Table1[[#This Row],[Site ID (from DATIM)]],"[Measures].[MISSEDAPP]")</f>
        <v>138</v>
      </c>
      <c r="CH377" s="68" t="str" vm="12732">
        <f>CUBEVALUE(ConnectionString,ReportMonth,Table1[[#This Row],[Site ID (from DATIM)]],"[Measures].[MMS_180+_P]")</f>
        <v/>
      </c>
      <c r="CI377" s="68" t="str" vm="10466">
        <f>CUBEVALUE(ConnectionString,ReportMonth,Table1[[#This Row],[Site ID (from DATIM)]],"[Measures].[MMS_180+_A]")</f>
        <v/>
      </c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  <c r="CW377" s="68"/>
      <c r="CX377" s="68"/>
      <c r="CY377" s="68"/>
      <c r="CZ377" s="68"/>
      <c r="DA377" s="68"/>
      <c r="DB377" s="68"/>
      <c r="DC377" s="68"/>
    </row>
    <row r="378" spans="1:107" x14ac:dyDescent="0.25">
      <c r="A378" s="66">
        <v>3</v>
      </c>
      <c r="B378" s="67" t="str" vm="4">
        <f t="shared" si="6"/>
        <v>Mar-2021</v>
      </c>
      <c r="C378" s="67"/>
      <c r="D378" s="67" t="s">
        <v>232</v>
      </c>
      <c r="E378" s="67" t="s">
        <v>233</v>
      </c>
      <c r="F378" s="67" t="s">
        <v>1083</v>
      </c>
      <c r="G378" s="67"/>
      <c r="H378" s="67" t="s">
        <v>1113</v>
      </c>
      <c r="I378" s="67" t="s">
        <v>1258</v>
      </c>
      <c r="J378" s="67" t="s">
        <v>1259</v>
      </c>
      <c r="K378" s="67" t="s">
        <v>1260</v>
      </c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 t="str" vm="3163">
        <f>CUBEVALUE(ConnectionString,ReportMonth,Table1[[#This Row],[Site ID (from DATIM)]],"TX_NEW_2VIS")</f>
        <v/>
      </c>
      <c r="AE378" s="67" t="str" vm="1896">
        <f>CUBEVALUE(ConnectionString,ReportMonth,Table1[[#This Row],[Site ID (from DATIM)]],INDEX(SDI_Measures,1))</f>
        <v/>
      </c>
      <c r="AF378" s="67" t="str" vm="1758">
        <f>CUBEVALUE(ConnectionString,ReportMonth,Table1[[#This Row],[Site ID (from DATIM)]],INDEX(SDI_Measures,2))</f>
        <v/>
      </c>
      <c r="AG378" s="67" t="str" vm="833">
        <f>CUBEVALUE(ConnectionString,ReportMonth,Table1[[#This Row],[Site ID (from DATIM)]],INDEX(SDI_Measures,3))</f>
        <v/>
      </c>
      <c r="AH378" s="67" vm="412">
        <f>CUBEVALUE(ConnectionString,ReportMonth,Table1[[#This Row],[Site ID (from DATIM)]],"TX_CURR_PRIOR_MONTH")</f>
        <v>141</v>
      </c>
      <c r="AI378" s="67" vm="3486">
        <f>CUBEVALUE(ConnectionString,ReportMonth,Table1[[#This Row],[Site ID (from DATIM)]],"TX_CURR")</f>
        <v>65</v>
      </c>
      <c r="AJ378" s="67" t="str" vm="4135">
        <f>CUBEVALUE(ConnectionString,ReportMonth,Table1[[#This Row],[Site ID (from DATIM)]],"[Measures].[TI]")</f>
        <v/>
      </c>
      <c r="AK378" s="67" t="str" vm="2481">
        <f>CUBEVALUE(ConnectionString,ReportMonth,Table1[[#This Row],[Site ID (from DATIM)]],"[Measures].[TO]")</f>
        <v/>
      </c>
      <c r="AL378" s="67" t="str" vm="1365">
        <f>CUBEVALUE(ConnectionString,ReportMonth,Table1[[#This Row],[Site ID (from DATIM)]],"[Measures].[DIED]")</f>
        <v/>
      </c>
      <c r="AM378" s="67" vm="6171">
        <f>CUBEVALUE(ConnectionString,ReportMonth,Table1[[#This Row],[Site ID (from DATIM)]],"[Measures].[MMS_01_31]")</f>
        <v>5</v>
      </c>
      <c r="AN378" s="67" t="str" vm="7557">
        <f>CUBEVALUE(ConnectionString,ReportMonth,Table1[[#This Row],[Site ID (from DATIM)]],"[Measures].[MMS_32_62]")</f>
        <v/>
      </c>
      <c r="AO378" s="67" vm="11572">
        <f>CUBEVALUE(ConnectionString,ReportMonth,Table1[[#This Row],[Site ID (from DATIM)]],"[Measures].[MMS_63+]")</f>
        <v>60</v>
      </c>
      <c r="AP378" s="67" vm="8817">
        <f>CUBEVALUE(ConnectionString,ReportMonth,Table1[[#This Row],[Site ID (from DATIM)]],"[Measures].[TBPREV_D]")</f>
        <v>10</v>
      </c>
      <c r="AQ378" s="67" t="str" vm="4981">
        <f>CUBEVALUE(ConnectionString,ReportMonth,Table1[[#This Row],[Site ID (from DATIM)]],"[Measures].[TBPREV_N]")</f>
        <v/>
      </c>
      <c r="AR378" s="67" t="str" vm="6013">
        <f>CUBEVALUE(ConnectionString,ReportMonth,Table1[[#This Row],[Site ID (from DATIM)]],"[Measures].[TBPREV_NEW]")</f>
        <v/>
      </c>
      <c r="AS378" s="67" vm="11813">
        <f>CUBEVALUE(ConnectionString,ReportMonth,Table1[[#This Row],[Site ID (from DATIM)]],"[Measures].[HVL_ELIG_P]")</f>
        <v>2</v>
      </c>
      <c r="AT378" s="67" vm="10574">
        <f>CUBEVALUE(ConnectionString,ReportMonth,Table1[[#This Row],[Site ID (from DATIM)]],"[Measures].[HVL_D_P]")</f>
        <v>6</v>
      </c>
      <c r="AU378" s="67" vm="11545">
        <f>CUBEVALUE(ConnectionString,ReportMonth,Table1[[#This Row],[Site ID (from DATIM)]],"[Measures].[HVL_N_P]")</f>
        <v>5</v>
      </c>
      <c r="AV378" s="68" vm="8041">
        <f>CUBEVALUE(ConnectionString,ReportMonth,Table1[[#This Row],[Site ID (from DATIM)]],"[Measures].[HVL_ELIG_A]")</f>
        <v>61</v>
      </c>
      <c r="AW378" s="68" vm="9978">
        <f>CUBEVALUE(ConnectionString,ReportMonth,Table1[[#This Row],[Site ID (from DATIM)]],"[Measures].[HVL_D_A]")</f>
        <v>63</v>
      </c>
      <c r="AX378" s="68" vm="13317">
        <f>CUBEVALUE(ConnectionString,ReportMonth,Table1[[#This Row],[Site ID (from DATIM)]],"[Measures].[HVL_N_A]")</f>
        <v>59</v>
      </c>
      <c r="AY378" s="67"/>
      <c r="AZ378" s="67"/>
      <c r="BA378" s="67"/>
      <c r="BB378" s="67"/>
      <c r="BC378" s="67"/>
      <c r="BD378" s="67"/>
      <c r="BE378" s="67"/>
      <c r="BF378" s="67"/>
      <c r="BG378" s="67" t="str" vm="13449">
        <f>CUBEVALUE(ConnectionString,ReportMonth,Table1[[#This Row],[Site ID (from DATIM)]],"[Measures].[TX_NEW_F_A]")</f>
        <v/>
      </c>
      <c r="BH378" s="67" t="str" vm="14135">
        <f>CUBEVALUE(ConnectionString,ReportMonth,Table1[[#This Row],[Site ID (from DATIM)]],"[Measures].[TX_NEW_M_A]")</f>
        <v/>
      </c>
      <c r="BI378" s="67" t="str" vm="12063">
        <f>CUBEVALUE(ConnectionString,ReportMonth,Table1[[#This Row],[Site ID (from DATIM)]],"[Measures].[TX_NEW_F_P]")</f>
        <v/>
      </c>
      <c r="BJ378" s="68" t="str" vm="13459">
        <f>CUBEVALUE(ConnectionString,ReportMonth,Table1[[#This Row],[Site ID (from DATIM)]],"[Measures].[TX_NEW_M_P]")</f>
        <v/>
      </c>
      <c r="BK378" s="68"/>
      <c r="BL378" s="68"/>
      <c r="BM378" s="68"/>
      <c r="BN378" s="68"/>
      <c r="BO378" s="68"/>
      <c r="BP378" s="68"/>
      <c r="BQ378" s="68" vm="8386">
        <f>CUBEVALUE(ConnectionString,ReportMonth,Table1[[#This Row],[Site ID (from DATIM)]],"[Measures].[TX_CURR_F_P]")</f>
        <v>2</v>
      </c>
      <c r="BR378" s="68" t="str" vm="6618">
        <f>CUBEVALUE(ConnectionString,ReportMonth,Table1[[#This Row],[Site ID (from DATIM)]],"[Measures].[TX_CURR_M_P]")</f>
        <v/>
      </c>
      <c r="BS378" s="68" vm="10557">
        <f>CUBEVALUE(ConnectionString,ReportMonth,Table1[[#This Row],[Site ID (from DATIM)]],"[Measures].[TX_CURR_F_A]")</f>
        <v>44</v>
      </c>
      <c r="BT378" s="68" vm="12937">
        <f>CUBEVALUE(ConnectionString,ReportMonth,Table1[[#This Row],[Site ID (from DATIM)]],"[Measures].[TX_CURR_M_A]")</f>
        <v>19</v>
      </c>
      <c r="BU378" s="68" t="str" vm="18122">
        <f>CUBEVALUE(ConnectionString,ReportMonth,Table1[[#This Row],[Site ID (from DATIM)]],"[Measures].[MMS_01_89_F_P]")</f>
        <v/>
      </c>
      <c r="BV378" s="68" t="str" vm="18089">
        <f>CUBEVALUE(ConnectionString,ReportMonth,Table1[[#This Row],[Site ID (from DATIM)]],"[Measures].[MMS_01_89_M_P]")</f>
        <v/>
      </c>
      <c r="BW378" s="68" vm="18970">
        <f>CUBEVALUE(ConnectionString,ReportMonth,Table1[[#This Row],[Site ID (from DATIM)]],"[Measures].[MMS_01_89_F_A]")</f>
        <v>3</v>
      </c>
      <c r="BX378" s="68" vm="16112">
        <f>CUBEVALUE(ConnectionString,ReportMonth,Table1[[#This Row],[Site ID (from DATIM)]],"[Measures].[MMS_01_89_M_A]")</f>
        <v>3</v>
      </c>
      <c r="BY378" s="68" vm="16116">
        <f>CUBEVALUE(ConnectionString,ReportMonth,Table1[[#This Row],[Site ID (from DATIM)]],"[Measures].[MMS_90_179_F_P]")</f>
        <v>2</v>
      </c>
      <c r="BZ378" s="68" t="str" vm="17847">
        <f>CUBEVALUE(ConnectionString,ReportMonth,Table1[[#This Row],[Site ID (from DATIM)]],"[Measures].[MMS_90_179_M_P]")</f>
        <v/>
      </c>
      <c r="CA378" s="68" vm="16894">
        <f>CUBEVALUE(ConnectionString,ReportMonth,Table1[[#This Row],[Site ID (from DATIM)]],"[Measures].[MMS_90_179_F_A]")</f>
        <v>41</v>
      </c>
      <c r="CB378" s="68" vm="15129">
        <f>CUBEVALUE(ConnectionString,ReportMonth,Table1[[#This Row],[Site ID (from DATIM)]],"[Measures].[MMS_90_179_M_A]")</f>
        <v>16</v>
      </c>
      <c r="CC378" s="68" t="str" vm="16412">
        <f>CUBEVALUE(ConnectionString,ReportMonth,Table1[[#This Row],[Site ID (from DATIM)]],"[Measures].[MMS_180+_F_P]")</f>
        <v/>
      </c>
      <c r="CD378" s="68" t="str" vm="16768">
        <f>CUBEVALUE(ConnectionString,ReportMonth,Table1[[#This Row],[Site ID (from DATIM)]],"[Measures].[MMS_180+_M_P]")</f>
        <v/>
      </c>
      <c r="CE378" s="68" t="str" vm="14975">
        <f>CUBEVALUE(ConnectionString,ReportMonth,Table1[[#This Row],[Site ID (from DATIM)]],"[Measures].[MMS_180+_F_A]")</f>
        <v/>
      </c>
      <c r="CF378" s="68" t="str" vm="14897">
        <f>CUBEVALUE(ConnectionString,ReportMonth,Table1[[#This Row],[Site ID (from DATIM)]],"[Measures].[MMS_180+_M_A]")</f>
        <v/>
      </c>
      <c r="CG378" s="68" vm="5745">
        <f>CUBEVALUE(ConnectionString,ReportMonth,Table1[[#This Row],[Site ID (from DATIM)]],"[Measures].[MISSEDAPP]")</f>
        <v>50</v>
      </c>
      <c r="CH378" s="68" t="str" vm="13286">
        <f>CUBEVALUE(ConnectionString,ReportMonth,Table1[[#This Row],[Site ID (from DATIM)]],"[Measures].[MMS_180+_P]")</f>
        <v/>
      </c>
      <c r="CI378" s="68" t="str" vm="10647">
        <f>CUBEVALUE(ConnectionString,ReportMonth,Table1[[#This Row],[Site ID (from DATIM)]],"[Measures].[MMS_180+_A]")</f>
        <v/>
      </c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  <c r="CW378" s="68"/>
      <c r="CX378" s="68"/>
      <c r="CY378" s="68"/>
      <c r="CZ378" s="68"/>
      <c r="DA378" s="68"/>
      <c r="DB378" s="68"/>
      <c r="DC378" s="68"/>
    </row>
    <row r="379" spans="1:107" x14ac:dyDescent="0.25">
      <c r="A379" s="66">
        <v>4</v>
      </c>
      <c r="B379" s="67" t="str" vm="4">
        <f t="shared" si="6"/>
        <v>Mar-2021</v>
      </c>
      <c r="C379" s="67"/>
      <c r="D379" s="67" t="s">
        <v>232</v>
      </c>
      <c r="E379" s="67" t="s">
        <v>233</v>
      </c>
      <c r="F379" s="67" t="s">
        <v>1083</v>
      </c>
      <c r="G379" s="67"/>
      <c r="H379" s="67" t="s">
        <v>1113</v>
      </c>
      <c r="I379" s="67" t="s">
        <v>1258</v>
      </c>
      <c r="J379" s="67" t="s">
        <v>1261</v>
      </c>
      <c r="K379" s="67" t="s">
        <v>1262</v>
      </c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 vm="3869">
        <f>CUBEVALUE(ConnectionString,ReportMonth,Table1[[#This Row],[Site ID (from DATIM)]],"TX_NEW_2VIS")</f>
        <v>1</v>
      </c>
      <c r="AE379" s="67" vm="2206">
        <f>CUBEVALUE(ConnectionString,ReportMonth,Table1[[#This Row],[Site ID (from DATIM)]],INDEX(SDI_Measures,1))</f>
        <v>1</v>
      </c>
      <c r="AF379" s="67" t="str" vm="3082">
        <f>CUBEVALUE(ConnectionString,ReportMonth,Table1[[#This Row],[Site ID (from DATIM)]],INDEX(SDI_Measures,2))</f>
        <v/>
      </c>
      <c r="AG379" s="67" vm="1168">
        <f>CUBEVALUE(ConnectionString,ReportMonth,Table1[[#This Row],[Site ID (from DATIM)]],INDEX(SDI_Measures,3))</f>
        <v>1</v>
      </c>
      <c r="AH379" s="67" vm="1570">
        <f>CUBEVALUE(ConnectionString,ReportMonth,Table1[[#This Row],[Site ID (from DATIM)]],"TX_CURR_PRIOR_MONTH")</f>
        <v>113</v>
      </c>
      <c r="AI379" s="67" vm="1125">
        <f>CUBEVALUE(ConnectionString,ReportMonth,Table1[[#This Row],[Site ID (from DATIM)]],"TX_CURR")</f>
        <v>105</v>
      </c>
      <c r="AJ379" s="67" t="str" vm="2749">
        <f>CUBEVALUE(ConnectionString,ReportMonth,Table1[[#This Row],[Site ID (from DATIM)]],"[Measures].[TI]")</f>
        <v/>
      </c>
      <c r="AK379" s="67" t="str" vm="1860">
        <f>CUBEVALUE(ConnectionString,ReportMonth,Table1[[#This Row],[Site ID (from DATIM)]],"[Measures].[TO]")</f>
        <v/>
      </c>
      <c r="AL379" s="67" t="str" vm="1674">
        <f>CUBEVALUE(ConnectionString,ReportMonth,Table1[[#This Row],[Site ID (from DATIM)]],"[Measures].[DIED]")</f>
        <v/>
      </c>
      <c r="AM379" s="67" vm="4543">
        <f>CUBEVALUE(ConnectionString,ReportMonth,Table1[[#This Row],[Site ID (from DATIM)]],"[Measures].[MMS_01_31]")</f>
        <v>39</v>
      </c>
      <c r="AN379" s="67" vm="6077">
        <f>CUBEVALUE(ConnectionString,ReportMonth,Table1[[#This Row],[Site ID (from DATIM)]],"[Measures].[MMS_32_62]")</f>
        <v>4</v>
      </c>
      <c r="AO379" s="67" vm="7877">
        <f>CUBEVALUE(ConnectionString,ReportMonth,Table1[[#This Row],[Site ID (from DATIM)]],"[Measures].[MMS_63+]")</f>
        <v>62</v>
      </c>
      <c r="AP379" s="67" t="str" vm="9523">
        <f>CUBEVALUE(ConnectionString,ReportMonth,Table1[[#This Row],[Site ID (from DATIM)]],"[Measures].[TBPREV_D]")</f>
        <v/>
      </c>
      <c r="AQ379" s="67" t="str" vm="6849">
        <f>CUBEVALUE(ConnectionString,ReportMonth,Table1[[#This Row],[Site ID (from DATIM)]],"[Measures].[TBPREV_N]")</f>
        <v/>
      </c>
      <c r="AR379" s="67" vm="9101">
        <f>CUBEVALUE(ConnectionString,ReportMonth,Table1[[#This Row],[Site ID (from DATIM)]],"[Measures].[TBPREV_NEW]")</f>
        <v>1</v>
      </c>
      <c r="AS379" s="67" vm="5256">
        <f>CUBEVALUE(ConnectionString,ReportMonth,Table1[[#This Row],[Site ID (from DATIM)]],"[Measures].[HVL_ELIG_P]")</f>
        <v>7</v>
      </c>
      <c r="AT379" s="67" vm="7444">
        <f>CUBEVALUE(ConnectionString,ReportMonth,Table1[[#This Row],[Site ID (from DATIM)]],"[Measures].[HVL_D_P]")</f>
        <v>5</v>
      </c>
      <c r="AU379" s="67" vm="9470">
        <f>CUBEVALUE(ConnectionString,ReportMonth,Table1[[#This Row],[Site ID (from DATIM)]],"[Measures].[HVL_N_P]")</f>
        <v>4</v>
      </c>
      <c r="AV379" s="68" vm="10412">
        <f>CUBEVALUE(ConnectionString,ReportMonth,Table1[[#This Row],[Site ID (from DATIM)]],"[Measures].[HVL_ELIG_A]")</f>
        <v>86</v>
      </c>
      <c r="AW379" s="68" vm="7222">
        <f>CUBEVALUE(ConnectionString,ReportMonth,Table1[[#This Row],[Site ID (from DATIM)]],"[Measures].[HVL_D_A]")</f>
        <v>55</v>
      </c>
      <c r="AX379" s="68" vm="8275">
        <f>CUBEVALUE(ConnectionString,ReportMonth,Table1[[#This Row],[Site ID (from DATIM)]],"[Measures].[HVL_N_A]")</f>
        <v>50</v>
      </c>
      <c r="AY379" s="67"/>
      <c r="AZ379" s="67"/>
      <c r="BA379" s="67"/>
      <c r="BB379" s="67"/>
      <c r="BC379" s="67"/>
      <c r="BD379" s="67"/>
      <c r="BE379" s="67"/>
      <c r="BF379" s="67"/>
      <c r="BG379" s="67" vm="13518">
        <f>CUBEVALUE(ConnectionString,ReportMonth,Table1[[#This Row],[Site ID (from DATIM)]],"[Measures].[TX_NEW_F_A]")</f>
        <v>1</v>
      </c>
      <c r="BH379" s="67" vm="13728">
        <f>CUBEVALUE(ConnectionString,ReportMonth,Table1[[#This Row],[Site ID (from DATIM)]],"[Measures].[TX_NEW_M_A]")</f>
        <v>1</v>
      </c>
      <c r="BI379" s="67" t="str" vm="15277">
        <f>CUBEVALUE(ConnectionString,ReportMonth,Table1[[#This Row],[Site ID (from DATIM)]],"[Measures].[TX_NEW_F_P]")</f>
        <v/>
      </c>
      <c r="BJ379" s="68" t="str" vm="13736">
        <f>CUBEVALUE(ConnectionString,ReportMonth,Table1[[#This Row],[Site ID (from DATIM)]],"[Measures].[TX_NEW_M_P]")</f>
        <v/>
      </c>
      <c r="BK379" s="68"/>
      <c r="BL379" s="68"/>
      <c r="BM379" s="68"/>
      <c r="BN379" s="68"/>
      <c r="BO379" s="68"/>
      <c r="BP379" s="68"/>
      <c r="BQ379" s="68" vm="9552">
        <f>CUBEVALUE(ConnectionString,ReportMonth,Table1[[#This Row],[Site ID (from DATIM)]],"[Measures].[TX_CURR_F_P]")</f>
        <v>4</v>
      </c>
      <c r="BR379" s="68" vm="9795">
        <f>CUBEVALUE(ConnectionString,ReportMonth,Table1[[#This Row],[Site ID (from DATIM)]],"[Measures].[TX_CURR_M_P]")</f>
        <v>3</v>
      </c>
      <c r="BS379" s="68" vm="7711">
        <f>CUBEVALUE(ConnectionString,ReportMonth,Table1[[#This Row],[Site ID (from DATIM)]],"[Measures].[TX_CURR_F_A]")</f>
        <v>67</v>
      </c>
      <c r="BT379" s="68" vm="8220">
        <f>CUBEVALUE(ConnectionString,ReportMonth,Table1[[#This Row],[Site ID (from DATIM)]],"[Measures].[TX_CURR_M_A]")</f>
        <v>31</v>
      </c>
      <c r="BU379" s="68" vm="19797">
        <f>CUBEVALUE(ConnectionString,ReportMonth,Table1[[#This Row],[Site ID (from DATIM)]],"[Measures].[MMS_01_89_F_P]")</f>
        <v>3</v>
      </c>
      <c r="BV379" s="68" vm="19647">
        <f>CUBEVALUE(ConnectionString,ReportMonth,Table1[[#This Row],[Site ID (from DATIM)]],"[Measures].[MMS_01_89_M_P]")</f>
        <v>1</v>
      </c>
      <c r="BW379" s="68" vm="18969">
        <f>CUBEVALUE(ConnectionString,ReportMonth,Table1[[#This Row],[Site ID (from DATIM)]],"[Measures].[MMS_01_89_F_A]")</f>
        <v>25</v>
      </c>
      <c r="BX379" s="68" vm="18816">
        <f>CUBEVALUE(ConnectionString,ReportMonth,Table1[[#This Row],[Site ID (from DATIM)]],"[Measures].[MMS_01_89_M_A]")</f>
        <v>14</v>
      </c>
      <c r="BY379" s="68" vm="19887">
        <f>CUBEVALUE(ConnectionString,ReportMonth,Table1[[#This Row],[Site ID (from DATIM)]],"[Measures].[MMS_90_179_F_P]")</f>
        <v>1</v>
      </c>
      <c r="BZ379" s="68" vm="15985">
        <f>CUBEVALUE(ConnectionString,ReportMonth,Table1[[#This Row],[Site ID (from DATIM)]],"[Measures].[MMS_90_179_M_P]")</f>
        <v>2</v>
      </c>
      <c r="CA379" s="68" vm="16843">
        <f>CUBEVALUE(ConnectionString,ReportMonth,Table1[[#This Row],[Site ID (from DATIM)]],"[Measures].[MMS_90_179_F_A]")</f>
        <v>42</v>
      </c>
      <c r="CB379" s="68" vm="14657">
        <f>CUBEVALUE(ConnectionString,ReportMonth,Table1[[#This Row],[Site ID (from DATIM)]],"[Measures].[MMS_90_179_M_A]")</f>
        <v>17</v>
      </c>
      <c r="CC379" s="68" t="str" vm="15504">
        <f>CUBEVALUE(ConnectionString,ReportMonth,Table1[[#This Row],[Site ID (from DATIM)]],"[Measures].[MMS_180+_F_P]")</f>
        <v/>
      </c>
      <c r="CD379" s="68" t="str" vm="17487">
        <f>CUBEVALUE(ConnectionString,ReportMonth,Table1[[#This Row],[Site ID (from DATIM)]],"[Measures].[MMS_180+_M_P]")</f>
        <v/>
      </c>
      <c r="CE379" s="68" t="str" vm="15758">
        <f>CUBEVALUE(ConnectionString,ReportMonth,Table1[[#This Row],[Site ID (from DATIM)]],"[Measures].[MMS_180+_F_A]")</f>
        <v/>
      </c>
      <c r="CF379" s="68" t="str" vm="20222">
        <f>CUBEVALUE(ConnectionString,ReportMonth,Table1[[#This Row],[Site ID (from DATIM)]],"[Measures].[MMS_180+_M_A]")</f>
        <v/>
      </c>
      <c r="CG379" s="68" vm="9654">
        <f>CUBEVALUE(ConnectionString,ReportMonth,Table1[[#This Row],[Site ID (from DATIM)]],"[Measures].[MISSEDAPP]")</f>
        <v>25</v>
      </c>
      <c r="CH379" s="68" t="str" vm="12981">
        <f>CUBEVALUE(ConnectionString,ReportMonth,Table1[[#This Row],[Site ID (from DATIM)]],"[Measures].[MMS_180+_P]")</f>
        <v/>
      </c>
      <c r="CI379" s="68" t="str" vm="13042">
        <f>CUBEVALUE(ConnectionString,ReportMonth,Table1[[#This Row],[Site ID (from DATIM)]],"[Measures].[MMS_180+_A]")</f>
        <v/>
      </c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</row>
    <row r="380" spans="1:107" x14ac:dyDescent="0.25">
      <c r="A380" s="66">
        <v>4</v>
      </c>
      <c r="B380" s="67" t="str" vm="4">
        <f t="shared" si="6"/>
        <v>Mar-2021</v>
      </c>
      <c r="C380" s="67"/>
      <c r="D380" s="67" t="s">
        <v>232</v>
      </c>
      <c r="E380" s="67" t="s">
        <v>233</v>
      </c>
      <c r="F380" s="67" t="s">
        <v>437</v>
      </c>
      <c r="G380" s="67"/>
      <c r="H380" s="67" t="s">
        <v>478</v>
      </c>
      <c r="I380" s="67" t="s">
        <v>773</v>
      </c>
      <c r="J380" s="67" t="s">
        <v>774</v>
      </c>
      <c r="K380" s="67" t="s">
        <v>775</v>
      </c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 t="str" vm="4078">
        <f>CUBEVALUE(ConnectionString,ReportMonth,Table1[[#This Row],[Site ID (from DATIM)]],"TX_NEW_2VIS")</f>
        <v/>
      </c>
      <c r="AE380" s="67" t="str" vm="6283">
        <f>CUBEVALUE(ConnectionString,ReportMonth,Table1[[#This Row],[Site ID (from DATIM)]],INDEX(SDI_Measures,1))</f>
        <v/>
      </c>
      <c r="AF380" s="67" t="str" vm="1439">
        <f>CUBEVALUE(ConnectionString,ReportMonth,Table1[[#This Row],[Site ID (from DATIM)]],INDEX(SDI_Measures,2))</f>
        <v/>
      </c>
      <c r="AG380" s="67" t="str" vm="2398">
        <f>CUBEVALUE(ConnectionString,ReportMonth,Table1[[#This Row],[Site ID (from DATIM)]],INDEX(SDI_Measures,3))</f>
        <v/>
      </c>
      <c r="AH380" s="67" t="str" vm="2559">
        <f>CUBEVALUE(ConnectionString,ReportMonth,Table1[[#This Row],[Site ID (from DATIM)]],"TX_CURR_PRIOR_MONTH")</f>
        <v/>
      </c>
      <c r="AI380" s="67" t="str" vm="1353">
        <f>CUBEVALUE(ConnectionString,ReportMonth,Table1[[#This Row],[Site ID (from DATIM)]],"TX_CURR")</f>
        <v/>
      </c>
      <c r="AJ380" s="67" t="str" vm="3316">
        <f>CUBEVALUE(ConnectionString,ReportMonth,Table1[[#This Row],[Site ID (from DATIM)]],"[Measures].[TI]")</f>
        <v/>
      </c>
      <c r="AK380" s="67" t="str" vm="2787">
        <f>CUBEVALUE(ConnectionString,ReportMonth,Table1[[#This Row],[Site ID (from DATIM)]],"[Measures].[TO]")</f>
        <v/>
      </c>
      <c r="AL380" s="67" t="str" vm="3781">
        <f>CUBEVALUE(ConnectionString,ReportMonth,Table1[[#This Row],[Site ID (from DATIM)]],"[Measures].[DIED]")</f>
        <v/>
      </c>
      <c r="AM380" s="67" t="str" vm="4381">
        <f>CUBEVALUE(ConnectionString,ReportMonth,Table1[[#This Row],[Site ID (from DATIM)]],"[Measures].[MMS_01_31]")</f>
        <v/>
      </c>
      <c r="AN380" s="67" t="str" vm="4613">
        <f>CUBEVALUE(ConnectionString,ReportMonth,Table1[[#This Row],[Site ID (from DATIM)]],"[Measures].[MMS_32_62]")</f>
        <v/>
      </c>
      <c r="AO380" s="67" t="str" vm="4211">
        <f>CUBEVALUE(ConnectionString,ReportMonth,Table1[[#This Row],[Site ID (from DATIM)]],"[Measures].[MMS_63+]")</f>
        <v/>
      </c>
      <c r="AP380" s="67" t="str" vm="7861">
        <f>CUBEVALUE(ConnectionString,ReportMonth,Table1[[#This Row],[Site ID (from DATIM)]],"[Measures].[TBPREV_D]")</f>
        <v/>
      </c>
      <c r="AQ380" s="67" t="str" vm="6684">
        <f>CUBEVALUE(ConnectionString,ReportMonth,Table1[[#This Row],[Site ID (from DATIM)]],"[Measures].[TBPREV_N]")</f>
        <v/>
      </c>
      <c r="AR380" s="67" t="str" vm="6203">
        <f>CUBEVALUE(ConnectionString,ReportMonth,Table1[[#This Row],[Site ID (from DATIM)]],"[Measures].[TBPREV_NEW]")</f>
        <v/>
      </c>
      <c r="AS380" s="67" t="str" vm="7195">
        <f>CUBEVALUE(ConnectionString,ReportMonth,Table1[[#This Row],[Site ID (from DATIM)]],"[Measures].[HVL_ELIG_P]")</f>
        <v/>
      </c>
      <c r="AT380" s="67" t="str" vm="8542">
        <f>CUBEVALUE(ConnectionString,ReportMonth,Table1[[#This Row],[Site ID (from DATIM)]],"[Measures].[HVL_D_P]")</f>
        <v/>
      </c>
      <c r="AU380" s="67" t="str" vm="11052">
        <f>CUBEVALUE(ConnectionString,ReportMonth,Table1[[#This Row],[Site ID (from DATIM)]],"[Measures].[HVL_N_P]")</f>
        <v/>
      </c>
      <c r="AV380" s="68" t="str" vm="7934">
        <f>CUBEVALUE(ConnectionString,ReportMonth,Table1[[#This Row],[Site ID (from DATIM)]],"[Measures].[HVL_ELIG_A]")</f>
        <v/>
      </c>
      <c r="AW380" s="68" t="str" vm="8788">
        <f>CUBEVALUE(ConnectionString,ReportMonth,Table1[[#This Row],[Site ID (from DATIM)]],"[Measures].[HVL_D_A]")</f>
        <v/>
      </c>
      <c r="AX380" s="68" t="str" vm="11054">
        <f>CUBEVALUE(ConnectionString,ReportMonth,Table1[[#This Row],[Site ID (from DATIM)]],"[Measures].[HVL_N_A]")</f>
        <v/>
      </c>
      <c r="AY380" s="67"/>
      <c r="AZ380" s="67"/>
      <c r="BA380" s="67"/>
      <c r="BB380" s="67"/>
      <c r="BC380" s="67"/>
      <c r="BD380" s="67"/>
      <c r="BE380" s="67"/>
      <c r="BF380" s="67"/>
      <c r="BG380" s="67" t="str" vm="13782">
        <f>CUBEVALUE(ConnectionString,ReportMonth,Table1[[#This Row],[Site ID (from DATIM)]],"[Measures].[TX_NEW_F_A]")</f>
        <v/>
      </c>
      <c r="BH380" s="67" t="str" vm="11184">
        <f>CUBEVALUE(ConnectionString,ReportMonth,Table1[[#This Row],[Site ID (from DATIM)]],"[Measures].[TX_NEW_M_A]")</f>
        <v/>
      </c>
      <c r="BI380" s="67" t="str" vm="12454">
        <f>CUBEVALUE(ConnectionString,ReportMonth,Table1[[#This Row],[Site ID (from DATIM)]],"[Measures].[TX_NEW_F_P]")</f>
        <v/>
      </c>
      <c r="BJ380" s="68" t="str" vm="17446">
        <f>CUBEVALUE(ConnectionString,ReportMonth,Table1[[#This Row],[Site ID (from DATIM)]],"[Measures].[TX_NEW_M_P]")</f>
        <v/>
      </c>
      <c r="BK380" s="68"/>
      <c r="BL380" s="68"/>
      <c r="BM380" s="68"/>
      <c r="BN380" s="68"/>
      <c r="BO380" s="68"/>
      <c r="BP380" s="68"/>
      <c r="BQ380" s="68" t="str" vm="13491">
        <f>CUBEVALUE(ConnectionString,ReportMonth,Table1[[#This Row],[Site ID (from DATIM)]],"[Measures].[TX_CURR_F_P]")</f>
        <v/>
      </c>
      <c r="BR380" s="68" t="str" vm="9731">
        <f>CUBEVALUE(ConnectionString,ReportMonth,Table1[[#This Row],[Site ID (from DATIM)]],"[Measures].[TX_CURR_M_P]")</f>
        <v/>
      </c>
      <c r="BS380" s="68" t="str" vm="8030">
        <f>CUBEVALUE(ConnectionString,ReportMonth,Table1[[#This Row],[Site ID (from DATIM)]],"[Measures].[TX_CURR_F_A]")</f>
        <v/>
      </c>
      <c r="BT380" s="68" t="str" vm="9383">
        <f>CUBEVALUE(ConnectionString,ReportMonth,Table1[[#This Row],[Site ID (from DATIM)]],"[Measures].[TX_CURR_M_A]")</f>
        <v/>
      </c>
      <c r="BU380" s="68" t="str" vm="18655">
        <f>CUBEVALUE(ConnectionString,ReportMonth,Table1[[#This Row],[Site ID (from DATIM)]],"[Measures].[MMS_01_89_F_P]")</f>
        <v/>
      </c>
      <c r="BV380" s="68" t="str" vm="20112">
        <f>CUBEVALUE(ConnectionString,ReportMonth,Table1[[#This Row],[Site ID (from DATIM)]],"[Measures].[MMS_01_89_M_P]")</f>
        <v/>
      </c>
      <c r="BW380" s="68" t="str" vm="18588">
        <f>CUBEVALUE(ConnectionString,ReportMonth,Table1[[#This Row],[Site ID (from DATIM)]],"[Measures].[MMS_01_89_F_A]")</f>
        <v/>
      </c>
      <c r="BX380" s="68" t="str" vm="19387">
        <f>CUBEVALUE(ConnectionString,ReportMonth,Table1[[#This Row],[Site ID (from DATIM)]],"[Measures].[MMS_01_89_M_A]")</f>
        <v/>
      </c>
      <c r="BY380" s="68" t="str" vm="17852">
        <f>CUBEVALUE(ConnectionString,ReportMonth,Table1[[#This Row],[Site ID (from DATIM)]],"[Measures].[MMS_90_179_F_P]")</f>
        <v/>
      </c>
      <c r="BZ380" s="68" t="str" vm="18172">
        <f>CUBEVALUE(ConnectionString,ReportMonth,Table1[[#This Row],[Site ID (from DATIM)]],"[Measures].[MMS_90_179_M_P]")</f>
        <v/>
      </c>
      <c r="CA380" s="68" t="str" vm="15903">
        <f>CUBEVALUE(ConnectionString,ReportMonth,Table1[[#This Row],[Site ID (from DATIM)]],"[Measures].[MMS_90_179_F_A]")</f>
        <v/>
      </c>
      <c r="CB380" s="68" t="str" vm="14688">
        <f>CUBEVALUE(ConnectionString,ReportMonth,Table1[[#This Row],[Site ID (from DATIM)]],"[Measures].[MMS_90_179_M_A]")</f>
        <v/>
      </c>
      <c r="CC380" s="68" t="str" vm="17216">
        <f>CUBEVALUE(ConnectionString,ReportMonth,Table1[[#This Row],[Site ID (from DATIM)]],"[Measures].[MMS_180+_F_P]")</f>
        <v/>
      </c>
      <c r="CD380" s="68" t="str" vm="301">
        <f>CUBEVALUE(ConnectionString,ReportMonth,Table1[[#This Row],[Site ID (from DATIM)]],"[Measures].[MMS_180+_M_P]")</f>
        <v/>
      </c>
      <c r="CE380" s="68" t="str" vm="15344">
        <f>CUBEVALUE(ConnectionString,ReportMonth,Table1[[#This Row],[Site ID (from DATIM)]],"[Measures].[MMS_180+_F_A]")</f>
        <v/>
      </c>
      <c r="CF380" s="68" t="str" vm="310">
        <f>CUBEVALUE(ConnectionString,ReportMonth,Table1[[#This Row],[Site ID (from DATIM)]],"[Measures].[MMS_180+_M_A]")</f>
        <v/>
      </c>
      <c r="CG380" s="68" t="str" vm="5310">
        <f>CUBEVALUE(ConnectionString,ReportMonth,Table1[[#This Row],[Site ID (from DATIM)]],"[Measures].[MISSEDAPP]")</f>
        <v/>
      </c>
      <c r="CH380" s="68" t="str" vm="10995">
        <f>CUBEVALUE(ConnectionString,ReportMonth,Table1[[#This Row],[Site ID (from DATIM)]],"[Measures].[MMS_180+_P]")</f>
        <v/>
      </c>
      <c r="CI380" s="68" t="str" vm="13387">
        <f>CUBEVALUE(ConnectionString,ReportMonth,Table1[[#This Row],[Site ID (from DATIM)]],"[Measures].[MMS_180+_A]")</f>
        <v/>
      </c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  <c r="CW380" s="68"/>
      <c r="CX380" s="68"/>
      <c r="CY380" s="68"/>
      <c r="CZ380" s="68"/>
      <c r="DA380" s="68"/>
      <c r="DB380" s="68"/>
      <c r="DC380" s="68"/>
    </row>
    <row r="381" spans="1:107" x14ac:dyDescent="0.25">
      <c r="A381" s="66">
        <v>4</v>
      </c>
      <c r="B381" s="67" t="str" vm="4">
        <f t="shared" si="6"/>
        <v>Mar-2021</v>
      </c>
      <c r="C381" s="67"/>
      <c r="D381" s="67" t="s">
        <v>232</v>
      </c>
      <c r="E381" s="67" t="s">
        <v>233</v>
      </c>
      <c r="F381" s="67" t="s">
        <v>437</v>
      </c>
      <c r="G381" s="67"/>
      <c r="H381" s="67" t="s">
        <v>461</v>
      </c>
      <c r="I381" s="67" t="s">
        <v>776</v>
      </c>
      <c r="J381" s="67" t="s">
        <v>777</v>
      </c>
      <c r="K381" s="67" t="s">
        <v>778</v>
      </c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 t="str" vm="3520">
        <f>CUBEVALUE(ConnectionString,ReportMonth,Table1[[#This Row],[Site ID (from DATIM)]],"TX_NEW_2VIS")</f>
        <v/>
      </c>
      <c r="AE381" s="67" t="str" vm="1550">
        <f>CUBEVALUE(ConnectionString,ReportMonth,Table1[[#This Row],[Site ID (from DATIM)]],INDEX(SDI_Measures,1))</f>
        <v/>
      </c>
      <c r="AF381" s="67" t="str" vm="4012">
        <f>CUBEVALUE(ConnectionString,ReportMonth,Table1[[#This Row],[Site ID (from DATIM)]],INDEX(SDI_Measures,2))</f>
        <v/>
      </c>
      <c r="AG381" s="67" t="str" vm="1549">
        <f>CUBEVALUE(ConnectionString,ReportMonth,Table1[[#This Row],[Site ID (from DATIM)]],INDEX(SDI_Measures,3))</f>
        <v/>
      </c>
      <c r="AH381" s="67" vm="2191">
        <f>CUBEVALUE(ConnectionString,ReportMonth,Table1[[#This Row],[Site ID (from DATIM)]],"TX_CURR_PRIOR_MONTH")</f>
        <v>18</v>
      </c>
      <c r="AI381" s="67" vm="3459">
        <f>CUBEVALUE(ConnectionString,ReportMonth,Table1[[#This Row],[Site ID (from DATIM)]],"TX_CURR")</f>
        <v>18</v>
      </c>
      <c r="AJ381" s="67" t="str" vm="3583">
        <f>CUBEVALUE(ConnectionString,ReportMonth,Table1[[#This Row],[Site ID (from DATIM)]],"[Measures].[TI]")</f>
        <v/>
      </c>
      <c r="AK381" s="67" t="str" vm="2515">
        <f>CUBEVALUE(ConnectionString,ReportMonth,Table1[[#This Row],[Site ID (from DATIM)]],"[Measures].[TO]")</f>
        <v/>
      </c>
      <c r="AL381" s="67" t="str" vm="403">
        <f>CUBEVALUE(ConnectionString,ReportMonth,Table1[[#This Row],[Site ID (from DATIM)]],"[Measures].[DIED]")</f>
        <v/>
      </c>
      <c r="AM381" s="67" vm="3320">
        <f>CUBEVALUE(ConnectionString,ReportMonth,Table1[[#This Row],[Site ID (from DATIM)]],"[Measures].[MMS_01_31]")</f>
        <v>5</v>
      </c>
      <c r="AN381" s="67" t="str" vm="7614">
        <f>CUBEVALUE(ConnectionString,ReportMonth,Table1[[#This Row],[Site ID (from DATIM)]],"[Measures].[MMS_32_62]")</f>
        <v/>
      </c>
      <c r="AO381" s="67" vm="7428">
        <f>CUBEVALUE(ConnectionString,ReportMonth,Table1[[#This Row],[Site ID (from DATIM)]],"[Measures].[MMS_63+]")</f>
        <v>13</v>
      </c>
      <c r="AP381" s="67" vm="4760">
        <f>CUBEVALUE(ConnectionString,ReportMonth,Table1[[#This Row],[Site ID (from DATIM)]],"[Measures].[TBPREV_D]")</f>
        <v>1</v>
      </c>
      <c r="AQ381" s="67" t="str" vm="5620">
        <f>CUBEVALUE(ConnectionString,ReportMonth,Table1[[#This Row],[Site ID (from DATIM)]],"[Measures].[TBPREV_N]")</f>
        <v/>
      </c>
      <c r="AR381" s="67" t="str" vm="7109">
        <f>CUBEVALUE(ConnectionString,ReportMonth,Table1[[#This Row],[Site ID (from DATIM)]],"[Measures].[TBPREV_NEW]")</f>
        <v/>
      </c>
      <c r="AS381" s="67" t="str" vm="6490">
        <f>CUBEVALUE(ConnectionString,ReportMonth,Table1[[#This Row],[Site ID (from DATIM)]],"[Measures].[HVL_ELIG_P]")</f>
        <v/>
      </c>
      <c r="AT381" s="67" t="str" vm="8352">
        <f>CUBEVALUE(ConnectionString,ReportMonth,Table1[[#This Row],[Site ID (from DATIM)]],"[Measures].[HVL_D_P]")</f>
        <v/>
      </c>
      <c r="AU381" s="67" t="str" vm="8192">
        <f>CUBEVALUE(ConnectionString,ReportMonth,Table1[[#This Row],[Site ID (from DATIM)]],"[Measures].[HVL_N_P]")</f>
        <v/>
      </c>
      <c r="AV381" s="68" vm="8625">
        <f>CUBEVALUE(ConnectionString,ReportMonth,Table1[[#This Row],[Site ID (from DATIM)]],"[Measures].[HVL_ELIG_A]")</f>
        <v>14</v>
      </c>
      <c r="AW381" s="68" vm="12521">
        <f>CUBEVALUE(ConnectionString,ReportMonth,Table1[[#This Row],[Site ID (from DATIM)]],"[Measures].[HVL_D_A]")</f>
        <v>9</v>
      </c>
      <c r="AX381" s="68" vm="12724">
        <f>CUBEVALUE(ConnectionString,ReportMonth,Table1[[#This Row],[Site ID (from DATIM)]],"[Measures].[HVL_N_A]")</f>
        <v>9</v>
      </c>
      <c r="AY381" s="67"/>
      <c r="AZ381" s="67"/>
      <c r="BA381" s="67"/>
      <c r="BB381" s="67"/>
      <c r="BC381" s="67"/>
      <c r="BD381" s="67"/>
      <c r="BE381" s="67"/>
      <c r="BF381" s="67"/>
      <c r="BG381" s="67" t="str" vm="12947">
        <f>CUBEVALUE(ConnectionString,ReportMonth,Table1[[#This Row],[Site ID (from DATIM)]],"[Measures].[TX_NEW_F_A]")</f>
        <v/>
      </c>
      <c r="BH381" s="67" t="str" vm="12594">
        <f>CUBEVALUE(ConnectionString,ReportMonth,Table1[[#This Row],[Site ID (from DATIM)]],"[Measures].[TX_NEW_M_A]")</f>
        <v/>
      </c>
      <c r="BI381" s="67" t="str" vm="12400">
        <f>CUBEVALUE(ConnectionString,ReportMonth,Table1[[#This Row],[Site ID (from DATIM)]],"[Measures].[TX_NEW_F_P]")</f>
        <v/>
      </c>
      <c r="BJ381" s="68" t="str" vm="15289">
        <f>CUBEVALUE(ConnectionString,ReportMonth,Table1[[#This Row],[Site ID (from DATIM)]],"[Measures].[TX_NEW_M_P]")</f>
        <v/>
      </c>
      <c r="BK381" s="68"/>
      <c r="BL381" s="68"/>
      <c r="BM381" s="68"/>
      <c r="BN381" s="68"/>
      <c r="BO381" s="68"/>
      <c r="BP381" s="68"/>
      <c r="BQ381" s="68" t="str" vm="7259">
        <f>CUBEVALUE(ConnectionString,ReportMonth,Table1[[#This Row],[Site ID (from DATIM)]],"[Measures].[TX_CURR_F_P]")</f>
        <v/>
      </c>
      <c r="BR381" s="68" t="str" vm="14263">
        <f>CUBEVALUE(ConnectionString,ReportMonth,Table1[[#This Row],[Site ID (from DATIM)]],"[Measures].[TX_CURR_M_P]")</f>
        <v/>
      </c>
      <c r="BS381" s="68" vm="9139">
        <f>CUBEVALUE(ConnectionString,ReportMonth,Table1[[#This Row],[Site ID (from DATIM)]],"[Measures].[TX_CURR_F_A]")</f>
        <v>15</v>
      </c>
      <c r="BT381" s="68" vm="10261">
        <f>CUBEVALUE(ConnectionString,ReportMonth,Table1[[#This Row],[Site ID (from DATIM)]],"[Measures].[TX_CURR_M_A]")</f>
        <v>3</v>
      </c>
      <c r="BU381" s="68" t="str" vm="19763">
        <f>CUBEVALUE(ConnectionString,ReportMonth,Table1[[#This Row],[Site ID (from DATIM)]],"[Measures].[MMS_01_89_F_P]")</f>
        <v/>
      </c>
      <c r="BV381" s="68" t="str" vm="20111">
        <f>CUBEVALUE(ConnectionString,ReportMonth,Table1[[#This Row],[Site ID (from DATIM)]],"[Measures].[MMS_01_89_M_P]")</f>
        <v/>
      </c>
      <c r="BW381" s="68" vm="19996">
        <f>CUBEVALUE(ConnectionString,ReportMonth,Table1[[#This Row],[Site ID (from DATIM)]],"[Measures].[MMS_01_89_F_A]")</f>
        <v>5</v>
      </c>
      <c r="BX381" s="68" t="str" vm="19596">
        <f>CUBEVALUE(ConnectionString,ReportMonth,Table1[[#This Row],[Site ID (from DATIM)]],"[Measures].[MMS_01_89_M_A]")</f>
        <v/>
      </c>
      <c r="BY381" s="68" t="str" vm="15926">
        <f>CUBEVALUE(ConnectionString,ReportMonth,Table1[[#This Row],[Site ID (from DATIM)]],"[Measures].[MMS_90_179_F_P]")</f>
        <v/>
      </c>
      <c r="BZ381" s="68" t="str" vm="16075">
        <f>CUBEVALUE(ConnectionString,ReportMonth,Table1[[#This Row],[Site ID (from DATIM)]],"[Measures].[MMS_90_179_M_P]")</f>
        <v/>
      </c>
      <c r="CA381" s="68" vm="16837">
        <f>CUBEVALUE(ConnectionString,ReportMonth,Table1[[#This Row],[Site ID (from DATIM)]],"[Measures].[MMS_90_179_F_A]")</f>
        <v>10</v>
      </c>
      <c r="CB381" s="68" vm="14701">
        <f>CUBEVALUE(ConnectionString,ReportMonth,Table1[[#This Row],[Site ID (from DATIM)]],"[Measures].[MMS_90_179_M_A]")</f>
        <v>3</v>
      </c>
      <c r="CC381" s="68" t="str" vm="16661">
        <f>CUBEVALUE(ConnectionString,ReportMonth,Table1[[#This Row],[Site ID (from DATIM)]],"[Measures].[MMS_180+_F_P]")</f>
        <v/>
      </c>
      <c r="CD381" s="68" t="str" vm="17184">
        <f>CUBEVALUE(ConnectionString,ReportMonth,Table1[[#This Row],[Site ID (from DATIM)]],"[Measures].[MMS_180+_M_P]")</f>
        <v/>
      </c>
      <c r="CE381" s="68" t="str" vm="15821">
        <f>CUBEVALUE(ConnectionString,ReportMonth,Table1[[#This Row],[Site ID (from DATIM)]],"[Measures].[MMS_180+_F_A]")</f>
        <v/>
      </c>
      <c r="CF381" s="68" t="str" vm="28">
        <f>CUBEVALUE(ConnectionString,ReportMonth,Table1[[#This Row],[Site ID (from DATIM)]],"[Measures].[MMS_180+_M_A]")</f>
        <v/>
      </c>
      <c r="CG381" s="68" vm="4196">
        <f>CUBEVALUE(ConnectionString,ReportMonth,Table1[[#This Row],[Site ID (from DATIM)]],"[Measures].[MISSEDAPP]")</f>
        <v>6</v>
      </c>
      <c r="CH381" s="68" t="str" vm="12777">
        <f>CUBEVALUE(ConnectionString,ReportMonth,Table1[[#This Row],[Site ID (from DATIM)]],"[Measures].[MMS_180+_P]")</f>
        <v/>
      </c>
      <c r="CI381" s="68" t="str" vm="11651">
        <f>CUBEVALUE(ConnectionString,ReportMonth,Table1[[#This Row],[Site ID (from DATIM)]],"[Measures].[MMS_180+_A]")</f>
        <v/>
      </c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  <c r="CW381" s="68"/>
      <c r="CX381" s="68"/>
      <c r="CY381" s="68"/>
      <c r="CZ381" s="68"/>
      <c r="DA381" s="68"/>
      <c r="DB381" s="68"/>
      <c r="DC381" s="68"/>
    </row>
    <row r="382" spans="1:107" x14ac:dyDescent="0.25">
      <c r="A382" s="66">
        <v>4</v>
      </c>
      <c r="B382" s="67" t="str" vm="4">
        <f t="shared" si="6"/>
        <v>Mar-2021</v>
      </c>
      <c r="C382" s="67"/>
      <c r="D382" s="67" t="s">
        <v>232</v>
      </c>
      <c r="E382" s="67" t="s">
        <v>233</v>
      </c>
      <c r="F382" s="67" t="s">
        <v>437</v>
      </c>
      <c r="G382" s="67"/>
      <c r="H382" s="67" t="s">
        <v>454</v>
      </c>
      <c r="I382" s="67" t="s">
        <v>779</v>
      </c>
      <c r="J382" s="67" t="s">
        <v>780</v>
      </c>
      <c r="K382" s="67" t="s">
        <v>781</v>
      </c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 t="str" vm="1872">
        <f>CUBEVALUE(ConnectionString,ReportMonth,Table1[[#This Row],[Site ID (from DATIM)]],"TX_NEW_2VIS")</f>
        <v/>
      </c>
      <c r="AE382" s="67" t="str" vm="4753">
        <f>CUBEVALUE(ConnectionString,ReportMonth,Table1[[#This Row],[Site ID (from DATIM)]],INDEX(SDI_Measures,1))</f>
        <v/>
      </c>
      <c r="AF382" s="67" t="str" vm="7588">
        <f>CUBEVALUE(ConnectionString,ReportMonth,Table1[[#This Row],[Site ID (from DATIM)]],INDEX(SDI_Measures,2))</f>
        <v/>
      </c>
      <c r="AG382" s="67" t="str" vm="3457">
        <f>CUBEVALUE(ConnectionString,ReportMonth,Table1[[#This Row],[Site ID (from DATIM)]],INDEX(SDI_Measures,3))</f>
        <v/>
      </c>
      <c r="AH382" s="67" t="str" vm="1632">
        <f>CUBEVALUE(ConnectionString,ReportMonth,Table1[[#This Row],[Site ID (from DATIM)]],"TX_CURR_PRIOR_MONTH")</f>
        <v/>
      </c>
      <c r="AI382" s="67" t="str" vm="3157">
        <f>CUBEVALUE(ConnectionString,ReportMonth,Table1[[#This Row],[Site ID (from DATIM)]],"TX_CURR")</f>
        <v/>
      </c>
      <c r="AJ382" s="67" t="str" vm="2146">
        <f>CUBEVALUE(ConnectionString,ReportMonth,Table1[[#This Row],[Site ID (from DATIM)]],"[Measures].[TI]")</f>
        <v/>
      </c>
      <c r="AK382" s="67" t="str" vm="2732">
        <f>CUBEVALUE(ConnectionString,ReportMonth,Table1[[#This Row],[Site ID (from DATIM)]],"[Measures].[TO]")</f>
        <v/>
      </c>
      <c r="AL382" s="67" t="str" vm="1548">
        <f>CUBEVALUE(ConnectionString,ReportMonth,Table1[[#This Row],[Site ID (from DATIM)]],"[Measures].[DIED]")</f>
        <v/>
      </c>
      <c r="AM382" s="67" t="str" vm="4043">
        <f>CUBEVALUE(ConnectionString,ReportMonth,Table1[[#This Row],[Site ID (from DATIM)]],"[Measures].[MMS_01_31]")</f>
        <v/>
      </c>
      <c r="AN382" s="67" t="str" vm="5060">
        <f>CUBEVALUE(ConnectionString,ReportMonth,Table1[[#This Row],[Site ID (from DATIM)]],"[Measures].[MMS_32_62]")</f>
        <v/>
      </c>
      <c r="AO382" s="67" t="str" vm="6856">
        <f>CUBEVALUE(ConnectionString,ReportMonth,Table1[[#This Row],[Site ID (from DATIM)]],"[Measures].[MMS_63+]")</f>
        <v/>
      </c>
      <c r="AP382" s="67" t="str" vm="5921">
        <f>CUBEVALUE(ConnectionString,ReportMonth,Table1[[#This Row],[Site ID (from DATIM)]],"[Measures].[TBPREV_D]")</f>
        <v/>
      </c>
      <c r="AQ382" s="67" t="str" vm="7551">
        <f>CUBEVALUE(ConnectionString,ReportMonth,Table1[[#This Row],[Site ID (from DATIM)]],"[Measures].[TBPREV_N]")</f>
        <v/>
      </c>
      <c r="AR382" s="67" t="str" vm="5738">
        <f>CUBEVALUE(ConnectionString,ReportMonth,Table1[[#This Row],[Site ID (from DATIM)]],"[Measures].[TBPREV_NEW]")</f>
        <v/>
      </c>
      <c r="AS382" s="67" t="str" vm="4679">
        <f>CUBEVALUE(ConnectionString,ReportMonth,Table1[[#This Row],[Site ID (from DATIM)]],"[Measures].[HVL_ELIG_P]")</f>
        <v/>
      </c>
      <c r="AT382" s="67" t="str" vm="6263">
        <f>CUBEVALUE(ConnectionString,ReportMonth,Table1[[#This Row],[Site ID (from DATIM)]],"[Measures].[HVL_D_P]")</f>
        <v/>
      </c>
      <c r="AU382" s="67" t="str" vm="14117">
        <f>CUBEVALUE(ConnectionString,ReportMonth,Table1[[#This Row],[Site ID (from DATIM)]],"[Measures].[HVL_N_P]")</f>
        <v/>
      </c>
      <c r="AV382" s="68" t="str" vm="7984">
        <f>CUBEVALUE(ConnectionString,ReportMonth,Table1[[#This Row],[Site ID (from DATIM)]],"[Measures].[HVL_ELIG_A]")</f>
        <v/>
      </c>
      <c r="AW382" s="68" t="str" vm="11499">
        <f>CUBEVALUE(ConnectionString,ReportMonth,Table1[[#This Row],[Site ID (from DATIM)]],"[Measures].[HVL_D_A]")</f>
        <v/>
      </c>
      <c r="AX382" s="68" t="str" vm="8899">
        <f>CUBEVALUE(ConnectionString,ReportMonth,Table1[[#This Row],[Site ID (from DATIM)]],"[Measures].[HVL_N_A]")</f>
        <v/>
      </c>
      <c r="AY382" s="67"/>
      <c r="AZ382" s="67"/>
      <c r="BA382" s="67"/>
      <c r="BB382" s="67"/>
      <c r="BC382" s="67"/>
      <c r="BD382" s="67"/>
      <c r="BE382" s="67"/>
      <c r="BF382" s="67"/>
      <c r="BG382" s="67" t="str" vm="14128">
        <f>CUBEVALUE(ConnectionString,ReportMonth,Table1[[#This Row],[Site ID (from DATIM)]],"[Measures].[TX_NEW_F_A]")</f>
        <v/>
      </c>
      <c r="BH382" s="67" t="str" vm="12171">
        <f>CUBEVALUE(ConnectionString,ReportMonth,Table1[[#This Row],[Site ID (from DATIM)]],"[Measures].[TX_NEW_M_A]")</f>
        <v/>
      </c>
      <c r="BI382" s="67" t="str" vm="14868">
        <f>CUBEVALUE(ConnectionString,ReportMonth,Table1[[#This Row],[Site ID (from DATIM)]],"[Measures].[TX_NEW_F_P]")</f>
        <v/>
      </c>
      <c r="BJ382" s="68" t="str" vm="14235">
        <f>CUBEVALUE(ConnectionString,ReportMonth,Table1[[#This Row],[Site ID (from DATIM)]],"[Measures].[TX_NEW_M_P]")</f>
        <v/>
      </c>
      <c r="BK382" s="68"/>
      <c r="BL382" s="68"/>
      <c r="BM382" s="68"/>
      <c r="BN382" s="68"/>
      <c r="BO382" s="68"/>
      <c r="BP382" s="68"/>
      <c r="BQ382" s="68" t="str" vm="13539">
        <f>CUBEVALUE(ConnectionString,ReportMonth,Table1[[#This Row],[Site ID (from DATIM)]],"[Measures].[TX_CURR_F_P]")</f>
        <v/>
      </c>
      <c r="BR382" s="68" t="str" vm="13642">
        <f>CUBEVALUE(ConnectionString,ReportMonth,Table1[[#This Row],[Site ID (from DATIM)]],"[Measures].[TX_CURR_M_P]")</f>
        <v/>
      </c>
      <c r="BS382" s="68" t="str" vm="11976">
        <f>CUBEVALUE(ConnectionString,ReportMonth,Table1[[#This Row],[Site ID (from DATIM)]],"[Measures].[TX_CURR_F_A]")</f>
        <v/>
      </c>
      <c r="BT382" s="68" t="str" vm="10045">
        <f>CUBEVALUE(ConnectionString,ReportMonth,Table1[[#This Row],[Site ID (from DATIM)]],"[Measures].[TX_CURR_M_A]")</f>
        <v/>
      </c>
      <c r="BU382" s="68" t="str" vm="20151">
        <f>CUBEVALUE(ConnectionString,ReportMonth,Table1[[#This Row],[Site ID (from DATIM)]],"[Measures].[MMS_01_89_F_P]")</f>
        <v/>
      </c>
      <c r="BV382" s="68" t="str" vm="19265">
        <f>CUBEVALUE(ConnectionString,ReportMonth,Table1[[#This Row],[Site ID (from DATIM)]],"[Measures].[MMS_01_89_M_P]")</f>
        <v/>
      </c>
      <c r="BW382" s="68" t="str" vm="18332">
        <f>CUBEVALUE(ConnectionString,ReportMonth,Table1[[#This Row],[Site ID (from DATIM)]],"[Measures].[MMS_01_89_F_A]")</f>
        <v/>
      </c>
      <c r="BX382" s="68" t="str" vm="18906">
        <f>CUBEVALUE(ConnectionString,ReportMonth,Table1[[#This Row],[Site ID (from DATIM)]],"[Measures].[MMS_01_89_M_A]")</f>
        <v/>
      </c>
      <c r="BY382" s="68" t="str" vm="17952">
        <f>CUBEVALUE(ConnectionString,ReportMonth,Table1[[#This Row],[Site ID (from DATIM)]],"[Measures].[MMS_90_179_F_P]")</f>
        <v/>
      </c>
      <c r="BZ382" s="68" t="str" vm="18812">
        <f>CUBEVALUE(ConnectionString,ReportMonth,Table1[[#This Row],[Site ID (from DATIM)]],"[Measures].[MMS_90_179_M_P]")</f>
        <v/>
      </c>
      <c r="CA382" s="68" t="str" vm="17690">
        <f>CUBEVALUE(ConnectionString,ReportMonth,Table1[[#This Row],[Site ID (from DATIM)]],"[Measures].[MMS_90_179_F_A]")</f>
        <v/>
      </c>
      <c r="CB382" s="68" t="str" vm="16925">
        <f>CUBEVALUE(ConnectionString,ReportMonth,Table1[[#This Row],[Site ID (from DATIM)]],"[Measures].[MMS_90_179_M_A]")</f>
        <v/>
      </c>
      <c r="CC382" s="68" t="str" vm="19287">
        <f>CUBEVALUE(ConnectionString,ReportMonth,Table1[[#This Row],[Site ID (from DATIM)]],"[Measures].[MMS_180+_F_P]")</f>
        <v/>
      </c>
      <c r="CD382" s="68" t="str" vm="15813">
        <f>CUBEVALUE(ConnectionString,ReportMonth,Table1[[#This Row],[Site ID (from DATIM)]],"[Measures].[MMS_180+_M_P]")</f>
        <v/>
      </c>
      <c r="CE382" s="68" t="str" vm="20208">
        <f>CUBEVALUE(ConnectionString,ReportMonth,Table1[[#This Row],[Site ID (from DATIM)]],"[Measures].[MMS_180+_F_A]")</f>
        <v/>
      </c>
      <c r="CF382" s="68" t="str" vm="14955">
        <f>CUBEVALUE(ConnectionString,ReportMonth,Table1[[#This Row],[Site ID (from DATIM)]],"[Measures].[MMS_180+_M_A]")</f>
        <v/>
      </c>
      <c r="CG382" s="68" t="str" vm="7909">
        <f>CUBEVALUE(ConnectionString,ReportMonth,Table1[[#This Row],[Site ID (from DATIM)]],"[Measures].[MISSEDAPP]")</f>
        <v/>
      </c>
      <c r="CH382" s="68" t="str" vm="14050">
        <f>CUBEVALUE(ConnectionString,ReportMonth,Table1[[#This Row],[Site ID (from DATIM)]],"[Measures].[MMS_180+_P]")</f>
        <v/>
      </c>
      <c r="CI382" s="68" t="str" vm="11164">
        <f>CUBEVALUE(ConnectionString,ReportMonth,Table1[[#This Row],[Site ID (from DATIM)]],"[Measures].[MMS_180+_A]")</f>
        <v/>
      </c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  <c r="CW382" s="68"/>
      <c r="CX382" s="68"/>
      <c r="CY382" s="68"/>
      <c r="CZ382" s="68"/>
      <c r="DA382" s="68"/>
      <c r="DB382" s="68"/>
      <c r="DC382" s="68"/>
    </row>
    <row r="383" spans="1:107" x14ac:dyDescent="0.25">
      <c r="A383" s="66">
        <v>4</v>
      </c>
      <c r="B383" s="67" t="str" vm="4">
        <f t="shared" si="6"/>
        <v>Mar-2021</v>
      </c>
      <c r="C383" s="67"/>
      <c r="D383" s="67" t="s">
        <v>232</v>
      </c>
      <c r="E383" s="67" t="s">
        <v>233</v>
      </c>
      <c r="F383" s="67" t="s">
        <v>831</v>
      </c>
      <c r="G383" s="67"/>
      <c r="H383" s="67" t="s">
        <v>836</v>
      </c>
      <c r="I383" s="67" t="s">
        <v>1020</v>
      </c>
      <c r="J383" s="67" t="s">
        <v>1021</v>
      </c>
      <c r="K383" s="67" t="s">
        <v>1022</v>
      </c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 t="str" vm="3775">
        <f>CUBEVALUE(ConnectionString,ReportMonth,Table1[[#This Row],[Site ID (from DATIM)]],"TX_NEW_2VIS")</f>
        <v/>
      </c>
      <c r="AE383" s="67" t="str" vm="503">
        <f>CUBEVALUE(ConnectionString,ReportMonth,Table1[[#This Row],[Site ID (from DATIM)]],INDEX(SDI_Measures,1))</f>
        <v/>
      </c>
      <c r="AF383" s="67" t="str" vm="496">
        <f>CUBEVALUE(ConnectionString,ReportMonth,Table1[[#This Row],[Site ID (from DATIM)]],INDEX(SDI_Measures,2))</f>
        <v/>
      </c>
      <c r="AG383" s="67" t="str" vm="582">
        <f>CUBEVALUE(ConnectionString,ReportMonth,Table1[[#This Row],[Site ID (from DATIM)]],INDEX(SDI_Measures,3))</f>
        <v/>
      </c>
      <c r="AH383" s="67" vm="760">
        <f>CUBEVALUE(ConnectionString,ReportMonth,Table1[[#This Row],[Site ID (from DATIM)]],"TX_CURR_PRIOR_MONTH")</f>
        <v>178</v>
      </c>
      <c r="AI383" s="67" vm="4243">
        <f>CUBEVALUE(ConnectionString,ReportMonth,Table1[[#This Row],[Site ID (from DATIM)]],"TX_CURR")</f>
        <v>149</v>
      </c>
      <c r="AJ383" s="67" t="str" vm="3028">
        <f>CUBEVALUE(ConnectionString,ReportMonth,Table1[[#This Row],[Site ID (from DATIM)]],"[Measures].[TI]")</f>
        <v/>
      </c>
      <c r="AK383" s="67" t="str" vm="925">
        <f>CUBEVALUE(ConnectionString,ReportMonth,Table1[[#This Row],[Site ID (from DATIM)]],"[Measures].[TO]")</f>
        <v/>
      </c>
      <c r="AL383" s="67" t="str" vm="3169">
        <f>CUBEVALUE(ConnectionString,ReportMonth,Table1[[#This Row],[Site ID (from DATIM)]],"[Measures].[DIED]")</f>
        <v/>
      </c>
      <c r="AM383" s="67" vm="6084">
        <f>CUBEVALUE(ConnectionString,ReportMonth,Table1[[#This Row],[Site ID (from DATIM)]],"[Measures].[MMS_01_31]")</f>
        <v>74</v>
      </c>
      <c r="AN383" s="67" vm="4864">
        <f>CUBEVALUE(ConnectionString,ReportMonth,Table1[[#This Row],[Site ID (from DATIM)]],"[Measures].[MMS_32_62]")</f>
        <v>4</v>
      </c>
      <c r="AO383" s="67" vm="5082">
        <f>CUBEVALUE(ConnectionString,ReportMonth,Table1[[#This Row],[Site ID (from DATIM)]],"[Measures].[MMS_63+]")</f>
        <v>71</v>
      </c>
      <c r="AP383" s="67" vm="5162">
        <f>CUBEVALUE(ConnectionString,ReportMonth,Table1[[#This Row],[Site ID (from DATIM)]],"[Measures].[TBPREV_D]")</f>
        <v>5</v>
      </c>
      <c r="AQ383" s="67" vm="5282">
        <f>CUBEVALUE(ConnectionString,ReportMonth,Table1[[#This Row],[Site ID (from DATIM)]],"[Measures].[TBPREV_N]")</f>
        <v>1</v>
      </c>
      <c r="AR383" s="67" t="str" vm="5922">
        <f>CUBEVALUE(ConnectionString,ReportMonth,Table1[[#This Row],[Site ID (from DATIM)]],"[Measures].[TBPREV_NEW]")</f>
        <v/>
      </c>
      <c r="AS383" s="67" t="str" vm="4803">
        <f>CUBEVALUE(ConnectionString,ReportMonth,Table1[[#This Row],[Site ID (from DATIM)]],"[Measures].[HVL_ELIG_P]")</f>
        <v/>
      </c>
      <c r="AT383" s="67" t="str" vm="13207">
        <f>CUBEVALUE(ConnectionString,ReportMonth,Table1[[#This Row],[Site ID (from DATIM)]],"[Measures].[HVL_D_P]")</f>
        <v/>
      </c>
      <c r="AU383" s="67" t="str" vm="11112">
        <f>CUBEVALUE(ConnectionString,ReportMonth,Table1[[#This Row],[Site ID (from DATIM)]],"[Measures].[HVL_N_P]")</f>
        <v/>
      </c>
      <c r="AV383" s="68" vm="9818">
        <f>CUBEVALUE(ConnectionString,ReportMonth,Table1[[#This Row],[Site ID (from DATIM)]],"[Measures].[HVL_ELIG_A]")</f>
        <v>107</v>
      </c>
      <c r="AW383" s="68" vm="13813">
        <f>CUBEVALUE(ConnectionString,ReportMonth,Table1[[#This Row],[Site ID (from DATIM)]],"[Measures].[HVL_D_A]")</f>
        <v>47</v>
      </c>
      <c r="AX383" s="68" vm="8487">
        <f>CUBEVALUE(ConnectionString,ReportMonth,Table1[[#This Row],[Site ID (from DATIM)]],"[Measures].[HVL_N_A]")</f>
        <v>43</v>
      </c>
      <c r="AY383" s="67"/>
      <c r="AZ383" s="67"/>
      <c r="BA383" s="67"/>
      <c r="BB383" s="67"/>
      <c r="BC383" s="67"/>
      <c r="BD383" s="67"/>
      <c r="BE383" s="67"/>
      <c r="BF383" s="67"/>
      <c r="BG383" s="67" t="str" vm="13946">
        <f>CUBEVALUE(ConnectionString,ReportMonth,Table1[[#This Row],[Site ID (from DATIM)]],"[Measures].[TX_NEW_F_A]")</f>
        <v/>
      </c>
      <c r="BH383" s="67" t="str" vm="13893">
        <f>CUBEVALUE(ConnectionString,ReportMonth,Table1[[#This Row],[Site ID (from DATIM)]],"[Measures].[TX_NEW_M_A]")</f>
        <v/>
      </c>
      <c r="BI383" s="67" t="str" vm="13708">
        <f>CUBEVALUE(ConnectionString,ReportMonth,Table1[[#This Row],[Site ID (from DATIM)]],"[Measures].[TX_NEW_F_P]")</f>
        <v/>
      </c>
      <c r="BJ383" s="68" t="str" vm="15312">
        <f>CUBEVALUE(ConnectionString,ReportMonth,Table1[[#This Row],[Site ID (from DATIM)]],"[Measures].[TX_NEW_M_P]")</f>
        <v/>
      </c>
      <c r="BK383" s="68"/>
      <c r="BL383" s="68"/>
      <c r="BM383" s="68"/>
      <c r="BN383" s="68"/>
      <c r="BO383" s="68"/>
      <c r="BP383" s="68"/>
      <c r="BQ383" s="68" t="str" vm="7287">
        <f>CUBEVALUE(ConnectionString,ReportMonth,Table1[[#This Row],[Site ID (from DATIM)]],"[Measures].[TX_CURR_F_P]")</f>
        <v/>
      </c>
      <c r="BR383" s="68" t="str" vm="12671">
        <f>CUBEVALUE(ConnectionString,ReportMonth,Table1[[#This Row],[Site ID (from DATIM)]],"[Measures].[TX_CURR_M_P]")</f>
        <v/>
      </c>
      <c r="BS383" s="68" vm="8915">
        <f>CUBEVALUE(ConnectionString,ReportMonth,Table1[[#This Row],[Site ID (from DATIM)]],"[Measures].[TX_CURR_F_A]")</f>
        <v>89</v>
      </c>
      <c r="BT383" s="68" vm="10343">
        <f>CUBEVALUE(ConnectionString,ReportMonth,Table1[[#This Row],[Site ID (from DATIM)]],"[Measures].[TX_CURR_M_A]")</f>
        <v>60</v>
      </c>
      <c r="BU383" s="68" t="str" vm="18698">
        <f>CUBEVALUE(ConnectionString,ReportMonth,Table1[[#This Row],[Site ID (from DATIM)]],"[Measures].[MMS_01_89_F_P]")</f>
        <v/>
      </c>
      <c r="BV383" s="68" t="str" vm="19282">
        <f>CUBEVALUE(ConnectionString,ReportMonth,Table1[[#This Row],[Site ID (from DATIM)]],"[Measures].[MMS_01_89_M_P]")</f>
        <v/>
      </c>
      <c r="BW383" s="68" vm="18016">
        <f>CUBEVALUE(ConnectionString,ReportMonth,Table1[[#This Row],[Site ID (from DATIM)]],"[Measures].[MMS_01_89_F_A]")</f>
        <v>53</v>
      </c>
      <c r="BX383" s="68" vm="16111">
        <f>CUBEVALUE(ConnectionString,ReportMonth,Table1[[#This Row],[Site ID (from DATIM)]],"[Measures].[MMS_01_89_M_A]")</f>
        <v>26</v>
      </c>
      <c r="BY383" s="68" t="str" vm="16118">
        <f>CUBEVALUE(ConnectionString,ReportMonth,Table1[[#This Row],[Site ID (from DATIM)]],"[Measures].[MMS_90_179_F_P]")</f>
        <v/>
      </c>
      <c r="BZ383" s="68" t="str" vm="18483">
        <f>CUBEVALUE(ConnectionString,ReportMonth,Table1[[#This Row],[Site ID (from DATIM)]],"[Measures].[MMS_90_179_M_P]")</f>
        <v/>
      </c>
      <c r="CA383" s="68" vm="17296">
        <f>CUBEVALUE(ConnectionString,ReportMonth,Table1[[#This Row],[Site ID (from DATIM)]],"[Measures].[MMS_90_179_F_A]")</f>
        <v>35</v>
      </c>
      <c r="CB383" s="68" vm="15940">
        <f>CUBEVALUE(ConnectionString,ReportMonth,Table1[[#This Row],[Site ID (from DATIM)]],"[Measures].[MMS_90_179_M_A]")</f>
        <v>33</v>
      </c>
      <c r="CC383" s="68" t="str" vm="17618">
        <f>CUBEVALUE(ConnectionString,ReportMonth,Table1[[#This Row],[Site ID (from DATIM)]],"[Measures].[MMS_180+_F_P]")</f>
        <v/>
      </c>
      <c r="CD383" s="68" t="str" vm="17575">
        <f>CUBEVALUE(ConnectionString,ReportMonth,Table1[[#This Row],[Site ID (from DATIM)]],"[Measures].[MMS_180+_M_P]")</f>
        <v/>
      </c>
      <c r="CE383" s="68" vm="15453">
        <f>CUBEVALUE(ConnectionString,ReportMonth,Table1[[#This Row],[Site ID (from DATIM)]],"[Measures].[MMS_180+_F_A]")</f>
        <v>1</v>
      </c>
      <c r="CF383" s="68" vm="14882">
        <f>CUBEVALUE(ConnectionString,ReportMonth,Table1[[#This Row],[Site ID (from DATIM)]],"[Measures].[MMS_180+_M_A]")</f>
        <v>1</v>
      </c>
      <c r="CG383" s="68" vm="8607">
        <f>CUBEVALUE(ConnectionString,ReportMonth,Table1[[#This Row],[Site ID (from DATIM)]],"[Measures].[MISSEDAPP]")</f>
        <v>98</v>
      </c>
      <c r="CH383" s="68" t="str" vm="15672">
        <f>CUBEVALUE(ConnectionString,ReportMonth,Table1[[#This Row],[Site ID (from DATIM)]],"[Measures].[MMS_180+_P]")</f>
        <v/>
      </c>
      <c r="CI383" s="68" vm="14370">
        <f>CUBEVALUE(ConnectionString,ReportMonth,Table1[[#This Row],[Site ID (from DATIM)]],"[Measures].[MMS_180+_A]")</f>
        <v>2</v>
      </c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  <c r="CW383" s="68"/>
      <c r="CX383" s="68"/>
      <c r="CY383" s="68"/>
      <c r="CZ383" s="68"/>
      <c r="DA383" s="68"/>
      <c r="DB383" s="68"/>
      <c r="DC383" s="68"/>
    </row>
    <row r="384" spans="1:107" x14ac:dyDescent="0.25">
      <c r="A384" s="66">
        <v>2</v>
      </c>
      <c r="B384" s="67" t="str" vm="4">
        <f t="shared" si="6"/>
        <v>Mar-2021</v>
      </c>
      <c r="C384" s="67"/>
      <c r="D384" s="67" t="s">
        <v>232</v>
      </c>
      <c r="E384" s="67" t="s">
        <v>233</v>
      </c>
      <c r="F384" s="67" t="s">
        <v>831</v>
      </c>
      <c r="G384" s="67"/>
      <c r="H384" s="67" t="s">
        <v>836</v>
      </c>
      <c r="I384" s="67" t="s">
        <v>1023</v>
      </c>
      <c r="J384" s="67" t="s">
        <v>1024</v>
      </c>
      <c r="K384" s="67" t="s">
        <v>1025</v>
      </c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 t="str" vm="4053">
        <f>CUBEVALUE(ConnectionString,ReportMonth,Table1[[#This Row],[Site ID (from DATIM)]],"TX_NEW_2VIS")</f>
        <v/>
      </c>
      <c r="AE384" s="67" t="str" vm="2856">
        <f>CUBEVALUE(ConnectionString,ReportMonth,Table1[[#This Row],[Site ID (from DATIM)]],INDEX(SDI_Measures,1))</f>
        <v/>
      </c>
      <c r="AF384" s="67" t="str" vm="730">
        <f>CUBEVALUE(ConnectionString,ReportMonth,Table1[[#This Row],[Site ID (from DATIM)]],INDEX(SDI_Measures,2))</f>
        <v/>
      </c>
      <c r="AG384" s="67" t="str" vm="516">
        <f>CUBEVALUE(ConnectionString,ReportMonth,Table1[[#This Row],[Site ID (from DATIM)]],INDEX(SDI_Measures,3))</f>
        <v/>
      </c>
      <c r="AH384" s="67" vm="3679">
        <f>CUBEVALUE(ConnectionString,ReportMonth,Table1[[#This Row],[Site ID (from DATIM)]],"TX_CURR_PRIOR_MONTH")</f>
        <v>854</v>
      </c>
      <c r="AI384" s="67" vm="918">
        <f>CUBEVALUE(ConnectionString,ReportMonth,Table1[[#This Row],[Site ID (from DATIM)]],"TX_CURR")</f>
        <v>767</v>
      </c>
      <c r="AJ384" s="67" t="str" vm="770">
        <f>CUBEVALUE(ConnectionString,ReportMonth,Table1[[#This Row],[Site ID (from DATIM)]],"[Measures].[TI]")</f>
        <v/>
      </c>
      <c r="AK384" s="67" t="str" vm="2778">
        <f>CUBEVALUE(ConnectionString,ReportMonth,Table1[[#This Row],[Site ID (from DATIM)]],"[Measures].[TO]")</f>
        <v/>
      </c>
      <c r="AL384" s="67" t="str" vm="2611">
        <f>CUBEVALUE(ConnectionString,ReportMonth,Table1[[#This Row],[Site ID (from DATIM)]],"[Measures].[DIED]")</f>
        <v/>
      </c>
      <c r="AM384" s="67" vm="4697">
        <f>CUBEVALUE(ConnectionString,ReportMonth,Table1[[#This Row],[Site ID (from DATIM)]],"[Measures].[MMS_01_31]")</f>
        <v>155</v>
      </c>
      <c r="AN384" s="67" vm="4848">
        <f>CUBEVALUE(ConnectionString,ReportMonth,Table1[[#This Row],[Site ID (from DATIM)]],"[Measures].[MMS_32_62]")</f>
        <v>14</v>
      </c>
      <c r="AO384" s="67" vm="6443">
        <f>CUBEVALUE(ConnectionString,ReportMonth,Table1[[#This Row],[Site ID (from DATIM)]],"[Measures].[MMS_63+]")</f>
        <v>598</v>
      </c>
      <c r="AP384" s="67" t="str" vm="7463">
        <f>CUBEVALUE(ConnectionString,ReportMonth,Table1[[#This Row],[Site ID (from DATIM)]],"[Measures].[TBPREV_D]")</f>
        <v/>
      </c>
      <c r="AQ384" s="67" t="str" vm="8763">
        <f>CUBEVALUE(ConnectionString,ReportMonth,Table1[[#This Row],[Site ID (from DATIM)]],"[Measures].[TBPREV_N]")</f>
        <v/>
      </c>
      <c r="AR384" s="67" t="str" vm="5828">
        <f>CUBEVALUE(ConnectionString,ReportMonth,Table1[[#This Row],[Site ID (from DATIM)]],"[Measures].[TBPREV_NEW]")</f>
        <v/>
      </c>
      <c r="AS384" s="67" t="str" vm="8114">
        <f>CUBEVALUE(ConnectionString,ReportMonth,Table1[[#This Row],[Site ID (from DATIM)]],"[Measures].[HVL_ELIG_P]")</f>
        <v/>
      </c>
      <c r="AT384" s="67" t="str" vm="9108">
        <f>CUBEVALUE(ConnectionString,ReportMonth,Table1[[#This Row],[Site ID (from DATIM)]],"[Measures].[HVL_D_P]")</f>
        <v/>
      </c>
      <c r="AU384" s="67" t="str" vm="7234">
        <f>CUBEVALUE(ConnectionString,ReportMonth,Table1[[#This Row],[Site ID (from DATIM)]],"[Measures].[HVL_N_P]")</f>
        <v/>
      </c>
      <c r="AV384" s="68" t="str" vm="12073">
        <f>CUBEVALUE(ConnectionString,ReportMonth,Table1[[#This Row],[Site ID (from DATIM)]],"[Measures].[HVL_ELIG_A]")</f>
        <v/>
      </c>
      <c r="AW384" s="68" t="str" vm="7229">
        <f>CUBEVALUE(ConnectionString,ReportMonth,Table1[[#This Row],[Site ID (from DATIM)]],"[Measures].[HVL_D_A]")</f>
        <v/>
      </c>
      <c r="AX384" s="68" t="str" vm="7716">
        <f>CUBEVALUE(ConnectionString,ReportMonth,Table1[[#This Row],[Site ID (from DATIM)]],"[Measures].[HVL_N_A]")</f>
        <v/>
      </c>
      <c r="AY384" s="67"/>
      <c r="AZ384" s="67"/>
      <c r="BA384" s="67"/>
      <c r="BB384" s="67"/>
      <c r="BC384" s="67"/>
      <c r="BD384" s="67"/>
      <c r="BE384" s="67"/>
      <c r="BF384" s="67"/>
      <c r="BG384" s="67" t="str" vm="14076">
        <f>CUBEVALUE(ConnectionString,ReportMonth,Table1[[#This Row],[Site ID (from DATIM)]],"[Measures].[TX_NEW_F_A]")</f>
        <v/>
      </c>
      <c r="BH384" s="67" t="str" vm="11477">
        <f>CUBEVALUE(ConnectionString,ReportMonth,Table1[[#This Row],[Site ID (from DATIM)]],"[Measures].[TX_NEW_M_A]")</f>
        <v/>
      </c>
      <c r="BI384" s="67" t="str" vm="13973">
        <f>CUBEVALUE(ConnectionString,ReportMonth,Table1[[#This Row],[Site ID (from DATIM)]],"[Measures].[TX_NEW_F_P]")</f>
        <v/>
      </c>
      <c r="BJ384" s="68" t="str" vm="14363">
        <f>CUBEVALUE(ConnectionString,ReportMonth,Table1[[#This Row],[Site ID (from DATIM)]],"[Measures].[TX_NEW_M_P]")</f>
        <v/>
      </c>
      <c r="BK384" s="68"/>
      <c r="BL384" s="68"/>
      <c r="BM384" s="68"/>
      <c r="BN384" s="68"/>
      <c r="BO384" s="68"/>
      <c r="BP384" s="68"/>
      <c r="BQ384" s="68" vm="11396">
        <f>CUBEVALUE(ConnectionString,ReportMonth,Table1[[#This Row],[Site ID (from DATIM)]],"[Measures].[TX_CURR_F_P]")</f>
        <v>15</v>
      </c>
      <c r="BR384" s="68" vm="8791">
        <f>CUBEVALUE(ConnectionString,ReportMonth,Table1[[#This Row],[Site ID (from DATIM)]],"[Measures].[TX_CURR_M_P]")</f>
        <v>15</v>
      </c>
      <c r="BS384" s="68" vm="15300">
        <f>CUBEVALUE(ConnectionString,ReportMonth,Table1[[#This Row],[Site ID (from DATIM)]],"[Measures].[TX_CURR_F_A]")</f>
        <v>545</v>
      </c>
      <c r="BT384" s="68" vm="10834">
        <f>CUBEVALUE(ConnectionString,ReportMonth,Table1[[#This Row],[Site ID (from DATIM)]],"[Measures].[TX_CURR_M_A]")</f>
        <v>192</v>
      </c>
      <c r="BU384" s="68" vm="18359">
        <f>CUBEVALUE(ConnectionString,ReportMonth,Table1[[#This Row],[Site ID (from DATIM)]],"[Measures].[MMS_01_89_F_P]")</f>
        <v>4</v>
      </c>
      <c r="BV384" s="68" vm="17781">
        <f>CUBEVALUE(ConnectionString,ReportMonth,Table1[[#This Row],[Site ID (from DATIM)]],"[Measures].[MMS_01_89_M_P]")</f>
        <v>6</v>
      </c>
      <c r="BW384" s="68" vm="19460">
        <f>CUBEVALUE(ConnectionString,ReportMonth,Table1[[#This Row],[Site ID (from DATIM)]],"[Measures].[MMS_01_89_F_A]")</f>
        <v>246</v>
      </c>
      <c r="BX384" s="68" vm="19390">
        <f>CUBEVALUE(ConnectionString,ReportMonth,Table1[[#This Row],[Site ID (from DATIM)]],"[Measures].[MMS_01_89_M_A]")</f>
        <v>86</v>
      </c>
      <c r="BY384" s="68" vm="15140">
        <f>CUBEVALUE(ConnectionString,ReportMonth,Table1[[#This Row],[Site ID (from DATIM)]],"[Measures].[MMS_90_179_F_P]")</f>
        <v>11</v>
      </c>
      <c r="BZ384" s="68" vm="19629">
        <f>CUBEVALUE(ConnectionString,ReportMonth,Table1[[#This Row],[Site ID (from DATIM)]],"[Measures].[MMS_90_179_M_P]")</f>
        <v>9</v>
      </c>
      <c r="CA384" s="68" vm="17240">
        <f>CUBEVALUE(ConnectionString,ReportMonth,Table1[[#This Row],[Site ID (from DATIM)]],"[Measures].[MMS_90_179_F_A]")</f>
        <v>299</v>
      </c>
      <c r="CB384" s="68" vm="17642">
        <f>CUBEVALUE(ConnectionString,ReportMonth,Table1[[#This Row],[Site ID (from DATIM)]],"[Measures].[MMS_90_179_M_A]")</f>
        <v>106</v>
      </c>
      <c r="CC384" s="68" t="str" vm="15123">
        <f>CUBEVALUE(ConnectionString,ReportMonth,Table1[[#This Row],[Site ID (from DATIM)]],"[Measures].[MMS_180+_F_P]")</f>
        <v/>
      </c>
      <c r="CD384" s="68" t="str" vm="17245">
        <f>CUBEVALUE(ConnectionString,ReportMonth,Table1[[#This Row],[Site ID (from DATIM)]],"[Measures].[MMS_180+_M_P]")</f>
        <v/>
      </c>
      <c r="CE384" s="68" t="str" vm="17196">
        <f>CUBEVALUE(ConnectionString,ReportMonth,Table1[[#This Row],[Site ID (from DATIM)]],"[Measures].[MMS_180+_F_A]")</f>
        <v/>
      </c>
      <c r="CF384" s="68" t="str" vm="50">
        <f>CUBEVALUE(ConnectionString,ReportMonth,Table1[[#This Row],[Site ID (from DATIM)]],"[Measures].[MMS_180+_M_A]")</f>
        <v/>
      </c>
      <c r="CG384" s="68" vm="6663">
        <f>CUBEVALUE(ConnectionString,ReportMonth,Table1[[#This Row],[Site ID (from DATIM)]],"[Measures].[MISSEDAPP]")</f>
        <v>390</v>
      </c>
      <c r="CH384" s="68" t="str" vm="13545">
        <f>CUBEVALUE(ConnectionString,ReportMonth,Table1[[#This Row],[Site ID (from DATIM)]],"[Measures].[MMS_180+_P]")</f>
        <v/>
      </c>
      <c r="CI384" s="68" t="str" vm="10171">
        <f>CUBEVALUE(ConnectionString,ReportMonth,Table1[[#This Row],[Site ID (from DATIM)]],"[Measures].[MMS_180+_A]")</f>
        <v/>
      </c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  <c r="CW384" s="68"/>
      <c r="CX384" s="68"/>
      <c r="CY384" s="68"/>
      <c r="CZ384" s="68"/>
      <c r="DA384" s="68"/>
      <c r="DB384" s="68"/>
      <c r="DC384" s="68"/>
    </row>
    <row r="385" spans="1:107" x14ac:dyDescent="0.25">
      <c r="A385" s="66">
        <v>4</v>
      </c>
      <c r="B385" s="67" t="str" vm="4">
        <f t="shared" si="6"/>
        <v>Mar-2021</v>
      </c>
      <c r="C385" s="67"/>
      <c r="D385" s="67" t="s">
        <v>232</v>
      </c>
      <c r="E385" s="67" t="s">
        <v>233</v>
      </c>
      <c r="F385" s="67" t="s">
        <v>1286</v>
      </c>
      <c r="G385" s="67"/>
      <c r="H385" s="67" t="s">
        <v>1323</v>
      </c>
      <c r="I385" s="67" t="s">
        <v>1501</v>
      </c>
      <c r="J385" s="67" t="s">
        <v>1502</v>
      </c>
      <c r="K385" s="67" t="s">
        <v>1503</v>
      </c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 t="str" vm="2378">
        <f>CUBEVALUE(ConnectionString,ReportMonth,Table1[[#This Row],[Site ID (from DATIM)]],"TX_NEW_2VIS")</f>
        <v/>
      </c>
      <c r="AE385" s="67" t="str" vm="14886">
        <f>CUBEVALUE(ConnectionString,ReportMonth,Table1[[#This Row],[Site ID (from DATIM)]],INDEX(SDI_Measures,1))</f>
        <v/>
      </c>
      <c r="AF385" s="67" t="str" vm="795">
        <f>CUBEVALUE(ConnectionString,ReportMonth,Table1[[#This Row],[Site ID (from DATIM)]],INDEX(SDI_Measures,2))</f>
        <v/>
      </c>
      <c r="AG385" s="67" t="str" vm="3534">
        <f>CUBEVALUE(ConnectionString,ReportMonth,Table1[[#This Row],[Site ID (from DATIM)]],INDEX(SDI_Measures,3))</f>
        <v/>
      </c>
      <c r="AH385" s="67" t="str" vm="4131">
        <f>CUBEVALUE(ConnectionString,ReportMonth,Table1[[#This Row],[Site ID (from DATIM)]],"TX_CURR_PRIOR_MONTH")</f>
        <v/>
      </c>
      <c r="AI385" s="67" t="str" vm="1293">
        <f>CUBEVALUE(ConnectionString,ReportMonth,Table1[[#This Row],[Site ID (from DATIM)]],"TX_CURR")</f>
        <v/>
      </c>
      <c r="AJ385" s="67" t="str" vm="5965">
        <f>CUBEVALUE(ConnectionString,ReportMonth,Table1[[#This Row],[Site ID (from DATIM)]],"[Measures].[TI]")</f>
        <v/>
      </c>
      <c r="AK385" s="67" t="str" vm="2878">
        <f>CUBEVALUE(ConnectionString,ReportMonth,Table1[[#This Row],[Site ID (from DATIM)]],"[Measures].[TO]")</f>
        <v/>
      </c>
      <c r="AL385" s="67" t="str" vm="3501">
        <f>CUBEVALUE(ConnectionString,ReportMonth,Table1[[#This Row],[Site ID (from DATIM)]],"[Measures].[DIED]")</f>
        <v/>
      </c>
      <c r="AM385" s="67" t="str" vm="3394">
        <f>CUBEVALUE(ConnectionString,ReportMonth,Table1[[#This Row],[Site ID (from DATIM)]],"[Measures].[MMS_01_31]")</f>
        <v/>
      </c>
      <c r="AN385" s="67" t="str" vm="6679">
        <f>CUBEVALUE(ConnectionString,ReportMonth,Table1[[#This Row],[Site ID (from DATIM)]],"[Measures].[MMS_32_62]")</f>
        <v/>
      </c>
      <c r="AO385" s="67" t="str" vm="5744">
        <f>CUBEVALUE(ConnectionString,ReportMonth,Table1[[#This Row],[Site ID (from DATIM)]],"[Measures].[MMS_63+]")</f>
        <v/>
      </c>
      <c r="AP385" s="67" t="str" vm="4868">
        <f>CUBEVALUE(ConnectionString,ReportMonth,Table1[[#This Row],[Site ID (from DATIM)]],"[Measures].[TBPREV_D]")</f>
        <v/>
      </c>
      <c r="AQ385" s="67" t="str" vm="5935">
        <f>CUBEVALUE(ConnectionString,ReportMonth,Table1[[#This Row],[Site ID (from DATIM)]],"[Measures].[TBPREV_N]")</f>
        <v/>
      </c>
      <c r="AR385" s="67" t="str" vm="5885">
        <f>CUBEVALUE(ConnectionString,ReportMonth,Table1[[#This Row],[Site ID (from DATIM)]],"[Measures].[TBPREV_NEW]")</f>
        <v/>
      </c>
      <c r="AS385" s="67" t="str" vm="5954">
        <f>CUBEVALUE(ConnectionString,ReportMonth,Table1[[#This Row],[Site ID (from DATIM)]],"[Measures].[HVL_ELIG_P]")</f>
        <v/>
      </c>
      <c r="AT385" s="67" t="str" vm="4210">
        <f>CUBEVALUE(ConnectionString,ReportMonth,Table1[[#This Row],[Site ID (from DATIM)]],"[Measures].[HVL_D_P]")</f>
        <v/>
      </c>
      <c r="AU385" s="67" t="str" vm="9817">
        <f>CUBEVALUE(ConnectionString,ReportMonth,Table1[[#This Row],[Site ID (from DATIM)]],"[Measures].[HVL_N_P]")</f>
        <v/>
      </c>
      <c r="AV385" s="68" t="str" vm="11320">
        <f>CUBEVALUE(ConnectionString,ReportMonth,Table1[[#This Row],[Site ID (from DATIM)]],"[Measures].[HVL_ELIG_A]")</f>
        <v/>
      </c>
      <c r="AW385" s="68" t="str" vm="13772">
        <f>CUBEVALUE(ConnectionString,ReportMonth,Table1[[#This Row],[Site ID (from DATIM)]],"[Measures].[HVL_D_A]")</f>
        <v/>
      </c>
      <c r="AX385" s="68" t="str" vm="10827">
        <f>CUBEVALUE(ConnectionString,ReportMonth,Table1[[#This Row],[Site ID (from DATIM)]],"[Measures].[HVL_N_A]")</f>
        <v/>
      </c>
      <c r="AY385" s="67"/>
      <c r="AZ385" s="67"/>
      <c r="BA385" s="67"/>
      <c r="BB385" s="67"/>
      <c r="BC385" s="67"/>
      <c r="BD385" s="67"/>
      <c r="BE385" s="67"/>
      <c r="BF385" s="67"/>
      <c r="BG385" s="67" t="str" vm="12848">
        <f>CUBEVALUE(ConnectionString,ReportMonth,Table1[[#This Row],[Site ID (from DATIM)]],"[Measures].[TX_NEW_F_A]")</f>
        <v/>
      </c>
      <c r="BH385" s="67" t="str" vm="10136">
        <f>CUBEVALUE(ConnectionString,ReportMonth,Table1[[#This Row],[Site ID (from DATIM)]],"[Measures].[TX_NEW_M_A]")</f>
        <v/>
      </c>
      <c r="BI385" s="67" t="str" vm="12303">
        <f>CUBEVALUE(ConnectionString,ReportMonth,Table1[[#This Row],[Site ID (from DATIM)]],"[Measures].[TX_NEW_F_P]")</f>
        <v/>
      </c>
      <c r="BJ385" s="68" t="str" vm="13738">
        <f>CUBEVALUE(ConnectionString,ReportMonth,Table1[[#This Row],[Site ID (from DATIM)]],"[Measures].[TX_NEW_M_P]")</f>
        <v/>
      </c>
      <c r="BK385" s="68"/>
      <c r="BL385" s="68"/>
      <c r="BM385" s="68"/>
      <c r="BN385" s="68"/>
      <c r="BO385" s="68"/>
      <c r="BP385" s="68"/>
      <c r="BQ385" s="68" t="str" vm="7979">
        <f>CUBEVALUE(ConnectionString,ReportMonth,Table1[[#This Row],[Site ID (from DATIM)]],"[Measures].[TX_CURR_F_P]")</f>
        <v/>
      </c>
      <c r="BR385" s="68" t="str" vm="8233">
        <f>CUBEVALUE(ConnectionString,ReportMonth,Table1[[#This Row],[Site ID (from DATIM)]],"[Measures].[TX_CURR_M_P]")</f>
        <v/>
      </c>
      <c r="BS385" s="68" t="str" vm="10807">
        <f>CUBEVALUE(ConnectionString,ReportMonth,Table1[[#This Row],[Site ID (from DATIM)]],"[Measures].[TX_CURR_F_A]")</f>
        <v/>
      </c>
      <c r="BT385" s="68" t="str" vm="14267">
        <f>CUBEVALUE(ConnectionString,ReportMonth,Table1[[#This Row],[Site ID (from DATIM)]],"[Measures].[TX_CURR_M_A]")</f>
        <v/>
      </c>
      <c r="BU385" s="68" t="str" vm="20023">
        <f>CUBEVALUE(ConnectionString,ReportMonth,Table1[[#This Row],[Site ID (from DATIM)]],"[Measures].[MMS_01_89_F_P]")</f>
        <v/>
      </c>
      <c r="BV385" s="68" t="str" vm="19115">
        <f>CUBEVALUE(ConnectionString,ReportMonth,Table1[[#This Row],[Site ID (from DATIM)]],"[Measures].[MMS_01_89_M_P]")</f>
        <v/>
      </c>
      <c r="BW385" s="68" t="str" vm="18919">
        <f>CUBEVALUE(ConnectionString,ReportMonth,Table1[[#This Row],[Site ID (from DATIM)]],"[Measures].[MMS_01_89_F_A]")</f>
        <v/>
      </c>
      <c r="BX385" s="68" t="str" vm="19180">
        <f>CUBEVALUE(ConnectionString,ReportMonth,Table1[[#This Row],[Site ID (from DATIM)]],"[Measures].[MMS_01_89_M_A]")</f>
        <v/>
      </c>
      <c r="BY385" s="68" t="str" vm="17929">
        <f>CUBEVALUE(ConnectionString,ReportMonth,Table1[[#This Row],[Site ID (from DATIM)]],"[Measures].[MMS_90_179_F_P]")</f>
        <v/>
      </c>
      <c r="BZ385" s="68" t="str" vm="15512">
        <f>CUBEVALUE(ConnectionString,ReportMonth,Table1[[#This Row],[Site ID (from DATIM)]],"[Measures].[MMS_90_179_M_P]")</f>
        <v/>
      </c>
      <c r="CA385" s="68" t="str" vm="16864">
        <f>CUBEVALUE(ConnectionString,ReportMonth,Table1[[#This Row],[Site ID (from DATIM)]],"[Measures].[MMS_90_179_F_A]")</f>
        <v/>
      </c>
      <c r="CB385" s="68" t="str" vm="16857">
        <f>CUBEVALUE(ConnectionString,ReportMonth,Table1[[#This Row],[Site ID (from DATIM)]],"[Measures].[MMS_90_179_M_A]")</f>
        <v/>
      </c>
      <c r="CC385" s="68" t="str" vm="14669">
        <f>CUBEVALUE(ConnectionString,ReportMonth,Table1[[#This Row],[Site ID (from DATIM)]],"[Measures].[MMS_180+_F_P]")</f>
        <v/>
      </c>
      <c r="CD385" s="68" t="str" vm="17599">
        <f>CUBEVALUE(ConnectionString,ReportMonth,Table1[[#This Row],[Site ID (from DATIM)]],"[Measures].[MMS_180+_M_P]")</f>
        <v/>
      </c>
      <c r="CE385" s="68" t="str" vm="14988">
        <f>CUBEVALUE(ConnectionString,ReportMonth,Table1[[#This Row],[Site ID (from DATIM)]],"[Measures].[MMS_180+_F_A]")</f>
        <v/>
      </c>
      <c r="CF385" s="68" t="str" vm="76">
        <f>CUBEVALUE(ConnectionString,ReportMonth,Table1[[#This Row],[Site ID (from DATIM)]],"[Measures].[MMS_180+_M_A]")</f>
        <v/>
      </c>
      <c r="CG385" s="68" t="str" vm="5499">
        <f>CUBEVALUE(ConnectionString,ReportMonth,Table1[[#This Row],[Site ID (from DATIM)]],"[Measures].[MISSEDAPP]")</f>
        <v/>
      </c>
      <c r="CH385" s="68" t="str" vm="12479">
        <f>CUBEVALUE(ConnectionString,ReportMonth,Table1[[#This Row],[Site ID (from DATIM)]],"[Measures].[MMS_180+_P]")</f>
        <v/>
      </c>
      <c r="CI385" s="68" t="str" vm="13667">
        <f>CUBEVALUE(ConnectionString,ReportMonth,Table1[[#This Row],[Site ID (from DATIM)]],"[Measures].[MMS_180+_A]")</f>
        <v/>
      </c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  <c r="CW385" s="68"/>
      <c r="CX385" s="68"/>
      <c r="CY385" s="68"/>
      <c r="CZ385" s="68"/>
      <c r="DA385" s="68"/>
      <c r="DB385" s="68"/>
      <c r="DC385" s="68"/>
    </row>
    <row r="386" spans="1:107" x14ac:dyDescent="0.25">
      <c r="A386" s="66">
        <v>4</v>
      </c>
      <c r="B386" s="67" t="str" vm="4">
        <f t="shared" si="6"/>
        <v>Mar-2021</v>
      </c>
      <c r="C386" s="67"/>
      <c r="D386" s="67" t="s">
        <v>232</v>
      </c>
      <c r="E386" s="67" t="s">
        <v>233</v>
      </c>
      <c r="F386" s="67" t="s">
        <v>437</v>
      </c>
      <c r="G386" s="67"/>
      <c r="H386" s="67" t="s">
        <v>513</v>
      </c>
      <c r="I386" s="67" t="s">
        <v>782</v>
      </c>
      <c r="J386" s="67" t="s">
        <v>783</v>
      </c>
      <c r="K386" s="67" t="s">
        <v>784</v>
      </c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 t="str" vm="2508">
        <f>CUBEVALUE(ConnectionString,ReportMonth,Table1[[#This Row],[Site ID (from DATIM)]],"TX_NEW_2VIS")</f>
        <v/>
      </c>
      <c r="AE386" s="67" vm="789">
        <f>CUBEVALUE(ConnectionString,ReportMonth,Table1[[#This Row],[Site ID (from DATIM)]],INDEX(SDI_Measures,1))</f>
        <v>3</v>
      </c>
      <c r="AF386" s="67" t="str" vm="244">
        <f>CUBEVALUE(ConnectionString,ReportMonth,Table1[[#This Row],[Site ID (from DATIM)]],INDEX(SDI_Measures,2))</f>
        <v/>
      </c>
      <c r="AG386" s="67" t="str" vm="2248">
        <f>CUBEVALUE(ConnectionString,ReportMonth,Table1[[#This Row],[Site ID (from DATIM)]],INDEX(SDI_Measures,3))</f>
        <v/>
      </c>
      <c r="AH386" s="67" vm="6113">
        <f>CUBEVALUE(ConnectionString,ReportMonth,Table1[[#This Row],[Site ID (from DATIM)]],"TX_CURR_PRIOR_MONTH")</f>
        <v>274</v>
      </c>
      <c r="AI386" s="67" vm="1564">
        <f>CUBEVALUE(ConnectionString,ReportMonth,Table1[[#This Row],[Site ID (from DATIM)]],"TX_CURR")</f>
        <v>257</v>
      </c>
      <c r="AJ386" s="67" vm="3586">
        <f>CUBEVALUE(ConnectionString,ReportMonth,Table1[[#This Row],[Site ID (from DATIM)]],"[Measures].[TI]")</f>
        <v>1</v>
      </c>
      <c r="AK386" s="67" t="str" vm="2357">
        <f>CUBEVALUE(ConnectionString,ReportMonth,Table1[[#This Row],[Site ID (from DATIM)]],"[Measures].[TO]")</f>
        <v/>
      </c>
      <c r="AL386" s="67" t="str" vm="2554">
        <f>CUBEVALUE(ConnectionString,ReportMonth,Table1[[#This Row],[Site ID (from DATIM)]],"[Measures].[DIED]")</f>
        <v/>
      </c>
      <c r="AM386" s="67" vm="6177">
        <f>CUBEVALUE(ConnectionString,ReportMonth,Table1[[#This Row],[Site ID (from DATIM)]],"[Measures].[MMS_01_31]")</f>
        <v>72</v>
      </c>
      <c r="AN386" s="67" t="str" vm="6252">
        <f>CUBEVALUE(ConnectionString,ReportMonth,Table1[[#This Row],[Site ID (from DATIM)]],"[Measures].[MMS_32_62]")</f>
        <v/>
      </c>
      <c r="AO386" s="67" vm="5692">
        <f>CUBEVALUE(ConnectionString,ReportMonth,Table1[[#This Row],[Site ID (from DATIM)]],"[Measures].[MMS_63+]")</f>
        <v>185</v>
      </c>
      <c r="AP386" s="67" vm="6531">
        <f>CUBEVALUE(ConnectionString,ReportMonth,Table1[[#This Row],[Site ID (from DATIM)]],"[Measures].[TBPREV_D]")</f>
        <v>10</v>
      </c>
      <c r="AQ386" s="67" vm="5016">
        <f>CUBEVALUE(ConnectionString,ReportMonth,Table1[[#This Row],[Site ID (from DATIM)]],"[Measures].[TBPREV_N]")</f>
        <v>6</v>
      </c>
      <c r="AR386" s="67" vm="4879">
        <f>CUBEVALUE(ConnectionString,ReportMonth,Table1[[#This Row],[Site ID (from DATIM)]],"[Measures].[TBPREV_NEW]")</f>
        <v>3</v>
      </c>
      <c r="AS386" s="67" vm="5552">
        <f>CUBEVALUE(ConnectionString,ReportMonth,Table1[[#This Row],[Site ID (from DATIM)]],"[Measures].[HVL_ELIG_P]")</f>
        <v>13</v>
      </c>
      <c r="AT386" s="67" vm="8609">
        <f>CUBEVALUE(ConnectionString,ReportMonth,Table1[[#This Row],[Site ID (from DATIM)]],"[Measures].[HVL_D_P]")</f>
        <v>8</v>
      </c>
      <c r="AU386" s="67" vm="10545">
        <f>CUBEVALUE(ConnectionString,ReportMonth,Table1[[#This Row],[Site ID (from DATIM)]],"[Measures].[HVL_N_P]")</f>
        <v>7</v>
      </c>
      <c r="AV386" s="68" vm="9203">
        <f>CUBEVALUE(ConnectionString,ReportMonth,Table1[[#This Row],[Site ID (from DATIM)]],"[Measures].[HVL_ELIG_A]")</f>
        <v>223</v>
      </c>
      <c r="AW386" s="68" vm="6376">
        <f>CUBEVALUE(ConnectionString,ReportMonth,Table1[[#This Row],[Site ID (from DATIM)]],"[Measures].[HVL_D_A]")</f>
        <v>145</v>
      </c>
      <c r="AX386" s="68" vm="9915">
        <f>CUBEVALUE(ConnectionString,ReportMonth,Table1[[#This Row],[Site ID (from DATIM)]],"[Measures].[HVL_N_A]")</f>
        <v>140</v>
      </c>
      <c r="AY386" s="67"/>
      <c r="AZ386" s="67"/>
      <c r="BA386" s="67"/>
      <c r="BB386" s="67"/>
      <c r="BC386" s="67"/>
      <c r="BD386" s="67"/>
      <c r="BE386" s="67"/>
      <c r="BF386" s="67"/>
      <c r="BG386" s="67" vm="11179">
        <f>CUBEVALUE(ConnectionString,ReportMonth,Table1[[#This Row],[Site ID (from DATIM)]],"[Measures].[TX_NEW_F_A]")</f>
        <v>2</v>
      </c>
      <c r="BH386" s="67" t="str" vm="14081">
        <f>CUBEVALUE(ConnectionString,ReportMonth,Table1[[#This Row],[Site ID (from DATIM)]],"[Measures].[TX_NEW_M_A]")</f>
        <v/>
      </c>
      <c r="BI386" s="67" t="str" vm="15632">
        <f>CUBEVALUE(ConnectionString,ReportMonth,Table1[[#This Row],[Site ID (from DATIM)]],"[Measures].[TX_NEW_F_P]")</f>
        <v/>
      </c>
      <c r="BJ386" s="68" vm="16579">
        <f>CUBEVALUE(ConnectionString,ReportMonth,Table1[[#This Row],[Site ID (from DATIM)]],"[Measures].[TX_NEW_M_P]")</f>
        <v>1</v>
      </c>
      <c r="BK386" s="68"/>
      <c r="BL386" s="68"/>
      <c r="BM386" s="68"/>
      <c r="BN386" s="68"/>
      <c r="BO386" s="68"/>
      <c r="BP386" s="68"/>
      <c r="BQ386" s="68" vm="8798">
        <f>CUBEVALUE(ConnectionString,ReportMonth,Table1[[#This Row],[Site ID (from DATIM)]],"[Measures].[TX_CURR_F_P]")</f>
        <v>8</v>
      </c>
      <c r="BR386" s="68" vm="11894">
        <f>CUBEVALUE(ConnectionString,ReportMonth,Table1[[#This Row],[Site ID (from DATIM)]],"[Measures].[TX_CURR_M_P]")</f>
        <v>7</v>
      </c>
      <c r="BS386" s="68" vm="11032">
        <f>CUBEVALUE(ConnectionString,ReportMonth,Table1[[#This Row],[Site ID (from DATIM)]],"[Measures].[TX_CURR_F_A]")</f>
        <v>186</v>
      </c>
      <c r="BT386" s="68" vm="10468">
        <f>CUBEVALUE(ConnectionString,ReportMonth,Table1[[#This Row],[Site ID (from DATIM)]],"[Measures].[TX_CURR_M_A]")</f>
        <v>56</v>
      </c>
      <c r="BU386" s="68" vm="20129">
        <f>CUBEVALUE(ConnectionString,ReportMonth,Table1[[#This Row],[Site ID (from DATIM)]],"[Measures].[MMS_01_89_F_P]")</f>
        <v>3</v>
      </c>
      <c r="BV386" s="68" vm="18334">
        <f>CUBEVALUE(ConnectionString,ReportMonth,Table1[[#This Row],[Site ID (from DATIM)]],"[Measures].[MMS_01_89_M_P]")</f>
        <v>4</v>
      </c>
      <c r="BW386" s="68" vm="20024">
        <f>CUBEVALUE(ConnectionString,ReportMonth,Table1[[#This Row],[Site ID (from DATIM)]],"[Measures].[MMS_01_89_F_A]")</f>
        <v>51</v>
      </c>
      <c r="BX386" s="68" vm="19971">
        <f>CUBEVALUE(ConnectionString,ReportMonth,Table1[[#This Row],[Site ID (from DATIM)]],"[Measures].[MMS_01_89_M_A]")</f>
        <v>14</v>
      </c>
      <c r="BY386" s="68" vm="18523">
        <f>CUBEVALUE(ConnectionString,ReportMonth,Table1[[#This Row],[Site ID (from DATIM)]],"[Measures].[MMS_90_179_F_P]")</f>
        <v>5</v>
      </c>
      <c r="BZ386" s="68" vm="15226">
        <f>CUBEVALUE(ConnectionString,ReportMonth,Table1[[#This Row],[Site ID (from DATIM)]],"[Measures].[MMS_90_179_M_P]")</f>
        <v>3</v>
      </c>
      <c r="CA386" s="68" vm="16766">
        <f>CUBEVALUE(ConnectionString,ReportMonth,Table1[[#This Row],[Site ID (from DATIM)]],"[Measures].[MMS_90_179_F_A]")</f>
        <v>135</v>
      </c>
      <c r="CB386" s="68" vm="14636">
        <f>CUBEVALUE(ConnectionString,ReportMonth,Table1[[#This Row],[Site ID (from DATIM)]],"[Measures].[MMS_90_179_M_A]")</f>
        <v>42</v>
      </c>
      <c r="CC386" s="68" t="str" vm="17652">
        <f>CUBEVALUE(ConnectionString,ReportMonth,Table1[[#This Row],[Site ID (from DATIM)]],"[Measures].[MMS_180+_F_P]")</f>
        <v/>
      </c>
      <c r="CD386" s="68" t="str" vm="15765">
        <f>CUBEVALUE(ConnectionString,ReportMonth,Table1[[#This Row],[Site ID (from DATIM)]],"[Measures].[MMS_180+_M_P]")</f>
        <v/>
      </c>
      <c r="CE386" s="68" t="str" vm="15419">
        <f>CUBEVALUE(ConnectionString,ReportMonth,Table1[[#This Row],[Site ID (from DATIM)]],"[Measures].[MMS_180+_F_A]")</f>
        <v/>
      </c>
      <c r="CF386" s="68" t="str" vm="248">
        <f>CUBEVALUE(ConnectionString,ReportMonth,Table1[[#This Row],[Site ID (from DATIM)]],"[Measures].[MMS_180+_M_A]")</f>
        <v/>
      </c>
      <c r="CG386" s="68" vm="5693">
        <f>CUBEVALUE(ConnectionString,ReportMonth,Table1[[#This Row],[Site ID (from DATIM)]],"[Measures].[MISSEDAPP]")</f>
        <v>100</v>
      </c>
      <c r="CH386" s="68" t="str" vm="11895">
        <f>CUBEVALUE(ConnectionString,ReportMonth,Table1[[#This Row],[Site ID (from DATIM)]],"[Measures].[MMS_180+_P]")</f>
        <v/>
      </c>
      <c r="CI386" s="68" t="str" vm="11644">
        <f>CUBEVALUE(ConnectionString,ReportMonth,Table1[[#This Row],[Site ID (from DATIM)]],"[Measures].[MMS_180+_A]")</f>
        <v/>
      </c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  <c r="CW386" s="68"/>
      <c r="CX386" s="68"/>
      <c r="CY386" s="68"/>
      <c r="CZ386" s="68"/>
      <c r="DA386" s="68"/>
      <c r="DB386" s="68"/>
      <c r="DC386" s="68"/>
    </row>
    <row r="387" spans="1:107" x14ac:dyDescent="0.25">
      <c r="A387" s="66">
        <v>4</v>
      </c>
      <c r="B387" s="67" t="str" vm="4">
        <f t="shared" si="6"/>
        <v>Mar-2021</v>
      </c>
      <c r="C387" s="67"/>
      <c r="D387" s="67" t="s">
        <v>232</v>
      </c>
      <c r="E387" s="67" t="s">
        <v>233</v>
      </c>
      <c r="F387" s="67" t="s">
        <v>1286</v>
      </c>
      <c r="G387" s="67"/>
      <c r="H387" s="67" t="s">
        <v>1323</v>
      </c>
      <c r="I387" s="67" t="s">
        <v>1501</v>
      </c>
      <c r="J387" s="67" t="s">
        <v>1504</v>
      </c>
      <c r="K387" s="67" t="s">
        <v>1505</v>
      </c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 t="str" vm="4061">
        <f>CUBEVALUE(ConnectionString,ReportMonth,Table1[[#This Row],[Site ID (from DATIM)]],"TX_NEW_2VIS")</f>
        <v/>
      </c>
      <c r="AE387" s="67" t="str" vm="2087">
        <f>CUBEVALUE(ConnectionString,ReportMonth,Table1[[#This Row],[Site ID (from DATIM)]],INDEX(SDI_Measures,1))</f>
        <v/>
      </c>
      <c r="AF387" s="67" t="str" vm="4498">
        <f>CUBEVALUE(ConnectionString,ReportMonth,Table1[[#This Row],[Site ID (from DATIM)]],INDEX(SDI_Measures,2))</f>
        <v/>
      </c>
      <c r="AG387" s="67" t="str" vm="1453">
        <f>CUBEVALUE(ConnectionString,ReportMonth,Table1[[#This Row],[Site ID (from DATIM)]],INDEX(SDI_Measures,3))</f>
        <v/>
      </c>
      <c r="AH387" s="67" t="str" vm="1446">
        <f>CUBEVALUE(ConnectionString,ReportMonth,Table1[[#This Row],[Site ID (from DATIM)]],"TX_CURR_PRIOR_MONTH")</f>
        <v/>
      </c>
      <c r="AI387" s="67" t="str" vm="4070">
        <f>CUBEVALUE(ConnectionString,ReportMonth,Table1[[#This Row],[Site ID (from DATIM)]],"TX_CURR")</f>
        <v/>
      </c>
      <c r="AJ387" s="67" t="str" vm="907">
        <f>CUBEVALUE(ConnectionString,ReportMonth,Table1[[#This Row],[Site ID (from DATIM)]],"[Measures].[TI]")</f>
        <v/>
      </c>
      <c r="AK387" s="67" t="str" vm="2517">
        <f>CUBEVALUE(ConnectionString,ReportMonth,Table1[[#This Row],[Site ID (from DATIM)]],"[Measures].[TO]")</f>
        <v/>
      </c>
      <c r="AL387" s="67" t="str" vm="4068">
        <f>CUBEVALUE(ConnectionString,ReportMonth,Table1[[#This Row],[Site ID (from DATIM)]],"[Measures].[DIED]")</f>
        <v/>
      </c>
      <c r="AM387" s="67" t="str" vm="6546">
        <f>CUBEVALUE(ConnectionString,ReportMonth,Table1[[#This Row],[Site ID (from DATIM)]],"[Measures].[MMS_01_31]")</f>
        <v/>
      </c>
      <c r="AN387" s="67" t="str" vm="5105">
        <f>CUBEVALUE(ConnectionString,ReportMonth,Table1[[#This Row],[Site ID (from DATIM)]],"[Measures].[MMS_32_62]")</f>
        <v/>
      </c>
      <c r="AO387" s="67" t="str" vm="6914">
        <f>CUBEVALUE(ConnectionString,ReportMonth,Table1[[#This Row],[Site ID (from DATIM)]],"[Measures].[MMS_63+]")</f>
        <v/>
      </c>
      <c r="AP387" s="67" t="str" vm="6071">
        <f>CUBEVALUE(ConnectionString,ReportMonth,Table1[[#This Row],[Site ID (from DATIM)]],"[Measures].[TBPREV_D]")</f>
        <v/>
      </c>
      <c r="AQ387" s="67" t="str" vm="6418">
        <f>CUBEVALUE(ConnectionString,ReportMonth,Table1[[#This Row],[Site ID (from DATIM)]],"[Measures].[TBPREV_N]")</f>
        <v/>
      </c>
      <c r="AR387" s="67" t="str" vm="4758">
        <f>CUBEVALUE(ConnectionString,ReportMonth,Table1[[#This Row],[Site ID (from DATIM)]],"[Measures].[TBPREV_NEW]")</f>
        <v/>
      </c>
      <c r="AS387" s="67" t="str" vm="11082">
        <f>CUBEVALUE(ConnectionString,ReportMonth,Table1[[#This Row],[Site ID (from DATIM)]],"[Measures].[HVL_ELIG_P]")</f>
        <v/>
      </c>
      <c r="AT387" s="67" t="str" vm="9444">
        <f>CUBEVALUE(ConnectionString,ReportMonth,Table1[[#This Row],[Site ID (from DATIM)]],"[Measures].[HVL_D_P]")</f>
        <v/>
      </c>
      <c r="AU387" s="67" t="str" vm="7920">
        <f>CUBEVALUE(ConnectionString,ReportMonth,Table1[[#This Row],[Site ID (from DATIM)]],"[Measures].[HVL_N_P]")</f>
        <v/>
      </c>
      <c r="AV387" s="68" t="str" vm="8858">
        <f>CUBEVALUE(ConnectionString,ReportMonth,Table1[[#This Row],[Site ID (from DATIM)]],"[Measures].[HVL_ELIG_A]")</f>
        <v/>
      </c>
      <c r="AW387" s="68" t="str" vm="11649">
        <f>CUBEVALUE(ConnectionString,ReportMonth,Table1[[#This Row],[Site ID (from DATIM)]],"[Measures].[HVL_D_A]")</f>
        <v/>
      </c>
      <c r="AX387" s="68" t="str" vm="11890">
        <f>CUBEVALUE(ConnectionString,ReportMonth,Table1[[#This Row],[Site ID (from DATIM)]],"[Measures].[HVL_N_A]")</f>
        <v/>
      </c>
      <c r="AY387" s="67"/>
      <c r="AZ387" s="67"/>
      <c r="BA387" s="67"/>
      <c r="BB387" s="67"/>
      <c r="BC387" s="67"/>
      <c r="BD387" s="67"/>
      <c r="BE387" s="67"/>
      <c r="BF387" s="67"/>
      <c r="BG387" s="67" t="str" vm="12620">
        <f>CUBEVALUE(ConnectionString,ReportMonth,Table1[[#This Row],[Site ID (from DATIM)]],"[Measures].[TX_NEW_F_A]")</f>
        <v/>
      </c>
      <c r="BH387" s="67" t="str" vm="12280">
        <f>CUBEVALUE(ConnectionString,ReportMonth,Table1[[#This Row],[Site ID (from DATIM)]],"[Measures].[TX_NEW_M_A]")</f>
        <v/>
      </c>
      <c r="BI387" s="67" t="str" vm="14231">
        <f>CUBEVALUE(ConnectionString,ReportMonth,Table1[[#This Row],[Site ID (from DATIM)]],"[Measures].[TX_NEW_F_P]")</f>
        <v/>
      </c>
      <c r="BJ387" s="68" t="str" vm="14850">
        <f>CUBEVALUE(ConnectionString,ReportMonth,Table1[[#This Row],[Site ID (from DATIM)]],"[Measures].[TX_NEW_M_P]")</f>
        <v/>
      </c>
      <c r="BK387" s="68"/>
      <c r="BL387" s="68"/>
      <c r="BM387" s="68"/>
      <c r="BN387" s="68"/>
      <c r="BO387" s="68"/>
      <c r="BP387" s="68"/>
      <c r="BQ387" s="68" t="str" vm="11351">
        <f>CUBEVALUE(ConnectionString,ReportMonth,Table1[[#This Row],[Site ID (from DATIM)]],"[Measures].[TX_CURR_F_P]")</f>
        <v/>
      </c>
      <c r="BR387" s="68" t="str" vm="9373">
        <f>CUBEVALUE(ConnectionString,ReportMonth,Table1[[#This Row],[Site ID (from DATIM)]],"[Measures].[TX_CURR_M_P]")</f>
        <v/>
      </c>
      <c r="BS387" s="68" t="str" vm="8583">
        <f>CUBEVALUE(ConnectionString,ReportMonth,Table1[[#This Row],[Site ID (from DATIM)]],"[Measures].[TX_CURR_F_A]")</f>
        <v/>
      </c>
      <c r="BT387" s="68" t="str" vm="9911">
        <f>CUBEVALUE(ConnectionString,ReportMonth,Table1[[#This Row],[Site ID (from DATIM)]],"[Measures].[TX_CURR_M_A]")</f>
        <v/>
      </c>
      <c r="BU387" s="68" t="str" vm="20136">
        <f>CUBEVALUE(ConnectionString,ReportMonth,Table1[[#This Row],[Site ID (from DATIM)]],"[Measures].[MMS_01_89_F_P]")</f>
        <v/>
      </c>
      <c r="BV387" s="68" t="str" vm="18104">
        <f>CUBEVALUE(ConnectionString,ReportMonth,Table1[[#This Row],[Site ID (from DATIM)]],"[Measures].[MMS_01_89_M_P]")</f>
        <v/>
      </c>
      <c r="BW387" s="68" t="str" vm="19132">
        <f>CUBEVALUE(ConnectionString,ReportMonth,Table1[[#This Row],[Site ID (from DATIM)]],"[Measures].[MMS_01_89_F_A]")</f>
        <v/>
      </c>
      <c r="BX387" s="68" t="str" vm="19420">
        <f>CUBEVALUE(ConnectionString,ReportMonth,Table1[[#This Row],[Site ID (from DATIM)]],"[Measures].[MMS_01_89_M_A]")</f>
        <v/>
      </c>
      <c r="BY387" s="68" t="str" vm="16048">
        <f>CUBEVALUE(ConnectionString,ReportMonth,Table1[[#This Row],[Site ID (from DATIM)]],"[Measures].[MMS_90_179_F_P]")</f>
        <v/>
      </c>
      <c r="BZ387" s="68" t="str" vm="16089">
        <f>CUBEVALUE(ConnectionString,ReportMonth,Table1[[#This Row],[Site ID (from DATIM)]],"[Measures].[MMS_90_179_M_P]")</f>
        <v/>
      </c>
      <c r="CA387" s="68" t="str" vm="15164">
        <f>CUBEVALUE(ConnectionString,ReportMonth,Table1[[#This Row],[Site ID (from DATIM)]],"[Measures].[MMS_90_179_F_A]")</f>
        <v/>
      </c>
      <c r="CB387" s="68" t="str" vm="14627">
        <f>CUBEVALUE(ConnectionString,ReportMonth,Table1[[#This Row],[Site ID (from DATIM)]],"[Measures].[MMS_90_179_M_A]")</f>
        <v/>
      </c>
      <c r="CC387" s="68" t="str" vm="16355">
        <f>CUBEVALUE(ConnectionString,ReportMonth,Table1[[#This Row],[Site ID (from DATIM)]],"[Measures].[MMS_180+_F_P]")</f>
        <v/>
      </c>
      <c r="CD387" s="68" t="str" vm="16728">
        <f>CUBEVALUE(ConnectionString,ReportMonth,Table1[[#This Row],[Site ID (from DATIM)]],"[Measures].[MMS_180+_M_P]")</f>
        <v/>
      </c>
      <c r="CE387" s="68" t="str" vm="16232">
        <f>CUBEVALUE(ConnectionString,ReportMonth,Table1[[#This Row],[Site ID (from DATIM)]],"[Measures].[MMS_180+_F_A]")</f>
        <v/>
      </c>
      <c r="CF387" s="68" t="str" vm="193">
        <f>CUBEVALUE(ConnectionString,ReportMonth,Table1[[#This Row],[Site ID (from DATIM)]],"[Measures].[MMS_180+_M_A]")</f>
        <v/>
      </c>
      <c r="CG387" s="68" t="str" vm="5495">
        <f>CUBEVALUE(ConnectionString,ReportMonth,Table1[[#This Row],[Site ID (from DATIM)]],"[Measures].[MISSEDAPP]")</f>
        <v/>
      </c>
      <c r="CH387" s="68" t="str" vm="12877">
        <f>CUBEVALUE(ConnectionString,ReportMonth,Table1[[#This Row],[Site ID (from DATIM)]],"[Measures].[MMS_180+_P]")</f>
        <v/>
      </c>
      <c r="CI387" s="68" t="str" vm="13098">
        <f>CUBEVALUE(ConnectionString,ReportMonth,Table1[[#This Row],[Site ID (from DATIM)]],"[Measures].[MMS_180+_A]")</f>
        <v/>
      </c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  <c r="CW387" s="68"/>
      <c r="CX387" s="68"/>
      <c r="CY387" s="68"/>
      <c r="CZ387" s="68"/>
      <c r="DA387" s="68"/>
      <c r="DB387" s="68"/>
      <c r="DC387" s="68"/>
    </row>
    <row r="388" spans="1:107" x14ac:dyDescent="0.25">
      <c r="A388" s="66">
        <v>4</v>
      </c>
      <c r="B388" s="67" t="str" vm="4">
        <f t="shared" si="6"/>
        <v>Mar-2021</v>
      </c>
      <c r="C388" s="67"/>
      <c r="D388" s="67" t="s">
        <v>232</v>
      </c>
      <c r="E388" s="67" t="s">
        <v>233</v>
      </c>
      <c r="F388" s="67" t="s">
        <v>437</v>
      </c>
      <c r="G388" s="67"/>
      <c r="H388" s="67" t="s">
        <v>438</v>
      </c>
      <c r="I388" s="67" t="s">
        <v>785</v>
      </c>
      <c r="J388" s="67" t="s">
        <v>786</v>
      </c>
      <c r="K388" s="67" t="s">
        <v>787</v>
      </c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 t="str" vm="2127">
        <f>CUBEVALUE(ConnectionString,ReportMonth,Table1[[#This Row],[Site ID (from DATIM)]],"TX_NEW_2VIS")</f>
        <v/>
      </c>
      <c r="AE388" s="67" t="str" vm="3735">
        <f>CUBEVALUE(ConnectionString,ReportMonth,Table1[[#This Row],[Site ID (from DATIM)]],INDEX(SDI_Measures,1))</f>
        <v/>
      </c>
      <c r="AF388" s="67" t="str" vm="3931">
        <f>CUBEVALUE(ConnectionString,ReportMonth,Table1[[#This Row],[Site ID (from DATIM)]],INDEX(SDI_Measures,2))</f>
        <v/>
      </c>
      <c r="AG388" s="67" t="str" vm="3529">
        <f>CUBEVALUE(ConnectionString,ReportMonth,Table1[[#This Row],[Site ID (from DATIM)]],INDEX(SDI_Measures,3))</f>
        <v/>
      </c>
      <c r="AH388" s="67" t="str" vm="1156">
        <f>CUBEVALUE(ConnectionString,ReportMonth,Table1[[#This Row],[Site ID (from DATIM)]],"TX_CURR_PRIOR_MONTH")</f>
        <v/>
      </c>
      <c r="AI388" s="67" t="str" vm="2779">
        <f>CUBEVALUE(ConnectionString,ReportMonth,Table1[[#This Row],[Site ID (from DATIM)]],"TX_CURR")</f>
        <v/>
      </c>
      <c r="AJ388" s="67" t="str" vm="1720">
        <f>CUBEVALUE(ConnectionString,ReportMonth,Table1[[#This Row],[Site ID (from DATIM)]],"[Measures].[TI]")</f>
        <v/>
      </c>
      <c r="AK388" s="67" t="str" vm="3476">
        <f>CUBEVALUE(ConnectionString,ReportMonth,Table1[[#This Row],[Site ID (from DATIM)]],"[Measures].[TO]")</f>
        <v/>
      </c>
      <c r="AL388" s="67" t="str" vm="640">
        <f>CUBEVALUE(ConnectionString,ReportMonth,Table1[[#This Row],[Site ID (from DATIM)]],"[Measures].[DIED]")</f>
        <v/>
      </c>
      <c r="AM388" s="67" t="str" vm="10516">
        <f>CUBEVALUE(ConnectionString,ReportMonth,Table1[[#This Row],[Site ID (from DATIM)]],"[Measures].[MMS_01_31]")</f>
        <v/>
      </c>
      <c r="AN388" s="67" t="str" vm="4789">
        <f>CUBEVALUE(ConnectionString,ReportMonth,Table1[[#This Row],[Site ID (from DATIM)]],"[Measures].[MMS_32_62]")</f>
        <v/>
      </c>
      <c r="AO388" s="67" t="str" vm="10362">
        <f>CUBEVALUE(ConnectionString,ReportMonth,Table1[[#This Row],[Site ID (from DATIM)]],"[Measures].[MMS_63+]")</f>
        <v/>
      </c>
      <c r="AP388" s="67" t="str" vm="5883">
        <f>CUBEVALUE(ConnectionString,ReportMonth,Table1[[#This Row],[Site ID (from DATIM)]],"[Measures].[TBPREV_D]")</f>
        <v/>
      </c>
      <c r="AQ388" s="67" t="str" vm="4561">
        <f>CUBEVALUE(ConnectionString,ReportMonth,Table1[[#This Row],[Site ID (from DATIM)]],"[Measures].[TBPREV_N]")</f>
        <v/>
      </c>
      <c r="AR388" s="67" t="str" vm="6075">
        <f>CUBEVALUE(ConnectionString,ReportMonth,Table1[[#This Row],[Site ID (from DATIM)]],"[Measures].[TBPREV_NEW]")</f>
        <v/>
      </c>
      <c r="AS388" s="67" t="str" vm="6445">
        <f>CUBEVALUE(ConnectionString,ReportMonth,Table1[[#This Row],[Site ID (from DATIM)]],"[Measures].[HVL_ELIG_P]")</f>
        <v/>
      </c>
      <c r="AT388" s="67" t="str" vm="4642">
        <f>CUBEVALUE(ConnectionString,ReportMonth,Table1[[#This Row],[Site ID (from DATIM)]],"[Measures].[HVL_D_P]")</f>
        <v/>
      </c>
      <c r="AU388" s="67" t="str" vm="11436">
        <f>CUBEVALUE(ConnectionString,ReportMonth,Table1[[#This Row],[Site ID (from DATIM)]],"[Measures].[HVL_N_P]")</f>
        <v/>
      </c>
      <c r="AV388" s="68" t="str" vm="9579">
        <f>CUBEVALUE(ConnectionString,ReportMonth,Table1[[#This Row],[Site ID (from DATIM)]],"[Measures].[HVL_ELIG_A]")</f>
        <v/>
      </c>
      <c r="AW388" s="68" t="str" vm="8626">
        <f>CUBEVALUE(ConnectionString,ReportMonth,Table1[[#This Row],[Site ID (from DATIM)]],"[Measures].[HVL_D_A]")</f>
        <v/>
      </c>
      <c r="AX388" s="68" t="str" vm="9123">
        <f>CUBEVALUE(ConnectionString,ReportMonth,Table1[[#This Row],[Site ID (from DATIM)]],"[Measures].[HVL_N_A]")</f>
        <v/>
      </c>
      <c r="AY388" s="67"/>
      <c r="AZ388" s="67"/>
      <c r="BA388" s="67"/>
      <c r="BB388" s="67"/>
      <c r="BC388" s="67"/>
      <c r="BD388" s="67"/>
      <c r="BE388" s="67"/>
      <c r="BF388" s="67"/>
      <c r="BG388" s="67" t="str" vm="13992">
        <f>CUBEVALUE(ConnectionString,ReportMonth,Table1[[#This Row],[Site ID (from DATIM)]],"[Measures].[TX_NEW_F_A]")</f>
        <v/>
      </c>
      <c r="BH388" s="67" t="str" vm="17012">
        <f>CUBEVALUE(ConnectionString,ReportMonth,Table1[[#This Row],[Site ID (from DATIM)]],"[Measures].[TX_NEW_M_A]")</f>
        <v/>
      </c>
      <c r="BI388" s="67" t="str" vm="14032">
        <f>CUBEVALUE(ConnectionString,ReportMonth,Table1[[#This Row],[Site ID (from DATIM)]],"[Measures].[TX_NEW_F_P]")</f>
        <v/>
      </c>
      <c r="BJ388" s="68" t="str" vm="12308">
        <f>CUBEVALUE(ConnectionString,ReportMonth,Table1[[#This Row],[Site ID (from DATIM)]],"[Measures].[TX_NEW_M_P]")</f>
        <v/>
      </c>
      <c r="BK388" s="68"/>
      <c r="BL388" s="68"/>
      <c r="BM388" s="68"/>
      <c r="BN388" s="68"/>
      <c r="BO388" s="68"/>
      <c r="BP388" s="68"/>
      <c r="BQ388" s="68" t="str" vm="10493">
        <f>CUBEVALUE(ConnectionString,ReportMonth,Table1[[#This Row],[Site ID (from DATIM)]],"[Measures].[TX_CURR_F_P]")</f>
        <v/>
      </c>
      <c r="BR388" s="68" t="str" vm="11538">
        <f>CUBEVALUE(ConnectionString,ReportMonth,Table1[[#This Row],[Site ID (from DATIM)]],"[Measures].[TX_CURR_M_P]")</f>
        <v/>
      </c>
      <c r="BS388" s="68" t="str" vm="11097">
        <f>CUBEVALUE(ConnectionString,ReportMonth,Table1[[#This Row],[Site ID (from DATIM)]],"[Measures].[TX_CURR_F_A]")</f>
        <v/>
      </c>
      <c r="BT388" s="68" t="str" vm="9632">
        <f>CUBEVALUE(ConnectionString,ReportMonth,Table1[[#This Row],[Site ID (from DATIM)]],"[Measures].[TX_CURR_M_A]")</f>
        <v/>
      </c>
      <c r="BU388" s="68" t="str" vm="19026">
        <f>CUBEVALUE(ConnectionString,ReportMonth,Table1[[#This Row],[Site ID (from DATIM)]],"[Measures].[MMS_01_89_F_P]")</f>
        <v/>
      </c>
      <c r="BV388" s="68" t="str" vm="18401">
        <f>CUBEVALUE(ConnectionString,ReportMonth,Table1[[#This Row],[Site ID (from DATIM)]],"[Measures].[MMS_01_89_M_P]")</f>
        <v/>
      </c>
      <c r="BW388" s="68" t="str" vm="14783">
        <f>CUBEVALUE(ConnectionString,ReportMonth,Table1[[#This Row],[Site ID (from DATIM)]],"[Measures].[MMS_01_89_F_A]")</f>
        <v/>
      </c>
      <c r="BX388" s="68" t="str" vm="18543">
        <f>CUBEVALUE(ConnectionString,ReportMonth,Table1[[#This Row],[Site ID (from DATIM)]],"[Measures].[MMS_01_89_M_A]")</f>
        <v/>
      </c>
      <c r="BY388" s="68" t="str" vm="17994">
        <f>CUBEVALUE(ConnectionString,ReportMonth,Table1[[#This Row],[Site ID (from DATIM)]],"[Measures].[MMS_90_179_F_P]")</f>
        <v/>
      </c>
      <c r="BZ388" s="68" t="str" vm="18786">
        <f>CUBEVALUE(ConnectionString,ReportMonth,Table1[[#This Row],[Site ID (from DATIM)]],"[Measures].[MMS_90_179_M_P]")</f>
        <v/>
      </c>
      <c r="CA388" s="68" t="str" vm="14662">
        <f>CUBEVALUE(ConnectionString,ReportMonth,Table1[[#This Row],[Site ID (from DATIM)]],"[Measures].[MMS_90_179_F_A]")</f>
        <v/>
      </c>
      <c r="CB388" s="68" t="str" vm="18772">
        <f>CUBEVALUE(ConnectionString,ReportMonth,Table1[[#This Row],[Site ID (from DATIM)]],"[Measures].[MMS_90_179_M_A]")</f>
        <v/>
      </c>
      <c r="CC388" s="68" t="str" vm="16821">
        <f>CUBEVALUE(ConnectionString,ReportMonth,Table1[[#This Row],[Site ID (from DATIM)]],"[Measures].[MMS_180+_F_P]")</f>
        <v/>
      </c>
      <c r="CD388" s="68" t="str" vm="15425">
        <f>CUBEVALUE(ConnectionString,ReportMonth,Table1[[#This Row],[Site ID (from DATIM)]],"[Measures].[MMS_180+_M_P]")</f>
        <v/>
      </c>
      <c r="CE388" s="68" t="str" vm="15417">
        <f>CUBEVALUE(ConnectionString,ReportMonth,Table1[[#This Row],[Site ID (from DATIM)]],"[Measures].[MMS_180+_F_A]")</f>
        <v/>
      </c>
      <c r="CF388" s="68" t="str" vm="17464">
        <f>CUBEVALUE(ConnectionString,ReportMonth,Table1[[#This Row],[Site ID (from DATIM)]],"[Measures].[MMS_180+_M_A]")</f>
        <v/>
      </c>
      <c r="CG388" s="68" t="str" vm="4204">
        <f>CUBEVALUE(ConnectionString,ReportMonth,Table1[[#This Row],[Site ID (from DATIM)]],"[Measures].[MISSEDAPP]")</f>
        <v/>
      </c>
      <c r="CH388" s="68" t="str" vm="13986">
        <f>CUBEVALUE(ConnectionString,ReportMonth,Table1[[#This Row],[Site ID (from DATIM)]],"[Measures].[MMS_180+_P]")</f>
        <v/>
      </c>
      <c r="CI388" s="68" t="str" vm="10887">
        <f>CUBEVALUE(ConnectionString,ReportMonth,Table1[[#This Row],[Site ID (from DATIM)]],"[Measures].[MMS_180+_A]")</f>
        <v/>
      </c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  <c r="CW388" s="68"/>
      <c r="CX388" s="68"/>
      <c r="CY388" s="68"/>
      <c r="CZ388" s="68"/>
      <c r="DA388" s="68"/>
      <c r="DB388" s="68"/>
      <c r="DC388" s="68"/>
    </row>
    <row r="389" spans="1:107" x14ac:dyDescent="0.25">
      <c r="A389" s="66">
        <v>4</v>
      </c>
      <c r="B389" s="67" t="str" vm="4">
        <f t="shared" si="6"/>
        <v>Mar-2021</v>
      </c>
      <c r="C389" s="67"/>
      <c r="D389" s="67" t="s">
        <v>232</v>
      </c>
      <c r="E389" s="67" t="s">
        <v>233</v>
      </c>
      <c r="F389" s="67" t="s">
        <v>831</v>
      </c>
      <c r="G389" s="67"/>
      <c r="H389" s="67" t="s">
        <v>836</v>
      </c>
      <c r="I389" s="67" t="s">
        <v>1026</v>
      </c>
      <c r="J389" s="67" t="s">
        <v>1027</v>
      </c>
      <c r="K389" s="67" t="s">
        <v>1028</v>
      </c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 t="str" vm="3868">
        <f>CUBEVALUE(ConnectionString,ReportMonth,Table1[[#This Row],[Site ID (from DATIM)]],"TX_NEW_2VIS")</f>
        <v/>
      </c>
      <c r="AE389" s="67" t="str" vm="199">
        <f>CUBEVALUE(ConnectionString,ReportMonth,Table1[[#This Row],[Site ID (from DATIM)]],INDEX(SDI_Measures,1))</f>
        <v/>
      </c>
      <c r="AF389" s="67" t="str" vm="2394">
        <f>CUBEVALUE(ConnectionString,ReportMonth,Table1[[#This Row],[Site ID (from DATIM)]],INDEX(SDI_Measures,2))</f>
        <v/>
      </c>
      <c r="AG389" s="67" t="str" vm="1175">
        <f>CUBEVALUE(ConnectionString,ReportMonth,Table1[[#This Row],[Site ID (from DATIM)]],INDEX(SDI_Measures,3))</f>
        <v/>
      </c>
      <c r="AH389" s="67" vm="2575">
        <f>CUBEVALUE(ConnectionString,ReportMonth,Table1[[#This Row],[Site ID (from DATIM)]],"TX_CURR_PRIOR_MONTH")</f>
        <v>57</v>
      </c>
      <c r="AI389" s="67" vm="2540">
        <f>CUBEVALUE(ConnectionString,ReportMonth,Table1[[#This Row],[Site ID (from DATIM)]],"TX_CURR")</f>
        <v>56</v>
      </c>
      <c r="AJ389" s="67" t="str" vm="2160">
        <f>CUBEVALUE(ConnectionString,ReportMonth,Table1[[#This Row],[Site ID (from DATIM)]],"[Measures].[TI]")</f>
        <v/>
      </c>
      <c r="AK389" s="67" t="str" vm="2761">
        <f>CUBEVALUE(ConnectionString,ReportMonth,Table1[[#This Row],[Site ID (from DATIM)]],"[Measures].[TO]")</f>
        <v/>
      </c>
      <c r="AL389" s="67" t="str" vm="1766">
        <f>CUBEVALUE(ConnectionString,ReportMonth,Table1[[#This Row],[Site ID (from DATIM)]],"[Measures].[DIED]")</f>
        <v/>
      </c>
      <c r="AM389" s="67" vm="6904">
        <f>CUBEVALUE(ConnectionString,ReportMonth,Table1[[#This Row],[Site ID (from DATIM)]],"[Measures].[MMS_01_31]")</f>
        <v>54</v>
      </c>
      <c r="AN389" s="67" t="str" vm="4850">
        <f>CUBEVALUE(ConnectionString,ReportMonth,Table1[[#This Row],[Site ID (from DATIM)]],"[Measures].[MMS_32_62]")</f>
        <v/>
      </c>
      <c r="AO389" s="67" vm="6479">
        <f>CUBEVALUE(ConnectionString,ReportMonth,Table1[[#This Row],[Site ID (from DATIM)]],"[Measures].[MMS_63+]")</f>
        <v>2</v>
      </c>
      <c r="AP389" s="67" vm="6178">
        <f>CUBEVALUE(ConnectionString,ReportMonth,Table1[[#This Row],[Site ID (from DATIM)]],"[Measures].[TBPREV_D]")</f>
        <v>1</v>
      </c>
      <c r="AQ389" s="67" t="str" vm="5869">
        <f>CUBEVALUE(ConnectionString,ReportMonth,Table1[[#This Row],[Site ID (from DATIM)]],"[Measures].[TBPREV_N]")</f>
        <v/>
      </c>
      <c r="AR389" s="67" t="str" vm="6290">
        <f>CUBEVALUE(ConnectionString,ReportMonth,Table1[[#This Row],[Site ID (from DATIM)]],"[Measures].[TBPREV_NEW]")</f>
        <v/>
      </c>
      <c r="AS389" s="67" t="str" vm="13906">
        <f>CUBEVALUE(ConnectionString,ReportMonth,Table1[[#This Row],[Site ID (from DATIM)]],"[Measures].[HVL_ELIG_P]")</f>
        <v/>
      </c>
      <c r="AT389" s="67" t="str" vm="8417">
        <f>CUBEVALUE(ConnectionString,ReportMonth,Table1[[#This Row],[Site ID (from DATIM)]],"[Measures].[HVL_D_P]")</f>
        <v/>
      </c>
      <c r="AU389" s="67" t="str" vm="6578">
        <f>CUBEVALUE(ConnectionString,ReportMonth,Table1[[#This Row],[Site ID (from DATIM)]],"[Measures].[HVL_N_P]")</f>
        <v/>
      </c>
      <c r="AV389" s="68" vm="9009">
        <f>CUBEVALUE(ConnectionString,ReportMonth,Table1[[#This Row],[Site ID (from DATIM)]],"[Measures].[HVL_ELIG_A]")</f>
        <v>15</v>
      </c>
      <c r="AW389" s="68" vm="8593">
        <f>CUBEVALUE(ConnectionString,ReportMonth,Table1[[#This Row],[Site ID (from DATIM)]],"[Measures].[HVL_D_A]")</f>
        <v>7</v>
      </c>
      <c r="AX389" s="68" vm="8346">
        <f>CUBEVALUE(ConnectionString,ReportMonth,Table1[[#This Row],[Site ID (from DATIM)]],"[Measures].[HVL_N_A]")</f>
        <v>6</v>
      </c>
      <c r="AY389" s="67"/>
      <c r="AZ389" s="67"/>
      <c r="BA389" s="67"/>
      <c r="BB389" s="67"/>
      <c r="BC389" s="67"/>
      <c r="BD389" s="67"/>
      <c r="BE389" s="67"/>
      <c r="BF389" s="67"/>
      <c r="BG389" s="67" t="str" vm="11470">
        <f>CUBEVALUE(ConnectionString,ReportMonth,Table1[[#This Row],[Site ID (from DATIM)]],"[Measures].[TX_NEW_F_A]")</f>
        <v/>
      </c>
      <c r="BH389" s="67" t="str" vm="12278">
        <f>CUBEVALUE(ConnectionString,ReportMonth,Table1[[#This Row],[Site ID (from DATIM)]],"[Measures].[TX_NEW_M_A]")</f>
        <v/>
      </c>
      <c r="BI389" s="67" t="str" vm="13970">
        <f>CUBEVALUE(ConnectionString,ReportMonth,Table1[[#This Row],[Site ID (from DATIM)]],"[Measures].[TX_NEW_F_P]")</f>
        <v/>
      </c>
      <c r="BJ389" s="68" t="str" vm="13146">
        <f>CUBEVALUE(ConnectionString,ReportMonth,Table1[[#This Row],[Site ID (from DATIM)]],"[Measures].[TX_NEW_M_P]")</f>
        <v/>
      </c>
      <c r="BK389" s="68"/>
      <c r="BL389" s="68"/>
      <c r="BM389" s="68"/>
      <c r="BN389" s="68"/>
      <c r="BO389" s="68"/>
      <c r="BP389" s="68"/>
      <c r="BQ389" s="68" t="str" vm="8990">
        <f>CUBEVALUE(ConnectionString,ReportMonth,Table1[[#This Row],[Site ID (from DATIM)]],"[Measures].[TX_CURR_F_P]")</f>
        <v/>
      </c>
      <c r="BR389" s="68" t="str" vm="8784">
        <f>CUBEVALUE(ConnectionString,ReportMonth,Table1[[#This Row],[Site ID (from DATIM)]],"[Measures].[TX_CURR_M_P]")</f>
        <v/>
      </c>
      <c r="BS389" s="68" vm="8204">
        <f>CUBEVALUE(ConnectionString,ReportMonth,Table1[[#This Row],[Site ID (from DATIM)]],"[Measures].[TX_CURR_F_A]")</f>
        <v>40</v>
      </c>
      <c r="BT389" s="68" vm="11846">
        <f>CUBEVALUE(ConnectionString,ReportMonth,Table1[[#This Row],[Site ID (from DATIM)]],"[Measures].[TX_CURR_M_A]")</f>
        <v>16</v>
      </c>
      <c r="BU389" s="68" t="str" vm="18034">
        <f>CUBEVALUE(ConnectionString,ReportMonth,Table1[[#This Row],[Site ID (from DATIM)]],"[Measures].[MMS_01_89_F_P]")</f>
        <v/>
      </c>
      <c r="BV389" s="68" t="str" vm="18645">
        <f>CUBEVALUE(ConnectionString,ReportMonth,Table1[[#This Row],[Site ID (from DATIM)]],"[Measures].[MMS_01_89_M_P]")</f>
        <v/>
      </c>
      <c r="BW389" s="68" vm="19974">
        <f>CUBEVALUE(ConnectionString,ReportMonth,Table1[[#This Row],[Site ID (from DATIM)]],"[Measures].[MMS_01_89_F_A]")</f>
        <v>38</v>
      </c>
      <c r="BX389" s="68" vm="19619">
        <f>CUBEVALUE(ConnectionString,ReportMonth,Table1[[#This Row],[Site ID (from DATIM)]],"[Measures].[MMS_01_89_M_A]")</f>
        <v>16</v>
      </c>
      <c r="BY389" s="68" t="str" vm="19099">
        <f>CUBEVALUE(ConnectionString,ReportMonth,Table1[[#This Row],[Site ID (from DATIM)]],"[Measures].[MMS_90_179_F_P]")</f>
        <v/>
      </c>
      <c r="BZ389" s="68" t="str" vm="14771">
        <f>CUBEVALUE(ConnectionString,ReportMonth,Table1[[#This Row],[Site ID (from DATIM)]],"[Measures].[MMS_90_179_M_P]")</f>
        <v/>
      </c>
      <c r="CA389" s="68" vm="16841">
        <f>CUBEVALUE(ConnectionString,ReportMonth,Table1[[#This Row],[Site ID (from DATIM)]],"[Measures].[MMS_90_179_F_A]")</f>
        <v>2</v>
      </c>
      <c r="CB389" s="68" t="str" vm="15539">
        <f>CUBEVALUE(ConnectionString,ReportMonth,Table1[[#This Row],[Site ID (from DATIM)]],"[Measures].[MMS_90_179_M_A]")</f>
        <v/>
      </c>
      <c r="CC389" s="68" t="str" vm="16401">
        <f>CUBEVALUE(ConnectionString,ReportMonth,Table1[[#This Row],[Site ID (from DATIM)]],"[Measures].[MMS_180+_F_P]")</f>
        <v/>
      </c>
      <c r="CD389" s="68" t="str" vm="17540">
        <f>CUBEVALUE(ConnectionString,ReportMonth,Table1[[#This Row],[Site ID (from DATIM)]],"[Measures].[MMS_180+_M_P]")</f>
        <v/>
      </c>
      <c r="CE389" s="68" t="str" vm="15432">
        <f>CUBEVALUE(ConnectionString,ReportMonth,Table1[[#This Row],[Site ID (from DATIM)]],"[Measures].[MMS_180+_F_A]")</f>
        <v/>
      </c>
      <c r="CF389" s="68" t="str" vm="17471">
        <f>CUBEVALUE(ConnectionString,ReportMonth,Table1[[#This Row],[Site ID (from DATIM)]],"[Measures].[MMS_180+_M_A]")</f>
        <v/>
      </c>
      <c r="CG389" s="68" vm="9087">
        <f>CUBEVALUE(ConnectionString,ReportMonth,Table1[[#This Row],[Site ID (from DATIM)]],"[Measures].[MISSEDAPP]")</f>
        <v>49</v>
      </c>
      <c r="CH389" s="68" t="str" vm="14001">
        <f>CUBEVALUE(ConnectionString,ReportMonth,Table1[[#This Row],[Site ID (from DATIM)]],"[Measures].[MMS_180+_P]")</f>
        <v/>
      </c>
      <c r="CI389" s="68" t="str" vm="11452">
        <f>CUBEVALUE(ConnectionString,ReportMonth,Table1[[#This Row],[Site ID (from DATIM)]],"[Measures].[MMS_180+_A]")</f>
        <v/>
      </c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  <c r="CW389" s="68"/>
      <c r="CX389" s="68"/>
      <c r="CY389" s="68"/>
      <c r="CZ389" s="68"/>
      <c r="DA389" s="68"/>
      <c r="DB389" s="68"/>
      <c r="DC389" s="68"/>
    </row>
    <row r="390" spans="1:107" x14ac:dyDescent="0.25">
      <c r="A390" s="66">
        <v>4</v>
      </c>
      <c r="B390" s="67" t="str" vm="4">
        <f t="shared" ref="B390:B453" si="7">ReportMonth</f>
        <v>Mar-2021</v>
      </c>
      <c r="C390" s="67"/>
      <c r="D390" s="67" t="s">
        <v>232</v>
      </c>
      <c r="E390" s="67" t="s">
        <v>233</v>
      </c>
      <c r="F390" s="67" t="s">
        <v>1083</v>
      </c>
      <c r="G390" s="67"/>
      <c r="H390" s="67" t="s">
        <v>1113</v>
      </c>
      <c r="I390" s="67" t="s">
        <v>1114</v>
      </c>
      <c r="J390" s="67" t="s">
        <v>1263</v>
      </c>
      <c r="K390" s="67" t="s">
        <v>1264</v>
      </c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 t="str" vm="4476">
        <f>CUBEVALUE(ConnectionString,ReportMonth,Table1[[#This Row],[Site ID (from DATIM)]],"TX_NEW_2VIS")</f>
        <v/>
      </c>
      <c r="AE390" s="67" t="str" vm="2541">
        <f>CUBEVALUE(ConnectionString,ReportMonth,Table1[[#This Row],[Site ID (from DATIM)]],INDEX(SDI_Measures,1))</f>
        <v/>
      </c>
      <c r="AF390" s="67" t="str" vm="1801">
        <f>CUBEVALUE(ConnectionString,ReportMonth,Table1[[#This Row],[Site ID (from DATIM)]],INDEX(SDI_Measures,2))</f>
        <v/>
      </c>
      <c r="AG390" s="67" t="str" vm="3601">
        <f>CUBEVALUE(ConnectionString,ReportMonth,Table1[[#This Row],[Site ID (from DATIM)]],INDEX(SDI_Measures,3))</f>
        <v/>
      </c>
      <c r="AH390" s="67" vm="2422">
        <f>CUBEVALUE(ConnectionString,ReportMonth,Table1[[#This Row],[Site ID (from DATIM)]],"TX_CURR_PRIOR_MONTH")</f>
        <v>66</v>
      </c>
      <c r="AI390" s="67" vm="4566">
        <f>CUBEVALUE(ConnectionString,ReportMonth,Table1[[#This Row],[Site ID (from DATIM)]],"TX_CURR")</f>
        <v>58</v>
      </c>
      <c r="AJ390" s="67" t="str" vm="3140">
        <f>CUBEVALUE(ConnectionString,ReportMonth,Table1[[#This Row],[Site ID (from DATIM)]],"[Measures].[TI]")</f>
        <v/>
      </c>
      <c r="AK390" s="67" vm="3691">
        <f>CUBEVALUE(ConnectionString,ReportMonth,Table1[[#This Row],[Site ID (from DATIM)]],"[Measures].[TO]")</f>
        <v>1</v>
      </c>
      <c r="AL390" s="67" t="str" vm="1465">
        <f>CUBEVALUE(ConnectionString,ReportMonth,Table1[[#This Row],[Site ID (from DATIM)]],"[Measures].[DIED]")</f>
        <v/>
      </c>
      <c r="AM390" s="67" vm="6062">
        <f>CUBEVALUE(ConnectionString,ReportMonth,Table1[[#This Row],[Site ID (from DATIM)]],"[Measures].[MMS_01_31]")</f>
        <v>29</v>
      </c>
      <c r="AN390" s="67" vm="8997">
        <f>CUBEVALUE(ConnectionString,ReportMonth,Table1[[#This Row],[Site ID (from DATIM)]],"[Measures].[MMS_32_62]")</f>
        <v>1</v>
      </c>
      <c r="AO390" s="67" vm="6132">
        <f>CUBEVALUE(ConnectionString,ReportMonth,Table1[[#This Row],[Site ID (from DATIM)]],"[Measures].[MMS_63+]")</f>
        <v>28</v>
      </c>
      <c r="AP390" s="67" t="str" vm="7838">
        <f>CUBEVALUE(ConnectionString,ReportMonth,Table1[[#This Row],[Site ID (from DATIM)]],"[Measures].[TBPREV_D]")</f>
        <v/>
      </c>
      <c r="AQ390" s="67" t="str" vm="5677">
        <f>CUBEVALUE(ConnectionString,ReportMonth,Table1[[#This Row],[Site ID (from DATIM)]],"[Measures].[TBPREV_N]")</f>
        <v/>
      </c>
      <c r="AR390" s="67" t="str" vm="8606">
        <f>CUBEVALUE(ConnectionString,ReportMonth,Table1[[#This Row],[Site ID (from DATIM)]],"[Measures].[TBPREV_NEW]")</f>
        <v/>
      </c>
      <c r="AS390" s="67" t="str" vm="14089">
        <f>CUBEVALUE(ConnectionString,ReportMonth,Table1[[#This Row],[Site ID (from DATIM)]],"[Measures].[HVL_ELIG_P]")</f>
        <v/>
      </c>
      <c r="AT390" s="67" t="str" vm="5188">
        <f>CUBEVALUE(ConnectionString,ReportMonth,Table1[[#This Row],[Site ID (from DATIM)]],"[Measures].[HVL_D_P]")</f>
        <v/>
      </c>
      <c r="AU390" s="67" t="str" vm="8578">
        <f>CUBEVALUE(ConnectionString,ReportMonth,Table1[[#This Row],[Site ID (from DATIM)]],"[Measures].[HVL_N_P]")</f>
        <v/>
      </c>
      <c r="AV390" s="68" vm="11289">
        <f>CUBEVALUE(ConnectionString,ReportMonth,Table1[[#This Row],[Site ID (from DATIM)]],"[Measures].[HVL_ELIG_A]")</f>
        <v>52</v>
      </c>
      <c r="AW390" s="68" vm="9067">
        <f>CUBEVALUE(ConnectionString,ReportMonth,Table1[[#This Row],[Site ID (from DATIM)]],"[Measures].[HVL_D_A]")</f>
        <v>24</v>
      </c>
      <c r="AX390" s="68" vm="7216">
        <f>CUBEVALUE(ConnectionString,ReportMonth,Table1[[#This Row],[Site ID (from DATIM)]],"[Measures].[HVL_N_A]")</f>
        <v>20</v>
      </c>
      <c r="AY390" s="67"/>
      <c r="AZ390" s="67"/>
      <c r="BA390" s="67"/>
      <c r="BB390" s="67"/>
      <c r="BC390" s="67"/>
      <c r="BD390" s="67"/>
      <c r="BE390" s="67"/>
      <c r="BF390" s="67"/>
      <c r="BG390" s="67" t="str" vm="12650">
        <f>CUBEVALUE(ConnectionString,ReportMonth,Table1[[#This Row],[Site ID (from DATIM)]],"[Measures].[TX_NEW_F_A]")</f>
        <v/>
      </c>
      <c r="BH390" s="67" t="str" vm="12053">
        <f>CUBEVALUE(ConnectionString,ReportMonth,Table1[[#This Row],[Site ID (from DATIM)]],"[Measures].[TX_NEW_M_A]")</f>
        <v/>
      </c>
      <c r="BI390" s="67" t="str" vm="16593">
        <f>CUBEVALUE(ConnectionString,ReportMonth,Table1[[#This Row],[Site ID (from DATIM)]],"[Measures].[TX_NEW_F_P]")</f>
        <v/>
      </c>
      <c r="BJ390" s="68" t="str" vm="17380">
        <f>CUBEVALUE(ConnectionString,ReportMonth,Table1[[#This Row],[Site ID (from DATIM)]],"[Measures].[TX_NEW_M_P]")</f>
        <v/>
      </c>
      <c r="BK390" s="68"/>
      <c r="BL390" s="68"/>
      <c r="BM390" s="68"/>
      <c r="BN390" s="68"/>
      <c r="BO390" s="68"/>
      <c r="BP390" s="68"/>
      <c r="BQ390" s="68" t="str" vm="8264">
        <f>CUBEVALUE(ConnectionString,ReportMonth,Table1[[#This Row],[Site ID (from DATIM)]],"[Measures].[TX_CURR_F_P]")</f>
        <v/>
      </c>
      <c r="BR390" s="68" vm="9118">
        <f>CUBEVALUE(ConnectionString,ReportMonth,Table1[[#This Row],[Site ID (from DATIM)]],"[Measures].[TX_CURR_M_P]")</f>
        <v>1</v>
      </c>
      <c r="BS390" s="68" vm="6818">
        <f>CUBEVALUE(ConnectionString,ReportMonth,Table1[[#This Row],[Site ID (from DATIM)]],"[Measures].[TX_CURR_F_A]")</f>
        <v>39</v>
      </c>
      <c r="BT390" s="68" vm="16604">
        <f>CUBEVALUE(ConnectionString,ReportMonth,Table1[[#This Row],[Site ID (from DATIM)]],"[Measures].[TX_CURR_M_A]")</f>
        <v>18</v>
      </c>
      <c r="BU390" s="68" t="str" vm="18760">
        <f>CUBEVALUE(ConnectionString,ReportMonth,Table1[[#This Row],[Site ID (from DATIM)]],"[Measures].[MMS_01_89_F_P]")</f>
        <v/>
      </c>
      <c r="BV390" s="68" vm="18363">
        <f>CUBEVALUE(ConnectionString,ReportMonth,Table1[[#This Row],[Site ID (from DATIM)]],"[Measures].[MMS_01_89_M_P]")</f>
        <v>1</v>
      </c>
      <c r="BW390" s="68" vm="18378">
        <f>CUBEVALUE(ConnectionString,ReportMonth,Table1[[#This Row],[Site ID (from DATIM)]],"[Measures].[MMS_01_89_F_A]")</f>
        <v>20</v>
      </c>
      <c r="BX390" s="68" vm="19695">
        <f>CUBEVALUE(ConnectionString,ReportMonth,Table1[[#This Row],[Site ID (from DATIM)]],"[Measures].[MMS_01_89_M_A]")</f>
        <v>9</v>
      </c>
      <c r="BY390" s="68" t="str" vm="18815">
        <f>CUBEVALUE(ConnectionString,ReportMonth,Table1[[#This Row],[Site ID (from DATIM)]],"[Measures].[MMS_90_179_F_P]")</f>
        <v/>
      </c>
      <c r="BZ390" s="68" t="str" vm="17768">
        <f>CUBEVALUE(ConnectionString,ReportMonth,Table1[[#This Row],[Site ID (from DATIM)]],"[Measures].[MMS_90_179_M_P]")</f>
        <v/>
      </c>
      <c r="CA390" s="68" vm="17695">
        <f>CUBEVALUE(ConnectionString,ReportMonth,Table1[[#This Row],[Site ID (from DATIM)]],"[Measures].[MMS_90_179_F_A]")</f>
        <v>19</v>
      </c>
      <c r="CB390" s="68" vm="16500">
        <f>CUBEVALUE(ConnectionString,ReportMonth,Table1[[#This Row],[Site ID (from DATIM)]],"[Measures].[MMS_90_179_M_A]")</f>
        <v>9</v>
      </c>
      <c r="CC390" s="68" t="str" vm="15912">
        <f>CUBEVALUE(ConnectionString,ReportMonth,Table1[[#This Row],[Site ID (from DATIM)]],"[Measures].[MMS_180+_F_P]")</f>
        <v/>
      </c>
      <c r="CD390" s="68" t="str" vm="15833">
        <f>CUBEVALUE(ConnectionString,ReportMonth,Table1[[#This Row],[Site ID (from DATIM)]],"[Measures].[MMS_180+_M_P]")</f>
        <v/>
      </c>
      <c r="CE390" s="68" t="str" vm="20200">
        <f>CUBEVALUE(ConnectionString,ReportMonth,Table1[[#This Row],[Site ID (from DATIM)]],"[Measures].[MMS_180+_F_A]")</f>
        <v/>
      </c>
      <c r="CF390" s="68" t="str" vm="20214">
        <f>CUBEVALUE(ConnectionString,ReportMonth,Table1[[#This Row],[Site ID (from DATIM)]],"[Measures].[MMS_180+_M_A]")</f>
        <v/>
      </c>
      <c r="CG390" s="68" vm="4748">
        <f>CUBEVALUE(ConnectionString,ReportMonth,Table1[[#This Row],[Site ID (from DATIM)]],"[Measures].[MISSEDAPP]")</f>
        <v>29</v>
      </c>
      <c r="CH390" s="68" t="str" vm="10661">
        <f>CUBEVALUE(ConnectionString,ReportMonth,Table1[[#This Row],[Site ID (from DATIM)]],"[Measures].[MMS_180+_P]")</f>
        <v/>
      </c>
      <c r="CI390" s="68" t="str" vm="12985">
        <f>CUBEVALUE(ConnectionString,ReportMonth,Table1[[#This Row],[Site ID (from DATIM)]],"[Measures].[MMS_180+_A]")</f>
        <v/>
      </c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  <c r="CW390" s="68"/>
      <c r="CX390" s="68"/>
      <c r="CY390" s="68"/>
      <c r="CZ390" s="68"/>
      <c r="DA390" s="68"/>
      <c r="DB390" s="68"/>
      <c r="DC390" s="68"/>
    </row>
    <row r="391" spans="1:107" x14ac:dyDescent="0.25">
      <c r="A391" s="66">
        <v>3</v>
      </c>
      <c r="B391" s="67" t="str" vm="4">
        <f t="shared" si="7"/>
        <v>Mar-2021</v>
      </c>
      <c r="C391" s="67"/>
      <c r="D391" s="67" t="s">
        <v>232</v>
      </c>
      <c r="E391" s="67" t="s">
        <v>233</v>
      </c>
      <c r="F391" s="67" t="s">
        <v>234</v>
      </c>
      <c r="G391" s="67"/>
      <c r="H391" s="67" t="s">
        <v>256</v>
      </c>
      <c r="I391" s="67" t="s">
        <v>408</v>
      </c>
      <c r="J391" s="67" t="s">
        <v>409</v>
      </c>
      <c r="K391" s="67" t="s">
        <v>410</v>
      </c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 t="str" vm="1530">
        <f>CUBEVALUE(ConnectionString,ReportMonth,Table1[[#This Row],[Site ID (from DATIM)]],"TX_NEW_2VIS")</f>
        <v/>
      </c>
      <c r="AE391" s="67" t="str" vm="963">
        <f>CUBEVALUE(ConnectionString,ReportMonth,Table1[[#This Row],[Site ID (from DATIM)]],INDEX(SDI_Measures,1))</f>
        <v/>
      </c>
      <c r="AF391" s="67" t="str" vm="1010">
        <f>CUBEVALUE(ConnectionString,ReportMonth,Table1[[#This Row],[Site ID (from DATIM)]],INDEX(SDI_Measures,2))</f>
        <v/>
      </c>
      <c r="AG391" s="67" t="str" vm="6430">
        <f>CUBEVALUE(ConnectionString,ReportMonth,Table1[[#This Row],[Site ID (from DATIM)]],INDEX(SDI_Measures,3))</f>
        <v/>
      </c>
      <c r="AH391" s="67" t="str" vm="2307">
        <f>CUBEVALUE(ConnectionString,ReportMonth,Table1[[#This Row],[Site ID (from DATIM)]],"TX_CURR_PRIOR_MONTH")</f>
        <v/>
      </c>
      <c r="AI391" s="67" t="str" vm="11565">
        <f>CUBEVALUE(ConnectionString,ReportMonth,Table1[[#This Row],[Site ID (from DATIM)]],"TX_CURR")</f>
        <v/>
      </c>
      <c r="AJ391" s="67" t="str" vm="2007">
        <f>CUBEVALUE(ConnectionString,ReportMonth,Table1[[#This Row],[Site ID (from DATIM)]],"[Measures].[TI]")</f>
        <v/>
      </c>
      <c r="AK391" s="67" t="str" vm="739">
        <f>CUBEVALUE(ConnectionString,ReportMonth,Table1[[#This Row],[Site ID (from DATIM)]],"[Measures].[TO]")</f>
        <v/>
      </c>
      <c r="AL391" s="67" t="str" vm="715">
        <f>CUBEVALUE(ConnectionString,ReportMonth,Table1[[#This Row],[Site ID (from DATIM)]],"[Measures].[DIED]")</f>
        <v/>
      </c>
      <c r="AM391" s="67" t="str" vm="4461">
        <f>CUBEVALUE(ConnectionString,ReportMonth,Table1[[#This Row],[Site ID (from DATIM)]],"[Measures].[MMS_01_31]")</f>
        <v/>
      </c>
      <c r="AN391" s="67" t="str" vm="9987">
        <f>CUBEVALUE(ConnectionString,ReportMonth,Table1[[#This Row],[Site ID (from DATIM)]],"[Measures].[MMS_32_62]")</f>
        <v/>
      </c>
      <c r="AO391" s="67" t="str" vm="9404">
        <f>CUBEVALUE(ConnectionString,ReportMonth,Table1[[#This Row],[Site ID (from DATIM)]],"[Measures].[MMS_63+]")</f>
        <v/>
      </c>
      <c r="AP391" s="67" t="str" vm="5788">
        <f>CUBEVALUE(ConnectionString,ReportMonth,Table1[[#This Row],[Site ID (from DATIM)]],"[Measures].[TBPREV_D]")</f>
        <v/>
      </c>
      <c r="AQ391" s="67" t="str" vm="4932">
        <f>CUBEVALUE(ConnectionString,ReportMonth,Table1[[#This Row],[Site ID (from DATIM)]],"[Measures].[TBPREV_N]")</f>
        <v/>
      </c>
      <c r="AR391" s="67" t="str" vm="4173">
        <f>CUBEVALUE(ConnectionString,ReportMonth,Table1[[#This Row],[Site ID (from DATIM)]],"[Measures].[TBPREV_NEW]")</f>
        <v/>
      </c>
      <c r="AS391" s="67" t="str" vm="5909">
        <f>CUBEVALUE(ConnectionString,ReportMonth,Table1[[#This Row],[Site ID (from DATIM)]],"[Measures].[HVL_ELIG_P]")</f>
        <v/>
      </c>
      <c r="AT391" s="67" t="str" vm="8361">
        <f>CUBEVALUE(ConnectionString,ReportMonth,Table1[[#This Row],[Site ID (from DATIM)]],"[Measures].[HVL_D_P]")</f>
        <v/>
      </c>
      <c r="AU391" s="67" t="str" vm="11927">
        <f>CUBEVALUE(ConnectionString,ReportMonth,Table1[[#This Row],[Site ID (from DATIM)]],"[Measures].[HVL_N_P]")</f>
        <v/>
      </c>
      <c r="AV391" s="68" t="str" vm="8438">
        <f>CUBEVALUE(ConnectionString,ReportMonth,Table1[[#This Row],[Site ID (from DATIM)]],"[Measures].[HVL_ELIG_A]")</f>
        <v/>
      </c>
      <c r="AW391" s="68" t="str" vm="8620">
        <f>CUBEVALUE(ConnectionString,ReportMonth,Table1[[#This Row],[Site ID (from DATIM)]],"[Measures].[HVL_D_A]")</f>
        <v/>
      </c>
      <c r="AX391" s="68" t="str" vm="7258">
        <f>CUBEVALUE(ConnectionString,ReportMonth,Table1[[#This Row],[Site ID (from DATIM)]],"[Measures].[HVL_N_A]")</f>
        <v/>
      </c>
      <c r="AY391" s="67"/>
      <c r="AZ391" s="67"/>
      <c r="BA391" s="67"/>
      <c r="BB391" s="67"/>
      <c r="BC391" s="67"/>
      <c r="BD391" s="67"/>
      <c r="BE391" s="67"/>
      <c r="BF391" s="67"/>
      <c r="BG391" s="67" t="str" vm="13892">
        <f>CUBEVALUE(ConnectionString,ReportMonth,Table1[[#This Row],[Site ID (from DATIM)]],"[Measures].[TX_NEW_F_A]")</f>
        <v/>
      </c>
      <c r="BH391" s="67" t="str" vm="14187">
        <f>CUBEVALUE(ConnectionString,ReportMonth,Table1[[#This Row],[Site ID (from DATIM)]],"[Measures].[TX_NEW_M_A]")</f>
        <v/>
      </c>
      <c r="BI391" s="67" t="str" vm="12061">
        <f>CUBEVALUE(ConnectionString,ReportMonth,Table1[[#This Row],[Site ID (from DATIM)]],"[Measures].[TX_NEW_F_P]")</f>
        <v/>
      </c>
      <c r="BJ391" s="68" t="str" vm="13719">
        <f>CUBEVALUE(ConnectionString,ReportMonth,Table1[[#This Row],[Site ID (from DATIM)]],"[Measures].[TX_NEW_M_P]")</f>
        <v/>
      </c>
      <c r="BK391" s="68"/>
      <c r="BL391" s="68"/>
      <c r="BM391" s="68"/>
      <c r="BN391" s="68"/>
      <c r="BO391" s="68"/>
      <c r="BP391" s="68"/>
      <c r="BQ391" s="68" t="str" vm="9456">
        <f>CUBEVALUE(ConnectionString,ReportMonth,Table1[[#This Row],[Site ID (from DATIM)]],"[Measures].[TX_CURR_F_P]")</f>
        <v/>
      </c>
      <c r="BR391" s="68" t="str" vm="7253">
        <f>CUBEVALUE(ConnectionString,ReportMonth,Table1[[#This Row],[Site ID (from DATIM)]],"[Measures].[TX_CURR_M_P]")</f>
        <v/>
      </c>
      <c r="BS391" s="68" t="str" vm="12637">
        <f>CUBEVALUE(ConnectionString,ReportMonth,Table1[[#This Row],[Site ID (from DATIM)]],"[Measures].[TX_CURR_F_A]")</f>
        <v/>
      </c>
      <c r="BT391" s="68" t="str" vm="12536">
        <f>CUBEVALUE(ConnectionString,ReportMonth,Table1[[#This Row],[Site ID (from DATIM)]],"[Measures].[TX_CURR_M_A]")</f>
        <v/>
      </c>
      <c r="BU391" s="68" t="str" vm="19784">
        <f>CUBEVALUE(ConnectionString,ReportMonth,Table1[[#This Row],[Site ID (from DATIM)]],"[Measures].[MMS_01_89_F_P]")</f>
        <v/>
      </c>
      <c r="BV391" s="68" t="str" vm="19675">
        <f>CUBEVALUE(ConnectionString,ReportMonth,Table1[[#This Row],[Site ID (from DATIM)]],"[Measures].[MMS_01_89_M_P]")</f>
        <v/>
      </c>
      <c r="BW391" s="68" t="str" vm="17973">
        <f>CUBEVALUE(ConnectionString,ReportMonth,Table1[[#This Row],[Site ID (from DATIM)]],"[Measures].[MMS_01_89_F_A]")</f>
        <v/>
      </c>
      <c r="BX391" s="68" t="str" vm="18890">
        <f>CUBEVALUE(ConnectionString,ReportMonth,Table1[[#This Row],[Site ID (from DATIM)]],"[Measures].[MMS_01_89_M_A]")</f>
        <v/>
      </c>
      <c r="BY391" s="68" t="str" vm="18570">
        <f>CUBEVALUE(ConnectionString,ReportMonth,Table1[[#This Row],[Site ID (from DATIM)]],"[Measures].[MMS_90_179_F_P]")</f>
        <v/>
      </c>
      <c r="BZ391" s="68" t="str" vm="15246">
        <f>CUBEVALUE(ConnectionString,ReportMonth,Table1[[#This Row],[Site ID (from DATIM)]],"[Measures].[MMS_90_179_M_P]")</f>
        <v/>
      </c>
      <c r="CA391" s="68" t="str" vm="16013">
        <f>CUBEVALUE(ConnectionString,ReportMonth,Table1[[#This Row],[Site ID (from DATIM)]],"[Measures].[MMS_90_179_F_A]")</f>
        <v/>
      </c>
      <c r="CB391" s="68" t="str" vm="17263">
        <f>CUBEVALUE(ConnectionString,ReportMonth,Table1[[#This Row],[Site ID (from DATIM)]],"[Measures].[MMS_90_179_M_A]")</f>
        <v/>
      </c>
      <c r="CC391" s="68" t="str" vm="15920">
        <f>CUBEVALUE(ConnectionString,ReportMonth,Table1[[#This Row],[Site ID (from DATIM)]],"[Measures].[MMS_180+_F_P]")</f>
        <v/>
      </c>
      <c r="CD391" s="68" t="str" vm="17145">
        <f>CUBEVALUE(ConnectionString,ReportMonth,Table1[[#This Row],[Site ID (from DATIM)]],"[Measures].[MMS_180+_M_P]")</f>
        <v/>
      </c>
      <c r="CE391" s="68" t="str" vm="15755">
        <f>CUBEVALUE(ConnectionString,ReportMonth,Table1[[#This Row],[Site ID (from DATIM)]],"[Measures].[MMS_180+_F_A]")</f>
        <v/>
      </c>
      <c r="CF391" s="68" t="str" vm="16222">
        <f>CUBEVALUE(ConnectionString,ReportMonth,Table1[[#This Row],[Site ID (from DATIM)]],"[Measures].[MMS_180+_M_A]")</f>
        <v/>
      </c>
      <c r="CG391" s="68" t="str" vm="9649">
        <f>CUBEVALUE(ConnectionString,ReportMonth,Table1[[#This Row],[Site ID (from DATIM)]],"[Measures].[MISSEDAPP]")</f>
        <v/>
      </c>
      <c r="CH391" s="68" t="str" vm="12867">
        <f>CUBEVALUE(ConnectionString,ReportMonth,Table1[[#This Row],[Site ID (from DATIM)]],"[Measures].[MMS_180+_P]")</f>
        <v/>
      </c>
      <c r="CI391" s="68" t="str" vm="13543">
        <f>CUBEVALUE(ConnectionString,ReportMonth,Table1[[#This Row],[Site ID (from DATIM)]],"[Measures].[MMS_180+_A]")</f>
        <v/>
      </c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  <c r="CW391" s="68"/>
      <c r="CX391" s="68"/>
      <c r="CY391" s="68"/>
      <c r="CZ391" s="68"/>
      <c r="DA391" s="68"/>
      <c r="DB391" s="68"/>
      <c r="DC391" s="68"/>
    </row>
    <row r="392" spans="1:107" x14ac:dyDescent="0.25">
      <c r="A392" s="66">
        <v>4</v>
      </c>
      <c r="B392" s="67" t="str" vm="4">
        <f t="shared" si="7"/>
        <v>Mar-2021</v>
      </c>
      <c r="C392" s="67"/>
      <c r="D392" s="67" t="s">
        <v>232</v>
      </c>
      <c r="E392" s="67" t="s">
        <v>233</v>
      </c>
      <c r="F392" s="67" t="s">
        <v>1083</v>
      </c>
      <c r="G392" s="67"/>
      <c r="H392" s="67" t="s">
        <v>1099</v>
      </c>
      <c r="I392" s="67" t="s">
        <v>1265</v>
      </c>
      <c r="J392" s="67" t="s">
        <v>1266</v>
      </c>
      <c r="K392" s="67" t="s">
        <v>1267</v>
      </c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 t="str" vm="699">
        <f>CUBEVALUE(ConnectionString,ReportMonth,Table1[[#This Row],[Site ID (from DATIM)]],"TX_NEW_2VIS")</f>
        <v/>
      </c>
      <c r="AE392" s="67" t="str" vm="44">
        <f>CUBEVALUE(ConnectionString,ReportMonth,Table1[[#This Row],[Site ID (from DATIM)]],INDEX(SDI_Measures,1))</f>
        <v/>
      </c>
      <c r="AF392" s="67" t="str" vm="4276">
        <f>CUBEVALUE(ConnectionString,ReportMonth,Table1[[#This Row],[Site ID (from DATIM)]],INDEX(SDI_Measures,2))</f>
        <v/>
      </c>
      <c r="AG392" s="67" t="str" vm="1050">
        <f>CUBEVALUE(ConnectionString,ReportMonth,Table1[[#This Row],[Site ID (from DATIM)]],INDEX(SDI_Measures,3))</f>
        <v/>
      </c>
      <c r="AH392" s="67" vm="2840">
        <f>CUBEVALUE(ConnectionString,ReportMonth,Table1[[#This Row],[Site ID (from DATIM)]],"TX_CURR_PRIOR_MONTH")</f>
        <v>5</v>
      </c>
      <c r="AI392" s="67" vm="4259">
        <f>CUBEVALUE(ConnectionString,ReportMonth,Table1[[#This Row],[Site ID (from DATIM)]],"TX_CURR")</f>
        <v>5</v>
      </c>
      <c r="AJ392" s="67" t="str" vm="2636">
        <f>CUBEVALUE(ConnectionString,ReportMonth,Table1[[#This Row],[Site ID (from DATIM)]],"[Measures].[TI]")</f>
        <v/>
      </c>
      <c r="AK392" s="67" t="str" vm="3342">
        <f>CUBEVALUE(ConnectionString,ReportMonth,Table1[[#This Row],[Site ID (from DATIM)]],"[Measures].[TO]")</f>
        <v/>
      </c>
      <c r="AL392" s="67" t="str" vm="4247">
        <f>CUBEVALUE(ConnectionString,ReportMonth,Table1[[#This Row],[Site ID (from DATIM)]],"[Measures].[DIED]")</f>
        <v/>
      </c>
      <c r="AM392" s="67" vm="5775">
        <f>CUBEVALUE(ConnectionString,ReportMonth,Table1[[#This Row],[Site ID (from DATIM)]],"[Measures].[MMS_01_31]")</f>
        <v>5</v>
      </c>
      <c r="AN392" s="67" t="str" vm="10873">
        <f>CUBEVALUE(ConnectionString,ReportMonth,Table1[[#This Row],[Site ID (from DATIM)]],"[Measures].[MMS_32_62]")</f>
        <v/>
      </c>
      <c r="AO392" s="67" t="str" vm="7457">
        <f>CUBEVALUE(ConnectionString,ReportMonth,Table1[[#This Row],[Site ID (from DATIM)]],"[Measures].[MMS_63+]")</f>
        <v/>
      </c>
      <c r="AP392" s="67" t="str" vm="7858">
        <f>CUBEVALUE(ConnectionString,ReportMonth,Table1[[#This Row],[Site ID (from DATIM)]],"[Measures].[TBPREV_D]")</f>
        <v/>
      </c>
      <c r="AQ392" s="67" t="str" vm="6966">
        <f>CUBEVALUE(ConnectionString,ReportMonth,Table1[[#This Row],[Site ID (from DATIM)]],"[Measures].[TBPREV_N]")</f>
        <v/>
      </c>
      <c r="AR392" s="67" t="str" vm="9458">
        <f>CUBEVALUE(ConnectionString,ReportMonth,Table1[[#This Row],[Site ID (from DATIM)]],"[Measures].[TBPREV_NEW]")</f>
        <v/>
      </c>
      <c r="AS392" s="67" t="str" vm="12235">
        <f>CUBEVALUE(ConnectionString,ReportMonth,Table1[[#This Row],[Site ID (from DATIM)]],"[Measures].[HVL_ELIG_P]")</f>
        <v/>
      </c>
      <c r="AT392" s="67" t="str" vm="6718">
        <f>CUBEVALUE(ConnectionString,ReportMonth,Table1[[#This Row],[Site ID (from DATIM)]],"[Measures].[HVL_D_P]")</f>
        <v/>
      </c>
      <c r="AU392" s="67" t="str" vm="8994">
        <f>CUBEVALUE(ConnectionString,ReportMonth,Table1[[#This Row],[Site ID (from DATIM)]],"[Measures].[HVL_N_P]")</f>
        <v/>
      </c>
      <c r="AV392" s="68" vm="7214">
        <f>CUBEVALUE(ConnectionString,ReportMonth,Table1[[#This Row],[Site ID (from DATIM)]],"[Measures].[HVL_ELIG_A]")</f>
        <v>4</v>
      </c>
      <c r="AW392" s="68" t="str" vm="11101">
        <f>CUBEVALUE(ConnectionString,ReportMonth,Table1[[#This Row],[Site ID (from DATIM)]],"[Measures].[HVL_D_A]")</f>
        <v/>
      </c>
      <c r="AX392" s="68" t="str" vm="9660">
        <f>CUBEVALUE(ConnectionString,ReportMonth,Table1[[#This Row],[Site ID (from DATIM)]],"[Measures].[HVL_N_A]")</f>
        <v/>
      </c>
      <c r="AY392" s="67"/>
      <c r="AZ392" s="67"/>
      <c r="BA392" s="67"/>
      <c r="BB392" s="67"/>
      <c r="BC392" s="67"/>
      <c r="BD392" s="67"/>
      <c r="BE392" s="67"/>
      <c r="BF392" s="67"/>
      <c r="BG392" s="67" t="str" vm="12051">
        <f>CUBEVALUE(ConnectionString,ReportMonth,Table1[[#This Row],[Site ID (from DATIM)]],"[Measures].[TX_NEW_F_A]")</f>
        <v/>
      </c>
      <c r="BH392" s="67" t="str" vm="13081">
        <f>CUBEVALUE(ConnectionString,ReportMonth,Table1[[#This Row],[Site ID (from DATIM)]],"[Measures].[TX_NEW_M_A]")</f>
        <v/>
      </c>
      <c r="BI392" s="67" t="str" vm="17433">
        <f>CUBEVALUE(ConnectionString,ReportMonth,Table1[[#This Row],[Site ID (from DATIM)]],"[Measures].[TX_NEW_F_P]")</f>
        <v/>
      </c>
      <c r="BJ392" s="68" t="str" vm="14362">
        <f>CUBEVALUE(ConnectionString,ReportMonth,Table1[[#This Row],[Site ID (from DATIM)]],"[Measures].[TX_NEW_M_P]")</f>
        <v/>
      </c>
      <c r="BK392" s="68"/>
      <c r="BL392" s="68"/>
      <c r="BM392" s="68"/>
      <c r="BN392" s="68"/>
      <c r="BO392" s="68"/>
      <c r="BP392" s="68"/>
      <c r="BQ392" s="68" t="str" vm="11055">
        <f>CUBEVALUE(ConnectionString,ReportMonth,Table1[[#This Row],[Site ID (from DATIM)]],"[Measures].[TX_CURR_F_P]")</f>
        <v/>
      </c>
      <c r="BR392" s="68" t="str" vm="8629">
        <f>CUBEVALUE(ConnectionString,ReportMonth,Table1[[#This Row],[Site ID (from DATIM)]],"[Measures].[TX_CURR_M_P]")</f>
        <v/>
      </c>
      <c r="BS392" s="68" vm="13466">
        <f>CUBEVALUE(ConnectionString,ReportMonth,Table1[[#This Row],[Site ID (from DATIM)]],"[Measures].[TX_CURR_F_A]")</f>
        <v>5</v>
      </c>
      <c r="BT392" s="68" t="str" vm="12384">
        <f>CUBEVALUE(ConnectionString,ReportMonth,Table1[[#This Row],[Site ID (from DATIM)]],"[Measures].[TX_CURR_M_A]")</f>
        <v/>
      </c>
      <c r="BU392" s="68" t="str" vm="18611">
        <f>CUBEVALUE(ConnectionString,ReportMonth,Table1[[#This Row],[Site ID (from DATIM)]],"[Measures].[MMS_01_89_F_P]")</f>
        <v/>
      </c>
      <c r="BV392" s="68" t="str" vm="18752">
        <f>CUBEVALUE(ConnectionString,ReportMonth,Table1[[#This Row],[Site ID (from DATIM)]],"[Measures].[MMS_01_89_M_P]")</f>
        <v/>
      </c>
      <c r="BW392" s="68" vm="17941">
        <f>CUBEVALUE(ConnectionString,ReportMonth,Table1[[#This Row],[Site ID (from DATIM)]],"[Measures].[MMS_01_89_F_A]")</f>
        <v>5</v>
      </c>
      <c r="BX392" s="68" t="str" vm="16122">
        <f>CUBEVALUE(ConnectionString,ReportMonth,Table1[[#This Row],[Site ID (from DATIM)]],"[Measures].[MMS_01_89_M_A]")</f>
        <v/>
      </c>
      <c r="BY392" s="68" t="str" vm="18506">
        <f>CUBEVALUE(ConnectionString,ReportMonth,Table1[[#This Row],[Site ID (from DATIM)]],"[Measures].[MMS_90_179_F_P]")</f>
        <v/>
      </c>
      <c r="BZ392" s="68" t="str" vm="19345">
        <f>CUBEVALUE(ConnectionString,ReportMonth,Table1[[#This Row],[Site ID (from DATIM)]],"[Measures].[MMS_90_179_M_P]")</f>
        <v/>
      </c>
      <c r="CA392" s="68" t="str" vm="16072">
        <f>CUBEVALUE(ConnectionString,ReportMonth,Table1[[#This Row],[Site ID (from DATIM)]],"[Measures].[MMS_90_179_F_A]")</f>
        <v/>
      </c>
      <c r="CB392" s="68" t="str" vm="18773">
        <f>CUBEVALUE(ConnectionString,ReportMonth,Table1[[#This Row],[Site ID (from DATIM)]],"[Measures].[MMS_90_179_M_A]")</f>
        <v/>
      </c>
      <c r="CC392" s="68" t="str" vm="15474">
        <f>CUBEVALUE(ConnectionString,ReportMonth,Table1[[#This Row],[Site ID (from DATIM)]],"[Measures].[MMS_180+_F_P]")</f>
        <v/>
      </c>
      <c r="CD392" s="68" t="str" vm="15393">
        <f>CUBEVALUE(ConnectionString,ReportMonth,Table1[[#This Row],[Site ID (from DATIM)]],"[Measures].[MMS_180+_M_P]")</f>
        <v/>
      </c>
      <c r="CE392" s="68" t="str" vm="202">
        <f>CUBEVALUE(ConnectionString,ReportMonth,Table1[[#This Row],[Site ID (from DATIM)]],"[Measures].[MMS_180+_F_A]")</f>
        <v/>
      </c>
      <c r="CF392" s="68" t="str" vm="125">
        <f>CUBEVALUE(ConnectionString,ReportMonth,Table1[[#This Row],[Site ID (from DATIM)]],"[Measures].[MMS_180+_M_A]")</f>
        <v/>
      </c>
      <c r="CG392" s="68" vm="6399">
        <f>CUBEVALUE(ConnectionString,ReportMonth,Table1[[#This Row],[Site ID (from DATIM)]],"[Measures].[MISSEDAPP]")</f>
        <v>5</v>
      </c>
      <c r="CH392" s="68" t="str" vm="13916">
        <f>CUBEVALUE(ConnectionString,ReportMonth,Table1[[#This Row],[Site ID (from DATIM)]],"[Measures].[MMS_180+_P]")</f>
        <v/>
      </c>
      <c r="CI392" s="68" t="str" vm="12534">
        <f>CUBEVALUE(ConnectionString,ReportMonth,Table1[[#This Row],[Site ID (from DATIM)]],"[Measures].[MMS_180+_A]")</f>
        <v/>
      </c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  <c r="CW392" s="68"/>
      <c r="CX392" s="68"/>
      <c r="CY392" s="68"/>
      <c r="CZ392" s="68"/>
      <c r="DA392" s="68"/>
      <c r="DB392" s="68"/>
      <c r="DC392" s="68"/>
    </row>
    <row r="393" spans="1:107" x14ac:dyDescent="0.25">
      <c r="A393" s="66">
        <v>4</v>
      </c>
      <c r="B393" s="67" t="str" vm="4">
        <f t="shared" si="7"/>
        <v>Mar-2021</v>
      </c>
      <c r="C393" s="67"/>
      <c r="D393" s="67" t="s">
        <v>232</v>
      </c>
      <c r="E393" s="67" t="s">
        <v>233</v>
      </c>
      <c r="F393" s="67" t="s">
        <v>831</v>
      </c>
      <c r="G393" s="67"/>
      <c r="H393" s="67" t="s">
        <v>867</v>
      </c>
      <c r="I393" s="67" t="s">
        <v>1029</v>
      </c>
      <c r="J393" s="67" t="s">
        <v>1030</v>
      </c>
      <c r="K393" s="67" t="s">
        <v>1031</v>
      </c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 t="str" vm="1093">
        <f>CUBEVALUE(ConnectionString,ReportMonth,Table1[[#This Row],[Site ID (from DATIM)]],"TX_NEW_2VIS")</f>
        <v/>
      </c>
      <c r="AE393" s="67" t="str" vm="3106">
        <f>CUBEVALUE(ConnectionString,ReportMonth,Table1[[#This Row],[Site ID (from DATIM)]],INDEX(SDI_Measures,1))</f>
        <v/>
      </c>
      <c r="AF393" s="67" t="str" vm="621">
        <f>CUBEVALUE(ConnectionString,ReportMonth,Table1[[#This Row],[Site ID (from DATIM)]],INDEX(SDI_Measures,2))</f>
        <v/>
      </c>
      <c r="AG393" s="67" t="str" vm="512">
        <f>CUBEVALUE(ConnectionString,ReportMonth,Table1[[#This Row],[Site ID (from DATIM)]],INDEX(SDI_Measures,3))</f>
        <v/>
      </c>
      <c r="AH393" s="67" vm="2488">
        <f>CUBEVALUE(ConnectionString,ReportMonth,Table1[[#This Row],[Site ID (from DATIM)]],"TX_CURR_PRIOR_MONTH")</f>
        <v>22</v>
      </c>
      <c r="AI393" s="67" vm="2637">
        <f>CUBEVALUE(ConnectionString,ReportMonth,Table1[[#This Row],[Site ID (from DATIM)]],"TX_CURR")</f>
        <v>19</v>
      </c>
      <c r="AJ393" s="67" t="str" vm="937">
        <f>CUBEVALUE(ConnectionString,ReportMonth,Table1[[#This Row],[Site ID (from DATIM)]],"[Measures].[TI]")</f>
        <v/>
      </c>
      <c r="AK393" s="67" t="str" vm="2752">
        <f>CUBEVALUE(ConnectionString,ReportMonth,Table1[[#This Row],[Site ID (from DATIM)]],"[Measures].[TO]")</f>
        <v/>
      </c>
      <c r="AL393" s="67" t="str" vm="1879">
        <f>CUBEVALUE(ConnectionString,ReportMonth,Table1[[#This Row],[Site ID (from DATIM)]],"[Measures].[DIED]")</f>
        <v/>
      </c>
      <c r="AM393" s="67" vm="7586">
        <f>CUBEVALUE(ConnectionString,ReportMonth,Table1[[#This Row],[Site ID (from DATIM)]],"[Measures].[MMS_01_31]")</f>
        <v>3</v>
      </c>
      <c r="AN393" s="67" t="str" vm="7644">
        <f>CUBEVALUE(ConnectionString,ReportMonth,Table1[[#This Row],[Site ID (from DATIM)]],"[Measures].[MMS_32_62]")</f>
        <v/>
      </c>
      <c r="AO393" s="67" vm="8943">
        <f>CUBEVALUE(ConnectionString,ReportMonth,Table1[[#This Row],[Site ID (from DATIM)]],"[Measures].[MMS_63+]")</f>
        <v>16</v>
      </c>
      <c r="AP393" s="67" t="str" vm="5390">
        <f>CUBEVALUE(ConnectionString,ReportMonth,Table1[[#This Row],[Site ID (from DATIM)]],"[Measures].[TBPREV_D]")</f>
        <v/>
      </c>
      <c r="AQ393" s="67" t="str" vm="4659">
        <f>CUBEVALUE(ConnectionString,ReportMonth,Table1[[#This Row],[Site ID (from DATIM)]],"[Measures].[TBPREV_N]")</f>
        <v/>
      </c>
      <c r="AR393" s="67" t="str" vm="5388">
        <f>CUBEVALUE(ConnectionString,ReportMonth,Table1[[#This Row],[Site ID (from DATIM)]],"[Measures].[TBPREV_NEW]")</f>
        <v/>
      </c>
      <c r="AS393" s="67" t="str" vm="5698">
        <f>CUBEVALUE(ConnectionString,ReportMonth,Table1[[#This Row],[Site ID (from DATIM)]],"[Measures].[HVL_ELIG_P]")</f>
        <v/>
      </c>
      <c r="AT393" s="67" vm="5751">
        <f>CUBEVALUE(ConnectionString,ReportMonth,Table1[[#This Row],[Site ID (from DATIM)]],"[Measures].[HVL_D_P]")</f>
        <v>1</v>
      </c>
      <c r="AU393" s="67" t="str" vm="10560">
        <f>CUBEVALUE(ConnectionString,ReportMonth,Table1[[#This Row],[Site ID (from DATIM)]],"[Measures].[HVL_N_P]")</f>
        <v/>
      </c>
      <c r="AV393" s="68" vm="8803">
        <f>CUBEVALUE(ConnectionString,ReportMonth,Table1[[#This Row],[Site ID (from DATIM)]],"[Measures].[HVL_ELIG_A]")</f>
        <v>16</v>
      </c>
      <c r="AW393" s="68" vm="11625">
        <f>CUBEVALUE(ConnectionString,ReportMonth,Table1[[#This Row],[Site ID (from DATIM)]],"[Measures].[HVL_D_A]")</f>
        <v>10</v>
      </c>
      <c r="AX393" s="68" vm="6369">
        <f>CUBEVALUE(ConnectionString,ReportMonth,Table1[[#This Row],[Site ID (from DATIM)]],"[Measures].[HVL_N_A]")</f>
        <v>8</v>
      </c>
      <c r="AY393" s="67"/>
      <c r="AZ393" s="67"/>
      <c r="BA393" s="67"/>
      <c r="BB393" s="67"/>
      <c r="BC393" s="67"/>
      <c r="BD393" s="67"/>
      <c r="BE393" s="67"/>
      <c r="BF393" s="67"/>
      <c r="BG393" s="67" t="str" vm="13404">
        <f>CUBEVALUE(ConnectionString,ReportMonth,Table1[[#This Row],[Site ID (from DATIM)]],"[Measures].[TX_NEW_F_A]")</f>
        <v/>
      </c>
      <c r="BH393" s="67" t="str" vm="15266">
        <f>CUBEVALUE(ConnectionString,ReportMonth,Table1[[#This Row],[Site ID (from DATIM)]],"[Measures].[TX_NEW_M_A]")</f>
        <v/>
      </c>
      <c r="BI393" s="67" t="str" vm="16145">
        <f>CUBEVALUE(ConnectionString,ReportMonth,Table1[[#This Row],[Site ID (from DATIM)]],"[Measures].[TX_NEW_F_P]")</f>
        <v/>
      </c>
      <c r="BJ393" s="68" t="str" vm="13090">
        <f>CUBEVALUE(ConnectionString,ReportMonth,Table1[[#This Row],[Site ID (from DATIM)]],"[Measures].[TX_NEW_M_P]")</f>
        <v/>
      </c>
      <c r="BK393" s="68"/>
      <c r="BL393" s="68"/>
      <c r="BM393" s="68"/>
      <c r="BN393" s="68"/>
      <c r="BO393" s="68"/>
      <c r="BP393" s="68"/>
      <c r="BQ393" s="68" t="str" vm="11938">
        <f>CUBEVALUE(ConnectionString,ReportMonth,Table1[[#This Row],[Site ID (from DATIM)]],"[Measures].[TX_CURR_F_P]")</f>
        <v/>
      </c>
      <c r="BR393" s="68" t="str" vm="9037">
        <f>CUBEVALUE(ConnectionString,ReportMonth,Table1[[#This Row],[Site ID (from DATIM)]],"[Measures].[TX_CURR_M_P]")</f>
        <v/>
      </c>
      <c r="BS393" s="68" vm="13019">
        <f>CUBEVALUE(ConnectionString,ReportMonth,Table1[[#This Row],[Site ID (from DATIM)]],"[Measures].[TX_CURR_F_A]")</f>
        <v>12</v>
      </c>
      <c r="BT393" s="68" vm="8039">
        <f>CUBEVALUE(ConnectionString,ReportMonth,Table1[[#This Row],[Site ID (from DATIM)]],"[Measures].[TX_CURR_M_A]")</f>
        <v>7</v>
      </c>
      <c r="BU393" s="68" t="str" vm="19835">
        <f>CUBEVALUE(ConnectionString,ReportMonth,Table1[[#This Row],[Site ID (from DATIM)]],"[Measures].[MMS_01_89_F_P]")</f>
        <v/>
      </c>
      <c r="BV393" s="68" t="str" vm="19791">
        <f>CUBEVALUE(ConnectionString,ReportMonth,Table1[[#This Row],[Site ID (from DATIM)]],"[Measures].[MMS_01_89_M_P]")</f>
        <v/>
      </c>
      <c r="BW393" s="68" vm="19408">
        <f>CUBEVALUE(ConnectionString,ReportMonth,Table1[[#This Row],[Site ID (from DATIM)]],"[Measures].[MMS_01_89_F_A]")</f>
        <v>3</v>
      </c>
      <c r="BX393" s="68" t="str" vm="19654">
        <f>CUBEVALUE(ConnectionString,ReportMonth,Table1[[#This Row],[Site ID (from DATIM)]],"[Measures].[MMS_01_89_M_A]")</f>
        <v/>
      </c>
      <c r="BY393" s="68" t="str" vm="17915">
        <f>CUBEVALUE(ConnectionString,ReportMonth,Table1[[#This Row],[Site ID (from DATIM)]],"[Measures].[MMS_90_179_F_P]")</f>
        <v/>
      </c>
      <c r="BZ393" s="68" t="str" vm="17677">
        <f>CUBEVALUE(ConnectionString,ReportMonth,Table1[[#This Row],[Site ID (from DATIM)]],"[Measures].[MMS_90_179_M_P]")</f>
        <v/>
      </c>
      <c r="CA393" s="68" vm="17646">
        <f>CUBEVALUE(ConnectionString,ReportMonth,Table1[[#This Row],[Site ID (from DATIM)]],"[Measures].[MMS_90_179_F_A]")</f>
        <v>9</v>
      </c>
      <c r="CB393" s="68" vm="17222">
        <f>CUBEVALUE(ConnectionString,ReportMonth,Table1[[#This Row],[Site ID (from DATIM)]],"[Measures].[MMS_90_179_M_A]")</f>
        <v>7</v>
      </c>
      <c r="CC393" s="68" t="str" vm="15103">
        <f>CUBEVALUE(ConnectionString,ReportMonth,Table1[[#This Row],[Site ID (from DATIM)]],"[Measures].[MMS_180+_F_P]")</f>
        <v/>
      </c>
      <c r="CD393" s="68" t="str" vm="17574">
        <f>CUBEVALUE(ConnectionString,ReportMonth,Table1[[#This Row],[Site ID (from DATIM)]],"[Measures].[MMS_180+_M_P]")</f>
        <v/>
      </c>
      <c r="CE393" s="68" t="str" vm="15737">
        <f>CUBEVALUE(ConnectionString,ReportMonth,Table1[[#This Row],[Site ID (from DATIM)]],"[Measures].[MMS_180+_F_A]")</f>
        <v/>
      </c>
      <c r="CF393" s="68" t="str" vm="148">
        <f>CUBEVALUE(ConnectionString,ReportMonth,Table1[[#This Row],[Site ID (from DATIM)]],"[Measures].[MMS_180+_M_A]")</f>
        <v/>
      </c>
      <c r="CG393" s="68" vm="7137">
        <f>CUBEVALUE(ConnectionString,ReportMonth,Table1[[#This Row],[Site ID (from DATIM)]],"[Measures].[MISSEDAPP]")</f>
        <v>11</v>
      </c>
      <c r="CH393" s="68" t="str" vm="10665">
        <f>CUBEVALUE(ConnectionString,ReportMonth,Table1[[#This Row],[Site ID (from DATIM)]],"[Measures].[MMS_180+_P]")</f>
        <v/>
      </c>
      <c r="CI393" s="68" t="str" vm="14058">
        <f>CUBEVALUE(ConnectionString,ReportMonth,Table1[[#This Row],[Site ID (from DATIM)]],"[Measures].[MMS_180+_A]")</f>
        <v/>
      </c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  <c r="CW393" s="68"/>
      <c r="CX393" s="68"/>
      <c r="CY393" s="68"/>
      <c r="CZ393" s="68"/>
      <c r="DA393" s="68"/>
      <c r="DB393" s="68"/>
      <c r="DC393" s="68"/>
    </row>
    <row r="394" spans="1:107" x14ac:dyDescent="0.25">
      <c r="A394" s="66">
        <v>4</v>
      </c>
      <c r="B394" s="67" t="str" vm="4">
        <f t="shared" si="7"/>
        <v>Mar-2021</v>
      </c>
      <c r="C394" s="67"/>
      <c r="D394" s="67" t="s">
        <v>232</v>
      </c>
      <c r="E394" s="67" t="s">
        <v>233</v>
      </c>
      <c r="F394" s="67" t="s">
        <v>437</v>
      </c>
      <c r="G394" s="67"/>
      <c r="H394" s="67" t="s">
        <v>513</v>
      </c>
      <c r="I394" s="67" t="s">
        <v>788</v>
      </c>
      <c r="J394" s="67" t="s">
        <v>789</v>
      </c>
      <c r="K394" s="67" t="s">
        <v>790</v>
      </c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 vm="466">
        <f>CUBEVALUE(ConnectionString,ReportMonth,Table1[[#This Row],[Site ID (from DATIM)]],"TX_NEW_2VIS")</f>
        <v>3</v>
      </c>
      <c r="AE394" s="67" vm="1795">
        <f>CUBEVALUE(ConnectionString,ReportMonth,Table1[[#This Row],[Site ID (from DATIM)]],INDEX(SDI_Measures,1))</f>
        <v>1</v>
      </c>
      <c r="AF394" s="67" t="str" vm="1667">
        <f>CUBEVALUE(ConnectionString,ReportMonth,Table1[[#This Row],[Site ID (from DATIM)]],INDEX(SDI_Measures,2))</f>
        <v/>
      </c>
      <c r="AG394" s="67" t="str" vm="2140">
        <f>CUBEVALUE(ConnectionString,ReportMonth,Table1[[#This Row],[Site ID (from DATIM)]],INDEX(SDI_Measures,3))</f>
        <v/>
      </c>
      <c r="AH394" s="67" vm="2967">
        <f>CUBEVALUE(ConnectionString,ReportMonth,Table1[[#This Row],[Site ID (from DATIM)]],"TX_CURR_PRIOR_MONTH")</f>
        <v>391</v>
      </c>
      <c r="AI394" s="67" vm="1239">
        <f>CUBEVALUE(ConnectionString,ReportMonth,Table1[[#This Row],[Site ID (from DATIM)]],"TX_CURR")</f>
        <v>392</v>
      </c>
      <c r="AJ394" s="67" t="str" vm="3041">
        <f>CUBEVALUE(ConnectionString,ReportMonth,Table1[[#This Row],[Site ID (from DATIM)]],"[Measures].[TI]")</f>
        <v/>
      </c>
      <c r="AK394" s="67" t="str" vm="2801">
        <f>CUBEVALUE(ConnectionString,ReportMonth,Table1[[#This Row],[Site ID (from DATIM)]],"[Measures].[TO]")</f>
        <v/>
      </c>
      <c r="AL394" s="67" t="str" vm="2968">
        <f>CUBEVALUE(ConnectionString,ReportMonth,Table1[[#This Row],[Site ID (from DATIM)]],"[Measures].[DIED]")</f>
        <v/>
      </c>
      <c r="AM394" s="67" vm="5242">
        <f>CUBEVALUE(ConnectionString,ReportMonth,Table1[[#This Row],[Site ID (from DATIM)]],"[Measures].[MMS_01_31]")</f>
        <v>124</v>
      </c>
      <c r="AN394" s="67" vm="7067">
        <f>CUBEVALUE(ConnectionString,ReportMonth,Table1[[#This Row],[Site ID (from DATIM)]],"[Measures].[MMS_32_62]")</f>
        <v>3</v>
      </c>
      <c r="AO394" s="67" vm="4207">
        <f>CUBEVALUE(ConnectionString,ReportMonth,Table1[[#This Row],[Site ID (from DATIM)]],"[Measures].[MMS_63+]")</f>
        <v>265</v>
      </c>
      <c r="AP394" s="67" vm="7764">
        <f>CUBEVALUE(ConnectionString,ReportMonth,Table1[[#This Row],[Site ID (from DATIM)]],"[Measures].[TBPREV_D]")</f>
        <v>17</v>
      </c>
      <c r="AQ394" s="67" vm="9646">
        <f>CUBEVALUE(ConnectionString,ReportMonth,Table1[[#This Row],[Site ID (from DATIM)]],"[Measures].[TBPREV_N]")</f>
        <v>17</v>
      </c>
      <c r="AR394" s="67" vm="4702">
        <f>CUBEVALUE(ConnectionString,ReportMonth,Table1[[#This Row],[Site ID (from DATIM)]],"[Measures].[TBPREV_NEW]")</f>
        <v>1</v>
      </c>
      <c r="AS394" s="67" vm="6506">
        <f>CUBEVALUE(ConnectionString,ReportMonth,Table1[[#This Row],[Site ID (from DATIM)]],"[Measures].[HVL_ELIG_P]")</f>
        <v>9</v>
      </c>
      <c r="AT394" s="67" vm="9169">
        <f>CUBEVALUE(ConnectionString,ReportMonth,Table1[[#This Row],[Site ID (from DATIM)]],"[Measures].[HVL_D_P]")</f>
        <v>2</v>
      </c>
      <c r="AU394" s="67" vm="8896">
        <f>CUBEVALUE(ConnectionString,ReportMonth,Table1[[#This Row],[Site ID (from DATIM)]],"[Measures].[HVL_N_P]")</f>
        <v>1</v>
      </c>
      <c r="AV394" s="68" vm="8973">
        <f>CUBEVALUE(ConnectionString,ReportMonth,Table1[[#This Row],[Site ID (from DATIM)]],"[Measures].[HVL_ELIG_A]")</f>
        <v>331</v>
      </c>
      <c r="AW394" s="68" vm="9020">
        <f>CUBEVALUE(ConnectionString,ReportMonth,Table1[[#This Row],[Site ID (from DATIM)]],"[Measures].[HVL_D_A]")</f>
        <v>42</v>
      </c>
      <c r="AX394" s="68" vm="14336">
        <f>CUBEVALUE(ConnectionString,ReportMonth,Table1[[#This Row],[Site ID (from DATIM)]],"[Measures].[HVL_N_A]")</f>
        <v>40</v>
      </c>
      <c r="AY394" s="67"/>
      <c r="AZ394" s="67"/>
      <c r="BA394" s="67"/>
      <c r="BB394" s="67"/>
      <c r="BC394" s="67"/>
      <c r="BD394" s="67"/>
      <c r="BE394" s="67"/>
      <c r="BF394" s="67"/>
      <c r="BG394" s="67" t="str" vm="13967">
        <f>CUBEVALUE(ConnectionString,ReportMonth,Table1[[#This Row],[Site ID (from DATIM)]],"[Measures].[TX_NEW_F_A]")</f>
        <v/>
      </c>
      <c r="BH394" s="67" vm="12056">
        <f>CUBEVALUE(ConnectionString,ReportMonth,Table1[[#This Row],[Site ID (from DATIM)]],"[Measures].[TX_NEW_M_A]")</f>
        <v>1</v>
      </c>
      <c r="BI394" s="67" t="str" vm="13453">
        <f>CUBEVALUE(ConnectionString,ReportMonth,Table1[[#This Row],[Site ID (from DATIM)]],"[Measures].[TX_NEW_F_P]")</f>
        <v/>
      </c>
      <c r="BJ394" s="68" t="str" vm="12838">
        <f>CUBEVALUE(ConnectionString,ReportMonth,Table1[[#This Row],[Site ID (from DATIM)]],"[Measures].[TX_NEW_M_P]")</f>
        <v/>
      </c>
      <c r="BK394" s="68"/>
      <c r="BL394" s="68"/>
      <c r="BM394" s="68"/>
      <c r="BN394" s="68"/>
      <c r="BO394" s="68"/>
      <c r="BP394" s="68"/>
      <c r="BQ394" s="68" vm="9426">
        <f>CUBEVALUE(ConnectionString,ReportMonth,Table1[[#This Row],[Site ID (from DATIM)]],"[Measures].[TX_CURR_F_P]")</f>
        <v>6</v>
      </c>
      <c r="BR394" s="68" vm="11605">
        <f>CUBEVALUE(ConnectionString,ReportMonth,Table1[[#This Row],[Site ID (from DATIM)]],"[Measures].[TX_CURR_M_P]")</f>
        <v>3</v>
      </c>
      <c r="BS394" s="68" vm="12609">
        <f>CUBEVALUE(ConnectionString,ReportMonth,Table1[[#This Row],[Site ID (from DATIM)]],"[Measures].[TX_CURR_F_A]")</f>
        <v>278</v>
      </c>
      <c r="BT394" s="68" vm="10566">
        <f>CUBEVALUE(ConnectionString,ReportMonth,Table1[[#This Row],[Site ID (from DATIM)]],"[Measures].[TX_CURR_M_A]")</f>
        <v>105</v>
      </c>
      <c r="BU394" s="68" vm="18111">
        <f>CUBEVALUE(ConnectionString,ReportMonth,Table1[[#This Row],[Site ID (from DATIM)]],"[Measures].[MMS_01_89_F_P]")</f>
        <v>2</v>
      </c>
      <c r="BV394" s="68" vm="19733">
        <f>CUBEVALUE(ConnectionString,ReportMonth,Table1[[#This Row],[Site ID (from DATIM)]],"[Measures].[MMS_01_89_M_P]")</f>
        <v>1</v>
      </c>
      <c r="BW394" s="68" vm="19215">
        <f>CUBEVALUE(ConnectionString,ReportMonth,Table1[[#This Row],[Site ID (from DATIM)]],"[Measures].[MMS_01_89_F_A]")</f>
        <v>89</v>
      </c>
      <c r="BX394" s="68" vm="17983">
        <f>CUBEVALUE(ConnectionString,ReportMonth,Table1[[#This Row],[Site ID (from DATIM)]],"[Measures].[MMS_01_89_M_A]")</f>
        <v>36</v>
      </c>
      <c r="BY394" s="68" vm="19329">
        <f>CUBEVALUE(ConnectionString,ReportMonth,Table1[[#This Row],[Site ID (from DATIM)]],"[Measures].[MMS_90_179_F_P]")</f>
        <v>4</v>
      </c>
      <c r="BZ394" s="68" vm="19068">
        <f>CUBEVALUE(ConnectionString,ReportMonth,Table1[[#This Row],[Site ID (from DATIM)]],"[Measures].[MMS_90_179_M_P]")</f>
        <v>2</v>
      </c>
      <c r="CA394" s="68" vm="15969">
        <f>CUBEVALUE(ConnectionString,ReportMonth,Table1[[#This Row],[Site ID (from DATIM)]],"[Measures].[MMS_90_179_F_A]")</f>
        <v>188</v>
      </c>
      <c r="CB394" s="68" vm="15570">
        <f>CUBEVALUE(ConnectionString,ReportMonth,Table1[[#This Row],[Site ID (from DATIM)]],"[Measures].[MMS_90_179_M_A]")</f>
        <v>69</v>
      </c>
      <c r="CC394" s="68" t="str" vm="17639">
        <f>CUBEVALUE(ConnectionString,ReportMonth,Table1[[#This Row],[Site ID (from DATIM)]],"[Measures].[MMS_180+_F_P]")</f>
        <v/>
      </c>
      <c r="CD394" s="68" t="str" vm="16310">
        <f>CUBEVALUE(ConnectionString,ReportMonth,Table1[[#This Row],[Site ID (from DATIM)]],"[Measures].[MMS_180+_M_P]")</f>
        <v/>
      </c>
      <c r="CE394" s="68" vm="17141">
        <f>CUBEVALUE(ConnectionString,ReportMonth,Table1[[#This Row],[Site ID (from DATIM)]],"[Measures].[MMS_180+_F_A]")</f>
        <v>1</v>
      </c>
      <c r="CF394" s="68" t="str" vm="92">
        <f>CUBEVALUE(ConnectionString,ReportMonth,Table1[[#This Row],[Site ID (from DATIM)]],"[Measures].[MMS_180+_M_A]")</f>
        <v/>
      </c>
      <c r="CG394" s="68" vm="11707">
        <f>CUBEVALUE(ConnectionString,ReportMonth,Table1[[#This Row],[Site ID (from DATIM)]],"[Measures].[MISSEDAPP]")</f>
        <v>123</v>
      </c>
      <c r="CH394" s="68" t="str" vm="13926">
        <f>CUBEVALUE(ConnectionString,ReportMonth,Table1[[#This Row],[Site ID (from DATIM)]],"[Measures].[MMS_180+_P]")</f>
        <v/>
      </c>
      <c r="CI394" s="68" vm="14003">
        <f>CUBEVALUE(ConnectionString,ReportMonth,Table1[[#This Row],[Site ID (from DATIM)]],"[Measures].[MMS_180+_A]")</f>
        <v>1</v>
      </c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</row>
    <row r="395" spans="1:107" x14ac:dyDescent="0.25">
      <c r="A395" s="66">
        <v>4</v>
      </c>
      <c r="B395" s="67" t="str" vm="4">
        <f t="shared" si="7"/>
        <v>Mar-2021</v>
      </c>
      <c r="C395" s="67"/>
      <c r="D395" s="67" t="s">
        <v>232</v>
      </c>
      <c r="E395" s="67" t="s">
        <v>233</v>
      </c>
      <c r="F395" s="67" t="s">
        <v>831</v>
      </c>
      <c r="G395" s="67"/>
      <c r="H395" s="67" t="s">
        <v>856</v>
      </c>
      <c r="I395" s="67" t="s">
        <v>1032</v>
      </c>
      <c r="J395" s="67" t="s">
        <v>1033</v>
      </c>
      <c r="K395" s="67" t="s">
        <v>1034</v>
      </c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 t="str" vm="548">
        <f>CUBEVALUE(ConnectionString,ReportMonth,Table1[[#This Row],[Site ID (from DATIM)]],"TX_NEW_2VIS")</f>
        <v/>
      </c>
      <c r="AE395" s="67" t="str" vm="4016">
        <f>CUBEVALUE(ConnectionString,ReportMonth,Table1[[#This Row],[Site ID (from DATIM)]],INDEX(SDI_Measures,1))</f>
        <v/>
      </c>
      <c r="AF395" s="67" t="str" vm="1467">
        <f>CUBEVALUE(ConnectionString,ReportMonth,Table1[[#This Row],[Site ID (from DATIM)]],INDEX(SDI_Measures,2))</f>
        <v/>
      </c>
      <c r="AG395" s="67" t="str" vm="1221">
        <f>CUBEVALUE(ConnectionString,ReportMonth,Table1[[#This Row],[Site ID (from DATIM)]],INDEX(SDI_Measures,3))</f>
        <v/>
      </c>
      <c r="AH395" s="67" t="str" vm="3920">
        <f>CUBEVALUE(ConnectionString,ReportMonth,Table1[[#This Row],[Site ID (from DATIM)]],"TX_CURR_PRIOR_MONTH")</f>
        <v/>
      </c>
      <c r="AI395" s="67" t="str" vm="2924">
        <f>CUBEVALUE(ConnectionString,ReportMonth,Table1[[#This Row],[Site ID (from DATIM)]],"TX_CURR")</f>
        <v/>
      </c>
      <c r="AJ395" s="67" t="str" vm="826">
        <f>CUBEVALUE(ConnectionString,ReportMonth,Table1[[#This Row],[Site ID (from DATIM)]],"[Measures].[TI]")</f>
        <v/>
      </c>
      <c r="AK395" s="67" t="str" vm="1191">
        <f>CUBEVALUE(ConnectionString,ReportMonth,Table1[[#This Row],[Site ID (from DATIM)]],"[Measures].[TO]")</f>
        <v/>
      </c>
      <c r="AL395" s="67" t="str" vm="2438">
        <f>CUBEVALUE(ConnectionString,ReportMonth,Table1[[#This Row],[Site ID (from DATIM)]],"[Measures].[DIED]")</f>
        <v/>
      </c>
      <c r="AM395" s="67" t="str" vm="4554">
        <f>CUBEVALUE(ConnectionString,ReportMonth,Table1[[#This Row],[Site ID (from DATIM)]],"[Measures].[MMS_01_31]")</f>
        <v/>
      </c>
      <c r="AN395" s="67" t="str" vm="5782">
        <f>CUBEVALUE(ConnectionString,ReportMonth,Table1[[#This Row],[Site ID (from DATIM)]],"[Measures].[MMS_32_62]")</f>
        <v/>
      </c>
      <c r="AO395" s="67" t="str" vm="6434">
        <f>CUBEVALUE(ConnectionString,ReportMonth,Table1[[#This Row],[Site ID (from DATIM)]],"[Measures].[MMS_63+]")</f>
        <v/>
      </c>
      <c r="AP395" s="67" vm="7756">
        <f>CUBEVALUE(ConnectionString,ReportMonth,Table1[[#This Row],[Site ID (from DATIM)]],"[Measures].[TBPREV_D]")</f>
        <v>1</v>
      </c>
      <c r="AQ395" s="67" t="str" vm="6031">
        <f>CUBEVALUE(ConnectionString,ReportMonth,Table1[[#This Row],[Site ID (from DATIM)]],"[Measures].[TBPREV_N]")</f>
        <v/>
      </c>
      <c r="AR395" s="67" t="str" vm="6899">
        <f>CUBEVALUE(ConnectionString,ReportMonth,Table1[[#This Row],[Site ID (from DATIM)]],"[Measures].[TBPREV_NEW]")</f>
        <v/>
      </c>
      <c r="AS395" s="67" t="str" vm="8422">
        <f>CUBEVALUE(ConnectionString,ReportMonth,Table1[[#This Row],[Site ID (from DATIM)]],"[Measures].[HVL_ELIG_P]")</f>
        <v/>
      </c>
      <c r="AT395" s="67" vm="6703">
        <f>CUBEVALUE(ConnectionString,ReportMonth,Table1[[#This Row],[Site ID (from DATIM)]],"[Measures].[HVL_D_P]")</f>
        <v>5</v>
      </c>
      <c r="AU395" s="67" vm="13617">
        <f>CUBEVALUE(ConnectionString,ReportMonth,Table1[[#This Row],[Site ID (from DATIM)]],"[Measures].[HVL_N_P]")</f>
        <v>4</v>
      </c>
      <c r="AV395" s="68" t="str" vm="9948">
        <f>CUBEVALUE(ConnectionString,ReportMonth,Table1[[#This Row],[Site ID (from DATIM)]],"[Measures].[HVL_ELIG_A]")</f>
        <v/>
      </c>
      <c r="AW395" s="68" vm="9175">
        <f>CUBEVALUE(ConnectionString,ReportMonth,Table1[[#This Row],[Site ID (from DATIM)]],"[Measures].[HVL_D_A]")</f>
        <v>40</v>
      </c>
      <c r="AX395" s="68" vm="11077">
        <f>CUBEVALUE(ConnectionString,ReportMonth,Table1[[#This Row],[Site ID (from DATIM)]],"[Measures].[HVL_N_A]")</f>
        <v>38</v>
      </c>
      <c r="AY395" s="67"/>
      <c r="AZ395" s="67"/>
      <c r="BA395" s="67"/>
      <c r="BB395" s="67"/>
      <c r="BC395" s="67"/>
      <c r="BD395" s="67"/>
      <c r="BE395" s="67"/>
      <c r="BF395" s="67"/>
      <c r="BG395" s="67" t="str" vm="10912">
        <f>CUBEVALUE(ConnectionString,ReportMonth,Table1[[#This Row],[Site ID (from DATIM)]],"[Measures].[TX_NEW_F_A]")</f>
        <v/>
      </c>
      <c r="BH395" s="67" t="str" vm="12226">
        <f>CUBEVALUE(ConnectionString,ReportMonth,Table1[[#This Row],[Site ID (from DATIM)]],"[Measures].[TX_NEW_M_A]")</f>
        <v/>
      </c>
      <c r="BI395" s="67" t="str" vm="13256">
        <f>CUBEVALUE(ConnectionString,ReportMonth,Table1[[#This Row],[Site ID (from DATIM)]],"[Measures].[TX_NEW_F_P]")</f>
        <v/>
      </c>
      <c r="BJ395" s="68" t="str" vm="13149">
        <f>CUBEVALUE(ConnectionString,ReportMonth,Table1[[#This Row],[Site ID (from DATIM)]],"[Measures].[TX_NEW_M_P]")</f>
        <v/>
      </c>
      <c r="BK395" s="68"/>
      <c r="BL395" s="68"/>
      <c r="BM395" s="68"/>
      <c r="BN395" s="68"/>
      <c r="BO395" s="68"/>
      <c r="BP395" s="68"/>
      <c r="BQ395" s="68" t="str" vm="8892">
        <f>CUBEVALUE(ConnectionString,ReportMonth,Table1[[#This Row],[Site ID (from DATIM)]],"[Measures].[TX_CURR_F_P]")</f>
        <v/>
      </c>
      <c r="BR395" s="68" t="str" vm="7946">
        <f>CUBEVALUE(ConnectionString,ReportMonth,Table1[[#This Row],[Site ID (from DATIM)]],"[Measures].[TX_CURR_M_P]")</f>
        <v/>
      </c>
      <c r="BS395" s="68" t="str" vm="10318">
        <f>CUBEVALUE(ConnectionString,ReportMonth,Table1[[#This Row],[Site ID (from DATIM)]],"[Measures].[TX_CURR_F_A]")</f>
        <v/>
      </c>
      <c r="BT395" s="68" t="str" vm="12424">
        <f>CUBEVALUE(ConnectionString,ReportMonth,Table1[[#This Row],[Site ID (from DATIM)]],"[Measures].[TX_CURR_M_A]")</f>
        <v/>
      </c>
      <c r="BU395" s="68" t="str" vm="18097">
        <f>CUBEVALUE(ConnectionString,ReportMonth,Table1[[#This Row],[Site ID (from DATIM)]],"[Measures].[MMS_01_89_F_P]")</f>
        <v/>
      </c>
      <c r="BV395" s="68" t="str" vm="18365">
        <f>CUBEVALUE(ConnectionString,ReportMonth,Table1[[#This Row],[Site ID (from DATIM)]],"[Measures].[MMS_01_89_M_P]")</f>
        <v/>
      </c>
      <c r="BW395" s="68" t="str" vm="19214">
        <f>CUBEVALUE(ConnectionString,ReportMonth,Table1[[#This Row],[Site ID (from DATIM)]],"[Measures].[MMS_01_89_F_A]")</f>
        <v/>
      </c>
      <c r="BX395" s="68" t="str" vm="19621">
        <f>CUBEVALUE(ConnectionString,ReportMonth,Table1[[#This Row],[Site ID (from DATIM)]],"[Measures].[MMS_01_89_M_A]")</f>
        <v/>
      </c>
      <c r="BY395" s="68" t="str" vm="17930">
        <f>CUBEVALUE(ConnectionString,ReportMonth,Table1[[#This Row],[Site ID (from DATIM)]],"[Measures].[MMS_90_179_F_P]")</f>
        <v/>
      </c>
      <c r="BZ395" s="68" t="str" vm="15243">
        <f>CUBEVALUE(ConnectionString,ReportMonth,Table1[[#This Row],[Site ID (from DATIM)]],"[Measures].[MMS_90_179_M_P]")</f>
        <v/>
      </c>
      <c r="CA395" s="68" t="str" vm="16410">
        <f>CUBEVALUE(ConnectionString,ReportMonth,Table1[[#This Row],[Site ID (from DATIM)]],"[Measures].[MMS_90_179_F_A]")</f>
        <v/>
      </c>
      <c r="CB395" s="68" t="str" vm="17704">
        <f>CUBEVALUE(ConnectionString,ReportMonth,Table1[[#This Row],[Site ID (from DATIM)]],"[Measures].[MMS_90_179_M_A]")</f>
        <v/>
      </c>
      <c r="CC395" s="68" t="str" vm="15919">
        <f>CUBEVALUE(ConnectionString,ReportMonth,Table1[[#This Row],[Site ID (from DATIM)]],"[Measures].[MMS_180+_F_P]")</f>
        <v/>
      </c>
      <c r="CD395" s="68" t="str" vm="14491">
        <f>CUBEVALUE(ConnectionString,ReportMonth,Table1[[#This Row],[Site ID (from DATIM)]],"[Measures].[MMS_180+_M_P]")</f>
        <v/>
      </c>
      <c r="CE395" s="68" t="str" vm="48">
        <f>CUBEVALUE(ConnectionString,ReportMonth,Table1[[#This Row],[Site ID (from DATIM)]],"[Measures].[MMS_180+_F_A]")</f>
        <v/>
      </c>
      <c r="CF395" s="68" t="str" vm="16697">
        <f>CUBEVALUE(ConnectionString,ReportMonth,Table1[[#This Row],[Site ID (from DATIM)]],"[Measures].[MMS_180+_M_A]")</f>
        <v/>
      </c>
      <c r="CG395" s="68" t="str" vm="7392">
        <f>CUBEVALUE(ConnectionString,ReportMonth,Table1[[#This Row],[Site ID (from DATIM)]],"[Measures].[MISSEDAPP]")</f>
        <v/>
      </c>
      <c r="CH395" s="68" t="str" vm="12935">
        <f>CUBEVALUE(ConnectionString,ReportMonth,Table1[[#This Row],[Site ID (from DATIM)]],"[Measures].[MMS_180+_P]")</f>
        <v/>
      </c>
      <c r="CI395" s="68" t="str" vm="12696">
        <f>CUBEVALUE(ConnectionString,ReportMonth,Table1[[#This Row],[Site ID (from DATIM)]],"[Measures].[MMS_180+_A]")</f>
        <v/>
      </c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  <c r="CW395" s="68"/>
      <c r="CX395" s="68"/>
      <c r="CY395" s="68"/>
      <c r="CZ395" s="68"/>
      <c r="DA395" s="68"/>
      <c r="DB395" s="68"/>
      <c r="DC395" s="68"/>
    </row>
    <row r="396" spans="1:107" x14ac:dyDescent="0.25">
      <c r="A396" s="66">
        <v>4</v>
      </c>
      <c r="B396" s="67" t="str" vm="4">
        <f t="shared" si="7"/>
        <v>Mar-2021</v>
      </c>
      <c r="C396" s="67"/>
      <c r="D396" s="67" t="s">
        <v>232</v>
      </c>
      <c r="E396" s="67" t="s">
        <v>233</v>
      </c>
      <c r="F396" s="67" t="s">
        <v>1286</v>
      </c>
      <c r="G396" s="67"/>
      <c r="H396" s="67" t="s">
        <v>1303</v>
      </c>
      <c r="I396" s="67" t="s">
        <v>1506</v>
      </c>
      <c r="J396" s="67" t="s">
        <v>1507</v>
      </c>
      <c r="K396" s="67" t="s">
        <v>1508</v>
      </c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 t="str" vm="368">
        <f>CUBEVALUE(ConnectionString,ReportMonth,Table1[[#This Row],[Site ID (from DATIM)]],"TX_NEW_2VIS")</f>
        <v/>
      </c>
      <c r="AE396" s="67" t="str" vm="3019">
        <f>CUBEVALUE(ConnectionString,ReportMonth,Table1[[#This Row],[Site ID (from DATIM)]],INDEX(SDI_Measures,1))</f>
        <v/>
      </c>
      <c r="AF396" s="67" t="str" vm="355">
        <f>CUBEVALUE(ConnectionString,ReportMonth,Table1[[#This Row],[Site ID (from DATIM)]],INDEX(SDI_Measures,2))</f>
        <v/>
      </c>
      <c r="AG396" s="67" t="str" vm="1788">
        <f>CUBEVALUE(ConnectionString,ReportMonth,Table1[[#This Row],[Site ID (from DATIM)]],INDEX(SDI_Measures,3))</f>
        <v/>
      </c>
      <c r="AH396" s="67" t="str" vm="2802">
        <f>CUBEVALUE(ConnectionString,ReportMonth,Table1[[#This Row],[Site ID (from DATIM)]],"TX_CURR_PRIOR_MONTH")</f>
        <v/>
      </c>
      <c r="AI396" s="67" t="str" vm="1874">
        <f>CUBEVALUE(ConnectionString,ReportMonth,Table1[[#This Row],[Site ID (from DATIM)]],"TX_CURR")</f>
        <v/>
      </c>
      <c r="AJ396" s="67" t="str" vm="905">
        <f>CUBEVALUE(ConnectionString,ReportMonth,Table1[[#This Row],[Site ID (from DATIM)]],"[Measures].[TI]")</f>
        <v/>
      </c>
      <c r="AK396" s="67" t="str" vm="3152">
        <f>CUBEVALUE(ConnectionString,ReportMonth,Table1[[#This Row],[Site ID (from DATIM)]],"[Measures].[TO]")</f>
        <v/>
      </c>
      <c r="AL396" s="67" t="str" vm="2044">
        <f>CUBEVALUE(ConnectionString,ReportMonth,Table1[[#This Row],[Site ID (from DATIM)]],"[Measures].[DIED]")</f>
        <v/>
      </c>
      <c r="AM396" s="67" t="str" vm="3862">
        <f>CUBEVALUE(ConnectionString,ReportMonth,Table1[[#This Row],[Site ID (from DATIM)]],"[Measures].[MMS_01_31]")</f>
        <v/>
      </c>
      <c r="AN396" s="67" t="str" vm="4906">
        <f>CUBEVALUE(ConnectionString,ReportMonth,Table1[[#This Row],[Site ID (from DATIM)]],"[Measures].[MMS_32_62]")</f>
        <v/>
      </c>
      <c r="AO396" s="67" t="str" vm="5748">
        <f>CUBEVALUE(ConnectionString,ReportMonth,Table1[[#This Row],[Site ID (from DATIM)]],"[Measures].[MMS_63+]")</f>
        <v/>
      </c>
      <c r="AP396" s="67" t="str" vm="5422">
        <f>CUBEVALUE(ConnectionString,ReportMonth,Table1[[#This Row],[Site ID (from DATIM)]],"[Measures].[TBPREV_D]")</f>
        <v/>
      </c>
      <c r="AQ396" s="67" t="str" vm="4649">
        <f>CUBEVALUE(ConnectionString,ReportMonth,Table1[[#This Row],[Site ID (from DATIM)]],"[Measures].[TBPREV_N]")</f>
        <v/>
      </c>
      <c r="AR396" s="67" t="str" vm="4179">
        <f>CUBEVALUE(ConnectionString,ReportMonth,Table1[[#This Row],[Site ID (from DATIM)]],"[Measures].[TBPREV_NEW]")</f>
        <v/>
      </c>
      <c r="AS396" s="67" t="str" vm="7793">
        <f>CUBEVALUE(ConnectionString,ReportMonth,Table1[[#This Row],[Site ID (from DATIM)]],"[Measures].[HVL_ELIG_P]")</f>
        <v/>
      </c>
      <c r="AT396" s="67" t="str" vm="5184">
        <f>CUBEVALUE(ConnectionString,ReportMonth,Table1[[#This Row],[Site ID (from DATIM)]],"[Measures].[HVL_D_P]")</f>
        <v/>
      </c>
      <c r="AU396" s="67" t="str" vm="11308">
        <f>CUBEVALUE(ConnectionString,ReportMonth,Table1[[#This Row],[Site ID (from DATIM)]],"[Measures].[HVL_N_P]")</f>
        <v/>
      </c>
      <c r="AV396" s="68" t="str" vm="10725">
        <f>CUBEVALUE(ConnectionString,ReportMonth,Table1[[#This Row],[Site ID (from DATIM)]],"[Measures].[HVL_ELIG_A]")</f>
        <v/>
      </c>
      <c r="AW396" s="68" t="str" vm="7935">
        <f>CUBEVALUE(ConnectionString,ReportMonth,Table1[[#This Row],[Site ID (from DATIM)]],"[Measures].[HVL_D_A]")</f>
        <v/>
      </c>
      <c r="AX396" s="68" t="str" vm="13721">
        <f>CUBEVALUE(ConnectionString,ReportMonth,Table1[[#This Row],[Site ID (from DATIM)]],"[Measures].[HVL_N_A]")</f>
        <v/>
      </c>
      <c r="AY396" s="67"/>
      <c r="AZ396" s="67"/>
      <c r="BA396" s="67"/>
      <c r="BB396" s="67"/>
      <c r="BC396" s="67"/>
      <c r="BD396" s="67"/>
      <c r="BE396" s="67"/>
      <c r="BF396" s="67"/>
      <c r="BG396" s="67" t="str" vm="10420">
        <f>CUBEVALUE(ConnectionString,ReportMonth,Table1[[#This Row],[Site ID (from DATIM)]],"[Measures].[TX_NEW_F_A]")</f>
        <v/>
      </c>
      <c r="BH396" s="67" t="str" vm="12555">
        <f>CUBEVALUE(ConnectionString,ReportMonth,Table1[[#This Row],[Site ID (from DATIM)]],"[Measures].[TX_NEW_M_A]")</f>
        <v/>
      </c>
      <c r="BI396" s="67" t="str" vm="12831">
        <f>CUBEVALUE(ConnectionString,ReportMonth,Table1[[#This Row],[Site ID (from DATIM)]],"[Measures].[TX_NEW_F_P]")</f>
        <v/>
      </c>
      <c r="BJ396" s="68" t="str" vm="16146">
        <f>CUBEVALUE(ConnectionString,ReportMonth,Table1[[#This Row],[Site ID (from DATIM)]],"[Measures].[TX_NEW_M_P]")</f>
        <v/>
      </c>
      <c r="BK396" s="68"/>
      <c r="BL396" s="68"/>
      <c r="BM396" s="68"/>
      <c r="BN396" s="68"/>
      <c r="BO396" s="68"/>
      <c r="BP396" s="68"/>
      <c r="BQ396" s="68" t="str" vm="7993">
        <f>CUBEVALUE(ConnectionString,ReportMonth,Table1[[#This Row],[Site ID (from DATIM)]],"[Measures].[TX_CURR_F_P]")</f>
        <v/>
      </c>
      <c r="BR396" s="68" t="str" vm="8456">
        <f>CUBEVALUE(ConnectionString,ReportMonth,Table1[[#This Row],[Site ID (from DATIM)]],"[Measures].[TX_CURR_M_P]")</f>
        <v/>
      </c>
      <c r="BS396" s="68" t="str" vm="14056">
        <f>CUBEVALUE(ConnectionString,ReportMonth,Table1[[#This Row],[Site ID (from DATIM)]],"[Measures].[TX_CURR_F_A]")</f>
        <v/>
      </c>
      <c r="BT396" s="68" t="str" vm="9148">
        <f>CUBEVALUE(ConnectionString,ReportMonth,Table1[[#This Row],[Site ID (from DATIM)]],"[Measures].[TX_CURR_M_A]")</f>
        <v/>
      </c>
      <c r="BU396" s="68" t="str" vm="18999">
        <f>CUBEVALUE(ConnectionString,ReportMonth,Table1[[#This Row],[Site ID (from DATIM)]],"[Measures].[MMS_01_89_F_P]")</f>
        <v/>
      </c>
      <c r="BV396" s="68" t="str" vm="19755">
        <f>CUBEVALUE(ConnectionString,ReportMonth,Table1[[#This Row],[Site ID (from DATIM)]],"[Measures].[MMS_01_89_M_P]")</f>
        <v/>
      </c>
      <c r="BW396" s="68" t="str" vm="19461">
        <f>CUBEVALUE(ConnectionString,ReportMonth,Table1[[#This Row],[Site ID (from DATIM)]],"[Measures].[MMS_01_89_F_A]")</f>
        <v/>
      </c>
      <c r="BX396" s="68" t="str" vm="16036">
        <f>CUBEVALUE(ConnectionString,ReportMonth,Table1[[#This Row],[Site ID (from DATIM)]],"[Measures].[MMS_01_89_M_A]")</f>
        <v/>
      </c>
      <c r="BY396" s="68" t="str" vm="17850">
        <f>CUBEVALUE(ConnectionString,ReportMonth,Table1[[#This Row],[Site ID (from DATIM)]],"[Measures].[MMS_90_179_F_P]")</f>
        <v/>
      </c>
      <c r="BZ396" s="68" t="str" vm="15242">
        <f>CUBEVALUE(ConnectionString,ReportMonth,Table1[[#This Row],[Site ID (from DATIM)]],"[Measures].[MMS_90_179_M_P]")</f>
        <v/>
      </c>
      <c r="CA396" s="68" t="str" vm="16425">
        <f>CUBEVALUE(ConnectionString,ReportMonth,Table1[[#This Row],[Site ID (from DATIM)]],"[Measures].[MMS_90_179_F_A]")</f>
        <v/>
      </c>
      <c r="CB396" s="68" t="str" vm="16920">
        <f>CUBEVALUE(ConnectionString,ReportMonth,Table1[[#This Row],[Site ID (from DATIM)]],"[Measures].[MMS_90_179_M_A]")</f>
        <v/>
      </c>
      <c r="CC396" s="68" t="str" vm="15896">
        <f>CUBEVALUE(ConnectionString,ReportMonth,Table1[[#This Row],[Site ID (from DATIM)]],"[Measures].[MMS_180+_F_P]")</f>
        <v/>
      </c>
      <c r="CD396" s="68" t="str" vm="17584">
        <f>CUBEVALUE(ConnectionString,ReportMonth,Table1[[#This Row],[Site ID (from DATIM)]],"[Measures].[MMS_180+_M_P]")</f>
        <v/>
      </c>
      <c r="CE396" s="68" t="str" vm="17565">
        <f>CUBEVALUE(ConnectionString,ReportMonth,Table1[[#This Row],[Site ID (from DATIM)]],"[Measures].[MMS_180+_F_A]")</f>
        <v/>
      </c>
      <c r="CF396" s="68" t="str" vm="16224">
        <f>CUBEVALUE(ConnectionString,ReportMonth,Table1[[#This Row],[Site ID (from DATIM)]],"[Measures].[MMS_180+_M_A]")</f>
        <v/>
      </c>
      <c r="CG396" s="68" t="str" vm="6089">
        <f>CUBEVALUE(ConnectionString,ReportMonth,Table1[[#This Row],[Site ID (from DATIM)]],"[Measures].[MISSEDAPP]")</f>
        <v/>
      </c>
      <c r="CH396" s="68" t="str" vm="13607">
        <f>CUBEVALUE(ConnectionString,ReportMonth,Table1[[#This Row],[Site ID (from DATIM)]],"[Measures].[MMS_180+_P]")</f>
        <v/>
      </c>
      <c r="CI396" s="68" t="str" vm="13031">
        <f>CUBEVALUE(ConnectionString,ReportMonth,Table1[[#This Row],[Site ID (from DATIM)]],"[Measures].[MMS_180+_A]")</f>
        <v/>
      </c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  <c r="CW396" s="68"/>
      <c r="CX396" s="68"/>
      <c r="CY396" s="68"/>
      <c r="CZ396" s="68"/>
      <c r="DA396" s="68"/>
      <c r="DB396" s="68"/>
      <c r="DC396" s="68"/>
    </row>
    <row r="397" spans="1:107" x14ac:dyDescent="0.25">
      <c r="A397" s="66">
        <v>4</v>
      </c>
      <c r="B397" s="67" t="str" vm="4">
        <f t="shared" si="7"/>
        <v>Mar-2021</v>
      </c>
      <c r="C397" s="67"/>
      <c r="D397" s="67" t="s">
        <v>232</v>
      </c>
      <c r="E397" s="67" t="s">
        <v>233</v>
      </c>
      <c r="F397" s="67" t="s">
        <v>1083</v>
      </c>
      <c r="G397" s="67"/>
      <c r="H397" s="67" t="s">
        <v>1113</v>
      </c>
      <c r="I397" s="67" t="s">
        <v>1151</v>
      </c>
      <c r="J397" s="67" t="s">
        <v>1268</v>
      </c>
      <c r="K397" s="67" t="s">
        <v>1269</v>
      </c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 t="str" vm="4515">
        <f>CUBEVALUE(ConnectionString,ReportMonth,Table1[[#This Row],[Site ID (from DATIM)]],"TX_NEW_2VIS")</f>
        <v/>
      </c>
      <c r="AE397" s="67" t="str" vm="630">
        <f>CUBEVALUE(ConnectionString,ReportMonth,Table1[[#This Row],[Site ID (from DATIM)]],INDEX(SDI_Measures,1))</f>
        <v/>
      </c>
      <c r="AF397" s="67" t="str" vm="2599">
        <f>CUBEVALUE(ConnectionString,ReportMonth,Table1[[#This Row],[Site ID (from DATIM)]],INDEX(SDI_Measures,2))</f>
        <v/>
      </c>
      <c r="AG397" s="67" t="str" vm="1857">
        <f>CUBEVALUE(ConnectionString,ReportMonth,Table1[[#This Row],[Site ID (from DATIM)]],INDEX(SDI_Measures,3))</f>
        <v/>
      </c>
      <c r="AH397" s="67" vm="3252">
        <f>CUBEVALUE(ConnectionString,ReportMonth,Table1[[#This Row],[Site ID (from DATIM)]],"TX_CURR_PRIOR_MONTH")</f>
        <v>19</v>
      </c>
      <c r="AI397" s="67" vm="1327">
        <f>CUBEVALUE(ConnectionString,ReportMonth,Table1[[#This Row],[Site ID (from DATIM)]],"TX_CURR")</f>
        <v>18</v>
      </c>
      <c r="AJ397" s="67" t="str" vm="2834">
        <f>CUBEVALUE(ConnectionString,ReportMonth,Table1[[#This Row],[Site ID (from DATIM)]],"[Measures].[TI]")</f>
        <v/>
      </c>
      <c r="AK397" s="67" t="str" vm="378">
        <f>CUBEVALUE(ConnectionString,ReportMonth,Table1[[#This Row],[Site ID (from DATIM)]],"[Measures].[TO]")</f>
        <v/>
      </c>
      <c r="AL397" s="67" t="str" vm="3988">
        <f>CUBEVALUE(ConnectionString,ReportMonth,Table1[[#This Row],[Site ID (from DATIM)]],"[Measures].[DIED]")</f>
        <v/>
      </c>
      <c r="AM397" s="67" vm="6170">
        <f>CUBEVALUE(ConnectionString,ReportMonth,Table1[[#This Row],[Site ID (from DATIM)]],"[Measures].[MMS_01_31]")</f>
        <v>15</v>
      </c>
      <c r="AN397" s="67" t="str" vm="4385">
        <f>CUBEVALUE(ConnectionString,ReportMonth,Table1[[#This Row],[Site ID (from DATIM)]],"[Measures].[MMS_32_62]")</f>
        <v/>
      </c>
      <c r="AO397" s="67" vm="7770">
        <f>CUBEVALUE(ConnectionString,ReportMonth,Table1[[#This Row],[Site ID (from DATIM)]],"[Measures].[MMS_63+]")</f>
        <v>3</v>
      </c>
      <c r="AP397" s="67" t="str" vm="6879">
        <f>CUBEVALUE(ConnectionString,ReportMonth,Table1[[#This Row],[Site ID (from DATIM)]],"[Measures].[TBPREV_D]")</f>
        <v/>
      </c>
      <c r="AQ397" s="67" t="str" vm="7834">
        <f>CUBEVALUE(ConnectionString,ReportMonth,Table1[[#This Row],[Site ID (from DATIM)]],"[Measures].[TBPREV_N]")</f>
        <v/>
      </c>
      <c r="AR397" s="67" t="str" vm="8881">
        <f>CUBEVALUE(ConnectionString,ReportMonth,Table1[[#This Row],[Site ID (from DATIM)]],"[Measures].[TBPREV_NEW]")</f>
        <v/>
      </c>
      <c r="AS397" s="67" t="str" vm="13157">
        <f>CUBEVALUE(ConnectionString,ReportMonth,Table1[[#This Row],[Site ID (from DATIM)]],"[Measures].[HVL_ELIG_P]")</f>
        <v/>
      </c>
      <c r="AT397" s="67" t="str" vm="7180">
        <f>CUBEVALUE(ConnectionString,ReportMonth,Table1[[#This Row],[Site ID (from DATIM)]],"[Measures].[HVL_D_P]")</f>
        <v/>
      </c>
      <c r="AU397" s="67" t="str" vm="13917">
        <f>CUBEVALUE(ConnectionString,ReportMonth,Table1[[#This Row],[Site ID (from DATIM)]],"[Measures].[HVL_N_P]")</f>
        <v/>
      </c>
      <c r="AV397" s="68" t="str" vm="10482">
        <f>CUBEVALUE(ConnectionString,ReportMonth,Table1[[#This Row],[Site ID (from DATIM)]],"[Measures].[HVL_ELIG_A]")</f>
        <v/>
      </c>
      <c r="AW397" s="68" t="str" vm="10931">
        <f>CUBEVALUE(ConnectionString,ReportMonth,Table1[[#This Row],[Site ID (from DATIM)]],"[Measures].[HVL_D_A]")</f>
        <v/>
      </c>
      <c r="AX397" s="68" t="str" vm="11926">
        <f>CUBEVALUE(ConnectionString,ReportMonth,Table1[[#This Row],[Site ID (from DATIM)]],"[Measures].[HVL_N_A]")</f>
        <v/>
      </c>
      <c r="AY397" s="67"/>
      <c r="AZ397" s="67"/>
      <c r="BA397" s="67"/>
      <c r="BB397" s="67"/>
      <c r="BC397" s="67"/>
      <c r="BD397" s="67"/>
      <c r="BE397" s="67"/>
      <c r="BF397" s="67"/>
      <c r="BG397" s="67" t="str" vm="10862">
        <f>CUBEVALUE(ConnectionString,ReportMonth,Table1[[#This Row],[Site ID (from DATIM)]],"[Measures].[TX_NEW_F_A]")</f>
        <v/>
      </c>
      <c r="BH397" s="67" t="str" vm="12224">
        <f>CUBEVALUE(ConnectionString,ReportMonth,Table1[[#This Row],[Site ID (from DATIM)]],"[Measures].[TX_NEW_M_A]")</f>
        <v/>
      </c>
      <c r="BI397" s="67" t="str" vm="14365">
        <f>CUBEVALUE(ConnectionString,ReportMonth,Table1[[#This Row],[Site ID (from DATIM)]],"[Measures].[TX_NEW_F_P]")</f>
        <v/>
      </c>
      <c r="BJ397" s="68" t="str" vm="13127">
        <f>CUBEVALUE(ConnectionString,ReportMonth,Table1[[#This Row],[Site ID (from DATIM)]],"[Measures].[TX_NEW_M_P]")</f>
        <v/>
      </c>
      <c r="BK397" s="68"/>
      <c r="BL397" s="68"/>
      <c r="BM397" s="68"/>
      <c r="BN397" s="68"/>
      <c r="BO397" s="68"/>
      <c r="BP397" s="68"/>
      <c r="BQ397" s="68" vm="7245">
        <f>CUBEVALUE(ConnectionString,ReportMonth,Table1[[#This Row],[Site ID (from DATIM)]],"[Measures].[TX_CURR_F_P]")</f>
        <v>2</v>
      </c>
      <c r="BR397" s="68" vm="14332">
        <f>CUBEVALUE(ConnectionString,ReportMonth,Table1[[#This Row],[Site ID (from DATIM)]],"[Measures].[TX_CURR_M_P]")</f>
        <v>1</v>
      </c>
      <c r="BS397" s="68" vm="9064">
        <f>CUBEVALUE(ConnectionString,ReportMonth,Table1[[#This Row],[Site ID (from DATIM)]],"[Measures].[TX_CURR_F_A]")</f>
        <v>10</v>
      </c>
      <c r="BT397" s="68" vm="13654">
        <f>CUBEVALUE(ConnectionString,ReportMonth,Table1[[#This Row],[Site ID (from DATIM)]],"[Measures].[TX_CURR_M_A]")</f>
        <v>5</v>
      </c>
      <c r="BU397" s="68" vm="14752">
        <f>CUBEVALUE(ConnectionString,ReportMonth,Table1[[#This Row],[Site ID (from DATIM)]],"[Measures].[MMS_01_89_F_P]")</f>
        <v>2</v>
      </c>
      <c r="BV397" s="68" vm="19741">
        <f>CUBEVALUE(ConnectionString,ReportMonth,Table1[[#This Row],[Site ID (from DATIM)]],"[Measures].[MMS_01_89_M_P]")</f>
        <v>1</v>
      </c>
      <c r="BW397" s="68" vm="19696">
        <f>CUBEVALUE(ConnectionString,ReportMonth,Table1[[#This Row],[Site ID (from DATIM)]],"[Measures].[MMS_01_89_F_A]")</f>
        <v>8</v>
      </c>
      <c r="BX397" s="68" vm="19073">
        <f>CUBEVALUE(ConnectionString,ReportMonth,Table1[[#This Row],[Site ID (from DATIM)]],"[Measures].[MMS_01_89_M_A]")</f>
        <v>4</v>
      </c>
      <c r="BY397" s="68" t="str" vm="15152">
        <f>CUBEVALUE(ConnectionString,ReportMonth,Table1[[#This Row],[Site ID (from DATIM)]],"[Measures].[MMS_90_179_F_P]")</f>
        <v/>
      </c>
      <c r="BZ397" s="68" t="str" vm="15208">
        <f>CUBEVALUE(ConnectionString,ReportMonth,Table1[[#This Row],[Site ID (from DATIM)]],"[Measures].[MMS_90_179_M_P]")</f>
        <v/>
      </c>
      <c r="CA397" s="68" vm="14629">
        <f>CUBEVALUE(ConnectionString,ReportMonth,Table1[[#This Row],[Site ID (from DATIM)]],"[Measures].[MMS_90_179_F_A]")</f>
        <v>2</v>
      </c>
      <c r="CB397" s="68" vm="17702">
        <f>CUBEVALUE(ConnectionString,ReportMonth,Table1[[#This Row],[Site ID (from DATIM)]],"[Measures].[MMS_90_179_M_A]")</f>
        <v>1</v>
      </c>
      <c r="CC397" s="68" t="str" vm="17090">
        <f>CUBEVALUE(ConnectionString,ReportMonth,Table1[[#This Row],[Site ID (from DATIM)]],"[Measures].[MMS_180+_F_P]")</f>
        <v/>
      </c>
      <c r="CD397" s="68" t="str" vm="15775">
        <f>CUBEVALUE(ConnectionString,ReportMonth,Table1[[#This Row],[Site ID (from DATIM)]],"[Measures].[MMS_180+_M_P]")</f>
        <v/>
      </c>
      <c r="CE397" s="68" t="str" vm="15790">
        <f>CUBEVALUE(ConnectionString,ReportMonth,Table1[[#This Row],[Site ID (from DATIM)]],"[Measures].[MMS_180+_F_A]")</f>
        <v/>
      </c>
      <c r="CF397" s="68" t="str" vm="251">
        <f>CUBEVALUE(ConnectionString,ReportMonth,Table1[[#This Row],[Site ID (from DATIM)]],"[Measures].[MMS_180+_M_A]")</f>
        <v/>
      </c>
      <c r="CG397" s="68" vm="9048">
        <f>CUBEVALUE(ConnectionString,ReportMonth,Table1[[#This Row],[Site ID (from DATIM)]],"[Measures].[MISSEDAPP]")</f>
        <v>17</v>
      </c>
      <c r="CH397" s="68" t="str" vm="15335">
        <f>CUBEVALUE(ConnectionString,ReportMonth,Table1[[#This Row],[Site ID (from DATIM)]],"[Measures].[MMS_180+_P]")</f>
        <v/>
      </c>
      <c r="CI397" s="68" t="str" vm="12250">
        <f>CUBEVALUE(ConnectionString,ReportMonth,Table1[[#This Row],[Site ID (from DATIM)]],"[Measures].[MMS_180+_A]")</f>
        <v/>
      </c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  <c r="CW397" s="68"/>
      <c r="CX397" s="68"/>
      <c r="CY397" s="68"/>
      <c r="CZ397" s="68"/>
      <c r="DA397" s="68"/>
      <c r="DB397" s="68"/>
      <c r="DC397" s="68"/>
    </row>
    <row r="398" spans="1:107" x14ac:dyDescent="0.25">
      <c r="A398" s="66">
        <v>4</v>
      </c>
      <c r="B398" s="67" t="str" vm="4">
        <f t="shared" si="7"/>
        <v>Mar-2021</v>
      </c>
      <c r="C398" s="67"/>
      <c r="D398" s="67" t="s">
        <v>232</v>
      </c>
      <c r="E398" s="67" t="s">
        <v>233</v>
      </c>
      <c r="F398" s="67" t="s">
        <v>1083</v>
      </c>
      <c r="G398" s="67"/>
      <c r="H398" s="67" t="s">
        <v>1088</v>
      </c>
      <c r="I398" s="67" t="s">
        <v>1089</v>
      </c>
      <c r="J398" s="67" t="s">
        <v>1270</v>
      </c>
      <c r="K398" s="67" t="s">
        <v>1271</v>
      </c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 t="str" vm="2853">
        <f>CUBEVALUE(ConnectionString,ReportMonth,Table1[[#This Row],[Site ID (from DATIM)]],"TX_NEW_2VIS")</f>
        <v/>
      </c>
      <c r="AE398" s="67" t="str" vm="4044">
        <f>CUBEVALUE(ConnectionString,ReportMonth,Table1[[#This Row],[Site ID (from DATIM)]],INDEX(SDI_Measures,1))</f>
        <v/>
      </c>
      <c r="AF398" s="67" t="str" vm="323">
        <f>CUBEVALUE(ConnectionString,ReportMonth,Table1[[#This Row],[Site ID (from DATIM)]],INDEX(SDI_Measures,2))</f>
        <v/>
      </c>
      <c r="AG398" s="67" t="str" vm="6004">
        <f>CUBEVALUE(ConnectionString,ReportMonth,Table1[[#This Row],[Site ID (from DATIM)]],INDEX(SDI_Measures,3))</f>
        <v/>
      </c>
      <c r="AH398" s="67" vm="2756">
        <f>CUBEVALUE(ConnectionString,ReportMonth,Table1[[#This Row],[Site ID (from DATIM)]],"TX_CURR_PRIOR_MONTH")</f>
        <v>9</v>
      </c>
      <c r="AI398" s="67" vm="3807">
        <f>CUBEVALUE(ConnectionString,ReportMonth,Table1[[#This Row],[Site ID (from DATIM)]],"TX_CURR")</f>
        <v>9</v>
      </c>
      <c r="AJ398" s="67" t="str" vm="3643">
        <f>CUBEVALUE(ConnectionString,ReportMonth,Table1[[#This Row],[Site ID (from DATIM)]],"[Measures].[TI]")</f>
        <v/>
      </c>
      <c r="AK398" s="67" t="str" vm="1260">
        <f>CUBEVALUE(ConnectionString,ReportMonth,Table1[[#This Row],[Site ID (from DATIM)]],"[Measures].[TO]")</f>
        <v/>
      </c>
      <c r="AL398" s="67" t="str" vm="4307">
        <f>CUBEVALUE(ConnectionString,ReportMonth,Table1[[#This Row],[Site ID (from DATIM)]],"[Measures].[DIED]")</f>
        <v/>
      </c>
      <c r="AM398" s="67" vm="6938">
        <f>CUBEVALUE(ConnectionString,ReportMonth,Table1[[#This Row],[Site ID (from DATIM)]],"[Measures].[MMS_01_31]")</f>
        <v>7</v>
      </c>
      <c r="AN398" s="67" vm="6469">
        <f>CUBEVALUE(ConnectionString,ReportMonth,Table1[[#This Row],[Site ID (from DATIM)]],"[Measures].[MMS_32_62]")</f>
        <v>2</v>
      </c>
      <c r="AO398" s="67" t="str" vm="5881">
        <f>CUBEVALUE(ConnectionString,ReportMonth,Table1[[#This Row],[Site ID (from DATIM)]],"[Measures].[MMS_63+]")</f>
        <v/>
      </c>
      <c r="AP398" s="67" t="str" vm="5483">
        <f>CUBEVALUE(ConnectionString,ReportMonth,Table1[[#This Row],[Site ID (from DATIM)]],"[Measures].[TBPREV_D]")</f>
        <v/>
      </c>
      <c r="AQ398" s="67" t="str" vm="5200">
        <f>CUBEVALUE(ConnectionString,ReportMonth,Table1[[#This Row],[Site ID (from DATIM)]],"[Measures].[TBPREV_N]")</f>
        <v/>
      </c>
      <c r="AR398" s="67" t="str" vm="6429">
        <f>CUBEVALUE(ConnectionString,ReportMonth,Table1[[#This Row],[Site ID (from DATIM)]],"[Measures].[TBPREV_NEW]")</f>
        <v/>
      </c>
      <c r="AS398" s="67" t="str" vm="5399">
        <f>CUBEVALUE(ConnectionString,ReportMonth,Table1[[#This Row],[Site ID (from DATIM)]],"[Measures].[HVL_ELIG_P]")</f>
        <v/>
      </c>
      <c r="AT398" s="67" t="str" vm="9570">
        <f>CUBEVALUE(ConnectionString,ReportMonth,Table1[[#This Row],[Site ID (from DATIM)]],"[Measures].[HVL_D_P]")</f>
        <v/>
      </c>
      <c r="AU398" s="67" t="str" vm="13856">
        <f>CUBEVALUE(ConnectionString,ReportMonth,Table1[[#This Row],[Site ID (from DATIM)]],"[Measures].[HVL_N_P]")</f>
        <v/>
      </c>
      <c r="AV398" s="68" vm="10366">
        <f>CUBEVALUE(ConnectionString,ReportMonth,Table1[[#This Row],[Site ID (from DATIM)]],"[Measures].[HVL_ELIG_A]")</f>
        <v>6</v>
      </c>
      <c r="AW398" s="68" t="str" vm="9394">
        <f>CUBEVALUE(ConnectionString,ReportMonth,Table1[[#This Row],[Site ID (from DATIM)]],"[Measures].[HVL_D_A]")</f>
        <v/>
      </c>
      <c r="AX398" s="68" t="str" vm="10398">
        <f>CUBEVALUE(ConnectionString,ReportMonth,Table1[[#This Row],[Site ID (from DATIM)]],"[Measures].[HVL_N_A]")</f>
        <v/>
      </c>
      <c r="AY398" s="67"/>
      <c r="AZ398" s="67"/>
      <c r="BA398" s="67"/>
      <c r="BB398" s="67"/>
      <c r="BC398" s="67"/>
      <c r="BD398" s="67"/>
      <c r="BE398" s="67"/>
      <c r="BF398" s="67"/>
      <c r="BG398" s="67" t="str" vm="12649">
        <f>CUBEVALUE(ConnectionString,ReportMonth,Table1[[#This Row],[Site ID (from DATIM)]],"[Measures].[TX_NEW_F_A]")</f>
        <v/>
      </c>
      <c r="BH398" s="67" t="str" vm="12905">
        <f>CUBEVALUE(ConnectionString,ReportMonth,Table1[[#This Row],[Site ID (from DATIM)]],"[Measures].[TX_NEW_M_A]")</f>
        <v/>
      </c>
      <c r="BI398" s="67" t="str" vm="13797">
        <f>CUBEVALUE(ConnectionString,ReportMonth,Table1[[#This Row],[Site ID (from DATIM)]],"[Measures].[TX_NEW_F_P]")</f>
        <v/>
      </c>
      <c r="BJ398" s="68" t="str" vm="13713">
        <f>CUBEVALUE(ConnectionString,ReportMonth,Table1[[#This Row],[Site ID (from DATIM)]],"[Measures].[TX_NEW_M_P]")</f>
        <v/>
      </c>
      <c r="BK398" s="68"/>
      <c r="BL398" s="68"/>
      <c r="BM398" s="68"/>
      <c r="BN398" s="68"/>
      <c r="BO398" s="68"/>
      <c r="BP398" s="68"/>
      <c r="BQ398" s="68" t="str" vm="9325">
        <f>CUBEVALUE(ConnectionString,ReportMonth,Table1[[#This Row],[Site ID (from DATIM)]],"[Measures].[TX_CURR_F_P]")</f>
        <v/>
      </c>
      <c r="BR398" s="68" t="str" vm="12105">
        <f>CUBEVALUE(ConnectionString,ReportMonth,Table1[[#This Row],[Site ID (from DATIM)]],"[Measures].[TX_CURR_M_P]")</f>
        <v/>
      </c>
      <c r="BS398" s="68" vm="10659">
        <f>CUBEVALUE(ConnectionString,ReportMonth,Table1[[#This Row],[Site ID (from DATIM)]],"[Measures].[TX_CURR_F_A]")</f>
        <v>8</v>
      </c>
      <c r="BT398" s="68" vm="10225">
        <f>CUBEVALUE(ConnectionString,ReportMonth,Table1[[#This Row],[Site ID (from DATIM)]],"[Measures].[TX_CURR_M_A]")</f>
        <v>1</v>
      </c>
      <c r="BU398" s="68" t="str" vm="19520">
        <f>CUBEVALUE(ConnectionString,ReportMonth,Table1[[#This Row],[Site ID (from DATIM)]],"[Measures].[MMS_01_89_F_P]")</f>
        <v/>
      </c>
      <c r="BV398" s="68" t="str" vm="20031">
        <f>CUBEVALUE(ConnectionString,ReportMonth,Table1[[#This Row],[Site ID (from DATIM)]],"[Measures].[MMS_01_89_M_P]")</f>
        <v/>
      </c>
      <c r="BW398" s="68" vm="18661">
        <f>CUBEVALUE(ConnectionString,ReportMonth,Table1[[#This Row],[Site ID (from DATIM)]],"[Measures].[MMS_01_89_F_A]")</f>
        <v>8</v>
      </c>
      <c r="BX398" s="68" vm="19158">
        <f>CUBEVALUE(ConnectionString,ReportMonth,Table1[[#This Row],[Site ID (from DATIM)]],"[Measures].[MMS_01_89_M_A]")</f>
        <v>1</v>
      </c>
      <c r="BY398" s="68" t="str" vm="18177">
        <f>CUBEVALUE(ConnectionString,ReportMonth,Table1[[#This Row],[Site ID (from DATIM)]],"[Measures].[MMS_90_179_F_P]")</f>
        <v/>
      </c>
      <c r="BZ398" s="68" t="str" vm="18174">
        <f>CUBEVALUE(ConnectionString,ReportMonth,Table1[[#This Row],[Site ID (from DATIM)]],"[Measures].[MMS_90_179_M_P]")</f>
        <v/>
      </c>
      <c r="CA398" s="68" t="str" vm="17223">
        <f>CUBEVALUE(ConnectionString,ReportMonth,Table1[[#This Row],[Site ID (from DATIM)]],"[Measures].[MMS_90_179_F_A]")</f>
        <v/>
      </c>
      <c r="CB398" s="68" t="str" vm="17364">
        <f>CUBEVALUE(ConnectionString,ReportMonth,Table1[[#This Row],[Site ID (from DATIM)]],"[Measures].[MMS_90_179_M_A]")</f>
        <v/>
      </c>
      <c r="CC398" s="68" t="str" vm="15899">
        <f>CUBEVALUE(ConnectionString,ReportMonth,Table1[[#This Row],[Site ID (from DATIM)]],"[Measures].[MMS_180+_F_P]")</f>
        <v/>
      </c>
      <c r="CD398" s="68" t="str" vm="16291">
        <f>CUBEVALUE(ConnectionString,ReportMonth,Table1[[#This Row],[Site ID (from DATIM)]],"[Measures].[MMS_180+_M_P]")</f>
        <v/>
      </c>
      <c r="CE398" s="68" t="str" vm="16751">
        <f>CUBEVALUE(ConnectionString,ReportMonth,Table1[[#This Row],[Site ID (from DATIM)]],"[Measures].[MMS_180+_F_A]")</f>
        <v/>
      </c>
      <c r="CF398" s="68" t="str" vm="16248">
        <f>CUBEVALUE(ConnectionString,ReportMonth,Table1[[#This Row],[Site ID (from DATIM)]],"[Measures].[MMS_180+_M_A]")</f>
        <v/>
      </c>
      <c r="CG398" s="68" vm="12823">
        <f>CUBEVALUE(ConnectionString,ReportMonth,Table1[[#This Row],[Site ID (from DATIM)]],"[Measures].[MISSEDAPP]")</f>
        <v>7</v>
      </c>
      <c r="CH398" s="68" t="str" vm="13816">
        <f>CUBEVALUE(ConnectionString,ReportMonth,Table1[[#This Row],[Site ID (from DATIM)]],"[Measures].[MMS_180+_P]")</f>
        <v/>
      </c>
      <c r="CI398" s="68" t="str" vm="10894">
        <f>CUBEVALUE(ConnectionString,ReportMonth,Table1[[#This Row],[Site ID (from DATIM)]],"[Measures].[MMS_180+_A]")</f>
        <v/>
      </c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  <c r="CW398" s="68"/>
      <c r="CX398" s="68"/>
      <c r="CY398" s="68"/>
      <c r="CZ398" s="68"/>
      <c r="DA398" s="68"/>
      <c r="DB398" s="68"/>
      <c r="DC398" s="68"/>
    </row>
    <row r="399" spans="1:107" x14ac:dyDescent="0.25">
      <c r="A399" s="66">
        <v>4</v>
      </c>
      <c r="B399" s="67" t="str" vm="4">
        <f t="shared" si="7"/>
        <v>Mar-2021</v>
      </c>
      <c r="C399" s="67"/>
      <c r="D399" s="67" t="s">
        <v>232</v>
      </c>
      <c r="E399" s="67" t="s">
        <v>233</v>
      </c>
      <c r="F399" s="67" t="s">
        <v>437</v>
      </c>
      <c r="G399" s="67"/>
      <c r="H399" s="67" t="s">
        <v>454</v>
      </c>
      <c r="I399" s="67" t="s">
        <v>628</v>
      </c>
      <c r="J399" s="67" t="s">
        <v>791</v>
      </c>
      <c r="K399" s="67" t="s">
        <v>792</v>
      </c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 t="str" vm="1198">
        <f>CUBEVALUE(ConnectionString,ReportMonth,Table1[[#This Row],[Site ID (from DATIM)]],"TX_NEW_2VIS")</f>
        <v/>
      </c>
      <c r="AE399" s="67" t="str" vm="16214">
        <f>CUBEVALUE(ConnectionString,ReportMonth,Table1[[#This Row],[Site ID (from DATIM)]],INDEX(SDI_Measures,1))</f>
        <v/>
      </c>
      <c r="AF399" s="67" t="str" vm="1748">
        <f>CUBEVALUE(ConnectionString,ReportMonth,Table1[[#This Row],[Site ID (from DATIM)]],INDEX(SDI_Measures,2))</f>
        <v/>
      </c>
      <c r="AG399" s="67" t="str" vm="1454">
        <f>CUBEVALUE(ConnectionString,ReportMonth,Table1[[#This Row],[Site ID (from DATIM)]],INDEX(SDI_Measures,3))</f>
        <v/>
      </c>
      <c r="AH399" s="67" t="str" vm="1022">
        <f>CUBEVALUE(ConnectionString,ReportMonth,Table1[[#This Row],[Site ID (from DATIM)]],"TX_CURR_PRIOR_MONTH")</f>
        <v/>
      </c>
      <c r="AI399" s="67" t="str" vm="418">
        <f>CUBEVALUE(ConnectionString,ReportMonth,Table1[[#This Row],[Site ID (from DATIM)]],"TX_CURR")</f>
        <v/>
      </c>
      <c r="AJ399" s="67" t="str" vm="1828">
        <f>CUBEVALUE(ConnectionString,ReportMonth,Table1[[#This Row],[Site ID (from DATIM)]],"[Measures].[TI]")</f>
        <v/>
      </c>
      <c r="AK399" s="67" t="str" vm="4324">
        <f>CUBEVALUE(ConnectionString,ReportMonth,Table1[[#This Row],[Site ID (from DATIM)]],"[Measures].[TO]")</f>
        <v/>
      </c>
      <c r="AL399" s="67" t="str" vm="3131">
        <f>CUBEVALUE(ConnectionString,ReportMonth,Table1[[#This Row],[Site ID (from DATIM)]],"[Measures].[DIED]")</f>
        <v/>
      </c>
      <c r="AM399" s="67" t="str" vm="3617">
        <f>CUBEVALUE(ConnectionString,ReportMonth,Table1[[#This Row],[Site ID (from DATIM)]],"[Measures].[MMS_01_31]")</f>
        <v/>
      </c>
      <c r="AN399" s="67" t="str" vm="6291">
        <f>CUBEVALUE(ConnectionString,ReportMonth,Table1[[#This Row],[Site ID (from DATIM)]],"[Measures].[MMS_32_62]")</f>
        <v/>
      </c>
      <c r="AO399" s="67" t="str" vm="5490">
        <f>CUBEVALUE(ConnectionString,ReportMonth,Table1[[#This Row],[Site ID (from DATIM)]],"[Measures].[MMS_63+]")</f>
        <v/>
      </c>
      <c r="AP399" s="67" t="str" vm="6683">
        <f>CUBEVALUE(ConnectionString,ReportMonth,Table1[[#This Row],[Site ID (from DATIM)]],"[Measures].[TBPREV_D]")</f>
        <v/>
      </c>
      <c r="AQ399" s="67" t="str" vm="4873">
        <f>CUBEVALUE(ConnectionString,ReportMonth,Table1[[#This Row],[Site ID (from DATIM)]],"[Measures].[TBPREV_N]")</f>
        <v/>
      </c>
      <c r="AR399" s="67" t="str" vm="7193">
        <f>CUBEVALUE(ConnectionString,ReportMonth,Table1[[#This Row],[Site ID (from DATIM)]],"[Measures].[TBPREV_NEW]")</f>
        <v/>
      </c>
      <c r="AS399" s="67" t="str" vm="7526">
        <f>CUBEVALUE(ConnectionString,ReportMonth,Table1[[#This Row],[Site ID (from DATIM)]],"[Measures].[HVL_ELIG_P]")</f>
        <v/>
      </c>
      <c r="AT399" s="67" t="str" vm="12069">
        <f>CUBEVALUE(ConnectionString,ReportMonth,Table1[[#This Row],[Site ID (from DATIM)]],"[Measures].[HVL_D_P]")</f>
        <v/>
      </c>
      <c r="AU399" s="67" t="str" vm="9961">
        <f>CUBEVALUE(ConnectionString,ReportMonth,Table1[[#This Row],[Site ID (from DATIM)]],"[Measures].[HVL_N_P]")</f>
        <v/>
      </c>
      <c r="AV399" s="68" t="str" vm="10802">
        <f>CUBEVALUE(ConnectionString,ReportMonth,Table1[[#This Row],[Site ID (from DATIM)]],"[Measures].[HVL_ELIG_A]")</f>
        <v/>
      </c>
      <c r="AW399" s="68" t="str" vm="9986">
        <f>CUBEVALUE(ConnectionString,ReportMonth,Table1[[#This Row],[Site ID (from DATIM)]],"[Measures].[HVL_D_A]")</f>
        <v/>
      </c>
      <c r="AX399" s="68" t="str" vm="7230">
        <f>CUBEVALUE(ConnectionString,ReportMonth,Table1[[#This Row],[Site ID (from DATIM)]],"[Measures].[HVL_N_A]")</f>
        <v/>
      </c>
      <c r="AY399" s="67"/>
      <c r="AZ399" s="67"/>
      <c r="BA399" s="67"/>
      <c r="BB399" s="67"/>
      <c r="BC399" s="67"/>
      <c r="BD399" s="67"/>
      <c r="BE399" s="67"/>
      <c r="BF399" s="67"/>
      <c r="BG399" s="67" t="str" vm="13838">
        <f>CUBEVALUE(ConnectionString,ReportMonth,Table1[[#This Row],[Site ID (from DATIM)]],"[Measures].[TX_NEW_F_A]")</f>
        <v/>
      </c>
      <c r="BH399" s="67" t="str" vm="12230">
        <f>CUBEVALUE(ConnectionString,ReportMonth,Table1[[#This Row],[Site ID (from DATIM)]],"[Measures].[TX_NEW_M_A]")</f>
        <v/>
      </c>
      <c r="BI399" s="67" t="str" vm="15307">
        <f>CUBEVALUE(ConnectionString,ReportMonth,Table1[[#This Row],[Site ID (from DATIM)]],"[Measures].[TX_NEW_F_P]")</f>
        <v/>
      </c>
      <c r="BJ399" s="68" t="str" vm="14286">
        <f>CUBEVALUE(ConnectionString,ReportMonth,Table1[[#This Row],[Site ID (from DATIM)]],"[Measures].[TX_NEW_M_P]")</f>
        <v/>
      </c>
      <c r="BK399" s="68"/>
      <c r="BL399" s="68"/>
      <c r="BM399" s="68"/>
      <c r="BN399" s="68"/>
      <c r="BO399" s="68"/>
      <c r="BP399" s="68"/>
      <c r="BQ399" s="68" t="str" vm="9900">
        <f>CUBEVALUE(ConnectionString,ReportMonth,Table1[[#This Row],[Site ID (from DATIM)]],"[Measures].[TX_CURR_F_P]")</f>
        <v/>
      </c>
      <c r="BR399" s="68" t="str" vm="8395">
        <f>CUBEVALUE(ConnectionString,ReportMonth,Table1[[#This Row],[Site ID (from DATIM)]],"[Measures].[TX_CURR_M_P]")</f>
        <v/>
      </c>
      <c r="BS399" s="68" t="str" vm="8065">
        <f>CUBEVALUE(ConnectionString,ReportMonth,Table1[[#This Row],[Site ID (from DATIM)]],"[Measures].[TX_CURR_F_A]")</f>
        <v/>
      </c>
      <c r="BT399" s="68" t="str" vm="10106">
        <f>CUBEVALUE(ConnectionString,ReportMonth,Table1[[#This Row],[Site ID (from DATIM)]],"[Measures].[TX_CURR_M_A]")</f>
        <v/>
      </c>
      <c r="BU399" s="68" t="str" vm="18635">
        <f>CUBEVALUE(ConnectionString,ReportMonth,Table1[[#This Row],[Site ID (from DATIM)]],"[Measures].[MMS_01_89_F_P]")</f>
        <v/>
      </c>
      <c r="BV399" s="68" t="str" vm="18131">
        <f>CUBEVALUE(ConnectionString,ReportMonth,Table1[[#This Row],[Site ID (from DATIM)]],"[Measures].[MMS_01_89_M_P]")</f>
        <v/>
      </c>
      <c r="BW399" s="68" t="str" vm="19933">
        <f>CUBEVALUE(ConnectionString,ReportMonth,Table1[[#This Row],[Site ID (from DATIM)]],"[Measures].[MMS_01_89_F_A]")</f>
        <v/>
      </c>
      <c r="BX399" s="68" t="str" vm="19746">
        <f>CUBEVALUE(ConnectionString,ReportMonth,Table1[[#This Row],[Site ID (from DATIM)]],"[Measures].[MMS_01_89_M_A]")</f>
        <v/>
      </c>
      <c r="BY399" s="68" t="str" vm="18883">
        <f>CUBEVALUE(ConnectionString,ReportMonth,Table1[[#This Row],[Site ID (from DATIM)]],"[Measures].[MMS_90_179_F_P]")</f>
        <v/>
      </c>
      <c r="BZ399" s="68" t="str" vm="15579">
        <f>CUBEVALUE(ConnectionString,ReportMonth,Table1[[#This Row],[Site ID (from DATIM)]],"[Measures].[MMS_90_179_M_P]")</f>
        <v/>
      </c>
      <c r="CA399" s="68" t="str" vm="16446">
        <f>CUBEVALUE(ConnectionString,ReportMonth,Table1[[#This Row],[Site ID (from DATIM)]],"[Measures].[MMS_90_179_F_A]")</f>
        <v/>
      </c>
      <c r="CB399" s="68" t="str" vm="17220">
        <f>CUBEVALUE(ConnectionString,ReportMonth,Table1[[#This Row],[Site ID (from DATIM)]],"[Measures].[MMS_90_179_M_A]")</f>
        <v/>
      </c>
      <c r="CC399" s="68" t="str" vm="16383">
        <f>CUBEVALUE(ConnectionString,ReportMonth,Table1[[#This Row],[Site ID (from DATIM)]],"[Measures].[MMS_180+_F_P]")</f>
        <v/>
      </c>
      <c r="CD399" s="68" t="str" vm="17601">
        <f>CUBEVALUE(ConnectionString,ReportMonth,Table1[[#This Row],[Site ID (from DATIM)]],"[Measures].[MMS_180+_M_P]")</f>
        <v/>
      </c>
      <c r="CE399" s="68" t="str" vm="250">
        <f>CUBEVALUE(ConnectionString,ReportMonth,Table1[[#This Row],[Site ID (from DATIM)]],"[Measures].[MMS_180+_F_A]")</f>
        <v/>
      </c>
      <c r="CF399" s="68" t="str" vm="130">
        <f>CUBEVALUE(ConnectionString,ReportMonth,Table1[[#This Row],[Site ID (from DATIM)]],"[Measures].[MMS_180+_M_A]")</f>
        <v/>
      </c>
      <c r="CG399" s="68" t="str" vm="13217">
        <f>CUBEVALUE(ConnectionString,ReportMonth,Table1[[#This Row],[Site ID (from DATIM)]],"[Measures].[MISSEDAPP]")</f>
        <v/>
      </c>
      <c r="CH399" s="68" t="str" vm="10469">
        <f>CUBEVALUE(ConnectionString,ReportMonth,Table1[[#This Row],[Site ID (from DATIM)]],"[Measures].[MMS_180+_P]")</f>
        <v/>
      </c>
      <c r="CI399" s="68" t="str" vm="14020">
        <f>CUBEVALUE(ConnectionString,ReportMonth,Table1[[#This Row],[Site ID (from DATIM)]],"[Measures].[MMS_180+_A]")</f>
        <v/>
      </c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  <c r="CW399" s="68"/>
      <c r="CX399" s="68"/>
      <c r="CY399" s="68"/>
      <c r="CZ399" s="68"/>
      <c r="DA399" s="68"/>
      <c r="DB399" s="68"/>
      <c r="DC399" s="68"/>
    </row>
    <row r="400" spans="1:107" x14ac:dyDescent="0.25">
      <c r="A400" s="66">
        <v>4</v>
      </c>
      <c r="B400" s="67" t="str" vm="4">
        <f t="shared" si="7"/>
        <v>Mar-2021</v>
      </c>
      <c r="C400" s="67"/>
      <c r="D400" s="67" t="s">
        <v>232</v>
      </c>
      <c r="E400" s="67" t="s">
        <v>233</v>
      </c>
      <c r="F400" s="67" t="s">
        <v>437</v>
      </c>
      <c r="G400" s="67"/>
      <c r="H400" s="67" t="s">
        <v>461</v>
      </c>
      <c r="I400" s="67" t="s">
        <v>793</v>
      </c>
      <c r="J400" s="67" t="s">
        <v>794</v>
      </c>
      <c r="K400" s="67" t="s">
        <v>795</v>
      </c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 t="str" vm="2209">
        <f>CUBEVALUE(ConnectionString,ReportMonth,Table1[[#This Row],[Site ID (from DATIM)]],"TX_NEW_2VIS")</f>
        <v/>
      </c>
      <c r="AE400" s="67" vm="334">
        <f>CUBEVALUE(ConnectionString,ReportMonth,Table1[[#This Row],[Site ID (from DATIM)]],INDEX(SDI_Measures,1))</f>
        <v>1</v>
      </c>
      <c r="AF400" s="67" t="str" vm="701">
        <f>CUBEVALUE(ConnectionString,ReportMonth,Table1[[#This Row],[Site ID (from DATIM)]],INDEX(SDI_Measures,2))</f>
        <v/>
      </c>
      <c r="AG400" s="67" t="str" vm="1535">
        <f>CUBEVALUE(ConnectionString,ReportMonth,Table1[[#This Row],[Site ID (from DATIM)]],INDEX(SDI_Measures,3))</f>
        <v/>
      </c>
      <c r="AH400" s="67" vm="612">
        <f>CUBEVALUE(ConnectionString,ReportMonth,Table1[[#This Row],[Site ID (from DATIM)]],"TX_CURR_PRIOR_MONTH")</f>
        <v>17</v>
      </c>
      <c r="AI400" s="67" vm="4015">
        <f>CUBEVALUE(ConnectionString,ReportMonth,Table1[[#This Row],[Site ID (from DATIM)]],"TX_CURR")</f>
        <v>16</v>
      </c>
      <c r="AJ400" s="67" t="str" vm="2375">
        <f>CUBEVALUE(ConnectionString,ReportMonth,Table1[[#This Row],[Site ID (from DATIM)]],"[Measures].[TI]")</f>
        <v/>
      </c>
      <c r="AK400" s="67" t="str" vm="3483">
        <f>CUBEVALUE(ConnectionString,ReportMonth,Table1[[#This Row],[Site ID (from DATIM)]],"[Measures].[TO]")</f>
        <v/>
      </c>
      <c r="AL400" s="67" t="str" vm="1451">
        <f>CUBEVALUE(ConnectionString,ReportMonth,Table1[[#This Row],[Site ID (from DATIM)]],"[Measures].[DIED]")</f>
        <v/>
      </c>
      <c r="AM400" s="67" vm="5763">
        <f>CUBEVALUE(ConnectionString,ReportMonth,Table1[[#This Row],[Site ID (from DATIM)]],"[Measures].[MMS_01_31]")</f>
        <v>13</v>
      </c>
      <c r="AN400" s="67" t="str" vm="6288">
        <f>CUBEVALUE(ConnectionString,ReportMonth,Table1[[#This Row],[Site ID (from DATIM)]],"[Measures].[MMS_32_62]")</f>
        <v/>
      </c>
      <c r="AO400" s="67" vm="5440">
        <f>CUBEVALUE(ConnectionString,ReportMonth,Table1[[#This Row],[Site ID (from DATIM)]],"[Measures].[MMS_63+]")</f>
        <v>3</v>
      </c>
      <c r="AP400" s="67" t="str" vm="8418">
        <f>CUBEVALUE(ConnectionString,ReportMonth,Table1[[#This Row],[Site ID (from DATIM)]],"[Measures].[TBPREV_D]")</f>
        <v/>
      </c>
      <c r="AQ400" s="67" t="str" vm="9102">
        <f>CUBEVALUE(ConnectionString,ReportMonth,Table1[[#This Row],[Site ID (from DATIM)]],"[Measures].[TBPREV_N]")</f>
        <v/>
      </c>
      <c r="AR400" s="67" t="str" vm="11140">
        <f>CUBEVALUE(ConnectionString,ReportMonth,Table1[[#This Row],[Site ID (from DATIM)]],"[Measures].[TBPREV_NEW]")</f>
        <v/>
      </c>
      <c r="AS400" s="67" t="str" vm="6933">
        <f>CUBEVALUE(ConnectionString,ReportMonth,Table1[[#This Row],[Site ID (from DATIM)]],"[Measures].[HVL_ELIG_P]")</f>
        <v/>
      </c>
      <c r="AT400" s="67" t="str" vm="6106">
        <f>CUBEVALUE(ConnectionString,ReportMonth,Table1[[#This Row],[Site ID (from DATIM)]],"[Measures].[HVL_D_P]")</f>
        <v/>
      </c>
      <c r="AU400" s="67" t="str" vm="8280">
        <f>CUBEVALUE(ConnectionString,ReportMonth,Table1[[#This Row],[Site ID (from DATIM)]],"[Measures].[HVL_N_P]")</f>
        <v/>
      </c>
      <c r="AV400" s="68" vm="12786">
        <f>CUBEVALUE(ConnectionString,ReportMonth,Table1[[#This Row],[Site ID (from DATIM)]],"[Measures].[HVL_ELIG_A]")</f>
        <v>3</v>
      </c>
      <c r="AW400" s="68" vm="8062">
        <f>CUBEVALUE(ConnectionString,ReportMonth,Table1[[#This Row],[Site ID (from DATIM)]],"[Measures].[HVL_D_A]")</f>
        <v>1</v>
      </c>
      <c r="AX400" s="68" vm="14205">
        <f>CUBEVALUE(ConnectionString,ReportMonth,Table1[[#This Row],[Site ID (from DATIM)]],"[Measures].[HVL_N_A]")</f>
        <v>1</v>
      </c>
      <c r="AY400" s="67"/>
      <c r="AZ400" s="67"/>
      <c r="BA400" s="67"/>
      <c r="BB400" s="67"/>
      <c r="BC400" s="67"/>
      <c r="BD400" s="67"/>
      <c r="BE400" s="67"/>
      <c r="BF400" s="67"/>
      <c r="BG400" s="67" vm="13213">
        <f>CUBEVALUE(ConnectionString,ReportMonth,Table1[[#This Row],[Site ID (from DATIM)]],"[Measures].[TX_NEW_F_A]")</f>
        <v>1</v>
      </c>
      <c r="BH400" s="67" t="str" vm="14373">
        <f>CUBEVALUE(ConnectionString,ReportMonth,Table1[[#This Row],[Site ID (from DATIM)]],"[Measures].[TX_NEW_M_A]")</f>
        <v/>
      </c>
      <c r="BI400" s="67" t="str" vm="13959">
        <f>CUBEVALUE(ConnectionString,ReportMonth,Table1[[#This Row],[Site ID (from DATIM)]],"[Measures].[TX_NEW_F_P]")</f>
        <v/>
      </c>
      <c r="BJ400" s="68" t="str" vm="14386">
        <f>CUBEVALUE(ConnectionString,ReportMonth,Table1[[#This Row],[Site ID (from DATIM)]],"[Measures].[TX_NEW_M_P]")</f>
        <v/>
      </c>
      <c r="BK400" s="68"/>
      <c r="BL400" s="68"/>
      <c r="BM400" s="68"/>
      <c r="BN400" s="68"/>
      <c r="BO400" s="68"/>
      <c r="BP400" s="68"/>
      <c r="BQ400" s="68" t="str" vm="8078">
        <f>CUBEVALUE(ConnectionString,ReportMonth,Table1[[#This Row],[Site ID (from DATIM)]],"[Measures].[TX_CURR_F_P]")</f>
        <v/>
      </c>
      <c r="BR400" s="68" t="str" vm="9012">
        <f>CUBEVALUE(ConnectionString,ReportMonth,Table1[[#This Row],[Site ID (from DATIM)]],"[Measures].[TX_CURR_M_P]")</f>
        <v/>
      </c>
      <c r="BS400" s="68" vm="10748">
        <f>CUBEVALUE(ConnectionString,ReportMonth,Table1[[#This Row],[Site ID (from DATIM)]],"[Measures].[TX_CURR_F_A]")</f>
        <v>14</v>
      </c>
      <c r="BT400" s="68" vm="10959">
        <f>CUBEVALUE(ConnectionString,ReportMonth,Table1[[#This Row],[Site ID (from DATIM)]],"[Measures].[TX_CURR_M_A]")</f>
        <v>2</v>
      </c>
      <c r="BU400" s="68" t="str" vm="18982">
        <f>CUBEVALUE(ConnectionString,ReportMonth,Table1[[#This Row],[Site ID (from DATIM)]],"[Measures].[MMS_01_89_F_P]")</f>
        <v/>
      </c>
      <c r="BV400" s="68" t="str" vm="18139">
        <f>CUBEVALUE(ConnectionString,ReportMonth,Table1[[#This Row],[Site ID (from DATIM)]],"[Measures].[MMS_01_89_M_P]")</f>
        <v/>
      </c>
      <c r="BW400" s="68" vm="20001">
        <f>CUBEVALUE(ConnectionString,ReportMonth,Table1[[#This Row],[Site ID (from DATIM)]],"[Measures].[MMS_01_89_F_A]")</f>
        <v>12</v>
      </c>
      <c r="BX400" s="68" vm="18162">
        <f>CUBEVALUE(ConnectionString,ReportMonth,Table1[[#This Row],[Site ID (from DATIM)]],"[Measures].[MMS_01_89_M_A]")</f>
        <v>1</v>
      </c>
      <c r="BY400" s="68" t="str" vm="19088">
        <f>CUBEVALUE(ConnectionString,ReportMonth,Table1[[#This Row],[Site ID (from DATIM)]],"[Measures].[MMS_90_179_F_P]")</f>
        <v/>
      </c>
      <c r="BZ400" s="68" t="str" vm="17925">
        <f>CUBEVALUE(ConnectionString,ReportMonth,Table1[[#This Row],[Site ID (from DATIM)]],"[Measures].[MMS_90_179_M_P]")</f>
        <v/>
      </c>
      <c r="CA400" s="68" vm="16912">
        <f>CUBEVALUE(ConnectionString,ReportMonth,Table1[[#This Row],[Site ID (from DATIM)]],"[Measures].[MMS_90_179_F_A]")</f>
        <v>2</v>
      </c>
      <c r="CB400" s="68" vm="15590">
        <f>CUBEVALUE(ConnectionString,ReportMonth,Table1[[#This Row],[Site ID (from DATIM)]],"[Measures].[MMS_90_179_M_A]")</f>
        <v>1</v>
      </c>
      <c r="CC400" s="68" t="str" vm="15065">
        <f>CUBEVALUE(ConnectionString,ReportMonth,Table1[[#This Row],[Site ID (from DATIM)]],"[Measures].[MMS_180+_F_P]")</f>
        <v/>
      </c>
      <c r="CD400" s="68" t="str" vm="16256">
        <f>CUBEVALUE(ConnectionString,ReportMonth,Table1[[#This Row],[Site ID (from DATIM)]],"[Measures].[MMS_180+_M_P]")</f>
        <v/>
      </c>
      <c r="CE400" s="68" t="str" vm="16674">
        <f>CUBEVALUE(ConnectionString,ReportMonth,Table1[[#This Row],[Site ID (from DATIM)]],"[Measures].[MMS_180+_F_A]")</f>
        <v/>
      </c>
      <c r="CF400" s="68" t="str" vm="170">
        <f>CUBEVALUE(ConnectionString,ReportMonth,Table1[[#This Row],[Site ID (from DATIM)]],"[Measures].[MMS_180+_M_A]")</f>
        <v/>
      </c>
      <c r="CG400" s="68" vm="6548">
        <f>CUBEVALUE(ConnectionString,ReportMonth,Table1[[#This Row],[Site ID (from DATIM)]],"[Measures].[MISSEDAPP]")</f>
        <v>14</v>
      </c>
      <c r="CH400" s="68" t="str" vm="13186">
        <f>CUBEVALUE(ConnectionString,ReportMonth,Table1[[#This Row],[Site ID (from DATIM)]],"[Measures].[MMS_180+_P]")</f>
        <v/>
      </c>
      <c r="CI400" s="68" t="str" vm="14803">
        <f>CUBEVALUE(ConnectionString,ReportMonth,Table1[[#This Row],[Site ID (from DATIM)]],"[Measures].[MMS_180+_A]")</f>
        <v/>
      </c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  <c r="CW400" s="68"/>
      <c r="CX400" s="68"/>
      <c r="CY400" s="68"/>
      <c r="CZ400" s="68"/>
      <c r="DA400" s="68"/>
      <c r="DB400" s="68"/>
      <c r="DC400" s="68"/>
    </row>
    <row r="401" spans="1:107" x14ac:dyDescent="0.25">
      <c r="A401" s="66">
        <v>4</v>
      </c>
      <c r="B401" s="67" t="str" vm="4">
        <f t="shared" si="7"/>
        <v>Mar-2021</v>
      </c>
      <c r="C401" s="67"/>
      <c r="D401" s="67" t="s">
        <v>232</v>
      </c>
      <c r="E401" s="67" t="s">
        <v>233</v>
      </c>
      <c r="F401" s="67" t="s">
        <v>234</v>
      </c>
      <c r="G401" s="67"/>
      <c r="H401" s="67" t="s">
        <v>270</v>
      </c>
      <c r="I401" s="67" t="s">
        <v>411</v>
      </c>
      <c r="J401" s="67" t="s">
        <v>412</v>
      </c>
      <c r="K401" s="67" t="s">
        <v>413</v>
      </c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 t="str" vm="1211">
        <f>CUBEVALUE(ConnectionString,ReportMonth,Table1[[#This Row],[Site ID (from DATIM)]],"TX_NEW_2VIS")</f>
        <v/>
      </c>
      <c r="AE401" s="67" t="str" vm="2893">
        <f>CUBEVALUE(ConnectionString,ReportMonth,Table1[[#This Row],[Site ID (from DATIM)]],INDEX(SDI_Measures,1))</f>
        <v/>
      </c>
      <c r="AF401" s="67" t="str" vm="1249">
        <f>CUBEVALUE(ConnectionString,ReportMonth,Table1[[#This Row],[Site ID (from DATIM)]],INDEX(SDI_Measures,2))</f>
        <v/>
      </c>
      <c r="AG401" s="67" t="str" vm="3844">
        <f>CUBEVALUE(ConnectionString,ReportMonth,Table1[[#This Row],[Site ID (from DATIM)]],INDEX(SDI_Measures,3))</f>
        <v/>
      </c>
      <c r="AH401" s="67" vm="2022">
        <f>CUBEVALUE(ConnectionString,ReportMonth,Table1[[#This Row],[Site ID (from DATIM)]],"TX_CURR_PRIOR_MONTH")</f>
        <v>78</v>
      </c>
      <c r="AI401" s="67" vm="2594">
        <f>CUBEVALUE(ConnectionString,ReportMonth,Table1[[#This Row],[Site ID (from DATIM)]],"TX_CURR")</f>
        <v>78</v>
      </c>
      <c r="AJ401" s="67" t="str" vm="2510">
        <f>CUBEVALUE(ConnectionString,ReportMonth,Table1[[#This Row],[Site ID (from DATIM)]],"[Measures].[TI]")</f>
        <v/>
      </c>
      <c r="AK401" s="67" t="str" vm="1368">
        <f>CUBEVALUE(ConnectionString,ReportMonth,Table1[[#This Row],[Site ID (from DATIM)]],"[Measures].[TO]")</f>
        <v/>
      </c>
      <c r="AL401" s="67" t="str" vm="5044">
        <f>CUBEVALUE(ConnectionString,ReportMonth,Table1[[#This Row],[Site ID (from DATIM)]],"[Measures].[DIED]")</f>
        <v/>
      </c>
      <c r="AM401" s="67" vm="6865">
        <f>CUBEVALUE(ConnectionString,ReportMonth,Table1[[#This Row],[Site ID (from DATIM)]],"[Measures].[MMS_01_31]")</f>
        <v>20</v>
      </c>
      <c r="AN401" s="67" vm="6330">
        <f>CUBEVALUE(ConnectionString,ReportMonth,Table1[[#This Row],[Site ID (from DATIM)]],"[Measures].[MMS_32_62]")</f>
        <v>2</v>
      </c>
      <c r="AO401" s="67" vm="13758">
        <f>CUBEVALUE(ConnectionString,ReportMonth,Table1[[#This Row],[Site ID (from DATIM)]],"[Measures].[MMS_63+]")</f>
        <v>56</v>
      </c>
      <c r="AP401" s="67" vm="7656">
        <f>CUBEVALUE(ConnectionString,ReportMonth,Table1[[#This Row],[Site ID (from DATIM)]],"[Measures].[TBPREV_D]")</f>
        <v>4</v>
      </c>
      <c r="AQ401" s="67" vm="13363">
        <f>CUBEVALUE(ConnectionString,ReportMonth,Table1[[#This Row],[Site ID (from DATIM)]],"[Measures].[TBPREV_N]")</f>
        <v>4</v>
      </c>
      <c r="AR401" s="67" t="str" vm="5070">
        <f>CUBEVALUE(ConnectionString,ReportMonth,Table1[[#This Row],[Site ID (from DATIM)]],"[Measures].[TBPREV_NEW]")</f>
        <v/>
      </c>
      <c r="AS401" s="67" vm="5644">
        <f>CUBEVALUE(ConnectionString,ReportMonth,Table1[[#This Row],[Site ID (from DATIM)]],"[Measures].[HVL_ELIG_P]")</f>
        <v>1</v>
      </c>
      <c r="AT401" s="67" vm="5493">
        <f>CUBEVALUE(ConnectionString,ReportMonth,Table1[[#This Row],[Site ID (from DATIM)]],"[Measures].[HVL_D_P]")</f>
        <v>1</v>
      </c>
      <c r="AU401" s="67" vm="9369">
        <f>CUBEVALUE(ConnectionString,ReportMonth,Table1[[#This Row],[Site ID (from DATIM)]],"[Measures].[HVL_N_P]")</f>
        <v>1</v>
      </c>
      <c r="AV401" s="68" vm="10745">
        <f>CUBEVALUE(ConnectionString,ReportMonth,Table1[[#This Row],[Site ID (from DATIM)]],"[Measures].[HVL_ELIG_A]")</f>
        <v>70</v>
      </c>
      <c r="AW401" s="68" vm="8106">
        <f>CUBEVALUE(ConnectionString,ReportMonth,Table1[[#This Row],[Site ID (from DATIM)]],"[Measures].[HVL_D_A]")</f>
        <v>47</v>
      </c>
      <c r="AX401" s="68" vm="8263">
        <f>CUBEVALUE(ConnectionString,ReportMonth,Table1[[#This Row],[Site ID (from DATIM)]],"[Measures].[HVL_N_A]")</f>
        <v>46</v>
      </c>
      <c r="AY401" s="67"/>
      <c r="AZ401" s="67"/>
      <c r="BA401" s="67"/>
      <c r="BB401" s="67"/>
      <c r="BC401" s="67"/>
      <c r="BD401" s="67"/>
      <c r="BE401" s="67"/>
      <c r="BF401" s="67"/>
      <c r="BG401" s="67" t="str" vm="13350">
        <f>CUBEVALUE(ConnectionString,ReportMonth,Table1[[#This Row],[Site ID (from DATIM)]],"[Measures].[TX_NEW_F_A]")</f>
        <v/>
      </c>
      <c r="BH401" s="67" t="str" vm="13688">
        <f>CUBEVALUE(ConnectionString,ReportMonth,Table1[[#This Row],[Site ID (from DATIM)]],"[Measures].[TX_NEW_M_A]")</f>
        <v/>
      </c>
      <c r="BI401" s="67" t="str" vm="13958">
        <f>CUBEVALUE(ConnectionString,ReportMonth,Table1[[#This Row],[Site ID (from DATIM)]],"[Measures].[TX_NEW_F_P]")</f>
        <v/>
      </c>
      <c r="BJ401" s="68" t="str" vm="15711">
        <f>CUBEVALUE(ConnectionString,ReportMonth,Table1[[#This Row],[Site ID (from DATIM)]],"[Measures].[TX_NEW_M_P]")</f>
        <v/>
      </c>
      <c r="BK401" s="68"/>
      <c r="BL401" s="68"/>
      <c r="BM401" s="68"/>
      <c r="BN401" s="68"/>
      <c r="BO401" s="68"/>
      <c r="BP401" s="68"/>
      <c r="BQ401" s="68" t="str" vm="8936">
        <f>CUBEVALUE(ConnectionString,ReportMonth,Table1[[#This Row],[Site ID (from DATIM)]],"[Measures].[TX_CURR_F_P]")</f>
        <v/>
      </c>
      <c r="BR401" s="68" vm="8893">
        <f>CUBEVALUE(ConnectionString,ReportMonth,Table1[[#This Row],[Site ID (from DATIM)]],"[Measures].[TX_CURR_M_P]")</f>
        <v>1</v>
      </c>
      <c r="BS401" s="68" vm="6365">
        <f>CUBEVALUE(ConnectionString,ReportMonth,Table1[[#This Row],[Site ID (from DATIM)]],"[Measures].[TX_CURR_F_A]")</f>
        <v>53</v>
      </c>
      <c r="BT401" s="68" vm="8576">
        <f>CUBEVALUE(ConnectionString,ReportMonth,Table1[[#This Row],[Site ID (from DATIM)]],"[Measures].[TX_CURR_M_A]")</f>
        <v>24</v>
      </c>
      <c r="BU401" s="68" t="str" vm="20137">
        <f>CUBEVALUE(ConnectionString,ReportMonth,Table1[[#This Row],[Site ID (from DATIM)]],"[Measures].[MMS_01_89_F_P]")</f>
        <v/>
      </c>
      <c r="BV401" s="68" vm="20062">
        <f>CUBEVALUE(ConnectionString,ReportMonth,Table1[[#This Row],[Site ID (from DATIM)]],"[Measures].[MMS_01_89_M_P]")</f>
        <v>1</v>
      </c>
      <c r="BW401" s="68" vm="18877">
        <f>CUBEVALUE(ConnectionString,ReportMonth,Table1[[#This Row],[Site ID (from DATIM)]],"[Measures].[MMS_01_89_F_A]")</f>
        <v>16</v>
      </c>
      <c r="BX401" s="68" vm="19377">
        <f>CUBEVALUE(ConnectionString,ReportMonth,Table1[[#This Row],[Site ID (from DATIM)]],"[Measures].[MMS_01_89_M_A]")</f>
        <v>5</v>
      </c>
      <c r="BY401" s="68" t="str" vm="19677">
        <f>CUBEVALUE(ConnectionString,ReportMonth,Table1[[#This Row],[Site ID (from DATIM)]],"[Measures].[MMS_90_179_F_P]")</f>
        <v/>
      </c>
      <c r="BZ401" s="68" t="str" vm="18183">
        <f>CUBEVALUE(ConnectionString,ReportMonth,Table1[[#This Row],[Site ID (from DATIM)]],"[Measures].[MMS_90_179_M_P]")</f>
        <v/>
      </c>
      <c r="CA401" s="68" vm="16516">
        <f>CUBEVALUE(ConnectionString,ReportMonth,Table1[[#This Row],[Site ID (from DATIM)]],"[Measures].[MMS_90_179_F_A]")</f>
        <v>37</v>
      </c>
      <c r="CB401" s="68" vm="46">
        <f>CUBEVALUE(ConnectionString,ReportMonth,Table1[[#This Row],[Site ID (from DATIM)]],"[Measures].[MMS_90_179_M_A]")</f>
        <v>19</v>
      </c>
      <c r="CC401" s="68" t="str" vm="16776">
        <f>CUBEVALUE(ConnectionString,ReportMonth,Table1[[#This Row],[Site ID (from DATIM)]],"[Measures].[MMS_180+_F_P]")</f>
        <v/>
      </c>
      <c r="CD401" s="68" t="str" vm="17187">
        <f>CUBEVALUE(ConnectionString,ReportMonth,Table1[[#This Row],[Site ID (from DATIM)]],"[Measures].[MMS_180+_M_P]")</f>
        <v/>
      </c>
      <c r="CE401" s="68" t="str" vm="14486">
        <f>CUBEVALUE(ConnectionString,ReportMonth,Table1[[#This Row],[Site ID (from DATIM)]],"[Measures].[MMS_180+_F_A]")</f>
        <v/>
      </c>
      <c r="CF401" s="68" t="str" vm="17529">
        <f>CUBEVALUE(ConnectionString,ReportMonth,Table1[[#This Row],[Site ID (from DATIM)]],"[Measures].[MMS_180+_M_A]")</f>
        <v/>
      </c>
      <c r="CG401" s="68" vm="6655">
        <f>CUBEVALUE(ConnectionString,ReportMonth,Table1[[#This Row],[Site ID (from DATIM)]],"[Measures].[MISSEDAPP]")</f>
        <v>31</v>
      </c>
      <c r="CH401" s="68" t="str" vm="10450">
        <f>CUBEVALUE(ConnectionString,ReportMonth,Table1[[#This Row],[Site ID (from DATIM)]],"[Measures].[MMS_180+_P]")</f>
        <v/>
      </c>
      <c r="CI401" s="68" t="str" vm="12476">
        <f>CUBEVALUE(ConnectionString,ReportMonth,Table1[[#This Row],[Site ID (from DATIM)]],"[Measures].[MMS_180+_A]")</f>
        <v/>
      </c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  <c r="CW401" s="68"/>
      <c r="CX401" s="68"/>
      <c r="CY401" s="68"/>
      <c r="CZ401" s="68"/>
      <c r="DA401" s="68"/>
      <c r="DB401" s="68"/>
      <c r="DC401" s="68"/>
    </row>
    <row r="402" spans="1:107" x14ac:dyDescent="0.25">
      <c r="A402" s="66">
        <v>1</v>
      </c>
      <c r="B402" s="67" t="str" vm="4">
        <f t="shared" si="7"/>
        <v>Mar-2021</v>
      </c>
      <c r="C402" s="67"/>
      <c r="D402" s="67" t="s">
        <v>232</v>
      </c>
      <c r="E402" s="67" t="s">
        <v>233</v>
      </c>
      <c r="F402" s="67" t="s">
        <v>831</v>
      </c>
      <c r="G402" s="67"/>
      <c r="H402" s="67" t="s">
        <v>840</v>
      </c>
      <c r="I402" s="67" t="s">
        <v>1035</v>
      </c>
      <c r="J402" s="67" t="s">
        <v>1036</v>
      </c>
      <c r="K402" s="67" t="s">
        <v>1037</v>
      </c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 vm="707">
        <f>CUBEVALUE(ConnectionString,ReportMonth,Table1[[#This Row],[Site ID (from DATIM)]],"TX_NEW_2VIS")</f>
        <v>1</v>
      </c>
      <c r="AE402" s="67" vm="1823">
        <f>CUBEVALUE(ConnectionString,ReportMonth,Table1[[#This Row],[Site ID (from DATIM)]],INDEX(SDI_Measures,1))</f>
        <v>7</v>
      </c>
      <c r="AF402" s="67" t="str" vm="1377">
        <f>CUBEVALUE(ConnectionString,ReportMonth,Table1[[#This Row],[Site ID (from DATIM)]],INDEX(SDI_Measures,2))</f>
        <v/>
      </c>
      <c r="AG402" s="67" t="str" vm="2268">
        <f>CUBEVALUE(ConnectionString,ReportMonth,Table1[[#This Row],[Site ID (from DATIM)]],INDEX(SDI_Measures,3))</f>
        <v/>
      </c>
      <c r="AH402" s="67" vm="990">
        <f>CUBEVALUE(ConnectionString,ReportMonth,Table1[[#This Row],[Site ID (from DATIM)]],"TX_CURR_PRIOR_MONTH")</f>
        <v>2046</v>
      </c>
      <c r="AI402" s="67" vm="1374">
        <f>CUBEVALUE(ConnectionString,ReportMonth,Table1[[#This Row],[Site ID (from DATIM)]],"TX_CURR")</f>
        <v>1668</v>
      </c>
      <c r="AJ402" s="67" vm="3373">
        <f>CUBEVALUE(ConnectionString,ReportMonth,Table1[[#This Row],[Site ID (from DATIM)]],"[Measures].[TI]")</f>
        <v>1</v>
      </c>
      <c r="AK402" s="67" vm="2495">
        <f>CUBEVALUE(ConnectionString,ReportMonth,Table1[[#This Row],[Site ID (from DATIM)]],"[Measures].[TO]")</f>
        <v>1</v>
      </c>
      <c r="AL402" s="67" t="str" vm="2980">
        <f>CUBEVALUE(ConnectionString,ReportMonth,Table1[[#This Row],[Site ID (from DATIM)]],"[Measures].[DIED]")</f>
        <v/>
      </c>
      <c r="AM402" s="67" vm="9039">
        <f>CUBEVALUE(ConnectionString,ReportMonth,Table1[[#This Row],[Site ID (from DATIM)]],"[Measures].[MMS_01_31]")</f>
        <v>303</v>
      </c>
      <c r="AN402" s="67" vm="5290">
        <f>CUBEVALUE(ConnectionString,ReportMonth,Table1[[#This Row],[Site ID (from DATIM)]],"[Measures].[MMS_32_62]")</f>
        <v>99</v>
      </c>
      <c r="AO402" s="67" vm="8824">
        <f>CUBEVALUE(ConnectionString,ReportMonth,Table1[[#This Row],[Site ID (from DATIM)]],"[Measures].[MMS_63+]")</f>
        <v>1266</v>
      </c>
      <c r="AP402" s="67" vm="5876">
        <f>CUBEVALUE(ConnectionString,ReportMonth,Table1[[#This Row],[Site ID (from DATIM)]],"[Measures].[TBPREV_D]")</f>
        <v>27</v>
      </c>
      <c r="AQ402" s="67" vm="5233">
        <f>CUBEVALUE(ConnectionString,ReportMonth,Table1[[#This Row],[Site ID (from DATIM)]],"[Measures].[TBPREV_N]")</f>
        <v>26</v>
      </c>
      <c r="AR402" s="67" t="str" vm="4817">
        <f>CUBEVALUE(ConnectionString,ReportMonth,Table1[[#This Row],[Site ID (from DATIM)]],"[Measures].[TBPREV_NEW]")</f>
        <v/>
      </c>
      <c r="AS402" s="67" vm="7888">
        <f>CUBEVALUE(ConnectionString,ReportMonth,Table1[[#This Row],[Site ID (from DATIM)]],"[Measures].[HVL_ELIG_P]")</f>
        <v>58</v>
      </c>
      <c r="AT402" s="67" vm="7196">
        <f>CUBEVALUE(ConnectionString,ReportMonth,Table1[[#This Row],[Site ID (from DATIM)]],"[Measures].[HVL_D_P]")</f>
        <v>49</v>
      </c>
      <c r="AU402" s="67" vm="7213">
        <f>CUBEVALUE(ConnectionString,ReportMonth,Table1[[#This Row],[Site ID (from DATIM)]],"[Measures].[HVL_N_P]")</f>
        <v>44</v>
      </c>
      <c r="AV402" s="68" vm="10054">
        <f>CUBEVALUE(ConnectionString,ReportMonth,Table1[[#This Row],[Site ID (from DATIM)]],"[Measures].[HVL_ELIG_A]")</f>
        <v>1458</v>
      </c>
      <c r="AW402" s="68" vm="9770">
        <f>CUBEVALUE(ConnectionString,ReportMonth,Table1[[#This Row],[Site ID (from DATIM)]],"[Measures].[HVL_D_A]")</f>
        <v>1138</v>
      </c>
      <c r="AX402" s="68" vm="7936">
        <f>CUBEVALUE(ConnectionString,ReportMonth,Table1[[#This Row],[Site ID (from DATIM)]],"[Measures].[HVL_N_A]")</f>
        <v>1086</v>
      </c>
      <c r="AY402" s="67"/>
      <c r="AZ402" s="67"/>
      <c r="BA402" s="67"/>
      <c r="BB402" s="67"/>
      <c r="BC402" s="67"/>
      <c r="BD402" s="67"/>
      <c r="BE402" s="67"/>
      <c r="BF402" s="67"/>
      <c r="BG402" s="67" vm="13405">
        <f>CUBEVALUE(ConnectionString,ReportMonth,Table1[[#This Row],[Site ID (from DATIM)]],"[Measures].[TX_NEW_F_A]")</f>
        <v>4</v>
      </c>
      <c r="BH402" s="67" vm="17439">
        <f>CUBEVALUE(ConnectionString,ReportMonth,Table1[[#This Row],[Site ID (from DATIM)]],"[Measures].[TX_NEW_M_A]")</f>
        <v>3</v>
      </c>
      <c r="BI402" s="67" t="str" vm="12832">
        <f>CUBEVALUE(ConnectionString,ReportMonth,Table1[[#This Row],[Site ID (from DATIM)]],"[Measures].[TX_NEW_F_P]")</f>
        <v/>
      </c>
      <c r="BJ402" s="68" t="str" vm="14813">
        <f>CUBEVALUE(ConnectionString,ReportMonth,Table1[[#This Row],[Site ID (from DATIM)]],"[Measures].[TX_NEW_M_P]")</f>
        <v/>
      </c>
      <c r="BK402" s="68"/>
      <c r="BL402" s="68"/>
      <c r="BM402" s="68"/>
      <c r="BN402" s="68"/>
      <c r="BO402" s="68"/>
      <c r="BP402" s="68"/>
      <c r="BQ402" s="68" vm="8148">
        <f>CUBEVALUE(ConnectionString,ReportMonth,Table1[[#This Row],[Site ID (from DATIM)]],"[Measures].[TX_CURR_F_P]")</f>
        <v>31</v>
      </c>
      <c r="BR402" s="68" vm="11985">
        <f>CUBEVALUE(ConnectionString,ReportMonth,Table1[[#This Row],[Site ID (from DATIM)]],"[Measures].[TX_CURR_M_P]")</f>
        <v>36</v>
      </c>
      <c r="BS402" s="68" vm="6834">
        <f>CUBEVALUE(ConnectionString,ReportMonth,Table1[[#This Row],[Site ID (from DATIM)]],"[Measures].[TX_CURR_F_A]")</f>
        <v>1139</v>
      </c>
      <c r="BT402" s="68" vm="9823">
        <f>CUBEVALUE(ConnectionString,ReportMonth,Table1[[#This Row],[Site ID (from DATIM)]],"[Measures].[TX_CURR_M_A]")</f>
        <v>463</v>
      </c>
      <c r="BU402" s="68" vm="18373">
        <f>CUBEVALUE(ConnectionString,ReportMonth,Table1[[#This Row],[Site ID (from DATIM)]],"[Measures].[MMS_01_89_F_P]")</f>
        <v>11</v>
      </c>
      <c r="BV402" s="68" vm="19717">
        <f>CUBEVALUE(ConnectionString,ReportMonth,Table1[[#This Row],[Site ID (from DATIM)]],"[Measures].[MMS_01_89_M_P]")</f>
        <v>20</v>
      </c>
      <c r="BW402" s="68" vm="19199">
        <f>CUBEVALUE(ConnectionString,ReportMonth,Table1[[#This Row],[Site ID (from DATIM)]],"[Measures].[MMS_01_89_F_A]")</f>
        <v>259</v>
      </c>
      <c r="BX402" s="68" vm="19653">
        <f>CUBEVALUE(ConnectionString,ReportMonth,Table1[[#This Row],[Site ID (from DATIM)]],"[Measures].[MMS_01_89_M_A]")</f>
        <v>121</v>
      </c>
      <c r="BY402" s="68" vm="17837">
        <f>CUBEVALUE(ConnectionString,ReportMonth,Table1[[#This Row],[Site ID (from DATIM)]],"[Measures].[MMS_90_179_F_P]")</f>
        <v>20</v>
      </c>
      <c r="BZ402" s="68" vm="18781">
        <f>CUBEVALUE(ConnectionString,ReportMonth,Table1[[#This Row],[Site ID (from DATIM)]],"[Measures].[MMS_90_179_M_P]")</f>
        <v>16</v>
      </c>
      <c r="CA402" s="68" vm="19858">
        <f>CUBEVALUE(ConnectionString,ReportMonth,Table1[[#This Row],[Site ID (from DATIM)]],"[Measures].[MMS_90_179_F_A]")</f>
        <v>874</v>
      </c>
      <c r="CB402" s="68" vm="15175">
        <f>CUBEVALUE(ConnectionString,ReportMonth,Table1[[#This Row],[Site ID (from DATIM)]],"[Measures].[MMS_90_179_M_A]")</f>
        <v>339</v>
      </c>
      <c r="CC402" s="68" t="str" vm="15053">
        <f>CUBEVALUE(ConnectionString,ReportMonth,Table1[[#This Row],[Site ID (from DATIM)]],"[Measures].[MMS_180+_F_P]")</f>
        <v/>
      </c>
      <c r="CD402" s="68" t="str" vm="16239">
        <f>CUBEVALUE(ConnectionString,ReportMonth,Table1[[#This Row],[Site ID (from DATIM)]],"[Measures].[MMS_180+_M_P]")</f>
        <v/>
      </c>
      <c r="CE402" s="68" vm="16671">
        <f>CUBEVALUE(ConnectionString,ReportMonth,Table1[[#This Row],[Site ID (from DATIM)]],"[Measures].[MMS_180+_F_A]")</f>
        <v>6</v>
      </c>
      <c r="CF402" s="68" vm="132">
        <f>CUBEVALUE(ConnectionString,ReportMonth,Table1[[#This Row],[Site ID (from DATIM)]],"[Measures].[MMS_180+_M_A]")</f>
        <v>3</v>
      </c>
      <c r="CG402" s="68" vm="9405">
        <f>CUBEVALUE(ConnectionString,ReportMonth,Table1[[#This Row],[Site ID (from DATIM)]],"[Measures].[MISSEDAPP]")</f>
        <v>917</v>
      </c>
      <c r="CH402" s="68" t="str" vm="14407">
        <f>CUBEVALUE(ConnectionString,ReportMonth,Table1[[#This Row],[Site ID (from DATIM)]],"[Measures].[MMS_180+_P]")</f>
        <v/>
      </c>
      <c r="CI402" s="68" vm="10448">
        <f>CUBEVALUE(ConnectionString,ReportMonth,Table1[[#This Row],[Site ID (from DATIM)]],"[Measures].[MMS_180+_A]")</f>
        <v>9</v>
      </c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  <c r="CW402" s="68"/>
      <c r="CX402" s="68"/>
      <c r="CY402" s="68"/>
      <c r="CZ402" s="68"/>
      <c r="DA402" s="68"/>
      <c r="DB402" s="68"/>
      <c r="DC402" s="68"/>
    </row>
    <row r="403" spans="1:107" x14ac:dyDescent="0.25">
      <c r="A403" s="66">
        <v>4</v>
      </c>
      <c r="B403" s="67" t="str" vm="4">
        <f t="shared" si="7"/>
        <v>Mar-2021</v>
      </c>
      <c r="C403" s="67"/>
      <c r="D403" s="67" t="s">
        <v>232</v>
      </c>
      <c r="E403" s="67" t="s">
        <v>233</v>
      </c>
      <c r="F403" s="67" t="s">
        <v>831</v>
      </c>
      <c r="G403" s="67"/>
      <c r="H403" s="67" t="s">
        <v>832</v>
      </c>
      <c r="I403" s="67" t="s">
        <v>1038</v>
      </c>
      <c r="J403" s="67" t="s">
        <v>1039</v>
      </c>
      <c r="K403" s="67" t="s">
        <v>1040</v>
      </c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 t="str" vm="3093">
        <f>CUBEVALUE(ConnectionString,ReportMonth,Table1[[#This Row],[Site ID (from DATIM)]],"TX_NEW_2VIS")</f>
        <v/>
      </c>
      <c r="AE403" s="67" t="str" vm="1596">
        <f>CUBEVALUE(ConnectionString,ReportMonth,Table1[[#This Row],[Site ID (from DATIM)]],INDEX(SDI_Measures,1))</f>
        <v/>
      </c>
      <c r="AF403" s="67" t="str" vm="1220">
        <f>CUBEVALUE(ConnectionString,ReportMonth,Table1[[#This Row],[Site ID (from DATIM)]],INDEX(SDI_Measures,2))</f>
        <v/>
      </c>
      <c r="AG403" s="67" t="str" vm="2304">
        <f>CUBEVALUE(ConnectionString,ReportMonth,Table1[[#This Row],[Site ID (from DATIM)]],INDEX(SDI_Measures,3))</f>
        <v/>
      </c>
      <c r="AH403" s="67" t="str" vm="1936">
        <f>CUBEVALUE(ConnectionString,ReportMonth,Table1[[#This Row],[Site ID (from DATIM)]],"TX_CURR_PRIOR_MONTH")</f>
        <v/>
      </c>
      <c r="AI403" s="67" t="str" vm="1405">
        <f>CUBEVALUE(ConnectionString,ReportMonth,Table1[[#This Row],[Site ID (from DATIM)]],"TX_CURR")</f>
        <v/>
      </c>
      <c r="AJ403" s="67" t="str" vm="1289">
        <f>CUBEVALUE(ConnectionString,ReportMonth,Table1[[#This Row],[Site ID (from DATIM)]],"[Measures].[TI]")</f>
        <v/>
      </c>
      <c r="AK403" s="67" t="str" vm="1423">
        <f>CUBEVALUE(ConnectionString,ReportMonth,Table1[[#This Row],[Site ID (from DATIM)]],"[Measures].[TO]")</f>
        <v/>
      </c>
      <c r="AL403" s="67" t="str" vm="5143">
        <f>CUBEVALUE(ConnectionString,ReportMonth,Table1[[#This Row],[Site ID (from DATIM)]],"[Measures].[DIED]")</f>
        <v/>
      </c>
      <c r="AM403" s="67" t="str" vm="3382">
        <f>CUBEVALUE(ConnectionString,ReportMonth,Table1[[#This Row],[Site ID (from DATIM)]],"[Measures].[MMS_01_31]")</f>
        <v/>
      </c>
      <c r="AN403" s="67" t="str" vm="4180">
        <f>CUBEVALUE(ConnectionString,ReportMonth,Table1[[#This Row],[Site ID (from DATIM)]],"[Measures].[MMS_32_62]")</f>
        <v/>
      </c>
      <c r="AO403" s="67" t="str" vm="5739">
        <f>CUBEVALUE(ConnectionString,ReportMonth,Table1[[#This Row],[Site ID (from DATIM)]],"[Measures].[MMS_63+]")</f>
        <v/>
      </c>
      <c r="AP403" s="67" t="str" vm="6302">
        <f>CUBEVALUE(ConnectionString,ReportMonth,Table1[[#This Row],[Site ID (from DATIM)]],"[Measures].[TBPREV_D]")</f>
        <v/>
      </c>
      <c r="AQ403" s="67" t="str" vm="7815">
        <f>CUBEVALUE(ConnectionString,ReportMonth,Table1[[#This Row],[Site ID (from DATIM)]],"[Measures].[TBPREV_N]")</f>
        <v/>
      </c>
      <c r="AR403" s="67" t="str" vm="9165">
        <f>CUBEVALUE(ConnectionString,ReportMonth,Table1[[#This Row],[Site ID (from DATIM)]],"[Measures].[TBPREV_NEW]")</f>
        <v/>
      </c>
      <c r="AS403" s="67" t="str" vm="10327">
        <f>CUBEVALUE(ConnectionString,ReportMonth,Table1[[#This Row],[Site ID (from DATIM)]],"[Measures].[HVL_ELIG_P]")</f>
        <v/>
      </c>
      <c r="AT403" s="67" t="str" vm="8353">
        <f>CUBEVALUE(ConnectionString,ReportMonth,Table1[[#This Row],[Site ID (from DATIM)]],"[Measures].[HVL_D_P]")</f>
        <v/>
      </c>
      <c r="AU403" s="67" t="str" vm="9876">
        <f>CUBEVALUE(ConnectionString,ReportMonth,Table1[[#This Row],[Site ID (from DATIM)]],"[Measures].[HVL_N_P]")</f>
        <v/>
      </c>
      <c r="AV403" s="68" t="str" vm="10829">
        <f>CUBEVALUE(ConnectionString,ReportMonth,Table1[[#This Row],[Site ID (from DATIM)]],"[Measures].[HVL_ELIG_A]")</f>
        <v/>
      </c>
      <c r="AW403" s="68" t="str" vm="10757">
        <f>CUBEVALUE(ConnectionString,ReportMonth,Table1[[#This Row],[Site ID (from DATIM)]],"[Measures].[HVL_D_A]")</f>
        <v/>
      </c>
      <c r="AX403" s="68" t="str" vm="11294">
        <f>CUBEVALUE(ConnectionString,ReportMonth,Table1[[#This Row],[Site ID (from DATIM)]],"[Measures].[HVL_N_A]")</f>
        <v/>
      </c>
      <c r="AY403" s="67"/>
      <c r="AZ403" s="67"/>
      <c r="BA403" s="67"/>
      <c r="BB403" s="67"/>
      <c r="BC403" s="67"/>
      <c r="BD403" s="67"/>
      <c r="BE403" s="67"/>
      <c r="BF403" s="67"/>
      <c r="BG403" s="67" t="str" vm="11665">
        <f>CUBEVALUE(ConnectionString,ReportMonth,Table1[[#This Row],[Site ID (from DATIM)]],"[Measures].[TX_NEW_F_A]")</f>
        <v/>
      </c>
      <c r="BH403" s="67" t="str" vm="12172">
        <f>CUBEVALUE(ConnectionString,ReportMonth,Table1[[#This Row],[Site ID (from DATIM)]],"[Measures].[TX_NEW_M_A]")</f>
        <v/>
      </c>
      <c r="BI403" s="67" t="str" vm="14211">
        <f>CUBEVALUE(ConnectionString,ReportMonth,Table1[[#This Row],[Site ID (from DATIM)]],"[Measures].[TX_NEW_F_P]")</f>
        <v/>
      </c>
      <c r="BJ403" s="68" t="str" vm="13088">
        <f>CUBEVALUE(ConnectionString,ReportMonth,Table1[[#This Row],[Site ID (from DATIM)]],"[Measures].[TX_NEW_M_P]")</f>
        <v/>
      </c>
      <c r="BK403" s="68"/>
      <c r="BL403" s="68"/>
      <c r="BM403" s="68"/>
      <c r="BN403" s="68"/>
      <c r="BO403" s="68"/>
      <c r="BP403" s="68"/>
      <c r="BQ403" s="68" t="str" vm="7224">
        <f>CUBEVALUE(ConnectionString,ReportMonth,Table1[[#This Row],[Site ID (from DATIM)]],"[Measures].[TX_CURR_F_P]")</f>
        <v/>
      </c>
      <c r="BR403" s="68" t="str" vm="10015">
        <f>CUBEVALUE(ConnectionString,ReportMonth,Table1[[#This Row],[Site ID (from DATIM)]],"[Measures].[TX_CURR_M_P]")</f>
        <v/>
      </c>
      <c r="BS403" s="68" t="str" vm="13500">
        <f>CUBEVALUE(ConnectionString,ReportMonth,Table1[[#This Row],[Site ID (from DATIM)]],"[Measures].[TX_CURR_F_A]")</f>
        <v/>
      </c>
      <c r="BT403" s="68" t="str" vm="9967">
        <f>CUBEVALUE(ConnectionString,ReportMonth,Table1[[#This Row],[Site ID (from DATIM)]],"[Measures].[TX_CURR_M_A]")</f>
        <v/>
      </c>
      <c r="BU403" s="68" t="str" vm="20068">
        <f>CUBEVALUE(ConnectionString,ReportMonth,Table1[[#This Row],[Site ID (from DATIM)]],"[Measures].[MMS_01_89_F_P]")</f>
        <v/>
      </c>
      <c r="BV403" s="68" t="str" vm="18594">
        <f>CUBEVALUE(ConnectionString,ReportMonth,Table1[[#This Row],[Site ID (from DATIM)]],"[Measures].[MMS_01_89_M_P]")</f>
        <v/>
      </c>
      <c r="BW403" s="68" t="str" vm="19198">
        <f>CUBEVALUE(ConnectionString,ReportMonth,Table1[[#This Row],[Site ID (from DATIM)]],"[Measures].[MMS_01_89_F_A]")</f>
        <v/>
      </c>
      <c r="BX403" s="68" t="str" vm="19970">
        <f>CUBEVALUE(ConnectionString,ReportMonth,Table1[[#This Row],[Site ID (from DATIM)]],"[Measures].[MMS_01_89_M_A]")</f>
        <v/>
      </c>
      <c r="BY403" s="68" t="str" vm="18167">
        <f>CUBEVALUE(ConnectionString,ReportMonth,Table1[[#This Row],[Site ID (from DATIM)]],"[Measures].[MMS_90_179_F_P]")</f>
        <v/>
      </c>
      <c r="BZ403" s="68" t="str" vm="19078">
        <f>CUBEVALUE(ConnectionString,ReportMonth,Table1[[#This Row],[Site ID (from DATIM)]],"[Measures].[MMS_90_179_M_P]")</f>
        <v/>
      </c>
      <c r="CA403" s="68" t="str" vm="15916">
        <f>CUBEVALUE(ConnectionString,ReportMonth,Table1[[#This Row],[Site ID (from DATIM)]],"[Measures].[MMS_90_179_F_A]")</f>
        <v/>
      </c>
      <c r="CB403" s="68" t="str" vm="15867">
        <f>CUBEVALUE(ConnectionString,ReportMonth,Table1[[#This Row],[Site ID (from DATIM)]],"[Measures].[MMS_90_179_M_A]")</f>
        <v/>
      </c>
      <c r="CC403" s="68" t="str" vm="20195">
        <f>CUBEVALUE(ConnectionString,ReportMonth,Table1[[#This Row],[Site ID (from DATIM)]],"[Measures].[MMS_180+_F_P]")</f>
        <v/>
      </c>
      <c r="CD403" s="68" t="str" vm="17241">
        <f>CUBEVALUE(ConnectionString,ReportMonth,Table1[[#This Row],[Site ID (from DATIM)]],"[Measures].[MMS_180+_M_P]")</f>
        <v/>
      </c>
      <c r="CE403" s="68" t="str" vm="20233">
        <f>CUBEVALUE(ConnectionString,ReportMonth,Table1[[#This Row],[Site ID (from DATIM)]],"[Measures].[MMS_180+_F_A]")</f>
        <v/>
      </c>
      <c r="CF403" s="68" t="str" vm="141">
        <f>CUBEVALUE(ConnectionString,ReportMonth,Table1[[#This Row],[Site ID (from DATIM)]],"[Measures].[MMS_180+_M_A]")</f>
        <v/>
      </c>
      <c r="CG403" s="68" t="str" vm="6220">
        <f>CUBEVALUE(ConnectionString,ReportMonth,Table1[[#This Row],[Site ID (from DATIM)]],"[Measures].[MISSEDAPP]")</f>
        <v/>
      </c>
      <c r="CH403" s="68" t="str" vm="10465">
        <f>CUBEVALUE(ConnectionString,ReportMonth,Table1[[#This Row],[Site ID (from DATIM)]],"[Measures].[MMS_180+_P]")</f>
        <v/>
      </c>
      <c r="CI403" s="68" t="str" vm="13553">
        <f>CUBEVALUE(ConnectionString,ReportMonth,Table1[[#This Row],[Site ID (from DATIM)]],"[Measures].[MMS_180+_A]")</f>
        <v/>
      </c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  <c r="CW403" s="68"/>
      <c r="CX403" s="68"/>
      <c r="CY403" s="68"/>
      <c r="CZ403" s="68"/>
      <c r="DA403" s="68"/>
      <c r="DB403" s="68"/>
      <c r="DC403" s="68"/>
    </row>
    <row r="404" spans="1:107" x14ac:dyDescent="0.25">
      <c r="A404" s="66">
        <v>4</v>
      </c>
      <c r="B404" s="67" t="str" vm="4">
        <f t="shared" si="7"/>
        <v>Mar-2021</v>
      </c>
      <c r="C404" s="67"/>
      <c r="D404" s="67" t="s">
        <v>232</v>
      </c>
      <c r="E404" s="67" t="s">
        <v>233</v>
      </c>
      <c r="F404" s="67" t="s">
        <v>831</v>
      </c>
      <c r="G404" s="67"/>
      <c r="H404" s="67" t="s">
        <v>832</v>
      </c>
      <c r="I404" s="67" t="s">
        <v>1038</v>
      </c>
      <c r="J404" s="67" t="s">
        <v>1041</v>
      </c>
      <c r="K404" s="67" t="s">
        <v>1042</v>
      </c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 t="str" vm="1363">
        <f>CUBEVALUE(ConnectionString,ReportMonth,Table1[[#This Row],[Site ID (from DATIM)]],"TX_NEW_2VIS")</f>
        <v/>
      </c>
      <c r="AE404" s="67" t="str" vm="2088">
        <f>CUBEVALUE(ConnectionString,ReportMonth,Table1[[#This Row],[Site ID (from DATIM)]],INDEX(SDI_Measures,1))</f>
        <v/>
      </c>
      <c r="AF404" s="67" t="str" vm="4116">
        <f>CUBEVALUE(ConnectionString,ReportMonth,Table1[[#This Row],[Site ID (from DATIM)]],INDEX(SDI_Measures,2))</f>
        <v/>
      </c>
      <c r="AG404" s="67" t="str" vm="2820">
        <f>CUBEVALUE(ConnectionString,ReportMonth,Table1[[#This Row],[Site ID (from DATIM)]],INDEX(SDI_Measures,3))</f>
        <v/>
      </c>
      <c r="AH404" s="67" t="str" vm="428">
        <f>CUBEVALUE(ConnectionString,ReportMonth,Table1[[#This Row],[Site ID (from DATIM)]],"TX_CURR_PRIOR_MONTH")</f>
        <v/>
      </c>
      <c r="AI404" s="67" t="str" vm="1496">
        <f>CUBEVALUE(ConnectionString,ReportMonth,Table1[[#This Row],[Site ID (from DATIM)]],"TX_CURR")</f>
        <v/>
      </c>
      <c r="AJ404" s="67" t="str" vm="544">
        <f>CUBEVALUE(ConnectionString,ReportMonth,Table1[[#This Row],[Site ID (from DATIM)]],"[Measures].[TI]")</f>
        <v/>
      </c>
      <c r="AK404" s="67" t="str" vm="2443">
        <f>CUBEVALUE(ConnectionString,ReportMonth,Table1[[#This Row],[Site ID (from DATIM)]],"[Measures].[TO]")</f>
        <v/>
      </c>
      <c r="AL404" s="67" t="str" vm="3056">
        <f>CUBEVALUE(ConnectionString,ReportMonth,Table1[[#This Row],[Site ID (from DATIM)]],"[Measures].[DIED]")</f>
        <v/>
      </c>
      <c r="AM404" s="67" t="str" vm="3726">
        <f>CUBEVALUE(ConnectionString,ReportMonth,Table1[[#This Row],[Site ID (from DATIM)]],"[Measures].[MMS_01_31]")</f>
        <v/>
      </c>
      <c r="AN404" s="67" t="str" vm="6850">
        <f>CUBEVALUE(ConnectionString,ReportMonth,Table1[[#This Row],[Site ID (from DATIM)]],"[Measures].[MMS_32_62]")</f>
        <v/>
      </c>
      <c r="AO404" s="67" t="str" vm="8944">
        <f>CUBEVALUE(ConnectionString,ReportMonth,Table1[[#This Row],[Site ID (from DATIM)]],"[Measures].[MMS_63+]")</f>
        <v/>
      </c>
      <c r="AP404" s="67" t="str" vm="6253">
        <f>CUBEVALUE(ConnectionString,ReportMonth,Table1[[#This Row],[Site ID (from DATIM)]],"[Measures].[TBPREV_D]")</f>
        <v/>
      </c>
      <c r="AQ404" s="67" t="str" vm="6260">
        <f>CUBEVALUE(ConnectionString,ReportMonth,Table1[[#This Row],[Site ID (from DATIM)]],"[Measures].[TBPREV_N]")</f>
        <v/>
      </c>
      <c r="AR404" s="67" t="str" vm="7437">
        <f>CUBEVALUE(ConnectionString,ReportMonth,Table1[[#This Row],[Site ID (from DATIM)]],"[Measures].[TBPREV_NEW]")</f>
        <v/>
      </c>
      <c r="AS404" s="67" t="str" vm="5540">
        <f>CUBEVALUE(ConnectionString,ReportMonth,Table1[[#This Row],[Site ID (from DATIM)]],"[Measures].[HVL_ELIG_P]")</f>
        <v/>
      </c>
      <c r="AT404" s="67" t="str" vm="4935">
        <f>CUBEVALUE(ConnectionString,ReportMonth,Table1[[#This Row],[Site ID (from DATIM)]],"[Measures].[HVL_D_P]")</f>
        <v/>
      </c>
      <c r="AU404" s="67" t="str" vm="9824">
        <f>CUBEVALUE(ConnectionString,ReportMonth,Table1[[#This Row],[Site ID (from DATIM)]],"[Measures].[HVL_N_P]")</f>
        <v/>
      </c>
      <c r="AV404" s="68" t="str" vm="10496">
        <f>CUBEVALUE(ConnectionString,ReportMonth,Table1[[#This Row],[Site ID (from DATIM)]],"[Measures].[HVL_ELIG_A]")</f>
        <v/>
      </c>
      <c r="AW404" s="68" t="str" vm="7977">
        <f>CUBEVALUE(ConnectionString,ReportMonth,Table1[[#This Row],[Site ID (from DATIM)]],"[Measures].[HVL_D_A]")</f>
        <v/>
      </c>
      <c r="AX404" s="68" t="str" vm="12776">
        <f>CUBEVALUE(ConnectionString,ReportMonth,Table1[[#This Row],[Site ID (from DATIM)]],"[Measures].[HVL_N_A]")</f>
        <v/>
      </c>
      <c r="AY404" s="67"/>
      <c r="AZ404" s="67"/>
      <c r="BA404" s="67"/>
      <c r="BB404" s="67"/>
      <c r="BC404" s="67"/>
      <c r="BD404" s="67"/>
      <c r="BE404" s="67"/>
      <c r="BF404" s="67"/>
      <c r="BG404" s="67" t="str" vm="11176">
        <f>CUBEVALUE(ConnectionString,ReportMonth,Table1[[#This Row],[Site ID (from DATIM)]],"[Measures].[TX_NEW_F_A]")</f>
        <v/>
      </c>
      <c r="BH404" s="67" t="str" vm="12501">
        <f>CUBEVALUE(ConnectionString,ReportMonth,Table1[[#This Row],[Site ID (from DATIM)]],"[Measures].[TX_NEW_M_A]")</f>
        <v/>
      </c>
      <c r="BI404" s="67" t="str" vm="14333">
        <f>CUBEVALUE(ConnectionString,ReportMonth,Table1[[#This Row],[Site ID (from DATIM)]],"[Measures].[TX_NEW_F_P]")</f>
        <v/>
      </c>
      <c r="BJ404" s="68" t="str" vm="13172">
        <f>CUBEVALUE(ConnectionString,ReportMonth,Table1[[#This Row],[Site ID (from DATIM)]],"[Measures].[TX_NEW_M_P]")</f>
        <v/>
      </c>
      <c r="BK404" s="68"/>
      <c r="BL404" s="68"/>
      <c r="BM404" s="68"/>
      <c r="BN404" s="68"/>
      <c r="BO404" s="68"/>
      <c r="BP404" s="68"/>
      <c r="BQ404" s="68" t="str" vm="10578">
        <f>CUBEVALUE(ConnectionString,ReportMonth,Table1[[#This Row],[Site ID (from DATIM)]],"[Measures].[TX_CURR_F_P]")</f>
        <v/>
      </c>
      <c r="BR404" s="68" t="str" vm="9917">
        <f>CUBEVALUE(ConnectionString,ReportMonth,Table1[[#This Row],[Site ID (from DATIM)]],"[Measures].[TX_CURR_M_P]")</f>
        <v/>
      </c>
      <c r="BS404" s="68" t="str" vm="11301">
        <f>CUBEVALUE(ConnectionString,ReportMonth,Table1[[#This Row],[Site ID (from DATIM)]],"[Measures].[TX_CURR_F_A]")</f>
        <v/>
      </c>
      <c r="BT404" s="68" t="str" vm="8191">
        <f>CUBEVALUE(ConnectionString,ReportMonth,Table1[[#This Row],[Site ID (from DATIM)]],"[Measures].[TX_CURR_M_A]")</f>
        <v/>
      </c>
      <c r="BU404" s="68" t="str" vm="19284">
        <f>CUBEVALUE(ConnectionString,ReportMonth,Table1[[#This Row],[Site ID (from DATIM)]],"[Measures].[MMS_01_89_F_P]")</f>
        <v/>
      </c>
      <c r="BV404" s="68" t="str" vm="18380">
        <f>CUBEVALUE(ConnectionString,ReportMonth,Table1[[#This Row],[Site ID (from DATIM)]],"[Measures].[MMS_01_89_M_P]")</f>
        <v/>
      </c>
      <c r="BW404" s="68" t="str" vm="18343">
        <f>CUBEVALUE(ConnectionString,ReportMonth,Table1[[#This Row],[Site ID (from DATIM)]],"[Measures].[MMS_01_89_F_A]")</f>
        <v/>
      </c>
      <c r="BX404" s="68" t="str" vm="19172">
        <f>CUBEVALUE(ConnectionString,ReportMonth,Table1[[#This Row],[Site ID (from DATIM)]],"[Measures].[MMS_01_89_M_A]")</f>
        <v/>
      </c>
      <c r="BY404" s="68" t="str" vm="14715">
        <f>CUBEVALUE(ConnectionString,ReportMonth,Table1[[#This Row],[Site ID (from DATIM)]],"[Measures].[MMS_90_179_F_P]")</f>
        <v/>
      </c>
      <c r="BZ404" s="68" t="str" vm="16972">
        <f>CUBEVALUE(ConnectionString,ReportMonth,Table1[[#This Row],[Site ID (from DATIM)]],"[Measures].[MMS_90_179_M_P]")</f>
        <v/>
      </c>
      <c r="CA404" s="68" t="str" vm="17264">
        <f>CUBEVALUE(ConnectionString,ReportMonth,Table1[[#This Row],[Site ID (from DATIM)]],"[Measures].[MMS_90_179_F_A]")</f>
        <v/>
      </c>
      <c r="CB404" s="68" t="str" vm="17332">
        <f>CUBEVALUE(ConnectionString,ReportMonth,Table1[[#This Row],[Site ID (from DATIM)]],"[Measures].[MMS_90_179_M_A]")</f>
        <v/>
      </c>
      <c r="CC404" s="68" t="str" vm="17630">
        <f>CUBEVALUE(ConnectionString,ReportMonth,Table1[[#This Row],[Site ID (from DATIM)]],"[Measures].[MMS_180+_F_P]")</f>
        <v/>
      </c>
      <c r="CD404" s="68" t="str" vm="16308">
        <f>CUBEVALUE(ConnectionString,ReportMonth,Table1[[#This Row],[Site ID (from DATIM)]],"[Measures].[MMS_180+_M_P]")</f>
        <v/>
      </c>
      <c r="CE404" s="68" t="str" vm="17194">
        <f>CUBEVALUE(ConnectionString,ReportMonth,Table1[[#This Row],[Site ID (from DATIM)]],"[Measures].[MMS_180+_F_A]")</f>
        <v/>
      </c>
      <c r="CF404" s="68" t="str" vm="17474">
        <f>CUBEVALUE(ConnectionString,ReportMonth,Table1[[#This Row],[Site ID (from DATIM)]],"[Measures].[MMS_180+_M_A]")</f>
        <v/>
      </c>
      <c r="CG404" s="68" t="str" vm="10925">
        <f>CUBEVALUE(ConnectionString,ReportMonth,Table1[[#This Row],[Site ID (from DATIM)]],"[Measures].[MISSEDAPP]")</f>
        <v/>
      </c>
      <c r="CH404" s="68" t="str" vm="14161">
        <f>CUBEVALUE(ConnectionString,ReportMonth,Table1[[#This Row],[Site ID (from DATIM)]],"[Measures].[MMS_180+_P]")</f>
        <v/>
      </c>
      <c r="CI404" s="68" t="str" vm="10997">
        <f>CUBEVALUE(ConnectionString,ReportMonth,Table1[[#This Row],[Site ID (from DATIM)]],"[Measures].[MMS_180+_A]")</f>
        <v/>
      </c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  <c r="CW404" s="68"/>
      <c r="CX404" s="68"/>
      <c r="CY404" s="68"/>
      <c r="CZ404" s="68"/>
      <c r="DA404" s="68"/>
      <c r="DB404" s="68"/>
      <c r="DC404" s="68"/>
    </row>
    <row r="405" spans="1:107" x14ac:dyDescent="0.25">
      <c r="A405" s="66">
        <v>4</v>
      </c>
      <c r="B405" s="67" t="str" vm="4">
        <f t="shared" si="7"/>
        <v>Mar-2021</v>
      </c>
      <c r="C405" s="67"/>
      <c r="D405" s="67" t="s">
        <v>232</v>
      </c>
      <c r="E405" s="67" t="s">
        <v>233</v>
      </c>
      <c r="F405" s="67" t="s">
        <v>1286</v>
      </c>
      <c r="G405" s="67"/>
      <c r="H405" s="67" t="s">
        <v>1291</v>
      </c>
      <c r="I405" s="67" t="s">
        <v>1509</v>
      </c>
      <c r="J405" s="67" t="s">
        <v>1510</v>
      </c>
      <c r="K405" s="67" t="s">
        <v>1511</v>
      </c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 t="str" vm="2696">
        <f>CUBEVALUE(ConnectionString,ReportMonth,Table1[[#This Row],[Site ID (from DATIM)]],"TX_NEW_2VIS")</f>
        <v/>
      </c>
      <c r="AE405" s="67" t="str" vm="5328">
        <f>CUBEVALUE(ConnectionString,ReportMonth,Table1[[#This Row],[Site ID (from DATIM)]],INDEX(SDI_Measures,1))</f>
        <v/>
      </c>
      <c r="AF405" s="67" t="str" vm="1244">
        <f>CUBEVALUE(ConnectionString,ReportMonth,Table1[[#This Row],[Site ID (from DATIM)]],INDEX(SDI_Measures,2))</f>
        <v/>
      </c>
      <c r="AG405" s="67" t="str" vm="3326">
        <f>CUBEVALUE(ConnectionString,ReportMonth,Table1[[#This Row],[Site ID (from DATIM)]],INDEX(SDI_Measures,3))</f>
        <v/>
      </c>
      <c r="AH405" s="67" t="str" vm="4897">
        <f>CUBEVALUE(ConnectionString,ReportMonth,Table1[[#This Row],[Site ID (from DATIM)]],"TX_CURR_PRIOR_MONTH")</f>
        <v/>
      </c>
      <c r="AI405" s="67" t="str" vm="922">
        <f>CUBEVALUE(ConnectionString,ReportMonth,Table1[[#This Row],[Site ID (from DATIM)]],"TX_CURR")</f>
        <v/>
      </c>
      <c r="AJ405" s="67" t="str" vm="4271">
        <f>CUBEVALUE(ConnectionString,ReportMonth,Table1[[#This Row],[Site ID (from DATIM)]],"[Measures].[TI]")</f>
        <v/>
      </c>
      <c r="AK405" s="67" t="str" vm="2096">
        <f>CUBEVALUE(ConnectionString,ReportMonth,Table1[[#This Row],[Site ID (from DATIM)]],"[Measures].[TO]")</f>
        <v/>
      </c>
      <c r="AL405" s="67" t="str" vm="2576">
        <f>CUBEVALUE(ConnectionString,ReportMonth,Table1[[#This Row],[Site ID (from DATIM)]],"[Measures].[DIED]")</f>
        <v/>
      </c>
      <c r="AM405" s="67" t="str" vm="5864">
        <f>CUBEVALUE(ConnectionString,ReportMonth,Table1[[#This Row],[Site ID (from DATIM)]],"[Measures].[MMS_01_31]")</f>
        <v/>
      </c>
      <c r="AN405" s="67" t="str" vm="3307">
        <f>CUBEVALUE(ConnectionString,ReportMonth,Table1[[#This Row],[Site ID (from DATIM)]],"[Measures].[MMS_32_62]")</f>
        <v/>
      </c>
      <c r="AO405" s="67" t="str" vm="5350">
        <f>CUBEVALUE(ConnectionString,ReportMonth,Table1[[#This Row],[Site ID (from DATIM)]],"[Measures].[MMS_63+]")</f>
        <v/>
      </c>
      <c r="AP405" s="67" t="str" vm="6142">
        <f>CUBEVALUE(ConnectionString,ReportMonth,Table1[[#This Row],[Site ID (from DATIM)]],"[Measures].[TBPREV_D]")</f>
        <v/>
      </c>
      <c r="AQ405" s="67" t="str" vm="5437">
        <f>CUBEVALUE(ConnectionString,ReportMonth,Table1[[#This Row],[Site ID (from DATIM)]],"[Measures].[TBPREV_N]")</f>
        <v/>
      </c>
      <c r="AR405" s="67" t="str" vm="6913">
        <f>CUBEVALUE(ConnectionString,ReportMonth,Table1[[#This Row],[Site ID (from DATIM)]],"[Measures].[TBPREV_NEW]")</f>
        <v/>
      </c>
      <c r="AS405" s="67" t="str" vm="6339">
        <f>CUBEVALUE(ConnectionString,ReportMonth,Table1[[#This Row],[Site ID (from DATIM)]],"[Measures].[HVL_ELIG_P]")</f>
        <v/>
      </c>
      <c r="AT405" s="67" t="str" vm="6561">
        <f>CUBEVALUE(ConnectionString,ReportMonth,Table1[[#This Row],[Site ID (from DATIM)]],"[Measures].[HVL_D_P]")</f>
        <v/>
      </c>
      <c r="AU405" s="67" t="str" vm="8405">
        <f>CUBEVALUE(ConnectionString,ReportMonth,Table1[[#This Row],[Site ID (from DATIM)]],"[Measures].[HVL_N_P]")</f>
        <v/>
      </c>
      <c r="AV405" s="68" t="str" vm="10714">
        <f>CUBEVALUE(ConnectionString,ReportMonth,Table1[[#This Row],[Site ID (from DATIM)]],"[Measures].[HVL_ELIG_A]")</f>
        <v/>
      </c>
      <c r="AW405" s="68" t="str" vm="8579">
        <f>CUBEVALUE(ConnectionString,ReportMonth,Table1[[#This Row],[Site ID (from DATIM)]],"[Measures].[HVL_D_A]")</f>
        <v/>
      </c>
      <c r="AX405" s="68" t="str" vm="8331">
        <f>CUBEVALUE(ConnectionString,ReportMonth,Table1[[#This Row],[Site ID (from DATIM)]],"[Measures].[HVL_N_A]")</f>
        <v/>
      </c>
      <c r="AY405" s="67"/>
      <c r="AZ405" s="67"/>
      <c r="BA405" s="67"/>
      <c r="BB405" s="67"/>
      <c r="BC405" s="67"/>
      <c r="BD405" s="67"/>
      <c r="BE405" s="67"/>
      <c r="BF405" s="67"/>
      <c r="BG405" s="67" t="str" vm="12440">
        <f>CUBEVALUE(ConnectionString,ReportMonth,Table1[[#This Row],[Site ID (from DATIM)]],"[Measures].[TX_NEW_F_A]")</f>
        <v/>
      </c>
      <c r="BH405" s="67" t="str" vm="12170">
        <f>CUBEVALUE(ConnectionString,ReportMonth,Table1[[#This Row],[Site ID (from DATIM)]],"[Measures].[TX_NEW_M_A]")</f>
        <v/>
      </c>
      <c r="BI405" s="67" t="str" vm="14411">
        <f>CUBEVALUE(ConnectionString,ReportMonth,Table1[[#This Row],[Site ID (from DATIM)]],"[Measures].[TX_NEW_F_P]")</f>
        <v/>
      </c>
      <c r="BJ405" s="68" t="str" vm="12601">
        <f>CUBEVALUE(ConnectionString,ReportMonth,Table1[[#This Row],[Site ID (from DATIM)]],"[Measures].[TX_NEW_M_P]")</f>
        <v/>
      </c>
      <c r="BK405" s="68"/>
      <c r="BL405" s="68"/>
      <c r="BM405" s="68"/>
      <c r="BN405" s="68"/>
      <c r="BO405" s="68"/>
      <c r="BP405" s="68"/>
      <c r="BQ405" s="68" t="str" vm="9254">
        <f>CUBEVALUE(ConnectionString,ReportMonth,Table1[[#This Row],[Site ID (from DATIM)]],"[Measures].[TX_CURR_F_P]")</f>
        <v/>
      </c>
      <c r="BR405" s="68" t="str" vm="13966">
        <f>CUBEVALUE(ConnectionString,ReportMonth,Table1[[#This Row],[Site ID (from DATIM)]],"[Measures].[TX_CURR_M_P]")</f>
        <v/>
      </c>
      <c r="BS405" s="68" t="str" vm="10289">
        <f>CUBEVALUE(ConnectionString,ReportMonth,Table1[[#This Row],[Site ID (from DATIM)]],"[Measures].[TX_CURR_F_A]")</f>
        <v/>
      </c>
      <c r="BT405" s="68" t="str" vm="10345">
        <f>CUBEVALUE(ConnectionString,ReportMonth,Table1[[#This Row],[Site ID (from DATIM)]],"[Measures].[TX_CURR_M_A]")</f>
        <v/>
      </c>
      <c r="BU405" s="68" t="str" vm="18423">
        <f>CUBEVALUE(ConnectionString,ReportMonth,Table1[[#This Row],[Site ID (from DATIM)]],"[Measures].[MMS_01_89_F_P]")</f>
        <v/>
      </c>
      <c r="BV405" s="68" t="str" vm="18379">
        <f>CUBEVALUE(ConnectionString,ReportMonth,Table1[[#This Row],[Site ID (from DATIM)]],"[Measures].[MMS_01_89_M_P]")</f>
        <v/>
      </c>
      <c r="BW405" s="68" t="str" vm="17986">
        <f>CUBEVALUE(ConnectionString,ReportMonth,Table1[[#This Row],[Site ID (from DATIM)]],"[Measures].[MMS_01_89_F_A]")</f>
        <v/>
      </c>
      <c r="BX405" s="68" t="str" vm="19169">
        <f>CUBEVALUE(ConnectionString,ReportMonth,Table1[[#This Row],[Site ID (from DATIM)]],"[Measures].[MMS_01_89_M_A]")</f>
        <v/>
      </c>
      <c r="BY405" s="68" t="str" vm="18508">
        <f>CUBEVALUE(ConnectionString,ReportMonth,Table1[[#This Row],[Site ID (from DATIM)]],"[Measures].[MMS_90_179_F_P]")</f>
        <v/>
      </c>
      <c r="BZ405" s="68" t="str" vm="19844">
        <f>CUBEVALUE(ConnectionString,ReportMonth,Table1[[#This Row],[Site ID (from DATIM)]],"[Measures].[MMS_90_179_M_P]")</f>
        <v/>
      </c>
      <c r="CA405" s="68" t="str" vm="14727">
        <f>CUBEVALUE(ConnectionString,ReportMonth,Table1[[#This Row],[Site ID (from DATIM)]],"[Measures].[MMS_90_179_F_A]")</f>
        <v/>
      </c>
      <c r="CB405" s="68" t="str" vm="14654">
        <f>CUBEVALUE(ConnectionString,ReportMonth,Table1[[#This Row],[Site ID (from DATIM)]],"[Measures].[MMS_90_179_M_A]")</f>
        <v/>
      </c>
      <c r="CC405" s="68" t="str" vm="15471">
        <f>CUBEVALUE(ConnectionString,ReportMonth,Table1[[#This Row],[Site ID (from DATIM)]],"[Measures].[MMS_180+_F_P]")</f>
        <v/>
      </c>
      <c r="CD405" s="68" t="str" vm="15389">
        <f>CUBEVALUE(ConnectionString,ReportMonth,Table1[[#This Row],[Site ID (from DATIM)]],"[Measures].[MMS_180+_M_P]")</f>
        <v/>
      </c>
      <c r="CE405" s="68" t="str" vm="120">
        <f>CUBEVALUE(ConnectionString,ReportMonth,Table1[[#This Row],[Site ID (from DATIM)]],"[Measures].[MMS_180+_F_A]")</f>
        <v/>
      </c>
      <c r="CF405" s="68" t="str" vm="20162">
        <f>CUBEVALUE(ConnectionString,ReportMonth,Table1[[#This Row],[Site ID (from DATIM)]],"[Measures].[MMS_180+_M_A]")</f>
        <v/>
      </c>
      <c r="CG405" s="68" t="str" vm="9869">
        <f>CUBEVALUE(ConnectionString,ReportMonth,Table1[[#This Row],[Site ID (from DATIM)]],"[Measures].[MISSEDAPP]")</f>
        <v/>
      </c>
      <c r="CH405" s="68" t="str" vm="11954">
        <f>CUBEVALUE(ConnectionString,ReportMonth,Table1[[#This Row],[Site ID (from DATIM)]],"[Measures].[MMS_180+_P]")</f>
        <v/>
      </c>
      <c r="CI405" s="68" t="str" vm="11153">
        <f>CUBEVALUE(ConnectionString,ReportMonth,Table1[[#This Row],[Site ID (from DATIM)]],"[Measures].[MMS_180+_A]")</f>
        <v/>
      </c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  <c r="CW405" s="68"/>
      <c r="CX405" s="68"/>
      <c r="CY405" s="68"/>
      <c r="CZ405" s="68"/>
      <c r="DA405" s="68"/>
      <c r="DB405" s="68"/>
      <c r="DC405" s="68"/>
    </row>
    <row r="406" spans="1:107" x14ac:dyDescent="0.25">
      <c r="A406" s="66">
        <v>4</v>
      </c>
      <c r="B406" s="67" t="str" vm="4">
        <f t="shared" si="7"/>
        <v>Mar-2021</v>
      </c>
      <c r="C406" s="67"/>
      <c r="D406" s="67" t="s">
        <v>232</v>
      </c>
      <c r="E406" s="67" t="s">
        <v>233</v>
      </c>
      <c r="F406" s="67" t="s">
        <v>1286</v>
      </c>
      <c r="G406" s="67"/>
      <c r="H406" s="67" t="s">
        <v>1291</v>
      </c>
      <c r="I406" s="67" t="s">
        <v>1512</v>
      </c>
      <c r="J406" s="67" t="s">
        <v>1513</v>
      </c>
      <c r="K406" s="67" t="s">
        <v>1514</v>
      </c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 t="str" vm="775">
        <f>CUBEVALUE(ConnectionString,ReportMonth,Table1[[#This Row],[Site ID (from DATIM)]],"TX_NEW_2VIS")</f>
        <v/>
      </c>
      <c r="AE406" s="67" t="str" vm="521">
        <f>CUBEVALUE(ConnectionString,ReportMonth,Table1[[#This Row],[Site ID (from DATIM)]],INDEX(SDI_Measures,1))</f>
        <v/>
      </c>
      <c r="AF406" s="67" t="str" vm="425">
        <f>CUBEVALUE(ConnectionString,ReportMonth,Table1[[#This Row],[Site ID (from DATIM)]],INDEX(SDI_Measures,2))</f>
        <v/>
      </c>
      <c r="AG406" s="67" t="str" vm="1984">
        <f>CUBEVALUE(ConnectionString,ReportMonth,Table1[[#This Row],[Site ID (from DATIM)]],INDEX(SDI_Measures,3))</f>
        <v/>
      </c>
      <c r="AH406" s="67" t="str" vm="1338">
        <f>CUBEVALUE(ConnectionString,ReportMonth,Table1[[#This Row],[Site ID (from DATIM)]],"TX_CURR_PRIOR_MONTH")</f>
        <v/>
      </c>
      <c r="AI406" s="67" t="str" vm="2528">
        <f>CUBEVALUE(ConnectionString,ReportMonth,Table1[[#This Row],[Site ID (from DATIM)]],"TX_CURR")</f>
        <v/>
      </c>
      <c r="AJ406" s="67" t="str" vm="3255">
        <f>CUBEVALUE(ConnectionString,ReportMonth,Table1[[#This Row],[Site ID (from DATIM)]],"[Measures].[TI]")</f>
        <v/>
      </c>
      <c r="AK406" s="67" t="str" vm="2997">
        <f>CUBEVALUE(ConnectionString,ReportMonth,Table1[[#This Row],[Site ID (from DATIM)]],"[Measures].[TO]")</f>
        <v/>
      </c>
      <c r="AL406" s="67" t="str" vm="1285">
        <f>CUBEVALUE(ConnectionString,ReportMonth,Table1[[#This Row],[Site ID (from DATIM)]],"[Measures].[DIED]")</f>
        <v/>
      </c>
      <c r="AM406" s="67" t="str" vm="4523">
        <f>CUBEVALUE(ConnectionString,ReportMonth,Table1[[#This Row],[Site ID (from DATIM)]],"[Measures].[MMS_01_31]")</f>
        <v/>
      </c>
      <c r="AN406" s="67" t="str" vm="5196">
        <f>CUBEVALUE(ConnectionString,ReportMonth,Table1[[#This Row],[Site ID (from DATIM)]],"[Measures].[MMS_32_62]")</f>
        <v/>
      </c>
      <c r="AO406" s="67" t="str" vm="5628">
        <f>CUBEVALUE(ConnectionString,ReportMonth,Table1[[#This Row],[Site ID (from DATIM)]],"[Measures].[MMS_63+]")</f>
        <v/>
      </c>
      <c r="AP406" s="67" t="str" vm="5734">
        <f>CUBEVALUE(ConnectionString,ReportMonth,Table1[[#This Row],[Site ID (from DATIM)]],"[Measures].[TBPREV_D]")</f>
        <v/>
      </c>
      <c r="AQ406" s="67" t="str" vm="5720">
        <f>CUBEVALUE(ConnectionString,ReportMonth,Table1[[#This Row],[Site ID (from DATIM)]],"[Measures].[TBPREV_N]")</f>
        <v/>
      </c>
      <c r="AR406" s="67" t="str" vm="8007">
        <f>CUBEVALUE(ConnectionString,ReportMonth,Table1[[#This Row],[Site ID (from DATIM)]],"[Measures].[TBPREV_NEW]")</f>
        <v/>
      </c>
      <c r="AS406" s="67" t="str" vm="8746">
        <f>CUBEVALUE(ConnectionString,ReportMonth,Table1[[#This Row],[Site ID (from DATIM)]],"[Measures].[HVL_ELIG_P]")</f>
        <v/>
      </c>
      <c r="AT406" s="67" t="str" vm="8548">
        <f>CUBEVALUE(ConnectionString,ReportMonth,Table1[[#This Row],[Site ID (from DATIM)]],"[Measures].[HVL_D_P]")</f>
        <v/>
      </c>
      <c r="AU406" s="67" t="str" vm="9838">
        <f>CUBEVALUE(ConnectionString,ReportMonth,Table1[[#This Row],[Site ID (from DATIM)]],"[Measures].[HVL_N_P]")</f>
        <v/>
      </c>
      <c r="AV406" s="68" t="str" vm="7257">
        <f>CUBEVALUE(ConnectionString,ReportMonth,Table1[[#This Row],[Site ID (from DATIM)]],"[Measures].[HVL_ELIG_A]")</f>
        <v/>
      </c>
      <c r="AW406" s="68" t="str" vm="6801">
        <f>CUBEVALUE(ConnectionString,ReportMonth,Table1[[#This Row],[Site ID (from DATIM)]],"[Measures].[HVL_D_A]")</f>
        <v/>
      </c>
      <c r="AX406" s="68" t="str" vm="16131">
        <f>CUBEVALUE(ConnectionString,ReportMonth,Table1[[#This Row],[Site ID (from DATIM)]],"[Measures].[HVL_N_A]")</f>
        <v/>
      </c>
      <c r="AY406" s="67"/>
      <c r="AZ406" s="67"/>
      <c r="BA406" s="67"/>
      <c r="BB406" s="67"/>
      <c r="BC406" s="67"/>
      <c r="BD406" s="67"/>
      <c r="BE406" s="67"/>
      <c r="BF406" s="67"/>
      <c r="BG406" s="67" t="str" vm="13400">
        <f>CUBEVALUE(ConnectionString,ReportMonth,Table1[[#This Row],[Site ID (from DATIM)]],"[Measures].[TX_NEW_F_A]")</f>
        <v/>
      </c>
      <c r="BH406" s="67" t="str" vm="14341">
        <f>CUBEVALUE(ConnectionString,ReportMonth,Table1[[#This Row],[Site ID (from DATIM)]],"[Measures].[TX_NEW_M_A]")</f>
        <v/>
      </c>
      <c r="BI406" s="67" t="str" vm="14299">
        <f>CUBEVALUE(ConnectionString,ReportMonth,Table1[[#This Row],[Site ID (from DATIM)]],"[Measures].[TX_NEW_F_P]")</f>
        <v/>
      </c>
      <c r="BJ406" s="68" t="str" vm="12332">
        <f>CUBEVALUE(ConnectionString,ReportMonth,Table1[[#This Row],[Site ID (from DATIM)]],"[Measures].[TX_NEW_M_P]")</f>
        <v/>
      </c>
      <c r="BK406" s="68"/>
      <c r="BL406" s="68"/>
      <c r="BM406" s="68"/>
      <c r="BN406" s="68"/>
      <c r="BO406" s="68"/>
      <c r="BP406" s="68"/>
      <c r="BQ406" s="68" t="str" vm="12334">
        <f>CUBEVALUE(ConnectionString,ReportMonth,Table1[[#This Row],[Site ID (from DATIM)]],"[Measures].[TX_CURR_F_P]")</f>
        <v/>
      </c>
      <c r="BR406" s="68" t="str" vm="13158">
        <f>CUBEVALUE(ConnectionString,ReportMonth,Table1[[#This Row],[Site ID (from DATIM)]],"[Measures].[TX_CURR_M_P]")</f>
        <v/>
      </c>
      <c r="BS406" s="68" t="str" vm="9719">
        <f>CUBEVALUE(ConnectionString,ReportMonth,Table1[[#This Row],[Site ID (from DATIM)]],"[Measures].[TX_CURR_F_A]")</f>
        <v/>
      </c>
      <c r="BT406" s="68" t="str" vm="10396">
        <f>CUBEVALUE(ConnectionString,ReportMonth,Table1[[#This Row],[Site ID (from DATIM)]],"[Measures].[TX_CURR_M_A]")</f>
        <v/>
      </c>
      <c r="BU406" s="68" t="str" vm="19769">
        <f>CUBEVALUE(ConnectionString,ReportMonth,Table1[[#This Row],[Site ID (from DATIM)]],"[Measures].[MMS_01_89_F_P]")</f>
        <v/>
      </c>
      <c r="BV406" s="68" t="str" vm="19300">
        <f>CUBEVALUE(ConnectionString,ReportMonth,Table1[[#This Row],[Site ID (from DATIM)]],"[Measures].[MMS_01_89_M_P]")</f>
        <v/>
      </c>
      <c r="BW406" s="68" t="str" vm="19731">
        <f>CUBEVALUE(ConnectionString,ReportMonth,Table1[[#This Row],[Site ID (from DATIM)]],"[Measures].[MMS_01_89_F_A]")</f>
        <v/>
      </c>
      <c r="BX406" s="68" t="str" vm="18546">
        <f>CUBEVALUE(ConnectionString,ReportMonth,Table1[[#This Row],[Site ID (from DATIM)]],"[Measures].[MMS_01_89_M_A]")</f>
        <v/>
      </c>
      <c r="BY406" s="68" t="str" vm="18837">
        <f>CUBEVALUE(ConnectionString,ReportMonth,Table1[[#This Row],[Site ID (from DATIM)]],"[Measures].[MMS_90_179_F_P]")</f>
        <v/>
      </c>
      <c r="BZ406" s="68" t="str" vm="16478">
        <f>CUBEVALUE(ConnectionString,ReportMonth,Table1[[#This Row],[Site ID (from DATIM)]],"[Measures].[MMS_90_179_M_P]")</f>
        <v/>
      </c>
      <c r="CA406" s="68" t="str" vm="14567">
        <f>CUBEVALUE(ConnectionString,ReportMonth,Table1[[#This Row],[Site ID (from DATIM)]],"[Measures].[MMS_90_179_F_A]")</f>
        <v/>
      </c>
      <c r="CB406" s="68" t="str" vm="16900">
        <f>CUBEVALUE(ConnectionString,ReportMonth,Table1[[#This Row],[Site ID (from DATIM)]],"[Measures].[MMS_90_179_M_A]")</f>
        <v/>
      </c>
      <c r="CC406" s="68" t="str" vm="15584">
        <f>CUBEVALUE(ConnectionString,ReportMonth,Table1[[#This Row],[Site ID (from DATIM)]],"[Measures].[MMS_180+_F_P]")</f>
        <v/>
      </c>
      <c r="CD406" s="68" t="str" vm="15444">
        <f>CUBEVALUE(ConnectionString,ReportMonth,Table1[[#This Row],[Site ID (from DATIM)]],"[Measures].[MMS_180+_M_P]")</f>
        <v/>
      </c>
      <c r="CE406" s="68" t="str" vm="16249">
        <f>CUBEVALUE(ConnectionString,ReportMonth,Table1[[#This Row],[Site ID (from DATIM)]],"[Measures].[MMS_180+_F_A]")</f>
        <v/>
      </c>
      <c r="CF406" s="68" t="str" vm="16647">
        <f>CUBEVALUE(ConnectionString,ReportMonth,Table1[[#This Row],[Site ID (from DATIM)]],"[Measures].[MMS_180+_M_A]")</f>
        <v/>
      </c>
      <c r="CG406" s="68" t="str" vm="5000">
        <f>CUBEVALUE(ConnectionString,ReportMonth,Table1[[#This Row],[Site ID (from DATIM)]],"[Measures].[MISSEDAPP]")</f>
        <v/>
      </c>
      <c r="CH406" s="68" t="str" vm="12247">
        <f>CUBEVALUE(ConnectionString,ReportMonth,Table1[[#This Row],[Site ID (from DATIM)]],"[Measures].[MMS_180+_P]")</f>
        <v/>
      </c>
      <c r="CI406" s="68" t="str" vm="13659">
        <f>CUBEVALUE(ConnectionString,ReportMonth,Table1[[#This Row],[Site ID (from DATIM)]],"[Measures].[MMS_180+_A]")</f>
        <v/>
      </c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</row>
    <row r="407" spans="1:107" x14ac:dyDescent="0.25">
      <c r="A407" s="66">
        <v>4</v>
      </c>
      <c r="B407" s="67" t="str" vm="4">
        <f t="shared" si="7"/>
        <v>Mar-2021</v>
      </c>
      <c r="C407" s="67"/>
      <c r="D407" s="67" t="s">
        <v>232</v>
      </c>
      <c r="E407" s="67" t="s">
        <v>233</v>
      </c>
      <c r="F407" s="67" t="s">
        <v>1286</v>
      </c>
      <c r="G407" s="67"/>
      <c r="H407" s="67" t="s">
        <v>1291</v>
      </c>
      <c r="I407" s="67" t="s">
        <v>1515</v>
      </c>
      <c r="J407" s="67" t="s">
        <v>1516</v>
      </c>
      <c r="K407" s="67" t="s">
        <v>1517</v>
      </c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 t="str" vm="399">
        <f>CUBEVALUE(ConnectionString,ReportMonth,Table1[[#This Row],[Site ID (from DATIM)]],"TX_NEW_2VIS")</f>
        <v/>
      </c>
      <c r="AE407" s="67" t="str" vm="20187">
        <f>CUBEVALUE(ConnectionString,ReportMonth,Table1[[#This Row],[Site ID (from DATIM)]],INDEX(SDI_Measures,1))</f>
        <v/>
      </c>
      <c r="AF407" s="67" t="str" vm="4382">
        <f>CUBEVALUE(ConnectionString,ReportMonth,Table1[[#This Row],[Site ID (from DATIM)]],INDEX(SDI_Measures,2))</f>
        <v/>
      </c>
      <c r="AG407" s="67" t="str" vm="835">
        <f>CUBEVALUE(ConnectionString,ReportMonth,Table1[[#This Row],[Site ID (from DATIM)]],INDEX(SDI_Measures,3))</f>
        <v/>
      </c>
      <c r="AH407" s="67" t="str" vm="2294">
        <f>CUBEVALUE(ConnectionString,ReportMonth,Table1[[#This Row],[Site ID (from DATIM)]],"TX_CURR_PRIOR_MONTH")</f>
        <v/>
      </c>
      <c r="AI407" s="67" t="str" vm="2626">
        <f>CUBEVALUE(ConnectionString,ReportMonth,Table1[[#This Row],[Site ID (from DATIM)]],"TX_CURR")</f>
        <v/>
      </c>
      <c r="AJ407" s="67" t="str" vm="8937">
        <f>CUBEVALUE(ConnectionString,ReportMonth,Table1[[#This Row],[Site ID (from DATIM)]],"[Measures].[TI]")</f>
        <v/>
      </c>
      <c r="AK407" s="67" t="str" vm="2046">
        <f>CUBEVALUE(ConnectionString,ReportMonth,Table1[[#This Row],[Site ID (from DATIM)]],"[Measures].[TO]")</f>
        <v/>
      </c>
      <c r="AL407" s="67" t="str" vm="3065">
        <f>CUBEVALUE(ConnectionString,ReportMonth,Table1[[#This Row],[Site ID (from DATIM)]],"[Measures].[DIED]")</f>
        <v/>
      </c>
      <c r="AM407" s="67" t="str" vm="5664">
        <f>CUBEVALUE(ConnectionString,ReportMonth,Table1[[#This Row],[Site ID (from DATIM)]],"[Measures].[MMS_01_31]")</f>
        <v/>
      </c>
      <c r="AN407" s="67" t="str" vm="6334">
        <f>CUBEVALUE(ConnectionString,ReportMonth,Table1[[#This Row],[Site ID (from DATIM)]],"[Measures].[MMS_32_62]")</f>
        <v/>
      </c>
      <c r="AO407" s="67" t="str" vm="7453">
        <f>CUBEVALUE(ConnectionString,ReportMonth,Table1[[#This Row],[Site ID (from DATIM)]],"[Measures].[MMS_63+]")</f>
        <v/>
      </c>
      <c r="AP407" s="67" t="str" vm="5425">
        <f>CUBEVALUE(ConnectionString,ReportMonth,Table1[[#This Row],[Site ID (from DATIM)]],"[Measures].[TBPREV_D]")</f>
        <v/>
      </c>
      <c r="AQ407" s="67" t="str" vm="5115">
        <f>CUBEVALUE(ConnectionString,ReportMonth,Table1[[#This Row],[Site ID (from DATIM)]],"[Measures].[TBPREV_N]")</f>
        <v/>
      </c>
      <c r="AR407" s="67" t="str" vm="6268">
        <f>CUBEVALUE(ConnectionString,ReportMonth,Table1[[#This Row],[Site ID (from DATIM)]],"[Measures].[TBPREV_NEW]")</f>
        <v/>
      </c>
      <c r="AS407" s="67" t="str" vm="7097">
        <f>CUBEVALUE(ConnectionString,ReportMonth,Table1[[#This Row],[Site ID (from DATIM)]],"[Measures].[HVL_ELIG_P]")</f>
        <v/>
      </c>
      <c r="AT407" s="67" t="str" vm="6214">
        <f>CUBEVALUE(ConnectionString,ReportMonth,Table1[[#This Row],[Site ID (from DATIM)]],"[Measures].[HVL_D_P]")</f>
        <v/>
      </c>
      <c r="AU407" s="67" t="str" vm="11681">
        <f>CUBEVALUE(ConnectionString,ReportMonth,Table1[[#This Row],[Site ID (from DATIM)]],"[Measures].[HVL_N_P]")</f>
        <v/>
      </c>
      <c r="AV407" s="68" t="str" vm="12535">
        <f>CUBEVALUE(ConnectionString,ReportMonth,Table1[[#This Row],[Site ID (from DATIM)]],"[Measures].[HVL_ELIG_A]")</f>
        <v/>
      </c>
      <c r="AW407" s="68" t="str" vm="14093">
        <f>CUBEVALUE(ConnectionString,ReportMonth,Table1[[#This Row],[Site ID (from DATIM)]],"[Measures].[HVL_D_A]")</f>
        <v/>
      </c>
      <c r="AX407" s="68" t="str" vm="8202">
        <f>CUBEVALUE(ConnectionString,ReportMonth,Table1[[#This Row],[Site ID (from DATIM)]],"[Measures].[HVL_N_A]")</f>
        <v/>
      </c>
      <c r="AY407" s="67"/>
      <c r="AZ407" s="67"/>
      <c r="BA407" s="67"/>
      <c r="BB407" s="67"/>
      <c r="BC407" s="67"/>
      <c r="BD407" s="67"/>
      <c r="BE407" s="67"/>
      <c r="BF407" s="67"/>
      <c r="BG407" s="67" t="str" vm="14025">
        <f>CUBEVALUE(ConnectionString,ReportMonth,Table1[[#This Row],[Site ID (from DATIM)]],"[Measures].[TX_NEW_F_A]")</f>
        <v/>
      </c>
      <c r="BH407" s="67" t="str" vm="14133">
        <f>CUBEVALUE(ConnectionString,ReportMonth,Table1[[#This Row],[Site ID (from DATIM)]],"[Measures].[TX_NEW_M_A]")</f>
        <v/>
      </c>
      <c r="BI407" s="67" t="str" vm="15286">
        <f>CUBEVALUE(ConnectionString,ReportMonth,Table1[[#This Row],[Site ID (from DATIM)]],"[Measures].[TX_NEW_F_P]")</f>
        <v/>
      </c>
      <c r="BJ407" s="68" t="str" vm="14381">
        <f>CUBEVALUE(ConnectionString,ReportMonth,Table1[[#This Row],[Site ID (from DATIM)]],"[Measures].[TX_NEW_M_P]")</f>
        <v/>
      </c>
      <c r="BK407" s="68"/>
      <c r="BL407" s="68"/>
      <c r="BM407" s="68"/>
      <c r="BN407" s="68"/>
      <c r="BO407" s="68"/>
      <c r="BP407" s="68"/>
      <c r="BQ407" s="68" t="str" vm="9474">
        <f>CUBEVALUE(ConnectionString,ReportMonth,Table1[[#This Row],[Site ID (from DATIM)]],"[Measures].[TX_CURR_F_P]")</f>
        <v/>
      </c>
      <c r="BR407" s="68" t="str" vm="8914">
        <f>CUBEVALUE(ConnectionString,ReportMonth,Table1[[#This Row],[Site ID (from DATIM)]],"[Measures].[TX_CURR_M_P]")</f>
        <v/>
      </c>
      <c r="BS407" s="68" t="str" vm="11442">
        <f>CUBEVALUE(ConnectionString,ReportMonth,Table1[[#This Row],[Site ID (from DATIM)]],"[Measures].[TX_CURR_F_A]")</f>
        <v/>
      </c>
      <c r="BT407" s="68" t="str" vm="8465">
        <f>CUBEVALUE(ConnectionString,ReportMonth,Table1[[#This Row],[Site ID (from DATIM)]],"[Measures].[TX_CURR_M_A]")</f>
        <v/>
      </c>
      <c r="BU407" s="68" t="str" vm="20055">
        <f>CUBEVALUE(ConnectionString,ReportMonth,Table1[[#This Row],[Site ID (from DATIM)]],"[Measures].[MMS_01_89_F_P]")</f>
        <v/>
      </c>
      <c r="BV407" s="68" t="str" vm="19512">
        <f>CUBEVALUE(ConnectionString,ReportMonth,Table1[[#This Row],[Site ID (from DATIM)]],"[Measures].[MMS_01_89_M_P]")</f>
        <v/>
      </c>
      <c r="BW407" s="68" t="str" vm="20040">
        <f>CUBEVALUE(ConnectionString,ReportMonth,Table1[[#This Row],[Site ID (from DATIM)]],"[Measures].[MMS_01_89_F_A]")</f>
        <v/>
      </c>
      <c r="BX407" s="68" t="str" vm="18805">
        <f>CUBEVALUE(ConnectionString,ReportMonth,Table1[[#This Row],[Site ID (from DATIM)]],"[Measures].[MMS_01_89_M_A]")</f>
        <v/>
      </c>
      <c r="BY407" s="68" t="str" vm="18187">
        <f>CUBEVALUE(ConnectionString,ReportMonth,Table1[[#This Row],[Site ID (from DATIM)]],"[Measures].[MMS_90_179_F_P]")</f>
        <v/>
      </c>
      <c r="BZ407" s="68" t="str" vm="19869">
        <f>CUBEVALUE(ConnectionString,ReportMonth,Table1[[#This Row],[Site ID (from DATIM)]],"[Measures].[MMS_90_179_M_P]")</f>
        <v/>
      </c>
      <c r="CA407" s="68" t="str" vm="16488">
        <f>CUBEVALUE(ConnectionString,ReportMonth,Table1[[#This Row],[Site ID (from DATIM)]],"[Measures].[MMS_90_179_F_A]")</f>
        <v/>
      </c>
      <c r="CB407" s="68" t="str" vm="15050">
        <f>CUBEVALUE(ConnectionString,ReportMonth,Table1[[#This Row],[Site ID (from DATIM)]],"[Measures].[MMS_90_179_M_A]")</f>
        <v/>
      </c>
      <c r="CC407" s="68" t="str" vm="18771">
        <f>CUBEVALUE(ConnectionString,ReportMonth,Table1[[#This Row],[Site ID (from DATIM)]],"[Measures].[MMS_180+_F_P]")</f>
        <v/>
      </c>
      <c r="CD407" s="68" t="str" vm="16675">
        <f>CUBEVALUE(ConnectionString,ReportMonth,Table1[[#This Row],[Site ID (from DATIM)]],"[Measures].[MMS_180+_M_P]")</f>
        <v/>
      </c>
      <c r="CE407" s="68" t="str" vm="14978">
        <f>CUBEVALUE(ConnectionString,ReportMonth,Table1[[#This Row],[Site ID (from DATIM)]],"[Measures].[MMS_180+_F_A]")</f>
        <v/>
      </c>
      <c r="CF407" s="68" t="str" vm="8">
        <f>CUBEVALUE(ConnectionString,ReportMonth,Table1[[#This Row],[Site ID (from DATIM)]],"[Measures].[MMS_180+_M_A]")</f>
        <v/>
      </c>
      <c r="CG407" s="68" t="str" vm="5445">
        <f>CUBEVALUE(ConnectionString,ReportMonth,Table1[[#This Row],[Site ID (from DATIM)]],"[Measures].[MISSEDAPP]")</f>
        <v/>
      </c>
      <c r="CH407" s="68" t="str" vm="14065">
        <f>CUBEVALUE(ConnectionString,ReportMonth,Table1[[#This Row],[Site ID (from DATIM)]],"[Measures].[MMS_180+_P]")</f>
        <v/>
      </c>
      <c r="CI407" s="68" t="str" vm="12037">
        <f>CUBEVALUE(ConnectionString,ReportMonth,Table1[[#This Row],[Site ID (from DATIM)]],"[Measures].[MMS_180+_A]")</f>
        <v/>
      </c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  <c r="CW407" s="68"/>
      <c r="CX407" s="68"/>
      <c r="CY407" s="68"/>
      <c r="CZ407" s="68"/>
      <c r="DA407" s="68"/>
      <c r="DB407" s="68"/>
      <c r="DC407" s="68"/>
    </row>
    <row r="408" spans="1:107" x14ac:dyDescent="0.25">
      <c r="A408" s="66">
        <v>3</v>
      </c>
      <c r="B408" s="67" t="str" vm="4">
        <f t="shared" si="7"/>
        <v>Mar-2021</v>
      </c>
      <c r="C408" s="67"/>
      <c r="D408" s="67" t="s">
        <v>232</v>
      </c>
      <c r="E408" s="67" t="s">
        <v>233</v>
      </c>
      <c r="F408" s="67" t="s">
        <v>234</v>
      </c>
      <c r="G408" s="67"/>
      <c r="H408" s="67" t="s">
        <v>305</v>
      </c>
      <c r="I408" s="67" t="s">
        <v>414</v>
      </c>
      <c r="J408" s="67" t="s">
        <v>415</v>
      </c>
      <c r="K408" s="67" t="s">
        <v>416</v>
      </c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 t="str" vm="978">
        <f>CUBEVALUE(ConnectionString,ReportMonth,Table1[[#This Row],[Site ID (from DATIM)]],"TX_NEW_2VIS")</f>
        <v/>
      </c>
      <c r="AE408" s="67" t="str" vm="4429">
        <f>CUBEVALUE(ConnectionString,ReportMonth,Table1[[#This Row],[Site ID (from DATIM)]],INDEX(SDI_Measures,1))</f>
        <v/>
      </c>
      <c r="AF408" s="67" t="str" vm="6285">
        <f>CUBEVALUE(ConnectionString,ReportMonth,Table1[[#This Row],[Site ID (from DATIM)]],INDEX(SDI_Measures,2))</f>
        <v/>
      </c>
      <c r="AG408" s="67" t="str" vm="3376">
        <f>CUBEVALUE(ConnectionString,ReportMonth,Table1[[#This Row],[Site ID (from DATIM)]],INDEX(SDI_Measures,3))</f>
        <v/>
      </c>
      <c r="AH408" s="67" vm="1373">
        <f>CUBEVALUE(ConnectionString,ReportMonth,Table1[[#This Row],[Site ID (from DATIM)]],"TX_CURR_PRIOR_MONTH")</f>
        <v>33</v>
      </c>
      <c r="AI408" s="67" vm="3631">
        <f>CUBEVALUE(ConnectionString,ReportMonth,Table1[[#This Row],[Site ID (from DATIM)]],"TX_CURR")</f>
        <v>33</v>
      </c>
      <c r="AJ408" s="67" t="str" vm="4019">
        <f>CUBEVALUE(ConnectionString,ReportMonth,Table1[[#This Row],[Site ID (from DATIM)]],"[Measures].[TI]")</f>
        <v/>
      </c>
      <c r="AK408" s="67" t="str" vm="3217">
        <f>CUBEVALUE(ConnectionString,ReportMonth,Table1[[#This Row],[Site ID (from DATIM)]],"[Measures].[TO]")</f>
        <v/>
      </c>
      <c r="AL408" s="67" t="str" vm="2685">
        <f>CUBEVALUE(ConnectionString,ReportMonth,Table1[[#This Row],[Site ID (from DATIM)]],"[Measures].[DIED]")</f>
        <v/>
      </c>
      <c r="AM408" s="67" vm="3531">
        <f>CUBEVALUE(ConnectionString,ReportMonth,Table1[[#This Row],[Site ID (from DATIM)]],"[Measures].[MMS_01_31]")</f>
        <v>7</v>
      </c>
      <c r="AN408" s="67" t="str" vm="5976">
        <f>CUBEVALUE(ConnectionString,ReportMonth,Table1[[#This Row],[Site ID (from DATIM)]],"[Measures].[MMS_32_62]")</f>
        <v/>
      </c>
      <c r="AO408" s="67" vm="9931">
        <f>CUBEVALUE(ConnectionString,ReportMonth,Table1[[#This Row],[Site ID (from DATIM)]],"[Measures].[MMS_63+]")</f>
        <v>26</v>
      </c>
      <c r="AP408" s="67" t="str" vm="5462">
        <f>CUBEVALUE(ConnectionString,ReportMonth,Table1[[#This Row],[Site ID (from DATIM)]],"[Measures].[TBPREV_D]")</f>
        <v/>
      </c>
      <c r="AQ408" s="67" t="str" vm="6532">
        <f>CUBEVALUE(ConnectionString,ReportMonth,Table1[[#This Row],[Site ID (from DATIM)]],"[Measures].[TBPREV_N]")</f>
        <v/>
      </c>
      <c r="AR408" s="67" t="str" vm="4689">
        <f>CUBEVALUE(ConnectionString,ReportMonth,Table1[[#This Row],[Site ID (from DATIM)]],"[Measures].[TBPREV_NEW]")</f>
        <v/>
      </c>
      <c r="AS408" s="67" vm="9482">
        <f>CUBEVALUE(ConnectionString,ReportMonth,Table1[[#This Row],[Site ID (from DATIM)]],"[Measures].[HVL_ELIG_P]")</f>
        <v>3</v>
      </c>
      <c r="AT408" s="67" vm="11826">
        <f>CUBEVALUE(ConnectionString,ReportMonth,Table1[[#This Row],[Site ID (from DATIM)]],"[Measures].[HVL_D_P]")</f>
        <v>3</v>
      </c>
      <c r="AU408" s="67" vm="13210">
        <f>CUBEVALUE(ConnectionString,ReportMonth,Table1[[#This Row],[Site ID (from DATIM)]],"[Measures].[HVL_N_P]")</f>
        <v>1</v>
      </c>
      <c r="AV408" s="68" vm="11371">
        <f>CUBEVALUE(ConnectionString,ReportMonth,Table1[[#This Row],[Site ID (from DATIM)]],"[Measures].[HVL_ELIG_A]")</f>
        <v>25</v>
      </c>
      <c r="AW408" s="68" vm="10213">
        <f>CUBEVALUE(ConnectionString,ReportMonth,Table1[[#This Row],[Site ID (from DATIM)]],"[Measures].[HVL_D_A]")</f>
        <v>9</v>
      </c>
      <c r="AX408" s="68" vm="11198">
        <f>CUBEVALUE(ConnectionString,ReportMonth,Table1[[#This Row],[Site ID (from DATIM)]],"[Measures].[HVL_N_A]")</f>
        <v>8</v>
      </c>
      <c r="AY408" s="67"/>
      <c r="AZ408" s="67"/>
      <c r="BA408" s="67"/>
      <c r="BB408" s="67"/>
      <c r="BC408" s="67"/>
      <c r="BD408" s="67"/>
      <c r="BE408" s="67"/>
      <c r="BF408" s="67"/>
      <c r="BG408" s="67" t="str" vm="11720">
        <f>CUBEVALUE(ConnectionString,ReportMonth,Table1[[#This Row],[Site ID (from DATIM)]],"[Measures].[TX_NEW_F_A]")</f>
        <v/>
      </c>
      <c r="BH408" s="67" t="str" vm="12398">
        <f>CUBEVALUE(ConnectionString,ReportMonth,Table1[[#This Row],[Site ID (from DATIM)]],"[Measures].[TX_NEW_M_A]")</f>
        <v/>
      </c>
      <c r="BI408" s="67" t="str" vm="14414">
        <f>CUBEVALUE(ConnectionString,ReportMonth,Table1[[#This Row],[Site ID (from DATIM)]],"[Measures].[TX_NEW_F_P]")</f>
        <v/>
      </c>
      <c r="BJ408" s="68" t="str" vm="12292">
        <f>CUBEVALUE(ConnectionString,ReportMonth,Table1[[#This Row],[Site ID (from DATIM)]],"[Measures].[TX_NEW_M_P]")</f>
        <v/>
      </c>
      <c r="BK408" s="68"/>
      <c r="BL408" s="68"/>
      <c r="BM408" s="68"/>
      <c r="BN408" s="68"/>
      <c r="BO408" s="68"/>
      <c r="BP408" s="68"/>
      <c r="BQ408" s="68" vm="9372">
        <f>CUBEVALUE(ConnectionString,ReportMonth,Table1[[#This Row],[Site ID (from DATIM)]],"[Measures].[TX_CURR_F_P]")</f>
        <v>1</v>
      </c>
      <c r="BR408" s="68" vm="10484">
        <f>CUBEVALUE(ConnectionString,ReportMonth,Table1[[#This Row],[Site ID (from DATIM)]],"[Measures].[TX_CURR_M_P]")</f>
        <v>2</v>
      </c>
      <c r="BS408" s="68" vm="13319">
        <f>CUBEVALUE(ConnectionString,ReportMonth,Table1[[#This Row],[Site ID (from DATIM)]],"[Measures].[TX_CURR_F_A]")</f>
        <v>24</v>
      </c>
      <c r="BT408" s="68" vm="12197">
        <f>CUBEVALUE(ConnectionString,ReportMonth,Table1[[#This Row],[Site ID (from DATIM)]],"[Measures].[TX_CURR_M_A]")</f>
        <v>6</v>
      </c>
      <c r="BU408" s="68" vm="18761">
        <f>CUBEVALUE(ConnectionString,ReportMonth,Table1[[#This Row],[Site ID (from DATIM)]],"[Measures].[MMS_01_89_F_P]")</f>
        <v>1</v>
      </c>
      <c r="BV408" s="68" vm="19244">
        <f>CUBEVALUE(ConnectionString,ReportMonth,Table1[[#This Row],[Site ID (from DATIM)]],"[Measures].[MMS_01_89_M_P]")</f>
        <v>2</v>
      </c>
      <c r="BW408" s="68" vm="19241">
        <f>CUBEVALUE(ConnectionString,ReportMonth,Table1[[#This Row],[Site ID (from DATIM)]],"[Measures].[MMS_01_89_F_A]")</f>
        <v>3</v>
      </c>
      <c r="BX408" s="68" vm="19937">
        <f>CUBEVALUE(ConnectionString,ReportMonth,Table1[[#This Row],[Site ID (from DATIM)]],"[Measures].[MMS_01_89_M_A]")</f>
        <v>1</v>
      </c>
      <c r="BY408" s="68" t="str" vm="17993">
        <f>CUBEVALUE(ConnectionString,ReportMonth,Table1[[#This Row],[Site ID (from DATIM)]],"[Measures].[MMS_90_179_F_P]")</f>
        <v/>
      </c>
      <c r="BZ408" s="68" t="str" vm="14770">
        <f>CUBEVALUE(ConnectionString,ReportMonth,Table1[[#This Row],[Site ID (from DATIM)]],"[Measures].[MMS_90_179_M_P]")</f>
        <v/>
      </c>
      <c r="CA408" s="68" vm="15592">
        <f>CUBEVALUE(ConnectionString,ReportMonth,Table1[[#This Row],[Site ID (from DATIM)]],"[Measures].[MMS_90_179_F_A]")</f>
        <v>21</v>
      </c>
      <c r="CB408" s="68" vm="15056">
        <f>CUBEVALUE(ConnectionString,ReportMonth,Table1[[#This Row],[Site ID (from DATIM)]],"[Measures].[MMS_90_179_M_A]")</f>
        <v>5</v>
      </c>
      <c r="CC408" s="68" t="str" vm="17173">
        <f>CUBEVALUE(ConnectionString,ReportMonth,Table1[[#This Row],[Site ID (from DATIM)]],"[Measures].[MMS_180+_F_P]")</f>
        <v/>
      </c>
      <c r="CD408" s="68" t="str" vm="16786">
        <f>CUBEVALUE(ConnectionString,ReportMonth,Table1[[#This Row],[Site ID (from DATIM)]],"[Measures].[MMS_180+_M_P]")</f>
        <v/>
      </c>
      <c r="CE408" s="68" t="str" vm="14883">
        <f>CUBEVALUE(ConnectionString,ReportMonth,Table1[[#This Row],[Site ID (from DATIM)]],"[Measures].[MMS_180+_F_A]")</f>
        <v/>
      </c>
      <c r="CF408" s="68" t="str" vm="20165">
        <f>CUBEVALUE(ConnectionString,ReportMonth,Table1[[#This Row],[Site ID (from DATIM)]],"[Measures].[MMS_180+_M_A]")</f>
        <v/>
      </c>
      <c r="CG408" s="68" vm="7620">
        <f>CUBEVALUE(ConnectionString,ReportMonth,Table1[[#This Row],[Site ID (from DATIM)]],"[Measures].[MISSEDAPP]")</f>
        <v>11</v>
      </c>
      <c r="CH408" s="68" t="str" vm="10908">
        <f>CUBEVALUE(ConnectionString,ReportMonth,Table1[[#This Row],[Site ID (from DATIM)]],"[Measures].[MMS_180+_P]")</f>
        <v/>
      </c>
      <c r="CI408" s="68" t="str" vm="13448">
        <f>CUBEVALUE(ConnectionString,ReportMonth,Table1[[#This Row],[Site ID (from DATIM)]],"[Measures].[MMS_180+_A]")</f>
        <v/>
      </c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  <c r="CW408" s="68"/>
      <c r="CX408" s="68"/>
      <c r="CY408" s="68"/>
      <c r="CZ408" s="68"/>
      <c r="DA408" s="68"/>
      <c r="DB408" s="68"/>
      <c r="DC408" s="68"/>
    </row>
    <row r="409" spans="1:107" x14ac:dyDescent="0.25">
      <c r="A409" s="66">
        <v>2</v>
      </c>
      <c r="B409" s="67" t="str" vm="4">
        <f t="shared" si="7"/>
        <v>Mar-2021</v>
      </c>
      <c r="C409" s="67"/>
      <c r="D409" s="67" t="s">
        <v>232</v>
      </c>
      <c r="E409" s="67" t="s">
        <v>233</v>
      </c>
      <c r="F409" s="67" t="s">
        <v>234</v>
      </c>
      <c r="G409" s="67"/>
      <c r="H409" s="67" t="s">
        <v>270</v>
      </c>
      <c r="I409" s="67" t="s">
        <v>323</v>
      </c>
      <c r="J409" s="67" t="s">
        <v>417</v>
      </c>
      <c r="K409" s="67" t="s">
        <v>418</v>
      </c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 vm="2817">
        <f>CUBEVALUE(ConnectionString,ReportMonth,Table1[[#This Row],[Site ID (from DATIM)]],"TX_NEW_2VIS")</f>
        <v>3</v>
      </c>
      <c r="AE409" s="67" vm="2485">
        <f>CUBEVALUE(ConnectionString,ReportMonth,Table1[[#This Row],[Site ID (from DATIM)]],INDEX(SDI_Measures,1))</f>
        <v>1</v>
      </c>
      <c r="AF409" s="67" t="str" vm="738">
        <f>CUBEVALUE(ConnectionString,ReportMonth,Table1[[#This Row],[Site ID (from DATIM)]],INDEX(SDI_Measures,2))</f>
        <v/>
      </c>
      <c r="AG409" s="67" t="str" vm="1851">
        <f>CUBEVALUE(ConnectionString,ReportMonth,Table1[[#This Row],[Site ID (from DATIM)]],INDEX(SDI_Measures,3))</f>
        <v/>
      </c>
      <c r="AH409" s="67" vm="4104">
        <f>CUBEVALUE(ConnectionString,ReportMonth,Table1[[#This Row],[Site ID (from DATIM)]],"TX_CURR_PRIOR_MONTH")</f>
        <v>943</v>
      </c>
      <c r="AI409" s="67" vm="2132">
        <f>CUBEVALUE(ConnectionString,ReportMonth,Table1[[#This Row],[Site ID (from DATIM)]],"TX_CURR")</f>
        <v>928</v>
      </c>
      <c r="AJ409" s="67" t="str" vm="2086">
        <f>CUBEVALUE(ConnectionString,ReportMonth,Table1[[#This Row],[Site ID (from DATIM)]],"[Measures].[TI]")</f>
        <v/>
      </c>
      <c r="AK409" s="67" vm="3937">
        <f>CUBEVALUE(ConnectionString,ReportMonth,Table1[[#This Row],[Site ID (from DATIM)]],"[Measures].[TO]")</f>
        <v>17</v>
      </c>
      <c r="AL409" s="67" t="str" vm="3063">
        <f>CUBEVALUE(ConnectionString,ReportMonth,Table1[[#This Row],[Site ID (from DATIM)]],"[Measures].[DIED]")</f>
        <v/>
      </c>
      <c r="AM409" s="67" vm="5637">
        <f>CUBEVALUE(ConnectionString,ReportMonth,Table1[[#This Row],[Site ID (from DATIM)]],"[Measures].[MMS_01_31]")</f>
        <v>132</v>
      </c>
      <c r="AN409" s="67" vm="6484">
        <f>CUBEVALUE(ConnectionString,ReportMonth,Table1[[#This Row],[Site ID (from DATIM)]],"[Measures].[MMS_32_62]")</f>
        <v>120</v>
      </c>
      <c r="AO409" s="67" vm="5494">
        <f>CUBEVALUE(ConnectionString,ReportMonth,Table1[[#This Row],[Site ID (from DATIM)]],"[Measures].[MMS_63+]")</f>
        <v>676</v>
      </c>
      <c r="AP409" s="67" vm="6186">
        <f>CUBEVALUE(ConnectionString,ReportMonth,Table1[[#This Row],[Site ID (from DATIM)]],"[Measures].[TBPREV_D]")</f>
        <v>20</v>
      </c>
      <c r="AQ409" s="67" vm="4705">
        <f>CUBEVALUE(ConnectionString,ReportMonth,Table1[[#This Row],[Site ID (from DATIM)]],"[Measures].[TBPREV_N]")</f>
        <v>7</v>
      </c>
      <c r="AR409" s="67" vm="10267">
        <f>CUBEVALUE(ConnectionString,ReportMonth,Table1[[#This Row],[Site ID (from DATIM)]],"[Measures].[TBPREV_NEW]")</f>
        <v>5</v>
      </c>
      <c r="AS409" s="67" vm="7255">
        <f>CUBEVALUE(ConnectionString,ReportMonth,Table1[[#This Row],[Site ID (from DATIM)]],"[Measures].[HVL_ELIG_P]")</f>
        <v>62</v>
      </c>
      <c r="AT409" s="67" vm="5443">
        <f>CUBEVALUE(ConnectionString,ReportMonth,Table1[[#This Row],[Site ID (from DATIM)]],"[Measures].[HVL_D_P]")</f>
        <v>27</v>
      </c>
      <c r="AU409" s="67" vm="8677">
        <f>CUBEVALUE(ConnectionString,ReportMonth,Table1[[#This Row],[Site ID (from DATIM)]],"[Measures].[HVL_N_P]")</f>
        <v>20</v>
      </c>
      <c r="AV409" s="68" vm="11841">
        <f>CUBEVALUE(ConnectionString,ReportMonth,Table1[[#This Row],[Site ID (from DATIM)]],"[Measures].[HVL_ELIG_A]")</f>
        <v>830</v>
      </c>
      <c r="AW409" s="68" vm="9736">
        <f>CUBEVALUE(ConnectionString,ReportMonth,Table1[[#This Row],[Site ID (from DATIM)]],"[Measures].[HVL_D_A]")</f>
        <v>406</v>
      </c>
      <c r="AX409" s="68" vm="12964">
        <f>CUBEVALUE(ConnectionString,ReportMonth,Table1[[#This Row],[Site ID (from DATIM)]],"[Measures].[HVL_N_A]")</f>
        <v>376</v>
      </c>
      <c r="AY409" s="67"/>
      <c r="AZ409" s="67"/>
      <c r="BA409" s="67"/>
      <c r="BB409" s="67"/>
      <c r="BC409" s="67"/>
      <c r="BD409" s="67"/>
      <c r="BE409" s="67"/>
      <c r="BF409" s="67"/>
      <c r="BG409" s="67" vm="13296">
        <f>CUBEVALUE(ConnectionString,ReportMonth,Table1[[#This Row],[Site ID (from DATIM)]],"[Measures].[TX_NEW_F_A]")</f>
        <v>1</v>
      </c>
      <c r="BH409" s="67" t="str" vm="10630">
        <f>CUBEVALUE(ConnectionString,ReportMonth,Table1[[#This Row],[Site ID (from DATIM)]],"[Measures].[TX_NEW_M_A]")</f>
        <v/>
      </c>
      <c r="BI409" s="67" t="str" vm="15326">
        <f>CUBEVALUE(ConnectionString,ReportMonth,Table1[[#This Row],[Site ID (from DATIM)]],"[Measures].[TX_NEW_F_P]")</f>
        <v/>
      </c>
      <c r="BJ409" s="68" t="str" vm="16618">
        <f>CUBEVALUE(ConnectionString,ReportMonth,Table1[[#This Row],[Site ID (from DATIM)]],"[Measures].[TX_NEW_M_P]")</f>
        <v/>
      </c>
      <c r="BK409" s="68"/>
      <c r="BL409" s="68"/>
      <c r="BM409" s="68"/>
      <c r="BN409" s="68"/>
      <c r="BO409" s="68"/>
      <c r="BP409" s="68"/>
      <c r="BQ409" s="68" vm="9738">
        <f>CUBEVALUE(ConnectionString,ReportMonth,Table1[[#This Row],[Site ID (from DATIM)]],"[Measures].[TX_CURR_F_P]")</f>
        <v>37</v>
      </c>
      <c r="BR409" s="68" vm="8218">
        <f>CUBEVALUE(ConnectionString,ReportMonth,Table1[[#This Row],[Site ID (from DATIM)]],"[Measures].[TX_CURR_M_P]")</f>
        <v>29</v>
      </c>
      <c r="BS409" s="68" vm="10052">
        <f>CUBEVALUE(ConnectionString,ReportMonth,Table1[[#This Row],[Site ID (from DATIM)]],"[Measures].[TX_CURR_F_A]")</f>
        <v>617</v>
      </c>
      <c r="BT409" s="68" vm="11950">
        <f>CUBEVALUE(ConnectionString,ReportMonth,Table1[[#This Row],[Site ID (from DATIM)]],"[Measures].[TX_CURR_M_A]")</f>
        <v>249</v>
      </c>
      <c r="BU409" s="68" vm="18116">
        <f>CUBEVALUE(ConnectionString,ReportMonth,Table1[[#This Row],[Site ID (from DATIM)]],"[Measures].[MMS_01_89_F_P]")</f>
        <v>15</v>
      </c>
      <c r="BV409" s="68" vm="18296">
        <f>CUBEVALUE(ConnectionString,ReportMonth,Table1[[#This Row],[Site ID (from DATIM)]],"[Measures].[MMS_01_89_M_P]")</f>
        <v>8</v>
      </c>
      <c r="BW409" s="68" vm="18642">
        <f>CUBEVALUE(ConnectionString,ReportMonth,Table1[[#This Row],[Site ID (from DATIM)]],"[Measures].[MMS_01_89_F_A]")</f>
        <v>168</v>
      </c>
      <c r="BX409" s="68" vm="18806">
        <f>CUBEVALUE(ConnectionString,ReportMonth,Table1[[#This Row],[Site ID (from DATIM)]],"[Measures].[MMS_01_89_M_A]")</f>
        <v>67</v>
      </c>
      <c r="BY409" s="68" vm="19948">
        <f>CUBEVALUE(ConnectionString,ReportMonth,Table1[[#This Row],[Site ID (from DATIM)]],"[Measures].[MMS_90_179_F_P]")</f>
        <v>22</v>
      </c>
      <c r="BZ409" s="68" vm="19581">
        <f>CUBEVALUE(ConnectionString,ReportMonth,Table1[[#This Row],[Site ID (from DATIM)]],"[Measures].[MMS_90_179_M_P]")</f>
        <v>21</v>
      </c>
      <c r="CA409" s="68" vm="14645">
        <f>CUBEVALUE(ConnectionString,ReportMonth,Table1[[#This Row],[Site ID (from DATIM)]],"[Measures].[MMS_90_179_F_A]")</f>
        <v>447</v>
      </c>
      <c r="CB409" s="68" vm="16417">
        <f>CUBEVALUE(ConnectionString,ReportMonth,Table1[[#This Row],[Site ID (from DATIM)]],"[Measures].[MMS_90_179_M_A]")</f>
        <v>181</v>
      </c>
      <c r="CC409" s="68" t="str" vm="17218">
        <f>CUBEVALUE(ConnectionString,ReportMonth,Table1[[#This Row],[Site ID (from DATIM)]],"[Measures].[MMS_180+_F_P]")</f>
        <v/>
      </c>
      <c r="CD409" s="68" t="str" vm="17543">
        <f>CUBEVALUE(ConnectionString,ReportMonth,Table1[[#This Row],[Site ID (from DATIM)]],"[Measures].[MMS_180+_M_P]")</f>
        <v/>
      </c>
      <c r="CE409" s="68" vm="17165">
        <f>CUBEVALUE(ConnectionString,ReportMonth,Table1[[#This Row],[Site ID (from DATIM)]],"[Measures].[MMS_180+_F_A]")</f>
        <v>2</v>
      </c>
      <c r="CF409" s="68" vm="472">
        <f>CUBEVALUE(ConnectionString,ReportMonth,Table1[[#This Row],[Site ID (from DATIM)]],"[Measures].[MMS_180+_M_A]")</f>
        <v>1</v>
      </c>
      <c r="CG409" s="68" vm="6147">
        <f>CUBEVALUE(ConnectionString,ReportMonth,Table1[[#This Row],[Site ID (from DATIM)]],"[Measures].[MISSEDAPP]")</f>
        <v>350</v>
      </c>
      <c r="CH409" s="68" t="str" vm="13034">
        <f>CUBEVALUE(ConnectionString,ReportMonth,Table1[[#This Row],[Site ID (from DATIM)]],"[Measures].[MMS_180+_P]")</f>
        <v/>
      </c>
      <c r="CI409" s="68" vm="10208">
        <f>CUBEVALUE(ConnectionString,ReportMonth,Table1[[#This Row],[Site ID (from DATIM)]],"[Measures].[MMS_180+_A]")</f>
        <v>3</v>
      </c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</row>
    <row r="410" spans="1:107" x14ac:dyDescent="0.25">
      <c r="A410" s="66">
        <v>3</v>
      </c>
      <c r="B410" s="67" t="str" vm="4">
        <f t="shared" si="7"/>
        <v>Mar-2021</v>
      </c>
      <c r="C410" s="67"/>
      <c r="D410" s="67" t="s">
        <v>232</v>
      </c>
      <c r="E410" s="67" t="s">
        <v>233</v>
      </c>
      <c r="F410" s="67" t="s">
        <v>1286</v>
      </c>
      <c r="G410" s="67"/>
      <c r="H410" s="67" t="s">
        <v>1323</v>
      </c>
      <c r="I410" s="67" t="s">
        <v>1518</v>
      </c>
      <c r="J410" s="67" t="s">
        <v>1519</v>
      </c>
      <c r="K410" s="67" t="s">
        <v>1520</v>
      </c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 t="str" vm="1303">
        <f>CUBEVALUE(ConnectionString,ReportMonth,Table1[[#This Row],[Site ID (from DATIM)]],"TX_NEW_2VIS")</f>
        <v/>
      </c>
      <c r="AE410" s="67" t="str" vm="811">
        <f>CUBEVALUE(ConnectionString,ReportMonth,Table1[[#This Row],[Site ID (from DATIM)]],INDEX(SDI_Measures,1))</f>
        <v/>
      </c>
      <c r="AF410" s="67" t="str" vm="898">
        <f>CUBEVALUE(ConnectionString,ReportMonth,Table1[[#This Row],[Site ID (from DATIM)]],INDEX(SDI_Measures,2))</f>
        <v/>
      </c>
      <c r="AG410" s="67" t="str" vm="4029">
        <f>CUBEVALUE(ConnectionString,ReportMonth,Table1[[#This Row],[Site ID (from DATIM)]],INDEX(SDI_Measures,3))</f>
        <v/>
      </c>
      <c r="AH410" s="67" t="str" vm="1040">
        <f>CUBEVALUE(ConnectionString,ReportMonth,Table1[[#This Row],[Site ID (from DATIM)]],"TX_CURR_PRIOR_MONTH")</f>
        <v/>
      </c>
      <c r="AI410" s="67" t="str" vm="1764">
        <f>CUBEVALUE(ConnectionString,ReportMonth,Table1[[#This Row],[Site ID (from DATIM)]],"TX_CURR")</f>
        <v/>
      </c>
      <c r="AJ410" s="67" t="str" vm="2571">
        <f>CUBEVALUE(ConnectionString,ReportMonth,Table1[[#This Row],[Site ID (from DATIM)]],"[Measures].[TI]")</f>
        <v/>
      </c>
      <c r="AK410" s="67" t="str" vm="3221">
        <f>CUBEVALUE(ConnectionString,ReportMonth,Table1[[#This Row],[Site ID (from DATIM)]],"[Measures].[TO]")</f>
        <v/>
      </c>
      <c r="AL410" s="67" t="str" vm="2228">
        <f>CUBEVALUE(ConnectionString,ReportMonth,Table1[[#This Row],[Site ID (from DATIM)]],"[Measures].[DIED]")</f>
        <v/>
      </c>
      <c r="AM410" s="67" t="str" vm="5833">
        <f>CUBEVALUE(ConnectionString,ReportMonth,Table1[[#This Row],[Site ID (from DATIM)]],"[Measures].[MMS_01_31]")</f>
        <v/>
      </c>
      <c r="AN410" s="67" t="str" vm="4563">
        <f>CUBEVALUE(ConnectionString,ReportMonth,Table1[[#This Row],[Site ID (from DATIM)]],"[Measures].[MMS_32_62]")</f>
        <v/>
      </c>
      <c r="AO410" s="67" t="str" vm="5258">
        <f>CUBEVALUE(ConnectionString,ReportMonth,Table1[[#This Row],[Site ID (from DATIM)]],"[Measures].[MMS_63+]")</f>
        <v/>
      </c>
      <c r="AP410" s="67" t="str" vm="6239">
        <f>CUBEVALUE(ConnectionString,ReportMonth,Table1[[#This Row],[Site ID (from DATIM)]],"[Measures].[TBPREV_D]")</f>
        <v/>
      </c>
      <c r="AQ410" s="67" t="str" vm="7324">
        <f>CUBEVALUE(ConnectionString,ReportMonth,Table1[[#This Row],[Site ID (from DATIM)]],"[Measures].[TBPREV_N]")</f>
        <v/>
      </c>
      <c r="AR410" s="67" t="str" vm="8175">
        <f>CUBEVALUE(ConnectionString,ReportMonth,Table1[[#This Row],[Site ID (from DATIM)]],"[Measures].[TBPREV_NEW]")</f>
        <v/>
      </c>
      <c r="AS410" s="67" t="str" vm="7451">
        <f>CUBEVALUE(ConnectionString,ReportMonth,Table1[[#This Row],[Site ID (from DATIM)]],"[Measures].[HVL_ELIG_P]")</f>
        <v/>
      </c>
      <c r="AT410" s="67" t="str" vm="8880">
        <f>CUBEVALUE(ConnectionString,ReportMonth,Table1[[#This Row],[Site ID (from DATIM)]],"[Measures].[HVL_D_P]")</f>
        <v/>
      </c>
      <c r="AU410" s="67" t="str" vm="11692">
        <f>CUBEVALUE(ConnectionString,ReportMonth,Table1[[#This Row],[Site ID (from DATIM)]],"[Measures].[HVL_N_P]")</f>
        <v/>
      </c>
      <c r="AV410" s="68" t="str" vm="8431">
        <f>CUBEVALUE(ConnectionString,ReportMonth,Table1[[#This Row],[Site ID (from DATIM)]],"[Measures].[HVL_ELIG_A]")</f>
        <v/>
      </c>
      <c r="AW410" s="68" t="str" vm="7483">
        <f>CUBEVALUE(ConnectionString,ReportMonth,Table1[[#This Row],[Site ID (from DATIM)]],"[Measures].[HVL_D_A]")</f>
        <v/>
      </c>
      <c r="AX410" s="68" t="str" vm="7992">
        <f>CUBEVALUE(ConnectionString,ReportMonth,Table1[[#This Row],[Site ID (from DATIM)]],"[Measures].[HVL_N_A]")</f>
        <v/>
      </c>
      <c r="AY410" s="67"/>
      <c r="AZ410" s="67"/>
      <c r="BA410" s="67"/>
      <c r="BB410" s="67"/>
      <c r="BC410" s="67"/>
      <c r="BD410" s="67"/>
      <c r="BE410" s="67"/>
      <c r="BF410" s="67"/>
      <c r="BG410" s="67" t="str" vm="13138">
        <f>CUBEVALUE(ConnectionString,ReportMonth,Table1[[#This Row],[Site ID (from DATIM)]],"[Measures].[TX_NEW_F_A]")</f>
        <v/>
      </c>
      <c r="BH410" s="67" t="str" vm="11725">
        <f>CUBEVALUE(ConnectionString,ReportMonth,Table1[[#This Row],[Site ID (from DATIM)]],"[Measures].[TX_NEW_M_A]")</f>
        <v/>
      </c>
      <c r="BI410" s="67" t="str" vm="16601">
        <f>CUBEVALUE(ConnectionString,ReportMonth,Table1[[#This Row],[Site ID (from DATIM)]],"[Measures].[TX_NEW_F_P]")</f>
        <v/>
      </c>
      <c r="BJ410" s="68" t="str" vm="15651">
        <f>CUBEVALUE(ConnectionString,ReportMonth,Table1[[#This Row],[Site ID (from DATIM)]],"[Measures].[TX_NEW_M_P]")</f>
        <v/>
      </c>
      <c r="BK410" s="68"/>
      <c r="BL410" s="68"/>
      <c r="BM410" s="68"/>
      <c r="BN410" s="68"/>
      <c r="BO410" s="68"/>
      <c r="BP410" s="68"/>
      <c r="BQ410" s="68" t="str" vm="8312">
        <f>CUBEVALUE(ConnectionString,ReportMonth,Table1[[#This Row],[Site ID (from DATIM)]],"[Measures].[TX_CURR_F_P]")</f>
        <v/>
      </c>
      <c r="BR410" s="68" t="str" vm="11584">
        <f>CUBEVALUE(ConnectionString,ReportMonth,Table1[[#This Row],[Site ID (from DATIM)]],"[Measures].[TX_CURR_M_P]")</f>
        <v/>
      </c>
      <c r="BS410" s="68" t="str" vm="11296">
        <f>CUBEVALUE(ConnectionString,ReportMonth,Table1[[#This Row],[Site ID (from DATIM)]],"[Measures].[TX_CURR_F_A]")</f>
        <v/>
      </c>
      <c r="BT410" s="68" t="str" vm="13314">
        <f>CUBEVALUE(ConnectionString,ReportMonth,Table1[[#This Row],[Site ID (from DATIM)]],"[Measures].[TX_CURR_M_A]")</f>
        <v/>
      </c>
      <c r="BU410" s="68" t="str" vm="18656">
        <f>CUBEVALUE(ConnectionString,ReportMonth,Table1[[#This Row],[Site ID (from DATIM)]],"[Measures].[MMS_01_89_F_P]")</f>
        <v/>
      </c>
      <c r="BV410" s="68" t="str" vm="19033">
        <f>CUBEVALUE(ConnectionString,ReportMonth,Table1[[#This Row],[Site ID (from DATIM)]],"[Measures].[MMS_01_89_M_P]")</f>
        <v/>
      </c>
      <c r="BW410" s="68" t="str" vm="18280">
        <f>CUBEVALUE(ConnectionString,ReportMonth,Table1[[#This Row],[Site ID (from DATIM)]],"[Measures].[MMS_01_89_F_A]")</f>
        <v/>
      </c>
      <c r="BX410" s="68" t="str" vm="19376">
        <f>CUBEVALUE(ConnectionString,ReportMonth,Table1[[#This Row],[Site ID (from DATIM)]],"[Measures].[MMS_01_89_M_A]")</f>
        <v/>
      </c>
      <c r="BY410" s="68" t="str" vm="19348">
        <f>CUBEVALUE(ConnectionString,ReportMonth,Table1[[#This Row],[Site ID (from DATIM)]],"[Measures].[MMS_90_179_F_P]")</f>
        <v/>
      </c>
      <c r="BZ410" s="68" t="str" vm="19309">
        <f>CUBEVALUE(ConnectionString,ReportMonth,Table1[[#This Row],[Site ID (from DATIM)]],"[Measures].[MMS_90_179_M_P]")</f>
        <v/>
      </c>
      <c r="CA410" s="68" t="str" vm="16444">
        <f>CUBEVALUE(ConnectionString,ReportMonth,Table1[[#This Row],[Site ID (from DATIM)]],"[Measures].[MMS_90_179_F_A]")</f>
        <v/>
      </c>
      <c r="CB410" s="68" t="str" vm="15013">
        <f>CUBEVALUE(ConnectionString,ReportMonth,Table1[[#This Row],[Site ID (from DATIM)]],"[Measures].[MMS_90_179_M_A]")</f>
        <v/>
      </c>
      <c r="CC410" s="68" t="str" vm="16372">
        <f>CUBEVALUE(ConnectionString,ReportMonth,Table1[[#This Row],[Site ID (from DATIM)]],"[Measures].[MMS_180+_F_P]")</f>
        <v/>
      </c>
      <c r="CD410" s="68" t="str" vm="16366">
        <f>CUBEVALUE(ConnectionString,ReportMonth,Table1[[#This Row],[Site ID (from DATIM)]],"[Measures].[MMS_180+_M_P]")</f>
        <v/>
      </c>
      <c r="CE410" s="68" t="str" vm="17109">
        <f>CUBEVALUE(ConnectionString,ReportMonth,Table1[[#This Row],[Site ID (from DATIM)]],"[Measures].[MMS_180+_F_A]")</f>
        <v/>
      </c>
      <c r="CF410" s="68" t="str" vm="34">
        <f>CUBEVALUE(ConnectionString,ReportMonth,Table1[[#This Row],[Site ID (from DATIM)]],"[Measures].[MMS_180+_M_A]")</f>
        <v/>
      </c>
      <c r="CG410" s="68" t="str" vm="7458">
        <f>CUBEVALUE(ConnectionString,ReportMonth,Table1[[#This Row],[Site ID (from DATIM)]],"[Measures].[MISSEDAPP]")</f>
        <v/>
      </c>
      <c r="CH410" s="68" t="str" vm="12924">
        <f>CUBEVALUE(ConnectionString,ReportMonth,Table1[[#This Row],[Site ID (from DATIM)]],"[Measures].[MMS_180+_P]")</f>
        <v/>
      </c>
      <c r="CI410" s="68" t="str" vm="11941">
        <f>CUBEVALUE(ConnectionString,ReportMonth,Table1[[#This Row],[Site ID (from DATIM)]],"[Measures].[MMS_180+_A]")</f>
        <v/>
      </c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  <c r="CW410" s="68"/>
      <c r="CX410" s="68"/>
      <c r="CY410" s="68"/>
      <c r="CZ410" s="68"/>
      <c r="DA410" s="68"/>
      <c r="DB410" s="68"/>
      <c r="DC410" s="68"/>
    </row>
    <row r="411" spans="1:107" x14ac:dyDescent="0.25">
      <c r="A411" s="66">
        <v>3</v>
      </c>
      <c r="B411" s="67" t="str" vm="4">
        <f t="shared" si="7"/>
        <v>Mar-2021</v>
      </c>
      <c r="C411" s="67"/>
      <c r="D411" s="67" t="s">
        <v>232</v>
      </c>
      <c r="E411" s="67" t="s">
        <v>233</v>
      </c>
      <c r="F411" s="67" t="s">
        <v>1286</v>
      </c>
      <c r="G411" s="67"/>
      <c r="H411" s="67" t="s">
        <v>1287</v>
      </c>
      <c r="I411" s="67" t="s">
        <v>1360</v>
      </c>
      <c r="J411" s="67" t="s">
        <v>1521</v>
      </c>
      <c r="K411" s="67" t="s">
        <v>1522</v>
      </c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 t="str" vm="4096">
        <f>CUBEVALUE(ConnectionString,ReportMonth,Table1[[#This Row],[Site ID (from DATIM)]],"TX_NEW_2VIS")</f>
        <v/>
      </c>
      <c r="AE411" s="67" t="str" vm="1754">
        <f>CUBEVALUE(ConnectionString,ReportMonth,Table1[[#This Row],[Site ID (from DATIM)]],INDEX(SDI_Measures,1))</f>
        <v/>
      </c>
      <c r="AF411" s="67" t="str" vm="1981">
        <f>CUBEVALUE(ConnectionString,ReportMonth,Table1[[#This Row],[Site ID (from DATIM)]],INDEX(SDI_Measures,2))</f>
        <v/>
      </c>
      <c r="AG411" s="67" t="str" vm="2319">
        <f>CUBEVALUE(ConnectionString,ReportMonth,Table1[[#This Row],[Site ID (from DATIM)]],INDEX(SDI_Measures,3))</f>
        <v/>
      </c>
      <c r="AH411" s="67" t="str" vm="2742">
        <f>CUBEVALUE(ConnectionString,ReportMonth,Table1[[#This Row],[Site ID (from DATIM)]],"TX_CURR_PRIOR_MONTH")</f>
        <v/>
      </c>
      <c r="AI411" s="67" t="str" vm="2578">
        <f>CUBEVALUE(ConnectionString,ReportMonth,Table1[[#This Row],[Site ID (from DATIM)]],"TX_CURR")</f>
        <v/>
      </c>
      <c r="AJ411" s="67" t="str" vm="2212">
        <f>CUBEVALUE(ConnectionString,ReportMonth,Table1[[#This Row],[Site ID (from DATIM)]],"[Measures].[TI]")</f>
        <v/>
      </c>
      <c r="AK411" s="67" t="str" vm="2204">
        <f>CUBEVALUE(ConnectionString,ReportMonth,Table1[[#This Row],[Site ID (from DATIM)]],"[Measures].[TO]")</f>
        <v/>
      </c>
      <c r="AL411" s="67" t="str" vm="2607">
        <f>CUBEVALUE(ConnectionString,ReportMonth,Table1[[#This Row],[Site ID (from DATIM)]],"[Measures].[DIED]")</f>
        <v/>
      </c>
      <c r="AM411" s="67" t="str" vm="4425">
        <f>CUBEVALUE(ConnectionString,ReportMonth,Table1[[#This Row],[Site ID (from DATIM)]],"[Measures].[MMS_01_31]")</f>
        <v/>
      </c>
      <c r="AN411" s="67" t="str" vm="5584">
        <f>CUBEVALUE(ConnectionString,ReportMonth,Table1[[#This Row],[Site ID (from DATIM)]],"[Measures].[MMS_32_62]")</f>
        <v/>
      </c>
      <c r="AO411" s="67" t="str" vm="5485">
        <f>CUBEVALUE(ConnectionString,ReportMonth,Table1[[#This Row],[Site ID (from DATIM)]],"[Measures].[MMS_63+]")</f>
        <v/>
      </c>
      <c r="AP411" s="67" t="str" vm="6554">
        <f>CUBEVALUE(ConnectionString,ReportMonth,Table1[[#This Row],[Site ID (from DATIM)]],"[Measures].[TBPREV_D]")</f>
        <v/>
      </c>
      <c r="AQ411" s="67" t="str" vm="10027">
        <f>CUBEVALUE(ConnectionString,ReportMonth,Table1[[#This Row],[Site ID (from DATIM)]],"[Measures].[TBPREV_N]")</f>
        <v/>
      </c>
      <c r="AR411" s="67" t="str" vm="6247">
        <f>CUBEVALUE(ConnectionString,ReportMonth,Table1[[#This Row],[Site ID (from DATIM)]],"[Measures].[TBPREV_NEW]")</f>
        <v/>
      </c>
      <c r="AS411" s="67" t="str" vm="7880">
        <f>CUBEVALUE(ConnectionString,ReportMonth,Table1[[#This Row],[Site ID (from DATIM)]],"[Measures].[HVL_ELIG_P]")</f>
        <v/>
      </c>
      <c r="AT411" s="67" t="str" vm="9533">
        <f>CUBEVALUE(ConnectionString,ReportMonth,Table1[[#This Row],[Site ID (from DATIM)]],"[Measures].[HVL_D_P]")</f>
        <v/>
      </c>
      <c r="AU411" s="67" t="str" vm="6621">
        <f>CUBEVALUE(ConnectionString,ReportMonth,Table1[[#This Row],[Site ID (from DATIM)]],"[Measures].[HVL_N_P]")</f>
        <v/>
      </c>
      <c r="AV411" s="68" t="str" vm="9430">
        <f>CUBEVALUE(ConnectionString,ReportMonth,Table1[[#This Row],[Site ID (from DATIM)]],"[Measures].[HVL_ELIG_A]")</f>
        <v/>
      </c>
      <c r="AW411" s="68" t="str" vm="12485">
        <f>CUBEVALUE(ConnectionString,ReportMonth,Table1[[#This Row],[Site ID (from DATIM)]],"[Measures].[HVL_D_A]")</f>
        <v/>
      </c>
      <c r="AX411" s="68" t="str" vm="8789">
        <f>CUBEVALUE(ConnectionString,ReportMonth,Table1[[#This Row],[Site ID (from DATIM)]],"[Measures].[HVL_N_A]")</f>
        <v/>
      </c>
      <c r="AY411" s="67"/>
      <c r="AZ411" s="67"/>
      <c r="BA411" s="67"/>
      <c r="BB411" s="67"/>
      <c r="BC411" s="67"/>
      <c r="BD411" s="67"/>
      <c r="BE411" s="67"/>
      <c r="BF411" s="67"/>
      <c r="BG411" s="67" t="str" vm="13988">
        <f>CUBEVALUE(ConnectionString,ReportMonth,Table1[[#This Row],[Site ID (from DATIM)]],"[Measures].[TX_NEW_F_A]")</f>
        <v/>
      </c>
      <c r="BH411" s="67" t="str" vm="12655">
        <f>CUBEVALUE(ConnectionString,ReportMonth,Table1[[#This Row],[Site ID (from DATIM)]],"[Measures].[TX_NEW_M_A]")</f>
        <v/>
      </c>
      <c r="BI411" s="67" t="str" vm="15325">
        <f>CUBEVALUE(ConnectionString,ReportMonth,Table1[[#This Row],[Site ID (from DATIM)]],"[Measures].[TX_NEW_F_P]")</f>
        <v/>
      </c>
      <c r="BJ411" s="68" t="str" vm="17409">
        <f>CUBEVALUE(ConnectionString,ReportMonth,Table1[[#This Row],[Site ID (from DATIM)]],"[Measures].[TX_NEW_M_P]")</f>
        <v/>
      </c>
      <c r="BK411" s="68"/>
      <c r="BL411" s="68"/>
      <c r="BM411" s="68"/>
      <c r="BN411" s="68"/>
      <c r="BO411" s="68"/>
      <c r="BP411" s="68"/>
      <c r="BQ411" s="68" t="str" vm="9668">
        <f>CUBEVALUE(ConnectionString,ReportMonth,Table1[[#This Row],[Site ID (from DATIM)]],"[Measures].[TX_CURR_F_P]")</f>
        <v/>
      </c>
      <c r="BR411" s="68" t="str" vm="12845">
        <f>CUBEVALUE(ConnectionString,ReportMonth,Table1[[#This Row],[Site ID (from DATIM)]],"[Measures].[TX_CURR_M_P]")</f>
        <v/>
      </c>
      <c r="BS411" s="68" t="str" vm="11027">
        <f>CUBEVALUE(ConnectionString,ReportMonth,Table1[[#This Row],[Site ID (from DATIM)]],"[Measures].[TX_CURR_F_A]")</f>
        <v/>
      </c>
      <c r="BT411" s="68" t="str" vm="10743">
        <f>CUBEVALUE(ConnectionString,ReportMonth,Table1[[#This Row],[Site ID (from DATIM)]],"[Measures].[TX_CURR_M_A]")</f>
        <v/>
      </c>
      <c r="BU411" s="68" t="str" vm="18115">
        <f>CUBEVALUE(ConnectionString,ReportMonth,Table1[[#This Row],[Site ID (from DATIM)]],"[Measures].[MMS_01_89_F_P]")</f>
        <v/>
      </c>
      <c r="BV411" s="68" t="str" vm="17875">
        <f>CUBEVALUE(ConnectionString,ReportMonth,Table1[[#This Row],[Site ID (from DATIM)]],"[Measures].[MMS_01_89_M_P]")</f>
        <v/>
      </c>
      <c r="BW411" s="68" t="str" vm="17842">
        <f>CUBEVALUE(ConnectionString,ReportMonth,Table1[[#This Row],[Site ID (from DATIM)]],"[Measures].[MMS_01_89_F_A]")</f>
        <v/>
      </c>
      <c r="BX411" s="68" t="str" vm="17901">
        <f>CUBEVALUE(ConnectionString,ReportMonth,Table1[[#This Row],[Site ID (from DATIM)]],"[Measures].[MMS_01_89_M_A]")</f>
        <v/>
      </c>
      <c r="BY411" s="68" t="str" vm="15201">
        <f>CUBEVALUE(ConnectionString,ReportMonth,Table1[[#This Row],[Site ID (from DATIM)]],"[Measures].[MMS_90_179_F_P]")</f>
        <v/>
      </c>
      <c r="BZ411" s="68" t="str" vm="17888">
        <f>CUBEVALUE(ConnectionString,ReportMonth,Table1[[#This Row],[Site ID (from DATIM)]],"[Measures].[MMS_90_179_M_P]")</f>
        <v/>
      </c>
      <c r="CA411" s="68" t="str" vm="14729">
        <f>CUBEVALUE(ConnectionString,ReportMonth,Table1[[#This Row],[Site ID (from DATIM)]],"[Measures].[MMS_90_179_F_A]")</f>
        <v/>
      </c>
      <c r="CB411" s="68" t="str" vm="14656">
        <f>CUBEVALUE(ConnectionString,ReportMonth,Table1[[#This Row],[Site ID (from DATIM)]],"[Measures].[MMS_90_179_M_A]")</f>
        <v/>
      </c>
      <c r="CC411" s="68" t="str" vm="15488">
        <f>CUBEVALUE(ConnectionString,ReportMonth,Table1[[#This Row],[Site ID (from DATIM)]],"[Measures].[MMS_180+_F_P]")</f>
        <v/>
      </c>
      <c r="CD411" s="68" t="str" vm="17170">
        <f>CUBEVALUE(ConnectionString,ReportMonth,Table1[[#This Row],[Site ID (from DATIM)]],"[Measures].[MMS_180+_M_P]")</f>
        <v/>
      </c>
      <c r="CE411" s="68" t="str" vm="73">
        <f>CUBEVALUE(ConnectionString,ReportMonth,Table1[[#This Row],[Site ID (from DATIM)]],"[Measures].[MMS_180+_F_A]")</f>
        <v/>
      </c>
      <c r="CF411" s="68" t="str" vm="109">
        <f>CUBEVALUE(ConnectionString,ReportMonth,Table1[[#This Row],[Site ID (from DATIM)]],"[Measures].[MMS_180+_M_A]")</f>
        <v/>
      </c>
      <c r="CG411" s="68" t="str" vm="5259">
        <f>CUBEVALUE(ConnectionString,ReportMonth,Table1[[#This Row],[Site ID (from DATIM)]],"[Measures].[MISSEDAPP]")</f>
        <v/>
      </c>
      <c r="CH411" s="68" t="str" vm="12193">
        <f>CUBEVALUE(ConnectionString,ReportMonth,Table1[[#This Row],[Site ID (from DATIM)]],"[Measures].[MMS_180+_P]")</f>
        <v/>
      </c>
      <c r="CI411" s="68" t="str" vm="12888">
        <f>CUBEVALUE(ConnectionString,ReportMonth,Table1[[#This Row],[Site ID (from DATIM)]],"[Measures].[MMS_180+_A]")</f>
        <v/>
      </c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  <c r="CW411" s="68"/>
      <c r="CX411" s="68"/>
      <c r="CY411" s="68"/>
      <c r="CZ411" s="68"/>
      <c r="DA411" s="68"/>
      <c r="DB411" s="68"/>
      <c r="DC411" s="68"/>
    </row>
    <row r="412" spans="1:107" x14ac:dyDescent="0.25">
      <c r="A412" s="66">
        <v>4</v>
      </c>
      <c r="B412" s="67" t="str" vm="4">
        <f t="shared" si="7"/>
        <v>Mar-2021</v>
      </c>
      <c r="C412" s="67"/>
      <c r="D412" s="67" t="s">
        <v>232</v>
      </c>
      <c r="E412" s="67" t="s">
        <v>233</v>
      </c>
      <c r="F412" s="67" t="s">
        <v>831</v>
      </c>
      <c r="G412" s="67"/>
      <c r="H412" s="67" t="s">
        <v>840</v>
      </c>
      <c r="I412" s="67" t="s">
        <v>1043</v>
      </c>
      <c r="J412" s="67" t="s">
        <v>1044</v>
      </c>
      <c r="K412" s="67" t="s">
        <v>1045</v>
      </c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 t="str" vm="467">
        <f>CUBEVALUE(ConnectionString,ReportMonth,Table1[[#This Row],[Site ID (from DATIM)]],"TX_NEW_2VIS")</f>
        <v/>
      </c>
      <c r="AE412" s="67" t="str" vm="2539">
        <f>CUBEVALUE(ConnectionString,ReportMonth,Table1[[#This Row],[Site ID (from DATIM)]],INDEX(SDI_Measures,1))</f>
        <v/>
      </c>
      <c r="AF412" s="67" t="str" vm="946">
        <f>CUBEVALUE(ConnectionString,ReportMonth,Table1[[#This Row],[Site ID (from DATIM)]],INDEX(SDI_Measures,2))</f>
        <v/>
      </c>
      <c r="AG412" s="67" t="str" vm="3037">
        <f>CUBEVALUE(ConnectionString,ReportMonth,Table1[[#This Row],[Site ID (from DATIM)]],INDEX(SDI_Measures,3))</f>
        <v/>
      </c>
      <c r="AH412" s="67" vm="1026">
        <f>CUBEVALUE(ConnectionString,ReportMonth,Table1[[#This Row],[Site ID (from DATIM)]],"TX_CURR_PRIOR_MONTH")</f>
        <v>111</v>
      </c>
      <c r="AI412" s="67" vm="3898">
        <f>CUBEVALUE(ConnectionString,ReportMonth,Table1[[#This Row],[Site ID (from DATIM)]],"TX_CURR")</f>
        <v>111</v>
      </c>
      <c r="AJ412" s="67" t="str" vm="897">
        <f>CUBEVALUE(ConnectionString,ReportMonth,Table1[[#This Row],[Site ID (from DATIM)]],"[Measures].[TI]")</f>
        <v/>
      </c>
      <c r="AK412" s="67" t="str" vm="2179">
        <f>CUBEVALUE(ConnectionString,ReportMonth,Table1[[#This Row],[Site ID (from DATIM)]],"[Measures].[TO]")</f>
        <v/>
      </c>
      <c r="AL412" s="67" t="str" vm="2727">
        <f>CUBEVALUE(ConnectionString,ReportMonth,Table1[[#This Row],[Site ID (from DATIM)]],"[Measures].[DIED]")</f>
        <v/>
      </c>
      <c r="AM412" s="67" vm="4647">
        <f>CUBEVALUE(ConnectionString,ReportMonth,Table1[[#This Row],[Site ID (from DATIM)]],"[Measures].[MMS_01_31]")</f>
        <v>71</v>
      </c>
      <c r="AN412" s="67" vm="5810">
        <f>CUBEVALUE(ConnectionString,ReportMonth,Table1[[#This Row],[Site ID (from DATIM)]],"[Measures].[MMS_32_62]")</f>
        <v>4</v>
      </c>
      <c r="AO412" s="67" vm="5031">
        <f>CUBEVALUE(ConnectionString,ReportMonth,Table1[[#This Row],[Site ID (from DATIM)]],"[Measures].[MMS_63+]")</f>
        <v>36</v>
      </c>
      <c r="AP412" s="67" t="str" vm="6011">
        <f>CUBEVALUE(ConnectionString,ReportMonth,Table1[[#This Row],[Site ID (from DATIM)]],"[Measures].[TBPREV_D]")</f>
        <v/>
      </c>
      <c r="AQ412" s="67" t="str" vm="4832">
        <f>CUBEVALUE(ConnectionString,ReportMonth,Table1[[#This Row],[Site ID (from DATIM)]],"[Measures].[TBPREV_N]")</f>
        <v/>
      </c>
      <c r="AR412" s="67" t="str" vm="6125">
        <f>CUBEVALUE(ConnectionString,ReportMonth,Table1[[#This Row],[Site ID (from DATIM)]],"[Measures].[TBPREV_NEW]")</f>
        <v/>
      </c>
      <c r="AS412" s="67" vm="5746">
        <f>CUBEVALUE(ConnectionString,ReportMonth,Table1[[#This Row],[Site ID (from DATIM)]],"[Measures].[HVL_ELIG_P]")</f>
        <v>3</v>
      </c>
      <c r="AT412" s="67" vm="4878">
        <f>CUBEVALUE(ConnectionString,ReportMonth,Table1[[#This Row],[Site ID (from DATIM)]],"[Measures].[HVL_D_P]")</f>
        <v>2</v>
      </c>
      <c r="AU412" s="67" vm="7019">
        <f>CUBEVALUE(ConnectionString,ReportMonth,Table1[[#This Row],[Site ID (from DATIM)]],"[Measures].[HVL_N_P]")</f>
        <v>2</v>
      </c>
      <c r="AV412" s="68" vm="7990">
        <f>CUBEVALUE(ConnectionString,ReportMonth,Table1[[#This Row],[Site ID (from DATIM)]],"[Measures].[HVL_ELIG_A]")</f>
        <v>102</v>
      </c>
      <c r="AW412" s="68" vm="8506">
        <f>CUBEVALUE(ConnectionString,ReportMonth,Table1[[#This Row],[Site ID (from DATIM)]],"[Measures].[HVL_D_A]")</f>
        <v>29</v>
      </c>
      <c r="AX412" s="68" vm="8594">
        <f>CUBEVALUE(ConnectionString,ReportMonth,Table1[[#This Row],[Site ID (from DATIM)]],"[Measures].[HVL_N_A]")</f>
        <v>27</v>
      </c>
      <c r="AY412" s="67"/>
      <c r="AZ412" s="67"/>
      <c r="BA412" s="67"/>
      <c r="BB412" s="67"/>
      <c r="BC412" s="67"/>
      <c r="BD412" s="67"/>
      <c r="BE412" s="67"/>
      <c r="BF412" s="67"/>
      <c r="BG412" s="67" t="str" vm="16202">
        <f>CUBEVALUE(ConnectionString,ReportMonth,Table1[[#This Row],[Site ID (from DATIM)]],"[Measures].[TX_NEW_F_A]")</f>
        <v/>
      </c>
      <c r="BH412" s="67" t="str" vm="12447">
        <f>CUBEVALUE(ConnectionString,ReportMonth,Table1[[#This Row],[Site ID (from DATIM)]],"[Measures].[TX_NEW_M_A]")</f>
        <v/>
      </c>
      <c r="BI412" s="67" t="str" vm="16191">
        <f>CUBEVALUE(ConnectionString,ReportMonth,Table1[[#This Row],[Site ID (from DATIM)]],"[Measures].[TX_NEW_F_P]")</f>
        <v/>
      </c>
      <c r="BJ412" s="68" t="str" vm="14397">
        <f>CUBEVALUE(ConnectionString,ReportMonth,Table1[[#This Row],[Site ID (from DATIM)]],"[Measures].[TX_NEW_M_P]")</f>
        <v/>
      </c>
      <c r="BK412" s="68"/>
      <c r="BL412" s="68"/>
      <c r="BM412" s="68"/>
      <c r="BN412" s="68"/>
      <c r="BO412" s="68"/>
      <c r="BP412" s="68"/>
      <c r="BQ412" s="68" vm="8365">
        <f>CUBEVALUE(ConnectionString,ReportMonth,Table1[[#This Row],[Site ID (from DATIM)]],"[Measures].[TX_CURR_F_P]")</f>
        <v>4</v>
      </c>
      <c r="BR412" s="68" t="str" vm="10683">
        <f>CUBEVALUE(ConnectionString,ReportMonth,Table1[[#This Row],[Site ID (from DATIM)]],"[Measures].[TX_CURR_M_P]")</f>
        <v/>
      </c>
      <c r="BS412" s="68" vm="8568">
        <f>CUBEVALUE(ConnectionString,ReportMonth,Table1[[#This Row],[Site ID (from DATIM)]],"[Measures].[TX_CURR_F_A]")</f>
        <v>70</v>
      </c>
      <c r="BT412" s="68" vm="8212">
        <f>CUBEVALUE(ConnectionString,ReportMonth,Table1[[#This Row],[Site ID (from DATIM)]],"[Measures].[TX_CURR_M_A]")</f>
        <v>37</v>
      </c>
      <c r="BU412" s="68" vm="19285">
        <f>CUBEVALUE(ConnectionString,ReportMonth,Table1[[#This Row],[Site ID (from DATIM)]],"[Measures].[MMS_01_89_F_P]")</f>
        <v>2</v>
      </c>
      <c r="BV412" s="68" t="str" vm="18663">
        <f>CUBEVALUE(ConnectionString,ReportMonth,Table1[[#This Row],[Site ID (from DATIM)]],"[Measures].[MMS_01_89_M_P]")</f>
        <v/>
      </c>
      <c r="BW412" s="68" vm="19672">
        <f>CUBEVALUE(ConnectionString,ReportMonth,Table1[[#This Row],[Site ID (from DATIM)]],"[Measures].[MMS_01_89_F_A]")</f>
        <v>44</v>
      </c>
      <c r="BX412" s="68" vm="18232">
        <f>CUBEVALUE(ConnectionString,ReportMonth,Table1[[#This Row],[Site ID (from DATIM)]],"[Measures].[MMS_01_89_M_A]")</f>
        <v>29</v>
      </c>
      <c r="BY412" s="68" vm="19349">
        <f>CUBEVALUE(ConnectionString,ReportMonth,Table1[[#This Row],[Site ID (from DATIM)]],"[Measures].[MMS_90_179_F_P]")</f>
        <v>2</v>
      </c>
      <c r="BZ412" s="68" t="str" vm="14791">
        <f>CUBEVALUE(ConnectionString,ReportMonth,Table1[[#This Row],[Site ID (from DATIM)]],"[Measures].[MMS_90_179_M_P]")</f>
        <v/>
      </c>
      <c r="CA412" s="68" vm="14643">
        <f>CUBEVALUE(ConnectionString,ReportMonth,Table1[[#This Row],[Site ID (from DATIM)]],"[Measures].[MMS_90_179_F_A]")</f>
        <v>26</v>
      </c>
      <c r="CB412" s="68" vm="17333">
        <f>CUBEVALUE(ConnectionString,ReportMonth,Table1[[#This Row],[Site ID (from DATIM)]],"[Measures].[MMS_90_179_M_A]")</f>
        <v>8</v>
      </c>
      <c r="CC412" s="68" t="str" vm="16328">
        <f>CUBEVALUE(ConnectionString,ReportMonth,Table1[[#This Row],[Site ID (from DATIM)]],"[Measures].[MMS_180+_F_P]")</f>
        <v/>
      </c>
      <c r="CD412" s="68" t="str" vm="16755">
        <f>CUBEVALUE(ConnectionString,ReportMonth,Table1[[#This Row],[Site ID (from DATIM)]],"[Measures].[MMS_180+_M_P]")</f>
        <v/>
      </c>
      <c r="CE412" s="68" t="str" vm="39">
        <f>CUBEVALUE(ConnectionString,ReportMonth,Table1[[#This Row],[Site ID (from DATIM)]],"[Measures].[MMS_180+_F_A]")</f>
        <v/>
      </c>
      <c r="CF412" s="68" t="str" vm="791">
        <f>CUBEVALUE(ConnectionString,ReportMonth,Table1[[#This Row],[Site ID (from DATIM)]],"[Measures].[MMS_180+_M_A]")</f>
        <v/>
      </c>
      <c r="CG412" s="68" vm="7686">
        <f>CUBEVALUE(ConnectionString,ReportMonth,Table1[[#This Row],[Site ID (from DATIM)]],"[Measures].[MISSEDAPP]")</f>
        <v>82</v>
      </c>
      <c r="CH412" s="68" t="str" vm="12632">
        <f>CUBEVALUE(ConnectionString,ReportMonth,Table1[[#This Row],[Site ID (from DATIM)]],"[Measures].[MMS_180+_P]")</f>
        <v/>
      </c>
      <c r="CI412" s="68" t="str" vm="11660">
        <f>CUBEVALUE(ConnectionString,ReportMonth,Table1[[#This Row],[Site ID (from DATIM)]],"[Measures].[MMS_180+_A]")</f>
        <v/>
      </c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  <c r="CW412" s="68"/>
      <c r="CX412" s="68"/>
      <c r="CY412" s="68"/>
      <c r="CZ412" s="68"/>
      <c r="DA412" s="68"/>
      <c r="DB412" s="68"/>
      <c r="DC412" s="68"/>
    </row>
    <row r="413" spans="1:107" x14ac:dyDescent="0.25">
      <c r="A413" s="66">
        <v>4</v>
      </c>
      <c r="B413" s="67" t="str" vm="4">
        <f t="shared" si="7"/>
        <v>Mar-2021</v>
      </c>
      <c r="C413" s="67"/>
      <c r="D413" s="67" t="s">
        <v>232</v>
      </c>
      <c r="E413" s="67" t="s">
        <v>233</v>
      </c>
      <c r="F413" s="67" t="s">
        <v>831</v>
      </c>
      <c r="G413" s="67"/>
      <c r="H413" s="67" t="s">
        <v>847</v>
      </c>
      <c r="I413" s="67" t="s">
        <v>1046</v>
      </c>
      <c r="J413" s="67" t="s">
        <v>1047</v>
      </c>
      <c r="K413" s="67" t="s">
        <v>1048</v>
      </c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 t="str" vm="2875">
        <f>CUBEVALUE(ConnectionString,ReportMonth,Table1[[#This Row],[Site ID (from DATIM)]],"TX_NEW_2VIS")</f>
        <v/>
      </c>
      <c r="AE413" s="67" t="str" vm="3595">
        <f>CUBEVALUE(ConnectionString,ReportMonth,Table1[[#This Row],[Site ID (from DATIM)]],INDEX(SDI_Measures,1))</f>
        <v/>
      </c>
      <c r="AF413" s="67" t="str" vm="502">
        <f>CUBEVALUE(ConnectionString,ReportMonth,Table1[[#This Row],[Site ID (from DATIM)]],INDEX(SDI_Measures,2))</f>
        <v/>
      </c>
      <c r="AG413" s="67" t="str" vm="1407">
        <f>CUBEVALUE(ConnectionString,ReportMonth,Table1[[#This Row],[Site ID (from DATIM)]],INDEX(SDI_Measures,3))</f>
        <v/>
      </c>
      <c r="AH413" s="67" vm="3995">
        <f>CUBEVALUE(ConnectionString,ReportMonth,Table1[[#This Row],[Site ID (from DATIM)]],"TX_CURR_PRIOR_MONTH")</f>
        <v>18</v>
      </c>
      <c r="AI413" s="67" vm="2766">
        <f>CUBEVALUE(ConnectionString,ReportMonth,Table1[[#This Row],[Site ID (from DATIM)]],"TX_CURR")</f>
        <v>15</v>
      </c>
      <c r="AJ413" s="67" t="str" vm="2552">
        <f>CUBEVALUE(ConnectionString,ReportMonth,Table1[[#This Row],[Site ID (from DATIM)]],"[Measures].[TI]")</f>
        <v/>
      </c>
      <c r="AK413" s="67" t="str" vm="1140">
        <f>CUBEVALUE(ConnectionString,ReportMonth,Table1[[#This Row],[Site ID (from DATIM)]],"[Measures].[TO]")</f>
        <v/>
      </c>
      <c r="AL413" s="67" t="str" vm="3199">
        <f>CUBEVALUE(ConnectionString,ReportMonth,Table1[[#This Row],[Site ID (from DATIM)]],"[Measures].[DIED]")</f>
        <v/>
      </c>
      <c r="AM413" s="67" vm="4440">
        <f>CUBEVALUE(ConnectionString,ReportMonth,Table1[[#This Row],[Site ID (from DATIM)]],"[Measures].[MMS_01_31]")</f>
        <v>14</v>
      </c>
      <c r="AN413" s="67" vm="6746">
        <f>CUBEVALUE(ConnectionString,ReportMonth,Table1[[#This Row],[Site ID (from DATIM)]],"[Measures].[MMS_32_62]")</f>
        <v>1</v>
      </c>
      <c r="AO413" s="67" t="str" vm="5112">
        <f>CUBEVALUE(ConnectionString,ReportMonth,Table1[[#This Row],[Site ID (from DATIM)]],"[Measures].[MMS_63+]")</f>
        <v/>
      </c>
      <c r="AP413" s="67" t="str" vm="6862">
        <f>CUBEVALUE(ConnectionString,ReportMonth,Table1[[#This Row],[Site ID (from DATIM)]],"[Measures].[TBPREV_D]")</f>
        <v/>
      </c>
      <c r="AQ413" s="67" t="str" vm="5685">
        <f>CUBEVALUE(ConnectionString,ReportMonth,Table1[[#This Row],[Site ID (from DATIM)]],"[Measures].[TBPREV_N]")</f>
        <v/>
      </c>
      <c r="AR413" s="67" t="str" vm="7873">
        <f>CUBEVALUE(ConnectionString,ReportMonth,Table1[[#This Row],[Site ID (from DATIM)]],"[Measures].[TBPREV_NEW]")</f>
        <v/>
      </c>
      <c r="AS413" s="67" t="str" vm="4745">
        <f>CUBEVALUE(ConnectionString,ReportMonth,Table1[[#This Row],[Site ID (from DATIM)]],"[Measures].[HVL_ELIG_P]")</f>
        <v/>
      </c>
      <c r="AT413" s="67" t="str" vm="9960">
        <f>CUBEVALUE(ConnectionString,ReportMonth,Table1[[#This Row],[Site ID (from DATIM)]],"[Measures].[HVL_D_P]")</f>
        <v/>
      </c>
      <c r="AU413" s="67" t="str" vm="7249">
        <f>CUBEVALUE(ConnectionString,ReportMonth,Table1[[#This Row],[Site ID (from DATIM)]],"[Measures].[HVL_N_P]")</f>
        <v/>
      </c>
      <c r="AV413" s="68" vm="7750">
        <f>CUBEVALUE(ConnectionString,ReportMonth,Table1[[#This Row],[Site ID (from DATIM)]],"[Measures].[HVL_ELIG_A]")</f>
        <v>10</v>
      </c>
      <c r="AW413" s="68" t="str" vm="9839">
        <f>CUBEVALUE(ConnectionString,ReportMonth,Table1[[#This Row],[Site ID (from DATIM)]],"[Measures].[HVL_D_A]")</f>
        <v/>
      </c>
      <c r="AX413" s="68" t="str" vm="9620">
        <f>CUBEVALUE(ConnectionString,ReportMonth,Table1[[#This Row],[Site ID (from DATIM)]],"[Measures].[HVL_N_A]")</f>
        <v/>
      </c>
      <c r="AY413" s="67"/>
      <c r="AZ413" s="67"/>
      <c r="BA413" s="67"/>
      <c r="BB413" s="67"/>
      <c r="BC413" s="67"/>
      <c r="BD413" s="67"/>
      <c r="BE413" s="67"/>
      <c r="BF413" s="67"/>
      <c r="BG413" s="67" t="str" vm="11668">
        <f>CUBEVALUE(ConnectionString,ReportMonth,Table1[[#This Row],[Site ID (from DATIM)]],"[Measures].[TX_NEW_F_A]")</f>
        <v/>
      </c>
      <c r="BH413" s="67" t="str" vm="13787">
        <f>CUBEVALUE(ConnectionString,ReportMonth,Table1[[#This Row],[Site ID (from DATIM)]],"[Measures].[TX_NEW_M_A]")</f>
        <v/>
      </c>
      <c r="BI413" s="67" t="str" vm="13190">
        <f>CUBEVALUE(ConnectionString,ReportMonth,Table1[[#This Row],[Site ID (from DATIM)]],"[Measures].[TX_NEW_F_P]")</f>
        <v/>
      </c>
      <c r="BJ413" s="68" t="str" vm="13699">
        <f>CUBEVALUE(ConnectionString,ReportMonth,Table1[[#This Row],[Site ID (from DATIM)]],"[Measures].[TX_NEW_M_P]")</f>
        <v/>
      </c>
      <c r="BK413" s="68"/>
      <c r="BL413" s="68"/>
      <c r="BM413" s="68"/>
      <c r="BN413" s="68"/>
      <c r="BO413" s="68"/>
      <c r="BP413" s="68"/>
      <c r="BQ413" s="68" t="str" vm="8783">
        <f>CUBEVALUE(ConnectionString,ReportMonth,Table1[[#This Row],[Site ID (from DATIM)]],"[Measures].[TX_CURR_F_P]")</f>
        <v/>
      </c>
      <c r="BR413" s="68" t="str" vm="13375">
        <f>CUBEVALUE(ConnectionString,ReportMonth,Table1[[#This Row],[Site ID (from DATIM)]],"[Measures].[TX_CURR_M_P]")</f>
        <v/>
      </c>
      <c r="BS413" s="68" vm="13516">
        <f>CUBEVALUE(ConnectionString,ReportMonth,Table1[[#This Row],[Site ID (from DATIM)]],"[Measures].[TX_CURR_F_A]")</f>
        <v>13</v>
      </c>
      <c r="BT413" s="68" vm="8015">
        <f>CUBEVALUE(ConnectionString,ReportMonth,Table1[[#This Row],[Site ID (from DATIM)]],"[Measures].[TX_CURR_M_A]")</f>
        <v>2</v>
      </c>
      <c r="BU413" s="68" t="str" vm="19019">
        <f>CUBEVALUE(ConnectionString,ReportMonth,Table1[[#This Row],[Site ID (from DATIM)]],"[Measures].[MMS_01_89_F_P]")</f>
        <v/>
      </c>
      <c r="BV413" s="68" t="str" vm="18662">
        <f>CUBEVALUE(ConnectionString,ReportMonth,Table1[[#This Row],[Site ID (from DATIM)]],"[Measures].[MMS_01_89_M_P]")</f>
        <v/>
      </c>
      <c r="BW413" s="68" vm="19656">
        <f>CUBEVALUE(ConnectionString,ReportMonth,Table1[[#This Row],[Site ID (from DATIM)]],"[Measures].[MMS_01_89_F_A]")</f>
        <v>13</v>
      </c>
      <c r="BX413" s="68" vm="19401">
        <f>CUBEVALUE(ConnectionString,ReportMonth,Table1[[#This Row],[Site ID (from DATIM)]],"[Measures].[MMS_01_89_M_A]")</f>
        <v>2</v>
      </c>
      <c r="BY413" s="68" t="str" vm="14748">
        <f>CUBEVALUE(ConnectionString,ReportMonth,Table1[[#This Row],[Site ID (from DATIM)]],"[Measures].[MMS_90_179_F_P]")</f>
        <v/>
      </c>
      <c r="BZ413" s="68" t="str" vm="16494">
        <f>CUBEVALUE(ConnectionString,ReportMonth,Table1[[#This Row],[Site ID (from DATIM)]],"[Measures].[MMS_90_179_M_P]")</f>
        <v/>
      </c>
      <c r="CA413" s="68" t="str" vm="15161">
        <f>CUBEVALUE(ConnectionString,ReportMonth,Table1[[#This Row],[Site ID (from DATIM)]],"[Measures].[MMS_90_179_F_A]")</f>
        <v/>
      </c>
      <c r="CB413" s="68" t="str" vm="15526">
        <f>CUBEVALUE(ConnectionString,ReportMonth,Table1[[#This Row],[Site ID (from DATIM)]],"[Measures].[MMS_90_179_M_A]")</f>
        <v/>
      </c>
      <c r="CC413" s="68" t="str" vm="15042">
        <f>CUBEVALUE(ConnectionString,ReportMonth,Table1[[#This Row],[Site ID (from DATIM)]],"[Measures].[MMS_180+_F_P]")</f>
        <v/>
      </c>
      <c r="CD413" s="68" t="str" vm="15743">
        <f>CUBEVALUE(ConnectionString,ReportMonth,Table1[[#This Row],[Site ID (from DATIM)]],"[Measures].[MMS_180+_M_P]")</f>
        <v/>
      </c>
      <c r="CE413" s="68" t="str" vm="17126">
        <f>CUBEVALUE(ConnectionString,ReportMonth,Table1[[#This Row],[Site ID (from DATIM)]],"[Measures].[MMS_180+_F_A]")</f>
        <v/>
      </c>
      <c r="CF413" s="68" t="str" vm="241">
        <f>CUBEVALUE(ConnectionString,ReportMonth,Table1[[#This Row],[Site ID (from DATIM)]],"[Measures].[MMS_180+_M_A]")</f>
        <v/>
      </c>
      <c r="CG413" s="68" vm="7847">
        <f>CUBEVALUE(ConnectionString,ReportMonth,Table1[[#This Row],[Site ID (from DATIM)]],"[Measures].[MISSEDAPP]")</f>
        <v>12</v>
      </c>
      <c r="CH413" s="68" t="str" vm="8638">
        <f>CUBEVALUE(ConnectionString,ReportMonth,Table1[[#This Row],[Site ID (from DATIM)]],"[Measures].[MMS_180+_P]")</f>
        <v/>
      </c>
      <c r="CI413" s="68" t="str" vm="10663">
        <f>CUBEVALUE(ConnectionString,ReportMonth,Table1[[#This Row],[Site ID (from DATIM)]],"[Measures].[MMS_180+_A]")</f>
        <v/>
      </c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  <c r="CW413" s="68"/>
      <c r="CX413" s="68"/>
      <c r="CY413" s="68"/>
      <c r="CZ413" s="68"/>
      <c r="DA413" s="68"/>
      <c r="DB413" s="68"/>
      <c r="DC413" s="68"/>
    </row>
    <row r="414" spans="1:107" x14ac:dyDescent="0.25">
      <c r="A414" s="66">
        <v>4</v>
      </c>
      <c r="B414" s="67" t="str" vm="4">
        <f t="shared" si="7"/>
        <v>Mar-2021</v>
      </c>
      <c r="C414" s="67"/>
      <c r="D414" s="67" t="s">
        <v>232</v>
      </c>
      <c r="E414" s="67" t="s">
        <v>233</v>
      </c>
      <c r="F414" s="67" t="s">
        <v>831</v>
      </c>
      <c r="G414" s="67"/>
      <c r="H414" s="67" t="s">
        <v>836</v>
      </c>
      <c r="I414" s="67" t="s">
        <v>1049</v>
      </c>
      <c r="J414" s="67" t="s">
        <v>1050</v>
      </c>
      <c r="K414" s="67" t="s">
        <v>1051</v>
      </c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 t="str" vm="1600">
        <f>CUBEVALUE(ConnectionString,ReportMonth,Table1[[#This Row],[Site ID (from DATIM)]],"TX_NEW_2VIS")</f>
        <v/>
      </c>
      <c r="AE414" s="67" t="str" vm="3825">
        <f>CUBEVALUE(ConnectionString,ReportMonth,Table1[[#This Row],[Site ID (from DATIM)]],INDEX(SDI_Measures,1))</f>
        <v/>
      </c>
      <c r="AF414" s="67" t="str" vm="1830">
        <f>CUBEVALUE(ConnectionString,ReportMonth,Table1[[#This Row],[Site ID (from DATIM)]],INDEX(SDI_Measures,2))</f>
        <v/>
      </c>
      <c r="AG414" s="67" t="str" vm="3841">
        <f>CUBEVALUE(ConnectionString,ReportMonth,Table1[[#This Row],[Site ID (from DATIM)]],INDEX(SDI_Measures,3))</f>
        <v/>
      </c>
      <c r="AH414" s="67" vm="3657">
        <f>CUBEVALUE(ConnectionString,ReportMonth,Table1[[#This Row],[Site ID (from DATIM)]],"TX_CURR_PRIOR_MONTH")</f>
        <v>85</v>
      </c>
      <c r="AI414" s="67" vm="1007">
        <f>CUBEVALUE(ConnectionString,ReportMonth,Table1[[#This Row],[Site ID (from DATIM)]],"TX_CURR")</f>
        <v>84</v>
      </c>
      <c r="AJ414" s="67" t="str" vm="3489">
        <f>CUBEVALUE(ConnectionString,ReportMonth,Table1[[#This Row],[Site ID (from DATIM)]],"[Measures].[TI]")</f>
        <v/>
      </c>
      <c r="AK414" s="67" t="str" vm="1843">
        <f>CUBEVALUE(ConnectionString,ReportMonth,Table1[[#This Row],[Site ID (from DATIM)]],"[Measures].[TO]")</f>
        <v/>
      </c>
      <c r="AL414" s="67" t="str" vm="2615">
        <f>CUBEVALUE(ConnectionString,ReportMonth,Table1[[#This Row],[Site ID (from DATIM)]],"[Measures].[DIED]")</f>
        <v/>
      </c>
      <c r="AM414" s="67" vm="4954">
        <f>CUBEVALUE(ConnectionString,ReportMonth,Table1[[#This Row],[Site ID (from DATIM)]],"[Measures].[MMS_01_31]")</f>
        <v>34</v>
      </c>
      <c r="AN414" s="67" vm="4851">
        <f>CUBEVALUE(ConnectionString,ReportMonth,Table1[[#This Row],[Site ID (from DATIM)]],"[Measures].[MMS_32_62]")</f>
        <v>1</v>
      </c>
      <c r="AO414" s="67" vm="5980">
        <f>CUBEVALUE(ConnectionString,ReportMonth,Table1[[#This Row],[Site ID (from DATIM)]],"[Measures].[MMS_63+]")</f>
        <v>49</v>
      </c>
      <c r="AP414" s="67" vm="5110">
        <f>CUBEVALUE(ConnectionString,ReportMonth,Table1[[#This Row],[Site ID (from DATIM)]],"[Measures].[TBPREV_D]")</f>
        <v>1</v>
      </c>
      <c r="AQ414" s="67" vm="5567">
        <f>CUBEVALUE(ConnectionString,ReportMonth,Table1[[#This Row],[Site ID (from DATIM)]],"[Measures].[TBPREV_N]")</f>
        <v>1</v>
      </c>
      <c r="AR414" s="67" t="str" vm="5349">
        <f>CUBEVALUE(ConnectionString,ReportMonth,Table1[[#This Row],[Site ID (from DATIM)]],"[Measures].[TBPREV_NEW]")</f>
        <v/>
      </c>
      <c r="AS414" s="67" vm="7468">
        <f>CUBEVALUE(ConnectionString,ReportMonth,Table1[[#This Row],[Site ID (from DATIM)]],"[Measures].[HVL_ELIG_P]")</f>
        <v>3</v>
      </c>
      <c r="AT414" s="67" vm="9495">
        <f>CUBEVALUE(ConnectionString,ReportMonth,Table1[[#This Row],[Site ID (from DATIM)]],"[Measures].[HVL_D_P]")</f>
        <v>2</v>
      </c>
      <c r="AU414" s="67" vm="9912">
        <f>CUBEVALUE(ConnectionString,ReportMonth,Table1[[#This Row],[Site ID (from DATIM)]],"[Measures].[HVL_N_P]")</f>
        <v>2</v>
      </c>
      <c r="AV414" s="68" vm="8988">
        <f>CUBEVALUE(ConnectionString,ReportMonth,Table1[[#This Row],[Site ID (from DATIM)]],"[Measures].[HVL_ELIG_A]")</f>
        <v>60</v>
      </c>
      <c r="AW414" s="68" vm="6384">
        <f>CUBEVALUE(ConnectionString,ReportMonth,Table1[[#This Row],[Site ID (from DATIM)]],"[Measures].[HVL_D_A]")</f>
        <v>47</v>
      </c>
      <c r="AX414" s="68" vm="7952">
        <f>CUBEVALUE(ConnectionString,ReportMonth,Table1[[#This Row],[Site ID (from DATIM)]],"[Measures].[HVL_N_A]")</f>
        <v>46</v>
      </c>
      <c r="AY414" s="67"/>
      <c r="AZ414" s="67"/>
      <c r="BA414" s="67"/>
      <c r="BB414" s="67"/>
      <c r="BC414" s="67"/>
      <c r="BD414" s="67"/>
      <c r="BE414" s="67"/>
      <c r="BF414" s="67"/>
      <c r="BG414" s="67" t="str" vm="14074">
        <f>CUBEVALUE(ConnectionString,ReportMonth,Table1[[#This Row],[Site ID (from DATIM)]],"[Measures].[TX_NEW_F_A]")</f>
        <v/>
      </c>
      <c r="BH414" s="67" t="str" vm="13248">
        <f>CUBEVALUE(ConnectionString,ReportMonth,Table1[[#This Row],[Site ID (from DATIM)]],"[Measures].[TX_NEW_M_A]")</f>
        <v/>
      </c>
      <c r="BI414" s="67" t="str" vm="12617">
        <f>CUBEVALUE(ConnectionString,ReportMonth,Table1[[#This Row],[Site ID (from DATIM)]],"[Measures].[TX_NEW_F_P]")</f>
        <v/>
      </c>
      <c r="BJ414" s="68" t="str" vm="16623">
        <f>CUBEVALUE(ConnectionString,ReportMonth,Table1[[#This Row],[Site ID (from DATIM)]],"[Measures].[TX_NEW_M_P]")</f>
        <v/>
      </c>
      <c r="BK414" s="68"/>
      <c r="BL414" s="68"/>
      <c r="BM414" s="68"/>
      <c r="BN414" s="68"/>
      <c r="BO414" s="68"/>
      <c r="BP414" s="68"/>
      <c r="BQ414" s="68" vm="10259">
        <f>CUBEVALUE(ConnectionString,ReportMonth,Table1[[#This Row],[Site ID (from DATIM)]],"[Measures].[TX_CURR_F_P]")</f>
        <v>2</v>
      </c>
      <c r="BR414" s="68" vm="9858">
        <f>CUBEVALUE(ConnectionString,ReportMonth,Table1[[#This Row],[Site ID (from DATIM)]],"[Measures].[TX_CURR_M_P]")</f>
        <v>1</v>
      </c>
      <c r="BS414" s="68" vm="11825">
        <f>CUBEVALUE(ConnectionString,ReportMonth,Table1[[#This Row],[Site ID (from DATIM)]],"[Measures].[TX_CURR_F_A]")</f>
        <v>61</v>
      </c>
      <c r="BT414" s="68" vm="10935">
        <f>CUBEVALUE(ConnectionString,ReportMonth,Table1[[#This Row],[Site ID (from DATIM)]],"[Measures].[TX_CURR_M_A]")</f>
        <v>20</v>
      </c>
      <c r="BU414" s="68" vm="18981">
        <f>CUBEVALUE(ConnectionString,ReportMonth,Table1[[#This Row],[Site ID (from DATIM)]],"[Measures].[MMS_01_89_F_P]")</f>
        <v>1</v>
      </c>
      <c r="BV414" s="68" t="str" vm="18364">
        <f>CUBEVALUE(ConnectionString,ReportMonth,Table1[[#This Row],[Site ID (from DATIM)]],"[Measures].[MMS_01_89_M_P]")</f>
        <v/>
      </c>
      <c r="BW414" s="68" vm="19715">
        <f>CUBEVALUE(ConnectionString,ReportMonth,Table1[[#This Row],[Site ID (from DATIM)]],"[Measures].[MMS_01_89_F_A]")</f>
        <v>29</v>
      </c>
      <c r="BX414" s="68" vm="19482">
        <f>CUBEVALUE(ConnectionString,ReportMonth,Table1[[#This Row],[Site ID (from DATIM)]],"[Measures].[MMS_01_89_M_A]")</f>
        <v>5</v>
      </c>
      <c r="BY414" s="68" vm="16997">
        <f>CUBEVALUE(ConnectionString,ReportMonth,Table1[[#This Row],[Site ID (from DATIM)]],"[Measures].[MMS_90_179_F_P]")</f>
        <v>1</v>
      </c>
      <c r="BZ414" s="68" vm="15598">
        <f>CUBEVALUE(ConnectionString,ReportMonth,Table1[[#This Row],[Site ID (from DATIM)]],"[Measures].[MMS_90_179_M_P]")</f>
        <v>1</v>
      </c>
      <c r="CA414" s="68" vm="15554">
        <f>CUBEVALUE(ConnectionString,ReportMonth,Table1[[#This Row],[Site ID (from DATIM)]],"[Measures].[MMS_90_179_F_A]")</f>
        <v>32</v>
      </c>
      <c r="CB414" s="68" vm="17720">
        <f>CUBEVALUE(ConnectionString,ReportMonth,Table1[[#This Row],[Site ID (from DATIM)]],"[Measures].[MMS_90_179_M_A]")</f>
        <v>15</v>
      </c>
      <c r="CC414" s="68" t="str" vm="15939">
        <f>CUBEVALUE(ConnectionString,ReportMonth,Table1[[#This Row],[Site ID (from DATIM)]],"[Measures].[MMS_180+_F_P]")</f>
        <v/>
      </c>
      <c r="CD414" s="68" t="str" vm="14488">
        <f>CUBEVALUE(ConnectionString,ReportMonth,Table1[[#This Row],[Site ID (from DATIM)]],"[Measures].[MMS_180+_M_P]")</f>
        <v/>
      </c>
      <c r="CE414" s="68" t="str" vm="15827">
        <f>CUBEVALUE(ConnectionString,ReportMonth,Table1[[#This Row],[Site ID (from DATIM)]],"[Measures].[MMS_180+_F_A]")</f>
        <v/>
      </c>
      <c r="CF414" s="68" t="str" vm="40">
        <f>CUBEVALUE(ConnectionString,ReportMonth,Table1[[#This Row],[Site ID (from DATIM)]],"[Measures].[MMS_180+_M_A]")</f>
        <v/>
      </c>
      <c r="CG414" s="68" vm="6560">
        <f>CUBEVALUE(ConnectionString,ReportMonth,Table1[[#This Row],[Site ID (from DATIM)]],"[Measures].[MISSEDAPP]")</f>
        <v>53</v>
      </c>
      <c r="CH414" s="68" t="str" vm="12988">
        <f>CUBEVALUE(ConnectionString,ReportMonth,Table1[[#This Row],[Site ID (from DATIM)]],"[Measures].[MMS_180+_P]")</f>
        <v/>
      </c>
      <c r="CI414" s="68" t="str" vm="13920">
        <f>CUBEVALUE(ConnectionString,ReportMonth,Table1[[#This Row],[Site ID (from DATIM)]],"[Measures].[MMS_180+_A]")</f>
        <v/>
      </c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  <c r="CW414" s="68"/>
      <c r="CX414" s="68"/>
      <c r="CY414" s="68"/>
      <c r="CZ414" s="68"/>
      <c r="DA414" s="68"/>
      <c r="DB414" s="68"/>
      <c r="DC414" s="68"/>
    </row>
    <row r="415" spans="1:107" x14ac:dyDescent="0.25">
      <c r="A415" s="66">
        <v>4</v>
      </c>
      <c r="B415" s="67" t="str" vm="4">
        <f t="shared" si="7"/>
        <v>Mar-2021</v>
      </c>
      <c r="C415" s="67"/>
      <c r="D415" s="67" t="s">
        <v>232</v>
      </c>
      <c r="E415" s="67" t="s">
        <v>233</v>
      </c>
      <c r="F415" s="67" t="s">
        <v>831</v>
      </c>
      <c r="G415" s="67"/>
      <c r="H415" s="67" t="s">
        <v>856</v>
      </c>
      <c r="I415" s="67" t="s">
        <v>961</v>
      </c>
      <c r="J415" s="67" t="s">
        <v>1052</v>
      </c>
      <c r="K415" s="67" t="s">
        <v>1053</v>
      </c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 t="str" vm="2837">
        <f>CUBEVALUE(ConnectionString,ReportMonth,Table1[[#This Row],[Site ID (from DATIM)]],"TX_NEW_2VIS")</f>
        <v/>
      </c>
      <c r="AE415" s="67" t="str" vm="2323">
        <f>CUBEVALUE(ConnectionString,ReportMonth,Table1[[#This Row],[Site ID (from DATIM)]],INDEX(SDI_Measures,1))</f>
        <v/>
      </c>
      <c r="AF415" s="67" t="str" vm="1649">
        <f>CUBEVALUE(ConnectionString,ReportMonth,Table1[[#This Row],[Site ID (from DATIM)]],INDEX(SDI_Measures,2))</f>
        <v/>
      </c>
      <c r="AG415" s="67" t="str" vm="1767">
        <f>CUBEVALUE(ConnectionString,ReportMonth,Table1[[#This Row],[Site ID (from DATIM)]],INDEX(SDI_Measures,3))</f>
        <v/>
      </c>
      <c r="AH415" s="67" vm="2271">
        <f>CUBEVALUE(ConnectionString,ReportMonth,Table1[[#This Row],[Site ID (from DATIM)]],"TX_CURR_PRIOR_MONTH")</f>
        <v>85</v>
      </c>
      <c r="AI415" s="67" vm="1593">
        <f>CUBEVALUE(ConnectionString,ReportMonth,Table1[[#This Row],[Site ID (from DATIM)]],"TX_CURR")</f>
        <v>84</v>
      </c>
      <c r="AJ415" s="67" t="str" vm="1074">
        <f>CUBEVALUE(ConnectionString,ReportMonth,Table1[[#This Row],[Site ID (from DATIM)]],"[Measures].[TI]")</f>
        <v/>
      </c>
      <c r="AK415" s="67" t="str" vm="7760">
        <f>CUBEVALUE(ConnectionString,ReportMonth,Table1[[#This Row],[Site ID (from DATIM)]],"[Measures].[TO]")</f>
        <v/>
      </c>
      <c r="AL415" s="67" t="str" vm="4516">
        <f>CUBEVALUE(ConnectionString,ReportMonth,Table1[[#This Row],[Site ID (from DATIM)]],"[Measures].[DIED]")</f>
        <v/>
      </c>
      <c r="AM415" s="67" vm="5729">
        <f>CUBEVALUE(ConnectionString,ReportMonth,Table1[[#This Row],[Site ID (from DATIM)]],"[Measures].[MMS_01_31]")</f>
        <v>34</v>
      </c>
      <c r="AN415" s="67" vm="3801">
        <f>CUBEVALUE(ConnectionString,ReportMonth,Table1[[#This Row],[Site ID (from DATIM)]],"[Measures].[MMS_32_62]")</f>
        <v>1</v>
      </c>
      <c r="AO415" s="67" vm="8705">
        <f>CUBEVALUE(ConnectionString,ReportMonth,Table1[[#This Row],[Site ID (from DATIM)]],"[Measures].[MMS_63+]")</f>
        <v>49</v>
      </c>
      <c r="AP415" s="67" vm="6298">
        <f>CUBEVALUE(ConnectionString,ReportMonth,Table1[[#This Row],[Site ID (from DATIM)]],"[Measures].[TBPREV_D]")</f>
        <v>1</v>
      </c>
      <c r="AQ415" s="67" vm="6024">
        <f>CUBEVALUE(ConnectionString,ReportMonth,Table1[[#This Row],[Site ID (from DATIM)]],"[Measures].[TBPREV_N]")</f>
        <v>1</v>
      </c>
      <c r="AR415" s="67" t="str" vm="7669">
        <f>CUBEVALUE(ConnectionString,ReportMonth,Table1[[#This Row],[Site ID (from DATIM)]],"[Measures].[TBPREV_NEW]")</f>
        <v/>
      </c>
      <c r="AS415" s="67" vm="7629">
        <f>CUBEVALUE(ConnectionString,ReportMonth,Table1[[#This Row],[Site ID (from DATIM)]],"[Measures].[HVL_ELIG_P]")</f>
        <v>3</v>
      </c>
      <c r="AT415" s="67" vm="10605">
        <f>CUBEVALUE(ConnectionString,ReportMonth,Table1[[#This Row],[Site ID (from DATIM)]],"[Measures].[HVL_D_P]")</f>
        <v>2</v>
      </c>
      <c r="AU415" s="67" vm="9445">
        <f>CUBEVALUE(ConnectionString,ReportMonth,Table1[[#This Row],[Site ID (from DATIM)]],"[Measures].[HVL_N_P]")</f>
        <v>2</v>
      </c>
      <c r="AV415" s="68" vm="9294">
        <f>CUBEVALUE(ConnectionString,ReportMonth,Table1[[#This Row],[Site ID (from DATIM)]],"[Measures].[HVL_ELIG_A]")</f>
        <v>60</v>
      </c>
      <c r="AW415" s="68" vm="12963">
        <f>CUBEVALUE(ConnectionString,ReportMonth,Table1[[#This Row],[Site ID (from DATIM)]],"[Measures].[HVL_D_A]")</f>
        <v>47</v>
      </c>
      <c r="AX415" s="68" vm="11953">
        <f>CUBEVALUE(ConnectionString,ReportMonth,Table1[[#This Row],[Site ID (from DATIM)]],"[Measures].[HVL_N_A]")</f>
        <v>46</v>
      </c>
      <c r="AY415" s="67"/>
      <c r="AZ415" s="67"/>
      <c r="BA415" s="67"/>
      <c r="BB415" s="67"/>
      <c r="BC415" s="67"/>
      <c r="BD415" s="67"/>
      <c r="BE415" s="67"/>
      <c r="BF415" s="67"/>
      <c r="BG415" s="67" t="str" vm="17029">
        <f>CUBEVALUE(ConnectionString,ReportMonth,Table1[[#This Row],[Site ID (from DATIM)]],"[Measures].[TX_NEW_F_A]")</f>
        <v/>
      </c>
      <c r="BH415" s="67" t="str" vm="13839">
        <f>CUBEVALUE(ConnectionString,ReportMonth,Table1[[#This Row],[Site ID (from DATIM)]],"[Measures].[TX_NEW_M_A]")</f>
        <v/>
      </c>
      <c r="BI415" s="67" t="str" vm="16154">
        <f>CUBEVALUE(ConnectionString,ReportMonth,Table1[[#This Row],[Site ID (from DATIM)]],"[Measures].[TX_NEW_F_P]")</f>
        <v/>
      </c>
      <c r="BJ415" s="68" t="str" vm="12911">
        <f>CUBEVALUE(ConnectionString,ReportMonth,Table1[[#This Row],[Site ID (from DATIM)]],"[Measures].[TX_NEW_M_P]")</f>
        <v/>
      </c>
      <c r="BK415" s="68"/>
      <c r="BL415" s="68"/>
      <c r="BM415" s="68"/>
      <c r="BN415" s="68"/>
      <c r="BO415" s="68"/>
      <c r="BP415" s="68"/>
      <c r="BQ415" s="68" vm="8284">
        <f>CUBEVALUE(ConnectionString,ReportMonth,Table1[[#This Row],[Site ID (from DATIM)]],"[Measures].[TX_CURR_F_P]")</f>
        <v>2</v>
      </c>
      <c r="BR415" s="68" vm="10249">
        <f>CUBEVALUE(ConnectionString,ReportMonth,Table1[[#This Row],[Site ID (from DATIM)]],"[Measures].[TX_CURR_M_P]")</f>
        <v>1</v>
      </c>
      <c r="BS415" s="68" vm="11942">
        <f>CUBEVALUE(ConnectionString,ReportMonth,Table1[[#This Row],[Site ID (from DATIM)]],"[Measures].[TX_CURR_F_A]")</f>
        <v>61</v>
      </c>
      <c r="BT415" s="68" vm="12931">
        <f>CUBEVALUE(ConnectionString,ReportMonth,Table1[[#This Row],[Site ID (from DATIM)]],"[Measures].[TX_CURR_M_A]")</f>
        <v>20</v>
      </c>
      <c r="BU415" s="68" vm="18691">
        <f>CUBEVALUE(ConnectionString,ReportMonth,Table1[[#This Row],[Site ID (from DATIM)]],"[Measures].[MMS_01_89_F_P]")</f>
        <v>1</v>
      </c>
      <c r="BV415" s="68" t="str" vm="18768">
        <f>CUBEVALUE(ConnectionString,ReportMonth,Table1[[#This Row],[Site ID (from DATIM)]],"[Measures].[MMS_01_89_M_P]")</f>
        <v/>
      </c>
      <c r="BW415" s="68" vm="18959">
        <f>CUBEVALUE(ConnectionString,ReportMonth,Table1[[#This Row],[Site ID (from DATIM)]],"[Measures].[MMS_01_89_F_A]")</f>
        <v>29</v>
      </c>
      <c r="BX415" s="68" vm="19378">
        <f>CUBEVALUE(ConnectionString,ReportMonth,Table1[[#This Row],[Site ID (from DATIM)]],"[Measures].[MMS_01_89_M_A]")</f>
        <v>5</v>
      </c>
      <c r="BY415" s="68" vm="17951">
        <f>CUBEVALUE(ConnectionString,ReportMonth,Table1[[#This Row],[Site ID (from DATIM)]],"[Measures].[MMS_90_179_F_P]")</f>
        <v>1</v>
      </c>
      <c r="BZ415" s="68" vm="17843">
        <f>CUBEVALUE(ConnectionString,ReportMonth,Table1[[#This Row],[Site ID (from DATIM)]],"[Measures].[MMS_90_179_M_P]")</f>
        <v>1</v>
      </c>
      <c r="CA415" s="68" vm="19572">
        <f>CUBEVALUE(ConnectionString,ReportMonth,Table1[[#This Row],[Site ID (from DATIM)]],"[Measures].[MMS_90_179_F_A]")</f>
        <v>32</v>
      </c>
      <c r="CB415" s="68" vm="16890">
        <f>CUBEVALUE(ConnectionString,ReportMonth,Table1[[#This Row],[Site ID (from DATIM)]],"[Measures].[MMS_90_179_M_A]")</f>
        <v>15</v>
      </c>
      <c r="CC415" s="68" t="str" vm="17602">
        <f>CUBEVALUE(ConnectionString,ReportMonth,Table1[[#This Row],[Site ID (from DATIM)]],"[Measures].[MMS_180+_F_P]")</f>
        <v/>
      </c>
      <c r="CD415" s="68" t="str" vm="16818">
        <f>CUBEVALUE(ConnectionString,ReportMonth,Table1[[#This Row],[Site ID (from DATIM)]],"[Measures].[MMS_180+_M_P]")</f>
        <v/>
      </c>
      <c r="CE415" s="68" t="str" vm="16229">
        <f>CUBEVALUE(ConnectionString,ReportMonth,Table1[[#This Row],[Site ID (from DATIM)]],"[Measures].[MMS_180+_F_A]")</f>
        <v/>
      </c>
      <c r="CF415" s="68" t="str" vm="264">
        <f>CUBEVALUE(ConnectionString,ReportMonth,Table1[[#This Row],[Site ID (from DATIM)]],"[Measures].[MMS_180+_M_A]")</f>
        <v/>
      </c>
      <c r="CG415" s="68" vm="5908">
        <f>CUBEVALUE(ConnectionString,ReportMonth,Table1[[#This Row],[Site ID (from DATIM)]],"[Measures].[MISSEDAPP]")</f>
        <v>53</v>
      </c>
      <c r="CH415" s="68" t="str" vm="10607">
        <f>CUBEVALUE(ConnectionString,ReportMonth,Table1[[#This Row],[Site ID (from DATIM)]],"[Measures].[MMS_180+_P]")</f>
        <v/>
      </c>
      <c r="CI415" s="68" t="str" vm="11904">
        <f>CUBEVALUE(ConnectionString,ReportMonth,Table1[[#This Row],[Site ID (from DATIM)]],"[Measures].[MMS_180+_A]")</f>
        <v/>
      </c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  <c r="CW415" s="68"/>
      <c r="CX415" s="68"/>
      <c r="CY415" s="68"/>
      <c r="CZ415" s="68"/>
      <c r="DA415" s="68"/>
      <c r="DB415" s="68"/>
      <c r="DC415" s="68"/>
    </row>
    <row r="416" spans="1:107" x14ac:dyDescent="0.25">
      <c r="A416" s="66">
        <v>4</v>
      </c>
      <c r="B416" s="67" t="str" vm="4">
        <f t="shared" si="7"/>
        <v>Mar-2021</v>
      </c>
      <c r="C416" s="67"/>
      <c r="D416" s="67" t="s">
        <v>232</v>
      </c>
      <c r="E416" s="67" t="s">
        <v>233</v>
      </c>
      <c r="F416" s="67" t="s">
        <v>831</v>
      </c>
      <c r="G416" s="67"/>
      <c r="H416" s="67" t="s">
        <v>832</v>
      </c>
      <c r="I416" s="67" t="s">
        <v>1038</v>
      </c>
      <c r="J416" s="67" t="s">
        <v>1054</v>
      </c>
      <c r="K416" s="67" t="s">
        <v>1055</v>
      </c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 vm="4525">
        <f>CUBEVALUE(ConnectionString,ReportMonth,Table1[[#This Row],[Site ID (from DATIM)]],"TX_NEW_2VIS")</f>
        <v>3</v>
      </c>
      <c r="AE416" s="67" vm="1569">
        <f>CUBEVALUE(ConnectionString,ReportMonth,Table1[[#This Row],[Site ID (from DATIM)]],INDEX(SDI_Measures,1))</f>
        <v>1</v>
      </c>
      <c r="AF416" s="67" t="str" vm="4240">
        <f>CUBEVALUE(ConnectionString,ReportMonth,Table1[[#This Row],[Site ID (from DATIM)]],INDEX(SDI_Measures,2))</f>
        <v/>
      </c>
      <c r="AG416" s="67" t="str" vm="372">
        <f>CUBEVALUE(ConnectionString,ReportMonth,Table1[[#This Row],[Site ID (from DATIM)]],INDEX(SDI_Measures,3))</f>
        <v/>
      </c>
      <c r="AH416" s="67" vm="824">
        <f>CUBEVALUE(ConnectionString,ReportMonth,Table1[[#This Row],[Site ID (from DATIM)]],"TX_CURR_PRIOR_MONTH")</f>
        <v>295</v>
      </c>
      <c r="AI416" s="67" vm="2391">
        <f>CUBEVALUE(ConnectionString,ReportMonth,Table1[[#This Row],[Site ID (from DATIM)]],"TX_CURR")</f>
        <v>270</v>
      </c>
      <c r="AJ416" s="67" vm="7405">
        <f>CUBEVALUE(ConnectionString,ReportMonth,Table1[[#This Row],[Site ID (from DATIM)]],"[Measures].[TI]")</f>
        <v>1</v>
      </c>
      <c r="AK416" s="67" vm="1612">
        <f>CUBEVALUE(ConnectionString,ReportMonth,Table1[[#This Row],[Site ID (from DATIM)]],"[Measures].[TO]")</f>
        <v>2</v>
      </c>
      <c r="AL416" s="67" t="str" vm="4268">
        <f>CUBEVALUE(ConnectionString,ReportMonth,Table1[[#This Row],[Site ID (from DATIM)]],"[Measures].[DIED]")</f>
        <v/>
      </c>
      <c r="AM416" s="67" vm="8996">
        <f>CUBEVALUE(ConnectionString,ReportMonth,Table1[[#This Row],[Site ID (from DATIM)]],"[Measures].[MMS_01_31]")</f>
        <v>48</v>
      </c>
      <c r="AN416" s="67" vm="5012">
        <f>CUBEVALUE(ConnectionString,ReportMonth,Table1[[#This Row],[Site ID (from DATIM)]],"[Measures].[MMS_32_62]")</f>
        <v>4</v>
      </c>
      <c r="AO416" s="67" vm="9530">
        <f>CUBEVALUE(ConnectionString,ReportMonth,Table1[[#This Row],[Site ID (from DATIM)]],"[Measures].[MMS_63+]")</f>
        <v>218</v>
      </c>
      <c r="AP416" s="67" vm="5207">
        <f>CUBEVALUE(ConnectionString,ReportMonth,Table1[[#This Row],[Site ID (from DATIM)]],"[Measures].[TBPREV_D]")</f>
        <v>8</v>
      </c>
      <c r="AQ416" s="67" vm="7765">
        <f>CUBEVALUE(ConnectionString,ReportMonth,Table1[[#This Row],[Site ID (from DATIM)]],"[Measures].[TBPREV_N]")</f>
        <v>3</v>
      </c>
      <c r="AR416" s="67" t="str" vm="4853">
        <f>CUBEVALUE(ConnectionString,ReportMonth,Table1[[#This Row],[Site ID (from DATIM)]],"[Measures].[TBPREV_NEW]")</f>
        <v/>
      </c>
      <c r="AS416" s="67" vm="7179">
        <f>CUBEVALUE(ConnectionString,ReportMonth,Table1[[#This Row],[Site ID (from DATIM)]],"[Measures].[HVL_ELIG_P]")</f>
        <v>14</v>
      </c>
      <c r="AT416" s="67" vm="6044">
        <f>CUBEVALUE(ConnectionString,ReportMonth,Table1[[#This Row],[Site ID (from DATIM)]],"[Measures].[HVL_D_P]")</f>
        <v>14</v>
      </c>
      <c r="AU416" s="67" vm="8698">
        <f>CUBEVALUE(ConnectionString,ReportMonth,Table1[[#This Row],[Site ID (from DATIM)]],"[Measures].[HVL_N_P]")</f>
        <v>13</v>
      </c>
      <c r="AV416" s="68" vm="11934">
        <f>CUBEVALUE(ConnectionString,ReportMonth,Table1[[#This Row],[Site ID (from DATIM)]],"[Measures].[HVL_ELIG_A]")</f>
        <v>223</v>
      </c>
      <c r="AW416" s="68" vm="11321">
        <f>CUBEVALUE(ConnectionString,ReportMonth,Table1[[#This Row],[Site ID (from DATIM)]],"[Measures].[HVL_D_A]")</f>
        <v>235</v>
      </c>
      <c r="AX416" s="68" vm="8462">
        <f>CUBEVALUE(ConnectionString,ReportMonth,Table1[[#This Row],[Site ID (from DATIM)]],"[Measures].[HVL_N_A]")</f>
        <v>225</v>
      </c>
      <c r="AY416" s="67"/>
      <c r="AZ416" s="67"/>
      <c r="BA416" s="67"/>
      <c r="BB416" s="67"/>
      <c r="BC416" s="67"/>
      <c r="BD416" s="67"/>
      <c r="BE416" s="67"/>
      <c r="BF416" s="67"/>
      <c r="BG416" s="67" t="str" vm="10375">
        <f>CUBEVALUE(ConnectionString,ReportMonth,Table1[[#This Row],[Site ID (from DATIM)]],"[Measures].[TX_NEW_F_A]")</f>
        <v/>
      </c>
      <c r="BH416" s="67" vm="10132">
        <f>CUBEVALUE(ConnectionString,ReportMonth,Table1[[#This Row],[Site ID (from DATIM)]],"[Measures].[TX_NEW_M_A]")</f>
        <v>1</v>
      </c>
      <c r="BI416" s="67" t="str" vm="13193">
        <f>CUBEVALUE(ConnectionString,ReportMonth,Table1[[#This Row],[Site ID (from DATIM)]],"[Measures].[TX_NEW_F_P]")</f>
        <v/>
      </c>
      <c r="BJ416" s="68" t="str" vm="12353">
        <f>CUBEVALUE(ConnectionString,ReportMonth,Table1[[#This Row],[Site ID (from DATIM)]],"[Measures].[TX_NEW_M_P]")</f>
        <v/>
      </c>
      <c r="BK416" s="68"/>
      <c r="BL416" s="68"/>
      <c r="BM416" s="68"/>
      <c r="BN416" s="68"/>
      <c r="BO416" s="68"/>
      <c r="BP416" s="68"/>
      <c r="BQ416" s="68" vm="7717">
        <f>CUBEVALUE(ConnectionString,ReportMonth,Table1[[#This Row],[Site ID (from DATIM)]],"[Measures].[TX_CURR_F_P]")</f>
        <v>6</v>
      </c>
      <c r="BR416" s="68" vm="11763">
        <f>CUBEVALUE(ConnectionString,ReportMonth,Table1[[#This Row],[Site ID (from DATIM)]],"[Measures].[TX_CURR_M_P]")</f>
        <v>9</v>
      </c>
      <c r="BS416" s="68" vm="12679">
        <f>CUBEVALUE(ConnectionString,ReportMonth,Table1[[#This Row],[Site ID (from DATIM)]],"[Measures].[TX_CURR_F_A]")</f>
        <v>164</v>
      </c>
      <c r="BT416" s="68" vm="14822">
        <f>CUBEVALUE(ConnectionString,ReportMonth,Table1[[#This Row],[Site ID (from DATIM)]],"[Measures].[TX_CURR_M_A]")</f>
        <v>92</v>
      </c>
      <c r="BU416" s="68" vm="19760">
        <f>CUBEVALUE(ConnectionString,ReportMonth,Table1[[#This Row],[Site ID (from DATIM)]],"[Measures].[MMS_01_89_F_P]")</f>
        <v>1</v>
      </c>
      <c r="BV416" s="68" vm="19527">
        <f>CUBEVALUE(ConnectionString,ReportMonth,Table1[[#This Row],[Site ID (from DATIM)]],"[Measures].[MMS_01_89_M_P]")</f>
        <v>3</v>
      </c>
      <c r="BW416" s="68" vm="19444">
        <f>CUBEVALUE(ConnectionString,ReportMonth,Table1[[#This Row],[Site ID (from DATIM)]],"[Measures].[MMS_01_89_F_A]")</f>
        <v>36</v>
      </c>
      <c r="BX416" s="68" vm="19130">
        <f>CUBEVALUE(ConnectionString,ReportMonth,Table1[[#This Row],[Site ID (from DATIM)]],"[Measures].[MMS_01_89_M_A]")</f>
        <v>13</v>
      </c>
      <c r="BY416" s="68" vm="18254">
        <f>CUBEVALUE(ConnectionString,ReportMonth,Table1[[#This Row],[Site ID (from DATIM)]],"[Measures].[MMS_90_179_F_P]")</f>
        <v>5</v>
      </c>
      <c r="BZ416" s="68" vm="19327">
        <f>CUBEVALUE(ConnectionString,ReportMonth,Table1[[#This Row],[Site ID (from DATIM)]],"[Measures].[MMS_90_179_M_P]")</f>
        <v>6</v>
      </c>
      <c r="CA416" s="68" vm="19842">
        <f>CUBEVALUE(ConnectionString,ReportMonth,Table1[[#This Row],[Site ID (from DATIM)]],"[Measures].[MMS_90_179_F_A]")</f>
        <v>128</v>
      </c>
      <c r="CB416" s="68" vm="14518">
        <f>CUBEVALUE(ConnectionString,ReportMonth,Table1[[#This Row],[Site ID (from DATIM)]],"[Measures].[MMS_90_179_M_A]")</f>
        <v>79</v>
      </c>
      <c r="CC416" s="68" t="str" vm="15564">
        <f>CUBEVALUE(ConnectionString,ReportMonth,Table1[[#This Row],[Site ID (from DATIM)]],"[Measures].[MMS_180+_F_P]")</f>
        <v/>
      </c>
      <c r="CD416" s="68" t="str" vm="16655">
        <f>CUBEVALUE(ConnectionString,ReportMonth,Table1[[#This Row],[Site ID (from DATIM)]],"[Measures].[MMS_180+_M_P]")</f>
        <v/>
      </c>
      <c r="CE416" s="68" t="str" vm="15383">
        <f>CUBEVALUE(ConnectionString,ReportMonth,Table1[[#This Row],[Site ID (from DATIM)]],"[Measures].[MMS_180+_F_A]")</f>
        <v/>
      </c>
      <c r="CF416" s="68" t="str" vm="174">
        <f>CUBEVALUE(ConnectionString,ReportMonth,Table1[[#This Row],[Site ID (from DATIM)]],"[Measures].[MMS_180+_M_A]")</f>
        <v/>
      </c>
      <c r="CG416" s="68" vm="8436">
        <f>CUBEVALUE(ConnectionString,ReportMonth,Table1[[#This Row],[Site ID (from DATIM)]],"[Measures].[MISSEDAPP]")</f>
        <v>104</v>
      </c>
      <c r="CH416" s="68" t="str" vm="14016">
        <f>CUBEVALUE(ConnectionString,ReportMonth,Table1[[#This Row],[Site ID (from DATIM)]],"[Measures].[MMS_180+_P]")</f>
        <v/>
      </c>
      <c r="CI416" s="68" t="str" vm="12483">
        <f>CUBEVALUE(ConnectionString,ReportMonth,Table1[[#This Row],[Site ID (from DATIM)]],"[Measures].[MMS_180+_A]")</f>
        <v/>
      </c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</row>
    <row r="417" spans="1:107" x14ac:dyDescent="0.25">
      <c r="A417" s="66">
        <v>4</v>
      </c>
      <c r="B417" s="67" t="str" vm="4">
        <f t="shared" si="7"/>
        <v>Mar-2021</v>
      </c>
      <c r="C417" s="67"/>
      <c r="D417" s="67" t="s">
        <v>232</v>
      </c>
      <c r="E417" s="67" t="s">
        <v>233</v>
      </c>
      <c r="F417" s="67" t="s">
        <v>831</v>
      </c>
      <c r="G417" s="67"/>
      <c r="H417" s="67" t="s">
        <v>832</v>
      </c>
      <c r="I417" s="67" t="s">
        <v>1038</v>
      </c>
      <c r="J417" s="67" t="s">
        <v>1056</v>
      </c>
      <c r="K417" s="67" t="s">
        <v>1057</v>
      </c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 vm="1399">
        <f>CUBEVALUE(ConnectionString,ReportMonth,Table1[[#This Row],[Site ID (from DATIM)]],"TX_NEW_2VIS")</f>
        <v>1</v>
      </c>
      <c r="AE417" s="67" t="str" vm="1657">
        <f>CUBEVALUE(ConnectionString,ReportMonth,Table1[[#This Row],[Site ID (from DATIM)]],INDEX(SDI_Measures,1))</f>
        <v/>
      </c>
      <c r="AF417" s="67" t="str" vm="4389">
        <f>CUBEVALUE(ConnectionString,ReportMonth,Table1[[#This Row],[Site ID (from DATIM)]],INDEX(SDI_Measures,2))</f>
        <v/>
      </c>
      <c r="AG417" s="67" t="str" vm="3983">
        <f>CUBEVALUE(ConnectionString,ReportMonth,Table1[[#This Row],[Site ID (from DATIM)]],INDEX(SDI_Measures,3))</f>
        <v/>
      </c>
      <c r="AH417" s="67" vm="1675">
        <f>CUBEVALUE(ConnectionString,ReportMonth,Table1[[#This Row],[Site ID (from DATIM)]],"TX_CURR_PRIOR_MONTH")</f>
        <v>191</v>
      </c>
      <c r="AI417" s="67" vm="3667">
        <f>CUBEVALUE(ConnectionString,ReportMonth,Table1[[#This Row],[Site ID (from DATIM)]],"TX_CURR")</f>
        <v>164</v>
      </c>
      <c r="AJ417" s="67" t="str" vm="2763">
        <f>CUBEVALUE(ConnectionString,ReportMonth,Table1[[#This Row],[Site ID (from DATIM)]],"[Measures].[TI]")</f>
        <v/>
      </c>
      <c r="AK417" s="67" t="str" vm="4433">
        <f>CUBEVALUE(ConnectionString,ReportMonth,Table1[[#This Row],[Site ID (from DATIM)]],"[Measures].[TO]")</f>
        <v/>
      </c>
      <c r="AL417" s="67" t="str" vm="3265">
        <f>CUBEVALUE(ConnectionString,ReportMonth,Table1[[#This Row],[Site ID (from DATIM)]],"[Measures].[DIED]")</f>
        <v/>
      </c>
      <c r="AM417" s="67" vm="4126">
        <f>CUBEVALUE(ConnectionString,ReportMonth,Table1[[#This Row],[Site ID (from DATIM)]],"[Measures].[MMS_01_31]")</f>
        <v>45</v>
      </c>
      <c r="AN417" s="67" vm="7429">
        <f>CUBEVALUE(ConnectionString,ReportMonth,Table1[[#This Row],[Site ID (from DATIM)]],"[Measures].[MMS_32_62]")</f>
        <v>3</v>
      </c>
      <c r="AO417" s="67" vm="9167">
        <f>CUBEVALUE(ConnectionString,ReportMonth,Table1[[#This Row],[Site ID (from DATIM)]],"[Measures].[MMS_63+]")</f>
        <v>116</v>
      </c>
      <c r="AP417" s="67" vm="9221">
        <f>CUBEVALUE(ConnectionString,ReportMonth,Table1[[#This Row],[Site ID (from DATIM)]],"[Measures].[TBPREV_D]")</f>
        <v>4</v>
      </c>
      <c r="AQ417" s="67" vm="4957">
        <f>CUBEVALUE(ConnectionString,ReportMonth,Table1[[#This Row],[Site ID (from DATIM)]],"[Measures].[TBPREV_N]")</f>
        <v>2</v>
      </c>
      <c r="AR417" s="67" t="str" vm="4905">
        <f>CUBEVALUE(ConnectionString,ReportMonth,Table1[[#This Row],[Site ID (from DATIM)]],"[Measures].[TBPREV_NEW]")</f>
        <v/>
      </c>
      <c r="AS417" s="67" vm="9111">
        <f>CUBEVALUE(ConnectionString,ReportMonth,Table1[[#This Row],[Site ID (from DATIM)]],"[Measures].[HVL_ELIG_P]")</f>
        <v>7</v>
      </c>
      <c r="AT417" s="67" vm="11439">
        <f>CUBEVALUE(ConnectionString,ReportMonth,Table1[[#This Row],[Site ID (from DATIM)]],"[Measures].[HVL_D_P]")</f>
        <v>4</v>
      </c>
      <c r="AU417" s="67" vm="12012">
        <f>CUBEVALUE(ConnectionString,ReportMonth,Table1[[#This Row],[Site ID (from DATIM)]],"[Measures].[HVL_N_P]")</f>
        <v>2</v>
      </c>
      <c r="AV417" s="68" vm="12132">
        <f>CUBEVALUE(ConnectionString,ReportMonth,Table1[[#This Row],[Site ID (from DATIM)]],"[Measures].[HVL_ELIG_A]")</f>
        <v>150</v>
      </c>
      <c r="AW417" s="68" vm="9855">
        <f>CUBEVALUE(ConnectionString,ReportMonth,Table1[[#This Row],[Site ID (from DATIM)]],"[Measures].[HVL_D_A]")</f>
        <v>145</v>
      </c>
      <c r="AX417" s="68" vm="8831">
        <f>CUBEVALUE(ConnectionString,ReportMonth,Table1[[#This Row],[Site ID (from DATIM)]],"[Measures].[HVL_N_A]")</f>
        <v>136</v>
      </c>
      <c r="AY417" s="67"/>
      <c r="AZ417" s="67"/>
      <c r="BA417" s="67"/>
      <c r="BB417" s="67"/>
      <c r="BC417" s="67"/>
      <c r="BD417" s="67"/>
      <c r="BE417" s="67"/>
      <c r="BF417" s="67"/>
      <c r="BG417" s="67" t="str" vm="12392">
        <f>CUBEVALUE(ConnectionString,ReportMonth,Table1[[#This Row],[Site ID (from DATIM)]],"[Measures].[TX_NEW_F_A]")</f>
        <v/>
      </c>
      <c r="BH417" s="67" t="str" vm="13684">
        <f>CUBEVALUE(ConnectionString,ReportMonth,Table1[[#This Row],[Site ID (from DATIM)]],"[Measures].[TX_NEW_M_A]")</f>
        <v/>
      </c>
      <c r="BI417" s="67" t="str" vm="15306">
        <f>CUBEVALUE(ConnectionString,ReportMonth,Table1[[#This Row],[Site ID (from DATIM)]],"[Measures].[TX_NEW_F_P]")</f>
        <v/>
      </c>
      <c r="BJ417" s="68" t="str" vm="14399">
        <f>CUBEVALUE(ConnectionString,ReportMonth,Table1[[#This Row],[Site ID (from DATIM)]],"[Measures].[TX_NEW_M_P]")</f>
        <v/>
      </c>
      <c r="BK417" s="68"/>
      <c r="BL417" s="68"/>
      <c r="BM417" s="68"/>
      <c r="BN417" s="68"/>
      <c r="BO417" s="68"/>
      <c r="BP417" s="68"/>
      <c r="BQ417" s="68" vm="8921">
        <f>CUBEVALUE(ConnectionString,ReportMonth,Table1[[#This Row],[Site ID (from DATIM)]],"[Measures].[TX_CURR_F_P]")</f>
        <v>3</v>
      </c>
      <c r="BR417" s="68" vm="13285">
        <f>CUBEVALUE(ConnectionString,ReportMonth,Table1[[#This Row],[Site ID (from DATIM)]],"[Measures].[TX_CURR_M_P]")</f>
        <v>4</v>
      </c>
      <c r="BS417" s="68" vm="9057">
        <f>CUBEVALUE(ConnectionString,ReportMonth,Table1[[#This Row],[Site ID (from DATIM)]],"[Measures].[TX_CURR_F_A]")</f>
        <v>112</v>
      </c>
      <c r="BT417" s="68" vm="12206">
        <f>CUBEVALUE(ConnectionString,ReportMonth,Table1[[#This Row],[Site ID (from DATIM)]],"[Measures].[TX_CURR_M_A]")</f>
        <v>45</v>
      </c>
      <c r="BU417" s="68" vm="18112">
        <f>CUBEVALUE(ConnectionString,ReportMonth,Table1[[#This Row],[Site ID (from DATIM)]],"[Measures].[MMS_01_89_F_P]")</f>
        <v>2</v>
      </c>
      <c r="BV417" s="68" vm="19895">
        <f>CUBEVALUE(ConnectionString,ReportMonth,Table1[[#This Row],[Site ID (from DATIM)]],"[Measures].[MMS_01_89_M_P]")</f>
        <v>4</v>
      </c>
      <c r="BW417" s="68" vm="19738">
        <f>CUBEVALUE(ConnectionString,ReportMonth,Table1[[#This Row],[Site ID (from DATIM)]],"[Measures].[MMS_01_89_F_A]")</f>
        <v>37</v>
      </c>
      <c r="BX417" s="68" vm="16086">
        <f>CUBEVALUE(ConnectionString,ReportMonth,Table1[[#This Row],[Site ID (from DATIM)]],"[Measures].[MMS_01_89_M_A]")</f>
        <v>6</v>
      </c>
      <c r="BY417" s="68" vm="16109">
        <f>CUBEVALUE(ConnectionString,ReportMonth,Table1[[#This Row],[Site ID (from DATIM)]],"[Measures].[MMS_90_179_F_P]")</f>
        <v>1</v>
      </c>
      <c r="BZ417" s="68" t="str" vm="17821">
        <f>CUBEVALUE(ConnectionString,ReportMonth,Table1[[#This Row],[Site ID (from DATIM)]],"[Measures].[MMS_90_179_M_P]")</f>
        <v/>
      </c>
      <c r="CA417" s="68" vm="15060">
        <f>CUBEVALUE(ConnectionString,ReportMonth,Table1[[#This Row],[Site ID (from DATIM)]],"[Measures].[MMS_90_179_F_A]")</f>
        <v>75</v>
      </c>
      <c r="CB417" s="68" vm="16010">
        <f>CUBEVALUE(ConnectionString,ReportMonth,Table1[[#This Row],[Site ID (from DATIM)]],"[Measures].[MMS_90_179_M_A]")</f>
        <v>39</v>
      </c>
      <c r="CC417" s="68" t="str" vm="20209">
        <f>CUBEVALUE(ConnectionString,ReportMonth,Table1[[#This Row],[Site ID (from DATIM)]],"[Measures].[MMS_180+_F_P]")</f>
        <v/>
      </c>
      <c r="CD417" s="68" t="str" vm="15778">
        <f>CUBEVALUE(ConnectionString,ReportMonth,Table1[[#This Row],[Site ID (from DATIM)]],"[Measures].[MMS_180+_M_P]")</f>
        <v/>
      </c>
      <c r="CE417" s="68" t="str" vm="17552">
        <f>CUBEVALUE(ConnectionString,ReportMonth,Table1[[#This Row],[Site ID (from DATIM)]],"[Measures].[MMS_180+_F_A]")</f>
        <v/>
      </c>
      <c r="CF417" s="68" t="str" vm="15378">
        <f>CUBEVALUE(ConnectionString,ReportMonth,Table1[[#This Row],[Site ID (from DATIM)]],"[Measures].[MMS_180+_M_A]")</f>
        <v/>
      </c>
      <c r="CG417" s="68" vm="9939">
        <f>CUBEVALUE(ConnectionString,ReportMonth,Table1[[#This Row],[Site ID (from DATIM)]],"[Measures].[MISSEDAPP]")</f>
        <v>71</v>
      </c>
      <c r="CH417" s="68" t="str" vm="13776">
        <f>CUBEVALUE(ConnectionString,ReportMonth,Table1[[#This Row],[Site ID (from DATIM)]],"[Measures].[MMS_180+_P]")</f>
        <v/>
      </c>
      <c r="CI417" s="68" t="str" vm="12140">
        <f>CUBEVALUE(ConnectionString,ReportMonth,Table1[[#This Row],[Site ID (from DATIM)]],"[Measures].[MMS_180+_A]")</f>
        <v/>
      </c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  <c r="CW417" s="68"/>
      <c r="CX417" s="68"/>
      <c r="CY417" s="68"/>
      <c r="CZ417" s="68"/>
      <c r="DA417" s="68"/>
      <c r="DB417" s="68"/>
      <c r="DC417" s="68"/>
    </row>
    <row r="418" spans="1:107" x14ac:dyDescent="0.25">
      <c r="A418" s="66">
        <v>3</v>
      </c>
      <c r="B418" s="67" t="str" vm="4">
        <f t="shared" si="7"/>
        <v>Mar-2021</v>
      </c>
      <c r="C418" s="67"/>
      <c r="D418" s="67" t="s">
        <v>232</v>
      </c>
      <c r="E418" s="67" t="s">
        <v>233</v>
      </c>
      <c r="F418" s="67" t="s">
        <v>831</v>
      </c>
      <c r="G418" s="67"/>
      <c r="H418" s="67" t="s">
        <v>836</v>
      </c>
      <c r="I418" s="67" t="s">
        <v>1020</v>
      </c>
      <c r="J418" s="67" t="s">
        <v>1058</v>
      </c>
      <c r="K418" s="67" t="s">
        <v>1059</v>
      </c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 t="str" vm="744">
        <f>CUBEVALUE(ConnectionString,ReportMonth,Table1[[#This Row],[Site ID (from DATIM)]],"TX_NEW_2VIS")</f>
        <v/>
      </c>
      <c r="AE418" s="67" t="str" vm="4549">
        <f>CUBEVALUE(ConnectionString,ReportMonth,Table1[[#This Row],[Site ID (from DATIM)]],INDEX(SDI_Measures,1))</f>
        <v/>
      </c>
      <c r="AF418" s="67" t="str" vm="392">
        <f>CUBEVALUE(ConnectionString,ReportMonth,Table1[[#This Row],[Site ID (from DATIM)]],INDEX(SDI_Measures,2))</f>
        <v/>
      </c>
      <c r="AG418" s="67" t="str" vm="2516">
        <f>CUBEVALUE(ConnectionString,ReportMonth,Table1[[#This Row],[Site ID (from DATIM)]],INDEX(SDI_Measures,3))</f>
        <v/>
      </c>
      <c r="AH418" s="67" vm="2858">
        <f>CUBEVALUE(ConnectionString,ReportMonth,Table1[[#This Row],[Site ID (from DATIM)]],"TX_CURR_PRIOR_MONTH")</f>
        <v>234</v>
      </c>
      <c r="AI418" s="67" vm="3754">
        <f>CUBEVALUE(ConnectionString,ReportMonth,Table1[[#This Row],[Site ID (from DATIM)]],"TX_CURR")</f>
        <v>188</v>
      </c>
      <c r="AJ418" s="67" t="str" vm="4022">
        <f>CUBEVALUE(ConnectionString,ReportMonth,Table1[[#This Row],[Site ID (from DATIM)]],"[Measures].[TI]")</f>
        <v/>
      </c>
      <c r="AK418" s="67" t="str" vm="1188">
        <f>CUBEVALUE(ConnectionString,ReportMonth,Table1[[#This Row],[Site ID (from DATIM)]],"[Measures].[TO]")</f>
        <v/>
      </c>
      <c r="AL418" s="67" t="str" vm="4343">
        <f>CUBEVALUE(ConnectionString,ReportMonth,Table1[[#This Row],[Site ID (from DATIM)]],"[Measures].[DIED]")</f>
        <v/>
      </c>
      <c r="AM418" s="67" vm="5633">
        <f>CUBEVALUE(ConnectionString,ReportMonth,Table1[[#This Row],[Site ID (from DATIM)]],"[Measures].[MMS_01_31]")</f>
        <v>22</v>
      </c>
      <c r="AN418" s="67" vm="5337">
        <f>CUBEVALUE(ConnectionString,ReportMonth,Table1[[#This Row],[Site ID (from DATIM)]],"[Measures].[MMS_32_62]")</f>
        <v>1</v>
      </c>
      <c r="AO418" s="67" vm="6504">
        <f>CUBEVALUE(ConnectionString,ReportMonth,Table1[[#This Row],[Site ID (from DATIM)]],"[Measures].[MMS_63+]")</f>
        <v>165</v>
      </c>
      <c r="AP418" s="67" vm="7153">
        <f>CUBEVALUE(ConnectionString,ReportMonth,Table1[[#This Row],[Site ID (from DATIM)]],"[Measures].[TBPREV_D]")</f>
        <v>14</v>
      </c>
      <c r="AQ418" s="67" vm="4220">
        <f>CUBEVALUE(ConnectionString,ReportMonth,Table1[[#This Row],[Site ID (from DATIM)]],"[Measures].[TBPREV_N]")</f>
        <v>3</v>
      </c>
      <c r="AR418" s="67" t="str" vm="4195">
        <f>CUBEVALUE(ConnectionString,ReportMonth,Table1[[#This Row],[Site ID (from DATIM)]],"[Measures].[TBPREV_NEW]")</f>
        <v/>
      </c>
      <c r="AS418" s="67" t="str" vm="6921">
        <f>CUBEVALUE(ConnectionString,ReportMonth,Table1[[#This Row],[Site ID (from DATIM)]],"[Measures].[HVL_ELIG_P]")</f>
        <v/>
      </c>
      <c r="AT418" s="67" t="str" vm="5316">
        <f>CUBEVALUE(ConnectionString,ReportMonth,Table1[[#This Row],[Site ID (from DATIM)]],"[Measures].[HVL_D_P]")</f>
        <v/>
      </c>
      <c r="AU418" s="67" t="str" vm="9157">
        <f>CUBEVALUE(ConnectionString,ReportMonth,Table1[[#This Row],[Site ID (from DATIM)]],"[Measures].[HVL_N_P]")</f>
        <v/>
      </c>
      <c r="AV418" s="68" vm="6793">
        <f>CUBEVALUE(ConnectionString,ReportMonth,Table1[[#This Row],[Site ID (from DATIM)]],"[Measures].[HVL_ELIG_A]")</f>
        <v>156</v>
      </c>
      <c r="AW418" s="68" vm="9410">
        <f>CUBEVALUE(ConnectionString,ReportMonth,Table1[[#This Row],[Site ID (from DATIM)]],"[Measures].[HVL_D_A]")</f>
        <v>60</v>
      </c>
      <c r="AX418" s="68" vm="11025">
        <f>CUBEVALUE(ConnectionString,ReportMonth,Table1[[#This Row],[Site ID (from DATIM)]],"[Measures].[HVL_N_A]")</f>
        <v>58</v>
      </c>
      <c r="AY418" s="67"/>
      <c r="AZ418" s="67"/>
      <c r="BA418" s="67"/>
      <c r="BB418" s="67"/>
      <c r="BC418" s="67"/>
      <c r="BD418" s="67"/>
      <c r="BE418" s="67"/>
      <c r="BF418" s="67"/>
      <c r="BG418" s="67" t="str" vm="10913">
        <f>CUBEVALUE(ConnectionString,ReportMonth,Table1[[#This Row],[Site ID (from DATIM)]],"[Measures].[TX_NEW_F_A]")</f>
        <v/>
      </c>
      <c r="BH418" s="67" t="str" vm="10380">
        <f>CUBEVALUE(ConnectionString,ReportMonth,Table1[[#This Row],[Site ID (from DATIM)]],"[Measures].[TX_NEW_M_A]")</f>
        <v/>
      </c>
      <c r="BI418" s="67" t="str" vm="13957">
        <f>CUBEVALUE(ConnectionString,ReportMonth,Table1[[#This Row],[Site ID (from DATIM)]],"[Measures].[TX_NEW_F_P]")</f>
        <v/>
      </c>
      <c r="BJ418" s="68" t="str" vm="13480">
        <f>CUBEVALUE(ConnectionString,ReportMonth,Table1[[#This Row],[Site ID (from DATIM)]],"[Measures].[TX_NEW_M_P]")</f>
        <v/>
      </c>
      <c r="BK418" s="68"/>
      <c r="BL418" s="68"/>
      <c r="BM418" s="68"/>
      <c r="BN418" s="68"/>
      <c r="BO418" s="68"/>
      <c r="BP418" s="68"/>
      <c r="BQ418" s="68" t="str" vm="9191">
        <f>CUBEVALUE(ConnectionString,ReportMonth,Table1[[#This Row],[Site ID (from DATIM)]],"[Measures].[TX_CURR_F_P]")</f>
        <v/>
      </c>
      <c r="BR418" s="68" t="str" vm="9630">
        <f>CUBEVALUE(ConnectionString,ReportMonth,Table1[[#This Row],[Site ID (from DATIM)]],"[Measures].[TX_CURR_M_P]")</f>
        <v/>
      </c>
      <c r="BS418" s="68" vm="9851">
        <f>CUBEVALUE(ConnectionString,ReportMonth,Table1[[#This Row],[Site ID (from DATIM)]],"[Measures].[TX_CURR_F_A]")</f>
        <v>119</v>
      </c>
      <c r="BT418" s="68" vm="14064">
        <f>CUBEVALUE(ConnectionString,ReportMonth,Table1[[#This Row],[Site ID (from DATIM)]],"[Measures].[TX_CURR_M_A]")</f>
        <v>69</v>
      </c>
      <c r="BU418" s="68" t="str" vm="19455">
        <f>CUBEVALUE(ConnectionString,ReportMonth,Table1[[#This Row],[Site ID (from DATIM)]],"[Measures].[MMS_01_89_F_P]")</f>
        <v/>
      </c>
      <c r="BV418" s="68" t="str" vm="19811">
        <f>CUBEVALUE(ConnectionString,ReportMonth,Table1[[#This Row],[Site ID (from DATIM)]],"[Measures].[MMS_01_89_M_P]")</f>
        <v/>
      </c>
      <c r="BW418" s="68" vm="18918">
        <f>CUBEVALUE(ConnectionString,ReportMonth,Table1[[#This Row],[Site ID (from DATIM)]],"[Measures].[MMS_01_89_F_A]")</f>
        <v>17</v>
      </c>
      <c r="BX418" s="68" vm="18178">
        <f>CUBEVALUE(ConnectionString,ReportMonth,Table1[[#This Row],[Site ID (from DATIM)]],"[Measures].[MMS_01_89_M_A]")</f>
        <v>7</v>
      </c>
      <c r="BY418" s="68" t="str" vm="18466">
        <f>CUBEVALUE(ConnectionString,ReportMonth,Table1[[#This Row],[Site ID (from DATIM)]],"[Measures].[MMS_90_179_F_P]")</f>
        <v/>
      </c>
      <c r="BZ418" s="68" t="str" vm="16028">
        <f>CUBEVALUE(ConnectionString,ReportMonth,Table1[[#This Row],[Site ID (from DATIM)]],"[Measures].[MMS_90_179_M_P]")</f>
        <v/>
      </c>
      <c r="CA418" s="68" vm="17302">
        <f>CUBEVALUE(ConnectionString,ReportMonth,Table1[[#This Row],[Site ID (from DATIM)]],"[Measures].[MMS_90_179_F_A]")</f>
        <v>100</v>
      </c>
      <c r="CB418" s="68" vm="15616">
        <f>CUBEVALUE(ConnectionString,ReportMonth,Table1[[#This Row],[Site ID (from DATIM)]],"[Measures].[MMS_90_179_M_A]")</f>
        <v>60</v>
      </c>
      <c r="CC418" s="68" t="str" vm="16356">
        <f>CUBEVALUE(ConnectionString,ReportMonth,Table1[[#This Row],[Site ID (from DATIM)]],"[Measures].[MMS_180+_F_P]")</f>
        <v/>
      </c>
      <c r="CD418" s="68" t="str" vm="20243">
        <f>CUBEVALUE(ConnectionString,ReportMonth,Table1[[#This Row],[Site ID (from DATIM)]],"[Measures].[MMS_180+_M_P]")</f>
        <v/>
      </c>
      <c r="CE418" s="68" vm="336">
        <f>CUBEVALUE(ConnectionString,ReportMonth,Table1[[#This Row],[Site ID (from DATIM)]],"[Measures].[MMS_180+_F_A]")</f>
        <v>2</v>
      </c>
      <c r="CF418" s="68" vm="16279">
        <f>CUBEVALUE(ConnectionString,ReportMonth,Table1[[#This Row],[Site ID (from DATIM)]],"[Measures].[MMS_180+_M_A]")</f>
        <v>2</v>
      </c>
      <c r="CG418" s="68" vm="6784">
        <f>CUBEVALUE(ConnectionString,ReportMonth,Table1[[#This Row],[Site ID (from DATIM)]],"[Measures].[MISSEDAPP]")</f>
        <v>94</v>
      </c>
      <c r="CH418" s="68" t="str" vm="13376">
        <f>CUBEVALUE(ConnectionString,ReportMonth,Table1[[#This Row],[Site ID (from DATIM)]],"[Measures].[MMS_180+_P]")</f>
        <v/>
      </c>
      <c r="CI418" s="68" vm="12886">
        <f>CUBEVALUE(ConnectionString,ReportMonth,Table1[[#This Row],[Site ID (from DATIM)]],"[Measures].[MMS_180+_A]")</f>
        <v>4</v>
      </c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  <c r="CW418" s="68"/>
      <c r="CX418" s="68"/>
      <c r="CY418" s="68"/>
      <c r="CZ418" s="68"/>
      <c r="DA418" s="68"/>
      <c r="DB418" s="68"/>
      <c r="DC418" s="68"/>
    </row>
    <row r="419" spans="1:107" x14ac:dyDescent="0.25">
      <c r="A419" s="66">
        <v>4</v>
      </c>
      <c r="B419" s="67" t="str" vm="4">
        <f t="shared" si="7"/>
        <v>Mar-2021</v>
      </c>
      <c r="C419" s="67"/>
      <c r="D419" s="67" t="s">
        <v>232</v>
      </c>
      <c r="E419" s="67" t="s">
        <v>233</v>
      </c>
      <c r="F419" s="67" t="s">
        <v>1286</v>
      </c>
      <c r="G419" s="67"/>
      <c r="H419" s="67" t="s">
        <v>1291</v>
      </c>
      <c r="I419" s="67" t="s">
        <v>1335</v>
      </c>
      <c r="J419" s="67" t="s">
        <v>1523</v>
      </c>
      <c r="K419" s="67" t="s">
        <v>1524</v>
      </c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 t="str" vm="1059">
        <f>CUBEVALUE(ConnectionString,ReportMonth,Table1[[#This Row],[Site ID (from DATIM)]],"TX_NEW_2VIS")</f>
        <v/>
      </c>
      <c r="AE419" s="67" t="str" vm="2352">
        <f>CUBEVALUE(ConnectionString,ReportMonth,Table1[[#This Row],[Site ID (from DATIM)]],INDEX(SDI_Measures,1))</f>
        <v/>
      </c>
      <c r="AF419" s="67" t="str" vm="924">
        <f>CUBEVALUE(ConnectionString,ReportMonth,Table1[[#This Row],[Site ID (from DATIM)]],INDEX(SDI_Measures,2))</f>
        <v/>
      </c>
      <c r="AG419" s="67" t="str" vm="2669">
        <f>CUBEVALUE(ConnectionString,ReportMonth,Table1[[#This Row],[Site ID (from DATIM)]],INDEX(SDI_Measures,3))</f>
        <v/>
      </c>
      <c r="AH419" s="67" t="str" vm="2195">
        <f>CUBEVALUE(ConnectionString,ReportMonth,Table1[[#This Row],[Site ID (from DATIM)]],"TX_CURR_PRIOR_MONTH")</f>
        <v/>
      </c>
      <c r="AI419" s="67" t="str" vm="2414">
        <f>CUBEVALUE(ConnectionString,ReportMonth,Table1[[#This Row],[Site ID (from DATIM)]],"TX_CURR")</f>
        <v/>
      </c>
      <c r="AJ419" s="67" t="str" vm="1920">
        <f>CUBEVALUE(ConnectionString,ReportMonth,Table1[[#This Row],[Site ID (from DATIM)]],"[Measures].[TI]")</f>
        <v/>
      </c>
      <c r="AK419" s="67" t="str" vm="4106">
        <f>CUBEVALUE(ConnectionString,ReportMonth,Table1[[#This Row],[Site ID (from DATIM)]],"[Measures].[TO]")</f>
        <v/>
      </c>
      <c r="AL419" s="67" t="str" vm="1972">
        <f>CUBEVALUE(ConnectionString,ReportMonth,Table1[[#This Row],[Site ID (from DATIM)]],"[Measures].[DIED]")</f>
        <v/>
      </c>
      <c r="AM419" s="67" t="str" vm="4427">
        <f>CUBEVALUE(ConnectionString,ReportMonth,Table1[[#This Row],[Site ID (from DATIM)]],"[Measures].[MMS_01_31]")</f>
        <v/>
      </c>
      <c r="AN419" s="67" t="str" vm="5516">
        <f>CUBEVALUE(ConnectionString,ReportMonth,Table1[[#This Row],[Site ID (from DATIM)]],"[Measures].[MMS_32_62]")</f>
        <v/>
      </c>
      <c r="AO419" s="67" t="str" vm="5253">
        <f>CUBEVALUE(ConnectionString,ReportMonth,Table1[[#This Row],[Site ID (from DATIM)]],"[Measures].[MMS_63+]")</f>
        <v/>
      </c>
      <c r="AP419" s="67" t="str" vm="6466">
        <f>CUBEVALUE(ConnectionString,ReportMonth,Table1[[#This Row],[Site ID (from DATIM)]],"[Measures].[TBPREV_D]")</f>
        <v/>
      </c>
      <c r="AQ419" s="67" t="str" vm="6463">
        <f>CUBEVALUE(ConnectionString,ReportMonth,Table1[[#This Row],[Site ID (from DATIM)]],"[Measures].[TBPREV_N]")</f>
        <v/>
      </c>
      <c r="AR419" s="67" t="str" vm="4615">
        <f>CUBEVALUE(ConnectionString,ReportMonth,Table1[[#This Row],[Site ID (from DATIM)]],"[Measures].[TBPREV_NEW]")</f>
        <v/>
      </c>
      <c r="AS419" s="67" t="str" vm="11771">
        <f>CUBEVALUE(ConnectionString,ReportMonth,Table1[[#This Row],[Site ID (from DATIM)]],"[Measures].[HVL_ELIG_P]")</f>
        <v/>
      </c>
      <c r="AT419" s="67" t="str" vm="7926">
        <f>CUBEVALUE(ConnectionString,ReportMonth,Table1[[#This Row],[Site ID (from DATIM)]],"[Measures].[HVL_D_P]")</f>
        <v/>
      </c>
      <c r="AU419" s="67" t="str" vm="10609">
        <f>CUBEVALUE(ConnectionString,ReportMonth,Table1[[#This Row],[Site ID (from DATIM)]],"[Measures].[HVL_N_P]")</f>
        <v/>
      </c>
      <c r="AV419" s="68" t="str" vm="7976">
        <f>CUBEVALUE(ConnectionString,ReportMonth,Table1[[#This Row],[Site ID (from DATIM)]],"[Measures].[HVL_ELIG_A]")</f>
        <v/>
      </c>
      <c r="AW419" s="68" t="str" vm="8338">
        <f>CUBEVALUE(ConnectionString,ReportMonth,Table1[[#This Row],[Site ID (from DATIM)]],"[Measures].[HVL_D_A]")</f>
        <v/>
      </c>
      <c r="AX419" s="68" t="str" vm="10758">
        <f>CUBEVALUE(ConnectionString,ReportMonth,Table1[[#This Row],[Site ID (from DATIM)]],"[Measures].[HVL_N_A]")</f>
        <v/>
      </c>
      <c r="AY419" s="67"/>
      <c r="AZ419" s="67"/>
      <c r="BA419" s="67"/>
      <c r="BB419" s="67"/>
      <c r="BC419" s="67"/>
      <c r="BD419" s="67"/>
      <c r="BE419" s="67"/>
      <c r="BF419" s="67"/>
      <c r="BG419" s="67" t="str" vm="13052">
        <f>CUBEVALUE(ConnectionString,ReportMonth,Table1[[#This Row],[Site ID (from DATIM)]],"[Measures].[TX_NEW_F_A]")</f>
        <v/>
      </c>
      <c r="BH419" s="67" t="str" vm="13080">
        <f>CUBEVALUE(ConnectionString,ReportMonth,Table1[[#This Row],[Site ID (from DATIM)]],"[Measures].[TX_NEW_M_A]")</f>
        <v/>
      </c>
      <c r="BI419" s="67" t="str" vm="14195">
        <f>CUBEVALUE(ConnectionString,ReportMonth,Table1[[#This Row],[Site ID (from DATIM)]],"[Measures].[TX_NEW_F_P]")</f>
        <v/>
      </c>
      <c r="BJ419" s="68" t="str" vm="13130">
        <f>CUBEVALUE(ConnectionString,ReportMonth,Table1[[#This Row],[Site ID (from DATIM)]],"[Measures].[TX_NEW_M_P]")</f>
        <v/>
      </c>
      <c r="BK419" s="68"/>
      <c r="BL419" s="68"/>
      <c r="BM419" s="68"/>
      <c r="BN419" s="68"/>
      <c r="BO419" s="68"/>
      <c r="BP419" s="68"/>
      <c r="BQ419" s="68" t="str" vm="12938">
        <f>CUBEVALUE(ConnectionString,ReportMonth,Table1[[#This Row],[Site ID (from DATIM)]],"[Measures].[TX_CURR_F_P]")</f>
        <v/>
      </c>
      <c r="BR419" s="68" t="str" vm="8688">
        <f>CUBEVALUE(ConnectionString,ReportMonth,Table1[[#This Row],[Site ID (from DATIM)]],"[Measures].[TX_CURR_M_P]")</f>
        <v/>
      </c>
      <c r="BS419" s="68" t="str" vm="13806">
        <f>CUBEVALUE(ConnectionString,ReportMonth,Table1[[#This Row],[Site ID (from DATIM)]],"[Measures].[TX_CURR_F_A]")</f>
        <v/>
      </c>
      <c r="BT419" s="68" t="str" vm="10150">
        <f>CUBEVALUE(ConnectionString,ReportMonth,Table1[[#This Row],[Site ID (from DATIM)]],"[Measures].[TX_CURR_M_A]")</f>
        <v/>
      </c>
      <c r="BU419" s="68" t="str" vm="18080">
        <f>CUBEVALUE(ConnectionString,ReportMonth,Table1[[#This Row],[Site ID (from DATIM)]],"[Measures].[MMS_01_89_F_P]")</f>
        <v/>
      </c>
      <c r="BV419" s="68" t="str" vm="17729">
        <f>CUBEVALUE(ConnectionString,ReportMonth,Table1[[#This Row],[Site ID (from DATIM)]],"[Measures].[MMS_01_89_M_P]")</f>
        <v/>
      </c>
      <c r="BW419" s="68" t="str" vm="18917">
        <f>CUBEVALUE(ConnectionString,ReportMonth,Table1[[#This Row],[Site ID (from DATIM)]],"[Measures].[MMS_01_89_F_A]")</f>
        <v/>
      </c>
      <c r="BX419" s="68" t="str" vm="19669">
        <f>CUBEVALUE(ConnectionString,ReportMonth,Table1[[#This Row],[Site ID (from DATIM)]],"[Measures].[MMS_01_89_M_A]")</f>
        <v/>
      </c>
      <c r="BY419" s="68" t="str" vm="19164">
        <f>CUBEVALUE(ConnectionString,ReportMonth,Table1[[#This Row],[Site ID (from DATIM)]],"[Measures].[MMS_90_179_F_P]")</f>
        <v/>
      </c>
      <c r="BZ419" s="68" t="str" vm="19302">
        <f>CUBEVALUE(ConnectionString,ReportMonth,Table1[[#This Row],[Site ID (from DATIM)]],"[Measures].[MMS_90_179_M_P]")</f>
        <v/>
      </c>
      <c r="CA419" s="68" t="str" vm="14784">
        <f>CUBEVALUE(ConnectionString,ReportMonth,Table1[[#This Row],[Site ID (from DATIM)]],"[Measures].[MMS_90_179_F_A]")</f>
        <v/>
      </c>
      <c r="CB419" s="68" t="str" vm="15961">
        <f>CUBEVALUE(ConnectionString,ReportMonth,Table1[[#This Row],[Site ID (from DATIM)]],"[Measures].[MMS_90_179_M_A]")</f>
        <v/>
      </c>
      <c r="CC419" s="68" t="str" vm="17679">
        <f>CUBEVALUE(ConnectionString,ReportMonth,Table1[[#This Row],[Site ID (from DATIM)]],"[Measures].[MMS_180+_F_P]")</f>
        <v/>
      </c>
      <c r="CD419" s="68" t="str" vm="17508">
        <f>CUBEVALUE(ConnectionString,ReportMonth,Table1[[#This Row],[Site ID (from DATIM)]],"[Measures].[MMS_180+_M_P]")</f>
        <v/>
      </c>
      <c r="CE419" s="68" t="str" vm="145">
        <f>CUBEVALUE(ConnectionString,ReportMonth,Table1[[#This Row],[Site ID (from DATIM)]],"[Measures].[MMS_180+_F_A]")</f>
        <v/>
      </c>
      <c r="CF419" s="68" t="str" vm="224">
        <f>CUBEVALUE(ConnectionString,ReportMonth,Table1[[#This Row],[Site ID (from DATIM)]],"[Measures].[MMS_180+_M_A]")</f>
        <v/>
      </c>
      <c r="CG419" s="68" t="str" vm="7690">
        <f>CUBEVALUE(ConnectionString,ReportMonth,Table1[[#This Row],[Site ID (from DATIM)]],"[Measures].[MISSEDAPP]")</f>
        <v/>
      </c>
      <c r="CH419" s="68" t="str" vm="13336">
        <f>CUBEVALUE(ConnectionString,ReportMonth,Table1[[#This Row],[Site ID (from DATIM)]],"[Measures].[MMS_180+_P]")</f>
        <v/>
      </c>
      <c r="CI419" s="68" t="str" vm="13395">
        <f>CUBEVALUE(ConnectionString,ReportMonth,Table1[[#This Row],[Site ID (from DATIM)]],"[Measures].[MMS_180+_A]")</f>
        <v/>
      </c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  <c r="CW419" s="68"/>
      <c r="CX419" s="68"/>
      <c r="CY419" s="68"/>
      <c r="CZ419" s="68"/>
      <c r="DA419" s="68"/>
      <c r="DB419" s="68"/>
      <c r="DC419" s="68"/>
    </row>
    <row r="420" spans="1:107" x14ac:dyDescent="0.25">
      <c r="A420" s="66">
        <v>1</v>
      </c>
      <c r="B420" s="67" t="str" vm="4">
        <f t="shared" si="7"/>
        <v>Mar-2021</v>
      </c>
      <c r="C420" s="67"/>
      <c r="D420" s="67" t="s">
        <v>232</v>
      </c>
      <c r="E420" s="67" t="s">
        <v>233</v>
      </c>
      <c r="F420" s="67" t="s">
        <v>1286</v>
      </c>
      <c r="G420" s="67"/>
      <c r="H420" s="67" t="s">
        <v>1307</v>
      </c>
      <c r="I420" s="67" t="s">
        <v>1525</v>
      </c>
      <c r="J420" s="67" t="s">
        <v>1526</v>
      </c>
      <c r="K420" s="67" t="s">
        <v>1527</v>
      </c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 t="str" vm="4249">
        <f>CUBEVALUE(ConnectionString,ReportMonth,Table1[[#This Row],[Site ID (from DATIM)]],"TX_NEW_2VIS")</f>
        <v/>
      </c>
      <c r="AE420" s="67" t="str" vm="4021">
        <f>CUBEVALUE(ConnectionString,ReportMonth,Table1[[#This Row],[Site ID (from DATIM)]],INDEX(SDI_Measures,1))</f>
        <v/>
      </c>
      <c r="AF420" s="67" t="str" vm="2052">
        <f>CUBEVALUE(ConnectionString,ReportMonth,Table1[[#This Row],[Site ID (from DATIM)]],INDEX(SDI_Measures,2))</f>
        <v/>
      </c>
      <c r="AG420" s="67" t="str" vm="1733">
        <f>CUBEVALUE(ConnectionString,ReportMonth,Table1[[#This Row],[Site ID (from DATIM)]],INDEX(SDI_Measures,3))</f>
        <v/>
      </c>
      <c r="AH420" s="67" t="str" vm="2999">
        <f>CUBEVALUE(ConnectionString,ReportMonth,Table1[[#This Row],[Site ID (from DATIM)]],"TX_CURR_PRIOR_MONTH")</f>
        <v/>
      </c>
      <c r="AI420" s="67" t="str" vm="7800">
        <f>CUBEVALUE(ConnectionString,ReportMonth,Table1[[#This Row],[Site ID (from DATIM)]],"TX_CURR")</f>
        <v/>
      </c>
      <c r="AJ420" s="67" t="str" vm="3557">
        <f>CUBEVALUE(ConnectionString,ReportMonth,Table1[[#This Row],[Site ID (from DATIM)]],"[Measures].[TI]")</f>
        <v/>
      </c>
      <c r="AK420" s="67" t="str" vm="3989">
        <f>CUBEVALUE(ConnectionString,ReportMonth,Table1[[#This Row],[Site ID (from DATIM)]],"[Measures].[TO]")</f>
        <v/>
      </c>
      <c r="AL420" s="67" t="str" vm="2153">
        <f>CUBEVALUE(ConnectionString,ReportMonth,Table1[[#This Row],[Site ID (from DATIM)]],"[Measures].[DIED]")</f>
        <v/>
      </c>
      <c r="AM420" s="67" t="str" vm="5576">
        <f>CUBEVALUE(ConnectionString,ReportMonth,Table1[[#This Row],[Site ID (from DATIM)]],"[Measures].[MMS_01_31]")</f>
        <v/>
      </c>
      <c r="AN420" s="67" t="str" vm="5117">
        <f>CUBEVALUE(ConnectionString,ReportMonth,Table1[[#This Row],[Site ID (from DATIM)]],"[Measures].[MMS_32_62]")</f>
        <v/>
      </c>
      <c r="AO420" s="67" t="str" vm="7449">
        <f>CUBEVALUE(ConnectionString,ReportMonth,Table1[[#This Row],[Site ID (from DATIM)]],"[Measures].[MMS_63+]")</f>
        <v/>
      </c>
      <c r="AP420" s="67" t="str" vm="4619">
        <f>CUBEVALUE(ConnectionString,ReportMonth,Table1[[#This Row],[Site ID (from DATIM)]],"[Measures].[TBPREV_D]")</f>
        <v/>
      </c>
      <c r="AQ420" s="67" t="str" vm="5635">
        <f>CUBEVALUE(ConnectionString,ReportMonth,Table1[[#This Row],[Site ID (from DATIM)]],"[Measures].[TBPREV_N]")</f>
        <v/>
      </c>
      <c r="AR420" s="67" t="str" vm="8348">
        <f>CUBEVALUE(ConnectionString,ReportMonth,Table1[[#This Row],[Site ID (from DATIM)]],"[Measures].[TBPREV_NEW]")</f>
        <v/>
      </c>
      <c r="AS420" s="67" t="str" vm="8662">
        <f>CUBEVALUE(ConnectionString,ReportMonth,Table1[[#This Row],[Site ID (from DATIM)]],"[Measures].[HVL_ELIG_P]")</f>
        <v/>
      </c>
      <c r="AT420" s="67" t="str" vm="8228">
        <f>CUBEVALUE(ConnectionString,ReportMonth,Table1[[#This Row],[Site ID (from DATIM)]],"[Measures].[HVL_D_P]")</f>
        <v/>
      </c>
      <c r="AU420" s="67" t="str" vm="11840">
        <f>CUBEVALUE(ConnectionString,ReportMonth,Table1[[#This Row],[Site ID (from DATIM)]],"[Measures].[HVL_N_P]")</f>
        <v/>
      </c>
      <c r="AV420" s="68" t="str" vm="13909">
        <f>CUBEVALUE(ConnectionString,ReportMonth,Table1[[#This Row],[Site ID (from DATIM)]],"[Measures].[HVL_ELIG_A]")</f>
        <v/>
      </c>
      <c r="AW420" s="68" t="str" vm="7991">
        <f>CUBEVALUE(ConnectionString,ReportMonth,Table1[[#This Row],[Site ID (from DATIM)]],"[Measures].[HVL_D_A]")</f>
        <v/>
      </c>
      <c r="AX420" s="68" t="str" vm="11249">
        <f>CUBEVALUE(ConnectionString,ReportMonth,Table1[[#This Row],[Site ID (from DATIM)]],"[Measures].[HVL_N_A]")</f>
        <v/>
      </c>
      <c r="AY420" s="67"/>
      <c r="AZ420" s="67"/>
      <c r="BA420" s="67"/>
      <c r="BB420" s="67"/>
      <c r="BC420" s="67"/>
      <c r="BD420" s="67"/>
      <c r="BE420" s="67"/>
      <c r="BF420" s="67"/>
      <c r="BG420" s="67" t="str" vm="12547">
        <f>CUBEVALUE(ConnectionString,ReportMonth,Table1[[#This Row],[Site ID (from DATIM)]],"[Measures].[TX_NEW_F_A]")</f>
        <v/>
      </c>
      <c r="BH420" s="67" t="str" vm="13523">
        <f>CUBEVALUE(ConnectionString,ReportMonth,Table1[[#This Row],[Site ID (from DATIM)]],"[Measures].[TX_NEW_M_A]")</f>
        <v/>
      </c>
      <c r="BI420" s="67" t="str" vm="14320">
        <f>CUBEVALUE(ConnectionString,ReportMonth,Table1[[#This Row],[Site ID (from DATIM)]],"[Measures].[TX_NEW_F_P]")</f>
        <v/>
      </c>
      <c r="BJ420" s="68" t="str" vm="16584">
        <f>CUBEVALUE(ConnectionString,ReportMonth,Table1[[#This Row],[Site ID (from DATIM)]],"[Measures].[TX_NEW_M_P]")</f>
        <v/>
      </c>
      <c r="BK420" s="68"/>
      <c r="BL420" s="68"/>
      <c r="BM420" s="68"/>
      <c r="BN420" s="68"/>
      <c r="BO420" s="68"/>
      <c r="BP420" s="68"/>
      <c r="BQ420" s="68" t="str" vm="9124">
        <f>CUBEVALUE(ConnectionString,ReportMonth,Table1[[#This Row],[Site ID (from DATIM)]],"[Measures].[TX_CURR_F_P]")</f>
        <v/>
      </c>
      <c r="BR420" s="68" t="str" vm="8085">
        <f>CUBEVALUE(ConnectionString,ReportMonth,Table1[[#This Row],[Site ID (from DATIM)]],"[Measures].[TX_CURR_M_P]")</f>
        <v/>
      </c>
      <c r="BS420" s="68" t="str" vm="10854">
        <f>CUBEVALUE(ConnectionString,ReportMonth,Table1[[#This Row],[Site ID (from DATIM)]],"[Measures].[TX_CURR_F_A]")</f>
        <v/>
      </c>
      <c r="BT420" s="68" t="str" vm="9903">
        <f>CUBEVALUE(ConnectionString,ReportMonth,Table1[[#This Row],[Site ID (from DATIM)]],"[Measures].[TX_CURR_M_A]")</f>
        <v/>
      </c>
      <c r="BU420" s="68" t="str" vm="19251">
        <f>CUBEVALUE(ConnectionString,ReportMonth,Table1[[#This Row],[Site ID (from DATIM)]],"[Measures].[MMS_01_89_F_P]")</f>
        <v/>
      </c>
      <c r="BV420" s="68" t="str" vm="18632">
        <f>CUBEVALUE(ConnectionString,ReportMonth,Table1[[#This Row],[Site ID (from DATIM)]],"[Measures].[MMS_01_89_M_P]")</f>
        <v/>
      </c>
      <c r="BW420" s="68" t="str" vm="15220">
        <f>CUBEVALUE(ConnectionString,ReportMonth,Table1[[#This Row],[Site ID (from DATIM)]],"[Measures].[MMS_01_89_F_A]")</f>
        <v/>
      </c>
      <c r="BX420" s="68" t="str" vm="19127">
        <f>CUBEVALUE(ConnectionString,ReportMonth,Table1[[#This Row],[Site ID (from DATIM)]],"[Measures].[MMS_01_89_M_A]")</f>
        <v/>
      </c>
      <c r="BY420" s="68" t="str" vm="18255">
        <f>CUBEVALUE(ConnectionString,ReportMonth,Table1[[#This Row],[Site ID (from DATIM)]],"[Measures].[MMS_90_179_F_P]")</f>
        <v/>
      </c>
      <c r="BZ420" s="68" t="str" vm="16043">
        <f>CUBEVALUE(ConnectionString,ReportMonth,Table1[[#This Row],[Site ID (from DATIM)]],"[Measures].[MMS_90_179_M_P]")</f>
        <v/>
      </c>
      <c r="CA420" s="68" t="str" vm="17627">
        <f>CUBEVALUE(ConnectionString,ReportMonth,Table1[[#This Row],[Site ID (from DATIM)]],"[Measures].[MMS_90_179_F_A]")</f>
        <v/>
      </c>
      <c r="CB420" s="68" t="str" vm="17359">
        <f>CUBEVALUE(ConnectionString,ReportMonth,Table1[[#This Row],[Site ID (from DATIM)]],"[Measures].[MMS_90_179_M_A]")</f>
        <v/>
      </c>
      <c r="CC420" s="68" t="str" vm="16808">
        <f>CUBEVALUE(ConnectionString,ReportMonth,Table1[[#This Row],[Site ID (from DATIM)]],"[Measures].[MMS_180+_F_P]")</f>
        <v/>
      </c>
      <c r="CD420" s="68" t="str" vm="17147">
        <f>CUBEVALUE(ConnectionString,ReportMonth,Table1[[#This Row],[Site ID (from DATIM)]],"[Measures].[MMS_180+_M_P]")</f>
        <v/>
      </c>
      <c r="CE420" s="68" t="str" vm="16721">
        <f>CUBEVALUE(ConnectionString,ReportMonth,Table1[[#This Row],[Site ID (from DATIM)]],"[Measures].[MMS_180+_F_A]")</f>
        <v/>
      </c>
      <c r="CF420" s="68" t="str" vm="16634">
        <f>CUBEVALUE(ConnectionString,ReportMonth,Table1[[#This Row],[Site ID (from DATIM)]],"[Measures].[MMS_180+_M_A]")</f>
        <v/>
      </c>
      <c r="CG420" s="68" t="str" vm="5255">
        <f>CUBEVALUE(ConnectionString,ReportMonth,Table1[[#This Row],[Site ID (from DATIM)]],"[Measures].[MISSEDAPP]")</f>
        <v/>
      </c>
      <c r="CH420" s="68" t="str" vm="12974">
        <f>CUBEVALUE(ConnectionString,ReportMonth,Table1[[#This Row],[Site ID (from DATIM)]],"[Measures].[MMS_180+_P]")</f>
        <v/>
      </c>
      <c r="CI420" s="68" t="str" vm="17399">
        <f>CUBEVALUE(ConnectionString,ReportMonth,Table1[[#This Row],[Site ID (from DATIM)]],"[Measures].[MMS_180+_A]")</f>
        <v/>
      </c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  <c r="CW420" s="68"/>
      <c r="CX420" s="68"/>
      <c r="CY420" s="68"/>
      <c r="CZ420" s="68"/>
      <c r="DA420" s="68"/>
      <c r="DB420" s="68"/>
      <c r="DC420" s="68"/>
    </row>
    <row r="421" spans="1:107" x14ac:dyDescent="0.25">
      <c r="A421" s="66">
        <v>1</v>
      </c>
      <c r="B421" s="67" t="str" vm="4">
        <f t="shared" si="7"/>
        <v>Mar-2021</v>
      </c>
      <c r="C421" s="67"/>
      <c r="D421" s="67" t="s">
        <v>232</v>
      </c>
      <c r="E421" s="67" t="s">
        <v>233</v>
      </c>
      <c r="F421" s="67" t="s">
        <v>1286</v>
      </c>
      <c r="G421" s="67"/>
      <c r="H421" s="67" t="s">
        <v>1307</v>
      </c>
      <c r="I421" s="67" t="s">
        <v>1528</v>
      </c>
      <c r="J421" s="67" t="s">
        <v>1529</v>
      </c>
      <c r="K421" s="67" t="s">
        <v>1530</v>
      </c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 t="str" vm="2030">
        <f>CUBEVALUE(ConnectionString,ReportMonth,Table1[[#This Row],[Site ID (from DATIM)]],"TX_NEW_2VIS")</f>
        <v/>
      </c>
      <c r="AE421" s="67" t="str" vm="541">
        <f>CUBEVALUE(ConnectionString,ReportMonth,Table1[[#This Row],[Site ID (from DATIM)]],INDEX(SDI_Measures,1))</f>
        <v/>
      </c>
      <c r="AF421" s="67" t="str" vm="413">
        <f>CUBEVALUE(ConnectionString,ReportMonth,Table1[[#This Row],[Site ID (from DATIM)]],INDEX(SDI_Measures,2))</f>
        <v/>
      </c>
      <c r="AG421" s="67" t="str" vm="1271">
        <f>CUBEVALUE(ConnectionString,ReportMonth,Table1[[#This Row],[Site ID (from DATIM)]],INDEX(SDI_Measures,3))</f>
        <v/>
      </c>
      <c r="AH421" s="67" t="str" vm="2500">
        <f>CUBEVALUE(ConnectionString,ReportMonth,Table1[[#This Row],[Site ID (from DATIM)]],"TX_CURR_PRIOR_MONTH")</f>
        <v/>
      </c>
      <c r="AI421" s="67" t="str" vm="2620">
        <f>CUBEVALUE(ConnectionString,ReportMonth,Table1[[#This Row],[Site ID (from DATIM)]],"TX_CURR")</f>
        <v/>
      </c>
      <c r="AJ421" s="67" t="str" vm="1034">
        <f>CUBEVALUE(ConnectionString,ReportMonth,Table1[[#This Row],[Site ID (from DATIM)]],"[Measures].[TI]")</f>
        <v/>
      </c>
      <c r="AK421" s="67" t="str" vm="2291">
        <f>CUBEVALUE(ConnectionString,ReportMonth,Table1[[#This Row],[Site ID (from DATIM)]],"[Measures].[TO]")</f>
        <v/>
      </c>
      <c r="AL421" s="67" t="str" vm="4137">
        <f>CUBEVALUE(ConnectionString,ReportMonth,Table1[[#This Row],[Site ID (from DATIM)]],"[Measures].[DIED]")</f>
        <v/>
      </c>
      <c r="AM421" s="67" t="str" vm="4437">
        <f>CUBEVALUE(ConnectionString,ReportMonth,Table1[[#This Row],[Site ID (from DATIM)]],"[Measures].[MMS_01_31]")</f>
        <v/>
      </c>
      <c r="AN421" s="67" t="str" vm="3662">
        <f>CUBEVALUE(ConnectionString,ReportMonth,Table1[[#This Row],[Site ID (from DATIM)]],"[Measures].[MMS_32_62]")</f>
        <v/>
      </c>
      <c r="AO421" s="67" t="str" vm="4867">
        <f>CUBEVALUE(ConnectionString,ReportMonth,Table1[[#This Row],[Site ID (from DATIM)]],"[Measures].[MMS_63+]")</f>
        <v/>
      </c>
      <c r="AP421" s="67" t="str" vm="5730">
        <f>CUBEVALUE(ConnectionString,ReportMonth,Table1[[#This Row],[Site ID (from DATIM)]],"[Measures].[TBPREV_D]")</f>
        <v/>
      </c>
      <c r="AQ421" s="67" t="str" vm="5061">
        <f>CUBEVALUE(ConnectionString,ReportMonth,Table1[[#This Row],[Site ID (from DATIM)]],"[Measures].[TBPREV_N]")</f>
        <v/>
      </c>
      <c r="AR421" s="67" t="str" vm="6478">
        <f>CUBEVALUE(ConnectionString,ReportMonth,Table1[[#This Row],[Site ID (from DATIM)]],"[Measures].[TBPREV_NEW]")</f>
        <v/>
      </c>
      <c r="AS421" s="67" t="str" vm="4997">
        <f>CUBEVALUE(ConnectionString,ReportMonth,Table1[[#This Row],[Site ID (from DATIM)]],"[Measures].[HVL_ELIG_P]")</f>
        <v/>
      </c>
      <c r="AT421" s="67" t="str" vm="7527">
        <f>CUBEVALUE(ConnectionString,ReportMonth,Table1[[#This Row],[Site ID (from DATIM)]],"[Measures].[HVL_D_P]")</f>
        <v/>
      </c>
      <c r="AU421" s="67" t="str" vm="8390">
        <f>CUBEVALUE(ConnectionString,ReportMonth,Table1[[#This Row],[Site ID (from DATIM)]],"[Measures].[HVL_N_P]")</f>
        <v/>
      </c>
      <c r="AV421" s="68" t="str" vm="11557">
        <f>CUBEVALUE(ConnectionString,ReportMonth,Table1[[#This Row],[Site ID (from DATIM)]],"[Measures].[HVL_ELIG_A]")</f>
        <v/>
      </c>
      <c r="AW421" s="68" t="str" vm="8904">
        <f>CUBEVALUE(ConnectionString,ReportMonth,Table1[[#This Row],[Site ID (from DATIM)]],"[Measures].[HVL_D_A]")</f>
        <v/>
      </c>
      <c r="AX421" s="68" t="str" vm="8686">
        <f>CUBEVALUE(ConnectionString,ReportMonth,Table1[[#This Row],[Site ID (from DATIM)]],"[Measures].[HVL_N_A]")</f>
        <v/>
      </c>
      <c r="AY421" s="67"/>
      <c r="AZ421" s="67"/>
      <c r="BA421" s="67"/>
      <c r="BB421" s="67"/>
      <c r="BC421" s="67"/>
      <c r="BD421" s="67"/>
      <c r="BE421" s="67"/>
      <c r="BF421" s="67"/>
      <c r="BG421" s="67" t="str" vm="10125">
        <f>CUBEVALUE(ConnectionString,ReportMonth,Table1[[#This Row],[Site ID (from DATIM)]],"[Measures].[TX_NEW_F_A]")</f>
        <v/>
      </c>
      <c r="BH421" s="67" t="str" vm="14207">
        <f>CUBEVALUE(ConnectionString,ReportMonth,Table1[[#This Row],[Site ID (from DATIM)]],"[Measures].[TX_NEW_M_A]")</f>
        <v/>
      </c>
      <c r="BI421" s="67" t="str" vm="12285">
        <f>CUBEVALUE(ConnectionString,ReportMonth,Table1[[#This Row],[Site ID (from DATIM)]],"[Measures].[TX_NEW_F_P]")</f>
        <v/>
      </c>
      <c r="BJ421" s="68" t="str" vm="14214">
        <f>CUBEVALUE(ConnectionString,ReportMonth,Table1[[#This Row],[Site ID (from DATIM)]],"[Measures].[TX_NEW_M_P]")</f>
        <v/>
      </c>
      <c r="BK421" s="68"/>
      <c r="BL421" s="68"/>
      <c r="BM421" s="68"/>
      <c r="BN421" s="68"/>
      <c r="BO421" s="68"/>
      <c r="BP421" s="68"/>
      <c r="BQ421" s="68" t="str" vm="6589">
        <f>CUBEVALUE(ConnectionString,ReportMonth,Table1[[#This Row],[Site ID (from DATIM)]],"[Measures].[TX_CURR_F_P]")</f>
        <v/>
      </c>
      <c r="BR421" s="68" t="str" vm="10903">
        <f>CUBEVALUE(ConnectionString,ReportMonth,Table1[[#This Row],[Site ID (from DATIM)]],"[Measures].[TX_CURR_M_P]")</f>
        <v/>
      </c>
      <c r="BS421" s="68" t="str" vm="11252">
        <f>CUBEVALUE(ConnectionString,ReportMonth,Table1[[#This Row],[Site ID (from DATIM)]],"[Measures].[TX_CURR_F_A]")</f>
        <v/>
      </c>
      <c r="BT421" s="68" t="str" vm="15638">
        <f>CUBEVALUE(ConnectionString,ReportMonth,Table1[[#This Row],[Site ID (from DATIM)]],"[Measures].[TX_CURR_M_A]")</f>
        <v/>
      </c>
      <c r="BU421" s="68" t="str" vm="18736">
        <f>CUBEVALUE(ConnectionString,ReportMonth,Table1[[#This Row],[Site ID (from DATIM)]],"[Measures].[MMS_01_89_F_P]")</f>
        <v/>
      </c>
      <c r="BV421" s="68" t="str" vm="18951">
        <f>CUBEVALUE(ConnectionString,ReportMonth,Table1[[#This Row],[Site ID (from DATIM)]],"[Measures].[MMS_01_89_M_P]")</f>
        <v/>
      </c>
      <c r="BW421" s="68" t="str" vm="19483">
        <f>CUBEVALUE(ConnectionString,ReportMonth,Table1[[#This Row],[Site ID (from DATIM)]],"[Measures].[MMS_01_89_F_A]")</f>
        <v/>
      </c>
      <c r="BX421" s="68" t="str" vm="18870">
        <f>CUBEVALUE(ConnectionString,ReportMonth,Table1[[#This Row],[Site ID (from DATIM)]],"[Measures].[MMS_01_89_M_A]")</f>
        <v/>
      </c>
      <c r="BY421" s="68" t="str" vm="17948">
        <f>CUBEVALUE(ConnectionString,ReportMonth,Table1[[#This Row],[Site ID (from DATIM)]],"[Measures].[MMS_90_179_F_P]")</f>
        <v/>
      </c>
      <c r="BZ421" s="68" t="str" vm="16897">
        <f>CUBEVALUE(ConnectionString,ReportMonth,Table1[[#This Row],[Site ID (from DATIM)]],"[Measures].[MMS_90_179_M_P]")</f>
        <v/>
      </c>
      <c r="CA421" s="68" t="str" vm="15605">
        <f>CUBEVALUE(ConnectionString,ReportMonth,Table1[[#This Row],[Site ID (from DATIM)]],"[Measures].[MMS_90_179_F_A]")</f>
        <v/>
      </c>
      <c r="CB421" s="68" t="str" vm="16384">
        <f>CUBEVALUE(ConnectionString,ReportMonth,Table1[[#This Row],[Site ID (from DATIM)]],"[Measures].[MMS_90_179_M_A]")</f>
        <v/>
      </c>
      <c r="CC421" s="68" t="str" vm="15026">
        <f>CUBEVALUE(ConnectionString,ReportMonth,Table1[[#This Row],[Site ID (from DATIM)]],"[Measures].[MMS_180+_F_P]")</f>
        <v/>
      </c>
      <c r="CD421" s="68" t="str" vm="266">
        <f>CUBEVALUE(ConnectionString,ReportMonth,Table1[[#This Row],[Site ID (from DATIM)]],"[Measures].[MMS_180+_M_P]")</f>
        <v/>
      </c>
      <c r="CE421" s="68" t="str" vm="17478">
        <f>CUBEVALUE(ConnectionString,ReportMonth,Table1[[#This Row],[Site ID (from DATIM)]],"[Measures].[MMS_180+_F_A]")</f>
        <v/>
      </c>
      <c r="CF421" s="68" t="str" vm="14434">
        <f>CUBEVALUE(ConnectionString,ReportMonth,Table1[[#This Row],[Site ID (from DATIM)]],"[Measures].[MMS_180+_M_A]")</f>
        <v/>
      </c>
      <c r="CG421" s="68" t="str" vm="6981">
        <f>CUBEVALUE(ConnectionString,ReportMonth,Table1[[#This Row],[Site ID (from DATIM)]],"[Measures].[MISSEDAPP]")</f>
        <v/>
      </c>
      <c r="CH421" s="68" t="str" vm="13237">
        <f>CUBEVALUE(ConnectionString,ReportMonth,Table1[[#This Row],[Site ID (from DATIM)]],"[Measures].[MMS_180+_P]")</f>
        <v/>
      </c>
      <c r="CI421" s="68" t="str" vm="12044">
        <f>CUBEVALUE(ConnectionString,ReportMonth,Table1[[#This Row],[Site ID (from DATIM)]],"[Measures].[MMS_180+_A]")</f>
        <v/>
      </c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</row>
    <row r="422" spans="1:107" x14ac:dyDescent="0.25">
      <c r="A422" s="66">
        <v>4</v>
      </c>
      <c r="B422" s="67" t="str" vm="4">
        <f t="shared" si="7"/>
        <v>Mar-2021</v>
      </c>
      <c r="C422" s="67"/>
      <c r="D422" s="67" t="s">
        <v>232</v>
      </c>
      <c r="E422" s="67" t="s">
        <v>233</v>
      </c>
      <c r="F422" s="67" t="s">
        <v>234</v>
      </c>
      <c r="G422" s="67"/>
      <c r="H422" s="67" t="s">
        <v>239</v>
      </c>
      <c r="I422" s="67" t="s">
        <v>419</v>
      </c>
      <c r="J422" s="67" t="s">
        <v>420</v>
      </c>
      <c r="K422" s="67" t="s">
        <v>421</v>
      </c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 t="str" vm="5862">
        <f>CUBEVALUE(ConnectionString,ReportMonth,Table1[[#This Row],[Site ID (from DATIM)]],"TX_NEW_2VIS")</f>
        <v/>
      </c>
      <c r="AE422" s="67" vm="1384">
        <f>CUBEVALUE(ConnectionString,ReportMonth,Table1[[#This Row],[Site ID (from DATIM)]],INDEX(SDI_Measures,1))</f>
        <v>4</v>
      </c>
      <c r="AF422" s="67" t="str" vm="1545">
        <f>CUBEVALUE(ConnectionString,ReportMonth,Table1[[#This Row],[Site ID (from DATIM)]],INDEX(SDI_Measures,2))</f>
        <v/>
      </c>
      <c r="AG422" s="67" t="str" vm="1640">
        <f>CUBEVALUE(ConnectionString,ReportMonth,Table1[[#This Row],[Site ID (from DATIM)]],INDEX(SDI_Measures,3))</f>
        <v/>
      </c>
      <c r="AH422" s="67" vm="1269">
        <f>CUBEVALUE(ConnectionString,ReportMonth,Table1[[#This Row],[Site ID (from DATIM)]],"TX_CURR_PRIOR_MONTH")</f>
        <v>167</v>
      </c>
      <c r="AI422" s="67" vm="388">
        <f>CUBEVALUE(ConnectionString,ReportMonth,Table1[[#This Row],[Site ID (from DATIM)]],"TX_CURR")</f>
        <v>166</v>
      </c>
      <c r="AJ422" s="67" t="str" vm="2014">
        <f>CUBEVALUE(ConnectionString,ReportMonth,Table1[[#This Row],[Site ID (from DATIM)]],"[Measures].[TI]")</f>
        <v/>
      </c>
      <c r="AK422" s="67" vm="2822">
        <f>CUBEVALUE(ConnectionString,ReportMonth,Table1[[#This Row],[Site ID (from DATIM)]],"[Measures].[TO]")</f>
        <v>1</v>
      </c>
      <c r="AL422" s="67" t="str" vm="3241">
        <f>CUBEVALUE(ConnectionString,ReportMonth,Table1[[#This Row],[Site ID (from DATIM)]],"[Measures].[DIED]")</f>
        <v/>
      </c>
      <c r="AM422" s="67" vm="4028">
        <f>CUBEVALUE(ConnectionString,ReportMonth,Table1[[#This Row],[Site ID (from DATIM)]],"[Measures].[MMS_01_31]")</f>
        <v>61</v>
      </c>
      <c r="AN422" s="67" vm="7330">
        <f>CUBEVALUE(ConnectionString,ReportMonth,Table1[[#This Row],[Site ID (from DATIM)]],"[Measures].[MMS_32_62]")</f>
        <v>4</v>
      </c>
      <c r="AO422" s="67" vm="6993">
        <f>CUBEVALUE(ConnectionString,ReportMonth,Table1[[#This Row],[Site ID (from DATIM)]],"[Measures].[MMS_63+]")</f>
        <v>101</v>
      </c>
      <c r="AP422" s="67" t="str" vm="5202">
        <f>CUBEVALUE(ConnectionString,ReportMonth,Table1[[#This Row],[Site ID (from DATIM)]],"[Measures].[TBPREV_D]")</f>
        <v/>
      </c>
      <c r="AQ422" s="67" t="str" vm="6045">
        <f>CUBEVALUE(ConnectionString,ReportMonth,Table1[[#This Row],[Site ID (from DATIM)]],"[Measures].[TBPREV_N]")</f>
        <v/>
      </c>
      <c r="AR422" s="67" vm="7436">
        <f>CUBEVALUE(ConnectionString,ReportMonth,Table1[[#This Row],[Site ID (from DATIM)]],"[Measures].[TBPREV_NEW]")</f>
        <v>3</v>
      </c>
      <c r="AS422" s="67" t="str" vm="8765">
        <f>CUBEVALUE(ConnectionString,ReportMonth,Table1[[#This Row],[Site ID (from DATIM)]],"[Measures].[HVL_ELIG_P]")</f>
        <v/>
      </c>
      <c r="AT422" s="67" t="str" vm="11105">
        <f>CUBEVALUE(ConnectionString,ReportMonth,Table1[[#This Row],[Site ID (from DATIM)]],"[Measures].[HVL_D_P]")</f>
        <v/>
      </c>
      <c r="AU422" s="67" t="str" vm="8903">
        <f>CUBEVALUE(ConnectionString,ReportMonth,Table1[[#This Row],[Site ID (from DATIM)]],"[Measures].[HVL_N_P]")</f>
        <v/>
      </c>
      <c r="AV422" s="68" vm="7243">
        <f>CUBEVALUE(ConnectionString,ReportMonth,Table1[[#This Row],[Site ID (from DATIM)]],"[Measures].[HVL_ELIG_A]")</f>
        <v>102</v>
      </c>
      <c r="AW422" s="68" vm="8671">
        <f>CUBEVALUE(ConnectionString,ReportMonth,Table1[[#This Row],[Site ID (from DATIM)]],"[Measures].[HVL_D_A]")</f>
        <v>8</v>
      </c>
      <c r="AX422" s="68" vm="9145">
        <f>CUBEVALUE(ConnectionString,ReportMonth,Table1[[#This Row],[Site ID (from DATIM)]],"[Measures].[HVL_N_A]")</f>
        <v>8</v>
      </c>
      <c r="AY422" s="67"/>
      <c r="AZ422" s="67"/>
      <c r="BA422" s="67"/>
      <c r="BB422" s="67"/>
      <c r="BC422" s="67"/>
      <c r="BD422" s="67"/>
      <c r="BE422" s="67"/>
      <c r="BF422" s="67"/>
      <c r="BG422" s="67" vm="14317">
        <f>CUBEVALUE(ConnectionString,ReportMonth,Table1[[#This Row],[Site ID (from DATIM)]],"[Measures].[TX_NEW_F_A]")</f>
        <v>3</v>
      </c>
      <c r="BH422" s="67" vm="14251">
        <f>CUBEVALUE(ConnectionString,ReportMonth,Table1[[#This Row],[Site ID (from DATIM)]],"[Measures].[TX_NEW_M_A]")</f>
        <v>1</v>
      </c>
      <c r="BI422" s="67" t="str" vm="15267">
        <f>CUBEVALUE(ConnectionString,ReportMonth,Table1[[#This Row],[Site ID (from DATIM)]],"[Measures].[TX_NEW_F_P]")</f>
        <v/>
      </c>
      <c r="BJ422" s="68" t="str" vm="13981">
        <f>CUBEVALUE(ConnectionString,ReportMonth,Table1[[#This Row],[Site ID (from DATIM)]],"[Measures].[TX_NEW_M_P]")</f>
        <v/>
      </c>
      <c r="BK422" s="68"/>
      <c r="BL422" s="68"/>
      <c r="BM422" s="68"/>
      <c r="BN422" s="68"/>
      <c r="BO422" s="68"/>
      <c r="BP422" s="68"/>
      <c r="BQ422" s="68" t="str" vm="9352">
        <f>CUBEVALUE(ConnectionString,ReportMonth,Table1[[#This Row],[Site ID (from DATIM)]],"[Measures].[TX_CURR_F_P]")</f>
        <v/>
      </c>
      <c r="BR422" s="68" t="str" vm="11613">
        <f>CUBEVALUE(ConnectionString,ReportMonth,Table1[[#This Row],[Site ID (from DATIM)]],"[Measures].[TX_CURR_M_P]")</f>
        <v/>
      </c>
      <c r="BS422" s="68" vm="12354">
        <f>CUBEVALUE(ConnectionString,ReportMonth,Table1[[#This Row],[Site ID (from DATIM)]],"[Measures].[TX_CURR_F_A]")</f>
        <v>132</v>
      </c>
      <c r="BT422" s="68" vm="11714">
        <f>CUBEVALUE(ConnectionString,ReportMonth,Table1[[#This Row],[Site ID (from DATIM)]],"[Measures].[TX_CURR_M_A]")</f>
        <v>34</v>
      </c>
      <c r="BU422" s="68" t="str" vm="19481">
        <f>CUBEVALUE(ConnectionString,ReportMonth,Table1[[#This Row],[Site ID (from DATIM)]],"[Measures].[MMS_01_89_F_P]")</f>
        <v/>
      </c>
      <c r="BV422" s="68" t="str" vm="19222">
        <f>CUBEVALUE(ConnectionString,ReportMonth,Table1[[#This Row],[Site ID (from DATIM)]],"[Measures].[MMS_01_89_M_P]")</f>
        <v/>
      </c>
      <c r="BW422" s="68" vm="18549">
        <f>CUBEVALUE(ConnectionString,ReportMonth,Table1[[#This Row],[Site ID (from DATIM)]],"[Measures].[MMS_01_89_F_A]")</f>
        <v>46</v>
      </c>
      <c r="BX422" s="68" vm="18235">
        <f>CUBEVALUE(ConnectionString,ReportMonth,Table1[[#This Row],[Site ID (from DATIM)]],"[Measures].[MMS_01_89_M_A]")</f>
        <v>19</v>
      </c>
      <c r="BY422" s="68" t="str" vm="18272">
        <f>CUBEVALUE(ConnectionString,ReportMonth,Table1[[#This Row],[Site ID (from DATIM)]],"[Measures].[MMS_90_179_F_P]")</f>
        <v/>
      </c>
      <c r="BZ422" s="68" t="str" vm="16993">
        <f>CUBEVALUE(ConnectionString,ReportMonth,Table1[[#This Row],[Site ID (from DATIM)]],"[Measures].[MMS_90_179_M_P]")</f>
        <v/>
      </c>
      <c r="CA422" s="68" vm="19859">
        <f>CUBEVALUE(ConnectionString,ReportMonth,Table1[[#This Row],[Site ID (from DATIM)]],"[Measures].[MMS_90_179_F_A]")</f>
        <v>86</v>
      </c>
      <c r="CB422" s="68" vm="17236">
        <f>CUBEVALUE(ConnectionString,ReportMonth,Table1[[#This Row],[Site ID (from DATIM)]],"[Measures].[MMS_90_179_M_A]")</f>
        <v>15</v>
      </c>
      <c r="CC422" s="68" t="str" vm="16802">
        <f>CUBEVALUE(ConnectionString,ReportMonth,Table1[[#This Row],[Site ID (from DATIM)]],"[Measures].[MMS_180+_F_P]")</f>
        <v/>
      </c>
      <c r="CD422" s="68" t="str" vm="15802">
        <f>CUBEVALUE(ConnectionString,ReportMonth,Table1[[#This Row],[Site ID (from DATIM)]],"[Measures].[MMS_180+_M_P]")</f>
        <v/>
      </c>
      <c r="CE422" s="68" t="str" vm="16648">
        <f>CUBEVALUE(ConnectionString,ReportMonth,Table1[[#This Row],[Site ID (from DATIM)]],"[Measures].[MMS_180+_F_A]")</f>
        <v/>
      </c>
      <c r="CF422" s="68" t="str" vm="214">
        <f>CUBEVALUE(ConnectionString,ReportMonth,Table1[[#This Row],[Site ID (from DATIM)]],"[Measures].[MMS_180+_M_A]")</f>
        <v/>
      </c>
      <c r="CG422" s="68" vm="7267">
        <f>CUBEVALUE(ConnectionString,ReportMonth,Table1[[#This Row],[Site ID (from DATIM)]],"[Measures].[MISSEDAPP]")</f>
        <v>72</v>
      </c>
      <c r="CH422" s="68" t="str" vm="10614">
        <f>CUBEVALUE(ConnectionString,ReportMonth,Table1[[#This Row],[Site ID (from DATIM)]],"[Measures].[MMS_180+_P]")</f>
        <v/>
      </c>
      <c r="CI422" s="68" t="str" vm="13765">
        <f>CUBEVALUE(ConnectionString,ReportMonth,Table1[[#This Row],[Site ID (from DATIM)]],"[Measures].[MMS_180+_A]")</f>
        <v/>
      </c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  <c r="CW422" s="68"/>
      <c r="CX422" s="68"/>
      <c r="CY422" s="68"/>
      <c r="CZ422" s="68"/>
      <c r="DA422" s="68"/>
      <c r="DB422" s="68"/>
      <c r="DC422" s="68"/>
    </row>
    <row r="423" spans="1:107" x14ac:dyDescent="0.25">
      <c r="A423" s="66">
        <v>4</v>
      </c>
      <c r="B423" s="67" t="str" vm="4">
        <f t="shared" si="7"/>
        <v>Mar-2021</v>
      </c>
      <c r="C423" s="67"/>
      <c r="D423" s="67" t="s">
        <v>232</v>
      </c>
      <c r="E423" s="67" t="s">
        <v>233</v>
      </c>
      <c r="F423" s="67" t="s">
        <v>437</v>
      </c>
      <c r="G423" s="67"/>
      <c r="H423" s="67" t="s">
        <v>454</v>
      </c>
      <c r="I423" s="67" t="s">
        <v>796</v>
      </c>
      <c r="J423" s="67" t="s">
        <v>797</v>
      </c>
      <c r="K423" s="67" t="s">
        <v>798</v>
      </c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 t="str" vm="1277">
        <f>CUBEVALUE(ConnectionString,ReportMonth,Table1[[#This Row],[Site ID (from DATIM)]],"TX_NEW_2VIS")</f>
        <v/>
      </c>
      <c r="AE423" s="67" t="str" vm="706">
        <f>CUBEVALUE(ConnectionString,ReportMonth,Table1[[#This Row],[Site ID (from DATIM)]],INDEX(SDI_Measures,1))</f>
        <v/>
      </c>
      <c r="AF423" s="67" t="str" vm="1484">
        <f>CUBEVALUE(ConnectionString,ReportMonth,Table1[[#This Row],[Site ID (from DATIM)]],INDEX(SDI_Measures,2))</f>
        <v/>
      </c>
      <c r="AG423" s="67" t="str" vm="631">
        <f>CUBEVALUE(ConnectionString,ReportMonth,Table1[[#This Row],[Site ID (from DATIM)]],INDEX(SDI_Measures,3))</f>
        <v/>
      </c>
      <c r="AH423" s="67" vm="2321">
        <f>CUBEVALUE(ConnectionString,ReportMonth,Table1[[#This Row],[Site ID (from DATIM)]],"TX_CURR_PRIOR_MONTH")</f>
        <v>125</v>
      </c>
      <c r="AI423" s="67" vm="3245">
        <f>CUBEVALUE(ConnectionString,ReportMonth,Table1[[#This Row],[Site ID (from DATIM)]],"TX_CURR")</f>
        <v>125</v>
      </c>
      <c r="AJ423" s="67" t="str" vm="517">
        <f>CUBEVALUE(ConnectionString,ReportMonth,Table1[[#This Row],[Site ID (from DATIM)]],"[Measures].[TI]")</f>
        <v/>
      </c>
      <c r="AK423" s="67" vm="6115">
        <f>CUBEVALUE(ConnectionString,ReportMonth,Table1[[#This Row],[Site ID (from DATIM)]],"[Measures].[TO]")</f>
        <v>1</v>
      </c>
      <c r="AL423" s="67" t="str" vm="3584">
        <f>CUBEVALUE(ConnectionString,ReportMonth,Table1[[#This Row],[Site ID (from DATIM)]],"[Measures].[DIED]")</f>
        <v/>
      </c>
      <c r="AM423" s="67" vm="12912">
        <f>CUBEVALUE(ConnectionString,ReportMonth,Table1[[#This Row],[Site ID (from DATIM)]],"[Measures].[MMS_01_31]")</f>
        <v>84</v>
      </c>
      <c r="AN423" s="67" t="str" vm="6241">
        <f>CUBEVALUE(ConnectionString,ReportMonth,Table1[[#This Row],[Site ID (from DATIM)]],"[Measures].[MMS_32_62]")</f>
        <v/>
      </c>
      <c r="AO423" s="67" vm="5262">
        <f>CUBEVALUE(ConnectionString,ReportMonth,Table1[[#This Row],[Site ID (from DATIM)]],"[Measures].[MMS_63+]")</f>
        <v>41</v>
      </c>
      <c r="AP423" s="67" vm="4560">
        <f>CUBEVALUE(ConnectionString,ReportMonth,Table1[[#This Row],[Site ID (from DATIM)]],"[Measures].[TBPREV_D]")</f>
        <v>12</v>
      </c>
      <c r="AQ423" s="67" vm="11807">
        <f>CUBEVALUE(ConnectionString,ReportMonth,Table1[[#This Row],[Site ID (from DATIM)]],"[Measures].[TBPREV_N]")</f>
        <v>10</v>
      </c>
      <c r="AR423" s="67" t="str" vm="8176">
        <f>CUBEVALUE(ConnectionString,ReportMonth,Table1[[#This Row],[Site ID (from DATIM)]],"[Measures].[TBPREV_NEW]")</f>
        <v/>
      </c>
      <c r="AS423" s="67" vm="6757">
        <f>CUBEVALUE(ConnectionString,ReportMonth,Table1[[#This Row],[Site ID (from DATIM)]],"[Measures].[HVL_ELIG_P]")</f>
        <v>4</v>
      </c>
      <c r="AT423" s="67" t="str" vm="7700">
        <f>CUBEVALUE(ConnectionString,ReportMonth,Table1[[#This Row],[Site ID (from DATIM)]],"[Measures].[HVL_D_P]")</f>
        <v/>
      </c>
      <c r="AU423" s="67" t="str" vm="11106">
        <f>CUBEVALUE(ConnectionString,ReportMonth,Table1[[#This Row],[Site ID (from DATIM)]],"[Measures].[HVL_N_P]")</f>
        <v/>
      </c>
      <c r="AV423" s="68" vm="13907">
        <f>CUBEVALUE(ConnectionString,ReportMonth,Table1[[#This Row],[Site ID (from DATIM)]],"[Measures].[HVL_ELIG_A]")</f>
        <v>98</v>
      </c>
      <c r="AW423" s="68" t="str" vm="8531">
        <f>CUBEVALUE(ConnectionString,ReportMonth,Table1[[#This Row],[Site ID (from DATIM)]],"[Measures].[HVL_D_A]")</f>
        <v/>
      </c>
      <c r="AX423" s="68" t="str" vm="8989">
        <f>CUBEVALUE(ConnectionString,ReportMonth,Table1[[#This Row],[Site ID (from DATIM)]],"[Measures].[HVL_N_A]")</f>
        <v/>
      </c>
      <c r="AY423" s="67"/>
      <c r="AZ423" s="67"/>
      <c r="BA423" s="67"/>
      <c r="BB423" s="67"/>
      <c r="BC423" s="67"/>
      <c r="BD423" s="67"/>
      <c r="BE423" s="67"/>
      <c r="BF423" s="67"/>
      <c r="BG423" s="67" t="str" vm="11476">
        <f>CUBEVALUE(ConnectionString,ReportMonth,Table1[[#This Row],[Site ID (from DATIM)]],"[Measures].[TX_NEW_F_A]")</f>
        <v/>
      </c>
      <c r="BH423" s="67" t="str" vm="12761">
        <f>CUBEVALUE(ConnectionString,ReportMonth,Table1[[#This Row],[Site ID (from DATIM)]],"[Measures].[TX_NEW_M_A]")</f>
        <v/>
      </c>
      <c r="BI423" s="67" t="str" vm="14866">
        <f>CUBEVALUE(ConnectionString,ReportMonth,Table1[[#This Row],[Site ID (from DATIM)]],"[Measures].[TX_NEW_F_P]")</f>
        <v/>
      </c>
      <c r="BJ423" s="68" t="str" vm="12588">
        <f>CUBEVALUE(ConnectionString,ReportMonth,Table1[[#This Row],[Site ID (from DATIM)]],"[Measures].[TX_NEW_M_P]")</f>
        <v/>
      </c>
      <c r="BK423" s="68"/>
      <c r="BL423" s="68"/>
      <c r="BM423" s="68"/>
      <c r="BN423" s="68"/>
      <c r="BO423" s="68"/>
      <c r="BP423" s="68"/>
      <c r="BQ423" s="68" vm="10003">
        <f>CUBEVALUE(ConnectionString,ReportMonth,Table1[[#This Row],[Site ID (from DATIM)]],"[Measures].[TX_CURR_F_P]")</f>
        <v>4</v>
      </c>
      <c r="BR423" s="68" vm="9609">
        <f>CUBEVALUE(ConnectionString,ReportMonth,Table1[[#This Row],[Site ID (from DATIM)]],"[Measures].[TX_CURR_M_P]")</f>
        <v>2</v>
      </c>
      <c r="BS423" s="68" vm="10947">
        <f>CUBEVALUE(ConnectionString,ReportMonth,Table1[[#This Row],[Site ID (from DATIM)]],"[Measures].[TX_CURR_F_A]")</f>
        <v>92</v>
      </c>
      <c r="BT423" s="68" vm="10445">
        <f>CUBEVALUE(ConnectionString,ReportMonth,Table1[[#This Row],[Site ID (from DATIM)]],"[Measures].[TX_CURR_M_A]")</f>
        <v>27</v>
      </c>
      <c r="BU423" s="68" vm="20118">
        <f>CUBEVALUE(ConnectionString,ReportMonth,Table1[[#This Row],[Site ID (from DATIM)]],"[Measures].[MMS_01_89_F_P]")</f>
        <v>4</v>
      </c>
      <c r="BV423" s="68" vm="18020">
        <f>CUBEVALUE(ConnectionString,ReportMonth,Table1[[#This Row],[Site ID (from DATIM)]],"[Measures].[MMS_01_89_M_P]")</f>
        <v>2</v>
      </c>
      <c r="BW423" s="68" vm="18045">
        <f>CUBEVALUE(ConnectionString,ReportMonth,Table1[[#This Row],[Site ID (from DATIM)]],"[Measures].[MMS_01_89_F_A]")</f>
        <v>56</v>
      </c>
      <c r="BX423" s="68" vm="18838">
        <f>CUBEVALUE(ConnectionString,ReportMonth,Table1[[#This Row],[Site ID (from DATIM)]],"[Measures].[MMS_01_89_M_A]")</f>
        <v>22</v>
      </c>
      <c r="BY423" s="68" t="str" vm="17839">
        <f>CUBEVALUE(ConnectionString,ReportMonth,Table1[[#This Row],[Site ID (from DATIM)]],"[Measures].[MMS_90_179_F_P]")</f>
        <v/>
      </c>
      <c r="BZ423" s="68" t="str" vm="19568">
        <f>CUBEVALUE(ConnectionString,ReportMonth,Table1[[#This Row],[Site ID (from DATIM)]],"[Measures].[MMS_90_179_M_P]")</f>
        <v/>
      </c>
      <c r="CA423" s="68" vm="17256">
        <f>CUBEVALUE(ConnectionString,ReportMonth,Table1[[#This Row],[Site ID (from DATIM)]],"[Measures].[MMS_90_179_F_A]")</f>
        <v>36</v>
      </c>
      <c r="CB423" s="68" vm="20186">
        <f>CUBEVALUE(ConnectionString,ReportMonth,Table1[[#This Row],[Site ID (from DATIM)]],"[Measures].[MMS_90_179_M_A]")</f>
        <v>5</v>
      </c>
      <c r="CC423" s="68" t="str" vm="17623">
        <f>CUBEVALUE(ConnectionString,ReportMonth,Table1[[#This Row],[Site ID (from DATIM)]],"[Measures].[MMS_180+_F_P]")</f>
        <v/>
      </c>
      <c r="CD423" s="68" t="str" vm="15428">
        <f>CUBEVALUE(ConnectionString,ReportMonth,Table1[[#This Row],[Site ID (from DATIM)]],"[Measures].[MMS_180+_M_P]")</f>
        <v/>
      </c>
      <c r="CE423" s="68" t="str" vm="17208">
        <f>CUBEVALUE(ConnectionString,ReportMonth,Table1[[#This Row],[Site ID (from DATIM)]],"[Measures].[MMS_180+_F_A]")</f>
        <v/>
      </c>
      <c r="CF423" s="68" t="str" vm="14920">
        <f>CUBEVALUE(ConnectionString,ReportMonth,Table1[[#This Row],[Site ID (from DATIM)]],"[Measures].[MMS_180+_M_A]")</f>
        <v/>
      </c>
      <c r="CG423" s="68" vm="7303">
        <f>CUBEVALUE(ConnectionString,ReportMonth,Table1[[#This Row],[Site ID (from DATIM)]],"[Measures].[MISSEDAPP]")</f>
        <v>64</v>
      </c>
      <c r="CH423" s="68" t="str" vm="12533">
        <f>CUBEVALUE(ConnectionString,ReportMonth,Table1[[#This Row],[Site ID (from DATIM)]],"[Measures].[MMS_180+_P]")</f>
        <v/>
      </c>
      <c r="CI423" s="68" t="str" vm="13664">
        <f>CUBEVALUE(ConnectionString,ReportMonth,Table1[[#This Row],[Site ID (from DATIM)]],"[Measures].[MMS_180+_A]")</f>
        <v/>
      </c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  <c r="CW423" s="68"/>
      <c r="CX423" s="68"/>
      <c r="CY423" s="68"/>
      <c r="CZ423" s="68"/>
      <c r="DA423" s="68"/>
      <c r="DB423" s="68"/>
      <c r="DC423" s="68"/>
    </row>
    <row r="424" spans="1:107" x14ac:dyDescent="0.25">
      <c r="A424" s="66">
        <v>4</v>
      </c>
      <c r="B424" s="67" t="str" vm="4">
        <f t="shared" si="7"/>
        <v>Mar-2021</v>
      </c>
      <c r="C424" s="67"/>
      <c r="D424" s="67" t="s">
        <v>232</v>
      </c>
      <c r="E424" s="67" t="s">
        <v>233</v>
      </c>
      <c r="F424" s="67" t="s">
        <v>1083</v>
      </c>
      <c r="G424" s="67"/>
      <c r="H424" s="67" t="s">
        <v>1084</v>
      </c>
      <c r="I424" s="67" t="s">
        <v>796</v>
      </c>
      <c r="J424" s="67" t="s">
        <v>797</v>
      </c>
      <c r="K424" s="67" t="s">
        <v>1272</v>
      </c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 t="str" vm="2654">
        <f>CUBEVALUE(ConnectionString,ReportMonth,Table1[[#This Row],[Site ID (from DATIM)]],"TX_NEW_2VIS")</f>
        <v/>
      </c>
      <c r="AE424" s="67" t="str" vm="362">
        <f>CUBEVALUE(ConnectionString,ReportMonth,Table1[[#This Row],[Site ID (from DATIM)]],INDEX(SDI_Measures,1))</f>
        <v/>
      </c>
      <c r="AF424" s="67" t="str" vm="5762">
        <f>CUBEVALUE(ConnectionString,ReportMonth,Table1[[#This Row],[Site ID (from DATIM)]],INDEX(SDI_Measures,2))</f>
        <v/>
      </c>
      <c r="AG424" s="67" t="str" vm="1835">
        <f>CUBEVALUE(ConnectionString,ReportMonth,Table1[[#This Row],[Site ID (from DATIM)]],INDEX(SDI_Measures,3))</f>
        <v/>
      </c>
      <c r="AH424" s="67" vm="3611">
        <f>CUBEVALUE(ConnectionString,ReportMonth,Table1[[#This Row],[Site ID (from DATIM)]],"TX_CURR_PRIOR_MONTH")</f>
        <v>99</v>
      </c>
      <c r="AI424" s="67" vm="2100">
        <f>CUBEVALUE(ConnectionString,ReportMonth,Table1[[#This Row],[Site ID (from DATIM)]],"TX_CURR")</f>
        <v>96</v>
      </c>
      <c r="AJ424" s="67" t="str" vm="1918">
        <f>CUBEVALUE(ConnectionString,ReportMonth,Table1[[#This Row],[Site ID (from DATIM)]],"[Measures].[TI]")</f>
        <v/>
      </c>
      <c r="AK424" s="67" t="str" vm="617">
        <f>CUBEVALUE(ConnectionString,ReportMonth,Table1[[#This Row],[Site ID (from DATIM)]],"[Measures].[TO]")</f>
        <v/>
      </c>
      <c r="AL424" s="67" t="str" vm="3108">
        <f>CUBEVALUE(ConnectionString,ReportMonth,Table1[[#This Row],[Site ID (from DATIM)]],"[Measures].[DIED]")</f>
        <v/>
      </c>
      <c r="AM424" s="67" vm="6519">
        <f>CUBEVALUE(ConnectionString,ReportMonth,Table1[[#This Row],[Site ID (from DATIM)]],"[Measures].[MMS_01_31]")</f>
        <v>59</v>
      </c>
      <c r="AN424" s="67" t="str" vm="6639">
        <f>CUBEVALUE(ConnectionString,ReportMonth,Table1[[#This Row],[Site ID (from DATIM)]],"[Measures].[MMS_32_62]")</f>
        <v/>
      </c>
      <c r="AO424" s="67" vm="4837">
        <f>CUBEVALUE(ConnectionString,ReportMonth,Table1[[#This Row],[Site ID (from DATIM)]],"[Measures].[MMS_63+]")</f>
        <v>37</v>
      </c>
      <c r="AP424" s="67" vm="13014">
        <f>CUBEVALUE(ConnectionString,ReportMonth,Table1[[#This Row],[Site ID (from DATIM)]],"[Measures].[TBPREV_D]")</f>
        <v>4</v>
      </c>
      <c r="AQ424" s="67" vm="5877">
        <f>CUBEVALUE(ConnectionString,ReportMonth,Table1[[#This Row],[Site ID (from DATIM)]],"[Measures].[TBPREV_N]")</f>
        <v>2</v>
      </c>
      <c r="AR424" s="67" t="str" vm="4940">
        <f>CUBEVALUE(ConnectionString,ReportMonth,Table1[[#This Row],[Site ID (from DATIM)]],"[Measures].[TBPREV_NEW]")</f>
        <v/>
      </c>
      <c r="AS424" s="67" vm="7892">
        <f>CUBEVALUE(ConnectionString,ReportMonth,Table1[[#This Row],[Site ID (from DATIM)]],"[Measures].[HVL_ELIG_P]")</f>
        <v>5</v>
      </c>
      <c r="AT424" s="67" t="str" vm="8248">
        <f>CUBEVALUE(ConnectionString,ReportMonth,Table1[[#This Row],[Site ID (from DATIM)]],"[Measures].[HVL_D_P]")</f>
        <v/>
      </c>
      <c r="AU424" s="67" t="str" vm="6614">
        <f>CUBEVALUE(ConnectionString,ReportMonth,Table1[[#This Row],[Site ID (from DATIM)]],"[Measures].[HVL_N_P]")</f>
        <v/>
      </c>
      <c r="AV424" s="68" vm="7721">
        <f>CUBEVALUE(ConnectionString,ReportMonth,Table1[[#This Row],[Site ID (from DATIM)]],"[Measures].[HVL_ELIG_A]")</f>
        <v>83</v>
      </c>
      <c r="AW424" s="68" t="str" vm="8804">
        <f>CUBEVALUE(ConnectionString,ReportMonth,Table1[[#This Row],[Site ID (from DATIM)]],"[Measures].[HVL_D_A]")</f>
        <v/>
      </c>
      <c r="AX424" s="68" t="str" vm="10145">
        <f>CUBEVALUE(ConnectionString,ReportMonth,Table1[[#This Row],[Site ID (from DATIM)]],"[Measures].[HVL_N_A]")</f>
        <v/>
      </c>
      <c r="AY424" s="67"/>
      <c r="AZ424" s="67"/>
      <c r="BA424" s="67"/>
      <c r="BB424" s="67"/>
      <c r="BC424" s="67"/>
      <c r="BD424" s="67"/>
      <c r="BE424" s="67"/>
      <c r="BF424" s="67"/>
      <c r="BG424" s="67" t="str" vm="17047">
        <f>CUBEVALUE(ConnectionString,ReportMonth,Table1[[#This Row],[Site ID (from DATIM)]],"[Measures].[TX_NEW_F_A]")</f>
        <v/>
      </c>
      <c r="BH424" s="67" t="str" vm="11723">
        <f>CUBEVALUE(ConnectionString,ReportMonth,Table1[[#This Row],[Site ID (from DATIM)]],"[Measures].[TX_NEW_M_A]")</f>
        <v/>
      </c>
      <c r="BI424" s="67" t="str" vm="13531">
        <f>CUBEVALUE(ConnectionString,ReportMonth,Table1[[#This Row],[Site ID (from DATIM)]],"[Measures].[TX_NEW_F_P]")</f>
        <v/>
      </c>
      <c r="BJ424" s="68" t="str" vm="14349">
        <f>CUBEVALUE(ConnectionString,ReportMonth,Table1[[#This Row],[Site ID (from DATIM)]],"[Measures].[TX_NEW_M_P]")</f>
        <v/>
      </c>
      <c r="BK424" s="68"/>
      <c r="BL424" s="68"/>
      <c r="BM424" s="68"/>
      <c r="BN424" s="68"/>
      <c r="BO424" s="68"/>
      <c r="BP424" s="68"/>
      <c r="BQ424" s="68" vm="13999">
        <f>CUBEVALUE(ConnectionString,ReportMonth,Table1[[#This Row],[Site ID (from DATIM)]],"[Measures].[TX_CURR_F_P]")</f>
        <v>4</v>
      </c>
      <c r="BR424" s="68" vm="10882">
        <f>CUBEVALUE(ConnectionString,ReportMonth,Table1[[#This Row],[Site ID (from DATIM)]],"[Measures].[TX_CURR_M_P]")</f>
        <v>2</v>
      </c>
      <c r="BS424" s="68" vm="11845">
        <f>CUBEVALUE(ConnectionString,ReportMonth,Table1[[#This Row],[Site ID (from DATIM)]],"[Measures].[TX_CURR_F_A]")</f>
        <v>72</v>
      </c>
      <c r="BT424" s="68" vm="17398">
        <f>CUBEVALUE(ConnectionString,ReportMonth,Table1[[#This Row],[Site ID (from DATIM)]],"[Measures].[TX_CURR_M_A]")</f>
        <v>18</v>
      </c>
      <c r="BU424" s="68" vm="20124">
        <f>CUBEVALUE(ConnectionString,ReportMonth,Table1[[#This Row],[Site ID (from DATIM)]],"[Measures].[MMS_01_89_F_P]")</f>
        <v>2</v>
      </c>
      <c r="BV424" s="68" vm="19776">
        <f>CUBEVALUE(ConnectionString,ReportMonth,Table1[[#This Row],[Site ID (from DATIM)]],"[Measures].[MMS_01_89_M_P]")</f>
        <v>1</v>
      </c>
      <c r="BW424" s="68" vm="19342">
        <f>CUBEVALUE(ConnectionString,ReportMonth,Table1[[#This Row],[Site ID (from DATIM)]],"[Measures].[MMS_01_89_F_A]")</f>
        <v>47</v>
      </c>
      <c r="BX424" s="68" vm="18943">
        <f>CUBEVALUE(ConnectionString,ReportMonth,Table1[[#This Row],[Site ID (from DATIM)]],"[Measures].[MMS_01_89_M_A]")</f>
        <v>10</v>
      </c>
      <c r="BY424" s="68" vm="19330">
        <f>CUBEVALUE(ConnectionString,ReportMonth,Table1[[#This Row],[Site ID (from DATIM)]],"[Measures].[MMS_90_179_F_P]")</f>
        <v>2</v>
      </c>
      <c r="BZ424" s="68" vm="14793">
        <f>CUBEVALUE(ConnectionString,ReportMonth,Table1[[#This Row],[Site ID (from DATIM)]],"[Measures].[MMS_90_179_M_P]")</f>
        <v>1</v>
      </c>
      <c r="CA424" s="68" vm="14768">
        <f>CUBEVALUE(ConnectionString,ReportMonth,Table1[[#This Row],[Site ID (from DATIM)]],"[Measures].[MMS_90_179_F_A]")</f>
        <v>25</v>
      </c>
      <c r="CB424" s="68" vm="15993">
        <f>CUBEVALUE(ConnectionString,ReportMonth,Table1[[#This Row],[Site ID (from DATIM)]],"[Measures].[MMS_90_179_M_A]")</f>
        <v>8</v>
      </c>
      <c r="CC424" s="68" t="str" vm="17327">
        <f>CUBEVALUE(ConnectionString,ReportMonth,Table1[[#This Row],[Site ID (from DATIM)]],"[Measures].[MMS_180+_F_P]")</f>
        <v/>
      </c>
      <c r="CD424" s="68" t="str" vm="17229">
        <f>CUBEVALUE(ConnectionString,ReportMonth,Table1[[#This Row],[Site ID (from DATIM)]],"[Measures].[MMS_180+_M_P]")</f>
        <v/>
      </c>
      <c r="CE424" s="68" t="str" vm="15364">
        <f>CUBEVALUE(ConnectionString,ReportMonth,Table1[[#This Row],[Site ID (from DATIM)]],"[Measures].[MMS_180+_F_A]")</f>
        <v/>
      </c>
      <c r="CF424" s="68" t="str" vm="15753">
        <f>CUBEVALUE(ConnectionString,ReportMonth,Table1[[#This Row],[Site ID (from DATIM)]],"[Measures].[MMS_180+_M_A]")</f>
        <v/>
      </c>
      <c r="CG424" s="68" vm="12913">
        <f>CUBEVALUE(ConnectionString,ReportMonth,Table1[[#This Row],[Site ID (from DATIM)]],"[Measures].[MISSEDAPP]")</f>
        <v>68</v>
      </c>
      <c r="CH424" s="68" t="str" vm="16149">
        <f>CUBEVALUE(ConnectionString,ReportMonth,Table1[[#This Row],[Site ID (from DATIM)]],"[Measures].[MMS_180+_P]")</f>
        <v/>
      </c>
      <c r="CI424" s="68" t="str" vm="13050">
        <f>CUBEVALUE(ConnectionString,ReportMonth,Table1[[#This Row],[Site ID (from DATIM)]],"[Measures].[MMS_180+_A]")</f>
        <v/>
      </c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  <c r="CW424" s="68"/>
      <c r="CX424" s="68"/>
      <c r="CY424" s="68"/>
      <c r="CZ424" s="68"/>
      <c r="DA424" s="68"/>
      <c r="DB424" s="68"/>
      <c r="DC424" s="68"/>
    </row>
    <row r="425" spans="1:107" x14ac:dyDescent="0.25">
      <c r="A425" s="66">
        <v>4</v>
      </c>
      <c r="B425" s="67" t="str" vm="4">
        <f t="shared" si="7"/>
        <v>Mar-2021</v>
      </c>
      <c r="C425" s="67"/>
      <c r="D425" s="67" t="s">
        <v>232</v>
      </c>
      <c r="E425" s="67" t="s">
        <v>233</v>
      </c>
      <c r="F425" s="67" t="s">
        <v>437</v>
      </c>
      <c r="G425" s="67"/>
      <c r="H425" s="67" t="s">
        <v>478</v>
      </c>
      <c r="I425" s="67" t="s">
        <v>492</v>
      </c>
      <c r="J425" s="67" t="s">
        <v>799</v>
      </c>
      <c r="K425" s="67" t="s">
        <v>800</v>
      </c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 t="str" vm="2370">
        <f>CUBEVALUE(ConnectionString,ReportMonth,Table1[[#This Row],[Site ID (from DATIM)]],"TX_NEW_2VIS")</f>
        <v/>
      </c>
      <c r="AE425" s="67" t="str" vm="703">
        <f>CUBEVALUE(ConnectionString,ReportMonth,Table1[[#This Row],[Site ID (from DATIM)]],INDEX(SDI_Measures,1))</f>
        <v/>
      </c>
      <c r="AF425" s="67" t="str" vm="1729">
        <f>CUBEVALUE(ConnectionString,ReportMonth,Table1[[#This Row],[Site ID (from DATIM)]],INDEX(SDI_Measures,2))</f>
        <v/>
      </c>
      <c r="AG425" s="67" t="str" vm="560">
        <f>CUBEVALUE(ConnectionString,ReportMonth,Table1[[#This Row],[Site ID (from DATIM)]],INDEX(SDI_Measures,3))</f>
        <v/>
      </c>
      <c r="AH425" s="67" vm="1957">
        <f>CUBEVALUE(ConnectionString,ReportMonth,Table1[[#This Row],[Site ID (from DATIM)]],"TX_CURR_PRIOR_MONTH")</f>
        <v>78</v>
      </c>
      <c r="AI425" s="67" vm="3172">
        <f>CUBEVALUE(ConnectionString,ReportMonth,Table1[[#This Row],[Site ID (from DATIM)]],"TX_CURR")</f>
        <v>76</v>
      </c>
      <c r="AJ425" s="67" t="str" vm="3285">
        <f>CUBEVALUE(ConnectionString,ReportMonth,Table1[[#This Row],[Site ID (from DATIM)]],"[Measures].[TI]")</f>
        <v/>
      </c>
      <c r="AK425" s="67" t="str" vm="2629">
        <f>CUBEVALUE(ConnectionString,ReportMonth,Table1[[#This Row],[Site ID (from DATIM)]],"[Measures].[TO]")</f>
        <v/>
      </c>
      <c r="AL425" s="67" t="str" vm="1133">
        <f>CUBEVALUE(ConnectionString,ReportMonth,Table1[[#This Row],[Site ID (from DATIM)]],"[Measures].[DIED]")</f>
        <v/>
      </c>
      <c r="AM425" s="67" vm="8848">
        <f>CUBEVALUE(ConnectionString,ReportMonth,Table1[[#This Row],[Site ID (from DATIM)]],"[Measures].[MMS_01_31]")</f>
        <v>32</v>
      </c>
      <c r="AN425" s="67" vm="7818">
        <f>CUBEVALUE(ConnectionString,ReportMonth,Table1[[#This Row],[Site ID (from DATIM)]],"[Measures].[MMS_32_62]")</f>
        <v>1</v>
      </c>
      <c r="AO425" s="67" vm="11678">
        <f>CUBEVALUE(ConnectionString,ReportMonth,Table1[[#This Row],[Site ID (from DATIM)]],"[Measures].[MMS_63+]")</f>
        <v>43</v>
      </c>
      <c r="AP425" s="67" vm="4171">
        <f>CUBEVALUE(ConnectionString,ReportMonth,Table1[[#This Row],[Site ID (from DATIM)]],"[Measures].[TBPREV_D]")</f>
        <v>2</v>
      </c>
      <c r="AQ425" s="67" vm="5023">
        <f>CUBEVALUE(ConnectionString,ReportMonth,Table1[[#This Row],[Site ID (from DATIM)]],"[Measures].[TBPREV_N]")</f>
        <v>2</v>
      </c>
      <c r="AR425" s="67" t="str" vm="8357">
        <f>CUBEVALUE(ConnectionString,ReportMonth,Table1[[#This Row],[Site ID (from DATIM)]],"[Measures].[TBPREV_NEW]")</f>
        <v/>
      </c>
      <c r="AS425" s="67" t="str" vm="9464">
        <f>CUBEVALUE(ConnectionString,ReportMonth,Table1[[#This Row],[Site ID (from DATIM)]],"[Measures].[HVL_ELIG_P]")</f>
        <v/>
      </c>
      <c r="AT425" s="67" t="str" vm="8827">
        <f>CUBEVALUE(ConnectionString,ReportMonth,Table1[[#This Row],[Site ID (from DATIM)]],"[Measures].[HVL_D_P]")</f>
        <v/>
      </c>
      <c r="AU425" s="67" t="str" vm="11819">
        <f>CUBEVALUE(ConnectionString,ReportMonth,Table1[[#This Row],[Site ID (from DATIM)]],"[Measures].[HVL_N_P]")</f>
        <v/>
      </c>
      <c r="AV425" s="68" vm="10729">
        <f>CUBEVALUE(ConnectionString,ReportMonth,Table1[[#This Row],[Site ID (from DATIM)]],"[Measures].[HVL_ELIG_A]")</f>
        <v>59</v>
      </c>
      <c r="AW425" s="68" vm="8612">
        <f>CUBEVALUE(ConnectionString,ReportMonth,Table1[[#This Row],[Site ID (from DATIM)]],"[Measures].[HVL_D_A]")</f>
        <v>29</v>
      </c>
      <c r="AX425" s="68" vm="11996">
        <f>CUBEVALUE(ConnectionString,ReportMonth,Table1[[#This Row],[Site ID (from DATIM)]],"[Measures].[HVL_N_A]")</f>
        <v>28</v>
      </c>
      <c r="AY425" s="67"/>
      <c r="AZ425" s="67"/>
      <c r="BA425" s="67"/>
      <c r="BB425" s="67"/>
      <c r="BC425" s="67"/>
      <c r="BD425" s="67"/>
      <c r="BE425" s="67"/>
      <c r="BF425" s="67"/>
      <c r="BG425" s="67" t="str" vm="12298">
        <f>CUBEVALUE(ConnectionString,ReportMonth,Table1[[#This Row],[Site ID (from DATIM)]],"[Measures].[TX_NEW_F_A]")</f>
        <v/>
      </c>
      <c r="BH425" s="67" t="str" vm="10922">
        <f>CUBEVALUE(ConnectionString,ReportMonth,Table1[[#This Row],[Site ID (from DATIM)]],"[Measures].[TX_NEW_M_A]")</f>
        <v/>
      </c>
      <c r="BI425" s="67" t="str" vm="14034">
        <f>CUBEVALUE(ConnectionString,ReportMonth,Table1[[#This Row],[Site ID (from DATIM)]],"[Measures].[TX_NEW_F_P]")</f>
        <v/>
      </c>
      <c r="BJ425" s="68" t="str" vm="13174">
        <f>CUBEVALUE(ConnectionString,ReportMonth,Table1[[#This Row],[Site ID (from DATIM)]],"[Measures].[TX_NEW_M_P]")</f>
        <v/>
      </c>
      <c r="BK425" s="68"/>
      <c r="BL425" s="68"/>
      <c r="BM425" s="68"/>
      <c r="BN425" s="68"/>
      <c r="BO425" s="68"/>
      <c r="BP425" s="68"/>
      <c r="BQ425" s="68" t="str" vm="11060">
        <f>CUBEVALUE(ConnectionString,ReportMonth,Table1[[#This Row],[Site ID (from DATIM)]],"[Measures].[TX_CURR_F_P]")</f>
        <v/>
      </c>
      <c r="BR425" s="68" t="str" vm="9965">
        <f>CUBEVALUE(ConnectionString,ReportMonth,Table1[[#This Row],[Site ID (from DATIM)]],"[Measures].[TX_CURR_M_P]")</f>
        <v/>
      </c>
      <c r="BS425" s="68" vm="14164">
        <f>CUBEVALUE(ConnectionString,ReportMonth,Table1[[#This Row],[Site ID (from DATIM)]],"[Measures].[TX_CURR_F_A]")</f>
        <v>59</v>
      </c>
      <c r="BT425" s="68" vm="13231">
        <f>CUBEVALUE(ConnectionString,ReportMonth,Table1[[#This Row],[Site ID (from DATIM)]],"[Measures].[TX_CURR_M_A]")</f>
        <v>17</v>
      </c>
      <c r="BU425" s="68" t="str" vm="18374">
        <f>CUBEVALUE(ConnectionString,ReportMonth,Table1[[#This Row],[Site ID (from DATIM)]],"[Measures].[MMS_01_89_F_P]")</f>
        <v/>
      </c>
      <c r="BV425" s="68" t="str" vm="18581">
        <f>CUBEVALUE(ConnectionString,ReportMonth,Table1[[#This Row],[Site ID (from DATIM)]],"[Measures].[MMS_01_89_M_P]")</f>
        <v/>
      </c>
      <c r="BW425" s="68" vm="18948">
        <f>CUBEVALUE(ConnectionString,ReportMonth,Table1[[#This Row],[Site ID (from DATIM)]],"[Measures].[MMS_01_89_F_A]")</f>
        <v>28</v>
      </c>
      <c r="BX425" s="68" vm="19209">
        <f>CUBEVALUE(ConnectionString,ReportMonth,Table1[[#This Row],[Site ID (from DATIM)]],"[Measures].[MMS_01_89_M_A]")</f>
        <v>5</v>
      </c>
      <c r="BY425" s="68" t="str" vm="19121">
        <f>CUBEVALUE(ConnectionString,ReportMonth,Table1[[#This Row],[Site ID (from DATIM)]],"[Measures].[MMS_90_179_F_P]")</f>
        <v/>
      </c>
      <c r="BZ425" s="68" t="str" vm="18458">
        <f>CUBEVALUE(ConnectionString,ReportMonth,Table1[[#This Row],[Site ID (from DATIM)]],"[Measures].[MMS_90_179_M_P]")</f>
        <v/>
      </c>
      <c r="CA425" s="68" vm="16017">
        <f>CUBEVALUE(ConnectionString,ReportMonth,Table1[[#This Row],[Site ID (from DATIM)]],"[Measures].[MMS_90_179_F_A]")</f>
        <v>31</v>
      </c>
      <c r="CB425" s="68" vm="16485">
        <f>CUBEVALUE(ConnectionString,ReportMonth,Table1[[#This Row],[Site ID (from DATIM)]],"[Measures].[MMS_90_179_M_A]")</f>
        <v>12</v>
      </c>
      <c r="CC425" s="68" t="str" vm="17745">
        <f>CUBEVALUE(ConnectionString,ReportMonth,Table1[[#This Row],[Site ID (from DATIM)]],"[Measures].[MMS_180+_F_P]")</f>
        <v/>
      </c>
      <c r="CD425" s="68" t="str" vm="15392">
        <f>CUBEVALUE(ConnectionString,ReportMonth,Table1[[#This Row],[Site ID (from DATIM)]],"[Measures].[MMS_180+_M_P]")</f>
        <v/>
      </c>
      <c r="CE425" s="68" t="str" vm="14893">
        <f>CUBEVALUE(ConnectionString,ReportMonth,Table1[[#This Row],[Site ID (from DATIM)]],"[Measures].[MMS_180+_F_A]")</f>
        <v/>
      </c>
      <c r="CF425" s="68" t="str" vm="15732">
        <f>CUBEVALUE(ConnectionString,ReportMonth,Table1[[#This Row],[Site ID (from DATIM)]],"[Measures].[MMS_180+_M_A]")</f>
        <v/>
      </c>
      <c r="CG425" s="68" vm="9467">
        <f>CUBEVALUE(ConnectionString,ReportMonth,Table1[[#This Row],[Site ID (from DATIM)]],"[Measures].[MISSEDAPP]")</f>
        <v>41</v>
      </c>
      <c r="CH425" s="68" t="str" vm="12922">
        <f>CUBEVALUE(ConnectionString,ReportMonth,Table1[[#This Row],[Site ID (from DATIM)]],"[Measures].[MMS_180+_P]")</f>
        <v/>
      </c>
      <c r="CI425" s="68" t="str" vm="17382">
        <f>CUBEVALUE(ConnectionString,ReportMonth,Table1[[#This Row],[Site ID (from DATIM)]],"[Measures].[MMS_180+_A]")</f>
        <v/>
      </c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  <c r="CW425" s="68"/>
      <c r="CX425" s="68"/>
      <c r="CY425" s="68"/>
      <c r="CZ425" s="68"/>
      <c r="DA425" s="68"/>
      <c r="DB425" s="68"/>
      <c r="DC425" s="68"/>
    </row>
    <row r="426" spans="1:107" x14ac:dyDescent="0.25">
      <c r="A426" s="66">
        <v>4</v>
      </c>
      <c r="B426" s="67" t="str" vm="4">
        <f t="shared" si="7"/>
        <v>Mar-2021</v>
      </c>
      <c r="C426" s="67"/>
      <c r="D426" s="67" t="s">
        <v>232</v>
      </c>
      <c r="E426" s="67" t="s">
        <v>233</v>
      </c>
      <c r="F426" s="67" t="s">
        <v>1286</v>
      </c>
      <c r="G426" s="67"/>
      <c r="H426" s="67" t="s">
        <v>1296</v>
      </c>
      <c r="I426" s="67" t="s">
        <v>994</v>
      </c>
      <c r="J426" s="67" t="s">
        <v>1531</v>
      </c>
      <c r="K426" s="67" t="s">
        <v>1532</v>
      </c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 t="str" vm="2971">
        <f>CUBEVALUE(ConnectionString,ReportMonth,Table1[[#This Row],[Site ID (from DATIM)]],"TX_NEW_2VIS")</f>
        <v/>
      </c>
      <c r="AE426" s="67" t="str" vm="453">
        <f>CUBEVALUE(ConnectionString,ReportMonth,Table1[[#This Row],[Site ID (from DATIM)]],INDEX(SDI_Measures,1))</f>
        <v/>
      </c>
      <c r="AF426" s="67" t="str" vm="1619">
        <f>CUBEVALUE(ConnectionString,ReportMonth,Table1[[#This Row],[Site ID (from DATIM)]],INDEX(SDI_Measures,2))</f>
        <v/>
      </c>
      <c r="AG426" s="67" t="str" vm="1056">
        <f>CUBEVALUE(ConnectionString,ReportMonth,Table1[[#This Row],[Site ID (from DATIM)]],INDEX(SDI_Measures,3))</f>
        <v/>
      </c>
      <c r="AH426" s="67" t="str" vm="1262">
        <f>CUBEVALUE(ConnectionString,ReportMonth,Table1[[#This Row],[Site ID (from DATIM)]],"TX_CURR_PRIOR_MONTH")</f>
        <v/>
      </c>
      <c r="AI426" s="67" t="str" vm="2460">
        <f>CUBEVALUE(ConnectionString,ReportMonth,Table1[[#This Row],[Site ID (from DATIM)]],"TX_CURR")</f>
        <v/>
      </c>
      <c r="AJ426" s="67" t="str" vm="1928">
        <f>CUBEVALUE(ConnectionString,ReportMonth,Table1[[#This Row],[Site ID (from DATIM)]],"[Measures].[TI]")</f>
        <v/>
      </c>
      <c r="AK426" s="67" t="str" vm="3590">
        <f>CUBEVALUE(ConnectionString,ReportMonth,Table1[[#This Row],[Site ID (from DATIM)]],"[Measures].[TO]")</f>
        <v/>
      </c>
      <c r="AL426" s="67" t="str" vm="1672">
        <f>CUBEVALUE(ConnectionString,ReportMonth,Table1[[#This Row],[Site ID (from DATIM)]],"[Measures].[DIED]")</f>
        <v/>
      </c>
      <c r="AM426" s="67" t="str" vm="3456">
        <f>CUBEVALUE(ConnectionString,ReportMonth,Table1[[#This Row],[Site ID (from DATIM)]],"[Measures].[MMS_01_31]")</f>
        <v/>
      </c>
      <c r="AN426" s="67" t="str" vm="7056">
        <f>CUBEVALUE(ConnectionString,ReportMonth,Table1[[#This Row],[Site ID (from DATIM)]],"[Measures].[MMS_32_62]")</f>
        <v/>
      </c>
      <c r="AO426" s="67" t="str" vm="10439">
        <f>CUBEVALUE(ConnectionString,ReportMonth,Table1[[#This Row],[Site ID (from DATIM)]],"[Measures].[MMS_63+]")</f>
        <v/>
      </c>
      <c r="AP426" s="67" t="str" vm="6887">
        <f>CUBEVALUE(ConnectionString,ReportMonth,Table1[[#This Row],[Site ID (from DATIM)]],"[Measures].[TBPREV_D]")</f>
        <v/>
      </c>
      <c r="AQ426" s="67" t="str" vm="6744">
        <f>CUBEVALUE(ConnectionString,ReportMonth,Table1[[#This Row],[Site ID (from DATIM)]],"[Measures].[TBPREV_N]")</f>
        <v/>
      </c>
      <c r="AR426" s="67" t="str" vm="5836">
        <f>CUBEVALUE(ConnectionString,ReportMonth,Table1[[#This Row],[Site ID (from DATIM)]],"[Measures].[TBPREV_NEW]")</f>
        <v/>
      </c>
      <c r="AS426" s="67" t="str" vm="5264">
        <f>CUBEVALUE(ConnectionString,ReportMonth,Table1[[#This Row],[Site ID (from DATIM)]],"[Measures].[HVL_ELIG_P]")</f>
        <v/>
      </c>
      <c r="AT426" s="67" t="str" vm="5077">
        <f>CUBEVALUE(ConnectionString,ReportMonth,Table1[[#This Row],[Site ID (from DATIM)]],"[Measures].[HVL_D_P]")</f>
        <v/>
      </c>
      <c r="AU426" s="67" t="str" vm="7949">
        <f>CUBEVALUE(ConnectionString,ReportMonth,Table1[[#This Row],[Site ID (from DATIM)]],"[Measures].[HVL_N_P]")</f>
        <v/>
      </c>
      <c r="AV426" s="68" t="str" vm="16166">
        <f>CUBEVALUE(ConnectionString,ReportMonth,Table1[[#This Row],[Site ID (from DATIM)]],"[Measures].[HVL_ELIG_A]")</f>
        <v/>
      </c>
      <c r="AW426" s="68" t="str" vm="12539">
        <f>CUBEVALUE(ConnectionString,ReportMonth,Table1[[#This Row],[Site ID (from DATIM)]],"[Measures].[HVL_D_A]")</f>
        <v/>
      </c>
      <c r="AX426" s="68" t="str" vm="8613">
        <f>CUBEVALUE(ConnectionString,ReportMonth,Table1[[#This Row],[Site ID (from DATIM)]],"[Measures].[HVL_N_A]")</f>
        <v/>
      </c>
      <c r="AY426" s="67"/>
      <c r="AZ426" s="67"/>
      <c r="BA426" s="67"/>
      <c r="BB426" s="67"/>
      <c r="BC426" s="67"/>
      <c r="BD426" s="67"/>
      <c r="BE426" s="67"/>
      <c r="BF426" s="67"/>
      <c r="BG426" s="67" t="str" vm="13351">
        <f>CUBEVALUE(ConnectionString,ReportMonth,Table1[[#This Row],[Site ID (from DATIM)]],"[Measures].[TX_NEW_F_A]")</f>
        <v/>
      </c>
      <c r="BH426" s="67" t="str" vm="13948">
        <f>CUBEVALUE(ConnectionString,ReportMonth,Table1[[#This Row],[Site ID (from DATIM)]],"[Measures].[TX_NEW_M_A]")</f>
        <v/>
      </c>
      <c r="BI426" s="67" t="str" vm="16192">
        <f>CUBEVALUE(ConnectionString,ReportMonth,Table1[[#This Row],[Site ID (from DATIM)]],"[Measures].[TX_NEW_F_P]")</f>
        <v/>
      </c>
      <c r="BJ426" s="68" t="str" vm="16198">
        <f>CUBEVALUE(ConnectionString,ReportMonth,Table1[[#This Row],[Site ID (from DATIM)]],"[Measures].[TX_NEW_M_P]")</f>
        <v/>
      </c>
      <c r="BK426" s="68"/>
      <c r="BL426" s="68"/>
      <c r="BM426" s="68"/>
      <c r="BN426" s="68"/>
      <c r="BO426" s="68"/>
      <c r="BP426" s="68"/>
      <c r="BQ426" s="68" t="str" vm="11583">
        <f>CUBEVALUE(ConnectionString,ReportMonth,Table1[[#This Row],[Site ID (from DATIM)]],"[Measures].[TX_CURR_F_P]")</f>
        <v/>
      </c>
      <c r="BR426" s="68" t="str" vm="10821">
        <f>CUBEVALUE(ConnectionString,ReportMonth,Table1[[#This Row],[Site ID (from DATIM)]],"[Measures].[TX_CURR_M_P]")</f>
        <v/>
      </c>
      <c r="BS426" s="68" t="str" vm="7281">
        <f>CUBEVALUE(ConnectionString,ReportMonth,Table1[[#This Row],[Site ID (from DATIM)]],"[Measures].[TX_CURR_F_A]")</f>
        <v/>
      </c>
      <c r="BT426" s="68" t="str" vm="17413">
        <f>CUBEVALUE(ConnectionString,ReportMonth,Table1[[#This Row],[Site ID (from DATIM)]],"[Measures].[TX_CURR_M_A]")</f>
        <v/>
      </c>
      <c r="BU426" s="68" t="str" vm="18469">
        <f>CUBEVALUE(ConnectionString,ReportMonth,Table1[[#This Row],[Site ID (from DATIM)]],"[Measures].[MMS_01_89_F_P]")</f>
        <v/>
      </c>
      <c r="BV426" s="68" t="str" vm="17974">
        <f>CUBEVALUE(ConnectionString,ReportMonth,Table1[[#This Row],[Site ID (from DATIM)]],"[Measures].[MMS_01_89_M_P]")</f>
        <v/>
      </c>
      <c r="BW426" s="68" t="str" vm="18563">
        <f>CUBEVALUE(ConnectionString,ReportMonth,Table1[[#This Row],[Site ID (from DATIM)]],"[Measures].[MMS_01_89_F_A]")</f>
        <v/>
      </c>
      <c r="BX426" s="68" t="str" vm="18169">
        <f>CUBEVALUE(ConnectionString,ReportMonth,Table1[[#This Row],[Site ID (from DATIM)]],"[Measures].[MMS_01_89_M_A]")</f>
        <v/>
      </c>
      <c r="BY426" s="68" t="str" vm="17807">
        <f>CUBEVALUE(ConnectionString,ReportMonth,Table1[[#This Row],[Site ID (from DATIM)]],"[Measures].[MMS_90_179_F_P]")</f>
        <v/>
      </c>
      <c r="BZ426" s="68" t="str" vm="15227">
        <f>CUBEVALUE(ConnectionString,ReportMonth,Table1[[#This Row],[Site ID (from DATIM)]],"[Measures].[MMS_90_179_M_P]")</f>
        <v/>
      </c>
      <c r="CA426" s="68" t="str" vm="15511">
        <f>CUBEVALUE(ConnectionString,ReportMonth,Table1[[#This Row],[Site ID (from DATIM)]],"[Measures].[MMS_90_179_F_A]")</f>
        <v/>
      </c>
      <c r="CB426" s="68" t="str" vm="15923">
        <f>CUBEVALUE(ConnectionString,ReportMonth,Table1[[#This Row],[Site ID (from DATIM)]],"[Measures].[MMS_90_179_M_A]")</f>
        <v/>
      </c>
      <c r="CC426" s="68" t="str" vm="14894">
        <f>CUBEVALUE(ConnectionString,ReportMonth,Table1[[#This Row],[Site ID (from DATIM)]],"[Measures].[MMS_180+_F_P]")</f>
        <v/>
      </c>
      <c r="CD426" s="68" t="str" vm="16350">
        <f>CUBEVALUE(ConnectionString,ReportMonth,Table1[[#This Row],[Site ID (from DATIM)]],"[Measures].[MMS_180+_M_P]")</f>
        <v/>
      </c>
      <c r="CE426" s="68" t="str" vm="16639">
        <f>CUBEVALUE(ConnectionString,ReportMonth,Table1[[#This Row],[Site ID (from DATIM)]],"[Measures].[MMS_180+_F_A]")</f>
        <v/>
      </c>
      <c r="CF426" s="68" t="str" vm="288">
        <f>CUBEVALUE(ConnectionString,ReportMonth,Table1[[#This Row],[Site ID (from DATIM)]],"[Measures].[MMS_180+_M_A]")</f>
        <v/>
      </c>
      <c r="CG426" s="68" t="str" vm="4208">
        <f>CUBEVALUE(ConnectionString,ReportMonth,Table1[[#This Row],[Site ID (from DATIM)]],"[Measures].[MISSEDAPP]")</f>
        <v/>
      </c>
      <c r="CH426" s="68" t="str" vm="11762">
        <f>CUBEVALUE(ConnectionString,ReportMonth,Table1[[#This Row],[Site ID (from DATIM)]],"[Measures].[MMS_180+_P]")</f>
        <v/>
      </c>
      <c r="CI426" s="68" t="str" vm="12545">
        <f>CUBEVALUE(ConnectionString,ReportMonth,Table1[[#This Row],[Site ID (from DATIM)]],"[Measures].[MMS_180+_A]")</f>
        <v/>
      </c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  <c r="CW426" s="68"/>
      <c r="CX426" s="68"/>
      <c r="CY426" s="68"/>
      <c r="CZ426" s="68"/>
      <c r="DA426" s="68"/>
      <c r="DB426" s="68"/>
      <c r="DC426" s="68"/>
    </row>
    <row r="427" spans="1:107" x14ac:dyDescent="0.25">
      <c r="A427" s="66">
        <v>4</v>
      </c>
      <c r="B427" s="67" t="str" vm="4">
        <f t="shared" si="7"/>
        <v>Mar-2021</v>
      </c>
      <c r="C427" s="67"/>
      <c r="D427" s="67" t="s">
        <v>232</v>
      </c>
      <c r="E427" s="67" t="s">
        <v>233</v>
      </c>
      <c r="F427" s="67" t="s">
        <v>1083</v>
      </c>
      <c r="G427" s="67"/>
      <c r="H427" s="67" t="s">
        <v>1099</v>
      </c>
      <c r="I427" s="67" t="s">
        <v>1265</v>
      </c>
      <c r="J427" s="67" t="s">
        <v>1273</v>
      </c>
      <c r="K427" s="67" t="s">
        <v>1274</v>
      </c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 t="str" vm="1969">
        <f>CUBEVALUE(ConnectionString,ReportMonth,Table1[[#This Row],[Site ID (from DATIM)]],"TX_NEW_2VIS")</f>
        <v/>
      </c>
      <c r="AE427" s="67" t="str" vm="9925">
        <f>CUBEVALUE(ConnectionString,ReportMonth,Table1[[#This Row],[Site ID (from DATIM)]],INDEX(SDI_Measures,1))</f>
        <v/>
      </c>
      <c r="AF427" s="67" t="str" vm="3651">
        <f>CUBEVALUE(ConnectionString,ReportMonth,Table1[[#This Row],[Site ID (from DATIM)]],INDEX(SDI_Measures,2))</f>
        <v/>
      </c>
      <c r="AG427" s="67" t="str" vm="2176">
        <f>CUBEVALUE(ConnectionString,ReportMonth,Table1[[#This Row],[Site ID (from DATIM)]],INDEX(SDI_Measures,3))</f>
        <v/>
      </c>
      <c r="AH427" s="67" vm="455">
        <f>CUBEVALUE(ConnectionString,ReportMonth,Table1[[#This Row],[Site ID (from DATIM)]],"TX_CURR_PRIOR_MONTH")</f>
        <v>76</v>
      </c>
      <c r="AI427" s="67" vm="1250">
        <f>CUBEVALUE(ConnectionString,ReportMonth,Table1[[#This Row],[Site ID (from DATIM)]],"TX_CURR")</f>
        <v>73</v>
      </c>
      <c r="AJ427" s="67" t="str" vm="4804">
        <f>CUBEVALUE(ConnectionString,ReportMonth,Table1[[#This Row],[Site ID (from DATIM)]],"[Measures].[TI]")</f>
        <v/>
      </c>
      <c r="AK427" s="67" t="str" vm="1375">
        <f>CUBEVALUE(ConnectionString,ReportMonth,Table1[[#This Row],[Site ID (from DATIM)]],"[Measures].[TO]")</f>
        <v/>
      </c>
      <c r="AL427" s="67" t="str" vm="2943">
        <f>CUBEVALUE(ConnectionString,ReportMonth,Table1[[#This Row],[Site ID (from DATIM)]],"[Measures].[DIED]")</f>
        <v/>
      </c>
      <c r="AM427" s="67" vm="3865">
        <f>CUBEVALUE(ConnectionString,ReportMonth,Table1[[#This Row],[Site ID (from DATIM)]],"[Measures].[MMS_01_31]")</f>
        <v>28</v>
      </c>
      <c r="AN427" s="67" t="str" vm="6523">
        <f>CUBEVALUE(ConnectionString,ReportMonth,Table1[[#This Row],[Site ID (from DATIM)]],"[Measures].[MMS_32_62]")</f>
        <v/>
      </c>
      <c r="AO427" s="67" vm="5211">
        <f>CUBEVALUE(ConnectionString,ReportMonth,Table1[[#This Row],[Site ID (from DATIM)]],"[Measures].[MMS_63+]")</f>
        <v>45</v>
      </c>
      <c r="AP427" s="67" vm="4980">
        <f>CUBEVALUE(ConnectionString,ReportMonth,Table1[[#This Row],[Site ID (from DATIM)]],"[Measures].[TBPREV_D]")</f>
        <v>1</v>
      </c>
      <c r="AQ427" s="67" t="str" vm="4721">
        <f>CUBEVALUE(ConnectionString,ReportMonth,Table1[[#This Row],[Site ID (from DATIM)]],"[Measures].[TBPREV_N]")</f>
        <v/>
      </c>
      <c r="AR427" s="67" t="str" vm="5893">
        <f>CUBEVALUE(ConnectionString,ReportMonth,Table1[[#This Row],[Site ID (from DATIM)]],"[Measures].[TBPREV_NEW]")</f>
        <v/>
      </c>
      <c r="AS427" s="67" vm="7233">
        <f>CUBEVALUE(ConnectionString,ReportMonth,Table1[[#This Row],[Site ID (from DATIM)]],"[Measures].[HVL_ELIG_P]")</f>
        <v>8</v>
      </c>
      <c r="AT427" s="67" t="str" vm="5132">
        <f>CUBEVALUE(ConnectionString,ReportMonth,Table1[[#This Row],[Site ID (from DATIM)]],"[Measures].[HVL_D_P]")</f>
        <v/>
      </c>
      <c r="AU427" s="67" t="str" vm="12016">
        <f>CUBEVALUE(ConnectionString,ReportMonth,Table1[[#This Row],[Site ID (from DATIM)]],"[Measures].[HVL_N_P]")</f>
        <v/>
      </c>
      <c r="AV427" s="68" vm="10568">
        <f>CUBEVALUE(ConnectionString,ReportMonth,Table1[[#This Row],[Site ID (from DATIM)]],"[Measures].[HVL_ELIG_A]")</f>
        <v>55</v>
      </c>
      <c r="AW427" s="68" t="str" vm="12720">
        <f>CUBEVALUE(ConnectionString,ReportMonth,Table1[[#This Row],[Site ID (from DATIM)]],"[Measures].[HVL_D_A]")</f>
        <v/>
      </c>
      <c r="AX427" s="68" t="str" vm="9005">
        <f>CUBEVALUE(ConnectionString,ReportMonth,Table1[[#This Row],[Site ID (from DATIM)]],"[Measures].[HVL_N_A]")</f>
        <v/>
      </c>
      <c r="AY427" s="67"/>
      <c r="AZ427" s="67"/>
      <c r="BA427" s="67"/>
      <c r="BB427" s="67"/>
      <c r="BC427" s="67"/>
      <c r="BD427" s="67"/>
      <c r="BE427" s="67"/>
      <c r="BF427" s="67"/>
      <c r="BG427" s="67" t="str" vm="12999">
        <f>CUBEVALUE(ConnectionString,ReportMonth,Table1[[#This Row],[Site ID (from DATIM)]],"[Measures].[TX_NEW_F_A]")</f>
        <v/>
      </c>
      <c r="BH427" s="67" t="str" vm="11966">
        <f>CUBEVALUE(ConnectionString,ReportMonth,Table1[[#This Row],[Site ID (from DATIM)]],"[Measures].[TX_NEW_M_A]")</f>
        <v/>
      </c>
      <c r="BI427" s="67" t="str" vm="17443">
        <f>CUBEVALUE(ConnectionString,ReportMonth,Table1[[#This Row],[Site ID (from DATIM)]],"[Measures].[TX_NEW_F_P]")</f>
        <v/>
      </c>
      <c r="BJ427" s="68" t="str" vm="15646">
        <f>CUBEVALUE(ConnectionString,ReportMonth,Table1[[#This Row],[Site ID (from DATIM)]],"[Measures].[TX_NEW_M_P]")</f>
        <v/>
      </c>
      <c r="BK427" s="68"/>
      <c r="BL427" s="68"/>
      <c r="BM427" s="68"/>
      <c r="BN427" s="68"/>
      <c r="BO427" s="68"/>
      <c r="BP427" s="68"/>
      <c r="BQ427" s="68" vm="9177">
        <f>CUBEVALUE(ConnectionString,ReportMonth,Table1[[#This Row],[Site ID (from DATIM)]],"[Measures].[TX_CURR_F_P]")</f>
        <v>3</v>
      </c>
      <c r="BR427" s="68" vm="8441">
        <f>CUBEVALUE(ConnectionString,ReportMonth,Table1[[#This Row],[Site ID (from DATIM)]],"[Measures].[TX_CURR_M_P]")</f>
        <v>6</v>
      </c>
      <c r="BS427" s="68" vm="9843">
        <f>CUBEVALUE(ConnectionString,ReportMonth,Table1[[#This Row],[Site ID (from DATIM)]],"[Measures].[TX_CURR_F_A]")</f>
        <v>42</v>
      </c>
      <c r="BT427" s="68" vm="13563">
        <f>CUBEVALUE(ConnectionString,ReportMonth,Table1[[#This Row],[Site ID (from DATIM)]],"[Measures].[TX_CURR_M_A]")</f>
        <v>22</v>
      </c>
      <c r="BU427" s="68" vm="18358">
        <f>CUBEVALUE(ConnectionString,ReportMonth,Table1[[#This Row],[Site ID (from DATIM)]],"[Measures].[MMS_01_89_F_P]")</f>
        <v>3</v>
      </c>
      <c r="BV427" s="68" vm="19550">
        <f>CUBEVALUE(ConnectionString,ReportMonth,Table1[[#This Row],[Site ID (from DATIM)]],"[Measures].[MMS_01_89_M_P]")</f>
        <v>4</v>
      </c>
      <c r="BW427" s="68" vm="19578">
        <f>CUBEVALUE(ConnectionString,ReportMonth,Table1[[#This Row],[Site ID (from DATIM)]],"[Measures].[MMS_01_89_F_A]")</f>
        <v>15</v>
      </c>
      <c r="BX427" s="68" vm="17982">
        <f>CUBEVALUE(ConnectionString,ReportMonth,Table1[[#This Row],[Site ID (from DATIM)]],"[Measures].[MMS_01_89_M_A]")</f>
        <v>8</v>
      </c>
      <c r="BY427" s="68" t="str" vm="16526">
        <f>CUBEVALUE(ConnectionString,ReportMonth,Table1[[#This Row],[Site ID (from DATIM)]],"[Measures].[MMS_90_179_F_P]")</f>
        <v/>
      </c>
      <c r="BZ427" s="68" vm="18471">
        <f>CUBEVALUE(ConnectionString,ReportMonth,Table1[[#This Row],[Site ID (from DATIM)]],"[Measures].[MMS_90_179_M_P]")</f>
        <v>2</v>
      </c>
      <c r="CA427" s="68" vm="16509">
        <f>CUBEVALUE(ConnectionString,ReportMonth,Table1[[#This Row],[Site ID (from DATIM)]],"[Measures].[MMS_90_179_F_A]")</f>
        <v>27</v>
      </c>
      <c r="CB427" s="68" vm="16345">
        <f>CUBEVALUE(ConnectionString,ReportMonth,Table1[[#This Row],[Site ID (from DATIM)]],"[Measures].[MMS_90_179_M_A]")</f>
        <v>14</v>
      </c>
      <c r="CC427" s="68" t="str" vm="14970">
        <f>CUBEVALUE(ConnectionString,ReportMonth,Table1[[#This Row],[Site ID (from DATIM)]],"[Measures].[MMS_180+_F_P]")</f>
        <v/>
      </c>
      <c r="CD427" s="68" t="str" vm="17225">
        <f>CUBEVALUE(ConnectionString,ReportMonth,Table1[[#This Row],[Site ID (from DATIM)]],"[Measures].[MMS_180+_M_P]")</f>
        <v/>
      </c>
      <c r="CE427" s="68" t="str" vm="14536">
        <f>CUBEVALUE(ConnectionString,ReportMonth,Table1[[#This Row],[Site ID (from DATIM)]],"[Measures].[MMS_180+_F_A]")</f>
        <v/>
      </c>
      <c r="CF427" s="68" t="str" vm="16280">
        <f>CUBEVALUE(ConnectionString,ReportMonth,Table1[[#This Row],[Site ID (from DATIM)]],"[Measures].[MMS_180+_M_A]")</f>
        <v/>
      </c>
      <c r="CG427" s="68" vm="6874">
        <f>CUBEVALUE(ConnectionString,ReportMonth,Table1[[#This Row],[Site ID (from DATIM)]],"[Measures].[MISSEDAPP]")</f>
        <v>46</v>
      </c>
      <c r="CH427" s="68" t="str" vm="13338">
        <f>CUBEVALUE(ConnectionString,ReportMonth,Table1[[#This Row],[Site ID (from DATIM)]],"[Measures].[MMS_180+_P]")</f>
        <v/>
      </c>
      <c r="CI427" s="68" t="str" vm="14108">
        <f>CUBEVALUE(ConnectionString,ReportMonth,Table1[[#This Row],[Site ID (from DATIM)]],"[Measures].[MMS_180+_A]")</f>
        <v/>
      </c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  <c r="CW427" s="68"/>
      <c r="CX427" s="68"/>
      <c r="CY427" s="68"/>
      <c r="CZ427" s="68"/>
      <c r="DA427" s="68"/>
      <c r="DB427" s="68"/>
      <c r="DC427" s="68"/>
    </row>
    <row r="428" spans="1:107" x14ac:dyDescent="0.25">
      <c r="A428" s="66">
        <v>4</v>
      </c>
      <c r="B428" s="67" t="str" vm="4">
        <f t="shared" si="7"/>
        <v>Mar-2021</v>
      </c>
      <c r="C428" s="67"/>
      <c r="D428" s="67" t="s">
        <v>232</v>
      </c>
      <c r="E428" s="67" t="s">
        <v>233</v>
      </c>
      <c r="F428" s="67" t="s">
        <v>1083</v>
      </c>
      <c r="G428" s="67"/>
      <c r="H428" s="67" t="s">
        <v>1095</v>
      </c>
      <c r="I428" s="67" t="s">
        <v>1275</v>
      </c>
      <c r="J428" s="67" t="s">
        <v>1276</v>
      </c>
      <c r="K428" s="67" t="s">
        <v>1277</v>
      </c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 t="str" vm="3335">
        <f>CUBEVALUE(ConnectionString,ReportMonth,Table1[[#This Row],[Site ID (from DATIM)]],"TX_NEW_2VIS")</f>
        <v/>
      </c>
      <c r="AE428" s="67" t="str" vm="1225">
        <f>CUBEVALUE(ConnectionString,ReportMonth,Table1[[#This Row],[Site ID (from DATIM)]],INDEX(SDI_Measures,1))</f>
        <v/>
      </c>
      <c r="AF428" s="67" t="str" vm="268">
        <f>CUBEVALUE(ConnectionString,ReportMonth,Table1[[#This Row],[Site ID (from DATIM)]],INDEX(SDI_Measures,2))</f>
        <v/>
      </c>
      <c r="AG428" s="67" t="str" vm="3637">
        <f>CUBEVALUE(ConnectionString,ReportMonth,Table1[[#This Row],[Site ID (from DATIM)]],INDEX(SDI_Measures,3))</f>
        <v/>
      </c>
      <c r="AH428" s="67" vm="1773">
        <f>CUBEVALUE(ConnectionString,ReportMonth,Table1[[#This Row],[Site ID (from DATIM)]],"TX_CURR_PRIOR_MONTH")</f>
        <v>3</v>
      </c>
      <c r="AI428" s="67" t="str" vm="1087">
        <f>CUBEVALUE(ConnectionString,ReportMonth,Table1[[#This Row],[Site ID (from DATIM)]],"TX_CURR")</f>
        <v/>
      </c>
      <c r="AJ428" s="67" t="str" vm="7099">
        <f>CUBEVALUE(ConnectionString,ReportMonth,Table1[[#This Row],[Site ID (from DATIM)]],"[Measures].[TI]")</f>
        <v/>
      </c>
      <c r="AK428" s="67" t="str" vm="1646">
        <f>CUBEVALUE(ConnectionString,ReportMonth,Table1[[#This Row],[Site ID (from DATIM)]],"[Measures].[TO]")</f>
        <v/>
      </c>
      <c r="AL428" s="67" t="str" vm="3877">
        <f>CUBEVALUE(ConnectionString,ReportMonth,Table1[[#This Row],[Site ID (from DATIM)]],"[Measures].[DIED]")</f>
        <v/>
      </c>
      <c r="AM428" s="67" t="str" vm="6181">
        <f>CUBEVALUE(ConnectionString,ReportMonth,Table1[[#This Row],[Site ID (from DATIM)]],"[Measures].[MMS_01_31]")</f>
        <v/>
      </c>
      <c r="AN428" s="67" t="str" vm="5147">
        <f>CUBEVALUE(ConnectionString,ReportMonth,Table1[[#This Row],[Site ID (from DATIM)]],"[Measures].[MMS_32_62]")</f>
        <v/>
      </c>
      <c r="AO428" s="67" t="str" vm="7971">
        <f>CUBEVALUE(ConnectionString,ReportMonth,Table1[[#This Row],[Site ID (from DATIM)]],"[Measures].[MMS_63+]")</f>
        <v/>
      </c>
      <c r="AP428" s="67" t="str" vm="6848">
        <f>CUBEVALUE(ConnectionString,ReportMonth,Table1[[#This Row],[Site ID (from DATIM)]],"[Measures].[TBPREV_D]")</f>
        <v/>
      </c>
      <c r="AQ428" s="67" t="str" vm="5982">
        <f>CUBEVALUE(ConnectionString,ReportMonth,Table1[[#This Row],[Site ID (from DATIM)]],"[Measures].[TBPREV_N]")</f>
        <v/>
      </c>
      <c r="AR428" s="67" t="str" vm="5478">
        <f>CUBEVALUE(ConnectionString,ReportMonth,Table1[[#This Row],[Site ID (from DATIM)]],"[Measures].[TBPREV_NEW]")</f>
        <v/>
      </c>
      <c r="AS428" s="67" t="str" vm="10031">
        <f>CUBEVALUE(ConnectionString,ReportMonth,Table1[[#This Row],[Site ID (from DATIM)]],"[Measures].[HVL_ELIG_P]")</f>
        <v/>
      </c>
      <c r="AT428" s="67" t="str" vm="8122">
        <f>CUBEVALUE(ConnectionString,ReportMonth,Table1[[#This Row],[Site ID (from DATIM)]],"[Measures].[HVL_D_P]")</f>
        <v/>
      </c>
      <c r="AU428" s="67" t="str" vm="11486">
        <f>CUBEVALUE(ConnectionString,ReportMonth,Table1[[#This Row],[Site ID (from DATIM)]],"[Measures].[HVL_N_P]")</f>
        <v/>
      </c>
      <c r="AV428" s="68" t="str" vm="13828">
        <f>CUBEVALUE(ConnectionString,ReportMonth,Table1[[#This Row],[Site ID (from DATIM)]],"[Measures].[HVL_ELIG_A]")</f>
        <v/>
      </c>
      <c r="AW428" s="68" t="str" vm="11450">
        <f>CUBEVALUE(ConnectionString,ReportMonth,Table1[[#This Row],[Site ID (from DATIM)]],"[Measures].[HVL_D_A]")</f>
        <v/>
      </c>
      <c r="AX428" s="68" t="str" vm="8580">
        <f>CUBEVALUE(ConnectionString,ReportMonth,Table1[[#This Row],[Site ID (from DATIM)]],"[Measures].[HVL_N_A]")</f>
        <v/>
      </c>
      <c r="AY428" s="67"/>
      <c r="AZ428" s="67"/>
      <c r="BA428" s="67"/>
      <c r="BB428" s="67"/>
      <c r="BC428" s="67"/>
      <c r="BD428" s="67"/>
      <c r="BE428" s="67"/>
      <c r="BF428" s="67"/>
      <c r="BG428" s="67" t="str" vm="12493">
        <f>CUBEVALUE(ConnectionString,ReportMonth,Table1[[#This Row],[Site ID (from DATIM)]],"[Measures].[TX_NEW_F_A]")</f>
        <v/>
      </c>
      <c r="BH428" s="67" t="str" vm="13747">
        <f>CUBEVALUE(ConnectionString,ReportMonth,Table1[[#This Row],[Site ID (from DATIM)]],"[Measures].[TX_NEW_M_A]")</f>
        <v/>
      </c>
      <c r="BI428" s="67" t="str" vm="12286">
        <f>CUBEVALUE(ConnectionString,ReportMonth,Table1[[#This Row],[Site ID (from DATIM)]],"[Measures].[TX_NEW_F_P]")</f>
        <v/>
      </c>
      <c r="BJ428" s="68" t="str" vm="17390">
        <f>CUBEVALUE(ConnectionString,ReportMonth,Table1[[#This Row],[Site ID (from DATIM)]],"[Measures].[TX_NEW_M_P]")</f>
        <v/>
      </c>
      <c r="BK428" s="68"/>
      <c r="BL428" s="68"/>
      <c r="BM428" s="68"/>
      <c r="BN428" s="68"/>
      <c r="BO428" s="68"/>
      <c r="BP428" s="68"/>
      <c r="BQ428" s="68" t="str" vm="9296">
        <f>CUBEVALUE(ConnectionString,ReportMonth,Table1[[#This Row],[Site ID (from DATIM)]],"[Measures].[TX_CURR_F_P]")</f>
        <v/>
      </c>
      <c r="BR428" s="68" t="str" vm="8326">
        <f>CUBEVALUE(ConnectionString,ReportMonth,Table1[[#This Row],[Site ID (from DATIM)]],"[Measures].[TX_CURR_M_P]")</f>
        <v/>
      </c>
      <c r="BS428" s="68" t="str" vm="9414">
        <f>CUBEVALUE(ConnectionString,ReportMonth,Table1[[#This Row],[Site ID (from DATIM)]],"[Measures].[TX_CURR_F_A]")</f>
        <v/>
      </c>
      <c r="BT428" s="68" t="str" vm="11166">
        <f>CUBEVALUE(ConnectionString,ReportMonth,Table1[[#This Row],[Site ID (from DATIM)]],"[Measures].[TX_CURR_M_A]")</f>
        <v/>
      </c>
      <c r="BU428" s="68" t="str" vm="18939">
        <f>CUBEVALUE(ConnectionString,ReportMonth,Table1[[#This Row],[Site ID (from DATIM)]],"[Measures].[MMS_01_89_F_P]")</f>
        <v/>
      </c>
      <c r="BV428" s="68" t="str" vm="20019">
        <f>CUBEVALUE(ConnectionString,ReportMonth,Table1[[#This Row],[Site ID (from DATIM)]],"[Measures].[MMS_01_89_M_P]")</f>
        <v/>
      </c>
      <c r="BW428" s="68" t="str" vm="19445">
        <f>CUBEVALUE(ConnectionString,ReportMonth,Table1[[#This Row],[Site ID (from DATIM)]],"[Measures].[MMS_01_89_F_A]")</f>
        <v/>
      </c>
      <c r="BX428" s="68" t="str" vm="16380">
        <f>CUBEVALUE(ConnectionString,ReportMonth,Table1[[#This Row],[Site ID (from DATIM)]],"[Measures].[MMS_01_89_M_A]")</f>
        <v/>
      </c>
      <c r="BY428" s="68" t="str" vm="19122">
        <f>CUBEVALUE(ConnectionString,ReportMonth,Table1[[#This Row],[Site ID (from DATIM)]],"[Measures].[MMS_90_179_F_P]")</f>
        <v/>
      </c>
      <c r="BZ428" s="68" t="str" vm="18452">
        <f>CUBEVALUE(ConnectionString,ReportMonth,Table1[[#This Row],[Site ID (from DATIM)]],"[Measures].[MMS_90_179_M_P]")</f>
        <v/>
      </c>
      <c r="CA428" s="68" t="str" vm="17758">
        <f>CUBEVALUE(ConnectionString,ReportMonth,Table1[[#This Row],[Site ID (from DATIM)]],"[Measures].[MMS_90_179_F_A]")</f>
        <v/>
      </c>
      <c r="CB428" s="68" t="str" vm="17685">
        <f>CUBEVALUE(ConnectionString,ReportMonth,Table1[[#This Row],[Site ID (from DATIM)]],"[Measures].[MMS_90_179_M_A]")</f>
        <v/>
      </c>
      <c r="CC428" s="68" t="str" vm="16799">
        <f>CUBEVALUE(ConnectionString,ReportMonth,Table1[[#This Row],[Site ID (from DATIM)]],"[Measures].[MMS_180+_F_P]")</f>
        <v/>
      </c>
      <c r="CD428" s="68" t="str" vm="16743">
        <f>CUBEVALUE(ConnectionString,ReportMonth,Table1[[#This Row],[Site ID (from DATIM)]],"[Measures].[MMS_180+_M_P]")</f>
        <v/>
      </c>
      <c r="CE428" s="68" t="str" vm="17178">
        <f>CUBEVALUE(ConnectionString,ReportMonth,Table1[[#This Row],[Site ID (from DATIM)]],"[Measures].[MMS_180+_F_A]")</f>
        <v/>
      </c>
      <c r="CF428" s="68" t="str" vm="16626">
        <f>CUBEVALUE(ConnectionString,ReportMonth,Table1[[#This Row],[Site ID (from DATIM)]],"[Measures].[MMS_180+_M_A]")</f>
        <v/>
      </c>
      <c r="CG428" s="68" t="str" vm="12789">
        <f>CUBEVALUE(ConnectionString,ReportMonth,Table1[[#This Row],[Site ID (from DATIM)]],"[Measures].[MISSEDAPP]")</f>
        <v/>
      </c>
      <c r="CH428" s="68" t="str" vm="13870">
        <f>CUBEVALUE(ConnectionString,ReportMonth,Table1[[#This Row],[Site ID (from DATIM)]],"[Measures].[MMS_180+_P]")</f>
        <v/>
      </c>
      <c r="CI428" s="68" t="str" vm="13613">
        <f>CUBEVALUE(ConnectionString,ReportMonth,Table1[[#This Row],[Site ID (from DATIM)]],"[Measures].[MMS_180+_A]")</f>
        <v/>
      </c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  <c r="CW428" s="68"/>
      <c r="CX428" s="68"/>
      <c r="CY428" s="68"/>
      <c r="CZ428" s="68"/>
      <c r="DA428" s="68"/>
      <c r="DB428" s="68"/>
      <c r="DC428" s="68"/>
    </row>
    <row r="429" spans="1:107" x14ac:dyDescent="0.25">
      <c r="A429" s="66">
        <v>4</v>
      </c>
      <c r="B429" s="67" t="str" vm="4">
        <f t="shared" si="7"/>
        <v>Mar-2021</v>
      </c>
      <c r="C429" s="67"/>
      <c r="D429" s="67" t="s">
        <v>232</v>
      </c>
      <c r="E429" s="67" t="s">
        <v>233</v>
      </c>
      <c r="F429" s="67" t="s">
        <v>1286</v>
      </c>
      <c r="G429" s="67"/>
      <c r="H429" s="67" t="s">
        <v>1344</v>
      </c>
      <c r="I429" s="67" t="s">
        <v>1533</v>
      </c>
      <c r="J429" s="67" t="s">
        <v>1534</v>
      </c>
      <c r="K429" s="67" t="s">
        <v>1535</v>
      </c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 t="str" vm="1650">
        <f>CUBEVALUE(ConnectionString,ReportMonth,Table1[[#This Row],[Site ID (from DATIM)]],"TX_NEW_2VIS")</f>
        <v/>
      </c>
      <c r="AE429" s="67" t="str" vm="553">
        <f>CUBEVALUE(ConnectionString,ReportMonth,Table1[[#This Row],[Site ID (from DATIM)]],INDEX(SDI_Measures,1))</f>
        <v/>
      </c>
      <c r="AF429" s="67" t="str" vm="728">
        <f>CUBEVALUE(ConnectionString,ReportMonth,Table1[[#This Row],[Site ID (from DATIM)]],INDEX(SDI_Measures,2))</f>
        <v/>
      </c>
      <c r="AG429" s="67" t="str" vm="2166">
        <f>CUBEVALUE(ConnectionString,ReportMonth,Table1[[#This Row],[Site ID (from DATIM)]],INDEX(SDI_Measures,3))</f>
        <v/>
      </c>
      <c r="AH429" s="67" t="str" vm="2011">
        <f>CUBEVALUE(ConnectionString,ReportMonth,Table1[[#This Row],[Site ID (from DATIM)]],"TX_CURR_PRIOR_MONTH")</f>
        <v/>
      </c>
      <c r="AI429" s="67" t="str" vm="2199">
        <f>CUBEVALUE(ConnectionString,ReportMonth,Table1[[#This Row],[Site ID (from DATIM)]],"TX_CURR")</f>
        <v/>
      </c>
      <c r="AJ429" s="67" t="str" vm="4312">
        <f>CUBEVALUE(ConnectionString,ReportMonth,Table1[[#This Row],[Site ID (from DATIM)]],"[Measures].[TI]")</f>
        <v/>
      </c>
      <c r="AK429" s="67" t="str" vm="1102">
        <f>CUBEVALUE(ConnectionString,ReportMonth,Table1[[#This Row],[Site ID (from DATIM)]],"[Measures].[TO]")</f>
        <v/>
      </c>
      <c r="AL429" s="67" t="str" vm="3227">
        <f>CUBEVALUE(ConnectionString,ReportMonth,Table1[[#This Row],[Site ID (from DATIM)]],"[Measures].[DIED]")</f>
        <v/>
      </c>
      <c r="AM429" s="67" t="str" vm="4074">
        <f>CUBEVALUE(ConnectionString,ReportMonth,Table1[[#This Row],[Site ID (from DATIM)]],"[Measures].[MMS_01_31]")</f>
        <v/>
      </c>
      <c r="AN429" s="67" t="str" vm="7117">
        <f>CUBEVALUE(ConnectionString,ReportMonth,Table1[[#This Row],[Site ID (from DATIM)]],"[Measures].[MMS_32_62]")</f>
        <v/>
      </c>
      <c r="AO429" s="67" t="str" vm="5024">
        <f>CUBEVALUE(ConnectionString,ReportMonth,Table1[[#This Row],[Site ID (from DATIM)]],"[Measures].[MMS_63+]")</f>
        <v/>
      </c>
      <c r="AP429" s="67" t="str" vm="6018">
        <f>CUBEVALUE(ConnectionString,ReportMonth,Table1[[#This Row],[Site ID (from DATIM)]],"[Measures].[TBPREV_D]")</f>
        <v/>
      </c>
      <c r="AQ429" s="67" t="str" vm="7963">
        <f>CUBEVALUE(ConnectionString,ReportMonth,Table1[[#This Row],[Site ID (from DATIM)]],"[Measures].[TBPREV_N]")</f>
        <v/>
      </c>
      <c r="AR429" s="67" t="str" vm="6131">
        <f>CUBEVALUE(ConnectionString,ReportMonth,Table1[[#This Row],[Site ID (from DATIM)]],"[Measures].[TBPREV_NEW]")</f>
        <v/>
      </c>
      <c r="AS429" s="67" t="str" vm="7187">
        <f>CUBEVALUE(ConnectionString,ReportMonth,Table1[[#This Row],[Site ID (from DATIM)]],"[Measures].[HVL_ELIG_P]")</f>
        <v/>
      </c>
      <c r="AT429" s="67" t="str" vm="7704">
        <f>CUBEVALUE(ConnectionString,ReportMonth,Table1[[#This Row],[Site ID (from DATIM)]],"[Measures].[HVL_D_P]")</f>
        <v/>
      </c>
      <c r="AU429" s="67" t="str" vm="8909">
        <f>CUBEVALUE(ConnectionString,ReportMonth,Table1[[#This Row],[Site ID (from DATIM)]],"[Measures].[HVL_N_P]")</f>
        <v/>
      </c>
      <c r="AV429" s="68" t="str" vm="7735">
        <f>CUBEVALUE(ConnectionString,ReportMonth,Table1[[#This Row],[Site ID (from DATIM)]],"[Measures].[HVL_ELIG_A]")</f>
        <v/>
      </c>
      <c r="AW429" s="68" t="str" vm="9763">
        <f>CUBEVALUE(ConnectionString,ReportMonth,Table1[[#This Row],[Site ID (from DATIM)]],"[Measures].[HVL_D_A]")</f>
        <v/>
      </c>
      <c r="AX429" s="68" t="str" vm="9544">
        <f>CUBEVALUE(ConnectionString,ReportMonth,Table1[[#This Row],[Site ID (from DATIM)]],"[Measures].[HVL_N_A]")</f>
        <v/>
      </c>
      <c r="AY429" s="67"/>
      <c r="AZ429" s="67"/>
      <c r="BA429" s="67"/>
      <c r="BB429" s="67"/>
      <c r="BC429" s="67"/>
      <c r="BD429" s="67"/>
      <c r="BE429" s="67"/>
      <c r="BF429" s="67"/>
      <c r="BG429" s="67" t="str" vm="12593">
        <f>CUBEVALUE(ConnectionString,ReportMonth,Table1[[#This Row],[Site ID (from DATIM)]],"[Measures].[TX_NEW_F_A]")</f>
        <v/>
      </c>
      <c r="BH429" s="67" t="str" vm="11964">
        <f>CUBEVALUE(ConnectionString,ReportMonth,Table1[[#This Row],[Site ID (from DATIM)]],"[Measures].[TX_NEW_M_A]")</f>
        <v/>
      </c>
      <c r="BI429" s="67" t="str" vm="12231">
        <f>CUBEVALUE(ConnectionString,ReportMonth,Table1[[#This Row],[Site ID (from DATIM)]],"[Measures].[TX_NEW_F_P]")</f>
        <v/>
      </c>
      <c r="BJ429" s="68" t="str" vm="15316">
        <f>CUBEVALUE(ConnectionString,ReportMonth,Table1[[#This Row],[Site ID (from DATIM)]],"[Measures].[TX_NEW_M_P]")</f>
        <v/>
      </c>
      <c r="BK429" s="68"/>
      <c r="BL429" s="68"/>
      <c r="BM429" s="68"/>
      <c r="BN429" s="68"/>
      <c r="BO429" s="68"/>
      <c r="BP429" s="68"/>
      <c r="BQ429" s="68" t="str" vm="8426">
        <f>CUBEVALUE(ConnectionString,ReportMonth,Table1[[#This Row],[Site ID (from DATIM)]],"[Measures].[TX_CURR_F_P]")</f>
        <v/>
      </c>
      <c r="BR429" s="68" t="str" vm="6590">
        <f>CUBEVALUE(ConnectionString,ReportMonth,Table1[[#This Row],[Site ID (from DATIM)]],"[Measures].[TX_CURR_M_P]")</f>
        <v/>
      </c>
      <c r="BS429" s="68" t="str" vm="11133">
        <f>CUBEVALUE(ConnectionString,ReportMonth,Table1[[#This Row],[Site ID (from DATIM)]],"[Measures].[TX_CURR_F_A]")</f>
        <v/>
      </c>
      <c r="BT429" s="68" t="str" vm="14098">
        <f>CUBEVALUE(ConnectionString,ReportMonth,Table1[[#This Row],[Site ID (from DATIM)]],"[Measures].[TX_CURR_M_A]")</f>
        <v/>
      </c>
      <c r="BU429" s="68" t="str" vm="18732">
        <f>CUBEVALUE(ConnectionString,ReportMonth,Table1[[#This Row],[Site ID (from DATIM)]],"[Measures].[MMS_01_89_F_P]")</f>
        <v/>
      </c>
      <c r="BV429" s="68" t="str" vm="18935">
        <f>CUBEVALUE(ConnectionString,ReportMonth,Table1[[#This Row],[Site ID (from DATIM)]],"[Measures].[MMS_01_89_M_P]")</f>
        <v/>
      </c>
      <c r="BW429" s="68" t="str" vm="19379">
        <f>CUBEVALUE(ConnectionString,ReportMonth,Table1[[#This Row],[Site ID (from DATIM)]],"[Measures].[MMS_01_89_F_A]")</f>
        <v/>
      </c>
      <c r="BX429" s="68" t="str" vm="18529">
        <f>CUBEVALUE(ConnectionString,ReportMonth,Table1[[#This Row],[Site ID (from DATIM)]],"[Measures].[MMS_01_89_M_A]")</f>
        <v/>
      </c>
      <c r="BY429" s="68" t="str" vm="19615">
        <f>CUBEVALUE(ConnectionString,ReportMonth,Table1[[#This Row],[Site ID (from DATIM)]],"[Measures].[MMS_90_179_F_P]")</f>
        <v/>
      </c>
      <c r="BZ429" s="68" t="str" vm="18808">
        <f>CUBEVALUE(ConnectionString,ReportMonth,Table1[[#This Row],[Site ID (from DATIM)]],"[Measures].[MMS_90_179_M_P]")</f>
        <v/>
      </c>
      <c r="CA429" s="68" t="str" vm="14680">
        <f>CUBEVALUE(ConnectionString,ReportMonth,Table1[[#This Row],[Site ID (from DATIM)]],"[Measures].[MMS_90_179_F_A]")</f>
        <v/>
      </c>
      <c r="CB429" s="68" t="str" vm="17624">
        <f>CUBEVALUE(ConnectionString,ReportMonth,Table1[[#This Row],[Site ID (from DATIM)]],"[Measures].[MMS_90_179_M_A]")</f>
        <v/>
      </c>
      <c r="CC429" s="68" t="str" vm="14547">
        <f>CUBEVALUE(ConnectionString,ReportMonth,Table1[[#This Row],[Site ID (from DATIM)]],"[Measures].[MMS_180+_F_P]")</f>
        <v/>
      </c>
      <c r="CD429" s="68" t="str" vm="14553">
        <f>CUBEVALUE(ConnectionString,ReportMonth,Table1[[#This Row],[Site ID (from DATIM)]],"[Measures].[MMS_180+_M_P]")</f>
        <v/>
      </c>
      <c r="CE429" s="68" t="str" vm="169">
        <f>CUBEVALUE(ConnectionString,ReportMonth,Table1[[#This Row],[Site ID (from DATIM)]],"[Measures].[MMS_180+_F_A]")</f>
        <v/>
      </c>
      <c r="CF429" s="68" t="str" vm="15409">
        <f>CUBEVALUE(ConnectionString,ReportMonth,Table1[[#This Row],[Site ID (from DATIM)]],"[Measures].[MMS_180+_M_A]")</f>
        <v/>
      </c>
      <c r="CG429" s="68" t="str" vm="4884">
        <f>CUBEVALUE(ConnectionString,ReportMonth,Table1[[#This Row],[Site ID (from DATIM)]],"[Measures].[MISSEDAPP]")</f>
        <v/>
      </c>
      <c r="CH429" s="68" t="str" vm="13426">
        <f>CUBEVALUE(ConnectionString,ReportMonth,Table1[[#This Row],[Site ID (from DATIM)]],"[Measures].[MMS_180+_P]")</f>
        <v/>
      </c>
      <c r="CI429" s="68" t="str" vm="12487">
        <f>CUBEVALUE(ConnectionString,ReportMonth,Table1[[#This Row],[Site ID (from DATIM)]],"[Measures].[MMS_180+_A]")</f>
        <v/>
      </c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  <c r="CW429" s="68"/>
      <c r="CX429" s="68"/>
      <c r="CY429" s="68"/>
      <c r="CZ429" s="68"/>
      <c r="DA429" s="68"/>
      <c r="DB429" s="68"/>
      <c r="DC429" s="68"/>
    </row>
    <row r="430" spans="1:107" x14ac:dyDescent="0.25">
      <c r="A430" s="66">
        <v>1</v>
      </c>
      <c r="B430" s="67" t="str" vm="4">
        <f t="shared" si="7"/>
        <v>Mar-2021</v>
      </c>
      <c r="C430" s="67"/>
      <c r="D430" s="67" t="s">
        <v>232</v>
      </c>
      <c r="E430" s="67" t="s">
        <v>233</v>
      </c>
      <c r="F430" s="67" t="s">
        <v>234</v>
      </c>
      <c r="G430" s="67"/>
      <c r="H430" s="67" t="s">
        <v>239</v>
      </c>
      <c r="I430" s="67" t="s">
        <v>422</v>
      </c>
      <c r="J430" s="67" t="s">
        <v>423</v>
      </c>
      <c r="K430" s="67" t="s">
        <v>424</v>
      </c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 vm="1769">
        <f>CUBEVALUE(ConnectionString,ReportMonth,Table1[[#This Row],[Site ID (from DATIM)]],"TX_NEW_2VIS")</f>
        <v>10</v>
      </c>
      <c r="AE430" s="67" vm="1840">
        <f>CUBEVALUE(ConnectionString,ReportMonth,Table1[[#This Row],[Site ID (from DATIM)]],INDEX(SDI_Measures,1))</f>
        <v>8</v>
      </c>
      <c r="AF430" s="67" t="str" vm="577">
        <f>CUBEVALUE(ConnectionString,ReportMonth,Table1[[#This Row],[Site ID (from DATIM)]],INDEX(SDI_Measures,2))</f>
        <v/>
      </c>
      <c r="AG430" s="67" t="str" vm="3543">
        <f>CUBEVALUE(ConnectionString,ReportMonth,Table1[[#This Row],[Site ID (from DATIM)]],INDEX(SDI_Measures,3))</f>
        <v/>
      </c>
      <c r="AH430" s="67" vm="1141">
        <f>CUBEVALUE(ConnectionString,ReportMonth,Table1[[#This Row],[Site ID (from DATIM)]],"TX_CURR_PRIOR_MONTH")</f>
        <v>3371</v>
      </c>
      <c r="AI430" s="67" vm="2123">
        <f>CUBEVALUE(ConnectionString,ReportMonth,Table1[[#This Row],[Site ID (from DATIM)]],"TX_CURR")</f>
        <v>3330</v>
      </c>
      <c r="AJ430" s="67" vm="3977">
        <f>CUBEVALUE(ConnectionString,ReportMonth,Table1[[#This Row],[Site ID (from DATIM)]],"[Measures].[TI]")</f>
        <v>4</v>
      </c>
      <c r="AK430" s="67" vm="2523">
        <f>CUBEVALUE(ConnectionString,ReportMonth,Table1[[#This Row],[Site ID (from DATIM)]],"[Measures].[TO]")</f>
        <v>8</v>
      </c>
      <c r="AL430" s="67" vm="1226">
        <f>CUBEVALUE(ConnectionString,ReportMonth,Table1[[#This Row],[Site ID (from DATIM)]],"[Measures].[DIED]")</f>
        <v>1</v>
      </c>
      <c r="AM430" s="67" vm="7101">
        <f>CUBEVALUE(ConnectionString,ReportMonth,Table1[[#This Row],[Site ID (from DATIM)]],"[Measures].[MMS_01_31]")</f>
        <v>503</v>
      </c>
      <c r="AN430" s="67" vm="5028">
        <f>CUBEVALUE(ConnectionString,ReportMonth,Table1[[#This Row],[Site ID (from DATIM)]],"[Measures].[MMS_32_62]")</f>
        <v>125</v>
      </c>
      <c r="AO430" s="67" vm="6300">
        <f>CUBEVALUE(ConnectionString,ReportMonth,Table1[[#This Row],[Site ID (from DATIM)]],"[Measures].[MMS_63+]")</f>
        <v>2702</v>
      </c>
      <c r="AP430" s="67" vm="7160">
        <f>CUBEVALUE(ConnectionString,ReportMonth,Table1[[#This Row],[Site ID (from DATIM)]],"[Measures].[TBPREV_D]")</f>
        <v>15</v>
      </c>
      <c r="AQ430" s="67" vm="5536">
        <f>CUBEVALUE(ConnectionString,ReportMonth,Table1[[#This Row],[Site ID (from DATIM)]],"[Measures].[TBPREV_N]")</f>
        <v>12</v>
      </c>
      <c r="AR430" s="67" vm="5627">
        <f>CUBEVALUE(ConnectionString,ReportMonth,Table1[[#This Row],[Site ID (from DATIM)]],"[Measures].[TBPREV_NEW]")</f>
        <v>6</v>
      </c>
      <c r="AS430" s="67" vm="5913">
        <f>CUBEVALUE(ConnectionString,ReportMonth,Table1[[#This Row],[Site ID (from DATIM)]],"[Measures].[HVL_ELIG_P]")</f>
        <v>96</v>
      </c>
      <c r="AT430" s="67" vm="5265">
        <f>CUBEVALUE(ConnectionString,ReportMonth,Table1[[#This Row],[Site ID (from DATIM)]],"[Measures].[HVL_D_P]")</f>
        <v>85</v>
      </c>
      <c r="AU430" s="67" vm="15637">
        <f>CUBEVALUE(ConnectionString,ReportMonth,Table1[[#This Row],[Site ID (from DATIM)]],"[Measures].[HVL_N_P]")</f>
        <v>79</v>
      </c>
      <c r="AV430" s="68" vm="8267">
        <f>CUBEVALUE(ConnectionString,ReportMonth,Table1[[#This Row],[Site ID (from DATIM)]],"[Measures].[HVL_ELIG_A]")</f>
        <v>3074</v>
      </c>
      <c r="AW430" s="68" vm="9379">
        <f>CUBEVALUE(ConnectionString,ReportMonth,Table1[[#This Row],[Site ID (from DATIM)]],"[Measures].[HVL_D_A]")</f>
        <v>2047</v>
      </c>
      <c r="AX430" s="68" vm="9681">
        <f>CUBEVALUE(ConnectionString,ReportMonth,Table1[[#This Row],[Site ID (from DATIM)]],"[Measures].[HVL_N_A]")</f>
        <v>1942</v>
      </c>
      <c r="AY430" s="67"/>
      <c r="AZ430" s="67"/>
      <c r="BA430" s="67"/>
      <c r="BB430" s="67"/>
      <c r="BC430" s="67"/>
      <c r="BD430" s="67"/>
      <c r="BE430" s="67"/>
      <c r="BF430" s="67"/>
      <c r="BG430" s="67" vm="14823">
        <f>CUBEVALUE(ConnectionString,ReportMonth,Table1[[#This Row],[Site ID (from DATIM)]],"[Measures].[TX_NEW_F_A]")</f>
        <v>5</v>
      </c>
      <c r="BH430" s="67" vm="11722">
        <f>CUBEVALUE(ConnectionString,ReportMonth,Table1[[#This Row],[Site ID (from DATIM)]],"[Measures].[TX_NEW_M_A]")</f>
        <v>3</v>
      </c>
      <c r="BI430" s="67" t="str" vm="14358">
        <f>CUBEVALUE(ConnectionString,ReportMonth,Table1[[#This Row],[Site ID (from DATIM)]],"[Measures].[TX_NEW_F_P]")</f>
        <v/>
      </c>
      <c r="BJ430" s="68" t="str" vm="12822">
        <f>CUBEVALUE(ConnectionString,ReportMonth,Table1[[#This Row],[Site ID (from DATIM)]],"[Measures].[TX_NEW_M_P]")</f>
        <v/>
      </c>
      <c r="BK430" s="68"/>
      <c r="BL430" s="68"/>
      <c r="BM430" s="68"/>
      <c r="BN430" s="68"/>
      <c r="BO430" s="68"/>
      <c r="BP430" s="68"/>
      <c r="BQ430" s="68" vm="10308">
        <f>CUBEVALUE(ConnectionString,ReportMonth,Table1[[#This Row],[Site ID (from DATIM)]],"[Measures].[TX_CURR_F_P]")</f>
        <v>47</v>
      </c>
      <c r="BR430" s="68" vm="10635">
        <f>CUBEVALUE(ConnectionString,ReportMonth,Table1[[#This Row],[Site ID (from DATIM)]],"[Measures].[TX_CURR_M_P]")</f>
        <v>60</v>
      </c>
      <c r="BS430" s="68" vm="13725">
        <f>CUBEVALUE(ConnectionString,ReportMonth,Table1[[#This Row],[Site ID (from DATIM)]],"[Measures].[TX_CURR_F_A]")</f>
        <v>2278</v>
      </c>
      <c r="BT430" s="68" vm="10815">
        <f>CUBEVALUE(ConnectionString,ReportMonth,Table1[[#This Row],[Site ID (from DATIM)]],"[Measures].[TX_CURR_M_A]")</f>
        <v>946</v>
      </c>
      <c r="BU430" s="68" vm="18429">
        <f>CUBEVALUE(ConnectionString,ReportMonth,Table1[[#This Row],[Site ID (from DATIM)]],"[Measures].[MMS_01_89_F_P]")</f>
        <v>7</v>
      </c>
      <c r="BV430" s="68" vm="18346">
        <f>CUBEVALUE(ConnectionString,ReportMonth,Table1[[#This Row],[Site ID (from DATIM)]],"[Measures].[MMS_01_89_M_P]")</f>
        <v>18</v>
      </c>
      <c r="BW430" s="68" vm="19823">
        <f>CUBEVALUE(ConnectionString,ReportMonth,Table1[[#This Row],[Site ID (from DATIM)]],"[Measures].[MMS_01_89_F_A]")</f>
        <v>485</v>
      </c>
      <c r="BX430" s="68" vm="19724">
        <f>CUBEVALUE(ConnectionString,ReportMonth,Table1[[#This Row],[Site ID (from DATIM)]],"[Measures].[MMS_01_89_M_A]")</f>
        <v>173</v>
      </c>
      <c r="BY430" s="68" vm="18555">
        <f>CUBEVALUE(ConnectionString,ReportMonth,Table1[[#This Row],[Site ID (from DATIM)]],"[Measures].[MMS_90_179_F_P]")</f>
        <v>40</v>
      </c>
      <c r="BZ430" s="68" vm="18180">
        <f>CUBEVALUE(ConnectionString,ReportMonth,Table1[[#This Row],[Site ID (from DATIM)]],"[Measures].[MMS_90_179_M_P]")</f>
        <v>42</v>
      </c>
      <c r="CA430" s="68" vm="14433">
        <f>CUBEVALUE(ConnectionString,ReportMonth,Table1[[#This Row],[Site ID (from DATIM)]],"[Measures].[MMS_90_179_F_A]")</f>
        <v>1793</v>
      </c>
      <c r="CB430" s="68" vm="16878">
        <f>CUBEVALUE(ConnectionString,ReportMonth,Table1[[#This Row],[Site ID (from DATIM)]],"[Measures].[MMS_90_179_M_A]")</f>
        <v>773</v>
      </c>
      <c r="CC430" s="68" t="str" vm="14594">
        <f>CUBEVALUE(ConnectionString,ReportMonth,Table1[[#This Row],[Site ID (from DATIM)]],"[Measures].[MMS_180+_F_P]")</f>
        <v/>
      </c>
      <c r="CD430" s="68" t="str" vm="17505">
        <f>CUBEVALUE(ConnectionString,ReportMonth,Table1[[#This Row],[Site ID (from DATIM)]],"[Measures].[MMS_180+_M_P]")</f>
        <v/>
      </c>
      <c r="CE430" s="68" t="str" vm="15438">
        <f>CUBEVALUE(ConnectionString,ReportMonth,Table1[[#This Row],[Site ID (from DATIM)]],"[Measures].[MMS_180+_F_A]")</f>
        <v/>
      </c>
      <c r="CF430" s="68" t="str" vm="17467">
        <f>CUBEVALUE(ConnectionString,ReportMonth,Table1[[#This Row],[Site ID (from DATIM)]],"[Measures].[MMS_180+_M_A]")</f>
        <v/>
      </c>
      <c r="CG430" s="68" vm="7343">
        <f>CUBEVALUE(ConnectionString,ReportMonth,Table1[[#This Row],[Site ID (from DATIM)]],"[Measures].[MISSEDAPP]")</f>
        <v>1005</v>
      </c>
      <c r="CH430" s="68" t="str" vm="13609">
        <f>CUBEVALUE(ConnectionString,ReportMonth,Table1[[#This Row],[Site ID (from DATIM)]],"[Measures].[MMS_180+_P]")</f>
        <v/>
      </c>
      <c r="CI430" s="68" t="str" vm="13342">
        <f>CUBEVALUE(ConnectionString,ReportMonth,Table1[[#This Row],[Site ID (from DATIM)]],"[Measures].[MMS_180+_A]")</f>
        <v/>
      </c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  <c r="CW430" s="68"/>
      <c r="CX430" s="68"/>
      <c r="CY430" s="68"/>
      <c r="CZ430" s="68"/>
      <c r="DA430" s="68"/>
      <c r="DB430" s="68"/>
      <c r="DC430" s="68"/>
    </row>
    <row r="431" spans="1:107" x14ac:dyDescent="0.25">
      <c r="A431" s="66">
        <v>2</v>
      </c>
      <c r="B431" s="67" t="str" vm="4">
        <f t="shared" si="7"/>
        <v>Mar-2021</v>
      </c>
      <c r="C431" s="67"/>
      <c r="D431" s="67" t="s">
        <v>232</v>
      </c>
      <c r="E431" s="67" t="s">
        <v>233</v>
      </c>
      <c r="F431" s="67" t="s">
        <v>1286</v>
      </c>
      <c r="G431" s="67"/>
      <c r="H431" s="67" t="s">
        <v>1303</v>
      </c>
      <c r="I431" s="67" t="s">
        <v>1536</v>
      </c>
      <c r="J431" s="67" t="s">
        <v>1537</v>
      </c>
      <c r="K431" s="67" t="s">
        <v>1538</v>
      </c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 t="str" vm="2543">
        <f>CUBEVALUE(ConnectionString,ReportMonth,Table1[[#This Row],[Site ID (from DATIM)]],"TX_NEW_2VIS")</f>
        <v/>
      </c>
      <c r="AE431" s="67" t="str" vm="4127">
        <f>CUBEVALUE(ConnectionString,ReportMonth,Table1[[#This Row],[Site ID (from DATIM)]],INDEX(SDI_Measures,1))</f>
        <v/>
      </c>
      <c r="AF431" s="67" t="str" vm="5937">
        <f>CUBEVALUE(ConnectionString,ReportMonth,Table1[[#This Row],[Site ID (from DATIM)]],INDEX(SDI_Measures,2))</f>
        <v/>
      </c>
      <c r="AG431" s="67" t="str" vm="2572">
        <f>CUBEVALUE(ConnectionString,ReportMonth,Table1[[#This Row],[Site ID (from DATIM)]],INDEX(SDI_Measures,3))</f>
        <v/>
      </c>
      <c r="AH431" s="67" t="str" vm="3954">
        <f>CUBEVALUE(ConnectionString,ReportMonth,Table1[[#This Row],[Site ID (from DATIM)]],"TX_CURR_PRIOR_MONTH")</f>
        <v/>
      </c>
      <c r="AI431" s="67" t="str" vm="3071">
        <f>CUBEVALUE(ConnectionString,ReportMonth,Table1[[#This Row],[Site ID (from DATIM)]],"TX_CURR")</f>
        <v/>
      </c>
      <c r="AJ431" s="67" t="str" vm="1144">
        <f>CUBEVALUE(ConnectionString,ReportMonth,Table1[[#This Row],[Site ID (from DATIM)]],"[Measures].[TI]")</f>
        <v/>
      </c>
      <c r="AK431" s="67" t="str" vm="3420">
        <f>CUBEVALUE(ConnectionString,ReportMonth,Table1[[#This Row],[Site ID (from DATIM)]],"[Measures].[TO]")</f>
        <v/>
      </c>
      <c r="AL431" s="67" t="str" vm="3625">
        <f>CUBEVALUE(ConnectionString,ReportMonth,Table1[[#This Row],[Site ID (from DATIM)]],"[Measures].[DIED]")</f>
        <v/>
      </c>
      <c r="AM431" s="67" t="str" vm="3985">
        <f>CUBEVALUE(ConnectionString,ReportMonth,Table1[[#This Row],[Site ID (from DATIM)]],"[Measures].[MMS_01_31]")</f>
        <v/>
      </c>
      <c r="AN431" s="67" t="str" vm="7460">
        <f>CUBEVALUE(ConnectionString,ReportMonth,Table1[[#This Row],[Site ID (from DATIM)]],"[Measures].[MMS_32_62]")</f>
        <v/>
      </c>
      <c r="AO431" s="67" t="str" vm="6842">
        <f>CUBEVALUE(ConnectionString,ReportMonth,Table1[[#This Row],[Site ID (from DATIM)]],"[Measures].[MMS_63+]")</f>
        <v/>
      </c>
      <c r="AP431" s="67" t="str" vm="9804">
        <f>CUBEVALUE(ConnectionString,ReportMonth,Table1[[#This Row],[Site ID (from DATIM)]],"[Measures].[TBPREV_D]")</f>
        <v/>
      </c>
      <c r="AQ431" s="67" t="str" vm="7600">
        <f>CUBEVALUE(ConnectionString,ReportMonth,Table1[[#This Row],[Site ID (from DATIM)]],"[Measures].[TBPREV_N]")</f>
        <v/>
      </c>
      <c r="AR431" s="67" t="str" vm="5484">
        <f>CUBEVALUE(ConnectionString,ReportMonth,Table1[[#This Row],[Site ID (from DATIM)]],"[Measures].[TBPREV_NEW]")</f>
        <v/>
      </c>
      <c r="AS431" s="67" t="str" vm="7632">
        <f>CUBEVALUE(ConnectionString,ReportMonth,Table1[[#This Row],[Site ID (from DATIM)]],"[Measures].[HVL_ELIG_P]")</f>
        <v/>
      </c>
      <c r="AT431" s="67" t="str" vm="14153">
        <f>CUBEVALUE(ConnectionString,ReportMonth,Table1[[#This Row],[Site ID (from DATIM)]],"[Measures].[HVL_D_P]")</f>
        <v/>
      </c>
      <c r="AU431" s="67" t="str" vm="11047">
        <f>CUBEVALUE(ConnectionString,ReportMonth,Table1[[#This Row],[Site ID (from DATIM)]],"[Measures].[HVL_N_P]")</f>
        <v/>
      </c>
      <c r="AV431" s="68" t="str" vm="10329">
        <f>CUBEVALUE(ConnectionString,ReportMonth,Table1[[#This Row],[Site ID (from DATIM)]],"[Measures].[HVL_ELIG_A]")</f>
        <v/>
      </c>
      <c r="AW431" s="68" t="str" vm="7496">
        <f>CUBEVALUE(ConnectionString,ReportMonth,Table1[[#This Row],[Site ID (from DATIM)]],"[Measures].[HVL_D_A]")</f>
        <v/>
      </c>
      <c r="AX431" s="68" t="str" vm="9062">
        <f>CUBEVALUE(ConnectionString,ReportMonth,Table1[[#This Row],[Site ID (from DATIM)]],"[Measures].[HVL_N_A]")</f>
        <v/>
      </c>
      <c r="AY431" s="67"/>
      <c r="AZ431" s="67"/>
      <c r="BA431" s="67"/>
      <c r="BB431" s="67"/>
      <c r="BC431" s="67"/>
      <c r="BD431" s="67"/>
      <c r="BE431" s="67"/>
      <c r="BF431" s="67"/>
      <c r="BG431" s="67" t="str" vm="10131">
        <f>CUBEVALUE(ConnectionString,ReportMonth,Table1[[#This Row],[Site ID (from DATIM)]],"[Measures].[TX_NEW_F_A]")</f>
        <v/>
      </c>
      <c r="BH431" s="67" t="str" vm="14079">
        <f>CUBEVALUE(ConnectionString,ReportMonth,Table1[[#This Row],[Site ID (from DATIM)]],"[Measures].[TX_NEW_M_A]")</f>
        <v/>
      </c>
      <c r="BI431" s="67" t="str" vm="13532">
        <f>CUBEVALUE(ConnectionString,ReportMonth,Table1[[#This Row],[Site ID (from DATIM)]],"[Measures].[TX_NEW_F_P]")</f>
        <v/>
      </c>
      <c r="BJ431" s="68" t="str" vm="13151">
        <f>CUBEVALUE(ConnectionString,ReportMonth,Table1[[#This Row],[Site ID (from DATIM)]],"[Measures].[TX_NEW_M_P]")</f>
        <v/>
      </c>
      <c r="BK431" s="68"/>
      <c r="BL431" s="68"/>
      <c r="BM431" s="68"/>
      <c r="BN431" s="68"/>
      <c r="BO431" s="68"/>
      <c r="BP431" s="68"/>
      <c r="BQ431" s="68" t="str" vm="12489">
        <f>CUBEVALUE(ConnectionString,ReportMonth,Table1[[#This Row],[Site ID (from DATIM)]],"[Measures].[TX_CURR_F_P]")</f>
        <v/>
      </c>
      <c r="BR431" s="68" t="str" vm="11434">
        <f>CUBEVALUE(ConnectionString,ReportMonth,Table1[[#This Row],[Site ID (from DATIM)]],"[Measures].[TX_CURR_M_P]")</f>
        <v/>
      </c>
      <c r="BS431" s="68" t="str" vm="9982">
        <f>CUBEVALUE(ConnectionString,ReportMonth,Table1[[#This Row],[Site ID (from DATIM)]],"[Measures].[TX_CURR_F_A]")</f>
        <v/>
      </c>
      <c r="BT431" s="68" t="str" vm="10879">
        <f>CUBEVALUE(ConnectionString,ReportMonth,Table1[[#This Row],[Site ID (from DATIM)]],"[Measures].[TX_CURR_M_A]")</f>
        <v/>
      </c>
      <c r="BU431" s="68" t="str" vm="19248">
        <f>CUBEVALUE(ConnectionString,ReportMonth,Table1[[#This Row],[Site ID (from DATIM)]],"[Measures].[MMS_01_89_F_P]")</f>
        <v/>
      </c>
      <c r="BV431" s="68" t="str" vm="19961">
        <f>CUBEVALUE(ConnectionString,ReportMonth,Table1[[#This Row],[Site ID (from DATIM)]],"[Measures].[MMS_01_89_M_P]")</f>
        <v/>
      </c>
      <c r="BW431" s="68" t="str" vm="18029">
        <f>CUBEVALUE(ConnectionString,ReportMonth,Table1[[#This Row],[Site ID (from DATIM)]],"[Measures].[MMS_01_89_F_A]")</f>
        <v/>
      </c>
      <c r="BX431" s="68" t="str" vm="18247">
        <f>CUBEVALUE(ConnectionString,ReportMonth,Table1[[#This Row],[Site ID (from DATIM)]],"[Measures].[MMS_01_89_M_A]")</f>
        <v/>
      </c>
      <c r="BY431" s="68" t="str" vm="18467">
        <f>CUBEVALUE(ConnectionString,ReportMonth,Table1[[#This Row],[Site ID (from DATIM)]],"[Measures].[MMS_90_179_F_P]")</f>
        <v/>
      </c>
      <c r="BZ431" s="68" t="str" vm="18202">
        <f>CUBEVALUE(ConnectionString,ReportMonth,Table1[[#This Row],[Site ID (from DATIM)]],"[Measures].[MMS_90_179_M_P]")</f>
        <v/>
      </c>
      <c r="CA431" s="68" t="str" vm="16891">
        <f>CUBEVALUE(ConnectionString,ReportMonth,Table1[[#This Row],[Site ID (from DATIM)]],"[Measures].[MMS_90_179_F_A]")</f>
        <v/>
      </c>
      <c r="CB431" s="68" t="str" vm="17754">
        <f>CUBEVALUE(ConnectionString,ReportMonth,Table1[[#This Row],[Site ID (from DATIM)]],"[Measures].[MMS_90_179_M_A]")</f>
        <v/>
      </c>
      <c r="CC431" s="68" t="str" vm="17282">
        <f>CUBEVALUE(ConnectionString,ReportMonth,Table1[[#This Row],[Site ID (from DATIM)]],"[Measures].[MMS_180+_F_P]")</f>
        <v/>
      </c>
      <c r="CD431" s="68" t="str" vm="17113">
        <f>CUBEVALUE(ConnectionString,ReportMonth,Table1[[#This Row],[Site ID (from DATIM)]],"[Measures].[MMS_180+_M_P]")</f>
        <v/>
      </c>
      <c r="CE431" s="68" t="str" vm="15422">
        <f>CUBEVALUE(ConnectionString,ReportMonth,Table1[[#This Row],[Site ID (from DATIM)]],"[Measures].[MMS_180+_F_A]")</f>
        <v/>
      </c>
      <c r="CF431" s="68" t="str" vm="192">
        <f>CUBEVALUE(ConnectionString,ReportMonth,Table1[[#This Row],[Site ID (from DATIM)]],"[Measures].[MMS_180+_M_A]")</f>
        <v/>
      </c>
      <c r="CG431" s="68" t="str" vm="7186">
        <f>CUBEVALUE(ConnectionString,ReportMonth,Table1[[#This Row],[Site ID (from DATIM)]],"[Measures].[MISSEDAPP]")</f>
        <v/>
      </c>
      <c r="CH431" s="68" t="str" vm="14224">
        <f>CUBEVALUE(ConnectionString,ReportMonth,Table1[[#This Row],[Site ID (from DATIM)]],"[Measures].[MMS_180+_P]")</f>
        <v/>
      </c>
      <c r="CI431" s="68" t="str" vm="10164">
        <f>CUBEVALUE(ConnectionString,ReportMonth,Table1[[#This Row],[Site ID (from DATIM)]],"[Measures].[MMS_180+_A]")</f>
        <v/>
      </c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  <c r="CW431" s="68"/>
      <c r="CX431" s="68"/>
      <c r="CY431" s="68"/>
      <c r="CZ431" s="68"/>
      <c r="DA431" s="68"/>
      <c r="DB431" s="68"/>
      <c r="DC431" s="68"/>
    </row>
    <row r="432" spans="1:107" x14ac:dyDescent="0.25">
      <c r="A432" s="66">
        <v>2</v>
      </c>
      <c r="B432" s="67" t="str" vm="4">
        <f t="shared" si="7"/>
        <v>Mar-2021</v>
      </c>
      <c r="C432" s="67"/>
      <c r="D432" s="67" t="s">
        <v>232</v>
      </c>
      <c r="E432" s="67" t="s">
        <v>233</v>
      </c>
      <c r="F432" s="67" t="s">
        <v>437</v>
      </c>
      <c r="G432" s="67"/>
      <c r="H432" s="67" t="s">
        <v>438</v>
      </c>
      <c r="I432" s="67" t="s">
        <v>658</v>
      </c>
      <c r="J432" s="67" t="s">
        <v>801</v>
      </c>
      <c r="K432" s="67" t="s">
        <v>802</v>
      </c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 vm="3949">
        <f>CUBEVALUE(ConnectionString,ReportMonth,Table1[[#This Row],[Site ID (from DATIM)]],"TX_NEW_2VIS")</f>
        <v>4</v>
      </c>
      <c r="AE432" s="67" vm="2315">
        <f>CUBEVALUE(ConnectionString,ReportMonth,Table1[[#This Row],[Site ID (from DATIM)]],INDEX(SDI_Measures,1))</f>
        <v>6</v>
      </c>
      <c r="AF432" s="67" t="str" vm="3228">
        <f>CUBEVALUE(ConnectionString,ReportMonth,Table1[[#This Row],[Site ID (from DATIM)]],INDEX(SDI_Measures,2))</f>
        <v/>
      </c>
      <c r="AG432" s="67" t="str" vm="2490">
        <f>CUBEVALUE(ConnectionString,ReportMonth,Table1[[#This Row],[Site ID (from DATIM)]],INDEX(SDI_Measures,3))</f>
        <v/>
      </c>
      <c r="AH432" s="67" vm="3641">
        <f>CUBEVALUE(ConnectionString,ReportMonth,Table1[[#This Row],[Site ID (from DATIM)]],"TX_CURR_PRIOR_MONTH")</f>
        <v>910</v>
      </c>
      <c r="AI432" s="67" vm="2337">
        <f>CUBEVALUE(ConnectionString,ReportMonth,Table1[[#This Row],[Site ID (from DATIM)]],"TX_CURR")</f>
        <v>905</v>
      </c>
      <c r="AJ432" s="67" vm="3628">
        <f>CUBEVALUE(ConnectionString,ReportMonth,Table1[[#This Row],[Site ID (from DATIM)]],"[Measures].[TI]")</f>
        <v>3</v>
      </c>
      <c r="AK432" s="67" t="str" vm="1945">
        <f>CUBEVALUE(ConnectionString,ReportMonth,Table1[[#This Row],[Site ID (from DATIM)]],"[Measures].[TO]")</f>
        <v/>
      </c>
      <c r="AL432" s="67" vm="3605">
        <f>CUBEVALUE(ConnectionString,ReportMonth,Table1[[#This Row],[Site ID (from DATIM)]],"[Measures].[DIED]")</f>
        <v>1</v>
      </c>
      <c r="AM432" s="67" vm="6726">
        <f>CUBEVALUE(ConnectionString,ReportMonth,Table1[[#This Row],[Site ID (from DATIM)]],"[Measures].[MMS_01_31]")</f>
        <v>190</v>
      </c>
      <c r="AN432" s="67" vm="17058">
        <f>CUBEVALUE(ConnectionString,ReportMonth,Table1[[#This Row],[Site ID (from DATIM)]],"[Measures].[MMS_32_62]")</f>
        <v>41</v>
      </c>
      <c r="AO432" s="67" vm="7795">
        <f>CUBEVALUE(ConnectionString,ReportMonth,Table1[[#This Row],[Site ID (from DATIM)]],"[Measures].[MMS_63+]")</f>
        <v>674</v>
      </c>
      <c r="AP432" s="67" vm="7434">
        <f>CUBEVALUE(ConnectionString,ReportMonth,Table1[[#This Row],[Site ID (from DATIM)]],"[Measures].[TBPREV_D]")</f>
        <v>36</v>
      </c>
      <c r="AQ432" s="67" vm="6240">
        <f>CUBEVALUE(ConnectionString,ReportMonth,Table1[[#This Row],[Site ID (from DATIM)]],"[Measures].[TBPREV_N]")</f>
        <v>36</v>
      </c>
      <c r="AR432" s="67" vm="4833">
        <f>CUBEVALUE(ConnectionString,ReportMonth,Table1[[#This Row],[Site ID (from DATIM)]],"[Measures].[TBPREV_NEW]")</f>
        <v>10</v>
      </c>
      <c r="AS432" s="67" vm="9938">
        <f>CUBEVALUE(ConnectionString,ReportMonth,Table1[[#This Row],[Site ID (from DATIM)]],"[Measures].[HVL_ELIG_P]")</f>
        <v>39</v>
      </c>
      <c r="AT432" s="67" vm="6983">
        <f>CUBEVALUE(ConnectionString,ReportMonth,Table1[[#This Row],[Site ID (from DATIM)]],"[Measures].[HVL_D_P]")</f>
        <v>30</v>
      </c>
      <c r="AU432" s="67" vm="7290">
        <f>CUBEVALUE(ConnectionString,ReportMonth,Table1[[#This Row],[Site ID (from DATIM)]],"[Measures].[HVL_N_P]")</f>
        <v>28</v>
      </c>
      <c r="AV432" s="68" vm="10513">
        <f>CUBEVALUE(ConnectionString,ReportMonth,Table1[[#This Row],[Site ID (from DATIM)]],"[Measures].[HVL_ELIG_A]")</f>
        <v>781</v>
      </c>
      <c r="AW432" s="68" vm="10258">
        <f>CUBEVALUE(ConnectionString,ReportMonth,Table1[[#This Row],[Site ID (from DATIM)]],"[Measures].[HVL_D_A]")</f>
        <v>671</v>
      </c>
      <c r="AX432" s="68" vm="6602">
        <f>CUBEVALUE(ConnectionString,ReportMonth,Table1[[#This Row],[Site ID (from DATIM)]],"[Measures].[HVL_N_A]")</f>
        <v>649</v>
      </c>
      <c r="AY432" s="67"/>
      <c r="AZ432" s="67"/>
      <c r="BA432" s="67"/>
      <c r="BB432" s="67"/>
      <c r="BC432" s="67"/>
      <c r="BD432" s="67"/>
      <c r="BE432" s="67"/>
      <c r="BF432" s="67"/>
      <c r="BG432" s="67" vm="13945">
        <f>CUBEVALUE(ConnectionString,ReportMonth,Table1[[#This Row],[Site ID (from DATIM)]],"[Measures].[TX_NEW_F_A]")</f>
        <v>4</v>
      </c>
      <c r="BH432" s="67" vm="11970">
        <f>CUBEVALUE(ConnectionString,ReportMonth,Table1[[#This Row],[Site ID (from DATIM)]],"[Measures].[TX_NEW_M_A]")</f>
        <v>2</v>
      </c>
      <c r="BI432" s="67" t="str" vm="16575">
        <f>CUBEVALUE(ConnectionString,ReportMonth,Table1[[#This Row],[Site ID (from DATIM)]],"[Measures].[TX_NEW_F_P]")</f>
        <v/>
      </c>
      <c r="BJ432" s="68" t="str" vm="15686">
        <f>CUBEVALUE(ConnectionString,ReportMonth,Table1[[#This Row],[Site ID (from DATIM)]],"[Measures].[TX_NEW_M_P]")</f>
        <v/>
      </c>
      <c r="BK432" s="68"/>
      <c r="BL432" s="68"/>
      <c r="BM432" s="68"/>
      <c r="BN432" s="68"/>
      <c r="BO432" s="68"/>
      <c r="BP432" s="68"/>
      <c r="BQ432" s="68" vm="9828">
        <f>CUBEVALUE(ConnectionString,ReportMonth,Table1[[#This Row],[Site ID (from DATIM)]],"[Measures].[TX_CURR_F_P]")</f>
        <v>18</v>
      </c>
      <c r="BR432" s="68" vm="11560">
        <f>CUBEVALUE(ConnectionString,ReportMonth,Table1[[#This Row],[Site ID (from DATIM)]],"[Measures].[TX_CURR_M_P]")</f>
        <v>22</v>
      </c>
      <c r="BS432" s="68" vm="12093">
        <f>CUBEVALUE(ConnectionString,ReportMonth,Table1[[#This Row],[Site ID (from DATIM)]],"[Measures].[TX_CURR_F_A]")</f>
        <v>654</v>
      </c>
      <c r="BT432" s="68" vm="12387">
        <f>CUBEVALUE(ConnectionString,ReportMonth,Table1[[#This Row],[Site ID (from DATIM)]],"[Measures].[TX_CURR_M_A]")</f>
        <v>212</v>
      </c>
      <c r="BU432" s="68" vm="20006">
        <f>CUBEVALUE(ConnectionString,ReportMonth,Table1[[#This Row],[Site ID (from DATIM)]],"[Measures].[MMS_01_89_F_P]")</f>
        <v>4</v>
      </c>
      <c r="BV432" s="68" vm="18058">
        <f>CUBEVALUE(ConnectionString,ReportMonth,Table1[[#This Row],[Site ID (from DATIM)]],"[Measures].[MMS_01_89_M_P]")</f>
        <v>9</v>
      </c>
      <c r="BW432" s="68" vm="18292">
        <f>CUBEVALUE(ConnectionString,ReportMonth,Table1[[#This Row],[Site ID (from DATIM)]],"[Measures].[MMS_01_89_F_A]")</f>
        <v>175</v>
      </c>
      <c r="BX432" s="68" vm="19638">
        <f>CUBEVALUE(ConnectionString,ReportMonth,Table1[[#This Row],[Site ID (from DATIM)]],"[Measures].[MMS_01_89_M_A]")</f>
        <v>44</v>
      </c>
      <c r="BY432" s="68" vm="19635">
        <f>CUBEVALUE(ConnectionString,ReportMonth,Table1[[#This Row],[Site ID (from DATIM)]],"[Measures].[MMS_90_179_F_P]")</f>
        <v>14</v>
      </c>
      <c r="BZ432" s="68" vm="18184">
        <f>CUBEVALUE(ConnectionString,ReportMonth,Table1[[#This Row],[Site ID (from DATIM)]],"[Measures].[MMS_90_179_M_P]")</f>
        <v>13</v>
      </c>
      <c r="CA432" s="68" vm="15947">
        <f>CUBEVALUE(ConnectionString,ReportMonth,Table1[[#This Row],[Site ID (from DATIM)]],"[Measures].[MMS_90_179_F_A]")</f>
        <v>479</v>
      </c>
      <c r="CB432" s="68" vm="16375">
        <f>CUBEVALUE(ConnectionString,ReportMonth,Table1[[#This Row],[Site ID (from DATIM)]],"[Measures].[MMS_90_179_M_A]")</f>
        <v>168</v>
      </c>
      <c r="CC432" s="68" t="str" vm="15889">
        <f>CUBEVALUE(ConnectionString,ReportMonth,Table1[[#This Row],[Site ID (from DATIM)]],"[Measures].[MMS_180+_F_P]")</f>
        <v/>
      </c>
      <c r="CD432" s="68" t="str" vm="15747">
        <f>CUBEVALUE(ConnectionString,ReportMonth,Table1[[#This Row],[Site ID (from DATIM)]],"[Measures].[MMS_180+_M_P]")</f>
        <v/>
      </c>
      <c r="CE432" s="68" t="str" vm="16723">
        <f>CUBEVALUE(ConnectionString,ReportMonth,Table1[[#This Row],[Site ID (from DATIM)]],"[Measures].[MMS_180+_F_A]")</f>
        <v/>
      </c>
      <c r="CF432" s="68" t="str" vm="75">
        <f>CUBEVALUE(ConnectionString,ReportMonth,Table1[[#This Row],[Site ID (from DATIM)]],"[Measures].[MMS_180+_M_A]")</f>
        <v/>
      </c>
      <c r="CG432" s="68" vm="5458">
        <f>CUBEVALUE(ConnectionString,ReportMonth,Table1[[#This Row],[Site ID (from DATIM)]],"[Measures].[MISSEDAPP]")</f>
        <v>289</v>
      </c>
      <c r="CH432" s="68" t="str" vm="12203">
        <f>CUBEVALUE(ConnectionString,ReportMonth,Table1[[#This Row],[Site ID (from DATIM)]],"[Measures].[MMS_180+_P]")</f>
        <v/>
      </c>
      <c r="CI432" s="68" t="str" vm="12316">
        <f>CUBEVALUE(ConnectionString,ReportMonth,Table1[[#This Row],[Site ID (from DATIM)]],"[Measures].[MMS_180+_A]")</f>
        <v/>
      </c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  <c r="CW432" s="68"/>
      <c r="CX432" s="68"/>
      <c r="CY432" s="68"/>
      <c r="CZ432" s="68"/>
      <c r="DA432" s="68"/>
      <c r="DB432" s="68"/>
      <c r="DC432" s="68"/>
    </row>
    <row r="433" spans="1:107" x14ac:dyDescent="0.25">
      <c r="A433" s="66">
        <v>2</v>
      </c>
      <c r="B433" s="67" t="str" vm="4">
        <f t="shared" si="7"/>
        <v>Mar-2021</v>
      </c>
      <c r="C433" s="67"/>
      <c r="D433" s="67" t="s">
        <v>232</v>
      </c>
      <c r="E433" s="67" t="s">
        <v>233</v>
      </c>
      <c r="F433" s="67" t="s">
        <v>831</v>
      </c>
      <c r="G433" s="67"/>
      <c r="H433" s="67" t="s">
        <v>836</v>
      </c>
      <c r="I433" s="67" t="s">
        <v>1060</v>
      </c>
      <c r="J433" s="67" t="s">
        <v>1061</v>
      </c>
      <c r="K433" s="67" t="s">
        <v>1062</v>
      </c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 t="str" vm="718">
        <f>CUBEVALUE(ConnectionString,ReportMonth,Table1[[#This Row],[Site ID (from DATIM)]],"TX_NEW_2VIS")</f>
        <v/>
      </c>
      <c r="AE433" s="67" t="str" vm="3845">
        <f>CUBEVALUE(ConnectionString,ReportMonth,Table1[[#This Row],[Site ID (from DATIM)]],INDEX(SDI_Measures,1))</f>
        <v/>
      </c>
      <c r="AF433" s="67" t="str" vm="1603">
        <f>CUBEVALUE(ConnectionString,ReportMonth,Table1[[#This Row],[Site ID (from DATIM)]],INDEX(SDI_Measures,2))</f>
        <v/>
      </c>
      <c r="AG433" s="67" t="str" vm="2577">
        <f>CUBEVALUE(ConnectionString,ReportMonth,Table1[[#This Row],[Site ID (from DATIM)]],INDEX(SDI_Measures,3))</f>
        <v/>
      </c>
      <c r="AH433" s="67" vm="2892">
        <f>CUBEVALUE(ConnectionString,ReportMonth,Table1[[#This Row],[Site ID (from DATIM)]],"TX_CURR_PRIOR_MONTH")</f>
        <v>575</v>
      </c>
      <c r="AI433" s="67" vm="4534">
        <f>CUBEVALUE(ConnectionString,ReportMonth,Table1[[#This Row],[Site ID (from DATIM)]],"TX_CURR")</f>
        <v>520</v>
      </c>
      <c r="AJ433" s="67" t="str" vm="1278">
        <f>CUBEVALUE(ConnectionString,ReportMonth,Table1[[#This Row],[Site ID (from DATIM)]],"[Measures].[TI]")</f>
        <v/>
      </c>
      <c r="AK433" s="67" t="str" vm="3441">
        <f>CUBEVALUE(ConnectionString,ReportMonth,Table1[[#This Row],[Site ID (from DATIM)]],"[Measures].[TO]")</f>
        <v/>
      </c>
      <c r="AL433" s="67" t="str" vm="3429">
        <f>CUBEVALUE(ConnectionString,ReportMonth,Table1[[#This Row],[Site ID (from DATIM)]],"[Measures].[DIED]")</f>
        <v/>
      </c>
      <c r="AM433" s="67" vm="4460">
        <f>CUBEVALUE(ConnectionString,ReportMonth,Table1[[#This Row],[Site ID (from DATIM)]],"[Measures].[MMS_01_31]")</f>
        <v>121</v>
      </c>
      <c r="AN433" s="67" vm="5725">
        <f>CUBEVALUE(ConnectionString,ReportMonth,Table1[[#This Row],[Site ID (from DATIM)]],"[Measures].[MMS_32_62]")</f>
        <v>2</v>
      </c>
      <c r="AO433" s="67" vm="6500">
        <f>CUBEVALUE(ConnectionString,ReportMonth,Table1[[#This Row],[Site ID (from DATIM)]],"[Measures].[MMS_63+]")</f>
        <v>397</v>
      </c>
      <c r="AP433" s="67" vm="8871">
        <f>CUBEVALUE(ConnectionString,ReportMonth,Table1[[#This Row],[Site ID (from DATIM)]],"[Measures].[TBPREV_D]")</f>
        <v>35</v>
      </c>
      <c r="AQ433" s="67" vm="6962">
        <f>CUBEVALUE(ConnectionString,ReportMonth,Table1[[#This Row],[Site ID (from DATIM)]],"[Measures].[TBPREV_N]")</f>
        <v>11</v>
      </c>
      <c r="AR433" s="67" t="str" vm="6032">
        <f>CUBEVALUE(ConnectionString,ReportMonth,Table1[[#This Row],[Site ID (from DATIM)]],"[Measures].[TBPREV_NEW]")</f>
        <v/>
      </c>
      <c r="AS433" s="67" vm="7687">
        <f>CUBEVALUE(ConnectionString,ReportMonth,Table1[[#This Row],[Site ID (from DATIM)]],"[Measures].[HVL_ELIG_P]")</f>
        <v>12</v>
      </c>
      <c r="AT433" s="67" vm="9403">
        <f>CUBEVALUE(ConnectionString,ReportMonth,Table1[[#This Row],[Site ID (from DATIM)]],"[Measures].[HVL_D_P]")</f>
        <v>12</v>
      </c>
      <c r="AU433" s="67" vm="11781">
        <f>CUBEVALUE(ConnectionString,ReportMonth,Table1[[#This Row],[Site ID (from DATIM)]],"[Measures].[HVL_N_P]")</f>
        <v>10</v>
      </c>
      <c r="AV433" s="68" vm="8500">
        <f>CUBEVALUE(ConnectionString,ReportMonth,Table1[[#This Row],[Site ID (from DATIM)]],"[Measures].[HVL_ELIG_A]")</f>
        <v>454</v>
      </c>
      <c r="AW433" s="68" vm="11732">
        <f>CUBEVALUE(ConnectionString,ReportMonth,Table1[[#This Row],[Site ID (from DATIM)]],"[Measures].[HVL_D_A]")</f>
        <v>362</v>
      </c>
      <c r="AX433" s="68" vm="11380">
        <f>CUBEVALUE(ConnectionString,ReportMonth,Table1[[#This Row],[Site ID (from DATIM)]],"[Measures].[HVL_N_A]")</f>
        <v>352</v>
      </c>
      <c r="AY433" s="67"/>
      <c r="AZ433" s="67"/>
      <c r="BA433" s="67"/>
      <c r="BB433" s="67"/>
      <c r="BC433" s="67"/>
      <c r="BD433" s="67"/>
      <c r="BE433" s="67"/>
      <c r="BF433" s="67"/>
      <c r="BG433" s="67" t="str" vm="10914">
        <f>CUBEVALUE(ConnectionString,ReportMonth,Table1[[#This Row],[Site ID (from DATIM)]],"[Measures].[TX_NEW_F_A]")</f>
        <v/>
      </c>
      <c r="BH433" s="67" t="str" vm="15676">
        <f>CUBEVALUE(ConnectionString,ReportMonth,Table1[[#This Row],[Site ID (from DATIM)]],"[Measures].[TX_NEW_M_A]")</f>
        <v/>
      </c>
      <c r="BI433" s="67" t="str" vm="14375">
        <f>CUBEVALUE(ConnectionString,ReportMonth,Table1[[#This Row],[Site ID (from DATIM)]],"[Measures].[TX_NEW_F_P]")</f>
        <v/>
      </c>
      <c r="BJ433" s="68" t="str" vm="15647">
        <f>CUBEVALUE(ConnectionString,ReportMonth,Table1[[#This Row],[Site ID (from DATIM)]],"[Measures].[TX_NEW_M_P]")</f>
        <v/>
      </c>
      <c r="BK433" s="68"/>
      <c r="BL433" s="68"/>
      <c r="BM433" s="68"/>
      <c r="BN433" s="68"/>
      <c r="BO433" s="68"/>
      <c r="BP433" s="68"/>
      <c r="BQ433" s="68" vm="11837">
        <f>CUBEVALUE(ConnectionString,ReportMonth,Table1[[#This Row],[Site ID (from DATIM)]],"[Measures].[TX_CURR_F_P]")</f>
        <v>4</v>
      </c>
      <c r="BR433" s="68" vm="11636">
        <f>CUBEVALUE(ConnectionString,ReportMonth,Table1[[#This Row],[Site ID (from DATIM)]],"[Measures].[TX_CURR_M_P]")</f>
        <v>8</v>
      </c>
      <c r="BS433" s="68" vm="13024">
        <f>CUBEVALUE(ConnectionString,ReportMonth,Table1[[#This Row],[Site ID (from DATIM)]],"[Measures].[TX_CURR_F_A]")</f>
        <v>370</v>
      </c>
      <c r="BT433" s="68" vm="13274">
        <f>CUBEVALUE(ConnectionString,ReportMonth,Table1[[#This Row],[Site ID (from DATIM)]],"[Measures].[TX_CURR_M_A]")</f>
        <v>138</v>
      </c>
      <c r="BU433" s="68" vm="18657">
        <f>CUBEVALUE(ConnectionString,ReportMonth,Table1[[#This Row],[Site ID (from DATIM)]],"[Measures].[MMS_01_89_F_P]")</f>
        <v>3</v>
      </c>
      <c r="BV433" s="68" vm="19024">
        <f>CUBEVALUE(ConnectionString,ReportMonth,Table1[[#This Row],[Site ID (from DATIM)]],"[Measures].[MMS_01_89_M_P]")</f>
        <v>1</v>
      </c>
      <c r="BW433" s="68" vm="18932">
        <f>CUBEVALUE(ConnectionString,ReportMonth,Table1[[#This Row],[Site ID (from DATIM)]],"[Measures].[MMS_01_89_F_A]")</f>
        <v>98</v>
      </c>
      <c r="BX433" s="68" vm="17937">
        <f>CUBEVALUE(ConnectionString,ReportMonth,Table1[[#This Row],[Site ID (from DATIM)]],"[Measures].[MMS_01_89_M_A]")</f>
        <v>32</v>
      </c>
      <c r="BY433" s="68" vm="19871">
        <f>CUBEVALUE(ConnectionString,ReportMonth,Table1[[#This Row],[Site ID (from DATIM)]],"[Measures].[MMS_90_179_F_P]")</f>
        <v>1</v>
      </c>
      <c r="BZ433" s="68" vm="16958">
        <f>CUBEVALUE(ConnectionString,ReportMonth,Table1[[#This Row],[Site ID (from DATIM)]],"[Measures].[MMS_90_179_M_P]")</f>
        <v>7</v>
      </c>
      <c r="CA433" s="68" vm="16492">
        <f>CUBEVALUE(ConnectionString,ReportMonth,Table1[[#This Row],[Site ID (from DATIM)]],"[Measures].[MMS_90_179_F_A]")</f>
        <v>272</v>
      </c>
      <c r="CB433" s="68" vm="16888">
        <f>CUBEVALUE(ConnectionString,ReportMonth,Table1[[#This Row],[Site ID (from DATIM)]],"[Measures].[MMS_90_179_M_A]")</f>
        <v>106</v>
      </c>
      <c r="CC433" s="68" t="str" vm="16413">
        <f>CUBEVALUE(ConnectionString,ReportMonth,Table1[[#This Row],[Site ID (from DATIM)]],"[Measures].[MMS_180+_F_P]")</f>
        <v/>
      </c>
      <c r="CD433" s="68" t="str" vm="15746">
        <f>CUBEVALUE(ConnectionString,ReportMonth,Table1[[#This Row],[Site ID (from DATIM)]],"[Measures].[MMS_180+_M_P]")</f>
        <v/>
      </c>
      <c r="CE433" s="68" t="str" vm="17532">
        <f>CUBEVALUE(ConnectionString,ReportMonth,Table1[[#This Row],[Site ID (from DATIM)]],"[Measures].[MMS_180+_F_A]")</f>
        <v/>
      </c>
      <c r="CF433" s="68" t="str" vm="16217">
        <f>CUBEVALUE(ConnectionString,ReportMonth,Table1[[#This Row],[Site ID (from DATIM)]],"[Measures].[MMS_180+_M_A]")</f>
        <v/>
      </c>
      <c r="CG433" s="68" vm="8543">
        <f>CUBEVALUE(ConnectionString,ReportMonth,Table1[[#This Row],[Site ID (from DATIM)]],"[Measures].[MISSEDAPP]")</f>
        <v>228</v>
      </c>
      <c r="CH433" s="68" t="str" vm="13501">
        <f>CUBEVALUE(ConnectionString,ReportMonth,Table1[[#This Row],[Site ID (from DATIM)]],"[Measures].[MMS_180+_P]")</f>
        <v/>
      </c>
      <c r="CI433" s="68" t="str" vm="13704">
        <f>CUBEVALUE(ConnectionString,ReportMonth,Table1[[#This Row],[Site ID (from DATIM)]],"[Measures].[MMS_180+_A]")</f>
        <v/>
      </c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  <c r="CW433" s="68"/>
      <c r="CX433" s="68"/>
      <c r="CY433" s="68"/>
      <c r="CZ433" s="68"/>
      <c r="DA433" s="68"/>
      <c r="DB433" s="68"/>
      <c r="DC433" s="68"/>
    </row>
    <row r="434" spans="1:107" x14ac:dyDescent="0.25">
      <c r="A434" s="66">
        <v>4</v>
      </c>
      <c r="B434" s="67" t="str" vm="4">
        <f t="shared" si="7"/>
        <v>Mar-2021</v>
      </c>
      <c r="C434" s="67"/>
      <c r="D434" s="67" t="s">
        <v>232</v>
      </c>
      <c r="E434" s="67" t="s">
        <v>233</v>
      </c>
      <c r="F434" s="67" t="s">
        <v>437</v>
      </c>
      <c r="G434" s="67"/>
      <c r="H434" s="67" t="s">
        <v>513</v>
      </c>
      <c r="I434" s="67" t="s">
        <v>803</v>
      </c>
      <c r="J434" s="67" t="s">
        <v>804</v>
      </c>
      <c r="K434" s="67" t="s">
        <v>805</v>
      </c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 t="str" vm="958">
        <f>CUBEVALUE(ConnectionString,ReportMonth,Table1[[#This Row],[Site ID (from DATIM)]],"TX_NEW_2VIS")</f>
        <v/>
      </c>
      <c r="AE434" s="67" vm="1183">
        <f>CUBEVALUE(ConnectionString,ReportMonth,Table1[[#This Row],[Site ID (from DATIM)]],INDEX(SDI_Measures,1))</f>
        <v>1</v>
      </c>
      <c r="AF434" s="67" t="str" vm="329">
        <f>CUBEVALUE(ConnectionString,ReportMonth,Table1[[#This Row],[Site ID (from DATIM)]],INDEX(SDI_Measures,2))</f>
        <v/>
      </c>
      <c r="AG434" s="67" t="str" vm="3154">
        <f>CUBEVALUE(ConnectionString,ReportMonth,Table1[[#This Row],[Site ID (from DATIM)]],INDEX(SDI_Measures,3))</f>
        <v/>
      </c>
      <c r="AH434" s="67" vm="3044">
        <f>CUBEVALUE(ConnectionString,ReportMonth,Table1[[#This Row],[Site ID (from DATIM)]],"TX_CURR_PRIOR_MONTH")</f>
        <v>50</v>
      </c>
      <c r="AI434" s="67" vm="2689">
        <f>CUBEVALUE(ConnectionString,ReportMonth,Table1[[#This Row],[Site ID (from DATIM)]],"TX_CURR")</f>
        <v>49</v>
      </c>
      <c r="AJ434" s="67" vm="3202">
        <f>CUBEVALUE(ConnectionString,ReportMonth,Table1[[#This Row],[Site ID (from DATIM)]],"[Measures].[TI]")</f>
        <v>1</v>
      </c>
      <c r="AK434" s="67" t="str" vm="1476">
        <f>CUBEVALUE(ConnectionString,ReportMonth,Table1[[#This Row],[Site ID (from DATIM)]],"[Measures].[TO]")</f>
        <v/>
      </c>
      <c r="AL434" s="67" t="str" vm="3360">
        <f>CUBEVALUE(ConnectionString,ReportMonth,Table1[[#This Row],[Site ID (from DATIM)]],"[Measures].[DIED]")</f>
        <v/>
      </c>
      <c r="AM434" s="67" vm="8046">
        <f>CUBEVALUE(ConnectionString,ReportMonth,Table1[[#This Row],[Site ID (from DATIM)]],"[Measures].[MMS_01_31]")</f>
        <v>48</v>
      </c>
      <c r="AN434" s="67" vm="7204">
        <f>CUBEVALUE(ConnectionString,ReportMonth,Table1[[#This Row],[Site ID (from DATIM)]],"[Measures].[MMS_32_62]")</f>
        <v>1</v>
      </c>
      <c r="AO434" s="67" t="str" vm="4840">
        <f>CUBEVALUE(ConnectionString,ReportMonth,Table1[[#This Row],[Site ID (from DATIM)]],"[Measures].[MMS_63+]")</f>
        <v/>
      </c>
      <c r="AP434" s="67" vm="7827">
        <f>CUBEVALUE(ConnectionString,ReportMonth,Table1[[#This Row],[Site ID (from DATIM)]],"[Measures].[TBPREV_D]")</f>
        <v>7</v>
      </c>
      <c r="AQ434" s="67" vm="5463">
        <f>CUBEVALUE(ConnectionString,ReportMonth,Table1[[#This Row],[Site ID (from DATIM)]],"[Measures].[TBPREV_N]")</f>
        <v>6</v>
      </c>
      <c r="AR434" s="67" vm="9041">
        <f>CUBEVALUE(ConnectionString,ReportMonth,Table1[[#This Row],[Site ID (from DATIM)]],"[Measures].[TBPREV_NEW]")</f>
        <v>2</v>
      </c>
      <c r="AS434" s="67" t="str" vm="6652">
        <f>CUBEVALUE(ConnectionString,ReportMonth,Table1[[#This Row],[Site ID (from DATIM)]],"[Measures].[HVL_ELIG_P]")</f>
        <v/>
      </c>
      <c r="AT434" s="67" t="str" vm="5214">
        <f>CUBEVALUE(ConnectionString,ReportMonth,Table1[[#This Row],[Site ID (from DATIM)]],"[Measures].[HVL_D_P]")</f>
        <v/>
      </c>
      <c r="AU434" s="67" t="str" vm="9142">
        <f>CUBEVALUE(ConnectionString,ReportMonth,Table1[[#This Row],[Site ID (from DATIM)]],"[Measures].[HVL_N_P]")</f>
        <v/>
      </c>
      <c r="AV434" s="68" vm="8655">
        <f>CUBEVALUE(ConnectionString,ReportMonth,Table1[[#This Row],[Site ID (from DATIM)]],"[Measures].[HVL_ELIG_A]")</f>
        <v>25</v>
      </c>
      <c r="AW434" s="68" vm="12569">
        <f>CUBEVALUE(ConnectionString,ReportMonth,Table1[[#This Row],[Site ID (from DATIM)]],"[Measures].[HVL_D_A]")</f>
        <v>17</v>
      </c>
      <c r="AX434" s="68" vm="10656">
        <f>CUBEVALUE(ConnectionString,ReportMonth,Table1[[#This Row],[Site ID (from DATIM)]],"[Measures].[HVL_N_A]")</f>
        <v>16</v>
      </c>
      <c r="AY434" s="67"/>
      <c r="AZ434" s="67"/>
      <c r="BA434" s="67"/>
      <c r="BB434" s="67"/>
      <c r="BC434" s="67"/>
      <c r="BD434" s="67"/>
      <c r="BE434" s="67"/>
      <c r="BF434" s="67"/>
      <c r="BG434" s="67" vm="12550">
        <f>CUBEVALUE(ConnectionString,ReportMonth,Table1[[#This Row],[Site ID (from DATIM)]],"[Measures].[TX_NEW_F_A]")</f>
        <v>1</v>
      </c>
      <c r="BH434" s="67" t="str" vm="17048">
        <f>CUBEVALUE(ConnectionString,ReportMonth,Table1[[#This Row],[Site ID (from DATIM)]],"[Measures].[TX_NEW_M_A]")</f>
        <v/>
      </c>
      <c r="BI434" s="67" t="str" vm="14321">
        <f>CUBEVALUE(ConnectionString,ReportMonth,Table1[[#This Row],[Site ID (from DATIM)]],"[Measures].[TX_NEW_F_P]")</f>
        <v/>
      </c>
      <c r="BJ434" s="68" t="str" vm="14327">
        <f>CUBEVALUE(ConnectionString,ReportMonth,Table1[[#This Row],[Site ID (from DATIM)]],"[Measures].[TX_NEW_M_P]")</f>
        <v/>
      </c>
      <c r="BK434" s="68"/>
      <c r="BL434" s="68"/>
      <c r="BM434" s="68"/>
      <c r="BN434" s="68"/>
      <c r="BO434" s="68"/>
      <c r="BP434" s="68"/>
      <c r="BQ434" s="68" t="str" vm="8071">
        <f>CUBEVALUE(ConnectionString,ReportMonth,Table1[[#This Row],[Site ID (from DATIM)]],"[Measures].[TX_CURR_F_P]")</f>
        <v/>
      </c>
      <c r="BR434" s="68" t="str" vm="12870">
        <f>CUBEVALUE(ConnectionString,ReportMonth,Table1[[#This Row],[Site ID (from DATIM)]],"[Measures].[TX_CURR_M_P]")</f>
        <v/>
      </c>
      <c r="BS434" s="68" vm="8449">
        <f>CUBEVALUE(ConnectionString,ReportMonth,Table1[[#This Row],[Site ID (from DATIM)]],"[Measures].[TX_CURR_F_A]")</f>
        <v>48</v>
      </c>
      <c r="BT434" s="68" vm="13618">
        <f>CUBEVALUE(ConnectionString,ReportMonth,Table1[[#This Row],[Site ID (from DATIM)]],"[Measures].[TX_CURR_M_A]")</f>
        <v>1</v>
      </c>
      <c r="BU434" s="68" t="str" vm="18441">
        <f>CUBEVALUE(ConnectionString,ReportMonth,Table1[[#This Row],[Site ID (from DATIM)]],"[Measures].[MMS_01_89_F_P]")</f>
        <v/>
      </c>
      <c r="BV434" s="68" t="str" vm="17866">
        <f>CUBEVALUE(ConnectionString,ReportMonth,Table1[[#This Row],[Site ID (from DATIM)]],"[Measures].[MMS_01_89_M_P]")</f>
        <v/>
      </c>
      <c r="BW434" s="68" vm="17972">
        <f>CUBEVALUE(ConnectionString,ReportMonth,Table1[[#This Row],[Site ID (from DATIM)]],"[Measures].[MMS_01_89_F_A]")</f>
        <v>48</v>
      </c>
      <c r="BX434" s="68" vm="17936">
        <f>CUBEVALUE(ConnectionString,ReportMonth,Table1[[#This Row],[Site ID (from DATIM)]],"[Measures].[MMS_01_89_M_A]")</f>
        <v>1</v>
      </c>
      <c r="BY434" s="68" t="str" vm="14762">
        <f>CUBEVALUE(ConnectionString,ReportMonth,Table1[[#This Row],[Site ID (from DATIM)]],"[Measures].[MMS_90_179_F_P]")</f>
        <v/>
      </c>
      <c r="BZ434" s="68" t="str" vm="16398">
        <f>CUBEVALUE(ConnectionString,ReportMonth,Table1[[#This Row],[Site ID (from DATIM)]],"[Measures].[MMS_90_179_M_P]")</f>
        <v/>
      </c>
      <c r="CA434" s="68" t="str" vm="15847">
        <f>CUBEVALUE(ConnectionString,ReportMonth,Table1[[#This Row],[Site ID (from DATIM)]],"[Measures].[MMS_90_179_F_A]")</f>
        <v/>
      </c>
      <c r="CB434" s="68" t="str" vm="15914">
        <f>CUBEVALUE(ConnectionString,ReportMonth,Table1[[#This Row],[Site ID (from DATIM)]],"[Measures].[MMS_90_179_M_A]")</f>
        <v/>
      </c>
      <c r="CC434" s="68" t="str" vm="15846">
        <f>CUBEVALUE(ConnectionString,ReportMonth,Table1[[#This Row],[Site ID (from DATIM)]],"[Measures].[MMS_180+_F_P]")</f>
        <v/>
      </c>
      <c r="CD434" s="68" t="str" vm="15008">
        <f>CUBEVALUE(ConnectionString,ReportMonth,Table1[[#This Row],[Site ID (from DATIM)]],"[Measures].[MMS_180+_M_P]")</f>
        <v/>
      </c>
      <c r="CE434" s="68" t="str" vm="14990">
        <f>CUBEVALUE(ConnectionString,ReportMonth,Table1[[#This Row],[Site ID (from DATIM)]],"[Measures].[MMS_180+_F_A]")</f>
        <v/>
      </c>
      <c r="CF434" s="68" t="str" vm="17493">
        <f>CUBEVALUE(ConnectionString,ReportMonth,Table1[[#This Row],[Site ID (from DATIM)]],"[Measures].[MMS_180+_M_A]")</f>
        <v/>
      </c>
      <c r="CG434" s="68" vm="5749">
        <f>CUBEVALUE(ConnectionString,ReportMonth,Table1[[#This Row],[Site ID (from DATIM)]],"[Measures].[MISSEDAPP]")</f>
        <v>44</v>
      </c>
      <c r="CH434" s="68" t="str" vm="10418">
        <f>CUBEVALUE(ConnectionString,ReportMonth,Table1[[#This Row],[Site ID (from DATIM)]],"[Measures].[MMS_180+_P]")</f>
        <v/>
      </c>
      <c r="CI434" s="68" t="str" vm="12748">
        <f>CUBEVALUE(ConnectionString,ReportMonth,Table1[[#This Row],[Site ID (from DATIM)]],"[Measures].[MMS_180+_A]")</f>
        <v/>
      </c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  <c r="CW434" s="68"/>
      <c r="CX434" s="68"/>
      <c r="CY434" s="68"/>
      <c r="CZ434" s="68"/>
      <c r="DA434" s="68"/>
      <c r="DB434" s="68"/>
      <c r="DC434" s="68"/>
    </row>
    <row r="435" spans="1:107" x14ac:dyDescent="0.25">
      <c r="A435" s="66">
        <v>4</v>
      </c>
      <c r="B435" s="67" t="str" vm="4">
        <f t="shared" si="7"/>
        <v>Mar-2021</v>
      </c>
      <c r="C435" s="67"/>
      <c r="D435" s="67" t="s">
        <v>232</v>
      </c>
      <c r="E435" s="67" t="s">
        <v>233</v>
      </c>
      <c r="F435" s="67" t="s">
        <v>234</v>
      </c>
      <c r="G435" s="67"/>
      <c r="H435" s="67" t="s">
        <v>239</v>
      </c>
      <c r="I435" s="67" t="s">
        <v>425</v>
      </c>
      <c r="J435" s="67" t="s">
        <v>426</v>
      </c>
      <c r="K435" s="67" t="s">
        <v>427</v>
      </c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 t="str" vm="1458">
        <f>CUBEVALUE(ConnectionString,ReportMonth,Table1[[#This Row],[Site ID (from DATIM)]],"TX_NEW_2VIS")</f>
        <v/>
      </c>
      <c r="AE435" s="67" vm="1460">
        <f>CUBEVALUE(ConnectionString,ReportMonth,Table1[[#This Row],[Site ID (from DATIM)]],INDEX(SDI_Measures,1))</f>
        <v>1</v>
      </c>
      <c r="AF435" s="67" t="str" vm="1950">
        <f>CUBEVALUE(ConnectionString,ReportMonth,Table1[[#This Row],[Site ID (from DATIM)]],INDEX(SDI_Measures,2))</f>
        <v/>
      </c>
      <c r="AG435" s="67" t="str" vm="4221">
        <f>CUBEVALUE(ConnectionString,ReportMonth,Table1[[#This Row],[Site ID (from DATIM)]],INDEX(SDI_Measures,3))</f>
        <v/>
      </c>
      <c r="AH435" s="67" vm="1254">
        <f>CUBEVALUE(ConnectionString,ReportMonth,Table1[[#This Row],[Site ID (from DATIM)]],"TX_CURR_PRIOR_MONTH")</f>
        <v>36</v>
      </c>
      <c r="AI435" s="67" vm="3976">
        <f>CUBEVALUE(ConnectionString,ReportMonth,Table1[[#This Row],[Site ID (from DATIM)]],"TX_CURR")</f>
        <v>37</v>
      </c>
      <c r="AJ435" s="67" t="str" vm="3965">
        <f>CUBEVALUE(ConnectionString,ReportMonth,Table1[[#This Row],[Site ID (from DATIM)]],"[Measures].[TI]")</f>
        <v/>
      </c>
      <c r="AK435" s="67" t="str" vm="6167">
        <f>CUBEVALUE(ConnectionString,ReportMonth,Table1[[#This Row],[Site ID (from DATIM)]],"[Measures].[TO]")</f>
        <v/>
      </c>
      <c r="AL435" s="67" t="str" vm="5459">
        <f>CUBEVALUE(ConnectionString,ReportMonth,Table1[[#This Row],[Site ID (from DATIM)]],"[Measures].[DIED]")</f>
        <v/>
      </c>
      <c r="AM435" s="67" vm="4809">
        <f>CUBEVALUE(ConnectionString,ReportMonth,Table1[[#This Row],[Site ID (from DATIM)]],"[Measures].[MMS_01_31]")</f>
        <v>8</v>
      </c>
      <c r="AN435" s="67" vm="7306">
        <f>CUBEVALUE(ConnectionString,ReportMonth,Table1[[#This Row],[Site ID (from DATIM)]],"[Measures].[MMS_32_62]")</f>
        <v>3</v>
      </c>
      <c r="AO435" s="67" vm="11323">
        <f>CUBEVALUE(ConnectionString,ReportMonth,Table1[[#This Row],[Site ID (from DATIM)]],"[Measures].[MMS_63+]")</f>
        <v>26</v>
      </c>
      <c r="AP435" s="67" vm="7546">
        <f>CUBEVALUE(ConnectionString,ReportMonth,Table1[[#This Row],[Site ID (from DATIM)]],"[Measures].[TBPREV_D]")</f>
        <v>3</v>
      </c>
      <c r="AQ435" s="67" t="str" vm="5723">
        <f>CUBEVALUE(ConnectionString,ReportMonth,Table1[[#This Row],[Site ID (from DATIM)]],"[Measures].[TBPREV_N]")</f>
        <v/>
      </c>
      <c r="AR435" s="67" t="str" vm="8801">
        <f>CUBEVALUE(ConnectionString,ReportMonth,Table1[[#This Row],[Site ID (from DATIM)]],"[Measures].[TBPREV_NEW]")</f>
        <v/>
      </c>
      <c r="AS435" s="67" t="str" vm="8608">
        <f>CUBEVALUE(ConnectionString,ReportMonth,Table1[[#This Row],[Site ID (from DATIM)]],"[Measures].[HVL_ELIG_P]")</f>
        <v/>
      </c>
      <c r="AT435" s="67" t="str" vm="10581">
        <f>CUBEVALUE(ConnectionString,ReportMonth,Table1[[#This Row],[Site ID (from DATIM)]],"[Measures].[HVL_D_P]")</f>
        <v/>
      </c>
      <c r="AU435" s="67" t="str" vm="10507">
        <f>CUBEVALUE(ConnectionString,ReportMonth,Table1[[#This Row],[Site ID (from DATIM)]],"[Measures].[HVL_N_P]")</f>
        <v/>
      </c>
      <c r="AV435" s="68" vm="10734">
        <f>CUBEVALUE(ConnectionString,ReportMonth,Table1[[#This Row],[Site ID (from DATIM)]],"[Measures].[HVL_ELIG_A]")</f>
        <v>30</v>
      </c>
      <c r="AW435" s="68" vm="10013">
        <f>CUBEVALUE(ConnectionString,ReportMonth,Table1[[#This Row],[Site ID (from DATIM)]],"[Measures].[HVL_D_A]")</f>
        <v>4</v>
      </c>
      <c r="AX435" s="68" vm="8588">
        <f>CUBEVALUE(ConnectionString,ReportMonth,Table1[[#This Row],[Site ID (from DATIM)]],"[Measures].[HVL_N_A]")</f>
        <v>4</v>
      </c>
      <c r="AY435" s="67"/>
      <c r="AZ435" s="67"/>
      <c r="BA435" s="67"/>
      <c r="BB435" s="67"/>
      <c r="BC435" s="67"/>
      <c r="BD435" s="67"/>
      <c r="BE435" s="67"/>
      <c r="BF435" s="67"/>
      <c r="BG435" s="67" vm="12946">
        <f>CUBEVALUE(ConnectionString,ReportMonth,Table1[[#This Row],[Site ID (from DATIM)]],"[Measures].[TX_NEW_F_A]")</f>
        <v>1</v>
      </c>
      <c r="BH435" s="67" t="str" vm="10626">
        <f>CUBEVALUE(ConnectionString,ReportMonth,Table1[[#This Row],[Site ID (from DATIM)]],"[Measures].[TX_NEW_M_A]")</f>
        <v/>
      </c>
      <c r="BI435" s="67" t="str" vm="16172">
        <f>CUBEVALUE(ConnectionString,ReportMonth,Table1[[#This Row],[Site ID (from DATIM)]],"[Measures].[TX_NEW_F_P]")</f>
        <v/>
      </c>
      <c r="BJ435" s="68" t="str" vm="15630">
        <f>CUBEVALUE(ConnectionString,ReportMonth,Table1[[#This Row],[Site ID (from DATIM)]],"[Measures].[TX_NEW_M_P]")</f>
        <v/>
      </c>
      <c r="BK435" s="68"/>
      <c r="BL435" s="68"/>
      <c r="BM435" s="68"/>
      <c r="BN435" s="68"/>
      <c r="BO435" s="68"/>
      <c r="BP435" s="68"/>
      <c r="BQ435" s="68" t="str" vm="7916">
        <f>CUBEVALUE(ConnectionString,ReportMonth,Table1[[#This Row],[Site ID (from DATIM)]],"[Measures].[TX_CURR_F_P]")</f>
        <v/>
      </c>
      <c r="BR435" s="68" t="str" vm="10798">
        <f>CUBEVALUE(ConnectionString,ReportMonth,Table1[[#This Row],[Site ID (from DATIM)]],"[Measures].[TX_CURR_M_P]")</f>
        <v/>
      </c>
      <c r="BS435" s="68" vm="7725">
        <f>CUBEVALUE(ConnectionString,ReportMonth,Table1[[#This Row],[Site ID (from DATIM)]],"[Measures].[TX_CURR_F_A]")</f>
        <v>35</v>
      </c>
      <c r="BT435" s="68" vm="11224">
        <f>CUBEVALUE(ConnectionString,ReportMonth,Table1[[#This Row],[Site ID (from DATIM)]],"[Measures].[TX_CURR_M_A]")</f>
        <v>2</v>
      </c>
      <c r="BU435" s="68" t="str" vm="18110">
        <f>CUBEVALUE(ConnectionString,ReportMonth,Table1[[#This Row],[Site ID (from DATIM)]],"[Measures].[MMS_01_89_F_P]")</f>
        <v/>
      </c>
      <c r="BV435" s="68" t="str" vm="18867">
        <f>CUBEVALUE(ConnectionString,ReportMonth,Table1[[#This Row],[Site ID (from DATIM)]],"[Measures].[MMS_01_89_M_P]")</f>
        <v/>
      </c>
      <c r="BW435" s="68" vm="19912">
        <f>CUBEVALUE(ConnectionString,ReportMonth,Table1[[#This Row],[Site ID (from DATIM)]],"[Measures].[MMS_01_89_F_A]")</f>
        <v>11</v>
      </c>
      <c r="BX435" s="68" t="str" vm="19171">
        <f>CUBEVALUE(ConnectionString,ReportMonth,Table1[[#This Row],[Site ID (from DATIM)]],"[Measures].[MMS_01_89_M_A]")</f>
        <v/>
      </c>
      <c r="BY435" s="68" t="str" vm="18820">
        <f>CUBEVALUE(ConnectionString,ReportMonth,Table1[[#This Row],[Site ID (from DATIM)]],"[Measures].[MMS_90_179_F_P]")</f>
        <v/>
      </c>
      <c r="BZ435" s="68" t="str" vm="16059">
        <f>CUBEVALUE(ConnectionString,ReportMonth,Table1[[#This Row],[Site ID (from DATIM)]],"[Measures].[MMS_90_179_M_P]")</f>
        <v/>
      </c>
      <c r="CA435" s="68" vm="15163">
        <f>CUBEVALUE(ConnectionString,ReportMonth,Table1[[#This Row],[Site ID (from DATIM)]],"[Measures].[MMS_90_179_F_A]")</f>
        <v>24</v>
      </c>
      <c r="CB435" s="68" vm="15527">
        <f>CUBEVALUE(ConnectionString,ReportMonth,Table1[[#This Row],[Site ID (from DATIM)]],"[Measures].[MMS_90_179_M_A]")</f>
        <v>2</v>
      </c>
      <c r="CC435" s="68" t="str" vm="14559">
        <f>CUBEVALUE(ConnectionString,ReportMonth,Table1[[#This Row],[Site ID (from DATIM)]],"[Measures].[MMS_180+_F_P]")</f>
        <v/>
      </c>
      <c r="CD435" s="68" t="str" vm="15403">
        <f>CUBEVALUE(ConnectionString,ReportMonth,Table1[[#This Row],[Site ID (from DATIM)]],"[Measures].[MMS_180+_M_P]")</f>
        <v/>
      </c>
      <c r="CE435" s="68" t="str" vm="17566">
        <f>CUBEVALUE(ConnectionString,ReportMonth,Table1[[#This Row],[Site ID (from DATIM)]],"[Measures].[MMS_180+_F_A]")</f>
        <v/>
      </c>
      <c r="CF435" s="68" t="str" vm="189">
        <f>CUBEVALUE(ConnectionString,ReportMonth,Table1[[#This Row],[Site ID (from DATIM)]],"[Measures].[MMS_180+_M_A]")</f>
        <v/>
      </c>
      <c r="CG435" s="68" vm="5543">
        <f>CUBEVALUE(ConnectionString,ReportMonth,Table1[[#This Row],[Site ID (from DATIM)]],"[Measures].[MISSEDAPP]")</f>
        <v>11</v>
      </c>
      <c r="CH435" s="68" t="str" vm="12139">
        <f>CUBEVALUE(ConnectionString,ReportMonth,Table1[[#This Row],[Site ID (from DATIM)]],"[Measures].[MMS_180+_P]")</f>
        <v/>
      </c>
      <c r="CI435" s="68" t="str" vm="11456">
        <f>CUBEVALUE(ConnectionString,ReportMonth,Table1[[#This Row],[Site ID (from DATIM)]],"[Measures].[MMS_180+_A]")</f>
        <v/>
      </c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  <c r="CW435" s="68"/>
      <c r="CX435" s="68"/>
      <c r="CY435" s="68"/>
      <c r="CZ435" s="68"/>
      <c r="DA435" s="68"/>
      <c r="DB435" s="68"/>
      <c r="DC435" s="68"/>
    </row>
    <row r="436" spans="1:107" x14ac:dyDescent="0.25">
      <c r="A436" s="66">
        <v>4</v>
      </c>
      <c r="B436" s="67" t="str" vm="4">
        <f t="shared" si="7"/>
        <v>Mar-2021</v>
      </c>
      <c r="C436" s="67"/>
      <c r="D436" s="67" t="s">
        <v>232</v>
      </c>
      <c r="E436" s="67" t="s">
        <v>233</v>
      </c>
      <c r="F436" s="67" t="s">
        <v>1083</v>
      </c>
      <c r="G436" s="67"/>
      <c r="H436" s="67" t="s">
        <v>1113</v>
      </c>
      <c r="I436" s="67" t="s">
        <v>1193</v>
      </c>
      <c r="J436" s="67" t="s">
        <v>1278</v>
      </c>
      <c r="K436" s="67" t="s">
        <v>1279</v>
      </c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 t="str" vm="1661">
        <f>CUBEVALUE(ConnectionString,ReportMonth,Table1[[#This Row],[Site ID (from DATIM)]],"TX_NEW_2VIS")</f>
        <v/>
      </c>
      <c r="AE436" s="67" t="str" vm="1126">
        <f>CUBEVALUE(ConnectionString,ReportMonth,Table1[[#This Row],[Site ID (from DATIM)]],INDEX(SDI_Measures,1))</f>
        <v/>
      </c>
      <c r="AF436" s="67" t="str" vm="1517">
        <f>CUBEVALUE(ConnectionString,ReportMonth,Table1[[#This Row],[Site ID (from DATIM)]],INDEX(SDI_Measures,2))</f>
        <v/>
      </c>
      <c r="AG436" s="67" t="str" vm="1222">
        <f>CUBEVALUE(ConnectionString,ReportMonth,Table1[[#This Row],[Site ID (from DATIM)]],INDEX(SDI_Measures,3))</f>
        <v/>
      </c>
      <c r="AH436" s="67" vm="1892">
        <f>CUBEVALUE(ConnectionString,ReportMonth,Table1[[#This Row],[Site ID (from DATIM)]],"TX_CURR_PRIOR_MONTH")</f>
        <v>42</v>
      </c>
      <c r="AI436" s="67" vm="4369">
        <f>CUBEVALUE(ConnectionString,ReportMonth,Table1[[#This Row],[Site ID (from DATIM)]],"TX_CURR")</f>
        <v>34</v>
      </c>
      <c r="AJ436" s="67" t="str" vm="4511">
        <f>CUBEVALUE(ConnectionString,ReportMonth,Table1[[#This Row],[Site ID (from DATIM)]],"[Measures].[TI]")</f>
        <v/>
      </c>
      <c r="AK436" s="67" t="str" vm="3538">
        <f>CUBEVALUE(ConnectionString,ReportMonth,Table1[[#This Row],[Site ID (from DATIM)]],"[Measures].[TO]")</f>
        <v/>
      </c>
      <c r="AL436" s="67" t="str" vm="3022">
        <f>CUBEVALUE(ConnectionString,ReportMonth,Table1[[#This Row],[Site ID (from DATIM)]],"[Measures].[DIED]")</f>
        <v/>
      </c>
      <c r="AM436" s="67" vm="3984">
        <f>CUBEVALUE(ConnectionString,ReportMonth,Table1[[#This Row],[Site ID (from DATIM)]],"[Measures].[MMS_01_31]")</f>
        <v>34</v>
      </c>
      <c r="AN436" s="67" t="str" vm="5796">
        <f>CUBEVALUE(ConnectionString,ReportMonth,Table1[[#This Row],[Site ID (from DATIM)]],"[Measures].[MMS_32_62]")</f>
        <v/>
      </c>
      <c r="AO436" s="67" t="str" vm="10521">
        <f>CUBEVALUE(ConnectionString,ReportMonth,Table1[[#This Row],[Site ID (from DATIM)]],"[Measures].[MMS_63+]")</f>
        <v/>
      </c>
      <c r="AP436" s="67" t="str" vm="4700">
        <f>CUBEVALUE(ConnectionString,ReportMonth,Table1[[#This Row],[Site ID (from DATIM)]],"[Measures].[TBPREV_D]")</f>
        <v/>
      </c>
      <c r="AQ436" s="67" t="str" vm="6739">
        <f>CUBEVALUE(ConnectionString,ReportMonth,Table1[[#This Row],[Site ID (from DATIM)]],"[Measures].[TBPREV_N]")</f>
        <v/>
      </c>
      <c r="AR436" s="67" t="str" vm="4582">
        <f>CUBEVALUE(ConnectionString,ReportMonth,Table1[[#This Row],[Site ID (from DATIM)]],"[Measures].[TBPREV_NEW]")</f>
        <v/>
      </c>
      <c r="AS436" s="67" vm="6664">
        <f>CUBEVALUE(ConnectionString,ReportMonth,Table1[[#This Row],[Site ID (from DATIM)]],"[Measures].[HVL_ELIG_P]")</f>
        <v>1</v>
      </c>
      <c r="AT436" s="67" t="str" vm="8664">
        <f>CUBEVALUE(ConnectionString,ReportMonth,Table1[[#This Row],[Site ID (from DATIM)]],"[Measures].[HVL_D_P]")</f>
        <v/>
      </c>
      <c r="AU436" s="67" t="str" vm="10780">
        <f>CUBEVALUE(ConnectionString,ReportMonth,Table1[[#This Row],[Site ID (from DATIM)]],"[Measures].[HVL_N_P]")</f>
        <v/>
      </c>
      <c r="AV436" s="68" vm="11834">
        <f>CUBEVALUE(ConnectionString,ReportMonth,Table1[[#This Row],[Site ID (from DATIM)]],"[Measures].[HVL_ELIG_A]")</f>
        <v>21</v>
      </c>
      <c r="AW436" s="68" t="str" vm="11532">
        <f>CUBEVALUE(ConnectionString,ReportMonth,Table1[[#This Row],[Site ID (from DATIM)]],"[Measures].[HVL_D_A]")</f>
        <v/>
      </c>
      <c r="AX436" s="68" t="str" vm="9840">
        <f>CUBEVALUE(ConnectionString,ReportMonth,Table1[[#This Row],[Site ID (from DATIM)]],"[Measures].[HVL_N_A]")</f>
        <v/>
      </c>
      <c r="AY436" s="67"/>
      <c r="AZ436" s="67"/>
      <c r="BA436" s="67"/>
      <c r="BB436" s="67"/>
      <c r="BC436" s="67"/>
      <c r="BD436" s="67"/>
      <c r="BE436" s="67"/>
      <c r="BF436" s="67"/>
      <c r="BG436" s="67" t="str" vm="12439">
        <f>CUBEVALUE(ConnectionString,ReportMonth,Table1[[#This Row],[Site ID (from DATIM)]],"[Measures].[TX_NEW_F_A]")</f>
        <v/>
      </c>
      <c r="BH436" s="67" t="str" vm="10185">
        <f>CUBEVALUE(ConnectionString,ReportMonth,Table1[[#This Row],[Site ID (from DATIM)]],"[Measures].[TX_NEW_M_A]")</f>
        <v/>
      </c>
      <c r="BI436" s="67" t="str" vm="12232">
        <f>CUBEVALUE(ConnectionString,ReportMonth,Table1[[#This Row],[Site ID (from DATIM)]],"[Measures].[TX_NEW_F_P]")</f>
        <v/>
      </c>
      <c r="BJ436" s="68" t="str" vm="14872">
        <f>CUBEVALUE(ConnectionString,ReportMonth,Table1[[#This Row],[Site ID (from DATIM)]],"[Measures].[TX_NEW_M_P]")</f>
        <v/>
      </c>
      <c r="BK436" s="68"/>
      <c r="BL436" s="68"/>
      <c r="BM436" s="68"/>
      <c r="BN436" s="68"/>
      <c r="BO436" s="68"/>
      <c r="BP436" s="68"/>
      <c r="BQ436" s="68" vm="11653">
        <f>CUBEVALUE(ConnectionString,ReportMonth,Table1[[#This Row],[Site ID (from DATIM)]],"[Measures].[TX_CURR_F_P]")</f>
        <v>1</v>
      </c>
      <c r="BR436" s="68" vm="9239">
        <f>CUBEVALUE(ConnectionString,ReportMonth,Table1[[#This Row],[Site ID (from DATIM)]],"[Measures].[TX_CURR_M_P]")</f>
        <v>1</v>
      </c>
      <c r="BS436" s="68" vm="8704">
        <f>CUBEVALUE(ConnectionString,ReportMonth,Table1[[#This Row],[Site ID (from DATIM)]],"[Measures].[TX_CURR_F_A]")</f>
        <v>29</v>
      </c>
      <c r="BT436" s="68" vm="9684">
        <f>CUBEVALUE(ConnectionString,ReportMonth,Table1[[#This Row],[Site ID (from DATIM)]],"[Measures].[TX_CURR_M_A]")</f>
        <v>3</v>
      </c>
      <c r="BU436" s="68" vm="19539">
        <f>CUBEVALUE(ConnectionString,ReportMonth,Table1[[#This Row],[Site ID (from DATIM)]],"[Measures].[MMS_01_89_F_P]")</f>
        <v>1</v>
      </c>
      <c r="BV436" s="68" vm="20003">
        <f>CUBEVALUE(ConnectionString,ReportMonth,Table1[[#This Row],[Site ID (from DATIM)]],"[Measures].[MMS_01_89_M_P]")</f>
        <v>1</v>
      </c>
      <c r="BW436" s="68" vm="19144">
        <f>CUBEVALUE(ConnectionString,ReportMonth,Table1[[#This Row],[Site ID (from DATIM)]],"[Measures].[MMS_01_89_F_A]")</f>
        <v>29</v>
      </c>
      <c r="BX436" s="68" vm="19047">
        <f>CUBEVALUE(ConnectionString,ReportMonth,Table1[[#This Row],[Site ID (from DATIM)]],"[Measures].[MMS_01_89_M_A]")</f>
        <v>3</v>
      </c>
      <c r="BY436" s="68" t="str" vm="19583">
        <f>CUBEVALUE(ConnectionString,ReportMonth,Table1[[#This Row],[Site ID (from DATIM)]],"[Measures].[MMS_90_179_F_P]")</f>
        <v/>
      </c>
      <c r="BZ436" s="68" t="str" vm="18457">
        <f>CUBEVALUE(ConnectionString,ReportMonth,Table1[[#This Row],[Site ID (from DATIM)]],"[Measures].[MMS_90_179_M_P]")</f>
        <v/>
      </c>
      <c r="CA436" s="68" t="str" vm="14607">
        <f>CUBEVALUE(ConnectionString,ReportMonth,Table1[[#This Row],[Site ID (from DATIM)]],"[Measures].[MMS_90_179_F_A]")</f>
        <v/>
      </c>
      <c r="CB436" s="68" t="str" vm="15989">
        <f>CUBEVALUE(ConnectionString,ReportMonth,Table1[[#This Row],[Site ID (from DATIM)]],"[Measures].[MMS_90_179_M_A]")</f>
        <v/>
      </c>
      <c r="CC436" s="68" t="str" vm="15375">
        <f>CUBEVALUE(ConnectionString,ReportMonth,Table1[[#This Row],[Site ID (from DATIM)]],"[Measures].[MMS_180+_F_P]")</f>
        <v/>
      </c>
      <c r="CD436" s="68" t="str" vm="16711">
        <f>CUBEVALUE(ConnectionString,ReportMonth,Table1[[#This Row],[Site ID (from DATIM)]],"[Measures].[MMS_180+_M_P]")</f>
        <v/>
      </c>
      <c r="CE436" s="68" t="str" vm="17163">
        <f>CUBEVALUE(ConnectionString,ReportMonth,Table1[[#This Row],[Site ID (from DATIM)]],"[Measures].[MMS_180+_F_A]")</f>
        <v/>
      </c>
      <c r="CF436" s="68" t="str" vm="15348">
        <f>CUBEVALUE(ConnectionString,ReportMonth,Table1[[#This Row],[Site ID (from DATIM)]],"[Measures].[MMS_180+_M_A]")</f>
        <v/>
      </c>
      <c r="CG436" s="68" vm="8239">
        <f>CUBEVALUE(ConnectionString,ReportMonth,Table1[[#This Row],[Site ID (from DATIM)]],"[Measures].[MISSEDAPP]")</f>
        <v>33</v>
      </c>
      <c r="CH436" s="68" t="str" vm="10856">
        <f>CUBEVALUE(ConnectionString,ReportMonth,Table1[[#This Row],[Site ID (from DATIM)]],"[Measures].[MMS_180+_P]")</f>
        <v/>
      </c>
      <c r="CI436" s="68" t="str" vm="13549">
        <f>CUBEVALUE(ConnectionString,ReportMonth,Table1[[#This Row],[Site ID (from DATIM)]],"[Measures].[MMS_180+_A]")</f>
        <v/>
      </c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  <c r="CW436" s="68"/>
      <c r="CX436" s="68"/>
      <c r="CY436" s="68"/>
      <c r="CZ436" s="68"/>
      <c r="DA436" s="68"/>
      <c r="DB436" s="68"/>
      <c r="DC436" s="68"/>
    </row>
    <row r="437" spans="1:107" x14ac:dyDescent="0.25">
      <c r="A437" s="66">
        <v>4</v>
      </c>
      <c r="B437" s="67" t="str" vm="4">
        <f t="shared" si="7"/>
        <v>Mar-2021</v>
      </c>
      <c r="C437" s="67"/>
      <c r="D437" s="67" t="s">
        <v>232</v>
      </c>
      <c r="E437" s="67" t="s">
        <v>233</v>
      </c>
      <c r="F437" s="67" t="s">
        <v>1083</v>
      </c>
      <c r="G437" s="67"/>
      <c r="H437" s="67" t="s">
        <v>1084</v>
      </c>
      <c r="I437" s="67" t="s">
        <v>1085</v>
      </c>
      <c r="J437" s="67" t="s">
        <v>1280</v>
      </c>
      <c r="K437" s="67" t="s">
        <v>1281</v>
      </c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 t="str" vm="1980">
        <f>CUBEVALUE(ConnectionString,ReportMonth,Table1[[#This Row],[Site ID (from DATIM)]],"TX_NEW_2VIS")</f>
        <v/>
      </c>
      <c r="AE437" s="67" t="str" vm="1747">
        <f>CUBEVALUE(ConnectionString,ReportMonth,Table1[[#This Row],[Site ID (from DATIM)]],INDEX(SDI_Measures,1))</f>
        <v/>
      </c>
      <c r="AF437" s="67" t="str" vm="3928">
        <f>CUBEVALUE(ConnectionString,ReportMonth,Table1[[#This Row],[Site ID (from DATIM)]],INDEX(SDI_Measures,2))</f>
        <v/>
      </c>
      <c r="AG437" s="67" t="str" vm="861">
        <f>CUBEVALUE(ConnectionString,ReportMonth,Table1[[#This Row],[Site ID (from DATIM)]],INDEX(SDI_Measures,3))</f>
        <v/>
      </c>
      <c r="AH437" s="67" vm="2349">
        <f>CUBEVALUE(ConnectionString,ReportMonth,Table1[[#This Row],[Site ID (from DATIM)]],"TX_CURR_PRIOR_MONTH")</f>
        <v>66</v>
      </c>
      <c r="AI437" s="67" vm="1382">
        <f>CUBEVALUE(ConnectionString,ReportMonth,Table1[[#This Row],[Site ID (from DATIM)]],"TX_CURR")</f>
        <v>35</v>
      </c>
      <c r="AJ437" s="67" t="str" vm="3696">
        <f>CUBEVALUE(ConnectionString,ReportMonth,Table1[[#This Row],[Site ID (from DATIM)]],"[Measures].[TI]")</f>
        <v/>
      </c>
      <c r="AK437" s="67" t="str" vm="2221">
        <f>CUBEVALUE(ConnectionString,ReportMonth,Table1[[#This Row],[Site ID (from DATIM)]],"[Measures].[TO]")</f>
        <v/>
      </c>
      <c r="AL437" s="67" t="str" vm="2929">
        <f>CUBEVALUE(ConnectionString,ReportMonth,Table1[[#This Row],[Site ID (from DATIM)]],"[Measures].[DIED]")</f>
        <v/>
      </c>
      <c r="AM437" s="67" t="str" vm="4158">
        <f>CUBEVALUE(ConnectionString,ReportMonth,Table1[[#This Row],[Site ID (from DATIM)]],"[Measures].[MMS_01_31]")</f>
        <v/>
      </c>
      <c r="AN437" s="67" t="str" vm="3434">
        <f>CUBEVALUE(ConnectionString,ReportMonth,Table1[[#This Row],[Site ID (from DATIM)]],"[Measures].[MMS_32_62]")</f>
        <v/>
      </c>
      <c r="AO437" s="67" vm="8877">
        <f>CUBEVALUE(ConnectionString,ReportMonth,Table1[[#This Row],[Site ID (from DATIM)]],"[Measures].[MMS_63+]")</f>
        <v>35</v>
      </c>
      <c r="AP437" s="67" vm="10518">
        <f>CUBEVALUE(ConnectionString,ReportMonth,Table1[[#This Row],[Site ID (from DATIM)]],"[Measures].[TBPREV_D]")</f>
        <v>10</v>
      </c>
      <c r="AQ437" s="67" t="str" vm="6470">
        <f>CUBEVALUE(ConnectionString,ReportMonth,Table1[[#This Row],[Site ID (from DATIM)]],"[Measures].[TBPREV_N]")</f>
        <v/>
      </c>
      <c r="AR437" s="67" t="str" vm="4859">
        <f>CUBEVALUE(ConnectionString,ReportMonth,Table1[[#This Row],[Site ID (from DATIM)]],"[Measures].[TBPREV_NEW]")</f>
        <v/>
      </c>
      <c r="AS437" s="67" vm="6266">
        <f>CUBEVALUE(ConnectionString,ReportMonth,Table1[[#This Row],[Site ID (from DATIM)]],"[Measures].[HVL_ELIG_P]")</f>
        <v>1</v>
      </c>
      <c r="AT437" s="67" vm="4738">
        <f>CUBEVALUE(ConnectionString,ReportMonth,Table1[[#This Row],[Site ID (from DATIM)]],"[Measures].[HVL_D_P]")</f>
        <v>1</v>
      </c>
      <c r="AU437" s="67" t="str" vm="10733">
        <f>CUBEVALUE(ConnectionString,ReportMonth,Table1[[#This Row],[Site ID (from DATIM)]],"[Measures].[HVL_N_P]")</f>
        <v/>
      </c>
      <c r="AV437" s="68" vm="7297">
        <f>CUBEVALUE(ConnectionString,ReportMonth,Table1[[#This Row],[Site ID (from DATIM)]],"[Measures].[HVL_ELIG_A]")</f>
        <v>34</v>
      </c>
      <c r="AW437" s="68" vm="11093">
        <f>CUBEVALUE(ConnectionString,ReportMonth,Table1[[#This Row],[Site ID (from DATIM)]],"[Measures].[HVL_D_A]")</f>
        <v>35</v>
      </c>
      <c r="AX437" s="68" vm="10775">
        <f>CUBEVALUE(ConnectionString,ReportMonth,Table1[[#This Row],[Site ID (from DATIM)]],"[Measures].[HVL_N_A]")</f>
        <v>33</v>
      </c>
      <c r="AY437" s="67"/>
      <c r="AZ437" s="67"/>
      <c r="BA437" s="67"/>
      <c r="BB437" s="67"/>
      <c r="BC437" s="67"/>
      <c r="BD437" s="67"/>
      <c r="BE437" s="67"/>
      <c r="BF437" s="67"/>
      <c r="BG437" s="67" t="str" vm="11003">
        <f>CUBEVALUE(ConnectionString,ReportMonth,Table1[[#This Row],[Site ID (from DATIM)]],"[Measures].[TX_NEW_F_A]")</f>
        <v/>
      </c>
      <c r="BH437" s="67" t="str" vm="10624">
        <f>CUBEVALUE(ConnectionString,ReportMonth,Table1[[#This Row],[Site ID (from DATIM)]],"[Measures].[TX_NEW_M_A]")</f>
        <v/>
      </c>
      <c r="BI437" s="67" t="str" vm="12177">
        <f>CUBEVALUE(ConnectionString,ReportMonth,Table1[[#This Row],[Site ID (from DATIM)]],"[Measures].[TX_NEW_F_P]")</f>
        <v/>
      </c>
      <c r="BJ437" s="68" t="str" vm="13798">
        <f>CUBEVALUE(ConnectionString,ReportMonth,Table1[[#This Row],[Site ID (from DATIM)]],"[Measures].[TX_NEW_M_P]")</f>
        <v/>
      </c>
      <c r="BK437" s="68"/>
      <c r="BL437" s="68"/>
      <c r="BM437" s="68"/>
      <c r="BN437" s="68"/>
      <c r="BO437" s="68"/>
      <c r="BP437" s="68"/>
      <c r="BQ437" s="68" t="str" vm="12000">
        <f>CUBEVALUE(ConnectionString,ReportMonth,Table1[[#This Row],[Site ID (from DATIM)]],"[Measures].[TX_CURR_F_P]")</f>
        <v/>
      </c>
      <c r="BR437" s="68" vm="7953">
        <f>CUBEVALUE(ConnectionString,ReportMonth,Table1[[#This Row],[Site ID (from DATIM)]],"[Measures].[TX_CURR_M_P]")</f>
        <v>1</v>
      </c>
      <c r="BS437" s="68" vm="9263">
        <f>CUBEVALUE(ConnectionString,ReportMonth,Table1[[#This Row],[Site ID (from DATIM)]],"[Measures].[TX_CURR_F_A]")</f>
        <v>27</v>
      </c>
      <c r="BT437" s="68" vm="13538">
        <f>CUBEVALUE(ConnectionString,ReportMonth,Table1[[#This Row],[Site ID (from DATIM)]],"[Measures].[TX_CURR_M_A]")</f>
        <v>7</v>
      </c>
      <c r="BU437" s="68" t="str" vm="19266">
        <f>CUBEVALUE(ConnectionString,ReportMonth,Table1[[#This Row],[Site ID (from DATIM)]],"[Measures].[MMS_01_89_F_P]")</f>
        <v/>
      </c>
      <c r="BV437" s="68" t="str" vm="18866">
        <f>CUBEVALUE(ConnectionString,ReportMonth,Table1[[#This Row],[Site ID (from DATIM)]],"[Measures].[MMS_01_89_M_P]")</f>
        <v/>
      </c>
      <c r="BW437" s="68" t="str" vm="19725">
        <f>CUBEVALUE(ConnectionString,ReportMonth,Table1[[#This Row],[Site ID (from DATIM)]],"[Measures].[MMS_01_89_F_A]")</f>
        <v/>
      </c>
      <c r="BX437" s="68" t="str" vm="15251">
        <f>CUBEVALUE(ConnectionString,ReportMonth,Table1[[#This Row],[Site ID (from DATIM)]],"[Measures].[MMS_01_89_M_A]")</f>
        <v/>
      </c>
      <c r="BY437" s="68" t="str" vm="17858">
        <f>CUBEVALUE(ConnectionString,ReportMonth,Table1[[#This Row],[Site ID (from DATIM)]],"[Measures].[MMS_90_179_F_P]")</f>
        <v/>
      </c>
      <c r="BZ437" s="68" vm="15972">
        <f>CUBEVALUE(ConnectionString,ReportMonth,Table1[[#This Row],[Site ID (from DATIM)]],"[Measures].[MMS_90_179_M_P]")</f>
        <v>1</v>
      </c>
      <c r="CA437" s="68" vm="15114">
        <f>CUBEVALUE(ConnectionString,ReportMonth,Table1[[#This Row],[Site ID (from DATIM)]],"[Measures].[MMS_90_179_F_A]")</f>
        <v>27</v>
      </c>
      <c r="CB437" s="68" vm="17867">
        <f>CUBEVALUE(ConnectionString,ReportMonth,Table1[[#This Row],[Site ID (from DATIM)]],"[Measures].[MMS_90_179_M_A]")</f>
        <v>7</v>
      </c>
      <c r="CC437" s="68" t="str" vm="17561">
        <f>CUBEVALUE(ConnectionString,ReportMonth,Table1[[#This Row],[Site ID (from DATIM)]],"[Measures].[MMS_180+_F_P]")</f>
        <v/>
      </c>
      <c r="CD437" s="68" t="str" vm="17199">
        <f>CUBEVALUE(ConnectionString,ReportMonth,Table1[[#This Row],[Site ID (from DATIM)]],"[Measures].[MMS_180+_M_P]")</f>
        <v/>
      </c>
      <c r="CE437" s="68" t="str" vm="74">
        <f>CUBEVALUE(ConnectionString,ReportMonth,Table1[[#This Row],[Site ID (from DATIM)]],"[Measures].[MMS_180+_F_A]")</f>
        <v/>
      </c>
      <c r="CF437" s="68" t="str" vm="17083">
        <f>CUBEVALUE(ConnectionString,ReportMonth,Table1[[#This Row],[Site ID (from DATIM)]],"[Measures].[MMS_180+_M_A]")</f>
        <v/>
      </c>
      <c r="CG437" s="68" vm="5800">
        <f>CUBEVALUE(ConnectionString,ReportMonth,Table1[[#This Row],[Site ID (from DATIM)]],"[Measures].[MISSEDAPP]")</f>
        <v>35</v>
      </c>
      <c r="CH437" s="68" t="str" vm="13332">
        <f>CUBEVALUE(ConnectionString,ReportMonth,Table1[[#This Row],[Site ID (from DATIM)]],"[Measures].[MMS_180+_P]")</f>
        <v/>
      </c>
      <c r="CI437" s="68" t="str" vm="10411">
        <f>CUBEVALUE(ConnectionString,ReportMonth,Table1[[#This Row],[Site ID (from DATIM)]],"[Measures].[MMS_180+_A]")</f>
        <v/>
      </c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  <c r="CW437" s="68"/>
      <c r="CX437" s="68"/>
      <c r="CY437" s="68"/>
      <c r="CZ437" s="68"/>
      <c r="DA437" s="68"/>
      <c r="DB437" s="68"/>
      <c r="DC437" s="68"/>
    </row>
    <row r="438" spans="1:107" x14ac:dyDescent="0.25">
      <c r="A438" s="66">
        <v>4</v>
      </c>
      <c r="B438" s="67" t="str" vm="4">
        <f t="shared" si="7"/>
        <v>Mar-2021</v>
      </c>
      <c r="C438" s="67"/>
      <c r="D438" s="67" t="s">
        <v>232</v>
      </c>
      <c r="E438" s="67" t="s">
        <v>233</v>
      </c>
      <c r="F438" s="67" t="s">
        <v>437</v>
      </c>
      <c r="G438" s="67"/>
      <c r="H438" s="67" t="s">
        <v>513</v>
      </c>
      <c r="I438" s="67" t="s">
        <v>673</v>
      </c>
      <c r="J438" s="67" t="s">
        <v>806</v>
      </c>
      <c r="K438" s="67" t="s">
        <v>807</v>
      </c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 t="str" vm="2300">
        <f>CUBEVALUE(ConnectionString,ReportMonth,Table1[[#This Row],[Site ID (from DATIM)]],"TX_NEW_2VIS")</f>
        <v/>
      </c>
      <c r="AE438" s="67" t="str" vm="263">
        <f>CUBEVALUE(ConnectionString,ReportMonth,Table1[[#This Row],[Site ID (from DATIM)]],INDEX(SDI_Measures,1))</f>
        <v/>
      </c>
      <c r="AF438" s="67" t="str" vm="3831">
        <f>CUBEVALUE(ConnectionString,ReportMonth,Table1[[#This Row],[Site ID (from DATIM)]],INDEX(SDI_Measures,2))</f>
        <v/>
      </c>
      <c r="AG438" s="67" t="str" vm="1083">
        <f>CUBEVALUE(ConnectionString,ReportMonth,Table1[[#This Row],[Site ID (from DATIM)]],INDEX(SDI_Measures,3))</f>
        <v/>
      </c>
      <c r="AH438" s="67" vm="1322">
        <f>CUBEVALUE(ConnectionString,ReportMonth,Table1[[#This Row],[Site ID (from DATIM)]],"TX_CURR_PRIOR_MONTH")</f>
        <v>14</v>
      </c>
      <c r="AI438" s="67" t="str" vm="3268">
        <f>CUBEVALUE(ConnectionString,ReportMonth,Table1[[#This Row],[Site ID (from DATIM)]],"TX_CURR")</f>
        <v/>
      </c>
      <c r="AJ438" s="67" t="str" vm="1049">
        <f>CUBEVALUE(ConnectionString,ReportMonth,Table1[[#This Row],[Site ID (from DATIM)]],"[Measures].[TI]")</f>
        <v/>
      </c>
      <c r="AK438" s="67" t="str" vm="1839">
        <f>CUBEVALUE(ConnectionString,ReportMonth,Table1[[#This Row],[Site ID (from DATIM)]],"[Measures].[TO]")</f>
        <v/>
      </c>
      <c r="AL438" s="67" t="str" vm="4367">
        <f>CUBEVALUE(ConnectionString,ReportMonth,Table1[[#This Row],[Site ID (from DATIM)]],"[Measures].[DIED]")</f>
        <v/>
      </c>
      <c r="AM438" s="67" t="str" vm="3528">
        <f>CUBEVALUE(ConnectionString,ReportMonth,Table1[[#This Row],[Site ID (from DATIM)]],"[Measures].[MMS_01_31]")</f>
        <v/>
      </c>
      <c r="AN438" s="67" t="str" vm="5432">
        <f>CUBEVALUE(ConnectionString,ReportMonth,Table1[[#This Row],[Site ID (from DATIM)]],"[Measures].[MMS_32_62]")</f>
        <v/>
      </c>
      <c r="AO438" s="67" t="str" vm="7116">
        <f>CUBEVALUE(ConnectionString,ReportMonth,Table1[[#This Row],[Site ID (from DATIM)]],"[Measures].[MMS_63+]")</f>
        <v/>
      </c>
      <c r="AP438" s="67" t="str" vm="5419">
        <f>CUBEVALUE(ConnectionString,ReportMonth,Table1[[#This Row],[Site ID (from DATIM)]],"[Measures].[TBPREV_D]")</f>
        <v/>
      </c>
      <c r="AQ438" s="67" t="str" vm="6206">
        <f>CUBEVALUE(ConnectionString,ReportMonth,Table1[[#This Row],[Site ID (from DATIM)]],"[Measures].[TBPREV_N]")</f>
        <v/>
      </c>
      <c r="AR438" s="67" t="str" vm="11527">
        <f>CUBEVALUE(ConnectionString,ReportMonth,Table1[[#This Row],[Site ID (from DATIM)]],"[Measures].[TBPREV_NEW]")</f>
        <v/>
      </c>
      <c r="AS438" s="67" t="str" vm="8882">
        <f>CUBEVALUE(ConnectionString,ReportMonth,Table1[[#This Row],[Site ID (from DATIM)]],"[Measures].[HVL_ELIG_P]")</f>
        <v/>
      </c>
      <c r="AT438" s="67" t="str" vm="7448">
        <f>CUBEVALUE(ConnectionString,ReportMonth,Table1[[#This Row],[Site ID (from DATIM)]],"[Measures].[HVL_D_P]")</f>
        <v/>
      </c>
      <c r="AU438" s="67" t="str" vm="9762">
        <f>CUBEVALUE(ConnectionString,ReportMonth,Table1[[#This Row],[Site ID (from DATIM)]],"[Measures].[HVL_N_P]")</f>
        <v/>
      </c>
      <c r="AV438" s="68" t="str" vm="12155">
        <f>CUBEVALUE(ConnectionString,ReportMonth,Table1[[#This Row],[Site ID (from DATIM)]],"[Measures].[HVL_ELIG_A]")</f>
        <v/>
      </c>
      <c r="AW438" s="68" t="str" vm="13511">
        <f>CUBEVALUE(ConnectionString,ReportMonth,Table1[[#This Row],[Site ID (from DATIM)]],"[Measures].[HVL_D_A]")</f>
        <v/>
      </c>
      <c r="AX438" s="68" t="str" vm="9957">
        <f>CUBEVALUE(ConnectionString,ReportMonth,Table1[[#This Row],[Site ID (from DATIM)]],"[Measures].[HVL_N_A]")</f>
        <v/>
      </c>
      <c r="AY438" s="67"/>
      <c r="AZ438" s="67"/>
      <c r="BA438" s="67"/>
      <c r="BB438" s="67"/>
      <c r="BC438" s="67"/>
      <c r="BD438" s="67"/>
      <c r="BE438" s="67"/>
      <c r="BF438" s="67"/>
      <c r="BG438" s="67" t="str" vm="11281">
        <f>CUBEVALUE(ConnectionString,ReportMonth,Table1[[#This Row],[Site ID (from DATIM)]],"[Measures].[TX_NEW_F_A]")</f>
        <v/>
      </c>
      <c r="BH438" s="67" t="str" vm="12574">
        <f>CUBEVALUE(ConnectionString,ReportMonth,Table1[[#This Row],[Site ID (from DATIM)]],"[Measures].[TX_NEW_M_A]")</f>
        <v/>
      </c>
      <c r="BI438" s="67" t="str" vm="13749">
        <f>CUBEVALUE(ConnectionString,ReportMonth,Table1[[#This Row],[Site ID (from DATIM)]],"[Measures].[TX_NEW_F_P]")</f>
        <v/>
      </c>
      <c r="BJ438" s="68" t="str" vm="17445">
        <f>CUBEVALUE(ConnectionString,ReportMonth,Table1[[#This Row],[Site ID (from DATIM)]],"[Measures].[TX_NEW_M_P]")</f>
        <v/>
      </c>
      <c r="BK438" s="68"/>
      <c r="BL438" s="68"/>
      <c r="BM438" s="68"/>
      <c r="BN438" s="68"/>
      <c r="BO438" s="68"/>
      <c r="BP438" s="68"/>
      <c r="BQ438" s="68" t="str" vm="13281">
        <f>CUBEVALUE(ConnectionString,ReportMonth,Table1[[#This Row],[Site ID (from DATIM)]],"[Measures].[TX_CURR_F_P]")</f>
        <v/>
      </c>
      <c r="BR438" s="68" t="str" vm="7024">
        <f>CUBEVALUE(ConnectionString,ReportMonth,Table1[[#This Row],[Site ID (from DATIM)]],"[Measures].[TX_CURR_M_P]")</f>
        <v/>
      </c>
      <c r="BS438" s="68" t="str" vm="9353">
        <f>CUBEVALUE(ConnectionString,ReportMonth,Table1[[#This Row],[Site ID (from DATIM)]],"[Measures].[TX_CURR_F_A]")</f>
        <v/>
      </c>
      <c r="BT438" s="68" t="str" vm="14068">
        <f>CUBEVALUE(ConnectionString,ReportMonth,Table1[[#This Row],[Site ID (from DATIM)]],"[Measures].[TX_CURR_M_A]")</f>
        <v/>
      </c>
      <c r="BU438" s="68" t="str" vm="18748">
        <f>CUBEVALUE(ConnectionString,ReportMonth,Table1[[#This Row],[Site ID (from DATIM)]],"[Measures].[MMS_01_89_F_P]")</f>
        <v/>
      </c>
      <c r="BV438" s="68" t="str" vm="19703">
        <f>CUBEVALUE(ConnectionString,ReportMonth,Table1[[#This Row],[Site ID (from DATIM)]],"[Measures].[MMS_01_89_M_P]")</f>
        <v/>
      </c>
      <c r="BW438" s="68" t="str" vm="19437">
        <f>CUBEVALUE(ConnectionString,ReportMonth,Table1[[#This Row],[Site ID (from DATIM)]],"[Measures].[MMS_01_89_F_A]")</f>
        <v/>
      </c>
      <c r="BX438" s="68" t="str" vm="19708">
        <f>CUBEVALUE(ConnectionString,ReportMonth,Table1[[#This Row],[Site ID (from DATIM)]],"[Measures].[MMS_01_89_M_A]")</f>
        <v/>
      </c>
      <c r="BY438" s="68" t="str" vm="17964">
        <f>CUBEVALUE(ConnectionString,ReportMonth,Table1[[#This Row],[Site ID (from DATIM)]],"[Measures].[MMS_90_179_F_P]")</f>
        <v/>
      </c>
      <c r="BZ438" s="68" t="str" vm="19855">
        <f>CUBEVALUE(ConnectionString,ReportMonth,Table1[[#This Row],[Site ID (from DATIM)]],"[Measures].[MMS_90_179_M_P]")</f>
        <v/>
      </c>
      <c r="CA438" s="68" t="str" vm="16056">
        <f>CUBEVALUE(ConnectionString,ReportMonth,Table1[[#This Row],[Site ID (from DATIM)]],"[Measures].[MMS_90_179_F_A]")</f>
        <v/>
      </c>
      <c r="CB438" s="68" t="str" vm="16453">
        <f>CUBEVALUE(ConnectionString,ReportMonth,Table1[[#This Row],[Site ID (from DATIM)]],"[Measures].[MMS_90_179_M_A]")</f>
        <v/>
      </c>
      <c r="CC438" s="68" t="str" vm="14578">
        <f>CUBEVALUE(ConnectionString,ReportMonth,Table1[[#This Row],[Site ID (from DATIM)]],"[Measures].[MMS_180+_F_P]")</f>
        <v/>
      </c>
      <c r="CD438" s="68" t="str" vm="14456">
        <f>CUBEVALUE(ConnectionString,ReportMonth,Table1[[#This Row],[Site ID (from DATIM)]],"[Measures].[MMS_180+_M_P]")</f>
        <v/>
      </c>
      <c r="CE438" s="68" t="str" vm="161">
        <f>CUBEVALUE(ConnectionString,ReportMonth,Table1[[#This Row],[Site ID (from DATIM)]],"[Measures].[MMS_180+_F_A]")</f>
        <v/>
      </c>
      <c r="CF438" s="68" t="str" vm="16629">
        <f>CUBEVALUE(ConnectionString,ReportMonth,Table1[[#This Row],[Site ID (from DATIM)]],"[Measures].[MMS_180+_M_A]")</f>
        <v/>
      </c>
      <c r="CG438" s="68" t="str" vm="4737">
        <f>CUBEVALUE(ConnectionString,ReportMonth,Table1[[#This Row],[Site ID (from DATIM)]],"[Measures].[MISSEDAPP]")</f>
        <v/>
      </c>
      <c r="CH438" s="68" t="str" vm="13770">
        <f>CUBEVALUE(ConnectionString,ReportMonth,Table1[[#This Row],[Site ID (from DATIM)]],"[Measures].[MMS_180+_P]")</f>
        <v/>
      </c>
      <c r="CI438" s="68" t="str" vm="12469">
        <f>CUBEVALUE(ConnectionString,ReportMonth,Table1[[#This Row],[Site ID (from DATIM)]],"[Measures].[MMS_180+_A]")</f>
        <v/>
      </c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  <c r="CW438" s="68"/>
      <c r="CX438" s="68"/>
      <c r="CY438" s="68"/>
      <c r="CZ438" s="68"/>
      <c r="DA438" s="68"/>
      <c r="DB438" s="68"/>
      <c r="DC438" s="68"/>
    </row>
    <row r="439" spans="1:107" x14ac:dyDescent="0.25">
      <c r="A439" s="66">
        <v>2</v>
      </c>
      <c r="B439" s="67" t="str" vm="4">
        <f t="shared" si="7"/>
        <v>Mar-2021</v>
      </c>
      <c r="C439" s="67"/>
      <c r="D439" s="67" t="s">
        <v>232</v>
      </c>
      <c r="E439" s="67" t="s">
        <v>233</v>
      </c>
      <c r="F439" s="67" t="s">
        <v>831</v>
      </c>
      <c r="G439" s="67"/>
      <c r="H439" s="67" t="s">
        <v>867</v>
      </c>
      <c r="I439" s="67" t="s">
        <v>1063</v>
      </c>
      <c r="J439" s="67" t="s">
        <v>1064</v>
      </c>
      <c r="K439" s="67" t="s">
        <v>1065</v>
      </c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 vm="1586">
        <f>CUBEVALUE(ConnectionString,ReportMonth,Table1[[#This Row],[Site ID (from DATIM)]],"TX_NEW_2VIS")</f>
        <v>1</v>
      </c>
      <c r="AE439" s="67" vm="2973">
        <f>CUBEVALUE(ConnectionString,ReportMonth,Table1[[#This Row],[Site ID (from DATIM)]],INDEX(SDI_Measures,1))</f>
        <v>2</v>
      </c>
      <c r="AF439" s="67" t="str" vm="10279">
        <f>CUBEVALUE(ConnectionString,ReportMonth,Table1[[#This Row],[Site ID (from DATIM)]],INDEX(SDI_Measures,2))</f>
        <v/>
      </c>
      <c r="AG439" s="67" t="str" vm="2870">
        <f>CUBEVALUE(ConnectionString,ReportMonth,Table1[[#This Row],[Site ID (from DATIM)]],INDEX(SDI_Measures,3))</f>
        <v/>
      </c>
      <c r="AH439" s="67" vm="2618">
        <f>CUBEVALUE(ConnectionString,ReportMonth,Table1[[#This Row],[Site ID (from DATIM)]],"TX_CURR_PRIOR_MONTH")</f>
        <v>500</v>
      </c>
      <c r="AI439" s="67" vm="4310">
        <f>CUBEVALUE(ConnectionString,ReportMonth,Table1[[#This Row],[Site ID (from DATIM)]],"TX_CURR")</f>
        <v>485</v>
      </c>
      <c r="AJ439" s="67" t="str" vm="2101">
        <f>CUBEVALUE(ConnectionString,ReportMonth,Table1[[#This Row],[Site ID (from DATIM)]],"[Measures].[TI]")</f>
        <v/>
      </c>
      <c r="AK439" s="67" t="str" vm="4378">
        <f>CUBEVALUE(ConnectionString,ReportMonth,Table1[[#This Row],[Site ID (from DATIM)]],"[Measures].[TO]")</f>
        <v/>
      </c>
      <c r="AL439" s="67" t="str" vm="2412">
        <f>CUBEVALUE(ConnectionString,ReportMonth,Table1[[#This Row],[Site ID (from DATIM)]],"[Measures].[DIED]")</f>
        <v/>
      </c>
      <c r="AM439" s="67" vm="4306">
        <f>CUBEVALUE(ConnectionString,ReportMonth,Table1[[#This Row],[Site ID (from DATIM)]],"[Measures].[MMS_01_31]")</f>
        <v>124</v>
      </c>
      <c r="AN439" s="67" vm="4162">
        <f>CUBEVALUE(ConnectionString,ReportMonth,Table1[[#This Row],[Site ID (from DATIM)]],"[Measures].[MMS_32_62]")</f>
        <v>24</v>
      </c>
      <c r="AO439" s="67" vm="7878">
        <f>CUBEVALUE(ConnectionString,ReportMonth,Table1[[#This Row],[Site ID (from DATIM)]],"[Measures].[MMS_63+]")</f>
        <v>337</v>
      </c>
      <c r="AP439" s="67" vm="7061">
        <f>CUBEVALUE(ConnectionString,ReportMonth,Table1[[#This Row],[Site ID (from DATIM)]],"[Measures].[TBPREV_D]")</f>
        <v>14</v>
      </c>
      <c r="AQ439" s="67" vm="4176">
        <f>CUBEVALUE(ConnectionString,ReportMonth,Table1[[#This Row],[Site ID (from DATIM)]],"[Measures].[TBPREV_N]")</f>
        <v>10</v>
      </c>
      <c r="AR439" s="67" t="str" vm="8878">
        <f>CUBEVALUE(ConnectionString,ReportMonth,Table1[[#This Row],[Site ID (from DATIM)]],"[Measures].[TBPREV_NEW]")</f>
        <v/>
      </c>
      <c r="AS439" s="67" vm="7086">
        <f>CUBEVALUE(ConnectionString,ReportMonth,Table1[[#This Row],[Site ID (from DATIM)]],"[Measures].[HVL_ELIG_P]")</f>
        <v>11</v>
      </c>
      <c r="AT439" s="67" vm="6557">
        <f>CUBEVALUE(ConnectionString,ReportMonth,Table1[[#This Row],[Site ID (from DATIM)]],"[Measures].[HVL_D_P]")</f>
        <v>13</v>
      </c>
      <c r="AU439" s="67" vm="13854">
        <f>CUBEVALUE(ConnectionString,ReportMonth,Table1[[#This Row],[Site ID (from DATIM)]],"[Measures].[HVL_N_P]")</f>
        <v>11</v>
      </c>
      <c r="AV439" s="68" vm="6360">
        <f>CUBEVALUE(ConnectionString,ReportMonth,Table1[[#This Row],[Site ID (from DATIM)]],"[Measures].[HVL_ELIG_A]")</f>
        <v>417</v>
      </c>
      <c r="AW439" s="68" vm="9688">
        <f>CUBEVALUE(ConnectionString,ReportMonth,Table1[[#This Row],[Site ID (from DATIM)]],"[Measures].[HVL_D_A]")</f>
        <v>366</v>
      </c>
      <c r="AX439" s="68" vm="11102">
        <f>CUBEVALUE(ConnectionString,ReportMonth,Table1[[#This Row],[Site ID (from DATIM)]],"[Measures].[HVL_N_A]")</f>
        <v>352</v>
      </c>
      <c r="AY439" s="67"/>
      <c r="AZ439" s="67"/>
      <c r="BA439" s="67"/>
      <c r="BB439" s="67"/>
      <c r="BC439" s="67"/>
      <c r="BD439" s="67"/>
      <c r="BE439" s="67"/>
      <c r="BF439" s="67"/>
      <c r="BG439" s="67" vm="12360">
        <f>CUBEVALUE(ConnectionString,ReportMonth,Table1[[#This Row],[Site ID (from DATIM)]],"[Measures].[TX_NEW_F_A]")</f>
        <v>2</v>
      </c>
      <c r="BH439" s="67" t="str" vm="13522">
        <f>CUBEVALUE(ConnectionString,ReportMonth,Table1[[#This Row],[Site ID (from DATIM)]],"[Measures].[TX_NEW_M_A]")</f>
        <v/>
      </c>
      <c r="BI439" s="67" t="str" vm="15688">
        <f>CUBEVALUE(ConnectionString,ReportMonth,Table1[[#This Row],[Site ID (from DATIM)]],"[Measures].[TX_NEW_F_P]")</f>
        <v/>
      </c>
      <c r="BJ439" s="68" t="str" vm="17072">
        <f>CUBEVALUE(ConnectionString,ReportMonth,Table1[[#This Row],[Site ID (from DATIM)]],"[Measures].[TX_NEW_M_P]")</f>
        <v/>
      </c>
      <c r="BK439" s="68"/>
      <c r="BL439" s="68"/>
      <c r="BM439" s="68"/>
      <c r="BN439" s="68"/>
      <c r="BO439" s="68"/>
      <c r="BP439" s="68"/>
      <c r="BQ439" s="68" vm="9441">
        <f>CUBEVALUE(ConnectionString,ReportMonth,Table1[[#This Row],[Site ID (from DATIM)]],"[Measures].[TX_CURR_F_P]")</f>
        <v>6</v>
      </c>
      <c r="BR439" s="68" vm="11880">
        <f>CUBEVALUE(ConnectionString,ReportMonth,Table1[[#This Row],[Site ID (from DATIM)]],"[Measures].[TX_CURR_M_P]")</f>
        <v>7</v>
      </c>
      <c r="BS439" s="68" vm="11748">
        <f>CUBEVALUE(ConnectionString,ReportMonth,Table1[[#This Row],[Site ID (from DATIM)]],"[Measures].[TX_CURR_F_A]")</f>
        <v>336</v>
      </c>
      <c r="BT439" s="68" vm="13603">
        <f>CUBEVALUE(ConnectionString,ReportMonth,Table1[[#This Row],[Site ID (from DATIM)]],"[Measures].[TX_CURR_M_A]")</f>
        <v>136</v>
      </c>
      <c r="BU439" s="68" vm="19003">
        <f>CUBEVALUE(ConnectionString,ReportMonth,Table1[[#This Row],[Site ID (from DATIM)]],"[Measures].[MMS_01_89_F_P]")</f>
        <v>4</v>
      </c>
      <c r="BV439" s="68" vm="20143">
        <f>CUBEVALUE(ConnectionString,ReportMonth,Table1[[#This Row],[Site ID (from DATIM)]],"[Measures].[MMS_01_89_M_P]")</f>
        <v>4</v>
      </c>
      <c r="BW439" s="68" vm="19058">
        <f>CUBEVALUE(ConnectionString,ReportMonth,Table1[[#This Row],[Site ID (from DATIM)]],"[Measures].[MMS_01_89_F_A]")</f>
        <v>106</v>
      </c>
      <c r="BX439" s="68" vm="19312">
        <f>CUBEVALUE(ConnectionString,ReportMonth,Table1[[#This Row],[Site ID (from DATIM)]],"[Measures].[MMS_01_89_M_A]")</f>
        <v>37</v>
      </c>
      <c r="BY439" s="68" vm="18836">
        <f>CUBEVALUE(ConnectionString,ReportMonth,Table1[[#This Row],[Site ID (from DATIM)]],"[Measures].[MMS_90_179_F_P]")</f>
        <v>2</v>
      </c>
      <c r="BZ439" s="68" vm="17668">
        <f>CUBEVALUE(ConnectionString,ReportMonth,Table1[[#This Row],[Site ID (from DATIM)]],"[Measures].[MMS_90_179_M_P]")</f>
        <v>3</v>
      </c>
      <c r="CA439" s="68" vm="15222">
        <f>CUBEVALUE(ConnectionString,ReportMonth,Table1[[#This Row],[Site ID (from DATIM)]],"[Measures].[MMS_90_179_F_A]")</f>
        <v>230</v>
      </c>
      <c r="CB439" s="68" vm="15965">
        <f>CUBEVALUE(ConnectionString,ReportMonth,Table1[[#This Row],[Site ID (from DATIM)]],"[Measures].[MMS_90_179_M_A]")</f>
        <v>99</v>
      </c>
      <c r="CC439" s="68" t="str" vm="17545">
        <f>CUBEVALUE(ConnectionString,ReportMonth,Table1[[#This Row],[Site ID (from DATIM)]],"[Measures].[MMS_180+_F_P]")</f>
        <v/>
      </c>
      <c r="CD439" s="68" t="str" vm="17188">
        <f>CUBEVALUE(ConnectionString,ReportMonth,Table1[[#This Row],[Site ID (from DATIM)]],"[Measures].[MMS_180+_M_P]")</f>
        <v/>
      </c>
      <c r="CE439" s="68" t="str" vm="426">
        <f>CUBEVALUE(ConnectionString,ReportMonth,Table1[[#This Row],[Site ID (from DATIM)]],"[Measures].[MMS_180+_F_A]")</f>
        <v/>
      </c>
      <c r="CF439" s="68" t="str" vm="17091">
        <f>CUBEVALUE(ConnectionString,ReportMonth,Table1[[#This Row],[Site ID (from DATIM)]],"[Measures].[MMS_180+_M_A]")</f>
        <v/>
      </c>
      <c r="CG439" s="68" vm="5035">
        <f>CUBEVALUE(ConnectionString,ReportMonth,Table1[[#This Row],[Site ID (from DATIM)]],"[Measures].[MISSEDAPP]")</f>
        <v>191</v>
      </c>
      <c r="CH439" s="68" t="str" vm="13811">
        <f>CUBEVALUE(ConnectionString,ReportMonth,Table1[[#This Row],[Site ID (from DATIM)]],"[Measures].[MMS_180+_P]")</f>
        <v/>
      </c>
      <c r="CI439" s="68" t="str" vm="10850">
        <f>CUBEVALUE(ConnectionString,ReportMonth,Table1[[#This Row],[Site ID (from DATIM)]],"[Measures].[MMS_180+_A]")</f>
        <v/>
      </c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  <c r="CW439" s="68"/>
      <c r="CX439" s="68"/>
      <c r="CY439" s="68"/>
      <c r="CZ439" s="68"/>
      <c r="DA439" s="68"/>
      <c r="DB439" s="68"/>
      <c r="DC439" s="68"/>
    </row>
    <row r="440" spans="1:107" x14ac:dyDescent="0.25">
      <c r="A440" s="66">
        <v>4</v>
      </c>
      <c r="B440" s="67" t="str" vm="4">
        <f t="shared" si="7"/>
        <v>Mar-2021</v>
      </c>
      <c r="C440" s="67"/>
      <c r="D440" s="67" t="s">
        <v>232</v>
      </c>
      <c r="E440" s="67" t="s">
        <v>233</v>
      </c>
      <c r="F440" s="67" t="s">
        <v>1083</v>
      </c>
      <c r="G440" s="67"/>
      <c r="H440" s="67" t="s">
        <v>1113</v>
      </c>
      <c r="I440" s="67" t="s">
        <v>350</v>
      </c>
      <c r="J440" s="67" t="s">
        <v>1282</v>
      </c>
      <c r="K440" s="67" t="s">
        <v>1283</v>
      </c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 t="str" vm="969">
        <f>CUBEVALUE(ConnectionString,ReportMonth,Table1[[#This Row],[Site ID (from DATIM)]],"TX_NEW_2VIS")</f>
        <v/>
      </c>
      <c r="AE440" s="67" t="str" vm="7417">
        <f>CUBEVALUE(ConnectionString,ReportMonth,Table1[[#This Row],[Site ID (from DATIM)]],INDEX(SDI_Measures,1))</f>
        <v/>
      </c>
      <c r="AF440" s="67" t="str" vm="4900">
        <f>CUBEVALUE(ConnectionString,ReportMonth,Table1[[#This Row],[Site ID (from DATIM)]],INDEX(SDI_Measures,2))</f>
        <v/>
      </c>
      <c r="AG440" s="67" t="str" vm="2027">
        <f>CUBEVALUE(ConnectionString,ReportMonth,Table1[[#This Row],[Site ID (from DATIM)]],INDEX(SDI_Measures,3))</f>
        <v/>
      </c>
      <c r="AH440" s="67" vm="3427">
        <f>CUBEVALUE(ConnectionString,ReportMonth,Table1[[#This Row],[Site ID (from DATIM)]],"TX_CURR_PRIOR_MONTH")</f>
        <v>151</v>
      </c>
      <c r="AI440" s="67" vm="3021">
        <f>CUBEVALUE(ConnectionString,ReportMonth,Table1[[#This Row],[Site ID (from DATIM)]],"TX_CURR")</f>
        <v>149</v>
      </c>
      <c r="AJ440" s="67" t="str" vm="3012">
        <f>CUBEVALUE(ConnectionString,ReportMonth,Table1[[#This Row],[Site ID (from DATIM)]],"[Measures].[TI]")</f>
        <v/>
      </c>
      <c r="AK440" s="67" t="str" vm="806">
        <f>CUBEVALUE(ConnectionString,ReportMonth,Table1[[#This Row],[Site ID (from DATIM)]],"[Measures].[TO]")</f>
        <v/>
      </c>
      <c r="AL440" s="67" t="str" vm="3201">
        <f>CUBEVALUE(ConnectionString,ReportMonth,Table1[[#This Row],[Site ID (from DATIM)]],"[Measures].[DIED]")</f>
        <v/>
      </c>
      <c r="AM440" s="67" vm="6333">
        <f>CUBEVALUE(ConnectionString,ReportMonth,Table1[[#This Row],[Site ID (from DATIM)]],"[Measures].[MMS_01_31]")</f>
        <v>135</v>
      </c>
      <c r="AN440" s="67" t="str" vm="5718">
        <f>CUBEVALUE(ConnectionString,ReportMonth,Table1[[#This Row],[Site ID (from DATIM)]],"[Measures].[MMS_32_62]")</f>
        <v/>
      </c>
      <c r="AO440" s="67" vm="6812">
        <f>CUBEVALUE(ConnectionString,ReportMonth,Table1[[#This Row],[Site ID (from DATIM)]],"[Measures].[MMS_63+]")</f>
        <v>14</v>
      </c>
      <c r="AP440" s="67" vm="4987">
        <f>CUBEVALUE(ConnectionString,ReportMonth,Table1[[#This Row],[Site ID (from DATIM)]],"[Measures].[TBPREV_D]")</f>
        <v>8</v>
      </c>
      <c r="AQ440" s="67" vm="7154">
        <f>CUBEVALUE(ConnectionString,ReportMonth,Table1[[#This Row],[Site ID (from DATIM)]],"[Measures].[TBPREV_N]")</f>
        <v>7</v>
      </c>
      <c r="AR440" s="67" t="str" vm="4668">
        <f>CUBEVALUE(ConnectionString,ReportMonth,Table1[[#This Row],[Site ID (from DATIM)]],"[Measures].[TBPREV_NEW]")</f>
        <v/>
      </c>
      <c r="AS440" s="67" vm="5961">
        <f>CUBEVALUE(ConnectionString,ReportMonth,Table1[[#This Row],[Site ID (from DATIM)]],"[Measures].[HVL_ELIG_P]")</f>
        <v>10</v>
      </c>
      <c r="AT440" s="67" vm="9149">
        <f>CUBEVALUE(ConnectionString,ReportMonth,Table1[[#This Row],[Site ID (from DATIM)]],"[Measures].[HVL_D_P]")</f>
        <v>7</v>
      </c>
      <c r="AU440" s="67" vm="8631">
        <f>CUBEVALUE(ConnectionString,ReportMonth,Table1[[#This Row],[Site ID (from DATIM)]],"[Measures].[HVL_N_P]")</f>
        <v>5</v>
      </c>
      <c r="AV440" s="68" vm="9158">
        <f>CUBEVALUE(ConnectionString,ReportMonth,Table1[[#This Row],[Site ID (from DATIM)]],"[Measures].[HVL_ELIG_A]")</f>
        <v>122</v>
      </c>
      <c r="AW440" s="68" vm="11842">
        <f>CUBEVALUE(ConnectionString,ReportMonth,Table1[[#This Row],[Site ID (from DATIM)]],"[Measures].[HVL_D_A]")</f>
        <v>45</v>
      </c>
      <c r="AX440" s="68" vm="8512">
        <f>CUBEVALUE(ConnectionString,ReportMonth,Table1[[#This Row],[Site ID (from DATIM)]],"[Measures].[HVL_N_A]")</f>
        <v>41</v>
      </c>
      <c r="AY440" s="67"/>
      <c r="AZ440" s="67"/>
      <c r="BA440" s="67"/>
      <c r="BB440" s="67"/>
      <c r="BC440" s="67"/>
      <c r="BD440" s="67"/>
      <c r="BE440" s="67"/>
      <c r="BF440" s="67"/>
      <c r="BG440" s="67" t="str" vm="13891">
        <f>CUBEVALUE(ConnectionString,ReportMonth,Table1[[#This Row],[Site ID (from DATIM)]],"[Measures].[TX_NEW_F_A]")</f>
        <v/>
      </c>
      <c r="BH440" s="67" t="str" vm="10432">
        <f>CUBEVALUE(ConnectionString,ReportMonth,Table1[[#This Row],[Site ID (from DATIM)]],"[Measures].[TX_NEW_M_A]")</f>
        <v/>
      </c>
      <c r="BI440" s="67" t="str" vm="14809">
        <f>CUBEVALUE(ConnectionString,ReportMonth,Table1[[#This Row],[Site ID (from DATIM)]],"[Measures].[TX_NEW_F_P]")</f>
        <v/>
      </c>
      <c r="BJ440" s="68" t="str" vm="14256">
        <f>CUBEVALUE(ConnectionString,ReportMonth,Table1[[#This Row],[Site ID (from DATIM)]],"[Measures].[TX_NEW_M_P]")</f>
        <v/>
      </c>
      <c r="BK440" s="68"/>
      <c r="BL440" s="68"/>
      <c r="BM440" s="68"/>
      <c r="BN440" s="68"/>
      <c r="BO440" s="68"/>
      <c r="BP440" s="68"/>
      <c r="BQ440" s="68" vm="8440">
        <f>CUBEVALUE(ConnectionString,ReportMonth,Table1[[#This Row],[Site ID (from DATIM)]],"[Measures].[TX_CURR_F_P]")</f>
        <v>7</v>
      </c>
      <c r="BR440" s="68" vm="7739">
        <f>CUBEVALUE(ConnectionString,ReportMonth,Table1[[#This Row],[Site ID (from DATIM)]],"[Measures].[TX_CURR_M_P]")</f>
        <v>6</v>
      </c>
      <c r="BS440" s="68" vm="13021">
        <f>CUBEVALUE(ConnectionString,ReportMonth,Table1[[#This Row],[Site ID (from DATIM)]],"[Measures].[TX_CURR_F_A]")</f>
        <v>98</v>
      </c>
      <c r="BT440" s="68" vm="12432">
        <f>CUBEVALUE(ConnectionString,ReportMonth,Table1[[#This Row],[Site ID (from DATIM)]],"[Measures].[TX_CURR_M_A]")</f>
        <v>38</v>
      </c>
      <c r="BU440" s="68" vm="19532">
        <f>CUBEVALUE(ConnectionString,ReportMonth,Table1[[#This Row],[Site ID (from DATIM)]],"[Measures].[MMS_01_89_F_P]")</f>
        <v>6</v>
      </c>
      <c r="BV440" s="68" vm="19469">
        <f>CUBEVALUE(ConnectionString,ReportMonth,Table1[[#This Row],[Site ID (from DATIM)]],"[Measures].[MMS_01_89_M_P]")</f>
        <v>6</v>
      </c>
      <c r="BW440" s="68" vm="18055">
        <f>CUBEVALUE(ConnectionString,ReportMonth,Table1[[#This Row],[Site ID (from DATIM)]],"[Measures].[MMS_01_89_F_A]")</f>
        <v>90</v>
      </c>
      <c r="BX440" s="68" vm="18584">
        <f>CUBEVALUE(ConnectionString,ReportMonth,Table1[[#This Row],[Site ID (from DATIM)]],"[Measures].[MMS_01_89_M_A]")</f>
        <v>33</v>
      </c>
      <c r="BY440" s="68" vm="18804">
        <f>CUBEVALUE(ConnectionString,ReportMonth,Table1[[#This Row],[Site ID (from DATIM)]],"[Measures].[MMS_90_179_F_P]")</f>
        <v>1</v>
      </c>
      <c r="BZ440" s="68" t="str" vm="15207">
        <f>CUBEVALUE(ConnectionString,ReportMonth,Table1[[#This Row],[Site ID (from DATIM)]],"[Measures].[MMS_90_179_M_P]")</f>
        <v/>
      </c>
      <c r="CA440" s="68" vm="16073">
        <f>CUBEVALUE(ConnectionString,ReportMonth,Table1[[#This Row],[Site ID (from DATIM)]],"[Measures].[MMS_90_179_F_A]")</f>
        <v>8</v>
      </c>
      <c r="CB440" s="68" vm="15945">
        <f>CUBEVALUE(ConnectionString,ReportMonth,Table1[[#This Row],[Site ID (from DATIM)]],"[Measures].[MMS_90_179_M_A]")</f>
        <v>5</v>
      </c>
      <c r="CC440" s="68" t="str" vm="15406">
        <f>CUBEVALUE(ConnectionString,ReportMonth,Table1[[#This Row],[Site ID (from DATIM)]],"[Measures].[MMS_180+_F_P]")</f>
        <v/>
      </c>
      <c r="CD440" s="68" t="str" vm="16770">
        <f>CUBEVALUE(ConnectionString,ReportMonth,Table1[[#This Row],[Site ID (from DATIM)]],"[Measures].[MMS_180+_M_P]")</f>
        <v/>
      </c>
      <c r="CE440" s="68" t="str" vm="17468">
        <f>CUBEVALUE(ConnectionString,ReportMonth,Table1[[#This Row],[Site ID (from DATIM)]],"[Measures].[MMS_180+_F_A]")</f>
        <v/>
      </c>
      <c r="CF440" s="68" t="str" vm="200">
        <f>CUBEVALUE(ConnectionString,ReportMonth,Table1[[#This Row],[Site ID (from DATIM)]],"[Measures].[MMS_180+_M_A]")</f>
        <v/>
      </c>
      <c r="CG440" s="68" vm="5707">
        <f>CUBEVALUE(ConnectionString,ReportMonth,Table1[[#This Row],[Site ID (from DATIM)]],"[Measures].[MISSEDAPP]")</f>
        <v>115</v>
      </c>
      <c r="CH440" s="68" t="str" vm="12784">
        <f>CUBEVALUE(ConnectionString,ReportMonth,Table1[[#This Row],[Site ID (from DATIM)]],"[Measures].[MMS_180+_P]")</f>
        <v/>
      </c>
      <c r="CI440" s="68" t="str" vm="13288">
        <f>CUBEVALUE(ConnectionString,ReportMonth,Table1[[#This Row],[Site ID (from DATIM)]],"[Measures].[MMS_180+_A]")</f>
        <v/>
      </c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  <c r="CW440" s="68"/>
      <c r="CX440" s="68"/>
      <c r="CY440" s="68"/>
      <c r="CZ440" s="68"/>
      <c r="DA440" s="68"/>
      <c r="DB440" s="68"/>
      <c r="DC440" s="68"/>
    </row>
    <row r="441" spans="1:107" x14ac:dyDescent="0.25">
      <c r="A441" s="66">
        <v>4</v>
      </c>
      <c r="B441" s="67" t="str" vm="4">
        <f t="shared" si="7"/>
        <v>Mar-2021</v>
      </c>
      <c r="C441" s="67"/>
      <c r="D441" s="67" t="s">
        <v>232</v>
      </c>
      <c r="E441" s="67" t="s">
        <v>233</v>
      </c>
      <c r="F441" s="67" t="s">
        <v>437</v>
      </c>
      <c r="G441" s="67"/>
      <c r="H441" s="67" t="s">
        <v>461</v>
      </c>
      <c r="I441" s="67" t="s">
        <v>793</v>
      </c>
      <c r="J441" s="67" t="s">
        <v>808</v>
      </c>
      <c r="K441" s="67" t="s">
        <v>809</v>
      </c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 t="str" vm="1817">
        <f>CUBEVALUE(ConnectionString,ReportMonth,Table1[[#This Row],[Site ID (from DATIM)]],"TX_NEW_2VIS")</f>
        <v/>
      </c>
      <c r="AE441" s="67" t="str" vm="2814">
        <f>CUBEVALUE(ConnectionString,ReportMonth,Table1[[#This Row],[Site ID (from DATIM)]],INDEX(SDI_Measures,1))</f>
        <v/>
      </c>
      <c r="AF441" s="67" t="str" vm="6060">
        <f>CUBEVALUE(ConnectionString,ReportMonth,Table1[[#This Row],[Site ID (from DATIM)]],INDEX(SDI_Measures,2))</f>
        <v/>
      </c>
      <c r="AG441" s="67" t="str" vm="2396">
        <f>CUBEVALUE(ConnectionString,ReportMonth,Table1[[#This Row],[Site ID (from DATIM)]],INDEX(SDI_Measures,3))</f>
        <v/>
      </c>
      <c r="AH441" s="67" vm="3709">
        <f>CUBEVALUE(ConnectionString,ReportMonth,Table1[[#This Row],[Site ID (from DATIM)]],"TX_CURR_PRIOR_MONTH")</f>
        <v>82</v>
      </c>
      <c r="AI441" s="67" vm="749">
        <f>CUBEVALUE(ConnectionString,ReportMonth,Table1[[#This Row],[Site ID (from DATIM)]],"TX_CURR")</f>
        <v>80</v>
      </c>
      <c r="AJ441" s="67" vm="3139">
        <f>CUBEVALUE(ConnectionString,ReportMonth,Table1[[#This Row],[Site ID (from DATIM)]],"[Measures].[TI]")</f>
        <v>1</v>
      </c>
      <c r="AK441" s="67" t="str" vm="2451">
        <f>CUBEVALUE(ConnectionString,ReportMonth,Table1[[#This Row],[Site ID (from DATIM)]],"[Measures].[TO]")</f>
        <v/>
      </c>
      <c r="AL441" s="67" t="str" vm="2871">
        <f>CUBEVALUE(ConnectionString,ReportMonth,Table1[[#This Row],[Site ID (from DATIM)]],"[Measures].[DIED]")</f>
        <v/>
      </c>
      <c r="AM441" s="67" vm="5969">
        <f>CUBEVALUE(ConnectionString,ReportMonth,Table1[[#This Row],[Site ID (from DATIM)]],"[Measures].[MMS_01_31]")</f>
        <v>13</v>
      </c>
      <c r="AN441" s="67" vm="6014">
        <f>CUBEVALUE(ConnectionString,ReportMonth,Table1[[#This Row],[Site ID (from DATIM)]],"[Measures].[MMS_32_62]")</f>
        <v>3</v>
      </c>
      <c r="AO441" s="67" vm="6574">
        <f>CUBEVALUE(ConnectionString,ReportMonth,Table1[[#This Row],[Site ID (from DATIM)]],"[Measures].[MMS_63+]")</f>
        <v>64</v>
      </c>
      <c r="AP441" s="67" t="str" vm="8412">
        <f>CUBEVALUE(ConnectionString,ReportMonth,Table1[[#This Row],[Site ID (from DATIM)]],"[Measures].[TBPREV_D]")</f>
        <v/>
      </c>
      <c r="AQ441" s="67" t="str" vm="5996">
        <f>CUBEVALUE(ConnectionString,ReportMonth,Table1[[#This Row],[Site ID (from DATIM)]],"[Measures].[TBPREV_N]")</f>
        <v/>
      </c>
      <c r="AR441" s="67" vm="4722">
        <f>CUBEVALUE(ConnectionString,ReportMonth,Table1[[#This Row],[Site ID (from DATIM)]],"[Measures].[TBPREV_NEW]")</f>
        <v>1</v>
      </c>
      <c r="AS441" s="67" vm="11083">
        <f>CUBEVALUE(ConnectionString,ReportMonth,Table1[[#This Row],[Site ID (from DATIM)]],"[Measures].[HVL_ELIG_P]")</f>
        <v>2</v>
      </c>
      <c r="AT441" s="67" vm="7456">
        <f>CUBEVALUE(ConnectionString,ReportMonth,Table1[[#This Row],[Site ID (from DATIM)]],"[Measures].[HVL_D_P]")</f>
        <v>1</v>
      </c>
      <c r="AU441" s="67" vm="12259">
        <f>CUBEVALUE(ConnectionString,ReportMonth,Table1[[#This Row],[Site ID (from DATIM)]],"[Measures].[HVL_N_P]")</f>
        <v>1</v>
      </c>
      <c r="AV441" s="68" vm="12099">
        <f>CUBEVALUE(ConnectionString,ReportMonth,Table1[[#This Row],[Site ID (from DATIM)]],"[Measures].[HVL_ELIG_A]")</f>
        <v>72</v>
      </c>
      <c r="AW441" s="68" vm="12375">
        <f>CUBEVALUE(ConnectionString,ReportMonth,Table1[[#This Row],[Site ID (from DATIM)]],"[Measures].[HVL_D_A]")</f>
        <v>66</v>
      </c>
      <c r="AX441" s="68" vm="11626">
        <f>CUBEVALUE(ConnectionString,ReportMonth,Table1[[#This Row],[Site ID (from DATIM)]],"[Measures].[HVL_N_A]")</f>
        <v>64</v>
      </c>
      <c r="AY441" s="67"/>
      <c r="AZ441" s="67"/>
      <c r="BA441" s="67"/>
      <c r="BB441" s="67"/>
      <c r="BC441" s="67"/>
      <c r="BD441" s="67"/>
      <c r="BE441" s="67"/>
      <c r="BF441" s="67"/>
      <c r="BG441" s="67" t="str" vm="11667">
        <f>CUBEVALUE(ConnectionString,ReportMonth,Table1[[#This Row],[Site ID (from DATIM)]],"[Measures].[TX_NEW_F_A]")</f>
        <v/>
      </c>
      <c r="BH441" s="67" t="str" vm="11188">
        <f>CUBEVALUE(ConnectionString,ReportMonth,Table1[[#This Row],[Site ID (from DATIM)]],"[Measures].[TX_NEW_M_A]")</f>
        <v/>
      </c>
      <c r="BI441" s="67" t="str" vm="13143">
        <f>CUBEVALUE(ConnectionString,ReportMonth,Table1[[#This Row],[Site ID (from DATIM)]],"[Measures].[TX_NEW_F_P]")</f>
        <v/>
      </c>
      <c r="BJ441" s="68" t="str" vm="16549">
        <f>CUBEVALUE(ConnectionString,ReportMonth,Table1[[#This Row],[Site ID (from DATIM)]],"[Measures].[TX_NEW_M_P]")</f>
        <v/>
      </c>
      <c r="BK441" s="68"/>
      <c r="BL441" s="68"/>
      <c r="BM441" s="68"/>
      <c r="BN441" s="68"/>
      <c r="BO441" s="68"/>
      <c r="BP441" s="68"/>
      <c r="BQ441" s="68" t="str" vm="8196">
        <f>CUBEVALUE(ConnectionString,ReportMonth,Table1[[#This Row],[Site ID (from DATIM)]],"[Measures].[TX_CURR_F_P]")</f>
        <v/>
      </c>
      <c r="BR441" s="68" vm="11110">
        <f>CUBEVALUE(ConnectionString,ReportMonth,Table1[[#This Row],[Site ID (from DATIM)]],"[Measures].[TX_CURR_M_P]")</f>
        <v>2</v>
      </c>
      <c r="BS441" s="68" vm="9796">
        <f>CUBEVALUE(ConnectionString,ReportMonth,Table1[[#This Row],[Site ID (from DATIM)]],"[Measures].[TX_CURR_F_A]")</f>
        <v>57</v>
      </c>
      <c r="BT441" s="68" vm="10641">
        <f>CUBEVALUE(ConnectionString,ReportMonth,Table1[[#This Row],[Site ID (from DATIM)]],"[Measures].[TX_CURR_M_A]")</f>
        <v>21</v>
      </c>
      <c r="BU441" s="68" t="str" vm="20007">
        <f>CUBEVALUE(ConnectionString,ReportMonth,Table1[[#This Row],[Site ID (from DATIM)]],"[Measures].[MMS_01_89_F_P]")</f>
        <v/>
      </c>
      <c r="BV441" s="68" vm="18438">
        <f>CUBEVALUE(ConnectionString,ReportMonth,Table1[[#This Row],[Site ID (from DATIM)]],"[Measures].[MMS_01_89_M_P]")</f>
        <v>1</v>
      </c>
      <c r="BW441" s="68" vm="18536">
        <f>CUBEVALUE(ConnectionString,ReportMonth,Table1[[#This Row],[Site ID (from DATIM)]],"[Measures].[MMS_01_89_F_A]")</f>
        <v>11</v>
      </c>
      <c r="BX441" s="68" vm="14782">
        <f>CUBEVALUE(ConnectionString,ReportMonth,Table1[[#This Row],[Site ID (from DATIM)]],"[Measures].[MMS_01_89_M_A]")</f>
        <v>4</v>
      </c>
      <c r="BY441" s="68" t="str" vm="19311">
        <f>CUBEVALUE(ConnectionString,ReportMonth,Table1[[#This Row],[Site ID (from DATIM)]],"[Measures].[MMS_90_179_F_P]")</f>
        <v/>
      </c>
      <c r="BZ441" s="68" vm="19558">
        <f>CUBEVALUE(ConnectionString,ReportMonth,Table1[[#This Row],[Site ID (from DATIM)]],"[Measures].[MMS_90_179_M_P]")</f>
        <v>1</v>
      </c>
      <c r="CA441" s="68" vm="17886">
        <f>CUBEVALUE(ConnectionString,ReportMonth,Table1[[#This Row],[Site ID (from DATIM)]],"[Measures].[MMS_90_179_F_A]")</f>
        <v>46</v>
      </c>
      <c r="CB441" s="68" vm="15963">
        <f>CUBEVALUE(ConnectionString,ReportMonth,Table1[[#This Row],[Site ID (from DATIM)]],"[Measures].[MMS_90_179_M_A]")</f>
        <v>17</v>
      </c>
      <c r="CC441" s="68" t="str" vm="17653">
        <f>CUBEVALUE(ConnectionString,ReportMonth,Table1[[#This Row],[Site ID (from DATIM)]],"[Measures].[MMS_180+_F_P]")</f>
        <v/>
      </c>
      <c r="CD441" s="68" t="str" vm="17243">
        <f>CUBEVALUE(ConnectionString,ReportMonth,Table1[[#This Row],[Site ID (from DATIM)]],"[Measures].[MMS_180+_M_P]")</f>
        <v/>
      </c>
      <c r="CE441" s="68" t="str" vm="249">
        <f>CUBEVALUE(ConnectionString,ReportMonth,Table1[[#This Row],[Site ID (from DATIM)]],"[Measures].[MMS_180+_F_A]")</f>
        <v/>
      </c>
      <c r="CF441" s="68" t="str" vm="15341">
        <f>CUBEVALUE(ConnectionString,ReportMonth,Table1[[#This Row],[Site ID (from DATIM)]],"[Measures].[MMS_180+_M_A]")</f>
        <v/>
      </c>
      <c r="CG441" s="68" vm="9105">
        <f>CUBEVALUE(ConnectionString,ReportMonth,Table1[[#This Row],[Site ID (from DATIM)]],"[Measures].[MISSEDAPP]")</f>
        <v>29</v>
      </c>
      <c r="CH441" s="68" t="str" vm="12357">
        <f>CUBEVALUE(ConnectionString,ReportMonth,Table1[[#This Row],[Site ID (from DATIM)]],"[Measures].[MMS_180+_P]")</f>
        <v/>
      </c>
      <c r="CI441" s="68" t="str" vm="11222">
        <f>CUBEVALUE(ConnectionString,ReportMonth,Table1[[#This Row],[Site ID (from DATIM)]],"[Measures].[MMS_180+_A]")</f>
        <v/>
      </c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  <c r="CW441" s="68"/>
      <c r="CX441" s="68"/>
      <c r="CY441" s="68"/>
      <c r="CZ441" s="68"/>
      <c r="DA441" s="68"/>
      <c r="DB441" s="68"/>
      <c r="DC441" s="68"/>
    </row>
    <row r="442" spans="1:107" x14ac:dyDescent="0.25">
      <c r="A442" s="66">
        <v>4</v>
      </c>
      <c r="B442" s="67" t="str" vm="4">
        <f t="shared" si="7"/>
        <v>Mar-2021</v>
      </c>
      <c r="C442" s="67"/>
      <c r="D442" s="67" t="s">
        <v>232</v>
      </c>
      <c r="E442" s="67" t="s">
        <v>233</v>
      </c>
      <c r="F442" s="67" t="s">
        <v>234</v>
      </c>
      <c r="G442" s="67"/>
      <c r="H442" s="67" t="s">
        <v>239</v>
      </c>
      <c r="I442" s="67" t="s">
        <v>281</v>
      </c>
      <c r="J442" s="67" t="s">
        <v>428</v>
      </c>
      <c r="K442" s="67" t="s">
        <v>429</v>
      </c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 vm="4322">
        <f>CUBEVALUE(ConnectionString,ReportMonth,Table1[[#This Row],[Site ID (from DATIM)]],"TX_NEW_2VIS")</f>
        <v>2</v>
      </c>
      <c r="AE442" s="67" vm="2865">
        <f>CUBEVALUE(ConnectionString,ReportMonth,Table1[[#This Row],[Site ID (from DATIM)]],INDEX(SDI_Measures,1))</f>
        <v>3</v>
      </c>
      <c r="AF442" s="67" t="str" vm="4254">
        <f>CUBEVALUE(ConnectionString,ReportMonth,Table1[[#This Row],[Site ID (from DATIM)]],INDEX(SDI_Measures,2))</f>
        <v/>
      </c>
      <c r="AG442" s="67" t="str" vm="2776">
        <f>CUBEVALUE(ConnectionString,ReportMonth,Table1[[#This Row],[Site ID (from DATIM)]],INDEX(SDI_Measures,3))</f>
        <v/>
      </c>
      <c r="AH442" s="67" vm="1228">
        <f>CUBEVALUE(ConnectionString,ReportMonth,Table1[[#This Row],[Site ID (from DATIM)]],"TX_CURR_PRIOR_MONTH")</f>
        <v>284</v>
      </c>
      <c r="AI442" s="67" vm="3773">
        <f>CUBEVALUE(ConnectionString,ReportMonth,Table1[[#This Row],[Site ID (from DATIM)]],"TX_CURR")</f>
        <v>262</v>
      </c>
      <c r="AJ442" s="67" t="str" vm="2707">
        <f>CUBEVALUE(ConnectionString,ReportMonth,Table1[[#This Row],[Site ID (from DATIM)]],"[Measures].[TI]")</f>
        <v/>
      </c>
      <c r="AK442" s="67" vm="4547">
        <f>CUBEVALUE(ConnectionString,ReportMonth,Table1[[#This Row],[Site ID (from DATIM)]],"[Measures].[TO]")</f>
        <v>3</v>
      </c>
      <c r="AL442" s="67" vm="4049">
        <f>CUBEVALUE(ConnectionString,ReportMonth,Table1[[#This Row],[Site ID (from DATIM)]],"[Measures].[DIED]")</f>
        <v>1</v>
      </c>
      <c r="AM442" s="67" vm="5829">
        <f>CUBEVALUE(ConnectionString,ReportMonth,Table1[[#This Row],[Site ID (from DATIM)]],"[Measures].[MMS_01_31]")</f>
        <v>92</v>
      </c>
      <c r="AN442" s="67" vm="5169">
        <f>CUBEVALUE(ConnectionString,ReportMonth,Table1[[#This Row],[Site ID (from DATIM)]],"[Measures].[MMS_32_62]")</f>
        <v>8</v>
      </c>
      <c r="AO442" s="67" vm="5141">
        <f>CUBEVALUE(ConnectionString,ReportMonth,Table1[[#This Row],[Site ID (from DATIM)]],"[Measures].[MMS_63+]")</f>
        <v>162</v>
      </c>
      <c r="AP442" s="67" vm="6961">
        <f>CUBEVALUE(ConnectionString,ReportMonth,Table1[[#This Row],[Site ID (from DATIM)]],"[Measures].[TBPREV_D]")</f>
        <v>8</v>
      </c>
      <c r="AQ442" s="67" vm="6135">
        <f>CUBEVALUE(ConnectionString,ReportMonth,Table1[[#This Row],[Site ID (from DATIM)]],"[Measures].[TBPREV_N]")</f>
        <v>6</v>
      </c>
      <c r="AR442" s="67" vm="6083">
        <f>CUBEVALUE(ConnectionString,ReportMonth,Table1[[#This Row],[Site ID (from DATIM)]],"[Measures].[TBPREV_NEW]")</f>
        <v>2</v>
      </c>
      <c r="AS442" s="67" vm="5604">
        <f>CUBEVALUE(ConnectionString,ReportMonth,Table1[[#This Row],[Site ID (from DATIM)]],"[Measures].[HVL_ELIG_P]")</f>
        <v>9</v>
      </c>
      <c r="AT442" s="67" vm="8864">
        <f>CUBEVALUE(ConnectionString,ReportMonth,Table1[[#This Row],[Site ID (from DATIM)]],"[Measures].[HVL_D_P]")</f>
        <v>11</v>
      </c>
      <c r="AU442" s="67" vm="9678">
        <f>CUBEVALUE(ConnectionString,ReportMonth,Table1[[#This Row],[Site ID (from DATIM)]],"[Measures].[HVL_N_P]")</f>
        <v>8</v>
      </c>
      <c r="AV442" s="68" vm="7511">
        <f>CUBEVALUE(ConnectionString,ReportMonth,Table1[[#This Row],[Site ID (from DATIM)]],"[Measures].[HVL_ELIG_A]")</f>
        <v>199</v>
      </c>
      <c r="AW442" s="68" vm="8223">
        <f>CUBEVALUE(ConnectionString,ReportMonth,Table1[[#This Row],[Site ID (from DATIM)]],"[Measures].[HVL_D_A]")</f>
        <v>155</v>
      </c>
      <c r="AX442" s="68" vm="11138">
        <f>CUBEVALUE(ConnectionString,ReportMonth,Table1[[#This Row],[Site ID (from DATIM)]],"[Measures].[HVL_N_A]")</f>
        <v>149</v>
      </c>
      <c r="AY442" s="67"/>
      <c r="AZ442" s="67"/>
      <c r="BA442" s="67"/>
      <c r="BB442" s="67"/>
      <c r="BC442" s="67"/>
      <c r="BD442" s="67"/>
      <c r="BE442" s="67"/>
      <c r="BF442" s="67"/>
      <c r="BG442" s="67" vm="13297">
        <f>CUBEVALUE(ConnectionString,ReportMonth,Table1[[#This Row],[Site ID (from DATIM)]],"[Measures].[TX_NEW_F_A]")</f>
        <v>2</v>
      </c>
      <c r="BH442" s="67" vm="11675">
        <f>CUBEVALUE(ConnectionString,ReportMonth,Table1[[#This Row],[Site ID (from DATIM)]],"[Measures].[TX_NEW_M_A]")</f>
        <v>1</v>
      </c>
      <c r="BI442" s="67" t="str" vm="12402">
        <f>CUBEVALUE(ConnectionString,ReportMonth,Table1[[#This Row],[Site ID (from DATIM)]],"[Measures].[TX_NEW_F_P]")</f>
        <v/>
      </c>
      <c r="BJ442" s="68" t="str" vm="12859">
        <f>CUBEVALUE(ConnectionString,ReportMonth,Table1[[#This Row],[Site ID (from DATIM)]],"[Measures].[TX_NEW_M_P]")</f>
        <v/>
      </c>
      <c r="BK442" s="68"/>
      <c r="BL442" s="68"/>
      <c r="BM442" s="68"/>
      <c r="BN442" s="68"/>
      <c r="BO442" s="68"/>
      <c r="BP442" s="68"/>
      <c r="BQ442" s="68" vm="12741">
        <f>CUBEVALUE(ConnectionString,ReportMonth,Table1[[#This Row],[Site ID (from DATIM)]],"[Measures].[TX_CURR_F_P]")</f>
        <v>5</v>
      </c>
      <c r="BR442" s="68" vm="12092">
        <f>CUBEVALUE(ConnectionString,ReportMonth,Table1[[#This Row],[Site ID (from DATIM)]],"[Measures].[TX_CURR_M_P]")</f>
        <v>5</v>
      </c>
      <c r="BS442" s="68" vm="12528">
        <f>CUBEVALUE(ConnectionString,ReportMonth,Table1[[#This Row],[Site ID (from DATIM)]],"[Measures].[TX_CURR_F_A]")</f>
        <v>190</v>
      </c>
      <c r="BT442" s="68" vm="8653">
        <f>CUBEVALUE(ConnectionString,ReportMonth,Table1[[#This Row],[Site ID (from DATIM)]],"[Measures].[TX_CURR_M_A]")</f>
        <v>62</v>
      </c>
      <c r="BU442" s="68" vm="20105">
        <f>CUBEVALUE(ConnectionString,ReportMonth,Table1[[#This Row],[Site ID (from DATIM)]],"[Measures].[MMS_01_89_F_P]")</f>
        <v>4</v>
      </c>
      <c r="BV442" s="68" vm="19790">
        <f>CUBEVALUE(ConnectionString,ReportMonth,Table1[[#This Row],[Site ID (from DATIM)]],"[Measures].[MMS_01_89_M_P]")</f>
        <v>1</v>
      </c>
      <c r="BW442" s="68" vm="18641">
        <f>CUBEVALUE(ConnectionString,ReportMonth,Table1[[#This Row],[Site ID (from DATIM)]],"[Measures].[MMS_01_89_F_A]")</f>
        <v>75</v>
      </c>
      <c r="BX442" s="68" vm="16981">
        <f>CUBEVALUE(ConnectionString,ReportMonth,Table1[[#This Row],[Site ID (from DATIM)]],"[Measures].[MMS_01_89_M_A]")</f>
        <v>20</v>
      </c>
      <c r="BY442" s="68" vm="15199">
        <f>CUBEVALUE(ConnectionString,ReportMonth,Table1[[#This Row],[Site ID (from DATIM)]],"[Measures].[MMS_90_179_F_P]")</f>
        <v>1</v>
      </c>
      <c r="BZ442" s="68" vm="19297">
        <f>CUBEVALUE(ConnectionString,ReportMonth,Table1[[#This Row],[Site ID (from DATIM)]],"[Measures].[MMS_90_179_M_P]")</f>
        <v>4</v>
      </c>
      <c r="CA442" s="68" vm="17673">
        <f>CUBEVALUE(ConnectionString,ReportMonth,Table1[[#This Row],[Site ID (from DATIM)]],"[Measures].[MMS_90_179_F_A]")</f>
        <v>115</v>
      </c>
      <c r="CB442" s="68" vm="15128">
        <f>CUBEVALUE(ConnectionString,ReportMonth,Table1[[#This Row],[Site ID (from DATIM)]],"[Measures].[MMS_90_179_M_A]")</f>
        <v>42</v>
      </c>
      <c r="CC442" s="68" t="str" vm="15918">
        <f>CUBEVALUE(ConnectionString,ReportMonth,Table1[[#This Row],[Site ID (from DATIM)]],"[Measures].[MMS_180+_F_P]")</f>
        <v/>
      </c>
      <c r="CD442" s="68" t="str" vm="16713">
        <f>CUBEVALUE(ConnectionString,ReportMonth,Table1[[#This Row],[Site ID (from DATIM)]],"[Measures].[MMS_180+_M_P]")</f>
        <v/>
      </c>
      <c r="CE442" s="68" t="str" vm="14522">
        <f>CUBEVALUE(ConnectionString,ReportMonth,Table1[[#This Row],[Site ID (from DATIM)]],"[Measures].[MMS_180+_F_A]")</f>
        <v/>
      </c>
      <c r="CF442" s="68" t="str" vm="14444">
        <f>CUBEVALUE(ConnectionString,ReportMonth,Table1[[#This Row],[Site ID (from DATIM)]],"[Measures].[MMS_180+_M_A]")</f>
        <v/>
      </c>
      <c r="CG442" s="68" vm="5491">
        <f>CUBEVALUE(ConnectionString,ReportMonth,Table1[[#This Row],[Site ID (from DATIM)]],"[Measures].[MISSEDAPP]")</f>
        <v>125</v>
      </c>
      <c r="CH442" s="68" t="str" vm="13512">
        <f>CUBEVALUE(ConnectionString,ReportMonth,Table1[[#This Row],[Site ID (from DATIM)]],"[Measures].[MMS_180+_P]")</f>
        <v/>
      </c>
      <c r="CI442" s="68" t="str" vm="11659">
        <f>CUBEVALUE(ConnectionString,ReportMonth,Table1[[#This Row],[Site ID (from DATIM)]],"[Measures].[MMS_180+_A]")</f>
        <v/>
      </c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  <c r="CW442" s="68"/>
      <c r="CX442" s="68"/>
      <c r="CY442" s="68"/>
      <c r="CZ442" s="68"/>
      <c r="DA442" s="68"/>
      <c r="DB442" s="68"/>
      <c r="DC442" s="68"/>
    </row>
    <row r="443" spans="1:107" x14ac:dyDescent="0.25">
      <c r="A443" s="66">
        <v>2</v>
      </c>
      <c r="B443" s="67" t="str" vm="4">
        <f t="shared" si="7"/>
        <v>Mar-2021</v>
      </c>
      <c r="C443" s="67"/>
      <c r="D443" s="67" t="s">
        <v>232</v>
      </c>
      <c r="E443" s="67" t="s">
        <v>233</v>
      </c>
      <c r="F443" s="67" t="s">
        <v>831</v>
      </c>
      <c r="G443" s="67"/>
      <c r="H443" s="67" t="s">
        <v>847</v>
      </c>
      <c r="I443" s="67" t="s">
        <v>1066</v>
      </c>
      <c r="J443" s="67" t="s">
        <v>1067</v>
      </c>
      <c r="K443" s="67" t="s">
        <v>1068</v>
      </c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 vm="3383">
        <f>CUBEVALUE(ConnectionString,ReportMonth,Table1[[#This Row],[Site ID (from DATIM)]],"TX_NEW_2VIS")</f>
        <v>3</v>
      </c>
      <c r="AE443" s="67" vm="11041">
        <f>CUBEVALUE(ConnectionString,ReportMonth,Table1[[#This Row],[Site ID (from DATIM)]],INDEX(SDI_Measures,1))</f>
        <v>2</v>
      </c>
      <c r="AF443" s="67" t="str" vm="245">
        <f>CUBEVALUE(ConnectionString,ReportMonth,Table1[[#This Row],[Site ID (from DATIM)]],INDEX(SDI_Measures,2))</f>
        <v/>
      </c>
      <c r="AG443" s="67" t="str" vm="2986">
        <f>CUBEVALUE(ConnectionString,ReportMonth,Table1[[#This Row],[Site ID (from DATIM)]],INDEX(SDI_Measures,3))</f>
        <v/>
      </c>
      <c r="AH443" s="67" vm="1779">
        <f>CUBEVALUE(ConnectionString,ReportMonth,Table1[[#This Row],[Site ID (from DATIM)]],"TX_CURR_PRIOR_MONTH")</f>
        <v>662</v>
      </c>
      <c r="AI443" s="67" vm="1170">
        <f>CUBEVALUE(ConnectionString,ReportMonth,Table1[[#This Row],[Site ID (from DATIM)]],"TX_CURR")</f>
        <v>648</v>
      </c>
      <c r="AJ443" s="67" t="str" vm="1132">
        <f>CUBEVALUE(ConnectionString,ReportMonth,Table1[[#This Row],[Site ID (from DATIM)]],"[Measures].[TI]")</f>
        <v/>
      </c>
      <c r="AK443" s="67" vm="574">
        <f>CUBEVALUE(ConnectionString,ReportMonth,Table1[[#This Row],[Site ID (from DATIM)]],"[Measures].[TO]")</f>
        <v>2</v>
      </c>
      <c r="AL443" s="67" t="str" vm="1737">
        <f>CUBEVALUE(ConnectionString,ReportMonth,Table1[[#This Row],[Site ID (from DATIM)]],"[Measures].[DIED]")</f>
        <v/>
      </c>
      <c r="AM443" s="67" vm="4575">
        <f>CUBEVALUE(ConnectionString,ReportMonth,Table1[[#This Row],[Site ID (from DATIM)]],"[Measures].[MMS_01_31]")</f>
        <v>68</v>
      </c>
      <c r="AN443" s="67" vm="5151">
        <f>CUBEVALUE(ConnectionString,ReportMonth,Table1[[#This Row],[Site ID (from DATIM)]],"[Measures].[MMS_32_62]")</f>
        <v>7</v>
      </c>
      <c r="AO443" s="67" vm="7668">
        <f>CUBEVALUE(ConnectionString,ReportMonth,Table1[[#This Row],[Site ID (from DATIM)]],"[Measures].[MMS_63+]")</f>
        <v>573</v>
      </c>
      <c r="AP443" s="67" vm="7411">
        <f>CUBEVALUE(ConnectionString,ReportMonth,Table1[[#This Row],[Site ID (from DATIM)]],"[Measures].[TBPREV_D]")</f>
        <v>17</v>
      </c>
      <c r="AQ443" s="67" vm="5580">
        <f>CUBEVALUE(ConnectionString,ReportMonth,Table1[[#This Row],[Site ID (from DATIM)]],"[Measures].[TBPREV_N]")</f>
        <v>17</v>
      </c>
      <c r="AR443" s="67" vm="6009">
        <f>CUBEVALUE(ConnectionString,ReportMonth,Table1[[#This Row],[Site ID (from DATIM)]],"[Measures].[TBPREV_NEW]")</f>
        <v>5</v>
      </c>
      <c r="AS443" s="67" vm="6786">
        <f>CUBEVALUE(ConnectionString,ReportMonth,Table1[[#This Row],[Site ID (from DATIM)]],"[Measures].[HVL_ELIG_P]")</f>
        <v>39</v>
      </c>
      <c r="AT443" s="67" vm="8823">
        <f>CUBEVALUE(ConnectionString,ReportMonth,Table1[[#This Row],[Site ID (from DATIM)]],"[Measures].[HVL_D_P]")</f>
        <v>37</v>
      </c>
      <c r="AU443" s="67" vm="8706">
        <f>CUBEVALUE(ConnectionString,ReportMonth,Table1[[#This Row],[Site ID (from DATIM)]],"[Measures].[HVL_N_P]")</f>
        <v>36</v>
      </c>
      <c r="AV443" s="68" vm="8741">
        <f>CUBEVALUE(ConnectionString,ReportMonth,Table1[[#This Row],[Site ID (from DATIM)]],"[Measures].[HVL_ELIG_A]")</f>
        <v>582</v>
      </c>
      <c r="AW443" s="68" vm="11356">
        <f>CUBEVALUE(ConnectionString,ReportMonth,Table1[[#This Row],[Site ID (from DATIM)]],"[Measures].[HVL_D_A]")</f>
        <v>497</v>
      </c>
      <c r="AX443" s="68" vm="8627">
        <f>CUBEVALUE(ConnectionString,ReportMonth,Table1[[#This Row],[Site ID (from DATIM)]],"[Measures].[HVL_N_A]")</f>
        <v>479</v>
      </c>
      <c r="AY443" s="67"/>
      <c r="AZ443" s="67"/>
      <c r="BA443" s="67"/>
      <c r="BB443" s="67"/>
      <c r="BC443" s="67"/>
      <c r="BD443" s="67"/>
      <c r="BE443" s="67"/>
      <c r="BF443" s="67"/>
      <c r="BG443" s="67" vm="11002">
        <f>CUBEVALUE(ConnectionString,ReportMonth,Table1[[#This Row],[Site ID (from DATIM)]],"[Measures].[TX_NEW_F_A]")</f>
        <v>2</v>
      </c>
      <c r="BH443" s="67" t="str" vm="14192">
        <f>CUBEVALUE(ConnectionString,ReportMonth,Table1[[#This Row],[Site ID (from DATIM)]],"[Measures].[TX_NEW_M_A]")</f>
        <v/>
      </c>
      <c r="BI443" s="67" t="str" vm="17453">
        <f>CUBEVALUE(ConnectionString,ReportMonth,Table1[[#This Row],[Site ID (from DATIM)]],"[Measures].[TX_NEW_F_P]")</f>
        <v/>
      </c>
      <c r="BJ443" s="68" t="str" vm="13479">
        <f>CUBEVALUE(ConnectionString,ReportMonth,Table1[[#This Row],[Site ID (from DATIM)]],"[Measures].[TX_NEW_M_P]")</f>
        <v/>
      </c>
      <c r="BK443" s="68"/>
      <c r="BL443" s="68"/>
      <c r="BM443" s="68"/>
      <c r="BN443" s="68"/>
      <c r="BO443" s="68"/>
      <c r="BP443" s="68"/>
      <c r="BQ443" s="68" vm="14096">
        <f>CUBEVALUE(ConnectionString,ReportMonth,Table1[[#This Row],[Site ID (from DATIM)]],"[Measures].[TX_CURR_F_P]")</f>
        <v>19</v>
      </c>
      <c r="BR443" s="68" vm="9255">
        <f>CUBEVALUE(ConnectionString,ReportMonth,Table1[[#This Row],[Site ID (from DATIM)]],"[Measures].[TX_CURR_M_P]")</f>
        <v>20</v>
      </c>
      <c r="BS443" s="68" vm="6619">
        <f>CUBEVALUE(ConnectionString,ReportMonth,Table1[[#This Row],[Site ID (from DATIM)]],"[Measures].[TX_CURR_F_A]")</f>
        <v>403</v>
      </c>
      <c r="BT443" s="68" vm="10022">
        <f>CUBEVALUE(ConnectionString,ReportMonth,Table1[[#This Row],[Site ID (from DATIM)]],"[Measures].[TX_CURR_M_A]")</f>
        <v>206</v>
      </c>
      <c r="BU443" s="68" vm="19609">
        <f>CUBEVALUE(ConnectionString,ReportMonth,Table1[[#This Row],[Site ID (from DATIM)]],"[Measures].[MMS_01_89_F_P]")</f>
        <v>3</v>
      </c>
      <c r="BV443" s="68" vm="20097">
        <f>CUBEVALUE(ConnectionString,ReportMonth,Table1[[#This Row],[Site ID (from DATIM)]],"[Measures].[MMS_01_89_M_P]")</f>
        <v>7</v>
      </c>
      <c r="BW443" s="68" vm="18640">
        <f>CUBEVALUE(ConnectionString,ReportMonth,Table1[[#This Row],[Site ID (from DATIM)]],"[Measures].[MMS_01_89_F_A]")</f>
        <v>56</v>
      </c>
      <c r="BX443" s="68" vm="18612">
        <f>CUBEVALUE(ConnectionString,ReportMonth,Table1[[#This Row],[Site ID (from DATIM)]],"[Measures].[MMS_01_89_M_A]")</f>
        <v>14</v>
      </c>
      <c r="BY443" s="68" vm="16977">
        <f>CUBEVALUE(ConnectionString,ReportMonth,Table1[[#This Row],[Site ID (from DATIM)]],"[Measures].[MMS_90_179_F_P]")</f>
        <v>16</v>
      </c>
      <c r="BZ443" s="68" vm="17786">
        <f>CUBEVALUE(ConnectionString,ReportMonth,Table1[[#This Row],[Site ID (from DATIM)]],"[Measures].[MMS_90_179_M_P]")</f>
        <v>13</v>
      </c>
      <c r="CA443" s="68" vm="15608">
        <f>CUBEVALUE(ConnectionString,ReportMonth,Table1[[#This Row],[Site ID (from DATIM)]],"[Measures].[MMS_90_179_F_A]")</f>
        <v>347</v>
      </c>
      <c r="CB443" s="68" vm="16436">
        <f>CUBEVALUE(ConnectionString,ReportMonth,Table1[[#This Row],[Site ID (from DATIM)]],"[Measures].[MMS_90_179_M_A]")</f>
        <v>192</v>
      </c>
      <c r="CC443" s="68" t="str" vm="17281">
        <f>CUBEVALUE(ConnectionString,ReportMonth,Table1[[#This Row],[Site ID (from DATIM)]],"[Measures].[MMS_180+_F_P]")</f>
        <v/>
      </c>
      <c r="CD443" s="68" t="str" vm="326">
        <f>CUBEVALUE(ConnectionString,ReportMonth,Table1[[#This Row],[Site ID (from DATIM)]],"[Measures].[MMS_180+_M_P]")</f>
        <v/>
      </c>
      <c r="CE443" s="68" t="str" vm="17550">
        <f>CUBEVALUE(ConnectionString,ReportMonth,Table1[[#This Row],[Site ID (from DATIM)]],"[Measures].[MMS_180+_F_A]")</f>
        <v/>
      </c>
      <c r="CF443" s="68" t="str" vm="14435">
        <f>CUBEVALUE(ConnectionString,ReportMonth,Table1[[#This Row],[Site ID (from DATIM)]],"[Measures].[MMS_180+_M_A]")</f>
        <v/>
      </c>
      <c r="CG443" s="68" vm="4632">
        <f>CUBEVALUE(ConnectionString,ReportMonth,Table1[[#This Row],[Site ID (from DATIM)]],"[Measures].[MISSEDAPP]")</f>
        <v>201</v>
      </c>
      <c r="CH443" s="68" t="str" vm="10697">
        <f>CUBEVALUE(ConnectionString,ReportMonth,Table1[[#This Row],[Site ID (from DATIM)]],"[Measures].[MMS_180+_P]")</f>
        <v/>
      </c>
      <c r="CI443" s="68" t="str" vm="10462">
        <f>CUBEVALUE(ConnectionString,ReportMonth,Table1[[#This Row],[Site ID (from DATIM)]],"[Measures].[MMS_180+_A]")</f>
        <v/>
      </c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  <c r="CW443" s="68"/>
      <c r="CX443" s="68"/>
      <c r="CY443" s="68"/>
      <c r="CZ443" s="68"/>
      <c r="DA443" s="68"/>
      <c r="DB443" s="68"/>
      <c r="DC443" s="68"/>
    </row>
    <row r="444" spans="1:107" x14ac:dyDescent="0.25">
      <c r="A444" s="66">
        <v>4</v>
      </c>
      <c r="B444" s="67" t="str" vm="4">
        <f t="shared" si="7"/>
        <v>Mar-2021</v>
      </c>
      <c r="C444" s="67"/>
      <c r="D444" s="67" t="s">
        <v>232</v>
      </c>
      <c r="E444" s="67" t="s">
        <v>233</v>
      </c>
      <c r="F444" s="67" t="s">
        <v>437</v>
      </c>
      <c r="G444" s="67"/>
      <c r="H444" s="67" t="s">
        <v>454</v>
      </c>
      <c r="I444" s="67" t="s">
        <v>482</v>
      </c>
      <c r="J444" s="67" t="s">
        <v>810</v>
      </c>
      <c r="K444" s="67" t="s">
        <v>811</v>
      </c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 t="str" vm="3848">
        <f>CUBEVALUE(ConnectionString,ReportMonth,Table1[[#This Row],[Site ID (from DATIM)]],"TX_NEW_2VIS")</f>
        <v/>
      </c>
      <c r="AE444" s="67" t="str" vm="3147">
        <f>CUBEVALUE(ConnectionString,ReportMonth,Table1[[#This Row],[Site ID (from DATIM)]],INDEX(SDI_Measures,1))</f>
        <v/>
      </c>
      <c r="AF444" s="67" t="str" vm="2216">
        <f>CUBEVALUE(ConnectionString,ReportMonth,Table1[[#This Row],[Site ID (from DATIM)]],INDEX(SDI_Measures,2))</f>
        <v/>
      </c>
      <c r="AG444" s="67" t="str" vm="3083">
        <f>CUBEVALUE(ConnectionString,ReportMonth,Table1[[#This Row],[Site ID (from DATIM)]],INDEX(SDI_Measures,3))</f>
        <v/>
      </c>
      <c r="AH444" s="67" vm="2032">
        <f>CUBEVALUE(ConnectionString,ReportMonth,Table1[[#This Row],[Site ID (from DATIM)]],"TX_CURR_PRIOR_MONTH")</f>
        <v>41</v>
      </c>
      <c r="AI444" s="67" vm="2699">
        <f>CUBEVALUE(ConnectionString,ReportMonth,Table1[[#This Row],[Site ID (from DATIM)]],"TX_CURR")</f>
        <v>32</v>
      </c>
      <c r="AJ444" s="67" t="str" vm="2492">
        <f>CUBEVALUE(ConnectionString,ReportMonth,Table1[[#This Row],[Site ID (from DATIM)]],"[Measures].[TI]")</f>
        <v/>
      </c>
      <c r="AK444" s="67" t="str" vm="3325">
        <f>CUBEVALUE(ConnectionString,ReportMonth,Table1[[#This Row],[Site ID (from DATIM)]],"[Measures].[TO]")</f>
        <v/>
      </c>
      <c r="AL444" s="67" t="str" vm="4108">
        <f>CUBEVALUE(ConnectionString,ReportMonth,Table1[[#This Row],[Site ID (from DATIM)]],"[Measures].[DIED]")</f>
        <v/>
      </c>
      <c r="AM444" s="67" vm="3397">
        <f>CUBEVALUE(ConnectionString,ReportMonth,Table1[[#This Row],[Site ID (from DATIM)]],"[Measures].[MMS_01_31]")</f>
        <v>13</v>
      </c>
      <c r="AN444" s="67" vm="10271">
        <f>CUBEVALUE(ConnectionString,ReportMonth,Table1[[#This Row],[Site ID (from DATIM)]],"[Measures].[MMS_32_62]")</f>
        <v>5</v>
      </c>
      <c r="AO444" s="67" vm="5375">
        <f>CUBEVALUE(ConnectionString,ReportMonth,Table1[[#This Row],[Site ID (from DATIM)]],"[Measures].[MMS_63+]")</f>
        <v>14</v>
      </c>
      <c r="AP444" s="67" vm="6295">
        <f>CUBEVALUE(ConnectionString,ReportMonth,Table1[[#This Row],[Site ID (from DATIM)]],"[Measures].[TBPREV_D]")</f>
        <v>4</v>
      </c>
      <c r="AQ444" s="67" t="str" vm="7545">
        <f>CUBEVALUE(ConnectionString,ReportMonth,Table1[[#This Row],[Site ID (from DATIM)]],"[Measures].[TBPREV_N]")</f>
        <v/>
      </c>
      <c r="AR444" s="67" t="str" vm="7540">
        <f>CUBEVALUE(ConnectionString,ReportMonth,Table1[[#This Row],[Site ID (from DATIM)]],"[Measures].[TBPREV_NEW]")</f>
        <v/>
      </c>
      <c r="AS444" s="67" vm="8549">
        <f>CUBEVALUE(ConnectionString,ReportMonth,Table1[[#This Row],[Site ID (from DATIM)]],"[Measures].[HVL_ELIG_P]")</f>
        <v>2</v>
      </c>
      <c r="AT444" s="67" vm="6773">
        <f>CUBEVALUE(ConnectionString,ReportMonth,Table1[[#This Row],[Site ID (from DATIM)]],"[Measures].[HVL_D_P]")</f>
        <v>1</v>
      </c>
      <c r="AU444" s="67" vm="12072">
        <f>CUBEVALUE(ConnectionString,ReportMonth,Table1[[#This Row],[Site ID (from DATIM)]],"[Measures].[HVL_N_P]")</f>
        <v>1</v>
      </c>
      <c r="AV444" s="68" vm="12914">
        <f>CUBEVALUE(ConnectionString,ReportMonth,Table1[[#This Row],[Site ID (from DATIM)]],"[Measures].[HVL_ELIG_A]")</f>
        <v>20</v>
      </c>
      <c r="AW444" s="68" vm="13261">
        <f>CUBEVALUE(ConnectionString,ReportMonth,Table1[[#This Row],[Site ID (from DATIM)]],"[Measures].[HVL_D_A]")</f>
        <v>13</v>
      </c>
      <c r="AX444" s="68" vm="8905">
        <f>CUBEVALUE(ConnectionString,ReportMonth,Table1[[#This Row],[Site ID (from DATIM)]],"[Measures].[HVL_N_A]")</f>
        <v>12</v>
      </c>
      <c r="AY444" s="67"/>
      <c r="AZ444" s="67"/>
      <c r="BA444" s="67"/>
      <c r="BB444" s="67"/>
      <c r="BC444" s="67"/>
      <c r="BD444" s="67"/>
      <c r="BE444" s="67"/>
      <c r="BF444" s="67"/>
      <c r="BG444" s="67" t="str" vm="13517">
        <f>CUBEVALUE(ConnectionString,ReportMonth,Table1[[#This Row],[Site ID (from DATIM)]],"[Measures].[TX_NEW_F_A]")</f>
        <v/>
      </c>
      <c r="BH444" s="67" t="str" vm="10867">
        <f>CUBEVALUE(ConnectionString,ReportMonth,Table1[[#This Row],[Site ID (from DATIM)]],"[Measures].[TX_NEW_M_A]")</f>
        <v/>
      </c>
      <c r="BI444" s="67" t="str" vm="12178">
        <f>CUBEVALUE(ConnectionString,ReportMonth,Table1[[#This Row],[Site ID (from DATIM)]],"[Measures].[TX_NEW_F_P]")</f>
        <v/>
      </c>
      <c r="BJ444" s="68" t="str" vm="17035">
        <f>CUBEVALUE(ConnectionString,ReportMonth,Table1[[#This Row],[Site ID (from DATIM)]],"[Measures].[TX_NEW_M_P]")</f>
        <v/>
      </c>
      <c r="BK444" s="68"/>
      <c r="BL444" s="68"/>
      <c r="BM444" s="68"/>
      <c r="BN444" s="68"/>
      <c r="BO444" s="68"/>
      <c r="BP444" s="68"/>
      <c r="BQ444" s="68" vm="13535">
        <f>CUBEVALUE(ConnectionString,ReportMonth,Table1[[#This Row],[Site ID (from DATIM)]],"[Measures].[TX_CURR_F_P]")</f>
        <v>1</v>
      </c>
      <c r="BR444" s="68" vm="10009">
        <f>CUBEVALUE(ConnectionString,ReportMonth,Table1[[#This Row],[Site ID (from DATIM)]],"[Measures].[TX_CURR_M_P]")</f>
        <v>2</v>
      </c>
      <c r="BS444" s="68" vm="12519">
        <f>CUBEVALUE(ConnectionString,ReportMonth,Table1[[#This Row],[Site ID (from DATIM)]],"[Measures].[TX_CURR_F_A]")</f>
        <v>26</v>
      </c>
      <c r="BT444" s="68" vm="12482">
        <f>CUBEVALUE(ConnectionString,ReportMonth,Table1[[#This Row],[Site ID (from DATIM)]],"[Measures].[TX_CURR_M_A]")</f>
        <v>3</v>
      </c>
      <c r="BU444" s="68" vm="19819">
        <f>CUBEVALUE(ConnectionString,ReportMonth,Table1[[#This Row],[Site ID (from DATIM)]],"[Measures].[MMS_01_89_F_P]")</f>
        <v>1</v>
      </c>
      <c r="BV444" s="68" vm="19825">
        <f>CUBEVALUE(ConnectionString,ReportMonth,Table1[[#This Row],[Site ID (from DATIM)]],"[Measures].[MMS_01_89_M_P]")</f>
        <v>2</v>
      </c>
      <c r="BW444" s="68" vm="18342">
        <f>CUBEVALUE(ConnectionString,ReportMonth,Table1[[#This Row],[Site ID (from DATIM)]],"[Measures].[MMS_01_89_F_A]")</f>
        <v>12</v>
      </c>
      <c r="BX444" s="68" vm="19404">
        <f>CUBEVALUE(ConnectionString,ReportMonth,Table1[[#This Row],[Site ID (from DATIM)]],"[Measures].[MMS_01_89_M_A]")</f>
        <v>3</v>
      </c>
      <c r="BY444" s="68" t="str" vm="18191">
        <f>CUBEVALUE(ConnectionString,ReportMonth,Table1[[#This Row],[Site ID (from DATIM)]],"[Measures].[MMS_90_179_F_P]")</f>
        <v/>
      </c>
      <c r="BZ444" s="68" t="str" vm="16973">
        <f>CUBEVALUE(ConnectionString,ReportMonth,Table1[[#This Row],[Site ID (from DATIM)]],"[Measures].[MMS_90_179_M_P]")</f>
        <v/>
      </c>
      <c r="CA444" s="68" vm="16806">
        <f>CUBEVALUE(ConnectionString,ReportMonth,Table1[[#This Row],[Site ID (from DATIM)]],"[Measures].[MMS_90_179_F_A]")</f>
        <v>14</v>
      </c>
      <c r="CB444" s="68" t="str" vm="16826">
        <f>CUBEVALUE(ConnectionString,ReportMonth,Table1[[#This Row],[Site ID (from DATIM)]],"[Measures].[MMS_90_179_M_A]")</f>
        <v/>
      </c>
      <c r="CC444" s="68" t="str" vm="15505">
        <f>CUBEVALUE(ConnectionString,ReportMonth,Table1[[#This Row],[Site ID (from DATIM)]],"[Measures].[MMS_180+_F_P]")</f>
        <v/>
      </c>
      <c r="CD444" s="68" t="str" vm="15831">
        <f>CUBEVALUE(ConnectionString,ReportMonth,Table1[[#This Row],[Site ID (from DATIM)]],"[Measures].[MMS_180+_M_P]")</f>
        <v/>
      </c>
      <c r="CE444" s="68" t="str" vm="16669">
        <f>CUBEVALUE(ConnectionString,ReportMonth,Table1[[#This Row],[Site ID (from DATIM)]],"[Measures].[MMS_180+_F_A]")</f>
        <v/>
      </c>
      <c r="CF444" s="68" t="str" vm="20181">
        <f>CUBEVALUE(ConnectionString,ReportMonth,Table1[[#This Row],[Site ID (from DATIM)]],"[Measures].[MMS_180+_M_A]")</f>
        <v/>
      </c>
      <c r="CG444" s="68" vm="12624">
        <f>CUBEVALUE(ConnectionString,ReportMonth,Table1[[#This Row],[Site ID (from DATIM)]],"[Measures].[MISSEDAPP]")</f>
        <v>19</v>
      </c>
      <c r="CH444" s="68" t="str" vm="12001">
        <f>CUBEVALUE(ConnectionString,ReportMonth,Table1[[#This Row],[Site ID (from DATIM)]],"[Measures].[MMS_180+_P]")</f>
        <v/>
      </c>
      <c r="CI444" s="68" t="str" vm="16187">
        <f>CUBEVALUE(ConnectionString,ReportMonth,Table1[[#This Row],[Site ID (from DATIM)]],"[Measures].[MMS_180+_A]")</f>
        <v/>
      </c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  <c r="CW444" s="68"/>
      <c r="CX444" s="68"/>
      <c r="CY444" s="68"/>
      <c r="CZ444" s="68"/>
      <c r="DA444" s="68"/>
      <c r="DB444" s="68"/>
      <c r="DC444" s="68"/>
    </row>
    <row r="445" spans="1:107" x14ac:dyDescent="0.25">
      <c r="A445" s="66">
        <v>2</v>
      </c>
      <c r="B445" s="67" t="str" vm="4">
        <f t="shared" si="7"/>
        <v>Mar-2021</v>
      </c>
      <c r="C445" s="67"/>
      <c r="D445" s="67" t="s">
        <v>232</v>
      </c>
      <c r="E445" s="67" t="s">
        <v>233</v>
      </c>
      <c r="F445" s="67" t="s">
        <v>1083</v>
      </c>
      <c r="G445" s="67"/>
      <c r="H445" s="67" t="s">
        <v>1103</v>
      </c>
      <c r="I445" s="67" t="s">
        <v>1164</v>
      </c>
      <c r="J445" s="67" t="s">
        <v>1284</v>
      </c>
      <c r="K445" s="67" t="s">
        <v>1285</v>
      </c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 vm="1996">
        <f>CUBEVALUE(ConnectionString,ReportMonth,Table1[[#This Row],[Site ID (from DATIM)]],"TX_NEW_2VIS")</f>
        <v>10</v>
      </c>
      <c r="AE445" s="67" vm="1077">
        <f>CUBEVALUE(ConnectionString,ReportMonth,Table1[[#This Row],[Site ID (from DATIM)]],INDEX(SDI_Measures,1))</f>
        <v>6</v>
      </c>
      <c r="AF445" s="67" t="str" vm="1590">
        <f>CUBEVALUE(ConnectionString,ReportMonth,Table1[[#This Row],[Site ID (from DATIM)]],INDEX(SDI_Measures,2))</f>
        <v/>
      </c>
      <c r="AG445" s="67" t="str" vm="3692">
        <f>CUBEVALUE(ConnectionString,ReportMonth,Table1[[#This Row],[Site ID (from DATIM)]],INDEX(SDI_Measures,3))</f>
        <v/>
      </c>
      <c r="AH445" s="67" vm="2818">
        <f>CUBEVALUE(ConnectionString,ReportMonth,Table1[[#This Row],[Site ID (from DATIM)]],"TX_CURR_PRIOR_MONTH")</f>
        <v>626</v>
      </c>
      <c r="AI445" s="67" vm="819">
        <f>CUBEVALUE(ConnectionString,ReportMonth,Table1[[#This Row],[Site ID (from DATIM)]],"TX_CURR")</f>
        <v>620</v>
      </c>
      <c r="AJ445" s="67" vm="4245">
        <f>CUBEVALUE(ConnectionString,ReportMonth,Table1[[#This Row],[Site ID (from DATIM)]],"[Measures].[TI]")</f>
        <v>2</v>
      </c>
      <c r="AK445" s="67" t="str" vm="1715">
        <f>CUBEVALUE(ConnectionString,ReportMonth,Table1[[#This Row],[Site ID (from DATIM)]],"[Measures].[TO]")</f>
        <v/>
      </c>
      <c r="AL445" s="67" t="str" vm="1724">
        <f>CUBEVALUE(ConnectionString,ReportMonth,Table1[[#This Row],[Site ID (from DATIM)]],"[Measures].[DIED]")</f>
        <v/>
      </c>
      <c r="AM445" s="67" vm="7601">
        <f>CUBEVALUE(ConnectionString,ReportMonth,Table1[[#This Row],[Site ID (from DATIM)]],"[Measures].[MMS_01_31]")</f>
        <v>164</v>
      </c>
      <c r="AN445" s="67" vm="5157">
        <f>CUBEVALUE(ConnectionString,ReportMonth,Table1[[#This Row],[Site ID (from DATIM)]],"[Measures].[MMS_32_62]")</f>
        <v>68</v>
      </c>
      <c r="AO445" s="67" vm="7169">
        <f>CUBEVALUE(ConnectionString,ReportMonth,Table1[[#This Row],[Site ID (from DATIM)]],"[Measures].[MMS_63+]")</f>
        <v>388</v>
      </c>
      <c r="AP445" s="67" vm="6067">
        <f>CUBEVALUE(ConnectionString,ReportMonth,Table1[[#This Row],[Site ID (from DATIM)]],"[Measures].[TBPREV_D]")</f>
        <v>9</v>
      </c>
      <c r="AQ445" s="67" vm="4819">
        <f>CUBEVALUE(ConnectionString,ReportMonth,Table1[[#This Row],[Site ID (from DATIM)]],"[Measures].[TBPREV_N]")</f>
        <v>8</v>
      </c>
      <c r="AR445" s="67" vm="7310">
        <f>CUBEVALUE(ConnectionString,ReportMonth,Table1[[#This Row],[Site ID (from DATIM)]],"[Measures].[TBPREV_NEW]")</f>
        <v>7</v>
      </c>
      <c r="AS445" s="67" vm="7781">
        <f>CUBEVALUE(ConnectionString,ReportMonth,Table1[[#This Row],[Site ID (from DATIM)]],"[Measures].[HVL_ELIG_P]")</f>
        <v>39</v>
      </c>
      <c r="AT445" s="67" vm="7270">
        <f>CUBEVALUE(ConnectionString,ReportMonth,Table1[[#This Row],[Site ID (from DATIM)]],"[Measures].[HVL_D_P]")</f>
        <v>31</v>
      </c>
      <c r="AU445" s="67" vm="9604">
        <f>CUBEVALUE(ConnectionString,ReportMonth,Table1[[#This Row],[Site ID (from DATIM)]],"[Measures].[HVL_N_P]")</f>
        <v>25</v>
      </c>
      <c r="AV445" s="68" vm="9300">
        <f>CUBEVALUE(ConnectionString,ReportMonth,Table1[[#This Row],[Site ID (from DATIM)]],"[Measures].[HVL_ELIG_A]")</f>
        <v>515</v>
      </c>
      <c r="AW445" s="68" vm="11758">
        <f>CUBEVALUE(ConnectionString,ReportMonth,Table1[[#This Row],[Site ID (from DATIM)]],"[Measures].[HVL_D_A]")</f>
        <v>372</v>
      </c>
      <c r="AX445" s="68" vm="11995">
        <f>CUBEVALUE(ConnectionString,ReportMonth,Table1[[#This Row],[Site ID (from DATIM)]],"[Measures].[HVL_N_A]")</f>
        <v>349</v>
      </c>
      <c r="AY445" s="67"/>
      <c r="AZ445" s="67"/>
      <c r="BA445" s="67"/>
      <c r="BB445" s="67"/>
      <c r="BC445" s="67"/>
      <c r="BD445" s="67"/>
      <c r="BE445" s="67"/>
      <c r="BF445" s="67"/>
      <c r="BG445" s="67" vm="12896">
        <f>CUBEVALUE(ConnectionString,ReportMonth,Table1[[#This Row],[Site ID (from DATIM)]],"[Measures].[TX_NEW_F_A]")</f>
        <v>3</v>
      </c>
      <c r="BH445" s="67" vm="17452">
        <f>CUBEVALUE(ConnectionString,ReportMonth,Table1[[#This Row],[Site ID (from DATIM)]],"[Measures].[TX_NEW_M_A]")</f>
        <v>2</v>
      </c>
      <c r="BI445" s="67" vm="12123">
        <f>CUBEVALUE(ConnectionString,ReportMonth,Table1[[#This Row],[Site ID (from DATIM)]],"[Measures].[TX_NEW_F_P]")</f>
        <v>1</v>
      </c>
      <c r="BJ445" s="68" t="str" vm="14869">
        <f>CUBEVALUE(ConnectionString,ReportMonth,Table1[[#This Row],[Site ID (from DATIM)]],"[Measures].[TX_NEW_M_P]")</f>
        <v/>
      </c>
      <c r="BK445" s="68"/>
      <c r="BL445" s="68"/>
      <c r="BM445" s="68"/>
      <c r="BN445" s="68"/>
      <c r="BO445" s="68"/>
      <c r="BP445" s="68"/>
      <c r="BQ445" s="68" vm="13857">
        <f>CUBEVALUE(ConnectionString,ReportMonth,Table1[[#This Row],[Site ID (from DATIM)]],"[Measures].[TX_CURR_F_P]")</f>
        <v>30</v>
      </c>
      <c r="BR445" s="68" vm="12970">
        <f>CUBEVALUE(ConnectionString,ReportMonth,Table1[[#This Row],[Site ID (from DATIM)]],"[Measures].[TX_CURR_M_P]")</f>
        <v>16</v>
      </c>
      <c r="BS445" s="68" vm="9780">
        <f>CUBEVALUE(ConnectionString,ReportMonth,Table1[[#This Row],[Site ID (from DATIM)]],"[Measures].[TX_CURR_F_A]")</f>
        <v>400</v>
      </c>
      <c r="BT445" s="68" vm="9443">
        <f>CUBEVALUE(ConnectionString,ReportMonth,Table1[[#This Row],[Site ID (from DATIM)]],"[Measures].[TX_CURR_M_A]")</f>
        <v>174</v>
      </c>
      <c r="BU445" s="68" vm="19498">
        <f>CUBEVALUE(ConnectionString,ReportMonth,Table1[[#This Row],[Site ID (from DATIM)]],"[Measures].[MMS_01_89_F_P]")</f>
        <v>17</v>
      </c>
      <c r="BV445" s="68" vm="19824">
        <f>CUBEVALUE(ConnectionString,ReportMonth,Table1[[#This Row],[Site ID (from DATIM)]],"[Measures].[MMS_01_89_M_P]")</f>
        <v>12</v>
      </c>
      <c r="BW445" s="68" vm="19709">
        <f>CUBEVALUE(ConnectionString,ReportMonth,Table1[[#This Row],[Site ID (from DATIM)]],"[Measures].[MMS_01_89_F_A]")</f>
        <v>144</v>
      </c>
      <c r="BX445" s="68" vm="19305">
        <f>CUBEVALUE(ConnectionString,ReportMonth,Table1[[#This Row],[Site ID (from DATIM)]],"[Measures].[MMS_01_89_M_A]")</f>
        <v>61</v>
      </c>
      <c r="BY445" s="68" vm="17908">
        <f>CUBEVALUE(ConnectionString,ReportMonth,Table1[[#This Row],[Site ID (from DATIM)]],"[Measures].[MMS_90_179_F_P]")</f>
        <v>13</v>
      </c>
      <c r="BZ445" s="68" vm="18792">
        <f>CUBEVALUE(ConnectionString,ReportMonth,Table1[[#This Row],[Site ID (from DATIM)]],"[Measures].[MMS_90_179_M_P]")</f>
        <v>4</v>
      </c>
      <c r="CA445" s="68" vm="14616">
        <f>CUBEVALUE(ConnectionString,ReportMonth,Table1[[#This Row],[Site ID (from DATIM)]],"[Measures].[MMS_90_179_F_A]")</f>
        <v>256</v>
      </c>
      <c r="CB445" s="68" vm="17730">
        <f>CUBEVALUE(ConnectionString,ReportMonth,Table1[[#This Row],[Site ID (from DATIM)]],"[Measures].[MMS_90_179_M_A]")</f>
        <v>113</v>
      </c>
      <c r="CC445" s="68" t="str" vm="14516">
        <f>CUBEVALUE(ConnectionString,ReportMonth,Table1[[#This Row],[Site ID (from DATIM)]],"[Measures].[MMS_180+_F_P]")</f>
        <v/>
      </c>
      <c r="CD445" s="68" t="str" vm="16726">
        <f>CUBEVALUE(ConnectionString,ReportMonth,Table1[[#This Row],[Site ID (from DATIM)]],"[Measures].[MMS_180+_M_P]")</f>
        <v/>
      </c>
      <c r="CE445" s="68" t="str" vm="15447">
        <f>CUBEVALUE(ConnectionString,ReportMonth,Table1[[#This Row],[Site ID (from DATIM)]],"[Measures].[MMS_180+_F_A]")</f>
        <v/>
      </c>
      <c r="CF445" s="68" t="str" vm="117">
        <f>CUBEVALUE(ConnectionString,ReportMonth,Table1[[#This Row],[Site ID (from DATIM)]],"[Measures].[MMS_180+_M_A]")</f>
        <v/>
      </c>
      <c r="CG445" s="68" vm="9224">
        <f>CUBEVALUE(ConnectionString,ReportMonth,Table1[[#This Row],[Site ID (from DATIM)]],"[Measures].[MISSEDAPP]")</f>
        <v>143</v>
      </c>
      <c r="CH445" s="68" t="str" vm="13922">
        <f>CUBEVALUE(ConnectionString,ReportMonth,Table1[[#This Row],[Site ID (from DATIM)]],"[Measures].[MMS_180+_P]")</f>
        <v/>
      </c>
      <c r="CI445" s="68" t="str" vm="13097">
        <f>CUBEVALUE(ConnectionString,ReportMonth,Table1[[#This Row],[Site ID (from DATIM)]],"[Measures].[MMS_180+_A]")</f>
        <v/>
      </c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  <c r="CW445" s="68"/>
      <c r="CX445" s="68"/>
      <c r="CY445" s="68"/>
      <c r="CZ445" s="68"/>
      <c r="DA445" s="68"/>
      <c r="DB445" s="68"/>
      <c r="DC445" s="68"/>
    </row>
    <row r="446" spans="1:107" x14ac:dyDescent="0.25">
      <c r="A446" s="66">
        <v>4</v>
      </c>
      <c r="B446" s="67" t="str" vm="4">
        <f t="shared" si="7"/>
        <v>Mar-2021</v>
      </c>
      <c r="C446" s="67"/>
      <c r="D446" s="67" t="s">
        <v>232</v>
      </c>
      <c r="E446" s="67" t="s">
        <v>233</v>
      </c>
      <c r="F446" s="67" t="s">
        <v>437</v>
      </c>
      <c r="G446" s="67"/>
      <c r="H446" s="67" t="s">
        <v>438</v>
      </c>
      <c r="I446" s="67" t="s">
        <v>812</v>
      </c>
      <c r="J446" s="67" t="s">
        <v>813</v>
      </c>
      <c r="K446" s="67" t="s">
        <v>814</v>
      </c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 vm="393">
        <f>CUBEVALUE(ConnectionString,ReportMonth,Table1[[#This Row],[Site ID (from DATIM)]],"TX_NEW_2VIS")</f>
        <v>1</v>
      </c>
      <c r="AE446" s="67" vm="708">
        <f>CUBEVALUE(ConnectionString,ReportMonth,Table1[[#This Row],[Site ID (from DATIM)]],INDEX(SDI_Measures,1))</f>
        <v>2</v>
      </c>
      <c r="AF446" s="67" t="str" vm="422">
        <f>CUBEVALUE(ConnectionString,ReportMonth,Table1[[#This Row],[Site ID (from DATIM)]],INDEX(SDI_Measures,2))</f>
        <v/>
      </c>
      <c r="AG446" s="67" t="str" vm="2374">
        <f>CUBEVALUE(ConnectionString,ReportMonth,Table1[[#This Row],[Site ID (from DATIM)]],INDEX(SDI_Measures,3))</f>
        <v/>
      </c>
      <c r="AH446" s="67" vm="2001">
        <f>CUBEVALUE(ConnectionString,ReportMonth,Table1[[#This Row],[Site ID (from DATIM)]],"TX_CURR_PRIOR_MONTH")</f>
        <v>267</v>
      </c>
      <c r="AI446" s="67" vm="4262">
        <f>CUBEVALUE(ConnectionString,ReportMonth,Table1[[#This Row],[Site ID (from DATIM)]],"TX_CURR")</f>
        <v>257</v>
      </c>
      <c r="AJ446" s="67" t="str" vm="2455">
        <f>CUBEVALUE(ConnectionString,ReportMonth,Table1[[#This Row],[Site ID (from DATIM)]],"[Measures].[TI]")</f>
        <v/>
      </c>
      <c r="AK446" s="67" vm="1137">
        <f>CUBEVALUE(ConnectionString,ReportMonth,Table1[[#This Row],[Site ID (from DATIM)]],"[Measures].[TO]")</f>
        <v>1</v>
      </c>
      <c r="AL446" s="67" t="str" vm="3183">
        <f>CUBEVALUE(ConnectionString,ReportMonth,Table1[[#This Row],[Site ID (from DATIM)]],"[Measures].[DIED]")</f>
        <v/>
      </c>
      <c r="AM446" s="67" vm="3751">
        <f>CUBEVALUE(ConnectionString,ReportMonth,Table1[[#This Row],[Site ID (from DATIM)]],"[Measures].[MMS_01_31]")</f>
        <v>46</v>
      </c>
      <c r="AN446" s="67" vm="4184">
        <f>CUBEVALUE(ConnectionString,ReportMonth,Table1[[#This Row],[Site ID (from DATIM)]],"[Measures].[MMS_32_62]")</f>
        <v>5</v>
      </c>
      <c r="AO446" s="67" vm="6638">
        <f>CUBEVALUE(ConnectionString,ReportMonth,Table1[[#This Row],[Site ID (from DATIM)]],"[Measures].[MMS_63+]")</f>
        <v>206</v>
      </c>
      <c r="AP446" s="67" t="str" vm="5667">
        <f>CUBEVALUE(ConnectionString,ReportMonth,Table1[[#This Row],[Site ID (from DATIM)]],"[Measures].[TBPREV_D]")</f>
        <v/>
      </c>
      <c r="AQ446" s="67" t="str" vm="5163">
        <f>CUBEVALUE(ConnectionString,ReportMonth,Table1[[#This Row],[Site ID (from DATIM)]],"[Measures].[TBPREV_N]")</f>
        <v/>
      </c>
      <c r="AR446" s="67" t="str" vm="8659">
        <f>CUBEVALUE(ConnectionString,ReportMonth,Table1[[#This Row],[Site ID (from DATIM)]],"[Measures].[TBPREV_NEW]")</f>
        <v/>
      </c>
      <c r="AS446" s="67" vm="6159">
        <f>CUBEVALUE(ConnectionString,ReportMonth,Table1[[#This Row],[Site ID (from DATIM)]],"[Measures].[HVL_ELIG_P]")</f>
        <v>3</v>
      </c>
      <c r="AT446" s="67" vm="9811">
        <f>CUBEVALUE(ConnectionString,ReportMonth,Table1[[#This Row],[Site ID (from DATIM)]],"[Measures].[HVL_D_P]")</f>
        <v>3</v>
      </c>
      <c r="AU446" s="67" vm="7933">
        <f>CUBEVALUE(ConnectionString,ReportMonth,Table1[[#This Row],[Site ID (from DATIM)]],"[Measures].[HVL_N_P]")</f>
        <v>3</v>
      </c>
      <c r="AV446" s="68" vm="8781">
        <f>CUBEVALUE(ConnectionString,ReportMonth,Table1[[#This Row],[Site ID (from DATIM)]],"[Measures].[HVL_ELIG_A]")</f>
        <v>233</v>
      </c>
      <c r="AW446" s="68" vm="9899">
        <f>CUBEVALUE(ConnectionString,ReportMonth,Table1[[#This Row],[Site ID (from DATIM)]],"[Measures].[HVL_D_A]")</f>
        <v>154</v>
      </c>
      <c r="AX446" s="68" vm="8372">
        <f>CUBEVALUE(ConnectionString,ReportMonth,Table1[[#This Row],[Site ID (from DATIM)]],"[Measures].[HVL_N_A]")</f>
        <v>145</v>
      </c>
      <c r="AY446" s="67"/>
      <c r="AZ446" s="67"/>
      <c r="BA446" s="67"/>
      <c r="BB446" s="67"/>
      <c r="BC446" s="67"/>
      <c r="BD446" s="67"/>
      <c r="BE446" s="67"/>
      <c r="BF446" s="67"/>
      <c r="BG446" s="67" vm="13346">
        <f>CUBEVALUE(ConnectionString,ReportMonth,Table1[[#This Row],[Site ID (from DATIM)]],"[Measures].[TX_NEW_F_A]")</f>
        <v>1</v>
      </c>
      <c r="BH446" s="67" vm="10190">
        <f>CUBEVALUE(ConnectionString,ReportMonth,Table1[[#This Row],[Site ID (from DATIM)]],"[Measures].[TX_NEW_M_A]")</f>
        <v>1</v>
      </c>
      <c r="BI446" s="67" t="str" vm="14230">
        <f>CUBEVALUE(ConnectionString,ReportMonth,Table1[[#This Row],[Site ID (from DATIM)]],"[Measures].[TX_NEW_F_P]")</f>
        <v/>
      </c>
      <c r="BJ446" s="68" t="str" vm="17082">
        <f>CUBEVALUE(ConnectionString,ReportMonth,Table1[[#This Row],[Site ID (from DATIM)]],"[Measures].[TX_NEW_M_P]")</f>
        <v/>
      </c>
      <c r="BK446" s="68"/>
      <c r="BL446" s="68"/>
      <c r="BM446" s="68"/>
      <c r="BN446" s="68"/>
      <c r="BO446" s="68"/>
      <c r="BP446" s="68"/>
      <c r="BQ446" s="68" vm="12768">
        <f>CUBEVALUE(ConnectionString,ReportMonth,Table1[[#This Row],[Site ID (from DATIM)]],"[Measures].[TX_CURR_F_P]")</f>
        <v>2</v>
      </c>
      <c r="BR446" s="68" vm="10785">
        <f>CUBEVALUE(ConnectionString,ReportMonth,Table1[[#This Row],[Site ID (from DATIM)]],"[Measures].[TX_CURR_M_P]")</f>
        <v>2</v>
      </c>
      <c r="BS446" s="68" vm="10691">
        <f>CUBEVALUE(ConnectionString,ReportMonth,Table1[[#This Row],[Site ID (from DATIM)]],"[Measures].[TX_CURR_F_A]")</f>
        <v>174</v>
      </c>
      <c r="BT446" s="68" vm="9031">
        <f>CUBEVALUE(ConnectionString,ReportMonth,Table1[[#This Row],[Site ID (from DATIM)]],"[Measures].[TX_CURR_M_A]")</f>
        <v>79</v>
      </c>
      <c r="BU446" s="68" vm="18740">
        <f>CUBEVALUE(ConnectionString,ReportMonth,Table1[[#This Row],[Site ID (from DATIM)]],"[Measures].[MMS_01_89_F_P]")</f>
        <v>1</v>
      </c>
      <c r="BV446" s="68" vm="19476">
        <f>CUBEVALUE(ConnectionString,ReportMonth,Table1[[#This Row],[Site ID (from DATIM)]],"[Measures].[MMS_01_89_M_P]")</f>
        <v>2</v>
      </c>
      <c r="BW446" s="68" vm="16113">
        <f>CUBEVALUE(ConnectionString,ReportMonth,Table1[[#This Row],[Site ID (from DATIM)]],"[Measures].[MMS_01_89_F_A]")</f>
        <v>38</v>
      </c>
      <c r="BX446" s="68" vm="19890">
        <f>CUBEVALUE(ConnectionString,ReportMonth,Table1[[#This Row],[Site ID (from DATIM)]],"[Measures].[MMS_01_89_M_A]")</f>
        <v>11</v>
      </c>
      <c r="BY446" s="68" vm="19924">
        <f>CUBEVALUE(ConnectionString,ReportMonth,Table1[[#This Row],[Site ID (from DATIM)]],"[Measures].[MMS_90_179_F_P]")</f>
        <v>1</v>
      </c>
      <c r="BZ446" s="68" t="str" vm="15953">
        <f>CUBEVALUE(ConnectionString,ReportMonth,Table1[[#This Row],[Site ID (from DATIM)]],"[Measures].[MMS_90_179_M_P]")</f>
        <v/>
      </c>
      <c r="CA446" s="68" vm="16926">
        <f>CUBEVALUE(ConnectionString,ReportMonth,Table1[[#This Row],[Site ID (from DATIM)]],"[Measures].[MMS_90_179_F_A]")</f>
        <v>136</v>
      </c>
      <c r="CB446" s="68" vm="17317">
        <f>CUBEVALUE(ConnectionString,ReportMonth,Table1[[#This Row],[Site ID (from DATIM)]],"[Measures].[MMS_90_179_M_A]")</f>
        <v>68</v>
      </c>
      <c r="CC446" s="68" t="str" vm="15171">
        <f>CUBEVALUE(ConnectionString,ReportMonth,Table1[[#This Row],[Site ID (from DATIM)]],"[Measures].[MMS_180+_F_P]")</f>
        <v/>
      </c>
      <c r="CD446" s="68" t="str" vm="15906">
        <f>CUBEVALUE(ConnectionString,ReportMonth,Table1[[#This Row],[Site ID (from DATIM)]],"[Measures].[MMS_180+_M_P]")</f>
        <v/>
      </c>
      <c r="CE446" s="68" t="str" vm="15796">
        <f>CUBEVALUE(ConnectionString,ReportMonth,Table1[[#This Row],[Site ID (from DATIM)]],"[Measures].[MMS_180+_F_A]")</f>
        <v/>
      </c>
      <c r="CF446" s="68" t="str" vm="14502">
        <f>CUBEVALUE(ConnectionString,ReportMonth,Table1[[#This Row],[Site ID (from DATIM)]],"[Measures].[MMS_180+_M_A]")</f>
        <v/>
      </c>
      <c r="CG446" s="68" vm="9399">
        <f>CUBEVALUE(ConnectionString,ReportMonth,Table1[[#This Row],[Site ID (from DATIM)]],"[Measures].[MISSEDAPP]")</f>
        <v>52</v>
      </c>
      <c r="CH446" s="68" t="str" vm="11467">
        <f>CUBEVALUE(ConnectionString,ReportMonth,Table1[[#This Row],[Site ID (from DATIM)]],"[Measures].[MMS_180+_P]")</f>
        <v/>
      </c>
      <c r="CI446" s="68" t="str" vm="13075">
        <f>CUBEVALUE(ConnectionString,ReportMonth,Table1[[#This Row],[Site ID (from DATIM)]],"[Measures].[MMS_180+_A]")</f>
        <v/>
      </c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  <c r="CW446" s="68"/>
      <c r="CX446" s="68"/>
      <c r="CY446" s="68"/>
      <c r="CZ446" s="68"/>
      <c r="DA446" s="68"/>
      <c r="DB446" s="68"/>
      <c r="DC446" s="68"/>
    </row>
    <row r="447" spans="1:107" x14ac:dyDescent="0.25">
      <c r="A447" s="66">
        <v>4</v>
      </c>
      <c r="B447" s="67" t="str" vm="4">
        <f t="shared" si="7"/>
        <v>Mar-2021</v>
      </c>
      <c r="C447" s="67"/>
      <c r="D447" s="67" t="s">
        <v>232</v>
      </c>
      <c r="E447" s="67" t="s">
        <v>233</v>
      </c>
      <c r="F447" s="67" t="s">
        <v>437</v>
      </c>
      <c r="G447" s="67"/>
      <c r="H447" s="67" t="s">
        <v>454</v>
      </c>
      <c r="I447" s="67" t="s">
        <v>556</v>
      </c>
      <c r="J447" s="67" t="s">
        <v>815</v>
      </c>
      <c r="K447" s="67" t="s">
        <v>816</v>
      </c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 t="str" vm="7353">
        <f>CUBEVALUE(ConnectionString,ReportMonth,Table1[[#This Row],[Site ID (from DATIM)]],"TX_NEW_2VIS")</f>
        <v/>
      </c>
      <c r="AE447" s="67" t="str" vm="2824">
        <f>CUBEVALUE(ConnectionString,ReportMonth,Table1[[#This Row],[Site ID (from DATIM)]],INDEX(SDI_Measures,1))</f>
        <v/>
      </c>
      <c r="AF447" s="67" t="str" vm="1487">
        <f>CUBEVALUE(ConnectionString,ReportMonth,Table1[[#This Row],[Site ID (from DATIM)]],INDEX(SDI_Measures,2))</f>
        <v/>
      </c>
      <c r="AG447" s="67" t="str" vm="2324">
        <f>CUBEVALUE(ConnectionString,ReportMonth,Table1[[#This Row],[Site ID (from DATIM)]],INDEX(SDI_Measures,3))</f>
        <v/>
      </c>
      <c r="AH447" s="67" vm="919">
        <f>CUBEVALUE(ConnectionString,ReportMonth,Table1[[#This Row],[Site ID (from DATIM)]],"TX_CURR_PRIOR_MONTH")</f>
        <v>67</v>
      </c>
      <c r="AI447" s="67" vm="3910">
        <f>CUBEVALUE(ConnectionString,ReportMonth,Table1[[#This Row],[Site ID (from DATIM)]],"TX_CURR")</f>
        <v>53</v>
      </c>
      <c r="AJ447" s="67" t="str" vm="1311">
        <f>CUBEVALUE(ConnectionString,ReportMonth,Table1[[#This Row],[Site ID (from DATIM)]],"[Measures].[TI]")</f>
        <v/>
      </c>
      <c r="AK447" s="67" t="str" vm="2521">
        <f>CUBEVALUE(ConnectionString,ReportMonth,Table1[[#This Row],[Site ID (from DATIM)]],"[Measures].[TO]")</f>
        <v/>
      </c>
      <c r="AL447" s="67" t="str" vm="962">
        <f>CUBEVALUE(ConnectionString,ReportMonth,Table1[[#This Row],[Site ID (from DATIM)]],"[Measures].[DIED]")</f>
        <v/>
      </c>
      <c r="AM447" s="67" vm="3541">
        <f>CUBEVALUE(ConnectionString,ReportMonth,Table1[[#This Row],[Site ID (from DATIM)]],"[Measures].[MMS_01_31]")</f>
        <v>32</v>
      </c>
      <c r="AN447" s="67" t="str" vm="5015">
        <f>CUBEVALUE(ConnectionString,ReportMonth,Table1[[#This Row],[Site ID (from DATIM)]],"[Measures].[MMS_32_62]")</f>
        <v/>
      </c>
      <c r="AO447" s="67" vm="7791">
        <f>CUBEVALUE(ConnectionString,ReportMonth,Table1[[#This Row],[Site ID (from DATIM)]],"[Measures].[MMS_63+]")</f>
        <v>21</v>
      </c>
      <c r="AP447" s="67" t="str" vm="5465">
        <f>CUBEVALUE(ConnectionString,ReportMonth,Table1[[#This Row],[Site ID (from DATIM)]],"[Measures].[TBPREV_D]")</f>
        <v/>
      </c>
      <c r="AQ447" s="67" t="str" vm="5229">
        <f>CUBEVALUE(ConnectionString,ReportMonth,Table1[[#This Row],[Site ID (from DATIM)]],"[Measures].[TBPREV_N]")</f>
        <v/>
      </c>
      <c r="AR447" s="67" t="str" vm="7647">
        <f>CUBEVALUE(ConnectionString,ReportMonth,Table1[[#This Row],[Site ID (from DATIM)]],"[Measures].[TBPREV_NEW]")</f>
        <v/>
      </c>
      <c r="AS447" s="67" vm="9617">
        <f>CUBEVALUE(ConnectionString,ReportMonth,Table1[[#This Row],[Site ID (from DATIM)]],"[Measures].[HVL_ELIG_P]")</f>
        <v>1</v>
      </c>
      <c r="AT447" s="67" vm="7849">
        <f>CUBEVALUE(ConnectionString,ReportMonth,Table1[[#This Row],[Site ID (from DATIM)]],"[Measures].[HVL_D_P]")</f>
        <v>2</v>
      </c>
      <c r="AU447" s="67" vm="9416">
        <f>CUBEVALUE(ConnectionString,ReportMonth,Table1[[#This Row],[Site ID (from DATIM)]],"[Measures].[HVL_N_P]")</f>
        <v>2</v>
      </c>
      <c r="AV447" s="68" vm="8648">
        <f>CUBEVALUE(ConnectionString,ReportMonth,Table1[[#This Row],[Site ID (from DATIM)]],"[Measures].[HVL_ELIG_A]")</f>
        <v>38</v>
      </c>
      <c r="AW447" s="68" vm="12673">
        <f>CUBEVALUE(ConnectionString,ReportMonth,Table1[[#This Row],[Site ID (from DATIM)]],"[Measures].[HVL_D_A]")</f>
        <v>38</v>
      </c>
      <c r="AX447" s="68" vm="8982">
        <f>CUBEVALUE(ConnectionString,ReportMonth,Table1[[#This Row],[Site ID (from DATIM)]],"[Measures].[HVL_N_A]")</f>
        <v>37</v>
      </c>
      <c r="AY447" s="67"/>
      <c r="AZ447" s="67"/>
      <c r="BA447" s="67"/>
      <c r="BB447" s="67"/>
      <c r="BC447" s="67"/>
      <c r="BD447" s="67"/>
      <c r="BE447" s="67"/>
      <c r="BF447" s="67"/>
      <c r="BG447" s="67" t="str" vm="13683">
        <f>CUBEVALUE(ConnectionString,ReportMonth,Table1[[#This Row],[Site ID (from DATIM)]],"[Measures].[TX_NEW_F_A]")</f>
        <v/>
      </c>
      <c r="BH447" s="67" t="str" vm="12176">
        <f>CUBEVALUE(ConnectionString,ReportMonth,Table1[[#This Row],[Site ID (from DATIM)]],"[Measures].[TX_NEW_M_A]")</f>
        <v/>
      </c>
      <c r="BI447" s="67" t="str" vm="12062">
        <f>CUBEVALUE(ConnectionString,ReportMonth,Table1[[#This Row],[Site ID (from DATIM)]],"[Measures].[TX_NEW_F_P]")</f>
        <v/>
      </c>
      <c r="BJ447" s="68" t="str" vm="15667">
        <f>CUBEVALUE(ConnectionString,ReportMonth,Table1[[#This Row],[Site ID (from DATIM)]],"[Measures].[TX_NEW_M_P]")</f>
        <v/>
      </c>
      <c r="BK447" s="68"/>
      <c r="BL447" s="68"/>
      <c r="BM447" s="68"/>
      <c r="BN447" s="68"/>
      <c r="BO447" s="68"/>
      <c r="BP447" s="68"/>
      <c r="BQ447" s="68" vm="8621">
        <f>CUBEVALUE(ConnectionString,ReportMonth,Table1[[#This Row],[Site ID (from DATIM)]],"[Measures].[TX_CURR_F_P]")</f>
        <v>1</v>
      </c>
      <c r="BR447" s="68" t="str" vm="12627">
        <f>CUBEVALUE(ConnectionString,ReportMonth,Table1[[#This Row],[Site ID (from DATIM)]],"[Measures].[TX_CURR_M_P]")</f>
        <v/>
      </c>
      <c r="BS447" s="68" vm="14151">
        <f>CUBEVALUE(ConnectionString,ReportMonth,Table1[[#This Row],[Site ID (from DATIM)]],"[Measures].[TX_CURR_F_A]")</f>
        <v>50</v>
      </c>
      <c r="BT447" s="68" vm="12195">
        <f>CUBEVALUE(ConnectionString,ReportMonth,Table1[[#This Row],[Site ID (from DATIM)]],"[Measures].[TX_CURR_M_A]")</f>
        <v>2</v>
      </c>
      <c r="BU447" s="68" t="str" vm="18407">
        <f>CUBEVALUE(ConnectionString,ReportMonth,Table1[[#This Row],[Site ID (from DATIM)]],"[Measures].[MMS_01_89_F_P]")</f>
        <v/>
      </c>
      <c r="BV447" s="68" t="str" vm="19147">
        <f>CUBEVALUE(ConnectionString,ReportMonth,Table1[[#This Row],[Site ID (from DATIM)]],"[Measures].[MMS_01_89_M_P]")</f>
        <v/>
      </c>
      <c r="BW447" s="68" vm="19988">
        <f>CUBEVALUE(ConnectionString,ReportMonth,Table1[[#This Row],[Site ID (from DATIM)]],"[Measures].[MMS_01_89_F_A]")</f>
        <v>32</v>
      </c>
      <c r="BX447" s="68" t="str" vm="20010">
        <f>CUBEVALUE(ConnectionString,ReportMonth,Table1[[#This Row],[Site ID (from DATIM)]],"[Measures].[MMS_01_89_M_A]")</f>
        <v/>
      </c>
      <c r="BY447" s="68" vm="17809">
        <f>CUBEVALUE(ConnectionString,ReportMonth,Table1[[#This Row],[Site ID (from DATIM)]],"[Measures].[MMS_90_179_F_P]")</f>
        <v>1</v>
      </c>
      <c r="BZ447" s="68" t="str" vm="19610">
        <f>CUBEVALUE(ConnectionString,ReportMonth,Table1[[#This Row],[Site ID (from DATIM)]],"[Measures].[MMS_90_179_M_P]")</f>
        <v/>
      </c>
      <c r="CA447" s="68" vm="14786">
        <f>CUBEVALUE(ConnectionString,ReportMonth,Table1[[#This Row],[Site ID (from DATIM)]],"[Measures].[MMS_90_179_F_A]")</f>
        <v>18</v>
      </c>
      <c r="CB447" s="68" vm="16415">
        <f>CUBEVALUE(ConnectionString,ReportMonth,Table1[[#This Row],[Site ID (from DATIM)]],"[Measures].[MMS_90_179_M_A]")</f>
        <v>2</v>
      </c>
      <c r="CC447" s="68" t="str" vm="14671">
        <f>CUBEVALUE(ConnectionString,ReportMonth,Table1[[#This Row],[Site ID (from DATIM)]],"[Measures].[MMS_180+_F_P]")</f>
        <v/>
      </c>
      <c r="CD447" s="68" t="str" vm="15353">
        <f>CUBEVALUE(ConnectionString,ReportMonth,Table1[[#This Row],[Site ID (from DATIM)]],"[Measures].[MMS_180+_M_P]")</f>
        <v/>
      </c>
      <c r="CE447" s="68" t="str" vm="16320">
        <f>CUBEVALUE(ConnectionString,ReportMonth,Table1[[#This Row],[Site ID (from DATIM)]],"[Measures].[MMS_180+_F_A]")</f>
        <v/>
      </c>
      <c r="CF447" s="68" t="str" vm="16206">
        <f>CUBEVALUE(ConnectionString,ReportMonth,Table1[[#This Row],[Site ID (from DATIM)]],"[Measures].[MMS_180+_M_A]")</f>
        <v/>
      </c>
      <c r="CG447" s="68" vm="8496">
        <f>CUBEVALUE(ConnectionString,ReportMonth,Table1[[#This Row],[Site ID (from DATIM)]],"[Measures].[MISSEDAPP]")</f>
        <v>33</v>
      </c>
      <c r="CH447" s="68" t="str" vm="14155">
        <f>CUBEVALUE(ConnectionString,ReportMonth,Table1[[#This Row],[Site ID (from DATIM)]],"[Measures].[MMS_180+_P]")</f>
        <v/>
      </c>
      <c r="CI447" s="68" t="str" vm="15282">
        <f>CUBEVALUE(ConnectionString,ReportMonth,Table1[[#This Row],[Site ID (from DATIM)]],"[Measures].[MMS_180+_A]")</f>
        <v/>
      </c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  <c r="CW447" s="68"/>
      <c r="CX447" s="68"/>
      <c r="CY447" s="68"/>
      <c r="CZ447" s="68"/>
      <c r="DA447" s="68"/>
      <c r="DB447" s="68"/>
      <c r="DC447" s="68"/>
    </row>
    <row r="448" spans="1:107" x14ac:dyDescent="0.25">
      <c r="A448" s="66">
        <v>4</v>
      </c>
      <c r="B448" s="67" t="str" vm="4">
        <f t="shared" si="7"/>
        <v>Mar-2021</v>
      </c>
      <c r="C448" s="67"/>
      <c r="D448" s="67" t="s">
        <v>232</v>
      </c>
      <c r="E448" s="67" t="s">
        <v>233</v>
      </c>
      <c r="F448" s="67" t="s">
        <v>1286</v>
      </c>
      <c r="G448" s="67"/>
      <c r="H448" s="67" t="s">
        <v>1307</v>
      </c>
      <c r="I448" s="67" t="s">
        <v>1539</v>
      </c>
      <c r="J448" s="67" t="s">
        <v>1540</v>
      </c>
      <c r="K448" s="67" t="s">
        <v>1541</v>
      </c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 t="str" vm="961">
        <f>CUBEVALUE(ConnectionString,ReportMonth,Table1[[#This Row],[Site ID (from DATIM)]],"TX_NEW_2VIS")</f>
        <v/>
      </c>
      <c r="AE448" s="67" t="str" vm="1605">
        <f>CUBEVALUE(ConnectionString,ReportMonth,Table1[[#This Row],[Site ID (from DATIM)]],INDEX(SDI_Measures,1))</f>
        <v/>
      </c>
      <c r="AF448" s="67" t="str" vm="10471">
        <f>CUBEVALUE(ConnectionString,ReportMonth,Table1[[#This Row],[Site ID (from DATIM)]],INDEX(SDI_Measures,2))</f>
        <v/>
      </c>
      <c r="AG448" s="67" t="str" vm="1771">
        <f>CUBEVALUE(ConnectionString,ReportMonth,Table1[[#This Row],[Site ID (from DATIM)]],INDEX(SDI_Measures,3))</f>
        <v/>
      </c>
      <c r="AH448" s="67" t="str" vm="803">
        <f>CUBEVALUE(ConnectionString,ReportMonth,Table1[[#This Row],[Site ID (from DATIM)]],"TX_CURR_PRIOR_MONTH")</f>
        <v/>
      </c>
      <c r="AI448" s="67" t="str" vm="2342">
        <f>CUBEVALUE(ConnectionString,ReportMonth,Table1[[#This Row],[Site ID (from DATIM)]],"TX_CURR")</f>
        <v/>
      </c>
      <c r="AJ448" s="67" t="str" vm="637">
        <f>CUBEVALUE(ConnectionString,ReportMonth,Table1[[#This Row],[Site ID (from DATIM)]],"[Measures].[TI]")</f>
        <v/>
      </c>
      <c r="AK448" s="67" t="str" vm="5861">
        <f>CUBEVALUE(ConnectionString,ReportMonth,Table1[[#This Row],[Site ID (from DATIM)]],"[Measures].[TO]")</f>
        <v/>
      </c>
      <c r="AL448" s="67" t="str" vm="808">
        <f>CUBEVALUE(ConnectionString,ReportMonth,Table1[[#This Row],[Site ID (from DATIM)]],"[Measures].[DIED]")</f>
        <v/>
      </c>
      <c r="AM448" s="67" t="str" vm="4294">
        <f>CUBEVALUE(ConnectionString,ReportMonth,Table1[[#This Row],[Site ID (from DATIM)]],"[Measures].[MMS_01_31]")</f>
        <v/>
      </c>
      <c r="AN448" s="67" t="str" vm="13215">
        <f>CUBEVALUE(ConnectionString,ReportMonth,Table1[[#This Row],[Site ID (from DATIM)]],"[Measures].[MMS_32_62]")</f>
        <v/>
      </c>
      <c r="AO448" s="67" t="str" vm="11570">
        <f>CUBEVALUE(ConnectionString,ReportMonth,Table1[[#This Row],[Site ID (from DATIM)]],"[Measures].[MMS_63+]")</f>
        <v/>
      </c>
      <c r="AP448" s="67" t="str" vm="11286">
        <f>CUBEVALUE(ConnectionString,ReportMonth,Table1[[#This Row],[Site ID (from DATIM)]],"[Measures].[TBPREV_D]")</f>
        <v/>
      </c>
      <c r="AQ448" s="67" t="str" vm="9044">
        <f>CUBEVALUE(ConnectionString,ReportMonth,Table1[[#This Row],[Site ID (from DATIM)]],"[Measures].[TBPREV_N]")</f>
        <v/>
      </c>
      <c r="AR448" s="67" t="str" vm="5313">
        <f>CUBEVALUE(ConnectionString,ReportMonth,Table1[[#This Row],[Site ID (from DATIM)]],"[Measures].[TBPREV_NEW]")</f>
        <v/>
      </c>
      <c r="AS448" s="67" t="str" vm="10250">
        <f>CUBEVALUE(ConnectionString,ReportMonth,Table1[[#This Row],[Site ID (from DATIM)]],"[Measures].[HVL_ELIG_P]")</f>
        <v/>
      </c>
      <c r="AT448" s="67" t="str" vm="7684">
        <f>CUBEVALUE(ConnectionString,ReportMonth,Table1[[#This Row],[Site ID (from DATIM)]],"[Measures].[HVL_D_P]")</f>
        <v/>
      </c>
      <c r="AU448" s="67" t="str" vm="9437">
        <f>CUBEVALUE(ConnectionString,ReportMonth,Table1[[#This Row],[Site ID (from DATIM)]],"[Measures].[HVL_N_P]")</f>
        <v/>
      </c>
      <c r="AV448" s="68" t="str" vm="9508">
        <f>CUBEVALUE(ConnectionString,ReportMonth,Table1[[#This Row],[Site ID (from DATIM)]],"[Measures].[HVL_ELIG_A]")</f>
        <v/>
      </c>
      <c r="AW448" s="68" t="str" vm="12408">
        <f>CUBEVALUE(ConnectionString,ReportMonth,Table1[[#This Row],[Site ID (from DATIM)]],"[Measures].[HVL_D_A]")</f>
        <v/>
      </c>
      <c r="AX448" s="68" t="str" vm="13017">
        <f>CUBEVALUE(ConnectionString,ReportMonth,Table1[[#This Row],[Site ID (from DATIM)]],"[Measures].[HVL_N_A]")</f>
        <v/>
      </c>
      <c r="AY448" s="67"/>
      <c r="AZ448" s="67"/>
      <c r="BA448" s="67"/>
      <c r="BB448" s="67"/>
      <c r="BC448" s="67"/>
      <c r="BD448" s="67"/>
      <c r="BE448" s="67"/>
      <c r="BF448" s="67"/>
      <c r="BG448" s="67" t="str" vm="13837">
        <f>CUBEVALUE(ConnectionString,ReportMonth,Table1[[#This Row],[Site ID (from DATIM)]],"[Measures].[TX_NEW_F_A]")</f>
        <v/>
      </c>
      <c r="BH448" s="67" t="str" vm="12300">
        <f>CUBEVALUE(ConnectionString,ReportMonth,Table1[[#This Row],[Site ID (from DATIM)]],"[Measures].[TX_NEW_M_A]")</f>
        <v/>
      </c>
      <c r="BI448" s="67" t="str" vm="17004">
        <f>CUBEVALUE(ConnectionString,ReportMonth,Table1[[#This Row],[Site ID (from DATIM)]],"[Measures].[TX_NEW_F_P]")</f>
        <v/>
      </c>
      <c r="BJ448" s="68" t="str" vm="15255">
        <f>CUBEVALUE(ConnectionString,ReportMonth,Table1[[#This Row],[Site ID (from DATIM)]],"[Measures].[TX_NEW_M_P]")</f>
        <v/>
      </c>
      <c r="BK448" s="68"/>
      <c r="BL448" s="68"/>
      <c r="BM448" s="68"/>
      <c r="BN448" s="68"/>
      <c r="BO448" s="68"/>
      <c r="BP448" s="68"/>
      <c r="BQ448" s="68" t="str" vm="9661">
        <f>CUBEVALUE(ConnectionString,ReportMonth,Table1[[#This Row],[Site ID (from DATIM)]],"[Measures].[TX_CURR_F_P]")</f>
        <v/>
      </c>
      <c r="BR448" s="68" t="str" vm="7301">
        <f>CUBEVALUE(ConnectionString,ReportMonth,Table1[[#This Row],[Site ID (from DATIM)]],"[Measures].[TX_CURR_M_P]")</f>
        <v/>
      </c>
      <c r="BS448" s="68" t="str" vm="11205">
        <f>CUBEVALUE(ConnectionString,ReportMonth,Table1[[#This Row],[Site ID (from DATIM)]],"[Measures].[TX_CURR_F_A]")</f>
        <v/>
      </c>
      <c r="BT448" s="68" t="str" vm="10170">
        <f>CUBEVALUE(ConnectionString,ReportMonth,Table1[[#This Row],[Site ID (from DATIM)]],"[Measures].[TX_CURR_M_A]")</f>
        <v/>
      </c>
      <c r="BU448" s="68" t="str" vm="19805">
        <f>CUBEVALUE(ConnectionString,ReportMonth,Table1[[#This Row],[Site ID (from DATIM)]],"[Measures].[MMS_01_89_F_P]")</f>
        <v/>
      </c>
      <c r="BV448" s="68" t="str" vm="19453">
        <f>CUBEVALUE(ConnectionString,ReportMonth,Table1[[#This Row],[Site ID (from DATIM)]],"[Measures].[MMS_01_89_M_P]")</f>
        <v/>
      </c>
      <c r="BW448" s="68" t="str" vm="19687">
        <f>CUBEVALUE(ConnectionString,ReportMonth,Table1[[#This Row],[Site ID (from DATIM)]],"[Measures].[MMS_01_89_F_A]")</f>
        <v/>
      </c>
      <c r="BX448" s="68" t="str" vm="19429">
        <f>CUBEVALUE(ConnectionString,ReportMonth,Table1[[#This Row],[Site ID (from DATIM)]],"[Measures].[MMS_01_89_M_A]")</f>
        <v/>
      </c>
      <c r="BY448" s="68" t="str" vm="16996">
        <f>CUBEVALUE(ConnectionString,ReportMonth,Table1[[#This Row],[Site ID (from DATIM)]],"[Measures].[MMS_90_179_F_P]")</f>
        <v/>
      </c>
      <c r="BZ448" s="68" t="str" vm="16975">
        <f>CUBEVALUE(ConnectionString,ReportMonth,Table1[[#This Row],[Site ID (from DATIM)]],"[Measures].[MMS_90_179_M_P]")</f>
        <v/>
      </c>
      <c r="CA448" s="68" t="str" vm="15999">
        <f>CUBEVALUE(ConnectionString,ReportMonth,Table1[[#This Row],[Site ID (from DATIM)]],"[Measures].[MMS_90_179_F_A]")</f>
        <v/>
      </c>
      <c r="CB448" s="68" t="str" vm="18444">
        <f>CUBEVALUE(ConnectionString,ReportMonth,Table1[[#This Row],[Site ID (from DATIM)]],"[Measures].[MMS_90_179_M_A]")</f>
        <v/>
      </c>
      <c r="CC448" s="68" t="str" vm="15503">
        <f>CUBEVALUE(ConnectionString,ReportMonth,Table1[[#This Row],[Site ID (from DATIM)]],"[Measures].[MMS_180+_F_P]")</f>
        <v/>
      </c>
      <c r="CD448" s="68" t="str" vm="15442">
        <f>CUBEVALUE(ConnectionString,ReportMonth,Table1[[#This Row],[Site ID (from DATIM)]],"[Measures].[MMS_180+_M_P]")</f>
        <v/>
      </c>
      <c r="CE448" s="68" t="str" vm="16289">
        <f>CUBEVALUE(ConnectionString,ReportMonth,Table1[[#This Row],[Site ID (from DATIM)]],"[Measures].[MMS_180+_F_A]")</f>
        <v/>
      </c>
      <c r="CF448" s="68" t="str" vm="270">
        <f>CUBEVALUE(ConnectionString,ReportMonth,Table1[[#This Row],[Site ID (from DATIM)]],"[Measures].[MMS_180+_M_A]")</f>
        <v/>
      </c>
      <c r="CG448" s="68" t="str" vm="5956">
        <f>CUBEVALUE(ConnectionString,ReportMonth,Table1[[#This Row],[Site ID (from DATIM)]],"[Measures].[MISSEDAPP]")</f>
        <v/>
      </c>
      <c r="CH448" s="68" t="str" vm="13226">
        <f>CUBEVALUE(ConnectionString,ReportMonth,Table1[[#This Row],[Site ID (from DATIM)]],"[Measures].[MMS_180+_P]")</f>
        <v/>
      </c>
      <c r="CI448" s="68" t="str" vm="10988">
        <f>CUBEVALUE(ConnectionString,ReportMonth,Table1[[#This Row],[Site ID (from DATIM)]],"[Measures].[MMS_180+_A]")</f>
        <v/>
      </c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  <c r="CW448" s="68"/>
      <c r="CX448" s="68"/>
      <c r="CY448" s="68"/>
      <c r="CZ448" s="68"/>
      <c r="DA448" s="68"/>
      <c r="DB448" s="68"/>
      <c r="DC448" s="68"/>
    </row>
    <row r="449" spans="1:107" x14ac:dyDescent="0.25">
      <c r="A449" s="66">
        <v>4</v>
      </c>
      <c r="B449" s="67" t="str" vm="4">
        <f t="shared" si="7"/>
        <v>Mar-2021</v>
      </c>
      <c r="C449" s="67"/>
      <c r="D449" s="67" t="s">
        <v>232</v>
      </c>
      <c r="E449" s="67" t="s">
        <v>233</v>
      </c>
      <c r="F449" s="67" t="s">
        <v>1286</v>
      </c>
      <c r="G449" s="67"/>
      <c r="H449" s="67" t="s">
        <v>1287</v>
      </c>
      <c r="I449" s="67" t="s">
        <v>1460</v>
      </c>
      <c r="J449" s="67" t="s">
        <v>1542</v>
      </c>
      <c r="K449" s="67" t="s">
        <v>1543</v>
      </c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 t="str" vm="3566">
        <f>CUBEVALUE(ConnectionString,ReportMonth,Table1[[#This Row],[Site ID (from DATIM)]],"TX_NEW_2VIS")</f>
        <v/>
      </c>
      <c r="AE449" s="67" t="str" vm="13488">
        <f>CUBEVALUE(ConnectionString,ReportMonth,Table1[[#This Row],[Site ID (from DATIM)]],INDEX(SDI_Measures,1))</f>
        <v/>
      </c>
      <c r="AF449" s="67" t="str" vm="212">
        <f>CUBEVALUE(ConnectionString,ReportMonth,Table1[[#This Row],[Site ID (from DATIM)]],INDEX(SDI_Measures,2))</f>
        <v/>
      </c>
      <c r="AG449" s="67" t="str" vm="346">
        <f>CUBEVALUE(ConnectionString,ReportMonth,Table1[[#This Row],[Site ID (from DATIM)]],INDEX(SDI_Measures,3))</f>
        <v/>
      </c>
      <c r="AH449" s="67" t="str" vm="1045">
        <f>CUBEVALUE(ConnectionString,ReportMonth,Table1[[#This Row],[Site ID (from DATIM)]],"TX_CURR_PRIOR_MONTH")</f>
        <v/>
      </c>
      <c r="AI449" s="67" t="str" vm="1602">
        <f>CUBEVALUE(ConnectionString,ReportMonth,Table1[[#This Row],[Site ID (from DATIM)]],"TX_CURR")</f>
        <v/>
      </c>
      <c r="AJ449" s="67" t="str" vm="1900">
        <f>CUBEVALUE(ConnectionString,ReportMonth,Table1[[#This Row],[Site ID (from DATIM)]],"[Measures].[TI]")</f>
        <v/>
      </c>
      <c r="AK449" s="67" t="str" vm="2437">
        <f>CUBEVALUE(ConnectionString,ReportMonth,Table1[[#This Row],[Site ID (from DATIM)]],"[Measures].[TO]")</f>
        <v/>
      </c>
      <c r="AL449" s="67" t="str" vm="3494">
        <f>CUBEVALUE(ConnectionString,ReportMonth,Table1[[#This Row],[Site ID (from DATIM)]],"[Measures].[DIED]")</f>
        <v/>
      </c>
      <c r="AM449" s="67" t="str" vm="4814">
        <f>CUBEVALUE(ConnectionString,ReportMonth,Table1[[#This Row],[Site ID (from DATIM)]],"[Measures].[MMS_01_31]")</f>
        <v/>
      </c>
      <c r="AN449" s="67" t="str" vm="6193">
        <f>CUBEVALUE(ConnectionString,ReportMonth,Table1[[#This Row],[Site ID (from DATIM)]],"[Measures].[MMS_32_62]")</f>
        <v/>
      </c>
      <c r="AO449" s="67" t="str" vm="7673">
        <f>CUBEVALUE(ConnectionString,ReportMonth,Table1[[#This Row],[Site ID (from DATIM)]],"[Measures].[MMS_63+]")</f>
        <v/>
      </c>
      <c r="AP449" s="67" t="str" vm="5791">
        <f>CUBEVALUE(ConnectionString,ReportMonth,Table1[[#This Row],[Site ID (from DATIM)]],"[Measures].[TBPREV_D]")</f>
        <v/>
      </c>
      <c r="AQ449" s="67" t="str" vm="7657">
        <f>CUBEVALUE(ConnectionString,ReportMonth,Table1[[#This Row],[Site ID (from DATIM)]],"[Measures].[TBPREV_N]")</f>
        <v/>
      </c>
      <c r="AR449" s="67" t="str" vm="5632">
        <f>CUBEVALUE(ConnectionString,ReportMonth,Table1[[#This Row],[Site ID (from DATIM)]],"[Measures].[TBPREV_NEW]")</f>
        <v/>
      </c>
      <c r="AS449" s="67" t="str" vm="5702">
        <f>CUBEVALUE(ConnectionString,ReportMonth,Table1[[#This Row],[Site ID (from DATIM)]],"[Measures].[HVL_ELIG_P]")</f>
        <v/>
      </c>
      <c r="AT449" s="67" t="str" vm="10721">
        <f>CUBEVALUE(ConnectionString,ReportMonth,Table1[[#This Row],[Site ID (from DATIM)]],"[Measures].[HVL_D_P]")</f>
        <v/>
      </c>
      <c r="AU449" s="67" t="str" vm="8437">
        <f>CUBEVALUE(ConnectionString,ReportMonth,Table1[[#This Row],[Site ID (from DATIM)]],"[Measures].[HVL_N_P]")</f>
        <v/>
      </c>
      <c r="AV449" s="68" t="str" vm="9453">
        <f>CUBEVALUE(ConnectionString,ReportMonth,Table1[[#This Row],[Site ID (from DATIM)]],"[Measures].[HVL_ELIG_A]")</f>
        <v/>
      </c>
      <c r="AW449" s="68" t="str" vm="10547">
        <f>CUBEVALUE(ConnectionString,ReportMonth,Table1[[#This Row],[Site ID (from DATIM)]],"[Measures].[HVL_D_A]")</f>
        <v/>
      </c>
      <c r="AX449" s="68" t="str" vm="9636">
        <f>CUBEVALUE(ConnectionString,ReportMonth,Table1[[#This Row],[Site ID (from DATIM)]],"[Measures].[HVL_N_A]")</f>
        <v/>
      </c>
      <c r="AY449" s="67"/>
      <c r="AZ449" s="67"/>
      <c r="BA449" s="67"/>
      <c r="BB449" s="67"/>
      <c r="BC449" s="67"/>
      <c r="BD449" s="67"/>
      <c r="BE449" s="67"/>
      <c r="BF449" s="67"/>
      <c r="BG449" s="67" t="str" vm="17414">
        <f>CUBEVALUE(ConnectionString,ReportMonth,Table1[[#This Row],[Site ID (from DATIM)]],"[Measures].[TX_NEW_F_A]")</f>
        <v/>
      </c>
      <c r="BH449" s="67" t="str" vm="13633">
        <f>CUBEVALUE(ConnectionString,ReportMonth,Table1[[#This Row],[Site ID (from DATIM)]],"[Measures].[TX_NEW_M_A]")</f>
        <v/>
      </c>
      <c r="BI449" s="67" t="str" vm="13124">
        <f>CUBEVALUE(ConnectionString,ReportMonth,Table1[[#This Row],[Site ID (from DATIM)]],"[Measures].[TX_NEW_F_P]")</f>
        <v/>
      </c>
      <c r="BJ449" s="68" t="str" vm="13460">
        <f>CUBEVALUE(ConnectionString,ReportMonth,Table1[[#This Row],[Site ID (from DATIM)]],"[Measures].[TX_NEW_M_P]")</f>
        <v/>
      </c>
      <c r="BK449" s="68"/>
      <c r="BL449" s="68"/>
      <c r="BM449" s="68"/>
      <c r="BN449" s="68"/>
      <c r="BO449" s="68"/>
      <c r="BP449" s="68"/>
      <c r="BQ449" s="68" t="str" vm="6582">
        <f>CUBEVALUE(ConnectionString,ReportMonth,Table1[[#This Row],[Site ID (from DATIM)]],"[Measures].[TX_CURR_F_P]")</f>
        <v/>
      </c>
      <c r="BR449" s="68" t="str" vm="9698">
        <f>CUBEVALUE(ConnectionString,ReportMonth,Table1[[#This Row],[Site ID (from DATIM)]],"[Measures].[TX_CURR_M_P]")</f>
        <v/>
      </c>
      <c r="BS449" s="68" t="str" vm="11555">
        <f>CUBEVALUE(ConnectionString,ReportMonth,Table1[[#This Row],[Site ID (from DATIM)]],"[Measures].[TX_CURR_F_A]")</f>
        <v/>
      </c>
      <c r="BT449" s="68" t="str" vm="11693">
        <f>CUBEVALUE(ConnectionString,ReportMonth,Table1[[#This Row],[Site ID (from DATIM)]],"[Measures].[TX_CURR_M_A]")</f>
        <v/>
      </c>
      <c r="BU449" s="68" t="str" vm="19896">
        <f>CUBEVALUE(ConnectionString,ReportMonth,Table1[[#This Row],[Site ID (from DATIM)]],"[Measures].[MMS_01_89_F_P]")</f>
        <v/>
      </c>
      <c r="BV449" s="68" t="str" vm="18071">
        <f>CUBEVALUE(ConnectionString,ReportMonth,Table1[[#This Row],[Site ID (from DATIM)]],"[Measures].[MMS_01_89_M_P]")</f>
        <v/>
      </c>
      <c r="BW449" s="68" t="str" vm="18590">
        <f>CUBEVALUE(ConnectionString,ReportMonth,Table1[[#This Row],[Site ID (from DATIM)]],"[Measures].[MMS_01_89_F_A]")</f>
        <v/>
      </c>
      <c r="BX449" s="68" t="str" vm="18912">
        <f>CUBEVALUE(ConnectionString,ReportMonth,Table1[[#This Row],[Site ID (from DATIM)]],"[Measures].[MMS_01_89_M_A]")</f>
        <v/>
      </c>
      <c r="BY449" s="68" t="str" vm="19901">
        <f>CUBEVALUE(ConnectionString,ReportMonth,Table1[[#This Row],[Site ID (from DATIM)]],"[Measures].[MMS_90_179_F_P]")</f>
        <v/>
      </c>
      <c r="BZ449" s="68" t="str" vm="15496">
        <f>CUBEVALUE(ConnectionString,ReportMonth,Table1[[#This Row],[Site ID (from DATIM)]],"[Measures].[MMS_90_179_M_P]")</f>
        <v/>
      </c>
      <c r="CA449" s="68" t="str" vm="16895">
        <f>CUBEVALUE(ConnectionString,ReportMonth,Table1[[#This Row],[Site ID (from DATIM)]],"[Measures].[MMS_90_179_F_A]")</f>
        <v/>
      </c>
      <c r="CB449" s="68" t="str" vm="16438">
        <f>CUBEVALUE(ConnectionString,ReportMonth,Table1[[#This Row],[Site ID (from DATIM)]],"[Measures].[MMS_90_179_M_A]")</f>
        <v/>
      </c>
      <c r="CC449" s="68" t="str" vm="17698">
        <f>CUBEVALUE(ConnectionString,ReportMonth,Table1[[#This Row],[Site ID (from DATIM)]],"[Measures].[MMS_180+_F_P]")</f>
        <v/>
      </c>
      <c r="CD449" s="68" t="str" vm="17227">
        <f>CUBEVALUE(ConnectionString,ReportMonth,Table1[[#This Row],[Site ID (from DATIM)]],"[Measures].[MMS_180+_M_P]")</f>
        <v/>
      </c>
      <c r="CE449" s="68" t="str" vm="14507">
        <f>CUBEVALUE(ConnectionString,ReportMonth,Table1[[#This Row],[Site ID (from DATIM)]],"[Measures].[MMS_180+_F_A]")</f>
        <v/>
      </c>
      <c r="CF449" s="68" t="str" vm="20198">
        <f>CUBEVALUE(ConnectionString,ReportMonth,Table1[[#This Row],[Site ID (from DATIM)]],"[Measures].[MMS_180+_M_A]")</f>
        <v/>
      </c>
      <c r="CG449" s="68" t="str" vm="5267">
        <f>CUBEVALUE(ConnectionString,ReportMonth,Table1[[#This Row],[Site ID (from DATIM)]],"[Measures].[MISSEDAPP]")</f>
        <v/>
      </c>
      <c r="CH449" s="68" t="str" vm="11699">
        <f>CUBEVALUE(ConnectionString,ReportMonth,Table1[[#This Row],[Site ID (from DATIM)]],"[Measures].[MMS_180+_P]")</f>
        <v/>
      </c>
      <c r="CI449" s="68" t="str" vm="13612">
        <f>CUBEVALUE(ConnectionString,ReportMonth,Table1[[#This Row],[Site ID (from DATIM)]],"[Measures].[MMS_180+_A]")</f>
        <v/>
      </c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  <c r="CW449" s="68"/>
      <c r="CX449" s="68"/>
      <c r="CY449" s="68"/>
      <c r="CZ449" s="68"/>
      <c r="DA449" s="68"/>
      <c r="DB449" s="68"/>
      <c r="DC449" s="68"/>
    </row>
    <row r="450" spans="1:107" x14ac:dyDescent="0.25">
      <c r="A450" s="66">
        <v>3</v>
      </c>
      <c r="B450" s="67" t="str" vm="4">
        <f t="shared" si="7"/>
        <v>Mar-2021</v>
      </c>
      <c r="C450" s="67"/>
      <c r="D450" s="67" t="s">
        <v>232</v>
      </c>
      <c r="E450" s="67" t="s">
        <v>233</v>
      </c>
      <c r="F450" s="67" t="s">
        <v>1286</v>
      </c>
      <c r="G450" s="67"/>
      <c r="H450" s="67" t="s">
        <v>1287</v>
      </c>
      <c r="I450" s="67" t="s">
        <v>1435</v>
      </c>
      <c r="J450" s="67" t="s">
        <v>1544</v>
      </c>
      <c r="K450" s="67" t="s">
        <v>1545</v>
      </c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 t="str" vm="2025">
        <f>CUBEVALUE(ConnectionString,ReportMonth,Table1[[#This Row],[Site ID (from DATIM)]],"TX_NEW_2VIS")</f>
        <v/>
      </c>
      <c r="AE450" s="67" t="str" vm="1252">
        <f>CUBEVALUE(ConnectionString,ReportMonth,Table1[[#This Row],[Site ID (from DATIM)]],INDEX(SDI_Measures,1))</f>
        <v/>
      </c>
      <c r="AF450" s="67" t="str" vm="2260">
        <f>CUBEVALUE(ConnectionString,ReportMonth,Table1[[#This Row],[Site ID (from DATIM)]],INDEX(SDI_Measures,2))</f>
        <v/>
      </c>
      <c r="AG450" s="67" t="str" vm="6514">
        <f>CUBEVALUE(ConnectionString,ReportMonth,Table1[[#This Row],[Site ID (from DATIM)]],INDEX(SDI_Measures,3))</f>
        <v/>
      </c>
      <c r="AH450" s="67" t="str" vm="1723">
        <f>CUBEVALUE(ConnectionString,ReportMonth,Table1[[#This Row],[Site ID (from DATIM)]],"TX_CURR_PRIOR_MONTH")</f>
        <v/>
      </c>
      <c r="AI450" s="67" t="str" vm="2640">
        <f>CUBEVALUE(ConnectionString,ReportMonth,Table1[[#This Row],[Site ID (from DATIM)]],"TX_CURR")</f>
        <v/>
      </c>
      <c r="AJ450" s="67" t="str" vm="1814">
        <f>CUBEVALUE(ConnectionString,ReportMonth,Table1[[#This Row],[Site ID (from DATIM)]],"[Measures].[TI]")</f>
        <v/>
      </c>
      <c r="AK450" s="67" t="str" vm="4034">
        <f>CUBEVALUE(ConnectionString,ReportMonth,Table1[[#This Row],[Site ID (from DATIM)]],"[Measures].[TO]")</f>
        <v/>
      </c>
      <c r="AL450" s="67" t="str" vm="2753">
        <f>CUBEVALUE(ConnectionString,ReportMonth,Table1[[#This Row],[Site ID (from DATIM)]],"[Measures].[DIED]")</f>
        <v/>
      </c>
      <c r="AM450" s="67" t="str" vm="4039">
        <f>CUBEVALUE(ConnectionString,ReportMonth,Table1[[#This Row],[Site ID (from DATIM)]],"[Measures].[MMS_01_31]")</f>
        <v/>
      </c>
      <c r="AN450" s="67" t="str" vm="7553">
        <f>CUBEVALUE(ConnectionString,ReportMonth,Table1[[#This Row],[Site ID (from DATIM)]],"[Measures].[MMS_32_62]")</f>
        <v/>
      </c>
      <c r="AO450" s="67" t="str" vm="6915">
        <f>CUBEVALUE(ConnectionString,ReportMonth,Table1[[#This Row],[Site ID (from DATIM)]],"[Measures].[MMS_63+]")</f>
        <v/>
      </c>
      <c r="AP450" s="67" t="str" vm="7371">
        <f>CUBEVALUE(ConnectionString,ReportMonth,Table1[[#This Row],[Site ID (from DATIM)]],"[Measures].[TBPREV_D]")</f>
        <v/>
      </c>
      <c r="AQ450" s="67" t="str" vm="7177">
        <f>CUBEVALUE(ConnectionString,ReportMonth,Table1[[#This Row],[Site ID (from DATIM)]],"[Measures].[TBPREV_N]")</f>
        <v/>
      </c>
      <c r="AR450" s="67" t="str" vm="4627">
        <f>CUBEVALUE(ConnectionString,ReportMonth,Table1[[#This Row],[Site ID (from DATIM)]],"[Measures].[TBPREV_NEW]")</f>
        <v/>
      </c>
      <c r="AS450" s="67" t="str" vm="6585">
        <f>CUBEVALUE(ConnectionString,ReportMonth,Table1[[#This Row],[Site ID (from DATIM)]],"[Measures].[HVL_ELIG_P]")</f>
        <v/>
      </c>
      <c r="AT450" s="67" t="str" vm="9284">
        <f>CUBEVALUE(ConnectionString,ReportMonth,Table1[[#This Row],[Site ID (from DATIM)]],"[Measures].[HVL_D_P]")</f>
        <v/>
      </c>
      <c r="AU450" s="67" t="str" vm="9954">
        <f>CUBEVALUE(ConnectionString,ReportMonth,Table1[[#This Row],[Site ID (from DATIM)]],"[Measures].[HVL_N_P]")</f>
        <v/>
      </c>
      <c r="AV450" s="68" t="str" vm="8640">
        <f>CUBEVALUE(ConnectionString,ReportMonth,Table1[[#This Row],[Site ID (from DATIM)]],"[Measures].[HVL_ELIG_A]")</f>
        <v/>
      </c>
      <c r="AW450" s="68" t="str" vm="10585">
        <f>CUBEVALUE(ConnectionString,ReportMonth,Table1[[#This Row],[Site ID (from DATIM)]],"[Measures].[HVL_D_A]")</f>
        <v/>
      </c>
      <c r="AX450" s="68" t="str" vm="9387">
        <f>CUBEVALUE(ConnectionString,ReportMonth,Table1[[#This Row],[Site ID (from DATIM)]],"[Measures].[HVL_N_A]")</f>
        <v/>
      </c>
      <c r="AY450" s="67"/>
      <c r="AZ450" s="67"/>
      <c r="BA450" s="67"/>
      <c r="BB450" s="67"/>
      <c r="BC450" s="67"/>
      <c r="BD450" s="67"/>
      <c r="BE450" s="67"/>
      <c r="BF450" s="67"/>
      <c r="BG450" s="67" t="str" vm="12496">
        <f>CUBEVALUE(ConnectionString,ReportMonth,Table1[[#This Row],[Site ID (from DATIM)]],"[Measures].[TX_NEW_F_A]")</f>
        <v/>
      </c>
      <c r="BH450" s="67" t="str" vm="13578">
        <f>CUBEVALUE(ConnectionString,ReportMonth,Table1[[#This Row],[Site ID (from DATIM)]],"[Measures].[TX_NEW_M_A]")</f>
        <v/>
      </c>
      <c r="BI450" s="67" t="str" vm="16153">
        <f>CUBEVALUE(ConnectionString,ReportMonth,Table1[[#This Row],[Site ID (from DATIM)]],"[Measures].[TX_NEW_F_P]")</f>
        <v/>
      </c>
      <c r="BJ450" s="68" t="str" vm="14379">
        <f>CUBEVALUE(ConnectionString,ReportMonth,Table1[[#This Row],[Site ID (from DATIM)]],"[Measures].[TX_NEW_M_P]")</f>
        <v/>
      </c>
      <c r="BK450" s="68"/>
      <c r="BL450" s="68"/>
      <c r="BM450" s="68"/>
      <c r="BN450" s="68"/>
      <c r="BO450" s="68"/>
      <c r="BP450" s="68"/>
      <c r="BQ450" s="68" t="str" vm="11337">
        <f>CUBEVALUE(ConnectionString,ReportMonth,Table1[[#This Row],[Site ID (from DATIM)]],"[Measures].[TX_CURR_F_P]")</f>
        <v/>
      </c>
      <c r="BR450" s="68" t="str" vm="8210">
        <f>CUBEVALUE(ConnectionString,ReportMonth,Table1[[#This Row],[Site ID (from DATIM)]],"[Measures].[TX_CURR_M_P]")</f>
        <v/>
      </c>
      <c r="BS450" s="68" t="str" vm="11544">
        <f>CUBEVALUE(ConnectionString,ReportMonth,Table1[[#This Row],[Site ID (from DATIM)]],"[Measures].[TX_CURR_F_A]")</f>
        <v/>
      </c>
      <c r="BT450" s="68" t="str" vm="14389">
        <f>CUBEVALUE(ConnectionString,ReportMonth,Table1[[#This Row],[Site ID (from DATIM)]],"[Measures].[TX_CURR_M_A]")</f>
        <v/>
      </c>
      <c r="BU450" s="68" t="str" vm="20091">
        <f>CUBEVALUE(ConnectionString,ReportMonth,Table1[[#This Row],[Site ID (from DATIM)]],"[Measures].[MMS_01_89_F_P]")</f>
        <v/>
      </c>
      <c r="BV450" s="68" t="str" vm="18705">
        <f>CUBEVALUE(ConnectionString,ReportMonth,Table1[[#This Row],[Site ID (from DATIM)]],"[Measures].[MMS_01_89_M_P]")</f>
        <v/>
      </c>
      <c r="BW450" s="68" t="str" vm="19737">
        <f>CUBEVALUE(ConnectionString,ReportMonth,Table1[[#This Row],[Site ID (from DATIM)]],"[Measures].[MMS_01_89_F_A]")</f>
        <v/>
      </c>
      <c r="BX450" s="68" t="str" vm="19684">
        <f>CUBEVALUE(ConnectionString,ReportMonth,Table1[[#This Row],[Site ID (from DATIM)]],"[Measures].[MMS_01_89_M_A]")</f>
        <v/>
      </c>
      <c r="BY450" s="68" t="str" vm="18224">
        <f>CUBEVALUE(ConnectionString,ReportMonth,Table1[[#This Row],[Site ID (from DATIM)]],"[Measures].[MMS_90_179_F_P]")</f>
        <v/>
      </c>
      <c r="BZ450" s="68" t="str" vm="16428">
        <f>CUBEVALUE(ConnectionString,ReportMonth,Table1[[#This Row],[Site ID (from DATIM)]],"[Measures].[MMS_90_179_M_P]")</f>
        <v/>
      </c>
      <c r="CA450" s="68" t="str" vm="15188">
        <f>CUBEVALUE(ConnectionString,ReportMonth,Table1[[#This Row],[Site ID (from DATIM)]],"[Measures].[MMS_90_179_F_A]")</f>
        <v/>
      </c>
      <c r="CB450" s="68" t="str" vm="17285">
        <f>CUBEVALUE(ConnectionString,ReportMonth,Table1[[#This Row],[Site ID (from DATIM)]],"[Measures].[MMS_90_179_M_A]")</f>
        <v/>
      </c>
      <c r="CC450" s="68" t="str" vm="17280">
        <f>CUBEVALUE(ConnectionString,ReportMonth,Table1[[#This Row],[Site ID (from DATIM)]],"[Measures].[MMS_180+_F_P]")</f>
        <v/>
      </c>
      <c r="CD450" s="68" t="str" vm="17573">
        <f>CUBEVALUE(ConnectionString,ReportMonth,Table1[[#This Row],[Site ID (from DATIM)]],"[Measures].[MMS_180+_M_P]")</f>
        <v/>
      </c>
      <c r="CE450" s="68" t="str" vm="14959">
        <f>CUBEVALUE(ConnectionString,ReportMonth,Table1[[#This Row],[Site ID (from DATIM)]],"[Measures].[MMS_180+_F_A]")</f>
        <v/>
      </c>
      <c r="CF450" s="68" t="str" vm="306">
        <f>CUBEVALUE(ConnectionString,ReportMonth,Table1[[#This Row],[Site ID (from DATIM)]],"[Measures].[MMS_180+_M_A]")</f>
        <v/>
      </c>
      <c r="CG450" s="68" t="str" vm="5441">
        <f>CUBEVALUE(ConnectionString,ReportMonth,Table1[[#This Row],[Site ID (from DATIM)]],"[Measures].[MISSEDAPP]")</f>
        <v/>
      </c>
      <c r="CH450" s="68" t="str" vm="12337">
        <f>CUBEVALUE(ConnectionString,ReportMonth,Table1[[#This Row],[Site ID (from DATIM)]],"[Measures].[MMS_180+_P]")</f>
        <v/>
      </c>
      <c r="CI450" s="68" t="str" vm="13745">
        <f>CUBEVALUE(ConnectionString,ReportMonth,Table1[[#This Row],[Site ID (from DATIM)]],"[Measures].[MMS_180+_A]")</f>
        <v/>
      </c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  <c r="CW450" s="68"/>
      <c r="CX450" s="68"/>
      <c r="CY450" s="68"/>
      <c r="CZ450" s="68"/>
      <c r="DA450" s="68"/>
      <c r="DB450" s="68"/>
      <c r="DC450" s="68"/>
    </row>
    <row r="451" spans="1:107" x14ac:dyDescent="0.25">
      <c r="A451" s="66">
        <v>4</v>
      </c>
      <c r="B451" s="67" t="str" vm="4">
        <f t="shared" si="7"/>
        <v>Mar-2021</v>
      </c>
      <c r="C451" s="67"/>
      <c r="D451" s="67" t="s">
        <v>232</v>
      </c>
      <c r="E451" s="67" t="s">
        <v>233</v>
      </c>
      <c r="F451" s="67" t="s">
        <v>437</v>
      </c>
      <c r="G451" s="67"/>
      <c r="H451" s="67" t="s">
        <v>438</v>
      </c>
      <c r="I451" s="67" t="s">
        <v>485</v>
      </c>
      <c r="J451" s="67" t="s">
        <v>817</v>
      </c>
      <c r="K451" s="67" t="s">
        <v>818</v>
      </c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 vm="5409">
        <f>CUBEVALUE(ConnectionString,ReportMonth,Table1[[#This Row],[Site ID (from DATIM)]],"TX_NEW_2VIS")</f>
        <v>1</v>
      </c>
      <c r="AE451" s="67" t="str" vm="370">
        <f>CUBEVALUE(ConnectionString,ReportMonth,Table1[[#This Row],[Site ID (from DATIM)]],INDEX(SDI_Measures,1))</f>
        <v/>
      </c>
      <c r="AF451" s="67" t="str" vm="970">
        <f>CUBEVALUE(ConnectionString,ReportMonth,Table1[[#This Row],[Site ID (from DATIM)]],INDEX(SDI_Measures,2))</f>
        <v/>
      </c>
      <c r="AG451" s="67" t="str" vm="964">
        <f>CUBEVALUE(ConnectionString,ReportMonth,Table1[[#This Row],[Site ID (from DATIM)]],INDEX(SDI_Measures,3))</f>
        <v/>
      </c>
      <c r="AH451" s="67" vm="1193">
        <f>CUBEVALUE(ConnectionString,ReportMonth,Table1[[#This Row],[Site ID (from DATIM)]],"TX_CURR_PRIOR_MONTH")</f>
        <v>21</v>
      </c>
      <c r="AI451" s="67" vm="2705">
        <f>CUBEVALUE(ConnectionString,ReportMonth,Table1[[#This Row],[Site ID (from DATIM)]],"TX_CURR")</f>
        <v>18</v>
      </c>
      <c r="AJ451" s="67" t="str" vm="3405">
        <f>CUBEVALUE(ConnectionString,ReportMonth,Table1[[#This Row],[Site ID (from DATIM)]],"[Measures].[TI]")</f>
        <v/>
      </c>
      <c r="AK451" s="67" t="str" vm="1571">
        <f>CUBEVALUE(ConnectionString,ReportMonth,Table1[[#This Row],[Site ID (from DATIM)]],"[Measures].[TO]")</f>
        <v/>
      </c>
      <c r="AL451" s="67" t="str" vm="3706">
        <f>CUBEVALUE(ConnectionString,ReportMonth,Table1[[#This Row],[Site ID (from DATIM)]],"[Measures].[DIED]")</f>
        <v/>
      </c>
      <c r="AM451" s="67" vm="3670">
        <f>CUBEVALUE(ConnectionString,ReportMonth,Table1[[#This Row],[Site ID (from DATIM)]],"[Measures].[MMS_01_31]")</f>
        <v>16</v>
      </c>
      <c r="AN451" s="67" vm="4854">
        <f>CUBEVALUE(ConnectionString,ReportMonth,Table1[[#This Row],[Site ID (from DATIM)]],"[Measures].[MMS_32_62]")</f>
        <v>2</v>
      </c>
      <c r="AO451" s="67" t="str" vm="6699">
        <f>CUBEVALUE(ConnectionString,ReportMonth,Table1[[#This Row],[Site ID (from DATIM)]],"[Measures].[MMS_63+]")</f>
        <v/>
      </c>
      <c r="AP451" s="67" t="str" vm="7323">
        <f>CUBEVALUE(ConnectionString,ReportMonth,Table1[[#This Row],[Site ID (from DATIM)]],"[Measures].[TBPREV_D]")</f>
        <v/>
      </c>
      <c r="AQ451" s="67" t="str" vm="6770">
        <f>CUBEVALUE(ConnectionString,ReportMonth,Table1[[#This Row],[Site ID (from DATIM)]],"[Measures].[TBPREV_N]")</f>
        <v/>
      </c>
      <c r="AR451" s="67" t="str" vm="6140">
        <f>CUBEVALUE(ConnectionString,ReportMonth,Table1[[#This Row],[Site ID (from DATIM)]],"[Measures].[TBPREV_NEW]")</f>
        <v/>
      </c>
      <c r="AS451" s="67" t="str" vm="6576">
        <f>CUBEVALUE(ConnectionString,ReportMonth,Table1[[#This Row],[Site ID (from DATIM)]],"[Measures].[HVL_ELIG_P]")</f>
        <v/>
      </c>
      <c r="AT451" s="67" t="str" vm="4882">
        <f>CUBEVALUE(ConnectionString,ReportMonth,Table1[[#This Row],[Site ID (from DATIM)]],"[Measures].[HVL_D_P]")</f>
        <v/>
      </c>
      <c r="AU451" s="67" t="str" vm="6607">
        <f>CUBEVALUE(ConnectionString,ReportMonth,Table1[[#This Row],[Site ID (from DATIM)]],"[Measures].[HVL_N_P]")</f>
        <v/>
      </c>
      <c r="AV451" s="68" vm="11208">
        <f>CUBEVALUE(ConnectionString,ReportMonth,Table1[[#This Row],[Site ID (from DATIM)]],"[Measures].[HVL_ELIG_A]")</f>
        <v>8</v>
      </c>
      <c r="AW451" s="68" t="str" vm="9914">
        <f>CUBEVALUE(ConnectionString,ReportMonth,Table1[[#This Row],[Site ID (from DATIM)]],"[Measures].[HVL_D_A]")</f>
        <v/>
      </c>
      <c r="AX451" s="68" t="str" vm="8339">
        <f>CUBEVALUE(ConnectionString,ReportMonth,Table1[[#This Row],[Site ID (from DATIM)]],"[Measures].[HVL_N_A]")</f>
        <v/>
      </c>
      <c r="AY451" s="67"/>
      <c r="AZ451" s="67"/>
      <c r="BA451" s="67"/>
      <c r="BB451" s="67"/>
      <c r="BC451" s="67"/>
      <c r="BD451" s="67"/>
      <c r="BE451" s="67"/>
      <c r="BF451" s="67"/>
      <c r="BG451" s="67" t="str" vm="12008">
        <f>CUBEVALUE(ConnectionString,ReportMonth,Table1[[#This Row],[Site ID (from DATIM)]],"[Measures].[TX_NEW_F_A]")</f>
        <v/>
      </c>
      <c r="BH451" s="67" t="str" vm="14423">
        <f>CUBEVALUE(ConnectionString,ReportMonth,Table1[[#This Row],[Site ID (from DATIM)]],"[Measures].[TX_NEW_M_A]")</f>
        <v/>
      </c>
      <c r="BI451" s="67" t="str" vm="14141">
        <f>CUBEVALUE(ConnectionString,ReportMonth,Table1[[#This Row],[Site ID (from DATIM)]],"[Measures].[TX_NEW_F_P]")</f>
        <v/>
      </c>
      <c r="BJ451" s="68" t="str" vm="12604">
        <f>CUBEVALUE(ConnectionString,ReportMonth,Table1[[#This Row],[Site ID (from DATIM)]],"[Measures].[TX_NEW_M_P]")</f>
        <v/>
      </c>
      <c r="BK451" s="68"/>
      <c r="BL451" s="68"/>
      <c r="BM451" s="68"/>
      <c r="BN451" s="68"/>
      <c r="BO451" s="68"/>
      <c r="BP451" s="68"/>
      <c r="BQ451" s="68" t="str" vm="12991">
        <f>CUBEVALUE(ConnectionString,ReportMonth,Table1[[#This Row],[Site ID (from DATIM)]],"[Measures].[TX_CURR_F_P]")</f>
        <v/>
      </c>
      <c r="BR451" s="68" t="str" vm="12919">
        <f>CUBEVALUE(ConnectionString,ReportMonth,Table1[[#This Row],[Site ID (from DATIM)]],"[Measures].[TX_CURR_M_P]")</f>
        <v/>
      </c>
      <c r="BS451" s="68" vm="8908">
        <f>CUBEVALUE(ConnectionString,ReportMonth,Table1[[#This Row],[Site ID (from DATIM)]],"[Measures].[TX_CURR_F_A]")</f>
        <v>18</v>
      </c>
      <c r="BT451" s="68" t="str" vm="14172">
        <f>CUBEVALUE(ConnectionString,ReportMonth,Table1[[#This Row],[Site ID (from DATIM)]],"[Measures].[TX_CURR_M_A]")</f>
        <v/>
      </c>
      <c r="BU451" s="68" t="str" vm="19707">
        <f>CUBEVALUE(ConnectionString,ReportMonth,Table1[[#This Row],[Site ID (from DATIM)]],"[Measures].[MMS_01_89_F_P]")</f>
        <v/>
      </c>
      <c r="BV451" s="68" t="str" vm="18606">
        <f>CUBEVALUE(ConnectionString,ReportMonth,Table1[[#This Row],[Site ID (from DATIM)]],"[Measures].[MMS_01_89_M_P]")</f>
        <v/>
      </c>
      <c r="BW451" s="68" vm="18496">
        <f>CUBEVALUE(ConnectionString,ReportMonth,Table1[[#This Row],[Site ID (from DATIM)]],"[Measures].[MMS_01_89_F_A]")</f>
        <v>18</v>
      </c>
      <c r="BX451" s="68" t="str" vm="19652">
        <f>CUBEVALUE(ConnectionString,ReportMonth,Table1[[#This Row],[Site ID (from DATIM)]],"[Measures].[MMS_01_89_M_A]")</f>
        <v/>
      </c>
      <c r="BY451" s="68" t="str" vm="16341">
        <f>CUBEVALUE(ConnectionString,ReportMonth,Table1[[#This Row],[Site ID (from DATIM)]],"[Measures].[MMS_90_179_F_P]")</f>
        <v/>
      </c>
      <c r="BZ451" s="68" t="str" vm="15244">
        <f>CUBEVALUE(ConnectionString,ReportMonth,Table1[[#This Row],[Site ID (from DATIM)]],"[Measures].[MMS_90_179_M_P]")</f>
        <v/>
      </c>
      <c r="CA451" s="68" t="str" vm="16909">
        <f>CUBEVALUE(ConnectionString,ReportMonth,Table1[[#This Row],[Site ID (from DATIM)]],"[Measures].[MMS_90_179_F_A]")</f>
        <v/>
      </c>
      <c r="CB451" s="68" t="str" vm="16385">
        <f>CUBEVALUE(ConnectionString,ReportMonth,Table1[[#This Row],[Site ID (from DATIM)]],"[Measures].[MMS_90_179_M_A]")</f>
        <v/>
      </c>
      <c r="CC451" s="68" t="str" vm="16694">
        <f>CUBEVALUE(ConnectionString,ReportMonth,Table1[[#This Row],[Site ID (from DATIM)]],"[Measures].[MMS_180+_F_P]")</f>
        <v/>
      </c>
      <c r="CD451" s="68" t="str" vm="14459">
        <f>CUBEVALUE(ConnectionString,ReportMonth,Table1[[#This Row],[Site ID (from DATIM)]],"[Measures].[MMS_180+_M_P]")</f>
        <v/>
      </c>
      <c r="CE451" s="68" t="str" vm="17179">
        <f>CUBEVALUE(ConnectionString,ReportMonth,Table1[[#This Row],[Site ID (from DATIM)]],"[Measures].[MMS_180+_F_A]")</f>
        <v/>
      </c>
      <c r="CF451" s="68" t="str" vm="253">
        <f>CUBEVALUE(ConnectionString,ReportMonth,Table1[[#This Row],[Site ID (from DATIM)]],"[Measures].[MMS_180+_M_A]")</f>
        <v/>
      </c>
      <c r="CG451" s="68" vm="4783">
        <f>CUBEVALUE(ConnectionString,ReportMonth,Table1[[#This Row],[Site ID (from DATIM)]],"[Measures].[MISSEDAPP]")</f>
        <v>14</v>
      </c>
      <c r="CH451" s="68" t="str" vm="11689">
        <f>CUBEVALUE(ConnectionString,ReportMonth,Table1[[#This Row],[Site ID (from DATIM)]],"[Measures].[MMS_180+_P]")</f>
        <v/>
      </c>
      <c r="CI451" s="68" t="str" vm="11263">
        <f>CUBEVALUE(ConnectionString,ReportMonth,Table1[[#This Row],[Site ID (from DATIM)]],"[Measures].[MMS_180+_A]")</f>
        <v/>
      </c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  <c r="CW451" s="68"/>
      <c r="CX451" s="68"/>
      <c r="CY451" s="68"/>
      <c r="CZ451" s="68"/>
      <c r="DA451" s="68"/>
      <c r="DB451" s="68"/>
      <c r="DC451" s="68"/>
    </row>
    <row r="452" spans="1:107" x14ac:dyDescent="0.25">
      <c r="A452" s="66">
        <v>4</v>
      </c>
      <c r="B452" s="67" t="str" vm="4">
        <f t="shared" si="7"/>
        <v>Mar-2021</v>
      </c>
      <c r="C452" s="67"/>
      <c r="D452" s="67" t="s">
        <v>232</v>
      </c>
      <c r="E452" s="67" t="s">
        <v>233</v>
      </c>
      <c r="F452" s="67" t="s">
        <v>831</v>
      </c>
      <c r="G452" s="67"/>
      <c r="H452" s="67" t="s">
        <v>847</v>
      </c>
      <c r="I452" s="67" t="s">
        <v>1069</v>
      </c>
      <c r="J452" s="67" t="s">
        <v>1070</v>
      </c>
      <c r="K452" s="67" t="s">
        <v>1071</v>
      </c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 t="str" vm="3259">
        <f>CUBEVALUE(ConnectionString,ReportMonth,Table1[[#This Row],[Site ID (from DATIM)]],"TX_NEW_2VIS")</f>
        <v/>
      </c>
      <c r="AE452" s="67" vm="2456">
        <f>CUBEVALUE(ConnectionString,ReportMonth,Table1[[#This Row],[Site ID (from DATIM)]],INDEX(SDI_Measures,1))</f>
        <v>4</v>
      </c>
      <c r="AF452" s="67" t="str" vm="2898">
        <f>CUBEVALUE(ConnectionString,ReportMonth,Table1[[#This Row],[Site ID (from DATIM)]],INDEX(SDI_Measures,2))</f>
        <v/>
      </c>
      <c r="AG452" s="67" t="str" vm="1847">
        <f>CUBEVALUE(ConnectionString,ReportMonth,Table1[[#This Row],[Site ID (from DATIM)]],INDEX(SDI_Measures,3))</f>
        <v/>
      </c>
      <c r="AH452" s="67" vm="3716">
        <f>CUBEVALUE(ConnectionString,ReportMonth,Table1[[#This Row],[Site ID (from DATIM)]],"TX_CURR_PRIOR_MONTH")</f>
        <v>380</v>
      </c>
      <c r="AI452" s="67" vm="2467">
        <f>CUBEVALUE(ConnectionString,ReportMonth,Table1[[#This Row],[Site ID (from DATIM)]],"TX_CURR")</f>
        <v>346</v>
      </c>
      <c r="AJ452" s="67" t="str" vm="3838">
        <f>CUBEVALUE(ConnectionString,ReportMonth,Table1[[#This Row],[Site ID (from DATIM)]],"[Measures].[TI]")</f>
        <v/>
      </c>
      <c r="AK452" s="67" t="str" vm="2219">
        <f>CUBEVALUE(ConnectionString,ReportMonth,Table1[[#This Row],[Site ID (from DATIM)]],"[Measures].[TO]")</f>
        <v/>
      </c>
      <c r="AL452" s="67" t="str" vm="1331">
        <f>CUBEVALUE(ConnectionString,ReportMonth,Table1[[#This Row],[Site ID (from DATIM)]],"[Measures].[DIED]")</f>
        <v/>
      </c>
      <c r="AM452" s="67" vm="4266">
        <f>CUBEVALUE(ConnectionString,ReportMonth,Table1[[#This Row],[Site ID (from DATIM)]],"[Measures].[MMS_01_31]")</f>
        <v>117</v>
      </c>
      <c r="AN452" s="67" vm="5351">
        <f>CUBEVALUE(ConnectionString,ReportMonth,Table1[[#This Row],[Site ID (from DATIM)]],"[Measures].[MMS_32_62]")</f>
        <v>4</v>
      </c>
      <c r="AO452" s="67" vm="8728">
        <f>CUBEVALUE(ConnectionString,ReportMonth,Table1[[#This Row],[Site ID (from DATIM)]],"[Measures].[MMS_63+]")</f>
        <v>225</v>
      </c>
      <c r="AP452" s="67" vm="7068">
        <f>CUBEVALUE(ConnectionString,ReportMonth,Table1[[#This Row],[Site ID (from DATIM)]],"[Measures].[TBPREV_D]")</f>
        <v>6</v>
      </c>
      <c r="AQ452" s="67" vm="6395">
        <f>CUBEVALUE(ConnectionString,ReportMonth,Table1[[#This Row],[Site ID (from DATIM)]],"[Measures].[TBPREV_N]")</f>
        <v>5</v>
      </c>
      <c r="AR452" s="67" vm="5021">
        <f>CUBEVALUE(ConnectionString,ReportMonth,Table1[[#This Row],[Site ID (from DATIM)]],"[Measures].[TBPREV_NEW]")</f>
        <v>1</v>
      </c>
      <c r="AS452" s="67" vm="7703">
        <f>CUBEVALUE(ConnectionString,ReportMonth,Table1[[#This Row],[Site ID (from DATIM)]],"[Measures].[HVL_ELIG_P]")</f>
        <v>19</v>
      </c>
      <c r="AT452" s="67" vm="9043">
        <f>CUBEVALUE(ConnectionString,ReportMonth,Table1[[#This Row],[Site ID (from DATIM)]],"[Measures].[HVL_D_P]")</f>
        <v>11</v>
      </c>
      <c r="AU452" s="67" vm="11931">
        <f>CUBEVALUE(ConnectionString,ReportMonth,Table1[[#This Row],[Site ID (from DATIM)]],"[Measures].[HVL_N_P]")</f>
        <v>10</v>
      </c>
      <c r="AV452" s="68" vm="9564">
        <f>CUBEVALUE(ConnectionString,ReportMonth,Table1[[#This Row],[Site ID (from DATIM)]],"[Measures].[HVL_ELIG_A]")</f>
        <v>286</v>
      </c>
      <c r="AW452" s="68" vm="8934">
        <f>CUBEVALUE(ConnectionString,ReportMonth,Table1[[#This Row],[Site ID (from DATIM)]],"[Measures].[HVL_D_A]")</f>
        <v>159</v>
      </c>
      <c r="AX452" s="68" vm="9764">
        <f>CUBEVALUE(ConnectionString,ReportMonth,Table1[[#This Row],[Site ID (from DATIM)]],"[Measures].[HVL_N_A]")</f>
        <v>149</v>
      </c>
      <c r="AY452" s="67"/>
      <c r="AZ452" s="67"/>
      <c r="BA452" s="67"/>
      <c r="BB452" s="67"/>
      <c r="BC452" s="67"/>
      <c r="BD452" s="67"/>
      <c r="BE452" s="67"/>
      <c r="BF452" s="67"/>
      <c r="BG452" s="67" vm="11522">
        <f>CUBEVALUE(ConnectionString,ReportMonth,Table1[[#This Row],[Site ID (from DATIM)]],"[Measures].[TX_NEW_F_A]")</f>
        <v>3</v>
      </c>
      <c r="BH452" s="67" vm="13100">
        <f>CUBEVALUE(ConnectionString,ReportMonth,Table1[[#This Row],[Site ID (from DATIM)]],"[Measures].[TX_NEW_M_A]")</f>
        <v>1</v>
      </c>
      <c r="BI452" s="67" t="str" vm="13793">
        <f>CUBEVALUE(ConnectionString,ReportMonth,Table1[[#This Row],[Site ID (from DATIM)]],"[Measures].[TX_NEW_F_P]")</f>
        <v/>
      </c>
      <c r="BJ452" s="68" t="str" vm="15331">
        <f>CUBEVALUE(ConnectionString,ReportMonth,Table1[[#This Row],[Site ID (from DATIM)]],"[Measures].[TX_NEW_M_P]")</f>
        <v/>
      </c>
      <c r="BK452" s="68"/>
      <c r="BL452" s="68"/>
      <c r="BM452" s="68"/>
      <c r="BN452" s="68"/>
      <c r="BO452" s="68"/>
      <c r="BP452" s="68"/>
      <c r="BQ452" s="68" vm="12592">
        <f>CUBEVALUE(ConnectionString,ReportMonth,Table1[[#This Row],[Site ID (from DATIM)]],"[Measures].[TX_CURR_F_P]")</f>
        <v>13</v>
      </c>
      <c r="BR452" s="68" vm="9835">
        <f>CUBEVALUE(ConnectionString,ReportMonth,Table1[[#This Row],[Site ID (from DATIM)]],"[Measures].[TX_CURR_M_P]")</f>
        <v>7</v>
      </c>
      <c r="BS452" s="68" vm="10732">
        <f>CUBEVALUE(ConnectionString,ReportMonth,Table1[[#This Row],[Site ID (from DATIM)]],"[Measures].[TX_CURR_F_A]")</f>
        <v>214</v>
      </c>
      <c r="BT452" s="68" vm="12081">
        <f>CUBEVALUE(ConnectionString,ReportMonth,Table1[[#This Row],[Site ID (from DATIM)]],"[Measures].[TX_CURR_M_A]")</f>
        <v>112</v>
      </c>
      <c r="BU452" s="68" vm="18006">
        <f>CUBEVALUE(ConnectionString,ReportMonth,Table1[[#This Row],[Site ID (from DATIM)]],"[Measures].[MMS_01_89_F_P]")</f>
        <v>4</v>
      </c>
      <c r="BV452" s="68" vm="20132">
        <f>CUBEVALUE(ConnectionString,ReportMonth,Table1[[#This Row],[Site ID (from DATIM)]],"[Measures].[MMS_01_89_M_P]")</f>
        <v>6</v>
      </c>
      <c r="BW452" s="68" vm="19473">
        <f>CUBEVALUE(ConnectionString,ReportMonth,Table1[[#This Row],[Site ID (from DATIM)]],"[Measures].[MMS_01_89_F_A]")</f>
        <v>72</v>
      </c>
      <c r="BX452" s="68" vm="16052">
        <f>CUBEVALUE(ConnectionString,ReportMonth,Table1[[#This Row],[Site ID (from DATIM)]],"[Measures].[MMS_01_89_M_A]")</f>
        <v>41</v>
      </c>
      <c r="BY452" s="68" vm="19569">
        <f>CUBEVALUE(ConnectionString,ReportMonth,Table1[[#This Row],[Site ID (from DATIM)]],"[Measures].[MMS_90_179_F_P]")</f>
        <v>9</v>
      </c>
      <c r="BZ452" s="68" vm="16521">
        <f>CUBEVALUE(ConnectionString,ReportMonth,Table1[[#This Row],[Site ID (from DATIM)]],"[Measures].[MMS_90_179_M_P]")</f>
        <v>1</v>
      </c>
      <c r="CA452" s="68" vm="14710">
        <f>CUBEVALUE(ConnectionString,ReportMonth,Table1[[#This Row],[Site ID (from DATIM)]],"[Measures].[MMS_90_179_F_A]")</f>
        <v>142</v>
      </c>
      <c r="CB452" s="68" vm="17686">
        <f>CUBEVALUE(ConnectionString,ReportMonth,Table1[[#This Row],[Site ID (from DATIM)]],"[Measures].[MMS_90_179_M_A]")</f>
        <v>71</v>
      </c>
      <c r="CC452" s="68" t="str" vm="15534">
        <f>CUBEVALUE(ConnectionString,ReportMonth,Table1[[#This Row],[Site ID (from DATIM)]],"[Measures].[MMS_180+_F_P]")</f>
        <v/>
      </c>
      <c r="CD452" s="68" t="str" vm="16783">
        <f>CUBEVALUE(ConnectionString,ReportMonth,Table1[[#This Row],[Site ID (from DATIM)]],"[Measures].[MMS_180+_M_P]")</f>
        <v/>
      </c>
      <c r="CE452" s="68" t="str" vm="17534">
        <f>CUBEVALUE(ConnectionString,ReportMonth,Table1[[#This Row],[Site ID (from DATIM)]],"[Measures].[MMS_180+_F_A]")</f>
        <v/>
      </c>
      <c r="CF452" s="68" t="str" vm="16642">
        <f>CUBEVALUE(ConnectionString,ReportMonth,Table1[[#This Row],[Site ID (from DATIM)]],"[Measures].[MMS_180+_M_A]")</f>
        <v/>
      </c>
      <c r="CG452" s="68" vm="10764">
        <f>CUBEVALUE(ConnectionString,ReportMonth,Table1[[#This Row],[Site ID (from DATIM)]],"[Measures].[MISSEDAPP]")</f>
        <v>157</v>
      </c>
      <c r="CH452" s="68" t="str" vm="13041">
        <f>CUBEVALUE(ConnectionString,ReportMonth,Table1[[#This Row],[Site ID (from DATIM)]],"[Measures].[MMS_180+_P]")</f>
        <v/>
      </c>
      <c r="CI452" s="68" t="str" vm="13823">
        <f>CUBEVALUE(ConnectionString,ReportMonth,Table1[[#This Row],[Site ID (from DATIM)]],"[Measures].[MMS_180+_A]")</f>
        <v/>
      </c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  <c r="CW452" s="68"/>
      <c r="CX452" s="68"/>
      <c r="CY452" s="68"/>
      <c r="CZ452" s="68"/>
      <c r="DA452" s="68"/>
      <c r="DB452" s="68"/>
      <c r="DC452" s="68"/>
    </row>
    <row r="453" spans="1:107" x14ac:dyDescent="0.25">
      <c r="A453" s="66">
        <v>4</v>
      </c>
      <c r="B453" s="67" t="str" vm="4">
        <f t="shared" si="7"/>
        <v>Mar-2021</v>
      </c>
      <c r="C453" s="67"/>
      <c r="D453" s="67" t="s">
        <v>232</v>
      </c>
      <c r="E453" s="67" t="s">
        <v>233</v>
      </c>
      <c r="F453" s="67" t="s">
        <v>831</v>
      </c>
      <c r="G453" s="67"/>
      <c r="H453" s="67" t="s">
        <v>856</v>
      </c>
      <c r="I453" s="67" t="s">
        <v>857</v>
      </c>
      <c r="J453" s="67" t="s">
        <v>1072</v>
      </c>
      <c r="K453" s="67" t="s">
        <v>1073</v>
      </c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 t="str" vm="1258">
        <f>CUBEVALUE(ConnectionString,ReportMonth,Table1[[#This Row],[Site ID (from DATIM)]],"TX_NEW_2VIS")</f>
        <v/>
      </c>
      <c r="AE453" s="67" t="str" vm="2369">
        <f>CUBEVALUE(ConnectionString,ReportMonth,Table1[[#This Row],[Site ID (from DATIM)]],INDEX(SDI_Measures,1))</f>
        <v/>
      </c>
      <c r="AF453" s="67" t="str" vm="4518">
        <f>CUBEVALUE(ConnectionString,ReportMonth,Table1[[#This Row],[Site ID (from DATIM)]],INDEX(SDI_Measures,2))</f>
        <v/>
      </c>
      <c r="AG453" s="67" t="str" vm="478">
        <f>CUBEVALUE(ConnectionString,ReportMonth,Table1[[#This Row],[Site ID (from DATIM)]],INDEX(SDI_Measures,3))</f>
        <v/>
      </c>
      <c r="AH453" s="67" t="str" vm="805">
        <f>CUBEVALUE(ConnectionString,ReportMonth,Table1[[#This Row],[Site ID (from DATIM)]],"TX_CURR_PRIOR_MONTH")</f>
        <v/>
      </c>
      <c r="AI453" s="67" t="str" vm="3438">
        <f>CUBEVALUE(ConnectionString,ReportMonth,Table1[[#This Row],[Site ID (from DATIM)]],"TX_CURR")</f>
        <v/>
      </c>
      <c r="AJ453" s="67" t="str" vm="2933">
        <f>CUBEVALUE(ConnectionString,ReportMonth,Table1[[#This Row],[Site ID (from DATIM)]],"[Measures].[TI]")</f>
        <v/>
      </c>
      <c r="AK453" s="67" t="str" vm="2423">
        <f>CUBEVALUE(ConnectionString,ReportMonth,Table1[[#This Row],[Site ID (from DATIM)]],"[Measures].[TO]")</f>
        <v/>
      </c>
      <c r="AL453" s="67" t="str" vm="3609">
        <f>CUBEVALUE(ConnectionString,ReportMonth,Table1[[#This Row],[Site ID (from DATIM)]],"[Measures].[DIED]")</f>
        <v/>
      </c>
      <c r="AM453" s="67" t="str" vm="4058">
        <f>CUBEVALUE(ConnectionString,ReportMonth,Table1[[#This Row],[Site ID (from DATIM)]],"[Measures].[MMS_01_31]")</f>
        <v/>
      </c>
      <c r="AN453" s="67" t="str" vm="4169">
        <f>CUBEVALUE(ConnectionString,ReportMonth,Table1[[#This Row],[Site ID (from DATIM)]],"[Measures].[MMS_32_62]")</f>
        <v/>
      </c>
      <c r="AO453" s="67" t="str" vm="6251">
        <f>CUBEVALUE(ConnectionString,ReportMonth,Table1[[#This Row],[Site ID (from DATIM)]],"[Measures].[MMS_63+]")</f>
        <v/>
      </c>
      <c r="AP453" s="67" t="str" vm="4756">
        <f>CUBEVALUE(ConnectionString,ReportMonth,Table1[[#This Row],[Site ID (from DATIM)]],"[Measures].[TBPREV_D]")</f>
        <v/>
      </c>
      <c r="AQ453" s="67" t="str" vm="6008">
        <f>CUBEVALUE(ConnectionString,ReportMonth,Table1[[#This Row],[Site ID (from DATIM)]],"[Measures].[TBPREV_N]")</f>
        <v/>
      </c>
      <c r="AR453" s="67" t="str" vm="7106">
        <f>CUBEVALUE(ConnectionString,ReportMonth,Table1[[#This Row],[Site ID (from DATIM)]],"[Measures].[TBPREV_NEW]")</f>
        <v/>
      </c>
      <c r="AS453" s="67" t="str" vm="8958">
        <f>CUBEVALUE(ConnectionString,ReportMonth,Table1[[#This Row],[Site ID (from DATIM)]],"[Measures].[HVL_ELIG_P]")</f>
        <v/>
      </c>
      <c r="AT453" s="67" t="str" vm="4800">
        <f>CUBEVALUE(ConnectionString,ReportMonth,Table1[[#This Row],[Site ID (from DATIM)]],"[Measures].[HVL_D_P]")</f>
        <v/>
      </c>
      <c r="AU453" s="67" t="str" vm="10141">
        <f>CUBEVALUE(ConnectionString,ReportMonth,Table1[[#This Row],[Site ID (from DATIM)]],"[Measures].[HVL_N_P]")</f>
        <v/>
      </c>
      <c r="AV453" s="68" t="str" vm="7013">
        <f>CUBEVALUE(ConnectionString,ReportMonth,Table1[[#This Row],[Site ID (from DATIM)]],"[Measures].[HVL_ELIG_A]")</f>
        <v/>
      </c>
      <c r="AW453" s="68" vm="11737">
        <f>CUBEVALUE(ConnectionString,ReportMonth,Table1[[#This Row],[Site ID (from DATIM)]],"[Measures].[HVL_D_A]")</f>
        <v>8</v>
      </c>
      <c r="AX453" s="68" vm="11635">
        <f>CUBEVALUE(ConnectionString,ReportMonth,Table1[[#This Row],[Site ID (from DATIM)]],"[Measures].[HVL_N_A]")</f>
        <v>7</v>
      </c>
      <c r="AY453" s="67"/>
      <c r="AZ453" s="67"/>
      <c r="BA453" s="67"/>
      <c r="BB453" s="67"/>
      <c r="BC453" s="67"/>
      <c r="BD453" s="67"/>
      <c r="BE453" s="67"/>
      <c r="BF453" s="67"/>
      <c r="BG453" s="67" t="str" vm="12389">
        <f>CUBEVALUE(ConnectionString,ReportMonth,Table1[[#This Row],[Site ID (from DATIM)]],"[Measures].[TX_NEW_F_A]")</f>
        <v/>
      </c>
      <c r="BH453" s="67" t="str" vm="14186">
        <f>CUBEVALUE(ConnectionString,ReportMonth,Table1[[#This Row],[Site ID (from DATIM)]],"[Measures].[TX_NEW_M_A]")</f>
        <v/>
      </c>
      <c r="BI453" s="67" t="str" vm="15658">
        <f>CUBEVALUE(ConnectionString,ReportMonth,Table1[[#This Row],[Site ID (from DATIM)]],"[Measures].[TX_NEW_F_P]")</f>
        <v/>
      </c>
      <c r="BJ453" s="68" t="str" vm="15681">
        <f>CUBEVALUE(ConnectionString,ReportMonth,Table1[[#This Row],[Site ID (from DATIM)]],"[Measures].[TX_NEW_M_P]")</f>
        <v/>
      </c>
      <c r="BK453" s="68"/>
      <c r="BL453" s="68"/>
      <c r="BM453" s="68"/>
      <c r="BN453" s="68"/>
      <c r="BO453" s="68"/>
      <c r="BP453" s="68"/>
      <c r="BQ453" s="68" t="str" vm="9212">
        <f>CUBEVALUE(ConnectionString,ReportMonth,Table1[[#This Row],[Site ID (from DATIM)]],"[Measures].[TX_CURR_F_P]")</f>
        <v/>
      </c>
      <c r="BR453" s="68" t="str" vm="10392">
        <f>CUBEVALUE(ConnectionString,ReportMonth,Table1[[#This Row],[Site ID (from DATIM)]],"[Measures].[TX_CURR_M_P]")</f>
        <v/>
      </c>
      <c r="BS453" s="68" t="str" vm="9616">
        <f>CUBEVALUE(ConnectionString,ReportMonth,Table1[[#This Row],[Site ID (from DATIM)]],"[Measures].[TX_CURR_F_A]")</f>
        <v/>
      </c>
      <c r="BT453" s="68" t="str" vm="10255">
        <f>CUBEVALUE(ConnectionString,ReportMonth,Table1[[#This Row],[Site ID (from DATIM)]],"[Measures].[TX_CURR_M_A]")</f>
        <v/>
      </c>
      <c r="BU453" s="68" t="str" vm="19993">
        <f>CUBEVALUE(ConnectionString,ReportMonth,Table1[[#This Row],[Site ID (from DATIM)]],"[Measures].[MMS_01_89_F_P]")</f>
        <v/>
      </c>
      <c r="BV453" s="68" t="str" vm="18593">
        <f>CUBEVALUE(ConnectionString,ReportMonth,Table1[[#This Row],[Site ID (from DATIM)]],"[Measures].[MMS_01_89_M_P]")</f>
        <v/>
      </c>
      <c r="BW453" s="68" t="str" vm="17918">
        <f>CUBEVALUE(ConnectionString,ReportMonth,Table1[[#This Row],[Site ID (from DATIM)]],"[Measures].[MMS_01_89_F_A]")</f>
        <v/>
      </c>
      <c r="BX453" s="68" t="str" vm="19354">
        <f>CUBEVALUE(ConnectionString,ReportMonth,Table1[[#This Row],[Site ID (from DATIM)]],"[Measures].[MMS_01_89_M_A]")</f>
        <v/>
      </c>
      <c r="BY453" s="68" t="str" vm="15187">
        <f>CUBEVALUE(ConnectionString,ReportMonth,Table1[[#This Row],[Site ID (from DATIM)]],"[Measures].[MMS_90_179_F_P]")</f>
        <v/>
      </c>
      <c r="BZ453" s="68" t="str" vm="17800">
        <f>CUBEVALUE(ConnectionString,ReportMonth,Table1[[#This Row],[Site ID (from DATIM)]],"[Measures].[MMS_90_179_M_P]")</f>
        <v/>
      </c>
      <c r="CA453" s="68" t="str" vm="16422">
        <f>CUBEVALUE(ConnectionString,ReportMonth,Table1[[#This Row],[Site ID (from DATIM)]],"[Measures].[MMS_90_179_F_A]")</f>
        <v/>
      </c>
      <c r="CB453" s="68" t="str" vm="17608">
        <f>CUBEVALUE(ConnectionString,ReportMonth,Table1[[#This Row],[Site ID (from DATIM)]],"[Measures].[MMS_90_179_M_A]")</f>
        <v/>
      </c>
      <c r="CC453" s="68" t="str" vm="15907">
        <f>CUBEVALUE(ConnectionString,ReportMonth,Table1[[#This Row],[Site ID (from DATIM)]],"[Measures].[MMS_180+_F_P]")</f>
        <v/>
      </c>
      <c r="CD453" s="68" t="str" vm="17168">
        <f>CUBEVALUE(ConnectionString,ReportMonth,Table1[[#This Row],[Site ID (from DATIM)]],"[Measures].[MMS_180+_M_P]")</f>
        <v/>
      </c>
      <c r="CE453" s="68" t="str" vm="14972">
        <f>CUBEVALUE(ConnectionString,ReportMonth,Table1[[#This Row],[Site ID (from DATIM)]],"[Measures].[MMS_180+_F_A]")</f>
        <v/>
      </c>
      <c r="CF453" s="68" t="str" vm="17099">
        <f>CUBEVALUE(ConnectionString,ReportMonth,Table1[[#This Row],[Site ID (from DATIM)]],"[Measures].[MMS_180+_M_A]")</f>
        <v/>
      </c>
      <c r="CG453" s="68" t="str" vm="10011">
        <f>CUBEVALUE(ConnectionString,ReportMonth,Table1[[#This Row],[Site ID (from DATIM)]],"[Measures].[MISSEDAPP]")</f>
        <v/>
      </c>
      <c r="CH453" s="68" t="str" vm="14107">
        <f>CUBEVALUE(ConnectionString,ReportMonth,Table1[[#This Row],[Site ID (from DATIM)]],"[Measures].[MMS_180+_P]")</f>
        <v/>
      </c>
      <c r="CI453" s="68" t="str" vm="10107">
        <f>CUBEVALUE(ConnectionString,ReportMonth,Table1[[#This Row],[Site ID (from DATIM)]],"[Measures].[MMS_180+_A]")</f>
        <v/>
      </c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  <c r="CW453" s="68"/>
      <c r="CX453" s="68"/>
      <c r="CY453" s="68"/>
      <c r="CZ453" s="68"/>
      <c r="DA453" s="68"/>
      <c r="DB453" s="68"/>
      <c r="DC453" s="68"/>
    </row>
    <row r="454" spans="1:107" x14ac:dyDescent="0.25">
      <c r="A454" s="66">
        <v>4</v>
      </c>
      <c r="B454" s="67" t="str" vm="4">
        <f t="shared" ref="B454:B465" si="8">ReportMonth</f>
        <v>Mar-2021</v>
      </c>
      <c r="C454" s="67"/>
      <c r="D454" s="67" t="s">
        <v>232</v>
      </c>
      <c r="E454" s="67" t="s">
        <v>233</v>
      </c>
      <c r="F454" s="67" t="s">
        <v>831</v>
      </c>
      <c r="G454" s="67"/>
      <c r="H454" s="67" t="s">
        <v>847</v>
      </c>
      <c r="I454" s="67" t="s">
        <v>1074</v>
      </c>
      <c r="J454" s="67" t="s">
        <v>1075</v>
      </c>
      <c r="K454" s="67" t="s">
        <v>1076</v>
      </c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 t="str" vm="2141">
        <f>CUBEVALUE(ConnectionString,ReportMonth,Table1[[#This Row],[Site ID (from DATIM)]],"TX_NEW_2VIS")</f>
        <v/>
      </c>
      <c r="AE454" s="67" t="str" vm="433">
        <f>CUBEVALUE(ConnectionString,ReportMonth,Table1[[#This Row],[Site ID (from DATIM)]],INDEX(SDI_Measures,1))</f>
        <v/>
      </c>
      <c r="AF454" s="67" t="str" vm="2310">
        <f>CUBEVALUE(ConnectionString,ReportMonth,Table1[[#This Row],[Site ID (from DATIM)]],INDEX(SDI_Measures,2))</f>
        <v/>
      </c>
      <c r="AG454" s="67" t="str" vm="1648">
        <f>CUBEVALUE(ConnectionString,ReportMonth,Table1[[#This Row],[Site ID (from DATIM)]],INDEX(SDI_Measures,3))</f>
        <v/>
      </c>
      <c r="AH454" s="67" vm="2432">
        <f>CUBEVALUE(ConnectionString,ReportMonth,Table1[[#This Row],[Site ID (from DATIM)]],"TX_CURR_PRIOR_MONTH")</f>
        <v>18</v>
      </c>
      <c r="AI454" s="67" vm="3969">
        <f>CUBEVALUE(ConnectionString,ReportMonth,Table1[[#This Row],[Site ID (from DATIM)]],"TX_CURR")</f>
        <v>18</v>
      </c>
      <c r="AJ454" s="67" t="str" vm="4538">
        <f>CUBEVALUE(ConnectionString,ReportMonth,Table1[[#This Row],[Site ID (from DATIM)]],"[Measures].[TI]")</f>
        <v/>
      </c>
      <c r="AK454" s="67" t="str" vm="1308">
        <f>CUBEVALUE(ConnectionString,ReportMonth,Table1[[#This Row],[Site ID (from DATIM)]],"[Measures].[TO]")</f>
        <v/>
      </c>
      <c r="AL454" s="67" t="str" vm="1380">
        <f>CUBEVALUE(ConnectionString,ReportMonth,Table1[[#This Row],[Site ID (from DATIM)]],"[Measures].[DIED]")</f>
        <v/>
      </c>
      <c r="AM454" s="67" vm="6058">
        <f>CUBEVALUE(ConnectionString,ReportMonth,Table1[[#This Row],[Site ID (from DATIM)]],"[Measures].[MMS_01_31]")</f>
        <v>18</v>
      </c>
      <c r="AN454" s="67" t="str" vm="6526">
        <f>CUBEVALUE(ConnectionString,ReportMonth,Table1[[#This Row],[Site ID (from DATIM)]],"[Measures].[MMS_32_62]")</f>
        <v/>
      </c>
      <c r="AO454" s="67" t="str" vm="5932">
        <f>CUBEVALUE(ConnectionString,ReportMonth,Table1[[#This Row],[Site ID (from DATIM)]],"[Measures].[MMS_63+]")</f>
        <v/>
      </c>
      <c r="AP454" s="67" vm="7334">
        <f>CUBEVALUE(ConnectionString,ReportMonth,Table1[[#This Row],[Site ID (from DATIM)]],"[Measures].[TBPREV_D]")</f>
        <v>1</v>
      </c>
      <c r="AQ454" s="67" t="str" vm="5426">
        <f>CUBEVALUE(ConnectionString,ReportMonth,Table1[[#This Row],[Site ID (from DATIM)]],"[Measures].[TBPREV_N]")</f>
        <v/>
      </c>
      <c r="AR454" s="67" t="str" vm="6959">
        <f>CUBEVALUE(ConnectionString,ReportMonth,Table1[[#This Row],[Site ID (from DATIM)]],"[Measures].[TBPREV_NEW]")</f>
        <v/>
      </c>
      <c r="AS454" s="67" t="str" vm="7636">
        <f>CUBEVALUE(ConnectionString,ReportMonth,Table1[[#This Row],[Site ID (from DATIM)]],"[Measures].[HVL_ELIG_P]")</f>
        <v/>
      </c>
      <c r="AT454" s="67" t="str" vm="9050">
        <f>CUBEVALUE(ConnectionString,ReportMonth,Table1[[#This Row],[Site ID (from DATIM)]],"[Measures].[HVL_D_P]")</f>
        <v/>
      </c>
      <c r="AU454" s="67" t="str" vm="11092">
        <f>CUBEVALUE(ConnectionString,ReportMonth,Table1[[#This Row],[Site ID (from DATIM)]],"[Measures].[HVL_N_P]")</f>
        <v/>
      </c>
      <c r="AV454" s="68" vm="12091">
        <f>CUBEVALUE(ConnectionString,ReportMonth,Table1[[#This Row],[Site ID (from DATIM)]],"[Measures].[HVL_ELIG_A]")</f>
        <v>8</v>
      </c>
      <c r="AW454" s="68" vm="10391">
        <f>CUBEVALUE(ConnectionString,ReportMonth,Table1[[#This Row],[Site ID (from DATIM)]],"[Measures].[HVL_D_A]")</f>
        <v>1</v>
      </c>
      <c r="AX454" s="68" vm="14039">
        <f>CUBEVALUE(ConnectionString,ReportMonth,Table1[[#This Row],[Site ID (from DATIM)]],"[Measures].[HVL_N_A]")</f>
        <v>1</v>
      </c>
      <c r="AY454" s="67"/>
      <c r="AZ454" s="67"/>
      <c r="BA454" s="67"/>
      <c r="BB454" s="67"/>
      <c r="BC454" s="67"/>
      <c r="BD454" s="67"/>
      <c r="BE454" s="67"/>
      <c r="BF454" s="67"/>
      <c r="BG454" s="67" t="str" vm="12049">
        <f>CUBEVALUE(ConnectionString,ReportMonth,Table1[[#This Row],[Site ID (from DATIM)]],"[Measures].[TX_NEW_F_A]")</f>
        <v/>
      </c>
      <c r="BH454" s="67" t="str" vm="10377">
        <f>CUBEVALUE(ConnectionString,ReportMonth,Table1[[#This Row],[Site ID (from DATIM)]],"[Measures].[TX_NEW_M_A]")</f>
        <v/>
      </c>
      <c r="BI454" s="67" t="str" vm="15633">
        <f>CUBEVALUE(ConnectionString,ReportMonth,Table1[[#This Row],[Site ID (from DATIM)]],"[Measures].[TX_NEW_F_P]")</f>
        <v/>
      </c>
      <c r="BJ454" s="68" t="str" vm="15308">
        <f>CUBEVALUE(ConnectionString,ReportMonth,Table1[[#This Row],[Site ID (from DATIM)]],"[Measures].[TX_NEW_M_P]")</f>
        <v/>
      </c>
      <c r="BK454" s="68"/>
      <c r="BL454" s="68"/>
      <c r="BM454" s="68"/>
      <c r="BN454" s="68"/>
      <c r="BO454" s="68"/>
      <c r="BP454" s="68"/>
      <c r="BQ454" s="68" t="str" vm="11867">
        <f>CUBEVALUE(ConnectionString,ReportMonth,Table1[[#This Row],[Site ID (from DATIM)]],"[Measures].[TX_CURR_F_P]")</f>
        <v/>
      </c>
      <c r="BR454" s="68" t="str" vm="9759">
        <f>CUBEVALUE(ConnectionString,ReportMonth,Table1[[#This Row],[Site ID (from DATIM)]],"[Measures].[TX_CURR_M_P]")</f>
        <v/>
      </c>
      <c r="BS454" s="68" vm="13555">
        <f>CUBEVALUE(ConnectionString,ReportMonth,Table1[[#This Row],[Site ID (from DATIM)]],"[Measures].[TX_CURR_F_A]")</f>
        <v>17</v>
      </c>
      <c r="BT454" s="68" vm="13807">
        <f>CUBEVALUE(ConnectionString,ReportMonth,Table1[[#This Row],[Site ID (from DATIM)]],"[Measures].[TX_CURR_M_A]")</f>
        <v>1</v>
      </c>
      <c r="BU454" s="68" t="str" vm="19013">
        <f>CUBEVALUE(ConnectionString,ReportMonth,Table1[[#This Row],[Site ID (from DATIM)]],"[Measures].[MMS_01_89_F_P]")</f>
        <v/>
      </c>
      <c r="BV454" s="68" t="str" vm="19206">
        <f>CUBEVALUE(ConnectionString,ReportMonth,Table1[[#This Row],[Site ID (from DATIM)]],"[Measures].[MMS_01_89_M_P]")</f>
        <v/>
      </c>
      <c r="BW454" s="68" vm="18238">
        <f>CUBEVALUE(ConnectionString,ReportMonth,Table1[[#This Row],[Site ID (from DATIM)]],"[Measures].[MMS_01_89_F_A]")</f>
        <v>17</v>
      </c>
      <c r="BX454" s="68" vm="18901">
        <f>CUBEVALUE(ConnectionString,ReportMonth,Table1[[#This Row],[Site ID (from DATIM)]],"[Measures].[MMS_01_89_M_A]")</f>
        <v>1</v>
      </c>
      <c r="BY454" s="68" t="str" vm="18789">
        <f>CUBEVALUE(ConnectionString,ReportMonth,Table1[[#This Row],[Site ID (from DATIM)]],"[Measures].[MMS_90_179_F_P]")</f>
        <v/>
      </c>
      <c r="BZ454" s="68" t="str" vm="17945">
        <f>CUBEVALUE(ConnectionString,ReportMonth,Table1[[#This Row],[Site ID (from DATIM)]],"[Measures].[MMS_90_179_M_P]")</f>
        <v/>
      </c>
      <c r="CA454" s="68" t="str" vm="16534">
        <f>CUBEVALUE(ConnectionString,ReportMonth,Table1[[#This Row],[Site ID (from DATIM)]],"[Measures].[MMS_90_179_F_A]")</f>
        <v/>
      </c>
      <c r="CB454" s="68" t="str" vm="16853">
        <f>CUBEVALUE(ConnectionString,ReportMonth,Table1[[#This Row],[Site ID (from DATIM)]],"[Measures].[MMS_90_179_M_A]")</f>
        <v/>
      </c>
      <c r="CC454" s="68" t="str" vm="15768">
        <f>CUBEVALUE(ConnectionString,ReportMonth,Table1[[#This Row],[Site ID (from DATIM)]],"[Measures].[MMS_180+_F_P]")</f>
        <v/>
      </c>
      <c r="CD454" s="68" t="str" vm="195">
        <f>CUBEVALUE(ConnectionString,ReportMonth,Table1[[#This Row],[Site ID (from DATIM)]],"[Measures].[MMS_180+_M_P]")</f>
        <v/>
      </c>
      <c r="CE454" s="68" t="str" vm="267">
        <f>CUBEVALUE(ConnectionString,ReportMonth,Table1[[#This Row],[Site ID (from DATIM)]],"[Measures].[MMS_180+_F_A]")</f>
        <v/>
      </c>
      <c r="CF454" s="68" t="str" vm="154">
        <f>CUBEVALUE(ConnectionString,ReportMonth,Table1[[#This Row],[Site ID (from DATIM)]],"[Measures].[MMS_180+_M_A]")</f>
        <v/>
      </c>
      <c r="CG454" s="68" vm="6039">
        <f>CUBEVALUE(ConnectionString,ReportMonth,Table1[[#This Row],[Site ID (from DATIM)]],"[Measures].[MISSEDAPP]")</f>
        <v>16</v>
      </c>
      <c r="CH454" s="68" t="str" vm="11760">
        <f>CUBEVALUE(ConnectionString,ReportMonth,Table1[[#This Row],[Site ID (from DATIM)]],"[Measures].[MMS_180+_P]")</f>
        <v/>
      </c>
      <c r="CI454" s="68" t="str" vm="14109">
        <f>CUBEVALUE(ConnectionString,ReportMonth,Table1[[#This Row],[Site ID (from DATIM)]],"[Measures].[MMS_180+_A]")</f>
        <v/>
      </c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  <c r="CW454" s="68"/>
      <c r="CX454" s="68"/>
      <c r="CY454" s="68"/>
      <c r="CZ454" s="68"/>
      <c r="DA454" s="68"/>
      <c r="DB454" s="68"/>
      <c r="DC454" s="68"/>
    </row>
    <row r="455" spans="1:107" x14ac:dyDescent="0.25">
      <c r="A455" s="66">
        <v>4</v>
      </c>
      <c r="B455" s="67" t="str" vm="4">
        <f t="shared" si="8"/>
        <v>Mar-2021</v>
      </c>
      <c r="C455" s="67"/>
      <c r="D455" s="67" t="s">
        <v>232</v>
      </c>
      <c r="E455" s="67" t="s">
        <v>233</v>
      </c>
      <c r="F455" s="67" t="s">
        <v>831</v>
      </c>
      <c r="G455" s="67"/>
      <c r="H455" s="67" t="s">
        <v>847</v>
      </c>
      <c r="I455" s="67" t="s">
        <v>1077</v>
      </c>
      <c r="J455" s="67" t="s">
        <v>1078</v>
      </c>
      <c r="K455" s="67" t="s">
        <v>1079</v>
      </c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 vm="2908">
        <f>CUBEVALUE(ConnectionString,ReportMonth,Table1[[#This Row],[Site ID (from DATIM)]],"TX_NEW_2VIS")</f>
        <v>1</v>
      </c>
      <c r="AE455" s="67" t="str" vm="2215">
        <f>CUBEVALUE(ConnectionString,ReportMonth,Table1[[#This Row],[Site ID (from DATIM)]],INDEX(SDI_Measures,1))</f>
        <v/>
      </c>
      <c r="AF455" s="67" t="str" vm="13781">
        <f>CUBEVALUE(ConnectionString,ReportMonth,Table1[[#This Row],[Site ID (from DATIM)]],INDEX(SDI_Measures,2))</f>
        <v/>
      </c>
      <c r="AG455" s="67" t="str" vm="1165">
        <f>CUBEVALUE(ConnectionString,ReportMonth,Table1[[#This Row],[Site ID (from DATIM)]],INDEX(SDI_Measures,3))</f>
        <v/>
      </c>
      <c r="AH455" s="67" vm="3170">
        <f>CUBEVALUE(ConnectionString,ReportMonth,Table1[[#This Row],[Site ID (from DATIM)]],"TX_CURR_PRIOR_MONTH")</f>
        <v>207</v>
      </c>
      <c r="AI455" s="67" vm="436">
        <f>CUBEVALUE(ConnectionString,ReportMonth,Table1[[#This Row],[Site ID (from DATIM)]],"TX_CURR")</f>
        <v>194</v>
      </c>
      <c r="AJ455" s="67" t="str" vm="3536">
        <f>CUBEVALUE(ConnectionString,ReportMonth,Table1[[#This Row],[Site ID (from DATIM)]],"[Measures].[TI]")</f>
        <v/>
      </c>
      <c r="AK455" s="67" t="str" vm="4392">
        <f>CUBEVALUE(ConnectionString,ReportMonth,Table1[[#This Row],[Site ID (from DATIM)]],"[Measures].[TO]")</f>
        <v/>
      </c>
      <c r="AL455" s="67" t="str" vm="3482">
        <f>CUBEVALUE(ConnectionString,ReportMonth,Table1[[#This Row],[Site ID (from DATIM)]],"[Measures].[DIED]")</f>
        <v/>
      </c>
      <c r="AM455" s="67" vm="6991">
        <f>CUBEVALUE(ConnectionString,ReportMonth,Table1[[#This Row],[Site ID (from DATIM)]],"[Measures].[MMS_01_31]")</f>
        <v>37</v>
      </c>
      <c r="AN455" s="67" vm="10526">
        <f>CUBEVALUE(ConnectionString,ReportMonth,Table1[[#This Row],[Site ID (from DATIM)]],"[Measures].[MMS_32_62]")</f>
        <v>4</v>
      </c>
      <c r="AO455" s="67" vm="11191">
        <f>CUBEVALUE(ConnectionString,ReportMonth,Table1[[#This Row],[Site ID (from DATIM)]],"[Measures].[MMS_63+]")</f>
        <v>153</v>
      </c>
      <c r="AP455" s="67" vm="5046">
        <f>CUBEVALUE(ConnectionString,ReportMonth,Table1[[#This Row],[Site ID (from DATIM)]],"[Measures].[TBPREV_D]")</f>
        <v>2</v>
      </c>
      <c r="AQ455" s="67" vm="4875">
        <f>CUBEVALUE(ConnectionString,ReportMonth,Table1[[#This Row],[Site ID (from DATIM)]],"[Measures].[TBPREV_N]")</f>
        <v>1</v>
      </c>
      <c r="AR455" s="67" vm="5735">
        <f>CUBEVALUE(ConnectionString,ReportMonth,Table1[[#This Row],[Site ID (from DATIM)]],"[Measures].[TBPREV_NEW]")</f>
        <v>1</v>
      </c>
      <c r="AS455" s="67" vm="5219">
        <f>CUBEVALUE(ConnectionString,ReportMonth,Table1[[#This Row],[Site ID (from DATIM)]],"[Measures].[HVL_ELIG_P]")</f>
        <v>6</v>
      </c>
      <c r="AT455" s="67" vm="10816">
        <f>CUBEVALUE(ConnectionString,ReportMonth,Table1[[#This Row],[Site ID (from DATIM)]],"[Measures].[HVL_D_P]")</f>
        <v>8</v>
      </c>
      <c r="AU455" s="67" vm="7495">
        <f>CUBEVALUE(ConnectionString,ReportMonth,Table1[[#This Row],[Site ID (from DATIM)]],"[Measures].[HVL_N_P]")</f>
        <v>6</v>
      </c>
      <c r="AV455" s="68" vm="10532">
        <f>CUBEVALUE(ConnectionString,ReportMonth,Table1[[#This Row],[Site ID (from DATIM)]],"[Measures].[HVL_ELIG_A]")</f>
        <v>182</v>
      </c>
      <c r="AW455" s="68" vm="8262">
        <f>CUBEVALUE(ConnectionString,ReportMonth,Table1[[#This Row],[Site ID (from DATIM)]],"[Measures].[HVL_D_A]")</f>
        <v>126</v>
      </c>
      <c r="AX455" s="68" vm="7520">
        <f>CUBEVALUE(ConnectionString,ReportMonth,Table1[[#This Row],[Site ID (from DATIM)]],"[Measures].[HVL_N_A]")</f>
        <v>124</v>
      </c>
      <c r="AY455" s="67"/>
      <c r="AZ455" s="67"/>
      <c r="BA455" s="67"/>
      <c r="BB455" s="67"/>
      <c r="BC455" s="67"/>
      <c r="BD455" s="67"/>
      <c r="BE455" s="67"/>
      <c r="BF455" s="67"/>
      <c r="BG455" s="67" t="str" vm="13628">
        <f>CUBEVALUE(ConnectionString,ReportMonth,Table1[[#This Row],[Site ID (from DATIM)]],"[Measures].[TX_NEW_F_A]")</f>
        <v/>
      </c>
      <c r="BH455" s="67" t="str" vm="12709">
        <f>CUBEVALUE(ConnectionString,ReportMonth,Table1[[#This Row],[Site ID (from DATIM)]],"[Measures].[TX_NEW_M_A]")</f>
        <v/>
      </c>
      <c r="BI455" s="67" t="str" vm="12576">
        <f>CUBEVALUE(ConnectionString,ReportMonth,Table1[[#This Row],[Site ID (from DATIM)]],"[Measures].[TX_NEW_F_P]")</f>
        <v/>
      </c>
      <c r="BJ455" s="68" t="str" vm="13132">
        <f>CUBEVALUE(ConnectionString,ReportMonth,Table1[[#This Row],[Site ID (from DATIM)]],"[Measures].[TX_NEW_M_P]")</f>
        <v/>
      </c>
      <c r="BK455" s="68"/>
      <c r="BL455" s="68"/>
      <c r="BM455" s="68"/>
      <c r="BN455" s="68"/>
      <c r="BO455" s="68"/>
      <c r="BP455" s="68"/>
      <c r="BQ455" s="68" vm="11305">
        <f>CUBEVALUE(ConnectionString,ReportMonth,Table1[[#This Row],[Site ID (from DATIM)]],"[Measures].[TX_CURR_F_P]")</f>
        <v>2</v>
      </c>
      <c r="BR455" s="68" vm="13264">
        <f>CUBEVALUE(ConnectionString,ReportMonth,Table1[[#This Row],[Site ID (from DATIM)]],"[Measures].[TX_CURR_M_P]")</f>
        <v>4</v>
      </c>
      <c r="BS455" s="68" vm="6380">
        <f>CUBEVALUE(ConnectionString,ReportMonth,Table1[[#This Row],[Site ID (from DATIM)]],"[Measures].[TX_CURR_F_A]")</f>
        <v>116</v>
      </c>
      <c r="BT455" s="68" vm="6605">
        <f>CUBEVALUE(ConnectionString,ReportMonth,Table1[[#This Row],[Site ID (from DATIM)]],"[Measures].[TX_CURR_M_A]")</f>
        <v>72</v>
      </c>
      <c r="BU455" s="68" vm="18074">
        <f>CUBEVALUE(ConnectionString,ReportMonth,Table1[[#This Row],[Site ID (from DATIM)]],"[Measures].[MMS_01_89_F_P]")</f>
        <v>1</v>
      </c>
      <c r="BV455" s="68" t="str" vm="18622">
        <f>CUBEVALUE(ConnectionString,ReportMonth,Table1[[#This Row],[Site ID (from DATIM)]],"[Measures].[MMS_01_89_M_P]")</f>
        <v/>
      </c>
      <c r="BW455" s="68" vm="16054">
        <f>CUBEVALUE(ConnectionString,ReportMonth,Table1[[#This Row],[Site ID (from DATIM)]],"[Measures].[MMS_01_89_F_A]")</f>
        <v>28</v>
      </c>
      <c r="BX455" s="68" vm="18966">
        <f>CUBEVALUE(ConnectionString,ReportMonth,Table1[[#This Row],[Site ID (from DATIM)]],"[Measures].[MMS_01_89_M_A]")</f>
        <v>13</v>
      </c>
      <c r="BY455" s="68" vm="18271">
        <f>CUBEVALUE(ConnectionString,ReportMonth,Table1[[#This Row],[Site ID (from DATIM)]],"[Measures].[MMS_90_179_F_P]")</f>
        <v>1</v>
      </c>
      <c r="BZ455" s="68" vm="16080">
        <f>CUBEVALUE(ConnectionString,ReportMonth,Table1[[#This Row],[Site ID (from DATIM)]],"[Measures].[MMS_90_179_M_P]")</f>
        <v>4</v>
      </c>
      <c r="CA455" s="68" vm="15966">
        <f>CUBEVALUE(ConnectionString,ReportMonth,Table1[[#This Row],[Site ID (from DATIM)]],"[Measures].[MMS_90_179_F_A]")</f>
        <v>88</v>
      </c>
      <c r="CB455" s="68" vm="14706">
        <f>CUBEVALUE(ConnectionString,ReportMonth,Table1[[#This Row],[Site ID (from DATIM)]],"[Measures].[MMS_90_179_M_A]")</f>
        <v>59</v>
      </c>
      <c r="CC455" s="68" t="str" vm="17269">
        <f>CUBEVALUE(ConnectionString,ReportMonth,Table1[[#This Row],[Site ID (from DATIM)]],"[Measures].[MMS_180+_F_P]")</f>
        <v/>
      </c>
      <c r="CD455" s="68" t="str" vm="17150">
        <f>CUBEVALUE(ConnectionString,ReportMonth,Table1[[#This Row],[Site ID (from DATIM)]],"[Measures].[MMS_180+_M_P]")</f>
        <v/>
      </c>
      <c r="CE455" s="68" t="str" vm="17107">
        <f>CUBEVALUE(ConnectionString,ReportMonth,Table1[[#This Row],[Site ID (from DATIM)]],"[Measures].[MMS_180+_F_A]")</f>
        <v/>
      </c>
      <c r="CF455" s="68" t="str" vm="20223">
        <f>CUBEVALUE(ConnectionString,ReportMonth,Table1[[#This Row],[Site ID (from DATIM)]],"[Measures].[MMS_180+_M_A]")</f>
        <v/>
      </c>
      <c r="CG455" s="68" vm="4641">
        <f>CUBEVALUE(ConnectionString,ReportMonth,Table1[[#This Row],[Site ID (from DATIM)]],"[Measures].[MISSEDAPP]")</f>
        <v>78</v>
      </c>
      <c r="CH455" s="68" t="str" vm="12473">
        <f>CUBEVALUE(ConnectionString,ReportMonth,Table1[[#This Row],[Site ID (from DATIM)]],"[Measures].[MMS_180+_P]")</f>
        <v/>
      </c>
      <c r="CI455" s="68" t="str" vm="11991">
        <f>CUBEVALUE(ConnectionString,ReportMonth,Table1[[#This Row],[Site ID (from DATIM)]],"[Measures].[MMS_180+_A]")</f>
        <v/>
      </c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  <c r="CW455" s="68"/>
      <c r="CX455" s="68"/>
      <c r="CY455" s="68"/>
      <c r="CZ455" s="68"/>
      <c r="DA455" s="68"/>
      <c r="DB455" s="68"/>
      <c r="DC455" s="68"/>
    </row>
    <row r="456" spans="1:107" x14ac:dyDescent="0.25">
      <c r="A456" s="66">
        <v>4</v>
      </c>
      <c r="B456" s="67" t="str" vm="4">
        <f t="shared" si="8"/>
        <v>Mar-2021</v>
      </c>
      <c r="C456" s="67"/>
      <c r="D456" s="67" t="s">
        <v>232</v>
      </c>
      <c r="E456" s="67" t="s">
        <v>233</v>
      </c>
      <c r="F456" s="67" t="s">
        <v>1286</v>
      </c>
      <c r="G456" s="67"/>
      <c r="H456" s="67" t="s">
        <v>1287</v>
      </c>
      <c r="I456" s="67" t="s">
        <v>1546</v>
      </c>
      <c r="J456" s="67" t="s">
        <v>1547</v>
      </c>
      <c r="K456" s="67" t="s">
        <v>1548</v>
      </c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 t="str" vm="1280">
        <f>CUBEVALUE(ConnectionString,ReportMonth,Table1[[#This Row],[Site ID (from DATIM)]],"TX_NEW_2VIS")</f>
        <v/>
      </c>
      <c r="AE456" s="67" t="str" vm="714">
        <f>CUBEVALUE(ConnectionString,ReportMonth,Table1[[#This Row],[Site ID (from DATIM)]],INDEX(SDI_Measures,1))</f>
        <v/>
      </c>
      <c r="AF456" s="67" t="str" vm="3842">
        <f>CUBEVALUE(ConnectionString,ReportMonth,Table1[[#This Row],[Site ID (from DATIM)]],INDEX(SDI_Measures,2))</f>
        <v/>
      </c>
      <c r="AG456" s="67" t="str" vm="4072">
        <f>CUBEVALUE(ConnectionString,ReportMonth,Table1[[#This Row],[Site ID (from DATIM)]],INDEX(SDI_Measures,3))</f>
        <v/>
      </c>
      <c r="AH456" s="67" t="str" vm="2847">
        <f>CUBEVALUE(ConnectionString,ReportMonth,Table1[[#This Row],[Site ID (from DATIM)]],"TX_CURR_PRIOR_MONTH")</f>
        <v/>
      </c>
      <c r="AI456" s="67" t="str" vm="3036">
        <f>CUBEVALUE(ConnectionString,ReportMonth,Table1[[#This Row],[Site ID (from DATIM)]],"TX_CURR")</f>
        <v/>
      </c>
      <c r="AJ456" s="67" t="str" vm="4115">
        <f>CUBEVALUE(ConnectionString,ReportMonth,Table1[[#This Row],[Site ID (from DATIM)]],"[Measures].[TI]")</f>
        <v/>
      </c>
      <c r="AK456" s="67" t="str" vm="7149">
        <f>CUBEVALUE(ConnectionString,ReportMonth,Table1[[#This Row],[Site ID (from DATIM)]],"[Measures].[TO]")</f>
        <v/>
      </c>
      <c r="AL456" s="67" t="str" vm="2149">
        <f>CUBEVALUE(ConnectionString,ReportMonth,Table1[[#This Row],[Site ID (from DATIM)]],"[Measures].[DIED]")</f>
        <v/>
      </c>
      <c r="AM456" s="67" t="str" vm="4124">
        <f>CUBEVALUE(ConnectionString,ReportMonth,Table1[[#This Row],[Site ID (from DATIM)]],"[Measures].[MMS_01_31]")</f>
        <v/>
      </c>
      <c r="AN456" s="67" t="str" vm="4354">
        <f>CUBEVALUE(ConnectionString,ReportMonth,Table1[[#This Row],[Site ID (from DATIM)]],"[Measures].[MMS_32_62]")</f>
        <v/>
      </c>
      <c r="AO456" s="67" t="str" vm="4895">
        <f>CUBEVALUE(ConnectionString,ReportMonth,Table1[[#This Row],[Site ID (from DATIM)]],"[Measures].[MMS_63+]")</f>
        <v/>
      </c>
      <c r="AP456" s="67" t="str" vm="10519">
        <f>CUBEVALUE(ConnectionString,ReportMonth,Table1[[#This Row],[Site ID (from DATIM)]],"[Measures].[TBPREV_D]")</f>
        <v/>
      </c>
      <c r="AQ456" s="67" t="str" vm="4869">
        <f>CUBEVALUE(ConnectionString,ReportMonth,Table1[[#This Row],[Site ID (from DATIM)]],"[Measures].[TBPREV_N]")</f>
        <v/>
      </c>
      <c r="AR456" s="67" t="str" vm="5111">
        <f>CUBEVALUE(ConnectionString,ReportMonth,Table1[[#This Row],[Site ID (from DATIM)]],"[Measures].[TBPREV_NEW]")</f>
        <v/>
      </c>
      <c r="AS456" s="67" t="str" vm="5652">
        <f>CUBEVALUE(ConnectionString,ReportMonth,Table1[[#This Row],[Site ID (from DATIM)]],"[Measures].[HVL_ELIG_P]")</f>
        <v/>
      </c>
      <c r="AT456" s="67" t="str" vm="7974">
        <f>CUBEVALUE(ConnectionString,ReportMonth,Table1[[#This Row],[Site ID (from DATIM)]],"[Measures].[HVL_D_P]")</f>
        <v/>
      </c>
      <c r="AU456" s="67" t="str" vm="8585">
        <f>CUBEVALUE(ConnectionString,ReportMonth,Table1[[#This Row],[Site ID (from DATIM)]],"[Measures].[HVL_N_P]")</f>
        <v/>
      </c>
      <c r="AV456" s="68" t="str" vm="11588">
        <f>CUBEVALUE(ConnectionString,ReportMonth,Table1[[#This Row],[Site ID (from DATIM)]],"[Measures].[HVL_ELIG_A]")</f>
        <v/>
      </c>
      <c r="AW456" s="68" t="str" vm="10242">
        <f>CUBEVALUE(ConnectionString,ReportMonth,Table1[[#This Row],[Site ID (from DATIM)]],"[Measures].[HVL_D_A]")</f>
        <v/>
      </c>
      <c r="AX456" s="68" t="str" vm="9116">
        <f>CUBEVALUE(ConnectionString,ReportMonth,Table1[[#This Row],[Site ID (from DATIM)]],"[Measures].[HVL_N_A]")</f>
        <v/>
      </c>
      <c r="AY456" s="67"/>
      <c r="AZ456" s="67"/>
      <c r="BA456" s="67"/>
      <c r="BB456" s="67"/>
      <c r="BC456" s="67"/>
      <c r="BD456" s="67"/>
      <c r="BE456" s="67"/>
      <c r="BF456" s="67"/>
      <c r="BG456" s="67" t="str" vm="12393">
        <f>CUBEVALUE(ConnectionString,ReportMonth,Table1[[#This Row],[Site ID (from DATIM)]],"[Measures].[TX_NEW_F_A]")</f>
        <v/>
      </c>
      <c r="BH456" s="67" t="str" vm="16133">
        <f>CUBEVALUE(ConnectionString,ReportMonth,Table1[[#This Row],[Site ID (from DATIM)]],"[Measures].[TX_NEW_M_A]")</f>
        <v/>
      </c>
      <c r="BI456" s="67" t="str" vm="14233">
        <f>CUBEVALUE(ConnectionString,ReportMonth,Table1[[#This Row],[Site ID (from DATIM)]],"[Measures].[TX_NEW_F_P]")</f>
        <v/>
      </c>
      <c r="BJ456" s="68" t="str" vm="14852">
        <f>CUBEVALUE(ConnectionString,ReportMonth,Table1[[#This Row],[Site ID (from DATIM)]],"[Measures].[TX_NEW_M_P]")</f>
        <v/>
      </c>
      <c r="BK456" s="68"/>
      <c r="BL456" s="68"/>
      <c r="BM456" s="68"/>
      <c r="BN456" s="68"/>
      <c r="BO456" s="68"/>
      <c r="BP456" s="68"/>
      <c r="BQ456" s="68" t="str" vm="10436">
        <f>CUBEVALUE(ConnectionString,ReportMonth,Table1[[#This Row],[Site ID (from DATIM)]],"[Measures].[TX_CURR_F_P]")</f>
        <v/>
      </c>
      <c r="BR456" s="68" t="str" vm="9304">
        <f>CUBEVALUE(ConnectionString,ReportMonth,Table1[[#This Row],[Site ID (from DATIM)]],"[Measures].[TX_CURR_M_P]")</f>
        <v/>
      </c>
      <c r="BS456" s="68" t="str" vm="12915">
        <f>CUBEVALUE(ConnectionString,ReportMonth,Table1[[#This Row],[Site ID (from DATIM)]],"[Measures].[TX_CURR_F_A]")</f>
        <v/>
      </c>
      <c r="BT456" s="68" t="str" vm="11638">
        <f>CUBEVALUE(ConnectionString,ReportMonth,Table1[[#This Row],[Site ID (from DATIM)]],"[Measures].[TX_CURR_M_A]")</f>
        <v/>
      </c>
      <c r="BU456" s="68" t="str" vm="19280">
        <f>CUBEVALUE(ConnectionString,ReportMonth,Table1[[#This Row],[Site ID (from DATIM)]],"[Measures].[MMS_01_89_F_P]")</f>
        <v/>
      </c>
      <c r="BV456" s="68" t="str" vm="18719">
        <f>CUBEVALUE(ConnectionString,ReportMonth,Table1[[#This Row],[Site ID (from DATIM)]],"[Measures].[MMS_01_89_M_P]")</f>
        <v/>
      </c>
      <c r="BW456" s="68" t="str" vm="18341">
        <f>CUBEVALUE(ConnectionString,ReportMonth,Table1[[#This Row],[Site ID (from DATIM)]],"[Measures].[MMS_01_89_F_A]")</f>
        <v/>
      </c>
      <c r="BX456" s="68" t="str" vm="18278">
        <f>CUBEVALUE(ConnectionString,ReportMonth,Table1[[#This Row],[Site ID (from DATIM)]],"[Measures].[MMS_01_89_M_A]")</f>
        <v/>
      </c>
      <c r="BY456" s="68" t="str" vm="18207">
        <f>CUBEVALUE(ConnectionString,ReportMonth,Table1[[#This Row],[Site ID (from DATIM)]],"[Measures].[MMS_90_179_F_P]")</f>
        <v/>
      </c>
      <c r="BZ456" s="68" t="str" vm="17835">
        <f>CUBEVALUE(ConnectionString,ReportMonth,Table1[[#This Row],[Site ID (from DATIM)]],"[Measures].[MMS_90_179_M_P]")</f>
        <v/>
      </c>
      <c r="CA456" s="68" t="str" vm="17813">
        <f>CUBEVALUE(ConnectionString,ReportMonth,Table1[[#This Row],[Site ID (from DATIM)]],"[Measures].[MMS_90_179_F_A]")</f>
        <v/>
      </c>
      <c r="CB456" s="68" t="str" vm="16779">
        <f>CUBEVALUE(ConnectionString,ReportMonth,Table1[[#This Row],[Site ID (from DATIM)]],"[Measures].[MMS_90_179_M_A]")</f>
        <v/>
      </c>
      <c r="CC456" s="68" t="str" vm="15489">
        <f>CUBEVALUE(ConnectionString,ReportMonth,Table1[[#This Row],[Site ID (from DATIM)]],"[Measures].[MMS_180+_F_P]")</f>
        <v/>
      </c>
      <c r="CD456" s="68" t="str" vm="14432">
        <f>CUBEVALUE(ConnectionString,ReportMonth,Table1[[#This Row],[Site ID (from DATIM)]],"[Measures].[MMS_180+_M_P]")</f>
        <v/>
      </c>
      <c r="CE456" s="68" t="str" vm="17112">
        <f>CUBEVALUE(ConnectionString,ReportMonth,Table1[[#This Row],[Site ID (from DATIM)]],"[Measures].[MMS_180+_F_A]")</f>
        <v/>
      </c>
      <c r="CF456" s="68" t="str" vm="16227">
        <f>CUBEVALUE(ConnectionString,ReportMonth,Table1[[#This Row],[Site ID (from DATIM)]],"[Measures].[MMS_180+_M_A]")</f>
        <v/>
      </c>
      <c r="CG456" s="68" t="str" vm="6552">
        <f>CUBEVALUE(ConnectionString,ReportMonth,Table1[[#This Row],[Site ID (from DATIM)]],"[Measures].[MISSEDAPP]")</f>
        <v/>
      </c>
      <c r="CH456" s="68" t="str" vm="13862">
        <f>CUBEVALUE(ConnectionString,ReportMonth,Table1[[#This Row],[Site ID (from DATIM)]],"[Measures].[MMS_180+_P]")</f>
        <v/>
      </c>
      <c r="CI456" s="68" t="str" vm="10119">
        <f>CUBEVALUE(ConnectionString,ReportMonth,Table1[[#This Row],[Site ID (from DATIM)]],"[Measures].[MMS_180+_A]")</f>
        <v/>
      </c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  <c r="CW456" s="68"/>
      <c r="CX456" s="68"/>
      <c r="CY456" s="68"/>
      <c r="CZ456" s="68"/>
      <c r="DA456" s="68"/>
      <c r="DB456" s="68"/>
      <c r="DC456" s="68"/>
    </row>
    <row r="457" spans="1:107" x14ac:dyDescent="0.25">
      <c r="A457" s="66">
        <v>1</v>
      </c>
      <c r="B457" s="67" t="str" vm="4">
        <f t="shared" si="8"/>
        <v>Mar-2021</v>
      </c>
      <c r="C457" s="67"/>
      <c r="D457" s="67" t="s">
        <v>232</v>
      </c>
      <c r="E457" s="67" t="s">
        <v>233</v>
      </c>
      <c r="F457" s="67" t="s">
        <v>234</v>
      </c>
      <c r="G457" s="67"/>
      <c r="H457" s="67" t="s">
        <v>235</v>
      </c>
      <c r="I457" s="67" t="s">
        <v>430</v>
      </c>
      <c r="J457" s="67" t="s">
        <v>431</v>
      </c>
      <c r="K457" s="67" t="s">
        <v>432</v>
      </c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 vm="1677">
        <f>CUBEVALUE(ConnectionString,ReportMonth,Table1[[#This Row],[Site ID (from DATIM)]],"TX_NEW_2VIS")</f>
        <v>1</v>
      </c>
      <c r="AE457" s="67" vm="1418">
        <f>CUBEVALUE(ConnectionString,ReportMonth,Table1[[#This Row],[Site ID (from DATIM)]],INDEX(SDI_Measures,1))</f>
        <v>1</v>
      </c>
      <c r="AF457" s="67" t="str" vm="1615">
        <f>CUBEVALUE(ConnectionString,ReportMonth,Table1[[#This Row],[Site ID (from DATIM)]],INDEX(SDI_Measures,2))</f>
        <v/>
      </c>
      <c r="AG457" s="67" t="str" vm="2012">
        <f>CUBEVALUE(ConnectionString,ReportMonth,Table1[[#This Row],[Site ID (from DATIM)]],INDEX(SDI_Measures,3))</f>
        <v/>
      </c>
      <c r="AH457" s="67" vm="988">
        <f>CUBEVALUE(ConnectionString,ReportMonth,Table1[[#This Row],[Site ID (from DATIM)]],"TX_CURR_PRIOR_MONTH")</f>
        <v>1589</v>
      </c>
      <c r="AI457" s="67" vm="880">
        <f>CUBEVALUE(ConnectionString,ReportMonth,Table1[[#This Row],[Site ID (from DATIM)]],"TX_CURR")</f>
        <v>1547</v>
      </c>
      <c r="AJ457" s="67" vm="1539">
        <f>CUBEVALUE(ConnectionString,ReportMonth,Table1[[#This Row],[Site ID (from DATIM)]],"[Measures].[TI]")</f>
        <v>3</v>
      </c>
      <c r="AK457" s="67" t="str" vm="5225">
        <f>CUBEVALUE(ConnectionString,ReportMonth,Table1[[#This Row],[Site ID (from DATIM)]],"[Measures].[TO]")</f>
        <v/>
      </c>
      <c r="AL457" s="67" t="str" vm="2934">
        <f>CUBEVALUE(ConnectionString,ReportMonth,Table1[[#This Row],[Site ID (from DATIM)]],"[Measures].[DIED]")</f>
        <v/>
      </c>
      <c r="AM457" s="67" vm="6538">
        <f>CUBEVALUE(ConnectionString,ReportMonth,Table1[[#This Row],[Site ID (from DATIM)]],"[Measures].[MMS_01_31]")</f>
        <v>183</v>
      </c>
      <c r="AN457" s="67" vm="6675">
        <f>CUBEVALUE(ConnectionString,ReportMonth,Table1[[#This Row],[Site ID (from DATIM)]],"[Measures].[MMS_32_62]")</f>
        <v>31</v>
      </c>
      <c r="AO457" s="67" vm="5137">
        <f>CUBEVALUE(ConnectionString,ReportMonth,Table1[[#This Row],[Site ID (from DATIM)]],"[Measures].[MMS_63+]")</f>
        <v>1333</v>
      </c>
      <c r="AP457" s="67" vm="8538">
        <f>CUBEVALUE(ConnectionString,ReportMonth,Table1[[#This Row],[Site ID (from DATIM)]],"[Measures].[TBPREV_D]")</f>
        <v>42</v>
      </c>
      <c r="AQ457" s="67" vm="7372">
        <f>CUBEVALUE(ConnectionString,ReportMonth,Table1[[#This Row],[Site ID (from DATIM)]],"[Measures].[TBPREV_N]")</f>
        <v>36</v>
      </c>
      <c r="AR457" s="67" vm="9645">
        <f>CUBEVALUE(ConnectionString,ReportMonth,Table1[[#This Row],[Site ID (from DATIM)]],"[Measures].[TBPREV_NEW]")</f>
        <v>51</v>
      </c>
      <c r="AS457" s="67" vm="5446">
        <f>CUBEVALUE(ConnectionString,ReportMonth,Table1[[#This Row],[Site ID (from DATIM)]],"[Measures].[HVL_ELIG_P]")</f>
        <v>74</v>
      </c>
      <c r="AT457" s="67" vm="5497">
        <f>CUBEVALUE(ConnectionString,ReportMonth,Table1[[#This Row],[Site ID (from DATIM)]],"[Measures].[HVL_D_P]")</f>
        <v>62</v>
      </c>
      <c r="AU457" s="67" vm="9883">
        <f>CUBEVALUE(ConnectionString,ReportMonth,Table1[[#This Row],[Site ID (from DATIM)]],"[Measures].[HVL_N_P]")</f>
        <v>57</v>
      </c>
      <c r="AV457" s="68" vm="8281">
        <f>CUBEVALUE(ConnectionString,ReportMonth,Table1[[#This Row],[Site ID (from DATIM)]],"[Measures].[HVL_ELIG_A]")</f>
        <v>1422</v>
      </c>
      <c r="AW457" s="68" vm="7751">
        <f>CUBEVALUE(ConnectionString,ReportMonth,Table1[[#This Row],[Site ID (from DATIM)]],"[Measures].[HVL_D_A]")</f>
        <v>1091</v>
      </c>
      <c r="AX457" s="68" vm="9856">
        <f>CUBEVALUE(ConnectionString,ReportMonth,Table1[[#This Row],[Site ID (from DATIM)]],"[Measures].[HVL_N_A]")</f>
        <v>1045</v>
      </c>
      <c r="AY457" s="67"/>
      <c r="AZ457" s="67"/>
      <c r="BA457" s="67"/>
      <c r="BB457" s="67"/>
      <c r="BC457" s="67"/>
      <c r="BD457" s="67"/>
      <c r="BE457" s="67"/>
      <c r="BF457" s="67"/>
      <c r="BG457" s="67" vm="13054">
        <f>CUBEVALUE(ConnectionString,ReportMonth,Table1[[#This Row],[Site ID (from DATIM)]],"[Measures].[TX_NEW_F_A]")</f>
        <v>1</v>
      </c>
      <c r="BH457" s="67" t="str" vm="15336">
        <f>CUBEVALUE(ConnectionString,ReportMonth,Table1[[#This Row],[Site ID (from DATIM)]],"[Measures].[TX_NEW_M_A]")</f>
        <v/>
      </c>
      <c r="BI457" s="67" t="str" vm="12598">
        <f>CUBEVALUE(ConnectionString,ReportMonth,Table1[[#This Row],[Site ID (from DATIM)]],"[Measures].[TX_NEW_F_P]")</f>
        <v/>
      </c>
      <c r="BJ457" s="68" t="str" vm="12839">
        <f>CUBEVALUE(ConnectionString,ReportMonth,Table1[[#This Row],[Site ID (from DATIM)]],"[Measures].[TX_NEW_M_P]")</f>
        <v/>
      </c>
      <c r="BK457" s="68"/>
      <c r="BL457" s="68"/>
      <c r="BM457" s="68"/>
      <c r="BN457" s="68"/>
      <c r="BO457" s="68"/>
      <c r="BP457" s="68"/>
      <c r="BQ457" s="68" vm="12779">
        <f>CUBEVALUE(ConnectionString,ReportMonth,Table1[[#This Row],[Site ID (from DATIM)]],"[Measures].[TX_CURR_F_P]")</f>
        <v>41</v>
      </c>
      <c r="BR457" s="68" vm="9420">
        <f>CUBEVALUE(ConnectionString,ReportMonth,Table1[[#This Row],[Site ID (from DATIM)]],"[Measures].[TX_CURR_M_P]")</f>
        <v>35</v>
      </c>
      <c r="BS457" s="68" vm="10799">
        <f>CUBEVALUE(ConnectionString,ReportMonth,Table1[[#This Row],[Site ID (from DATIM)]],"[Measures].[TX_CURR_F_A]")</f>
        <v>1036</v>
      </c>
      <c r="BT457" s="68" vm="7509">
        <f>CUBEVALUE(ConnectionString,ReportMonth,Table1[[#This Row],[Site ID (from DATIM)]],"[Measures].[TX_CURR_M_A]")</f>
        <v>436</v>
      </c>
      <c r="BU457" s="68" vm="19286">
        <f>CUBEVALUE(ConnectionString,ReportMonth,Table1[[#This Row],[Site ID (from DATIM)]],"[Measures].[MMS_01_89_F_P]")</f>
        <v>7</v>
      </c>
      <c r="BV457" s="68" vm="19526">
        <f>CUBEVALUE(ConnectionString,ReportMonth,Table1[[#This Row],[Site ID (from DATIM)]],"[Measures].[MMS_01_89_M_P]")</f>
        <v>6</v>
      </c>
      <c r="BW457" s="68" vm="16038">
        <f>CUBEVALUE(ConnectionString,ReportMonth,Table1[[#This Row],[Site ID (from DATIM)]],"[Measures].[MMS_01_89_F_A]")</f>
        <v>152</v>
      </c>
      <c r="BX457" s="68" vm="19685">
        <f>CUBEVALUE(ConnectionString,ReportMonth,Table1[[#This Row],[Site ID (from DATIM)]],"[Measures].[MMS_01_89_M_A]")</f>
        <v>49</v>
      </c>
      <c r="BY457" s="68" vm="16978">
        <f>CUBEVALUE(ConnectionString,ReportMonth,Table1[[#This Row],[Site ID (from DATIM)]],"[Measures].[MMS_90_179_F_P]")</f>
        <v>34</v>
      </c>
      <c r="BZ457" s="68" vm="18775">
        <f>CUBEVALUE(ConnectionString,ReportMonth,Table1[[#This Row],[Site ID (from DATIM)]],"[Measures].[MMS_90_179_M_P]")</f>
        <v>29</v>
      </c>
      <c r="CA457" s="68" vm="15970">
        <f>CUBEVALUE(ConnectionString,ReportMonth,Table1[[#This Row],[Site ID (from DATIM)]],"[Measures].[MMS_90_179_F_A]")</f>
        <v>884</v>
      </c>
      <c r="CB457" s="68" vm="17657">
        <f>CUBEVALUE(ConnectionString,ReportMonth,Table1[[#This Row],[Site ID (from DATIM)]],"[Measures].[MMS_90_179_M_A]")</f>
        <v>387</v>
      </c>
      <c r="CC457" s="68" t="str" vm="14650">
        <f>CUBEVALUE(ConnectionString,ReportMonth,Table1[[#This Row],[Site ID (from DATIM)]],"[Measures].[MMS_180+_F_P]")</f>
        <v/>
      </c>
      <c r="CD457" s="68" t="str" vm="87">
        <f>CUBEVALUE(ConnectionString,ReportMonth,Table1[[#This Row],[Site ID (from DATIM)]],"[Measures].[MMS_180+_M_P]")</f>
        <v/>
      </c>
      <c r="CE457" s="68" t="str" vm="17503">
        <f>CUBEVALUE(ConnectionString,ReportMonth,Table1[[#This Row],[Site ID (from DATIM)]],"[Measures].[MMS_180+_F_A]")</f>
        <v/>
      </c>
      <c r="CF457" s="68" t="str" vm="163">
        <f>CUBEVALUE(ConnectionString,ReportMonth,Table1[[#This Row],[Site ID (from DATIM)]],"[Measures].[MMS_180+_M_A]")</f>
        <v/>
      </c>
      <c r="CG457" s="68" vm="7081">
        <f>CUBEVALUE(ConnectionString,ReportMonth,Table1[[#This Row],[Site ID (from DATIM)]],"[Measures].[MISSEDAPP]")</f>
        <v>486</v>
      </c>
      <c r="CH457" s="68" t="str" vm="14101">
        <f>CUBEVALUE(ConnectionString,ReportMonth,Table1[[#This Row],[Site ID (from DATIM)]],"[Measures].[MMS_180+_P]")</f>
        <v/>
      </c>
      <c r="CI457" s="68" t="str" vm="12033">
        <f>CUBEVALUE(ConnectionString,ReportMonth,Table1[[#This Row],[Site ID (from DATIM)]],"[Measures].[MMS_180+_A]")</f>
        <v/>
      </c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  <c r="CW457" s="68"/>
      <c r="CX457" s="68"/>
      <c r="CY457" s="68"/>
      <c r="CZ457" s="68"/>
      <c r="DA457" s="68"/>
      <c r="DB457" s="68"/>
      <c r="DC457" s="68"/>
    </row>
    <row r="458" spans="1:107" x14ac:dyDescent="0.25">
      <c r="A458" s="66">
        <v>4</v>
      </c>
      <c r="B458" s="67" t="str" vm="4">
        <f t="shared" si="8"/>
        <v>Mar-2021</v>
      </c>
      <c r="C458" s="67"/>
      <c r="D458" s="67" t="s">
        <v>232</v>
      </c>
      <c r="E458" s="67" t="s">
        <v>233</v>
      </c>
      <c r="F458" s="67" t="s">
        <v>234</v>
      </c>
      <c r="G458" s="67"/>
      <c r="H458" s="67" t="s">
        <v>235</v>
      </c>
      <c r="I458" s="67" t="s">
        <v>430</v>
      </c>
      <c r="J458" s="67" t="s">
        <v>433</v>
      </c>
      <c r="K458" s="67" t="s">
        <v>434</v>
      </c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 t="str" vm="3972">
        <f>CUBEVALUE(ConnectionString,ReportMonth,Table1[[#This Row],[Site ID (from DATIM)]],"TX_NEW_2VIS")</f>
        <v/>
      </c>
      <c r="AE458" s="67" t="str" vm="902">
        <f>CUBEVALUE(ConnectionString,ReportMonth,Table1[[#This Row],[Site ID (from DATIM)]],INDEX(SDI_Measures,1))</f>
        <v/>
      </c>
      <c r="AF458" s="67" t="str" vm="562">
        <f>CUBEVALUE(ConnectionString,ReportMonth,Table1[[#This Row],[Site ID (from DATIM)]],INDEX(SDI_Measures,2))</f>
        <v/>
      </c>
      <c r="AG458" s="67" t="str" vm="4951">
        <f>CUBEVALUE(ConnectionString,ReportMonth,Table1[[#This Row],[Site ID (from DATIM)]],INDEX(SDI_Measures,3))</f>
        <v/>
      </c>
      <c r="AH458" s="67" vm="379">
        <f>CUBEVALUE(ConnectionString,ReportMonth,Table1[[#This Row],[Site ID (from DATIM)]],"TX_CURR_PRIOR_MONTH")</f>
        <v>382</v>
      </c>
      <c r="AI458" s="67" vm="906">
        <f>CUBEVALUE(ConnectionString,ReportMonth,Table1[[#This Row],[Site ID (from DATIM)]],"TX_CURR")</f>
        <v>326</v>
      </c>
      <c r="AJ458" s="67" t="str" vm="3105">
        <f>CUBEVALUE(ConnectionString,ReportMonth,Table1[[#This Row],[Site ID (from DATIM)]],"[Measures].[TI]")</f>
        <v/>
      </c>
      <c r="AK458" s="67" t="str" vm="1838">
        <f>CUBEVALUE(ConnectionString,ReportMonth,Table1[[#This Row],[Site ID (from DATIM)]],"[Measures].[TO]")</f>
        <v/>
      </c>
      <c r="AL458" s="67" t="str" vm="1409">
        <f>CUBEVALUE(ConnectionString,ReportMonth,Table1[[#This Row],[Site ID (from DATIM)]],"[Measures].[DIED]")</f>
        <v/>
      </c>
      <c r="AM458" s="67" vm="4217">
        <f>CUBEVALUE(ConnectionString,ReportMonth,Table1[[#This Row],[Site ID (from DATIM)]],"[Measures].[MMS_01_31]")</f>
        <v>96</v>
      </c>
      <c r="AN458" s="67" vm="4770">
        <f>CUBEVALUE(ConnectionString,ReportMonth,Table1[[#This Row],[Site ID (from DATIM)]],"[Measures].[MMS_32_62]")</f>
        <v>7</v>
      </c>
      <c r="AO458" s="67" vm="5371">
        <f>CUBEVALUE(ConnectionString,ReportMonth,Table1[[#This Row],[Site ID (from DATIM)]],"[Measures].[MMS_63+]")</f>
        <v>223</v>
      </c>
      <c r="AP458" s="67" vm="5344">
        <f>CUBEVALUE(ConnectionString,ReportMonth,Table1[[#This Row],[Site ID (from DATIM)]],"[Measures].[TBPREV_D]")</f>
        <v>5</v>
      </c>
      <c r="AQ458" s="67" vm="5177">
        <f>CUBEVALUE(ConnectionString,ReportMonth,Table1[[#This Row],[Site ID (from DATIM)]],"[Measures].[TBPREV_N]")</f>
        <v>1</v>
      </c>
      <c r="AR458" s="67" t="str" vm="5431">
        <f>CUBEVALUE(ConnectionString,ReportMonth,Table1[[#This Row],[Site ID (from DATIM)]],"[Measures].[TBPREV_NEW]")</f>
        <v/>
      </c>
      <c r="AS458" s="67" vm="12009">
        <f>CUBEVALUE(ConnectionString,ReportMonth,Table1[[#This Row],[Site ID (from DATIM)]],"[Measures].[HVL_ELIG_P]")</f>
        <v>20</v>
      </c>
      <c r="AT458" s="67" vm="8605">
        <f>CUBEVALUE(ConnectionString,ReportMonth,Table1[[#This Row],[Site ID (from DATIM)]],"[Measures].[HVL_D_P]")</f>
        <v>13</v>
      </c>
      <c r="AU458" s="67" vm="8369">
        <f>CUBEVALUE(ConnectionString,ReportMonth,Table1[[#This Row],[Site ID (from DATIM)]],"[Measures].[HVL_N_P]")</f>
        <v>12</v>
      </c>
      <c r="AV458" s="68" vm="9195">
        <f>CUBEVALUE(ConnectionString,ReportMonth,Table1[[#This Row],[Site ID (from DATIM)]],"[Measures].[HVL_ELIG_A]")</f>
        <v>281</v>
      </c>
      <c r="AW458" s="68" vm="6368">
        <f>CUBEVALUE(ConnectionString,ReportMonth,Table1[[#This Row],[Site ID (from DATIM)]],"[Measures].[HVL_D_A]")</f>
        <v>189</v>
      </c>
      <c r="AX458" s="68" vm="11123">
        <f>CUBEVALUE(ConnectionString,ReportMonth,Table1[[#This Row],[Site ID (from DATIM)]],"[Measures].[HVL_N_A]")</f>
        <v>176</v>
      </c>
      <c r="AY458" s="67"/>
      <c r="AZ458" s="67"/>
      <c r="BA458" s="67"/>
      <c r="BB458" s="67"/>
      <c r="BC458" s="67"/>
      <c r="BD458" s="67"/>
      <c r="BE458" s="67"/>
      <c r="BF458" s="67"/>
      <c r="BG458" s="67" t="str" vm="11666">
        <f>CUBEVALUE(ConnectionString,ReportMonth,Table1[[#This Row],[Site ID (from DATIM)]],"[Measures].[TX_NEW_F_A]")</f>
        <v/>
      </c>
      <c r="BH458" s="67" t="str" vm="16134">
        <f>CUBEVALUE(ConnectionString,ReportMonth,Table1[[#This Row],[Site ID (from DATIM)]],"[Measures].[TX_NEW_M_A]")</f>
        <v/>
      </c>
      <c r="BI458" s="67" t="str" vm="14356">
        <f>CUBEVALUE(ConnectionString,ReportMonth,Table1[[#This Row],[Site ID (from DATIM)]],"[Measures].[TX_NEW_F_P]")</f>
        <v/>
      </c>
      <c r="BJ458" s="68" t="str" vm="12309">
        <f>CUBEVALUE(ConnectionString,ReportMonth,Table1[[#This Row],[Site ID (from DATIM)]],"[Measures].[TX_NEW_M_P]")</f>
        <v/>
      </c>
      <c r="BK458" s="68"/>
      <c r="BL458" s="68"/>
      <c r="BM458" s="68"/>
      <c r="BN458" s="68"/>
      <c r="BO458" s="68"/>
      <c r="BP458" s="68"/>
      <c r="BQ458" s="68" vm="11251">
        <f>CUBEVALUE(ConnectionString,ReportMonth,Table1[[#This Row],[Site ID (from DATIM)]],"[Measures].[TX_CURR_F_P]")</f>
        <v>11</v>
      </c>
      <c r="BR458" s="68" vm="15320">
        <f>CUBEVALUE(ConnectionString,ReportMonth,Table1[[#This Row],[Site ID (from DATIM)]],"[Measures].[TX_CURR_M_P]")</f>
        <v>9</v>
      </c>
      <c r="BS458" s="68" vm="12722">
        <f>CUBEVALUE(ConnectionString,ReportMonth,Table1[[#This Row],[Site ID (from DATIM)]],"[Measures].[TX_CURR_F_A]")</f>
        <v>227</v>
      </c>
      <c r="BT458" s="68" vm="10319">
        <f>CUBEVALUE(ConnectionString,ReportMonth,Table1[[#This Row],[Site ID (from DATIM)]],"[Measures].[TX_CURR_M_A]")</f>
        <v>79</v>
      </c>
      <c r="BU458" s="68" vm="20084">
        <f>CUBEVALUE(ConnectionString,ReportMonth,Table1[[#This Row],[Site ID (from DATIM)]],"[Measures].[MMS_01_89_F_P]")</f>
        <v>3</v>
      </c>
      <c r="BV458" s="68" vm="19230">
        <f>CUBEVALUE(ConnectionString,ReportMonth,Table1[[#This Row],[Site ID (from DATIM)]],"[Measures].[MMS_01_89_M_P]")</f>
        <v>6</v>
      </c>
      <c r="BW458" s="68" vm="18947">
        <f>CUBEVALUE(ConnectionString,ReportMonth,Table1[[#This Row],[Site ID (from DATIM)]],"[Measures].[MMS_01_89_F_A]")</f>
        <v>78</v>
      </c>
      <c r="BX458" s="68" vm="19955">
        <f>CUBEVALUE(ConnectionString,ReportMonth,Table1[[#This Row],[Site ID (from DATIM)]],"[Measures].[MMS_01_89_M_A]")</f>
        <v>18</v>
      </c>
      <c r="BY458" s="68" vm="14608">
        <f>CUBEVALUE(ConnectionString,ReportMonth,Table1[[#This Row],[Site ID (from DATIM)]],"[Measures].[MMS_90_179_F_P]")</f>
        <v>8</v>
      </c>
      <c r="BZ458" s="68" vm="16029">
        <f>CUBEVALUE(ConnectionString,ReportMonth,Table1[[#This Row],[Site ID (from DATIM)]],"[Measures].[MMS_90_179_M_P]")</f>
        <v>3</v>
      </c>
      <c r="CA458" s="68" vm="15495">
        <f>CUBEVALUE(ConnectionString,ReportMonth,Table1[[#This Row],[Site ID (from DATIM)]],"[Measures].[MMS_90_179_F_A]")</f>
        <v>149</v>
      </c>
      <c r="CB458" s="68" vm="15569">
        <f>CUBEVALUE(ConnectionString,ReportMonth,Table1[[#This Row],[Site ID (from DATIM)]],"[Measures].[MMS_90_179_M_A]")</f>
        <v>61</v>
      </c>
      <c r="CC458" s="68" t="str" vm="17267">
        <f>CUBEVALUE(ConnectionString,ReportMonth,Table1[[#This Row],[Site ID (from DATIM)]],"[Measures].[MMS_180+_F_P]")</f>
        <v/>
      </c>
      <c r="CD458" s="68" t="str" vm="17186">
        <f>CUBEVALUE(ConnectionString,ReportMonth,Table1[[#This Row],[Site ID (from DATIM)]],"[Measures].[MMS_180+_M_P]")</f>
        <v/>
      </c>
      <c r="CE458" s="68" t="str" vm="15718">
        <f>CUBEVALUE(ConnectionString,ReportMonth,Table1[[#This Row],[Site ID (from DATIM)]],"[Measures].[MMS_180+_F_A]")</f>
        <v/>
      </c>
      <c r="CF458" s="68" t="str" vm="16635">
        <f>CUBEVALUE(ConnectionString,ReportMonth,Table1[[#This Row],[Site ID (from DATIM)]],"[Measures].[MMS_180+_M_A]")</f>
        <v/>
      </c>
      <c r="CG458" s="68" vm="13591">
        <f>CUBEVALUE(ConnectionString,ReportMonth,Table1[[#This Row],[Site ID (from DATIM)]],"[Measures].[MISSEDAPP]")</f>
        <v>233</v>
      </c>
      <c r="CH458" s="68" t="str" vm="13872">
        <f>CUBEVALUE(ConnectionString,ReportMonth,Table1[[#This Row],[Site ID (from DATIM)]],"[Measures].[MMS_180+_P]")</f>
        <v/>
      </c>
      <c r="CI458" s="68" t="str" vm="13283">
        <f>CUBEVALUE(ConnectionString,ReportMonth,Table1[[#This Row],[Site ID (from DATIM)]],"[Measures].[MMS_180+_A]")</f>
        <v/>
      </c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  <c r="CW458" s="68"/>
      <c r="CX458" s="68"/>
      <c r="CY458" s="68"/>
      <c r="CZ458" s="68"/>
      <c r="DA458" s="68"/>
      <c r="DB458" s="68"/>
      <c r="DC458" s="68"/>
    </row>
    <row r="459" spans="1:107" x14ac:dyDescent="0.25">
      <c r="A459" s="66">
        <v>2</v>
      </c>
      <c r="B459" s="67" t="str" vm="4">
        <f t="shared" si="8"/>
        <v>Mar-2021</v>
      </c>
      <c r="C459" s="67"/>
      <c r="D459" s="67" t="s">
        <v>232</v>
      </c>
      <c r="E459" s="67" t="s">
        <v>233</v>
      </c>
      <c r="F459" s="67" t="s">
        <v>831</v>
      </c>
      <c r="G459" s="67"/>
      <c r="H459" s="67" t="s">
        <v>876</v>
      </c>
      <c r="I459" s="67" t="s">
        <v>1080</v>
      </c>
      <c r="J459" s="67" t="s">
        <v>1081</v>
      </c>
      <c r="K459" s="67" t="s">
        <v>1082</v>
      </c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 vm="1527">
        <f>CUBEVALUE(ConnectionString,ReportMonth,Table1[[#This Row],[Site ID (from DATIM)]],"TX_NEW_2VIS")</f>
        <v>1</v>
      </c>
      <c r="AE459" s="67" vm="4500">
        <f>CUBEVALUE(ConnectionString,ReportMonth,Table1[[#This Row],[Site ID (from DATIM)]],INDEX(SDI_Measures,1))</f>
        <v>1</v>
      </c>
      <c r="AF459" s="67" t="str" vm="822">
        <f>CUBEVALUE(ConnectionString,ReportMonth,Table1[[#This Row],[Site ID (from DATIM)]],INDEX(SDI_Measures,2))</f>
        <v/>
      </c>
      <c r="AG459" s="67" t="str" vm="3950">
        <f>CUBEVALUE(ConnectionString,ReportMonth,Table1[[#This Row],[Site ID (from DATIM)]],INDEX(SDI_Measures,3))</f>
        <v/>
      </c>
      <c r="AH459" s="67" vm="3752">
        <f>CUBEVALUE(ConnectionString,ReportMonth,Table1[[#This Row],[Site ID (from DATIM)]],"TX_CURR_PRIOR_MONTH")</f>
        <v>521</v>
      </c>
      <c r="AI459" s="67" vm="1105">
        <f>CUBEVALUE(ConnectionString,ReportMonth,Table1[[#This Row],[Site ID (from DATIM)]],"TX_CURR")</f>
        <v>509</v>
      </c>
      <c r="AJ459" s="67" vm="2008">
        <f>CUBEVALUE(ConnectionString,ReportMonth,Table1[[#This Row],[Site ID (from DATIM)]],"[Measures].[TI]")</f>
        <v>1</v>
      </c>
      <c r="AK459" s="67" vm="2040">
        <f>CUBEVALUE(ConnectionString,ReportMonth,Table1[[#This Row],[Site ID (from DATIM)]],"[Measures].[TO]")</f>
        <v>2</v>
      </c>
      <c r="AL459" s="67" t="str" vm="1136">
        <f>CUBEVALUE(ConnectionString,ReportMonth,Table1[[#This Row],[Site ID (from DATIM)]],"[Measures].[DIED]")</f>
        <v/>
      </c>
      <c r="AM459" s="67" vm="5414">
        <f>CUBEVALUE(ConnectionString,ReportMonth,Table1[[#This Row],[Site ID (from DATIM)]],"[Measures].[MMS_01_31]")</f>
        <v>56</v>
      </c>
      <c r="AN459" s="67" vm="5608">
        <f>CUBEVALUE(ConnectionString,ReportMonth,Table1[[#This Row],[Site ID (from DATIM)]],"[Measures].[MMS_32_62]")</f>
        <v>5</v>
      </c>
      <c r="AO459" s="67" vm="6210">
        <f>CUBEVALUE(ConnectionString,ReportMonth,Table1[[#This Row],[Site ID (from DATIM)]],"[Measures].[MMS_63+]")</f>
        <v>448</v>
      </c>
      <c r="AP459" s="67" vm="5673">
        <f>CUBEVALUE(ConnectionString,ReportMonth,Table1[[#This Row],[Site ID (from DATIM)]],"[Measures].[TBPREV_D]")</f>
        <v>10</v>
      </c>
      <c r="AQ459" s="67" vm="5631">
        <f>CUBEVALUE(ConnectionString,ReportMonth,Table1[[#This Row],[Site ID (from DATIM)]],"[Measures].[TBPREV_N]")</f>
        <v>10</v>
      </c>
      <c r="AR459" s="67" vm="9047">
        <f>CUBEVALUE(ConnectionString,ReportMonth,Table1[[#This Row],[Site ID (from DATIM)]],"[Measures].[TBPREV_NEW]")</f>
        <v>3</v>
      </c>
      <c r="AS459" s="67" vm="9481">
        <f>CUBEVALUE(ConnectionString,ReportMonth,Table1[[#This Row],[Site ID (from DATIM)]],"[Measures].[HVL_ELIG_P]")</f>
        <v>30</v>
      </c>
      <c r="AT459" s="67" vm="6340">
        <f>CUBEVALUE(ConnectionString,ReportMonth,Table1[[#This Row],[Site ID (from DATIM)]],"[Measures].[HVL_D_P]")</f>
        <v>37</v>
      </c>
      <c r="AU459" s="67" vm="10686">
        <f>CUBEVALUE(ConnectionString,ReportMonth,Table1[[#This Row],[Site ID (from DATIM)]],"[Measures].[HVL_N_P]")</f>
        <v>37</v>
      </c>
      <c r="AV459" s="68" vm="8132">
        <f>CUBEVALUE(ConnectionString,ReportMonth,Table1[[#This Row],[Site ID (from DATIM)]],"[Measures].[HVL_ELIG_A]")</f>
        <v>455</v>
      </c>
      <c r="AW459" s="68" vm="11488">
        <f>CUBEVALUE(ConnectionString,ReportMonth,Table1[[#This Row],[Site ID (from DATIM)]],"[Measures].[HVL_D_A]")</f>
        <v>403</v>
      </c>
      <c r="AX459" s="68" vm="10351">
        <f>CUBEVALUE(ConnectionString,ReportMonth,Table1[[#This Row],[Site ID (from DATIM)]],"[Measures].[HVL_N_A]")</f>
        <v>396</v>
      </c>
      <c r="AY459" s="67"/>
      <c r="AZ459" s="67"/>
      <c r="BA459" s="67"/>
      <c r="BB459" s="67"/>
      <c r="BC459" s="67"/>
      <c r="BD459" s="67"/>
      <c r="BE459" s="67"/>
      <c r="BF459" s="67"/>
      <c r="BG459" s="67" vm="10668">
        <f>CUBEVALUE(ConnectionString,ReportMonth,Table1[[#This Row],[Site ID (from DATIM)]],"[Measures].[TX_NEW_F_A]")</f>
        <v>1</v>
      </c>
      <c r="BH459" s="67" t="str" vm="13950">
        <f>CUBEVALUE(ConnectionString,ReportMonth,Table1[[#This Row],[Site ID (from DATIM)]],"[Measures].[TX_NEW_M_A]")</f>
        <v/>
      </c>
      <c r="BI459" s="67" t="str" vm="13067">
        <f>CUBEVALUE(ConnectionString,ReportMonth,Table1[[#This Row],[Site ID (from DATIM)]],"[Measures].[TX_NEW_F_P]")</f>
        <v/>
      </c>
      <c r="BJ459" s="68" t="str" vm="16616">
        <f>CUBEVALUE(ConnectionString,ReportMonth,Table1[[#This Row],[Site ID (from DATIM)]],"[Measures].[TX_NEW_M_P]")</f>
        <v/>
      </c>
      <c r="BK459" s="68"/>
      <c r="BL459" s="68"/>
      <c r="BM459" s="68"/>
      <c r="BN459" s="68"/>
      <c r="BO459" s="68"/>
      <c r="BP459" s="68"/>
      <c r="BQ459" s="68" vm="13270">
        <f>CUBEVALUE(ConnectionString,ReportMonth,Table1[[#This Row],[Site ID (from DATIM)]],"[Measures].[TX_CURR_F_P]")</f>
        <v>12</v>
      </c>
      <c r="BR459" s="68" vm="9297">
        <f>CUBEVALUE(ConnectionString,ReportMonth,Table1[[#This Row],[Site ID (from DATIM)]],"[Measures].[TX_CURR_M_P]")</f>
        <v>20</v>
      </c>
      <c r="BS459" s="68" vm="11592">
        <f>CUBEVALUE(ConnectionString,ReportMonth,Table1[[#This Row],[Site ID (from DATIM)]],"[Measures].[TX_CURR_F_A]")</f>
        <v>319</v>
      </c>
      <c r="BT459" s="68" vm="12039">
        <f>CUBEVALUE(ConnectionString,ReportMonth,Table1[[#This Row],[Site ID (from DATIM)]],"[Measures].[TX_CURR_M_A]")</f>
        <v>158</v>
      </c>
      <c r="BU459" s="68" vm="18372">
        <f>CUBEVALUE(ConnectionString,ReportMonth,Table1[[#This Row],[Site ID (from DATIM)]],"[Measures].[MMS_01_89_F_P]")</f>
        <v>1</v>
      </c>
      <c r="BV459" s="68" vm="20096">
        <f>CUBEVALUE(ConnectionString,ReportMonth,Table1[[#This Row],[Site ID (from DATIM)]],"[Measures].[MMS_01_89_M_P]")</f>
        <v>2</v>
      </c>
      <c r="BW459" s="68" vm="18946">
        <f>CUBEVALUE(ConnectionString,ReportMonth,Table1[[#This Row],[Site ID (from DATIM)]],"[Measures].[MMS_01_89_F_A]")</f>
        <v>48</v>
      </c>
      <c r="BX459" s="68" vm="19403">
        <f>CUBEVALUE(ConnectionString,ReportMonth,Table1[[#This Row],[Site ID (from DATIM)]],"[Measures].[MMS_01_89_M_A]")</f>
        <v>14</v>
      </c>
      <c r="BY459" s="68" vm="19396">
        <f>CUBEVALUE(ConnectionString,ReportMonth,Table1[[#This Row],[Site ID (from DATIM)]],"[Measures].[MMS_90_179_F_P]")</f>
        <v>11</v>
      </c>
      <c r="BZ459" s="68" vm="16537">
        <f>CUBEVALUE(ConnectionString,ReportMonth,Table1[[#This Row],[Site ID (from DATIM)]],"[Measures].[MMS_90_179_M_P]")</f>
        <v>18</v>
      </c>
      <c r="CA459" s="68" vm="15607">
        <f>CUBEVALUE(ConnectionString,ReportMonth,Table1[[#This Row],[Site ID (from DATIM)]],"[Measures].[MMS_90_179_F_A]")</f>
        <v>271</v>
      </c>
      <c r="CB459" s="68" vm="17578">
        <f>CUBEVALUE(ConnectionString,ReportMonth,Table1[[#This Row],[Site ID (from DATIM)]],"[Measures].[MMS_90_179_M_A]")</f>
        <v>144</v>
      </c>
      <c r="CC459" s="68" t="str" vm="17205">
        <f>CUBEVALUE(ConnectionString,ReportMonth,Table1[[#This Row],[Site ID (from DATIM)]],"[Measures].[MMS_180+_F_P]")</f>
        <v/>
      </c>
      <c r="CD459" s="68" t="str" vm="14931">
        <f>CUBEVALUE(ConnectionString,ReportMonth,Table1[[#This Row],[Site ID (from DATIM)]],"[Measures].[MMS_180+_M_P]")</f>
        <v/>
      </c>
      <c r="CE459" s="68" t="str" vm="14505">
        <f>CUBEVALUE(ConnectionString,ReportMonth,Table1[[#This Row],[Site ID (from DATIM)]],"[Measures].[MMS_180+_F_A]")</f>
        <v/>
      </c>
      <c r="CF459" s="68" t="str" vm="14951">
        <f>CUBEVALUE(ConnectionString,ReportMonth,Table1[[#This Row],[Site ID (from DATIM)]],"[Measures].[MMS_180+_M_A]")</f>
        <v/>
      </c>
      <c r="CG459" s="68" vm="9746">
        <f>CUBEVALUE(ConnectionString,ReportMonth,Table1[[#This Row],[Site ID (from DATIM)]],"[Measures].[MISSEDAPP]")</f>
        <v>158</v>
      </c>
      <c r="CH459" s="68" t="str" vm="13666">
        <f>CUBEVALUE(ConnectionString,ReportMonth,Table1[[#This Row],[Site ID (from DATIM)]],"[Measures].[MMS_180+_P]")</f>
        <v/>
      </c>
      <c r="CI459" s="68" t="str" vm="11746">
        <f>CUBEVALUE(ConnectionString,ReportMonth,Table1[[#This Row],[Site ID (from DATIM)]],"[Measures].[MMS_180+_A]")</f>
        <v/>
      </c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  <c r="CW459" s="68"/>
      <c r="CX459" s="68"/>
      <c r="CY459" s="68"/>
      <c r="CZ459" s="68"/>
      <c r="DA459" s="68"/>
      <c r="DB459" s="68"/>
      <c r="DC459" s="68"/>
    </row>
    <row r="460" spans="1:107" x14ac:dyDescent="0.25">
      <c r="A460" s="66">
        <v>4</v>
      </c>
      <c r="B460" s="67" t="str" vm="4">
        <f t="shared" si="8"/>
        <v>Mar-2021</v>
      </c>
      <c r="C460" s="67"/>
      <c r="D460" s="67" t="s">
        <v>232</v>
      </c>
      <c r="E460" s="67" t="s">
        <v>233</v>
      </c>
      <c r="F460" s="67" t="s">
        <v>437</v>
      </c>
      <c r="G460" s="67"/>
      <c r="H460" s="67" t="s">
        <v>438</v>
      </c>
      <c r="I460" s="67" t="s">
        <v>819</v>
      </c>
      <c r="J460" s="67" t="s">
        <v>820</v>
      </c>
      <c r="K460" s="67" t="s">
        <v>821</v>
      </c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 t="str" vm="2730">
        <f>CUBEVALUE(ConnectionString,ReportMonth,Table1[[#This Row],[Site ID (from DATIM)]],"TX_NEW_2VIS")</f>
        <v/>
      </c>
      <c r="AE460" s="67" t="str" vm="854">
        <f>CUBEVALUE(ConnectionString,ReportMonth,Table1[[#This Row],[Site ID (from DATIM)]],INDEX(SDI_Measures,1))</f>
        <v/>
      </c>
      <c r="AF460" s="67" t="str" vm="750">
        <f>CUBEVALUE(ConnectionString,ReportMonth,Table1[[#This Row],[Site ID (from DATIM)]],INDEX(SDI_Measures,2))</f>
        <v/>
      </c>
      <c r="AG460" s="67" t="str" vm="3509">
        <f>CUBEVALUE(ConnectionString,ReportMonth,Table1[[#This Row],[Site ID (from DATIM)]],INDEX(SDI_Measures,3))</f>
        <v/>
      </c>
      <c r="AH460" s="67" t="str" vm="3015">
        <f>CUBEVALUE(ConnectionString,ReportMonth,Table1[[#This Row],[Site ID (from DATIM)]],"TX_CURR_PRIOR_MONTH")</f>
        <v/>
      </c>
      <c r="AI460" s="67" t="str" vm="1261">
        <f>CUBEVALUE(ConnectionString,ReportMonth,Table1[[#This Row],[Site ID (from DATIM)]],"TX_CURR")</f>
        <v/>
      </c>
      <c r="AJ460" s="67" t="str" vm="1858">
        <f>CUBEVALUE(ConnectionString,ReportMonth,Table1[[#This Row],[Site ID (from DATIM)]],"[Measures].[TI]")</f>
        <v/>
      </c>
      <c r="AK460" s="67" t="str" vm="3200">
        <f>CUBEVALUE(ConnectionString,ReportMonth,Table1[[#This Row],[Site ID (from DATIM)]],"[Measures].[TO]")</f>
        <v/>
      </c>
      <c r="AL460" s="67" t="str" vm="2257">
        <f>CUBEVALUE(ConnectionString,ReportMonth,Table1[[#This Row],[Site ID (from DATIM)]],"[Measures].[DIED]")</f>
        <v/>
      </c>
      <c r="AM460" s="67" t="str" vm="4497">
        <f>CUBEVALUE(ConnectionString,ReportMonth,Table1[[#This Row],[Site ID (from DATIM)]],"[Measures].[MMS_01_31]")</f>
        <v/>
      </c>
      <c r="AN460" s="67" t="str" vm="5845">
        <f>CUBEVALUE(ConnectionString,ReportMonth,Table1[[#This Row],[Site ID (from DATIM)]],"[Measures].[MMS_32_62]")</f>
        <v/>
      </c>
      <c r="AO460" s="67" t="str" vm="7677">
        <f>CUBEVALUE(ConnectionString,ReportMonth,Table1[[#This Row],[Site ID (from DATIM)]],"[Measures].[MMS_63+]")</f>
        <v/>
      </c>
      <c r="AP460" s="67" t="str" vm="7804">
        <f>CUBEVALUE(ConnectionString,ReportMonth,Table1[[#This Row],[Site ID (from DATIM)]],"[Measures].[TBPREV_D]")</f>
        <v/>
      </c>
      <c r="AQ460" s="67" t="str" vm="4557">
        <f>CUBEVALUE(ConnectionString,ReportMonth,Table1[[#This Row],[Site ID (from DATIM)]],"[Measures].[TBPREV_N]")</f>
        <v/>
      </c>
      <c r="AR460" s="67" t="str" vm="4574">
        <f>CUBEVALUE(ConnectionString,ReportMonth,Table1[[#This Row],[Site ID (from DATIM)]],"[Measures].[TBPREV_NEW]")</f>
        <v/>
      </c>
      <c r="AS460" s="67" t="str" vm="5694">
        <f>CUBEVALUE(ConnectionString,ReportMonth,Table1[[#This Row],[Site ID (from DATIM)]],"[Measures].[HVL_ELIG_P]")</f>
        <v/>
      </c>
      <c r="AT460" s="67" t="str" vm="4939">
        <f>CUBEVALUE(ConnectionString,ReportMonth,Table1[[#This Row],[Site ID (from DATIM)]],"[Measures].[HVL_D_P]")</f>
        <v/>
      </c>
      <c r="AU460" s="67" t="str" vm="8492">
        <f>CUBEVALUE(ConnectionString,ReportMonth,Table1[[#This Row],[Site ID (from DATIM)]],"[Measures].[HVL_N_P]")</f>
        <v/>
      </c>
      <c r="AV460" s="68" t="str" vm="6390">
        <f>CUBEVALUE(ConnectionString,ReportMonth,Table1[[#This Row],[Site ID (from DATIM)]],"[Measures].[HVL_ELIG_A]")</f>
        <v/>
      </c>
      <c r="AW460" s="68" t="str" vm="10958">
        <f>CUBEVALUE(ConnectionString,ReportMonth,Table1[[#This Row],[Site ID (from DATIM)]],"[Measures].[HVL_D_A]")</f>
        <v/>
      </c>
      <c r="AX460" s="68" t="str" vm="11094">
        <f>CUBEVALUE(ConnectionString,ReportMonth,Table1[[#This Row],[Site ID (from DATIM)]],"[Measures].[HVL_N_A]")</f>
        <v/>
      </c>
      <c r="AY460" s="67"/>
      <c r="AZ460" s="67"/>
      <c r="BA460" s="67"/>
      <c r="BB460" s="67"/>
      <c r="BC460" s="67"/>
      <c r="BD460" s="67"/>
      <c r="BE460" s="67"/>
      <c r="BF460" s="67"/>
      <c r="BG460" s="67" t="str" vm="10177">
        <f>CUBEVALUE(ConnectionString,ReportMonth,Table1[[#This Row],[Site ID (from DATIM)]],"[Measures].[TX_NEW_F_A]")</f>
        <v/>
      </c>
      <c r="BH460" s="67" t="str" vm="12279">
        <f>CUBEVALUE(ConnectionString,ReportMonth,Table1[[#This Row],[Site ID (from DATIM)]],"[Measures].[TX_NEW_M_A]")</f>
        <v/>
      </c>
      <c r="BI460" s="67" t="str" vm="17031">
        <f>CUBEVALUE(ConnectionString,ReportMonth,Table1[[#This Row],[Site ID (from DATIM)]],"[Measures].[TX_NEW_F_P]")</f>
        <v/>
      </c>
      <c r="BJ460" s="68" t="str" vm="16548">
        <f>CUBEVALUE(ConnectionString,ReportMonth,Table1[[#This Row],[Site ID (from DATIM)]],"[Measures].[TX_NEW_M_P]")</f>
        <v/>
      </c>
      <c r="BK460" s="68"/>
      <c r="BL460" s="68"/>
      <c r="BM460" s="68"/>
      <c r="BN460" s="68"/>
      <c r="BO460" s="68"/>
      <c r="BP460" s="68"/>
      <c r="BQ460" s="68" t="str" vm="8868">
        <f>CUBEVALUE(ConnectionString,ReportMonth,Table1[[#This Row],[Site ID (from DATIM)]],"[Measures].[TX_CURR_F_P]")</f>
        <v/>
      </c>
      <c r="BR460" s="68" t="str" vm="14202">
        <f>CUBEVALUE(ConnectionString,ReportMonth,Table1[[#This Row],[Site ID (from DATIM)]],"[Measures].[TX_CURR_M_P]")</f>
        <v/>
      </c>
      <c r="BS460" s="68" t="str" vm="8841">
        <f>CUBEVALUE(ConnectionString,ReportMonth,Table1[[#This Row],[Site ID (from DATIM)]],"[Measures].[TX_CURR_F_A]")</f>
        <v/>
      </c>
      <c r="BT460" s="68" t="str" vm="12210">
        <f>CUBEVALUE(ConnectionString,ReportMonth,Table1[[#This Row],[Site ID (from DATIM)]],"[Measures].[TX_CURR_M_A]")</f>
        <v/>
      </c>
      <c r="BU460" s="68" t="str" vm="19935">
        <f>CUBEVALUE(ConnectionString,ReportMonth,Table1[[#This Row],[Site ID (from DATIM)]],"[Measures].[MMS_01_89_F_P]")</f>
        <v/>
      </c>
      <c r="BV460" s="68" t="str" vm="18827">
        <f>CUBEVALUE(ConnectionString,ReportMonth,Table1[[#This Row],[Site ID (from DATIM)]],"[Measures].[MMS_01_89_M_P]")</f>
        <v/>
      </c>
      <c r="BW460" s="68" t="str" vm="18578">
        <f>CUBEVALUE(ConnectionString,ReportMonth,Table1[[#This Row],[Site ID (from DATIM)]],"[Measures].[MMS_01_89_F_A]")</f>
        <v/>
      </c>
      <c r="BX460" s="68" t="str" vm="19107">
        <f>CUBEVALUE(ConnectionString,ReportMonth,Table1[[#This Row],[Site ID (from DATIM)]],"[Measures].[MMS_01_89_M_A]")</f>
        <v/>
      </c>
      <c r="BY460" s="68" t="str" vm="17910">
        <f>CUBEVALUE(ConnectionString,ReportMonth,Table1[[#This Row],[Site ID (from DATIM)]],"[Measures].[MMS_90_179_F_P]")</f>
        <v/>
      </c>
      <c r="BZ460" s="68" t="str" vm="17770">
        <f>CUBEVALUE(ConnectionString,ReportMonth,Table1[[#This Row],[Site ID (from DATIM)]],"[Measures].[MMS_90_179_M_P]")</f>
        <v/>
      </c>
      <c r="CA460" s="68" t="str" vm="15929">
        <f>CUBEVALUE(ConnectionString,ReportMonth,Table1[[#This Row],[Site ID (from DATIM)]],"[Measures].[MMS_90_179_F_A]")</f>
        <v/>
      </c>
      <c r="CB460" s="68" t="str" vm="14564">
        <f>CUBEVALUE(ConnectionString,ReportMonth,Table1[[#This Row],[Site ID (from DATIM)]],"[Measures].[MMS_90_179_M_A]")</f>
        <v/>
      </c>
      <c r="CC460" s="68" t="str" vm="14591">
        <f>CUBEVALUE(ConnectionString,ReportMonth,Table1[[#This Row],[Site ID (from DATIM)]],"[Measures].[MMS_180+_F_P]")</f>
        <v/>
      </c>
      <c r="CD460" s="68" t="str" vm="16309">
        <f>CUBEVALUE(ConnectionString,ReportMonth,Table1[[#This Row],[Site ID (from DATIM)]],"[Measures].[MMS_180+_M_P]")</f>
        <v/>
      </c>
      <c r="CE460" s="68" t="str" vm="20201">
        <f>CUBEVALUE(ConnectionString,ReportMonth,Table1[[#This Row],[Site ID (from DATIM)]],"[Measures].[MMS_180+_F_A]")</f>
        <v/>
      </c>
      <c r="CF460" s="68" t="str" vm="157">
        <f>CUBEVALUE(ConnectionString,ReportMonth,Table1[[#This Row],[Site ID (from DATIM)]],"[Measures].[MMS_180+_M_A]")</f>
        <v/>
      </c>
      <c r="CG460" s="68" t="str" vm="9873">
        <f>CUBEVALUE(ConnectionString,ReportMonth,Table1[[#This Row],[Site ID (from DATIM)]],"[Measures].[MISSEDAPP]")</f>
        <v/>
      </c>
      <c r="CH460" s="68" t="str" vm="13552">
        <f>CUBEVALUE(ConnectionString,ReportMonth,Table1[[#This Row],[Site ID (from DATIM)]],"[Measures].[MMS_180+_P]")</f>
        <v/>
      </c>
      <c r="CI460" s="68" t="str" vm="11882">
        <f>CUBEVALUE(ConnectionString,ReportMonth,Table1[[#This Row],[Site ID (from DATIM)]],"[Measures].[MMS_180+_A]")</f>
        <v/>
      </c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  <c r="CW460" s="68"/>
      <c r="CX460" s="68"/>
      <c r="CY460" s="68"/>
      <c r="CZ460" s="68"/>
      <c r="DA460" s="68"/>
      <c r="DB460" s="68"/>
      <c r="DC460" s="68"/>
    </row>
    <row r="461" spans="1:107" x14ac:dyDescent="0.25">
      <c r="A461" s="66">
        <v>1</v>
      </c>
      <c r="B461" s="67" t="str" vm="4">
        <f t="shared" si="8"/>
        <v>Mar-2021</v>
      </c>
      <c r="C461" s="67"/>
      <c r="D461" s="67" t="s">
        <v>232</v>
      </c>
      <c r="E461" s="67" t="s">
        <v>233</v>
      </c>
      <c r="F461" s="67" t="s">
        <v>437</v>
      </c>
      <c r="G461" s="67"/>
      <c r="H461" s="67" t="s">
        <v>438</v>
      </c>
      <c r="I461" s="67" t="s">
        <v>646</v>
      </c>
      <c r="J461" s="67" t="s">
        <v>822</v>
      </c>
      <c r="K461" s="67" t="s">
        <v>823</v>
      </c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 vm="1073">
        <f>CUBEVALUE(ConnectionString,ReportMonth,Table1[[#This Row],[Site ID (from DATIM)]],"TX_NEW_2VIS")</f>
        <v>3</v>
      </c>
      <c r="AE461" s="67" vm="1907">
        <f>CUBEVALUE(ConnectionString,ReportMonth,Table1[[#This Row],[Site ID (from DATIM)]],INDEX(SDI_Measures,1))</f>
        <v>11</v>
      </c>
      <c r="AF461" s="67" t="str" vm="1891">
        <f>CUBEVALUE(ConnectionString,ReportMonth,Table1[[#This Row],[Site ID (from DATIM)]],INDEX(SDI_Measures,2))</f>
        <v/>
      </c>
      <c r="AG461" s="67" t="str" vm="1084">
        <f>CUBEVALUE(ConnectionString,ReportMonth,Table1[[#This Row],[Site ID (from DATIM)]],INDEX(SDI_Measures,3))</f>
        <v/>
      </c>
      <c r="AH461" s="67" vm="4491">
        <f>CUBEVALUE(ConnectionString,ReportMonth,Table1[[#This Row],[Site ID (from DATIM)]],"TX_CURR_PRIOR_MONTH")</f>
        <v>1798</v>
      </c>
      <c r="AI461" s="67" vm="2601">
        <f>CUBEVALUE(ConnectionString,ReportMonth,Table1[[#This Row],[Site ID (from DATIM)]],"TX_CURR")</f>
        <v>1736</v>
      </c>
      <c r="AJ461" s="67" vm="2507">
        <f>CUBEVALUE(ConnectionString,ReportMonth,Table1[[#This Row],[Site ID (from DATIM)]],"[Measures].[TI]")</f>
        <v>1</v>
      </c>
      <c r="AK461" s="67" vm="1647">
        <f>CUBEVALUE(ConnectionString,ReportMonth,Table1[[#This Row],[Site ID (from DATIM)]],"[Measures].[TO]")</f>
        <v>2</v>
      </c>
      <c r="AL461" s="67" vm="2798">
        <f>CUBEVALUE(ConnectionString,ReportMonth,Table1[[#This Row],[Site ID (from DATIM)]],"[Measures].[DIED]")</f>
        <v>1</v>
      </c>
      <c r="AM461" s="67" vm="3602">
        <f>CUBEVALUE(ConnectionString,ReportMonth,Table1[[#This Row],[Site ID (from DATIM)]],"[Measures].[MMS_01_31]")</f>
        <v>208</v>
      </c>
      <c r="AN461" s="67" vm="8596">
        <f>CUBEVALUE(ConnectionString,ReportMonth,Table1[[#This Row],[Site ID (from DATIM)]],"[Measures].[MMS_32_62]")</f>
        <v>48</v>
      </c>
      <c r="AO461" s="67" vm="7552">
        <f>CUBEVALUE(ConnectionString,ReportMonth,Table1[[#This Row],[Site ID (from DATIM)]],"[Measures].[MMS_63+]")</f>
        <v>1480</v>
      </c>
      <c r="AP461" s="67" vm="9276">
        <f>CUBEVALUE(ConnectionString,ReportMonth,Table1[[#This Row],[Site ID (from DATIM)]],"[Measures].[TBPREV_D]")</f>
        <v>8</v>
      </c>
      <c r="AQ461" s="67" vm="6732">
        <f>CUBEVALUE(ConnectionString,ReportMonth,Table1[[#This Row],[Site ID (from DATIM)]],"[Measures].[TBPREV_N]")</f>
        <v>8</v>
      </c>
      <c r="AR461" s="67" vm="6049">
        <f>CUBEVALUE(ConnectionString,ReportMonth,Table1[[#This Row],[Site ID (from DATIM)]],"[Measures].[TBPREV_NEW]")</f>
        <v>2</v>
      </c>
      <c r="AS461" s="67" vm="11089">
        <f>CUBEVALUE(ConnectionString,ReportMonth,Table1[[#This Row],[Site ID (from DATIM)]],"[Measures].[HVL_ELIG_P]")</f>
        <v>117</v>
      </c>
      <c r="AT461" s="67" vm="6040">
        <f>CUBEVALUE(ConnectionString,ReportMonth,Table1[[#This Row],[Site ID (from DATIM)]],"[Measures].[HVL_D_P]")</f>
        <v>116</v>
      </c>
      <c r="AU461" s="67" vm="10591">
        <f>CUBEVALUE(ConnectionString,ReportMonth,Table1[[#This Row],[Site ID (from DATIM)]],"[Measures].[HVL_N_P]")</f>
        <v>108</v>
      </c>
      <c r="AV461" s="68" vm="8889">
        <f>CUBEVALUE(ConnectionString,ReportMonth,Table1[[#This Row],[Site ID (from DATIM)]],"[Measures].[HVL_ELIG_A]")</f>
        <v>1521</v>
      </c>
      <c r="AW461" s="68" vm="11857">
        <f>CUBEVALUE(ConnectionString,ReportMonth,Table1[[#This Row],[Site ID (from DATIM)]],"[Measures].[HVL_D_A]")</f>
        <v>1279</v>
      </c>
      <c r="AX461" s="68" vm="11618">
        <f>CUBEVALUE(ConnectionString,ReportMonth,Table1[[#This Row],[Site ID (from DATIM)]],"[Measures].[HVL_N_A]")</f>
        <v>1229</v>
      </c>
      <c r="AY461" s="67"/>
      <c r="AZ461" s="67"/>
      <c r="BA461" s="67"/>
      <c r="BB461" s="67"/>
      <c r="BC461" s="67"/>
      <c r="BD461" s="67"/>
      <c r="BE461" s="67"/>
      <c r="BF461" s="67"/>
      <c r="BG461" s="67" vm="16144">
        <f>CUBEVALUE(ConnectionString,ReportMonth,Table1[[#This Row],[Site ID (from DATIM)]],"[Measures].[TX_NEW_F_A]")</f>
        <v>7</v>
      </c>
      <c r="BH461" s="67" vm="14132">
        <f>CUBEVALUE(ConnectionString,ReportMonth,Table1[[#This Row],[Site ID (from DATIM)]],"[Measures].[TX_NEW_M_A]")</f>
        <v>4</v>
      </c>
      <c r="BI461" s="67" t="str" vm="17385">
        <f>CUBEVALUE(ConnectionString,ReportMonth,Table1[[#This Row],[Site ID (from DATIM)]],"[Measures].[TX_NEW_F_P]")</f>
        <v/>
      </c>
      <c r="BJ461" s="68" t="str" vm="14300">
        <f>CUBEVALUE(ConnectionString,ReportMonth,Table1[[#This Row],[Site ID (from DATIM)]],"[Measures].[TX_NEW_M_P]")</f>
        <v/>
      </c>
      <c r="BK461" s="68"/>
      <c r="BL461" s="68"/>
      <c r="BM461" s="68"/>
      <c r="BN461" s="68"/>
      <c r="BO461" s="68"/>
      <c r="BP461" s="68"/>
      <c r="BQ461" s="68" vm="13537">
        <f>CUBEVALUE(ConnectionString,ReportMonth,Table1[[#This Row],[Site ID (from DATIM)]],"[Measures].[TX_CURR_F_P]")</f>
        <v>65</v>
      </c>
      <c r="BR461" s="68" vm="10690">
        <f>CUBEVALUE(ConnectionString,ReportMonth,Table1[[#This Row],[Site ID (from DATIM)]],"[Measures].[TX_CURR_M_P]")</f>
        <v>62</v>
      </c>
      <c r="BS461" s="68" vm="9714">
        <f>CUBEVALUE(ConnectionString,ReportMonth,Table1[[#This Row],[Site ID (from DATIM)]],"[Measures].[TX_CURR_F_A]")</f>
        <v>1134</v>
      </c>
      <c r="BT461" s="68" vm="14018">
        <f>CUBEVALUE(ConnectionString,ReportMonth,Table1[[#This Row],[Site ID (from DATIM)]],"[Measures].[TX_CURR_M_A]")</f>
        <v>476</v>
      </c>
      <c r="BU461" s="68" vm="16934">
        <f>CUBEVALUE(ConnectionString,ReportMonth,Table1[[#This Row],[Site ID (from DATIM)]],"[Measures].[MMS_01_89_F_P]")</f>
        <v>20</v>
      </c>
      <c r="BV461" s="68" vm="16070">
        <f>CUBEVALUE(ConnectionString,ReportMonth,Table1[[#This Row],[Site ID (from DATIM)]],"[Measures].[MMS_01_89_M_P]")</f>
        <v>21</v>
      </c>
      <c r="BW461" s="68" vm="19431">
        <f>CUBEVALUE(ConnectionString,ReportMonth,Table1[[#This Row],[Site ID (from DATIM)]],"[Measures].[MMS_01_89_F_A]")</f>
        <v>160</v>
      </c>
      <c r="BX461" s="68" vm="17794">
        <f>CUBEVALUE(ConnectionString,ReportMonth,Table1[[#This Row],[Site ID (from DATIM)]],"[Measures].[MMS_01_89_M_A]")</f>
        <v>64</v>
      </c>
      <c r="BY461" s="68" vm="16529">
        <f>CUBEVALUE(ConnectionString,ReportMonth,Table1[[#This Row],[Site ID (from DATIM)]],"[Measures].[MMS_90_179_F_P]")</f>
        <v>45</v>
      </c>
      <c r="BZ461" s="68" vm="14755">
        <f>CUBEVALUE(ConnectionString,ReportMonth,Table1[[#This Row],[Site ID (from DATIM)]],"[Measures].[MMS_90_179_M_P]")</f>
        <v>41</v>
      </c>
      <c r="CA461" s="68" vm="15519">
        <f>CUBEVALUE(ConnectionString,ReportMonth,Table1[[#This Row],[Site ID (from DATIM)]],"[Measures].[MMS_90_179_F_A]")</f>
        <v>974</v>
      </c>
      <c r="CB461" s="68" vm="17330">
        <f>CUBEVALUE(ConnectionString,ReportMonth,Table1[[#This Row],[Site ID (from DATIM)]],"[Measures].[MMS_90_179_M_A]")</f>
        <v>412</v>
      </c>
      <c r="CC461" s="68" t="str" vm="16274">
        <f>CUBEVALUE(ConnectionString,ReportMonth,Table1[[#This Row],[Site ID (from DATIM)]],"[Measures].[MMS_180+_F_P]")</f>
        <v/>
      </c>
      <c r="CD461" s="68" t="str" vm="15401">
        <f>CUBEVALUE(ConnectionString,ReportMonth,Table1[[#This Row],[Site ID (from DATIM)]],"[Measures].[MMS_180+_M_P]")</f>
        <v/>
      </c>
      <c r="CE461" s="68" t="str" vm="15416">
        <f>CUBEVALUE(ConnectionString,ReportMonth,Table1[[#This Row],[Site ID (from DATIM)]],"[Measures].[MMS_180+_F_A]")</f>
        <v/>
      </c>
      <c r="CF461" s="68" t="str" vm="19">
        <f>CUBEVALUE(ConnectionString,ReportMonth,Table1[[#This Row],[Site ID (from DATIM)]],"[Measures].[MMS_180+_M_A]")</f>
        <v/>
      </c>
      <c r="CG461" s="68" vm="7532">
        <f>CUBEVALUE(ConnectionString,ReportMonth,Table1[[#This Row],[Site ID (from DATIM)]],"[Measures].[MISSEDAPP]")</f>
        <v>421</v>
      </c>
      <c r="CH461" s="68" t="str" vm="10692">
        <f>CUBEVALUE(ConnectionString,ReportMonth,Table1[[#This Row],[Site ID (from DATIM)]],"[Measures].[MMS_180+_P]")</f>
        <v/>
      </c>
      <c r="CI461" s="68" t="str" vm="12196">
        <f>CUBEVALUE(ConnectionString,ReportMonth,Table1[[#This Row],[Site ID (from DATIM)]],"[Measures].[MMS_180+_A]")</f>
        <v/>
      </c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  <c r="CW461" s="68"/>
      <c r="CX461" s="68"/>
      <c r="CY461" s="68"/>
      <c r="CZ461" s="68"/>
      <c r="DA461" s="68"/>
      <c r="DB461" s="68"/>
      <c r="DC461" s="68"/>
    </row>
    <row r="462" spans="1:107" x14ac:dyDescent="0.25">
      <c r="A462" s="66">
        <v>4</v>
      </c>
      <c r="B462" s="67" t="str" vm="4">
        <f t="shared" si="8"/>
        <v>Mar-2021</v>
      </c>
      <c r="C462" s="67"/>
      <c r="D462" s="67" t="s">
        <v>232</v>
      </c>
      <c r="E462" s="67" t="s">
        <v>233</v>
      </c>
      <c r="F462" s="67" t="s">
        <v>234</v>
      </c>
      <c r="G462" s="67"/>
      <c r="H462" s="67" t="s">
        <v>249</v>
      </c>
      <c r="I462" s="67" t="s">
        <v>296</v>
      </c>
      <c r="J462" s="67" t="s">
        <v>435</v>
      </c>
      <c r="K462" s="67" t="s">
        <v>436</v>
      </c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 t="str" vm="1146">
        <f>CUBEVALUE(ConnectionString,ReportMonth,Table1[[#This Row],[Site ID (from DATIM)]],"TX_NEW_2VIS")</f>
        <v/>
      </c>
      <c r="AE462" s="67" vm="3808">
        <f>CUBEVALUE(ConnectionString,ReportMonth,Table1[[#This Row],[Site ID (from DATIM)]],INDEX(SDI_Measures,1))</f>
        <v>5</v>
      </c>
      <c r="AF462" s="67" t="str" vm="4485">
        <f>CUBEVALUE(ConnectionString,ReportMonth,Table1[[#This Row],[Site ID (from DATIM)]],INDEX(SDI_Measures,2))</f>
        <v/>
      </c>
      <c r="AG462" s="67" t="str" vm="3958">
        <f>CUBEVALUE(ConnectionString,ReportMonth,Table1[[#This Row],[Site ID (from DATIM)]],INDEX(SDI_Measures,3))</f>
        <v/>
      </c>
      <c r="AH462" s="67" vm="3640">
        <f>CUBEVALUE(ConnectionString,ReportMonth,Table1[[#This Row],[Site ID (from DATIM)]],"TX_CURR_PRIOR_MONTH")</f>
        <v>190</v>
      </c>
      <c r="AI462" s="67" vm="3680">
        <f>CUBEVALUE(ConnectionString,ReportMonth,Table1[[#This Row],[Site ID (from DATIM)]],"TX_CURR")</f>
        <v>183</v>
      </c>
      <c r="AJ462" s="67" t="str" vm="721">
        <f>CUBEVALUE(ConnectionString,ReportMonth,Table1[[#This Row],[Site ID (from DATIM)]],"[Measures].[TI]")</f>
        <v/>
      </c>
      <c r="AK462" s="67" t="str" vm="6509">
        <f>CUBEVALUE(ConnectionString,ReportMonth,Table1[[#This Row],[Site ID (from DATIM)]],"[Measures].[TO]")</f>
        <v/>
      </c>
      <c r="AL462" s="67" t="str" vm="1515">
        <f>CUBEVALUE(ConnectionString,ReportMonth,Table1[[#This Row],[Site ID (from DATIM)]],"[Measures].[DIED]")</f>
        <v/>
      </c>
      <c r="AM462" s="67" vm="3943">
        <f>CUBEVALUE(ConnectionString,ReportMonth,Table1[[#This Row],[Site ID (from DATIM)]],"[Measures].[MMS_01_31]")</f>
        <v>48</v>
      </c>
      <c r="AN462" s="67" vm="7761">
        <f>CUBEVALUE(ConnectionString,ReportMonth,Table1[[#This Row],[Site ID (from DATIM)]],"[Measures].[MMS_32_62]")</f>
        <v>23</v>
      </c>
      <c r="AO462" s="67" vm="5678">
        <f>CUBEVALUE(ConnectionString,ReportMonth,Table1[[#This Row],[Site ID (from DATIM)]],"[Measures].[MMS_63+]")</f>
        <v>112</v>
      </c>
      <c r="AP462" s="67" t="str" vm="5891">
        <f>CUBEVALUE(ConnectionString,ReportMonth,Table1[[#This Row],[Site ID (from DATIM)]],"[Measures].[TBPREV_D]")</f>
        <v/>
      </c>
      <c r="AQ462" s="67" t="str" vm="8111">
        <f>CUBEVALUE(ConnectionString,ReportMonth,Table1[[#This Row],[Site ID (from DATIM)]],"[Measures].[TBPREV_N]")</f>
        <v/>
      </c>
      <c r="AR462" s="67" t="str" vm="5671">
        <f>CUBEVALUE(ConnectionString,ReportMonth,Table1[[#This Row],[Site ID (from DATIM)]],"[Measures].[TBPREV_NEW]")</f>
        <v/>
      </c>
      <c r="AS462" s="67" vm="6765">
        <f>CUBEVALUE(ConnectionString,ReportMonth,Table1[[#This Row],[Site ID (from DATIM)]],"[Measures].[HVL_ELIG_P]")</f>
        <v>6</v>
      </c>
      <c r="AT462" s="67" vm="12622">
        <f>CUBEVALUE(ConnectionString,ReportMonth,Table1[[#This Row],[Site ID (from DATIM)]],"[Measures].[HVL_D_P]")</f>
        <v>7</v>
      </c>
      <c r="AU462" s="67" vm="7989">
        <f>CUBEVALUE(ConnectionString,ReportMonth,Table1[[#This Row],[Site ID (from DATIM)]],"[Measures].[HVL_N_P]")</f>
        <v>4</v>
      </c>
      <c r="AV462" s="68" vm="6587">
        <f>CUBEVALUE(ConnectionString,ReportMonth,Table1[[#This Row],[Site ID (from DATIM)]],"[Measures].[HVL_ELIG_A]")</f>
        <v>152</v>
      </c>
      <c r="AW462" s="68" vm="10492">
        <f>CUBEVALUE(ConnectionString,ReportMonth,Table1[[#This Row],[Site ID (from DATIM)]],"[Measures].[HVL_D_A]")</f>
        <v>67</v>
      </c>
      <c r="AX462" s="68" vm="9729">
        <f>CUBEVALUE(ConnectionString,ReportMonth,Table1[[#This Row],[Site ID (from DATIM)]],"[Measures].[HVL_N_A]")</f>
        <v>61</v>
      </c>
      <c r="AY462" s="67"/>
      <c r="AZ462" s="67"/>
      <c r="BA462" s="67"/>
      <c r="BB462" s="67"/>
      <c r="BC462" s="67"/>
      <c r="BD462" s="67"/>
      <c r="BE462" s="67"/>
      <c r="BF462" s="67"/>
      <c r="BG462" s="67" vm="10910">
        <f>CUBEVALUE(ConnectionString,ReportMonth,Table1[[#This Row],[Site ID (from DATIM)]],"[Measures].[TX_NEW_F_A]")</f>
        <v>3</v>
      </c>
      <c r="BH462" s="67" vm="11965">
        <f>CUBEVALUE(ConnectionString,ReportMonth,Table1[[#This Row],[Site ID (from DATIM)]],"[Measures].[TX_NEW_M_A]")</f>
        <v>2</v>
      </c>
      <c r="BI462" s="67" t="str" vm="13102">
        <f>CUBEVALUE(ConnectionString,ReportMonth,Table1[[#This Row],[Site ID (from DATIM)]],"[Measures].[TX_NEW_F_P]")</f>
        <v/>
      </c>
      <c r="BJ462" s="68" t="str" vm="13202">
        <f>CUBEVALUE(ConnectionString,ReportMonth,Table1[[#This Row],[Site ID (from DATIM)]],"[Measures].[TX_NEW_M_P]")</f>
        <v/>
      </c>
      <c r="BK462" s="68"/>
      <c r="BL462" s="68"/>
      <c r="BM462" s="68"/>
      <c r="BN462" s="68"/>
      <c r="BO462" s="68"/>
      <c r="BP462" s="68"/>
      <c r="BQ462" s="68" vm="8164">
        <f>CUBEVALUE(ConnectionString,ReportMonth,Table1[[#This Row],[Site ID (from DATIM)]],"[Measures].[TX_CURR_F_P]")</f>
        <v>5</v>
      </c>
      <c r="BR462" s="68" vm="11700">
        <f>CUBEVALUE(ConnectionString,ReportMonth,Table1[[#This Row],[Site ID (from DATIM)]],"[Measures].[TX_CURR_M_P]")</f>
        <v>4</v>
      </c>
      <c r="BS462" s="68" vm="10573">
        <f>CUBEVALUE(ConnectionString,ReportMonth,Table1[[#This Row],[Site ID (from DATIM)]],"[Measures].[TX_CURR_F_A]")</f>
        <v>122</v>
      </c>
      <c r="BT462" s="68" vm="9561">
        <f>CUBEVALUE(ConnectionString,ReportMonth,Table1[[#This Row],[Site ID (from DATIM)]],"[Measures].[TX_CURR_M_A]")</f>
        <v>52</v>
      </c>
      <c r="BU462" s="68" vm="20144">
        <f>CUBEVALUE(ConnectionString,ReportMonth,Table1[[#This Row],[Site ID (from DATIM)]],"[Measures].[MMS_01_89_F_P]")</f>
        <v>3</v>
      </c>
      <c r="BV462" s="68" vm="19690">
        <f>CUBEVALUE(ConnectionString,ReportMonth,Table1[[#This Row],[Site ID (from DATIM)]],"[Measures].[MMS_01_89_M_P]")</f>
        <v>4</v>
      </c>
      <c r="BW462" s="68" vm="17939">
        <f>CUBEVALUE(ConnectionString,ReportMonth,Table1[[#This Row],[Site ID (from DATIM)]],"[Measures].[MMS_01_89_F_A]")</f>
        <v>43</v>
      </c>
      <c r="BX462" s="68" vm="19430">
        <f>CUBEVALUE(ConnectionString,ReportMonth,Table1[[#This Row],[Site ID (from DATIM)]],"[Measures].[MMS_01_89_M_A]")</f>
        <v>23</v>
      </c>
      <c r="BY462" s="68" vm="16051">
        <f>CUBEVALUE(ConnectionString,ReportMonth,Table1[[#This Row],[Site ID (from DATIM)]],"[Measures].[MMS_90_179_F_P]")</f>
        <v>2</v>
      </c>
      <c r="BZ462" s="68" t="str" vm="17817">
        <f>CUBEVALUE(ConnectionString,ReportMonth,Table1[[#This Row],[Site ID (from DATIM)]],"[Measures].[MMS_90_179_M_P]")</f>
        <v/>
      </c>
      <c r="CA462" s="68" vm="17365">
        <f>CUBEVALUE(ConnectionString,ReportMonth,Table1[[#This Row],[Site ID (from DATIM)]],"[Measures].[MMS_90_179_F_A]")</f>
        <v>79</v>
      </c>
      <c r="CB462" s="68" vm="15550">
        <f>CUBEVALUE(ConnectionString,ReportMonth,Table1[[#This Row],[Site ID (from DATIM)]],"[Measures].[MMS_90_179_M_A]")</f>
        <v>29</v>
      </c>
      <c r="CC462" s="68" t="str" vm="15015">
        <f>CUBEVALUE(ConnectionString,ReportMonth,Table1[[#This Row],[Site ID (from DATIM)]],"[Measures].[MMS_180+_F_P]")</f>
        <v/>
      </c>
      <c r="CD462" s="68" t="str" vm="17522">
        <f>CUBEVALUE(ConnectionString,ReportMonth,Table1[[#This Row],[Site ID (from DATIM)]],"[Measures].[MMS_180+_M_P]")</f>
        <v/>
      </c>
      <c r="CE462" s="68" t="str" vm="106">
        <f>CUBEVALUE(ConnectionString,ReportMonth,Table1[[#This Row],[Site ID (from DATIM)]],"[Measures].[MMS_180+_F_A]")</f>
        <v/>
      </c>
      <c r="CF462" s="68" t="str" vm="15754">
        <f>CUBEVALUE(ConnectionString,ReportMonth,Table1[[#This Row],[Site ID (from DATIM)]],"[Measures].[MMS_180+_M_A]")</f>
        <v/>
      </c>
      <c r="CG462" s="68" vm="7182">
        <f>CUBEVALUE(ConnectionString,ReportMonth,Table1[[#This Row],[Site ID (from DATIM)]],"[Measures].[MISSEDAPP]")</f>
        <v>41</v>
      </c>
      <c r="CH462" s="68" t="str" vm="14053">
        <f>CUBEVALUE(ConnectionString,ReportMonth,Table1[[#This Row],[Site ID (from DATIM)]],"[Measures].[MMS_180+_P]")</f>
        <v/>
      </c>
      <c r="CI462" s="68" t="str" vm="12484">
        <f>CUBEVALUE(ConnectionString,ReportMonth,Table1[[#This Row],[Site ID (from DATIM)]],"[Measures].[MMS_180+_A]")</f>
        <v/>
      </c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  <c r="CW462" s="68"/>
      <c r="CX462" s="68"/>
      <c r="CY462" s="68"/>
      <c r="CZ462" s="68"/>
      <c r="DA462" s="68"/>
      <c r="DB462" s="68"/>
      <c r="DC462" s="68"/>
    </row>
    <row r="463" spans="1:107" x14ac:dyDescent="0.25">
      <c r="A463" s="66">
        <v>4</v>
      </c>
      <c r="B463" s="67" t="str" vm="4">
        <f t="shared" si="8"/>
        <v>Mar-2021</v>
      </c>
      <c r="C463" s="67"/>
      <c r="D463" s="67" t="s">
        <v>232</v>
      </c>
      <c r="E463" s="67" t="s">
        <v>233</v>
      </c>
      <c r="F463" s="67" t="s">
        <v>437</v>
      </c>
      <c r="G463" s="67"/>
      <c r="H463" s="67" t="s">
        <v>442</v>
      </c>
      <c r="I463" s="67" t="s">
        <v>688</v>
      </c>
      <c r="J463" s="67" t="s">
        <v>824</v>
      </c>
      <c r="K463" s="67" t="s">
        <v>825</v>
      </c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 t="str" vm="3238">
        <f>CUBEVALUE(ConnectionString,ReportMonth,Table1[[#This Row],[Site ID (from DATIM)]],"TX_NEW_2VIS")</f>
        <v/>
      </c>
      <c r="AE463" s="67" t="str" vm="3249">
        <f>CUBEVALUE(ConnectionString,ReportMonth,Table1[[#This Row],[Site ID (from DATIM)]],INDEX(SDI_Measures,1))</f>
        <v/>
      </c>
      <c r="AF463" s="67" t="str" vm="7386">
        <f>CUBEVALUE(ConnectionString,ReportMonth,Table1[[#This Row],[Site ID (from DATIM)]],INDEX(SDI_Measures,2))</f>
        <v/>
      </c>
      <c r="AG463" s="67" t="str" vm="1721">
        <f>CUBEVALUE(ConnectionString,ReportMonth,Table1[[#This Row],[Site ID (from DATIM)]],INDEX(SDI_Measures,3))</f>
        <v/>
      </c>
      <c r="AH463" s="67" t="str" vm="2224">
        <f>CUBEVALUE(ConnectionString,ReportMonth,Table1[[#This Row],[Site ID (from DATIM)]],"TX_CURR_PRIOR_MONTH")</f>
        <v/>
      </c>
      <c r="AI463" s="67" t="str" vm="2355">
        <f>CUBEVALUE(ConnectionString,ReportMonth,Table1[[#This Row],[Site ID (from DATIM)]],"TX_CURR")</f>
        <v/>
      </c>
      <c r="AJ463" s="67" t="str" vm="3933">
        <f>CUBEVALUE(ConnectionString,ReportMonth,Table1[[#This Row],[Site ID (from DATIM)]],"[Measures].[TI]")</f>
        <v/>
      </c>
      <c r="AK463" s="67" t="str" vm="1122">
        <f>CUBEVALUE(ConnectionString,ReportMonth,Table1[[#This Row],[Site ID (from DATIM)]],"[Measures].[TO]")</f>
        <v/>
      </c>
      <c r="AL463" s="67" t="str" vm="2358">
        <f>CUBEVALUE(ConnectionString,ReportMonth,Table1[[#This Row],[Site ID (from DATIM)]],"[Measures].[DIED]")</f>
        <v/>
      </c>
      <c r="AM463" s="67" t="str" vm="6137">
        <f>CUBEVALUE(ConnectionString,ReportMonth,Table1[[#This Row],[Site ID (from DATIM)]],"[Measures].[MMS_01_31]")</f>
        <v/>
      </c>
      <c r="AN463" s="67" t="str" vm="6665">
        <f>CUBEVALUE(ConnectionString,ReportMonth,Table1[[#This Row],[Site ID (from DATIM)]],"[Measures].[MMS_32_62]")</f>
        <v/>
      </c>
      <c r="AO463" s="67" t="str" vm="6704">
        <f>CUBEVALUE(ConnectionString,ReportMonth,Table1[[#This Row],[Site ID (from DATIM)]],"[Measures].[MMS_63+]")</f>
        <v/>
      </c>
      <c r="AP463" s="67" t="str" vm="10191">
        <f>CUBEVALUE(ConnectionString,ReportMonth,Table1[[#This Row],[Site ID (from DATIM)]],"[Measures].[TBPREV_D]")</f>
        <v/>
      </c>
      <c r="AQ463" s="67" t="str" vm="5396">
        <f>CUBEVALUE(ConnectionString,ReportMonth,Table1[[#This Row],[Site ID (from DATIM)]],"[Measures].[TBPREV_N]")</f>
        <v/>
      </c>
      <c r="AR463" s="67" t="str" vm="5027">
        <f>CUBEVALUE(ConnectionString,ReportMonth,Table1[[#This Row],[Site ID (from DATIM)]],"[Measures].[TBPREV_NEW]")</f>
        <v/>
      </c>
      <c r="AS463" s="67" t="str" vm="4986">
        <f>CUBEVALUE(ConnectionString,ReportMonth,Table1[[#This Row],[Site ID (from DATIM)]],"[Measures].[HVL_ELIG_P]")</f>
        <v/>
      </c>
      <c r="AT463" s="67" t="str" vm="13589">
        <f>CUBEVALUE(ConnectionString,ReportMonth,Table1[[#This Row],[Site ID (from DATIM)]],"[Measures].[HVL_D_P]")</f>
        <v/>
      </c>
      <c r="AU463" s="67" t="str" vm="9003">
        <f>CUBEVALUE(ConnectionString,ReportMonth,Table1[[#This Row],[Site ID (from DATIM)]],"[Measures].[HVL_N_P]")</f>
        <v/>
      </c>
      <c r="AV463" s="68" t="str" vm="10047">
        <f>CUBEVALUE(ConnectionString,ReportMonth,Table1[[#This Row],[Site ID (from DATIM)]],"[Measures].[HVL_ELIG_A]")</f>
        <v/>
      </c>
      <c r="AW463" s="68" t="str" vm="10497">
        <f>CUBEVALUE(ConnectionString,ReportMonth,Table1[[#This Row],[Site ID (from DATIM)]],"[Measures].[HVL_D_A]")</f>
        <v/>
      </c>
      <c r="AX463" s="68" t="str" vm="8018">
        <f>CUBEVALUE(ConnectionString,ReportMonth,Table1[[#This Row],[Site ID (from DATIM)]],"[Measures].[HVL_N_A]")</f>
        <v/>
      </c>
      <c r="AY463" s="67"/>
      <c r="AZ463" s="67"/>
      <c r="BA463" s="67"/>
      <c r="BB463" s="67"/>
      <c r="BC463" s="67"/>
      <c r="BD463" s="67"/>
      <c r="BE463" s="67"/>
      <c r="BF463" s="67"/>
      <c r="BG463" s="67" t="str" vm="13573">
        <f>CUBEVALUE(ConnectionString,ReportMonth,Table1[[#This Row],[Site ID (from DATIM)]],"[Measures].[TX_NEW_F_A]")</f>
        <v/>
      </c>
      <c r="BH463" s="67" t="str" vm="12054">
        <f>CUBEVALUE(ConnectionString,ReportMonth,Table1[[#This Row],[Site ID (from DATIM)]],"[Measures].[TX_NEW_M_A]")</f>
        <v/>
      </c>
      <c r="BI463" s="67" t="str" vm="13169">
        <f>CUBEVALUE(ConnectionString,ReportMonth,Table1[[#This Row],[Site ID (from DATIM)]],"[Measures].[TX_NEW_F_P]")</f>
        <v/>
      </c>
      <c r="BJ463" s="68" t="str" vm="14848">
        <f>CUBEVALUE(ConnectionString,ReportMonth,Table1[[#This Row],[Site ID (from DATIM)]],"[Measures].[TX_NEW_M_P]")</f>
        <v/>
      </c>
      <c r="BK463" s="68"/>
      <c r="BL463" s="68"/>
      <c r="BM463" s="68"/>
      <c r="BN463" s="68"/>
      <c r="BO463" s="68"/>
      <c r="BP463" s="68"/>
      <c r="BQ463" s="68" t="str" vm="8243">
        <f>CUBEVALUE(ConnectionString,ReportMonth,Table1[[#This Row],[Site ID (from DATIM)]],"[Measures].[TX_CURR_F_P]")</f>
        <v/>
      </c>
      <c r="BR463" s="68" t="str" vm="9085">
        <f>CUBEVALUE(ConnectionString,ReportMonth,Table1[[#This Row],[Site ID (from DATIM)]],"[Measures].[TX_CURR_M_P]")</f>
        <v/>
      </c>
      <c r="BS463" s="68" t="str" vm="11680">
        <f>CUBEVALUE(ConnectionString,ReportMonth,Table1[[#This Row],[Site ID (from DATIM)]],"[Measures].[TX_CURR_F_A]")</f>
        <v/>
      </c>
      <c r="BT463" s="68" t="str" vm="13374">
        <f>CUBEVALUE(ConnectionString,ReportMonth,Table1[[#This Row],[Site ID (from DATIM)]],"[Measures].[TX_CURR_M_A]")</f>
        <v/>
      </c>
      <c r="BU463" s="68" t="str" vm="20022">
        <f>CUBEVALUE(ConnectionString,ReportMonth,Table1[[#This Row],[Site ID (from DATIM)]],"[Measures].[MMS_01_89_F_P]")</f>
        <v/>
      </c>
      <c r="BV463" s="68" t="str" vm="19036">
        <f>CUBEVALUE(ConnectionString,ReportMonth,Table1[[#This Row],[Site ID (from DATIM)]],"[Measures].[MMS_01_89_M_P]")</f>
        <v/>
      </c>
      <c r="BW463" s="68" t="str" vm="18101">
        <f>CUBEVALUE(ConnectionString,ReportMonth,Table1[[#This Row],[Site ID (from DATIM)]],"[Measures].[MMS_01_89_F_A]")</f>
        <v/>
      </c>
      <c r="BX463" s="68" t="str" vm="18273">
        <f>CUBEVALUE(ConnectionString,ReportMonth,Table1[[#This Row],[Site ID (from DATIM)]],"[Measures].[MMS_01_89_M_A]")</f>
        <v/>
      </c>
      <c r="BY463" s="68" t="str" vm="18554">
        <f>CUBEVALUE(ConnectionString,ReportMonth,Table1[[#This Row],[Site ID (from DATIM)]],"[Measures].[MMS_90_179_F_P]")</f>
        <v/>
      </c>
      <c r="BZ463" s="68" t="str" vm="18164">
        <f>CUBEVALUE(ConnectionString,ReportMonth,Table1[[#This Row],[Site ID (from DATIM)]],"[Measures].[MMS_90_179_M_P]")</f>
        <v/>
      </c>
      <c r="CA463" s="68" t="str" vm="18780">
        <f>CUBEVALUE(ConnectionString,ReportMonth,Table1[[#This Row],[Site ID (from DATIM)]],"[Measures].[MMS_90_179_F_A]")</f>
        <v/>
      </c>
      <c r="CB463" s="68" t="str" vm="16440">
        <f>CUBEVALUE(ConnectionString,ReportMonth,Table1[[#This Row],[Site ID (from DATIM)]],"[Measures].[MMS_90_179_M_A]")</f>
        <v/>
      </c>
      <c r="CC463" s="68" t="str" vm="15780">
        <f>CUBEVALUE(ConnectionString,ReportMonth,Table1[[#This Row],[Site ID (from DATIM)]],"[Measures].[MMS_180+_F_P]")</f>
        <v/>
      </c>
      <c r="CD463" s="68" t="str" vm="17544">
        <f>CUBEVALUE(ConnectionString,ReportMonth,Table1[[#This Row],[Site ID (from DATIM)]],"[Measures].[MMS_180+_M_P]")</f>
        <v/>
      </c>
      <c r="CE463" s="68" t="str" vm="17144">
        <f>CUBEVALUE(ConnectionString,ReportMonth,Table1[[#This Row],[Site ID (from DATIM)]],"[Measures].[MMS_180+_F_A]")</f>
        <v/>
      </c>
      <c r="CF463" s="68" t="str" vm="15360">
        <f>CUBEVALUE(ConnectionString,ReportMonth,Table1[[#This Row],[Site ID (from DATIM)]],"[Measures].[MMS_180+_M_A]")</f>
        <v/>
      </c>
      <c r="CG463" s="68" t="str" vm="4835">
        <f>CUBEVALUE(ConnectionString,ReportMonth,Table1[[#This Row],[Site ID (from DATIM)]],"[Measures].[MISSEDAPP]")</f>
        <v/>
      </c>
      <c r="CH463" s="68" t="str" vm="11225">
        <f>CUBEVALUE(ConnectionString,ReportMonth,Table1[[#This Row],[Site ID (from DATIM)]],"[Measures].[MMS_180+_P]")</f>
        <v/>
      </c>
      <c r="CI463" s="68" t="str" vm="10608">
        <f>CUBEVALUE(ConnectionString,ReportMonth,Table1[[#This Row],[Site ID (from DATIM)]],"[Measures].[MMS_180+_A]")</f>
        <v/>
      </c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  <c r="CW463" s="68"/>
      <c r="CX463" s="68"/>
      <c r="CY463" s="68"/>
      <c r="CZ463" s="68"/>
      <c r="DA463" s="68"/>
      <c r="DB463" s="68"/>
      <c r="DC463" s="68"/>
    </row>
    <row r="464" spans="1:107" x14ac:dyDescent="0.25">
      <c r="A464" s="66">
        <v>4</v>
      </c>
      <c r="B464" s="67" t="str" vm="4">
        <f t="shared" si="8"/>
        <v>Mar-2021</v>
      </c>
      <c r="C464" s="67"/>
      <c r="D464" s="67" t="s">
        <v>232</v>
      </c>
      <c r="E464" s="67" t="s">
        <v>233</v>
      </c>
      <c r="F464" s="67" t="s">
        <v>437</v>
      </c>
      <c r="G464" s="67"/>
      <c r="H464" s="67" t="s">
        <v>442</v>
      </c>
      <c r="I464" s="67" t="s">
        <v>498</v>
      </c>
      <c r="J464" s="67" t="s">
        <v>826</v>
      </c>
      <c r="K464" s="67" t="s">
        <v>827</v>
      </c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 t="str" vm="1651">
        <f>CUBEVALUE(ConnectionString,ReportMonth,Table1[[#This Row],[Site ID (from DATIM)]],"TX_NEW_2VIS")</f>
        <v/>
      </c>
      <c r="AE464" s="67" t="str" vm="1298">
        <f>CUBEVALUE(ConnectionString,ReportMonth,Table1[[#This Row],[Site ID (from DATIM)]],INDEX(SDI_Measures,1))</f>
        <v/>
      </c>
      <c r="AF464" s="67" t="str" vm="2935">
        <f>CUBEVALUE(ConnectionString,ReportMonth,Table1[[#This Row],[Site ID (from DATIM)]],INDEX(SDI_Measures,2))</f>
        <v/>
      </c>
      <c r="AG464" s="67" t="str" vm="1470">
        <f>CUBEVALUE(ConnectionString,ReportMonth,Table1[[#This Row],[Site ID (from DATIM)]],INDEX(SDI_Measures,3))</f>
        <v/>
      </c>
      <c r="AH464" s="67" t="str" vm="1953">
        <f>CUBEVALUE(ConnectionString,ReportMonth,Table1[[#This Row],[Site ID (from DATIM)]],"TX_CURR_PRIOR_MONTH")</f>
        <v/>
      </c>
      <c r="AI464" s="67" t="str" vm="3656">
        <f>CUBEVALUE(ConnectionString,ReportMonth,Table1[[#This Row],[Site ID (from DATIM)]],"TX_CURR")</f>
        <v/>
      </c>
      <c r="AJ464" s="67" t="str" vm="4010">
        <f>CUBEVALUE(ConnectionString,ReportMonth,Table1[[#This Row],[Site ID (from DATIM)]],"[Measures].[TI]")</f>
        <v/>
      </c>
      <c r="AK464" s="67" t="str" vm="2562">
        <f>CUBEVALUE(ConnectionString,ReportMonth,Table1[[#This Row],[Site ID (from DATIM)]],"[Measures].[TO]")</f>
        <v/>
      </c>
      <c r="AL464" s="67" t="str" vm="796">
        <f>CUBEVALUE(ConnectionString,ReportMonth,Table1[[#This Row],[Site ID (from DATIM)]],"[Measures].[DIED]")</f>
        <v/>
      </c>
      <c r="AM464" s="67" t="str" vm="6116">
        <f>CUBEVALUE(ConnectionString,ReportMonth,Table1[[#This Row],[Site ID (from DATIM)]],"[Measures].[MMS_01_31]")</f>
        <v/>
      </c>
      <c r="AN464" s="67" t="str" vm="6911">
        <f>CUBEVALUE(ConnectionString,ReportMonth,Table1[[#This Row],[Site ID (from DATIM)]],"[Measures].[MMS_32_62]")</f>
        <v/>
      </c>
      <c r="AO464" s="67" t="str" vm="6435">
        <f>CUBEVALUE(ConnectionString,ReportMonth,Table1[[#This Row],[Site ID (from DATIM)]],"[Measures].[MMS_63+]")</f>
        <v/>
      </c>
      <c r="AP464" s="67" t="str" vm="9223">
        <f>CUBEVALUE(ConnectionString,ReportMonth,Table1[[#This Row],[Site ID (from DATIM)]],"[Measures].[TBPREV_D]")</f>
        <v/>
      </c>
      <c r="AQ464" s="67" t="str" vm="7828">
        <f>CUBEVALUE(ConnectionString,ReportMonth,Table1[[#This Row],[Site ID (from DATIM)]],"[Measures].[TBPREV_N]")</f>
        <v/>
      </c>
      <c r="AR464" s="67" t="str" vm="9040">
        <f>CUBEVALUE(ConnectionString,ReportMonth,Table1[[#This Row],[Site ID (from DATIM)]],"[Measures].[TBPREV_NEW]")</f>
        <v/>
      </c>
      <c r="AS464" s="67" t="str" vm="10525">
        <f>CUBEVALUE(ConnectionString,ReportMonth,Table1[[#This Row],[Site ID (from DATIM)]],"[Measures].[HVL_ELIG_P]")</f>
        <v/>
      </c>
      <c r="AT464" s="67" t="str" vm="11332">
        <f>CUBEVALUE(ConnectionString,ReportMonth,Table1[[#This Row],[Site ID (from DATIM)]],"[Measures].[HVL_D_P]")</f>
        <v/>
      </c>
      <c r="AU464" s="67" t="str" vm="10575">
        <f>CUBEVALUE(ConnectionString,ReportMonth,Table1[[#This Row],[Site ID (from DATIM)]],"[Measures].[HVL_N_P]")</f>
        <v/>
      </c>
      <c r="AV464" s="68" t="str" vm="9791">
        <f>CUBEVALUE(ConnectionString,ReportMonth,Table1[[#This Row],[Site ID (from DATIM)]],"[Measures].[HVL_ELIG_A]")</f>
        <v/>
      </c>
      <c r="AW464" s="68" t="str" vm="8012">
        <f>CUBEVALUE(ConnectionString,ReportMonth,Table1[[#This Row],[Site ID (from DATIM)]],"[Measures].[HVL_D_A]")</f>
        <v/>
      </c>
      <c r="AX464" s="68" t="str" vm="10990">
        <f>CUBEVALUE(ConnectionString,ReportMonth,Table1[[#This Row],[Site ID (from DATIM)]],"[Measures].[HVL_N_A]")</f>
        <v/>
      </c>
      <c r="AY464" s="67"/>
      <c r="AZ464" s="67"/>
      <c r="BA464" s="67"/>
      <c r="BB464" s="67"/>
      <c r="BC464" s="67"/>
      <c r="BD464" s="67"/>
      <c r="BE464" s="67"/>
      <c r="BF464" s="67"/>
      <c r="BG464" s="67" t="str" vm="13163">
        <f>CUBEVALUE(ConnectionString,ReportMonth,Table1[[#This Row],[Site ID (from DATIM)]],"[Measures].[TX_NEW_F_A]")</f>
        <v/>
      </c>
      <c r="BH464" s="67" t="str" vm="10378">
        <f>CUBEVALUE(ConnectionString,ReportMonth,Table1[[#This Row],[Site ID (from DATIM)]],"[Measures].[TX_NEW_M_A]")</f>
        <v/>
      </c>
      <c r="BI464" s="67" t="str" vm="13696">
        <f>CUBEVALUE(ConnectionString,ReportMonth,Table1[[#This Row],[Site ID (from DATIM)]],"[Measures].[TX_NEW_F_P]")</f>
        <v/>
      </c>
      <c r="BJ464" s="68" t="str" vm="13111">
        <f>CUBEVALUE(ConnectionString,ReportMonth,Table1[[#This Row],[Site ID (from DATIM)]],"[Measures].[TX_NEW_M_P]")</f>
        <v/>
      </c>
      <c r="BK464" s="68"/>
      <c r="BL464" s="68"/>
      <c r="BM464" s="68"/>
      <c r="BN464" s="68"/>
      <c r="BO464" s="68"/>
      <c r="BP464" s="68"/>
      <c r="BQ464" s="68" t="str" vm="7746">
        <f>CUBEVALUE(ConnectionString,ReportMonth,Table1[[#This Row],[Site ID (from DATIM)]],"[Measures].[TX_CURR_F_P]")</f>
        <v/>
      </c>
      <c r="BR464" s="68" t="str" vm="7017">
        <f>CUBEVALUE(ConnectionString,ReportMonth,Table1[[#This Row],[Site ID (from DATIM)]],"[Measures].[TX_CURR_M_P]")</f>
        <v/>
      </c>
      <c r="BS464" s="68" t="str" vm="12844">
        <f>CUBEVALUE(ConnectionString,ReportMonth,Table1[[#This Row],[Site ID (from DATIM)]],"[Measures].[TX_CURR_F_A]")</f>
        <v/>
      </c>
      <c r="BT464" s="68" t="str" vm="9859">
        <f>CUBEVALUE(ConnectionString,ReportMonth,Table1[[#This Row],[Site ID (from DATIM)]],"[Measures].[TX_CURR_M_A]")</f>
        <v/>
      </c>
      <c r="BU464" s="68" t="str" vm="19891">
        <f>CUBEVALUE(ConnectionString,ReportMonth,Table1[[#This Row],[Site ID (from DATIM)]],"[Measures].[MMS_01_89_F_P]")</f>
        <v/>
      </c>
      <c r="BV464" s="68" t="str" vm="18762">
        <f>CUBEVALUE(ConnectionString,ReportMonth,Table1[[#This Row],[Site ID (from DATIM)]],"[Measures].[MMS_01_89_M_P]")</f>
        <v/>
      </c>
      <c r="BW464" s="68" t="str" vm="19472">
        <f>CUBEVALUE(ConnectionString,ReportMonth,Table1[[#This Row],[Site ID (from DATIM)]],"[Measures].[MMS_01_89_F_A]")</f>
        <v/>
      </c>
      <c r="BX464" s="68" t="str" vm="18007">
        <f>CUBEVALUE(ConnectionString,ReportMonth,Table1[[#This Row],[Site ID (from DATIM)]],"[Measures].[MMS_01_89_M_A]")</f>
        <v/>
      </c>
      <c r="BY464" s="68" t="str" vm="17884">
        <f>CUBEVALUE(ConnectionString,ReportMonth,Table1[[#This Row],[Site ID (from DATIM)]],"[Measures].[MMS_90_179_F_P]")</f>
        <v/>
      </c>
      <c r="BZ464" s="68" t="str" vm="18801">
        <f>CUBEVALUE(ConnectionString,ReportMonth,Table1[[#This Row],[Site ID (from DATIM)]],"[Measures].[MMS_90_179_M_P]")</f>
        <v/>
      </c>
      <c r="CA464" s="68" t="str" vm="16015">
        <f>CUBEVALUE(ConnectionString,ReportMonth,Table1[[#This Row],[Site ID (from DATIM)]],"[Measures].[MMS_90_179_F_A]")</f>
        <v/>
      </c>
      <c r="CB464" s="68" t="str" vm="14719">
        <f>CUBEVALUE(ConnectionString,ReportMonth,Table1[[#This Row],[Site ID (from DATIM)]],"[Measures].[MMS_90_179_M_A]")</f>
        <v/>
      </c>
      <c r="CC464" s="68" t="str" vm="15546">
        <f>CUBEVALUE(ConnectionString,ReportMonth,Table1[[#This Row],[Site ID (from DATIM)]],"[Measures].[MMS_180+_F_P]")</f>
        <v/>
      </c>
      <c r="CD464" s="68" t="str" vm="15844">
        <f>CUBEVALUE(ConnectionString,ReportMonth,Table1[[#This Row],[Site ID (from DATIM)]],"[Measures].[MMS_180+_M_P]")</f>
        <v/>
      </c>
      <c r="CE464" s="68" t="str" vm="17176">
        <f>CUBEVALUE(ConnectionString,ReportMonth,Table1[[#This Row],[Site ID (from DATIM)]],"[Measures].[MMS_180+_F_A]")</f>
        <v/>
      </c>
      <c r="CF464" s="68" t="str" vm="16282">
        <f>CUBEVALUE(ConnectionString,ReportMonth,Table1[[#This Row],[Site ID (from DATIM)]],"[Measures].[MMS_180+_M_A]")</f>
        <v/>
      </c>
      <c r="CG464" s="68" t="str" vm="7388">
        <f>CUBEVALUE(ConnectionString,ReportMonth,Table1[[#This Row],[Site ID (from DATIM)]],"[Measures].[MISSEDAPP]")</f>
        <v/>
      </c>
      <c r="CH464" s="68" t="str" vm="10459">
        <f>CUBEVALUE(ConnectionString,ReportMonth,Table1[[#This Row],[Site ID (from DATIM)]],"[Measures].[MMS_180+_P]")</f>
        <v/>
      </c>
      <c r="CI464" s="68" t="str" vm="13812">
        <f>CUBEVALUE(ConnectionString,ReportMonth,Table1[[#This Row],[Site ID (from DATIM)]],"[Measures].[MMS_180+_A]")</f>
        <v/>
      </c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  <c r="CW464" s="68"/>
      <c r="CX464" s="68"/>
      <c r="CY464" s="68"/>
      <c r="CZ464" s="68"/>
      <c r="DA464" s="68"/>
      <c r="DB464" s="68"/>
      <c r="DC464" s="68"/>
    </row>
    <row r="465" spans="1:107" x14ac:dyDescent="0.25">
      <c r="A465" s="70">
        <v>4</v>
      </c>
      <c r="B465" s="67" t="str" vm="4">
        <f t="shared" si="8"/>
        <v>Mar-2021</v>
      </c>
      <c r="C465" s="71"/>
      <c r="D465" s="71" t="s">
        <v>232</v>
      </c>
      <c r="E465" s="71" t="s">
        <v>233</v>
      </c>
      <c r="F465" s="71" t="s">
        <v>437</v>
      </c>
      <c r="G465" s="71"/>
      <c r="H465" s="71" t="s">
        <v>438</v>
      </c>
      <c r="I465" s="71" t="s">
        <v>828</v>
      </c>
      <c r="J465" s="71" t="s">
        <v>829</v>
      </c>
      <c r="K465" s="71" t="s">
        <v>830</v>
      </c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 t="str" vm="3734">
        <f>CUBEVALUE(ConnectionString,ReportMonth,Table1[[#This Row],[Site ID (from DATIM)]],"TX_NEW_2VIS")</f>
        <v/>
      </c>
      <c r="AE465" s="71" t="str" vm="725">
        <f>CUBEVALUE(ConnectionString,ReportMonth,Table1[[#This Row],[Site ID (from DATIM)]],INDEX(SDI_Measures,1))</f>
        <v/>
      </c>
      <c r="AF465" s="71" t="str" vm="3363">
        <f>CUBEVALUE(ConnectionString,ReportMonth,Table1[[#This Row],[Site ID (from DATIM)]],INDEX(SDI_Measures,2))</f>
        <v/>
      </c>
      <c r="AG465" s="71" t="str" vm="1930">
        <f>CUBEVALUE(ConnectionString,ReportMonth,Table1[[#This Row],[Site ID (from DATIM)]],INDEX(SDI_Measures,3))</f>
        <v/>
      </c>
      <c r="AH465" s="71" t="str" vm="2764">
        <f>CUBEVALUE(ConnectionString,ReportMonth,Table1[[#This Row],[Site ID (from DATIM)]],"TX_CURR_PRIOR_MONTH")</f>
        <v/>
      </c>
      <c r="AI465" s="71" t="str" vm="3684">
        <f>CUBEVALUE(ConnectionString,ReportMonth,Table1[[#This Row],[Site ID (from DATIM)]],"TX_CURR")</f>
        <v/>
      </c>
      <c r="AJ465" s="71" t="str" vm="3054">
        <f>CUBEVALUE(ConnectionString,ReportMonth,Table1[[#This Row],[Site ID (from DATIM)]],"[Measures].[TI]")</f>
        <v/>
      </c>
      <c r="AK465" s="71" t="str" vm="1904">
        <f>CUBEVALUE(ConnectionString,ReportMonth,Table1[[#This Row],[Site ID (from DATIM)]],"[Measures].[TO]")</f>
        <v/>
      </c>
      <c r="AL465" s="71" t="str" vm="3178">
        <f>CUBEVALUE(ConnectionString,ReportMonth,Table1[[#This Row],[Site ID (from DATIM)]],"[Measures].[DIED]")</f>
        <v/>
      </c>
      <c r="AM465" s="71" t="str" vm="3596">
        <f>CUBEVALUE(ConnectionString,ReportMonth,Table1[[#This Row],[Site ID (from DATIM)]],"[Measures].[MMS_01_31]")</f>
        <v/>
      </c>
      <c r="AN465" s="71" t="str" vm="6337">
        <f>CUBEVALUE(ConnectionString,ReportMonth,Table1[[#This Row],[Site ID (from DATIM)]],"[Measures].[MMS_32_62]")</f>
        <v/>
      </c>
      <c r="AO465" s="71" t="str" vm="15671">
        <f>CUBEVALUE(ConnectionString,ReportMonth,Table1[[#This Row],[Site ID (from DATIM)]],"[Measures].[MMS_63+]")</f>
        <v/>
      </c>
      <c r="AP465" s="71" t="str" vm="6687">
        <f>CUBEVALUE(ConnectionString,ReportMonth,Table1[[#This Row],[Site ID (from DATIM)]],"[Measures].[TBPREV_D]")</f>
        <v/>
      </c>
      <c r="AQ465" s="71" t="str" vm="6086">
        <f>CUBEVALUE(ConnectionString,ReportMonth,Table1[[#This Row],[Site ID (from DATIM)]],"[Measures].[TBPREV_N]")</f>
        <v/>
      </c>
      <c r="AR465" s="71" t="str" vm="7850">
        <f>CUBEVALUE(ConnectionString,ReportMonth,Table1[[#This Row],[Site ID (from DATIM)]],"[Measures].[TBPREV_NEW]")</f>
        <v/>
      </c>
      <c r="AS465" s="71" t="str" vm="5992">
        <f>CUBEVALUE(ConnectionString,ReportMonth,Table1[[#This Row],[Site ID (from DATIM)]],"[Measures].[HVL_ELIG_P]")</f>
        <v/>
      </c>
      <c r="AT465" s="71" t="str" vm="5261">
        <f>CUBEVALUE(ConnectionString,ReportMonth,Table1[[#This Row],[Site ID (from DATIM)]],"[Measures].[HVL_D_P]")</f>
        <v/>
      </c>
      <c r="AU465" s="71" t="str" vm="7005">
        <f>CUBEVALUE(ConnectionString,ReportMonth,Table1[[#This Row],[Site ID (from DATIM)]],"[Measures].[HVL_N_P]")</f>
        <v/>
      </c>
      <c r="AV465" s="72" t="str" vm="9438">
        <f>CUBEVALUE(ConnectionString,ReportMonth,Table1[[#This Row],[Site ID (from DATIM)]],"[Measures].[HVL_ELIG_A]")</f>
        <v/>
      </c>
      <c r="AW465" s="72" t="str" vm="11610">
        <f>CUBEVALUE(ConnectionString,ReportMonth,Table1[[#This Row],[Site ID (from DATIM)]],"[Measures].[HVL_D_A]")</f>
        <v/>
      </c>
      <c r="AX465" s="72" t="str" vm="11365">
        <f>CUBEVALUE(ConnectionString,ReportMonth,Table1[[#This Row],[Site ID (from DATIM)]],"[Measures].[HVL_N_A]")</f>
        <v/>
      </c>
      <c r="AY465" s="71"/>
      <c r="AZ465" s="71"/>
      <c r="BA465" s="71"/>
      <c r="BB465" s="71"/>
      <c r="BC465" s="71"/>
      <c r="BD465" s="71"/>
      <c r="BE465" s="71"/>
      <c r="BF465" s="71"/>
      <c r="BG465" s="71" t="str" vm="13001">
        <f>CUBEVALUE(ConnectionString,ReportMonth,Table1[[#This Row],[Site ID (from DATIM)]],"[Measures].[TX_NEW_F_A]")</f>
        <v/>
      </c>
      <c r="BH465" s="71" t="str" vm="13629">
        <f>CUBEVALUE(ConnectionString,ReportMonth,Table1[[#This Row],[Site ID (from DATIM)]],"[Measures].[TX_NEW_M_A]")</f>
        <v/>
      </c>
      <c r="BI465" s="71" t="str" vm="13711">
        <f>CUBEVALUE(ConnectionString,ReportMonth,Table1[[#This Row],[Site ID (from DATIM)]],"[Measures].[TX_NEW_F_P]")</f>
        <v/>
      </c>
      <c r="BJ465" s="72" t="str" vm="13181">
        <f>CUBEVALUE(ConnectionString,ReportMonth,Table1[[#This Row],[Site ID (from DATIM)]],"[Measures].[TX_NEW_M_P]")</f>
        <v/>
      </c>
      <c r="BK465" s="72"/>
      <c r="BL465" s="72"/>
      <c r="BM465" s="72"/>
      <c r="BN465" s="72"/>
      <c r="BO465" s="72"/>
      <c r="BP465" s="72"/>
      <c r="BQ465" s="72" t="str" vm="13759">
        <f>CUBEVALUE(ConnectionString,ReportMonth,Table1[[#This Row],[Site ID (from DATIM)]],"[Measures].[TX_CURR_F_P]")</f>
        <v/>
      </c>
      <c r="BR465" s="72" t="str" vm="12770">
        <f>CUBEVALUE(ConnectionString,ReportMonth,Table1[[#This Row],[Site ID (from DATIM)]],"[Measures].[TX_CURR_M_P]")</f>
        <v/>
      </c>
      <c r="BS465" s="72" t="str" vm="11872">
        <f>CUBEVALUE(ConnectionString,ReportMonth,Table1[[#This Row],[Site ID (from DATIM)]],"[Measures].[TX_CURR_F_A]")</f>
        <v/>
      </c>
      <c r="BT465" s="72" t="str" vm="8031">
        <f>CUBEVALUE(ConnectionString,ReportMonth,Table1[[#This Row],[Site ID (from DATIM)]],"[Measures].[TX_CURR_M_A]")</f>
        <v/>
      </c>
      <c r="BU465" s="72" t="str" vm="20106">
        <f>CUBEVALUE(ConnectionString,ReportMonth,Table1[[#This Row],[Site ID (from DATIM)]],"[Measures].[MMS_01_89_F_P]")</f>
        <v/>
      </c>
      <c r="BV465" s="72" t="str" vm="19775">
        <f>CUBEVALUE(ConnectionString,ReportMonth,Table1[[#This Row],[Site ID (from DATIM)]],"[Measures].[MMS_01_89_M_P]")</f>
        <v/>
      </c>
      <c r="BW465" s="72" t="str" vm="16420">
        <f>CUBEVALUE(ConnectionString,ReportMonth,Table1[[#This Row],[Site ID (from DATIM)]],"[Measures].[MMS_01_89_F_A]")</f>
        <v/>
      </c>
      <c r="BX465" s="72" t="str" vm="19956">
        <f>CUBEVALUE(ConnectionString,ReportMonth,Table1[[#This Row],[Site ID (from DATIM)]],"[Measures].[MMS_01_89_M_A]")</f>
        <v/>
      </c>
      <c r="BY465" s="72" t="str" vm="19412">
        <f>CUBEVALUE(ConnectionString,ReportMonth,Table1[[#This Row],[Site ID (from DATIM)]],"[Measures].[MMS_90_179_F_P]")</f>
        <v/>
      </c>
      <c r="BZ465" s="72" t="str" vm="17906">
        <f>CUBEVALUE(ConnectionString,ReportMonth,Table1[[#This Row],[Site ID (from DATIM)]],"[Measures].[MMS_90_179_M_P]")</f>
        <v/>
      </c>
      <c r="CA465" s="72" t="str" vm="16022">
        <f>CUBEVALUE(ConnectionString,ReportMonth,Table1[[#This Row],[Site ID (from DATIM)]],"[Measures].[MMS_90_179_F_A]")</f>
        <v/>
      </c>
      <c r="CB465" s="72" t="str" vm="17644">
        <f>CUBEVALUE(ConnectionString,ReportMonth,Table1[[#This Row],[Site ID (from DATIM)]],"[Measures].[MMS_90_179_M_A]")</f>
        <v/>
      </c>
      <c r="CC465" s="72" t="str" vm="17640">
        <f>CUBEVALUE(ConnectionString,ReportMonth,Table1[[#This Row],[Site ID (from DATIM)]],"[Measures].[MMS_180+_F_P]")</f>
        <v/>
      </c>
      <c r="CD465" s="72" t="str" vm="14556">
        <f>CUBEVALUE(ConnectionString,ReportMonth,Table1[[#This Row],[Site ID (from DATIM)]],"[Measures].[MMS_180+_M_P]")</f>
        <v/>
      </c>
      <c r="CE465" s="72" t="str" vm="14520">
        <f>CUBEVALUE(ConnectionString,ReportMonth,Table1[[#This Row],[Site ID (from DATIM)]],"[Measures].[MMS_180+_F_A]")</f>
        <v/>
      </c>
      <c r="CF465" s="72" t="str" vm="17157">
        <f>CUBEVALUE(ConnectionString,ReportMonth,Table1[[#This Row],[Site ID (from DATIM)]],"[Measures].[MMS_180+_M_A]")</f>
        <v/>
      </c>
      <c r="CG465" s="72" t="str" vm="6659">
        <f>CUBEVALUE(ConnectionString,ReportMonth,Table1[[#This Row],[Site ID (from DATIM)]],"[Measures].[MISSEDAPP]")</f>
        <v/>
      </c>
      <c r="CH465" s="72" t="str" vm="14111">
        <f>CUBEVALUE(ConnectionString,ReportMonth,Table1[[#This Row],[Site ID (from DATIM)]],"[Measures].[MMS_180+_P]")</f>
        <v/>
      </c>
      <c r="CI465" s="72" t="str" vm="12422">
        <f>CUBEVALUE(ConnectionString,ReportMonth,Table1[[#This Row],[Site ID (from DATIM)]],"[Measures].[MMS_180+_A]")</f>
        <v/>
      </c>
      <c r="CJ465" s="72"/>
      <c r="CK465" s="72"/>
      <c r="CL465" s="72"/>
      <c r="CM465" s="72"/>
      <c r="CN465" s="72"/>
      <c r="CO465" s="72"/>
      <c r="CP465" s="72"/>
      <c r="CQ465" s="72"/>
      <c r="CR465" s="72"/>
      <c r="CS465" s="72"/>
      <c r="CT465" s="72"/>
      <c r="CU465" s="72"/>
      <c r="CV465" s="72"/>
      <c r="CW465" s="72"/>
      <c r="CX465" s="72"/>
      <c r="CY465" s="72"/>
      <c r="CZ465" s="72"/>
      <c r="DA465" s="72"/>
      <c r="DB465" s="72"/>
      <c r="DC465" s="72"/>
    </row>
  </sheetData>
  <mergeCells count="32">
    <mergeCell ref="AP2:AR2"/>
    <mergeCell ref="D2:K2"/>
    <mergeCell ref="L2:V2"/>
    <mergeCell ref="W2:AB2"/>
    <mergeCell ref="AC2:AG2"/>
    <mergeCell ref="AH2:AO2"/>
    <mergeCell ref="DB2:DC2"/>
    <mergeCell ref="D3:K3"/>
    <mergeCell ref="L3:M3"/>
    <mergeCell ref="N3:R3"/>
    <mergeCell ref="S3:V3"/>
    <mergeCell ref="W3:AB3"/>
    <mergeCell ref="AC3:AD3"/>
    <mergeCell ref="AE3:AG3"/>
    <mergeCell ref="AH3:AL3"/>
    <mergeCell ref="AM3:AO3"/>
    <mergeCell ref="AS2:AX2"/>
    <mergeCell ref="AY2:BJ2"/>
    <mergeCell ref="BK2:BP2"/>
    <mergeCell ref="BQ2:CH2"/>
    <mergeCell ref="CJ2:CR2"/>
    <mergeCell ref="CS2:DA2"/>
    <mergeCell ref="BM3:BP3"/>
    <mergeCell ref="CJ3:CR3"/>
    <mergeCell ref="CS3:DA3"/>
    <mergeCell ref="DB3:DC3"/>
    <mergeCell ref="AP3:AR3"/>
    <mergeCell ref="AS3:AX3"/>
    <mergeCell ref="AY3:BA3"/>
    <mergeCell ref="BC3:BE3"/>
    <mergeCell ref="BG3:BI3"/>
    <mergeCell ref="BK3:BL3"/>
  </mergeCells>
  <hyperlinks>
    <hyperlink ref="M1" location="'Guide-Facility'!A1" display="Go to Guide-Facility" xr:uid="{00000000-0004-0000-0500-000000000000}"/>
  </hyperlinks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5E54238E04049AA7F7C75F6FA8B32" ma:contentTypeVersion="5" ma:contentTypeDescription="Create a new document." ma:contentTypeScope="" ma:versionID="b1c528884385a98d5df8ef1383143ad2">
  <xsd:schema xmlns:xsd="http://www.w3.org/2001/XMLSchema" xmlns:xs="http://www.w3.org/2001/XMLSchema" xmlns:p="http://schemas.microsoft.com/office/2006/metadata/properties" xmlns:ns2="6630105a-9baf-48cc-a242-587033503c08" targetNamespace="http://schemas.microsoft.com/office/2006/metadata/properties" ma:root="true" ma:fieldsID="dbdacef0a14544a822853f3422f50bc5" ns2:_="">
    <xsd:import namespace="6630105a-9baf-48cc-a242-587033503c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0105a-9baf-48cc-a242-587033503c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6AD4BA3-8F92-4994-9283-F8E7881567E7}">
  <ds:schemaRefs>
    <ds:schemaRef ds:uri="http://purl.org/dc/dcmitype/"/>
    <ds:schemaRef ds:uri="http://purl.org/dc/elements/1.1/"/>
    <ds:schemaRef ds:uri="http://purl.org/dc/terms/"/>
    <ds:schemaRef ds:uri="http://schemas.microsoft.com/office/2006/metadata/properties"/>
    <ds:schemaRef ds:uri="http://www.w3.org/XML/1998/namespace"/>
    <ds:schemaRef ds:uri="6630105a-9baf-48cc-a242-587033503c0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6D13BEA4-F615-4FBD-B492-547F2B11B1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502A687-0E6E-4B37-BABC-12C09F8EFB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30105a-9baf-48cc-a242-587033503c0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</vt:i4>
      </vt:variant>
    </vt:vector>
  </HeadingPairs>
  <TitlesOfParts>
    <vt:vector size="15" baseType="lpstr">
      <vt:lpstr>Sheet1 Formulas</vt:lpstr>
      <vt:lpstr>Sheet1</vt:lpstr>
      <vt:lpstr>Sheet2 Formulas</vt:lpstr>
      <vt:lpstr>Sheet2</vt:lpstr>
      <vt:lpstr>Sheet3</vt:lpstr>
      <vt:lpstr>Facility Data</vt:lpstr>
      <vt:lpstr>ConnectionString</vt:lpstr>
      <vt:lpstr>'Sheet1 Formulas'!DATIMIDs</vt:lpstr>
      <vt:lpstr>'Sheet2 Formulas'!DATIMIDs</vt:lpstr>
      <vt:lpstr>DATIMIDs</vt:lpstr>
      <vt:lpstr>ReportMonth</vt:lpstr>
      <vt:lpstr>ReportYear</vt:lpstr>
      <vt:lpstr>'Sheet1 Formulas'!SDI_Measures</vt:lpstr>
      <vt:lpstr>'Sheet2 Formulas'!SDI_Measures</vt:lpstr>
      <vt:lpstr>SDI_Measures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Tirone</dc:creator>
  <cp:lastModifiedBy>Jay Mtei</cp:lastModifiedBy>
  <dcterms:created xsi:type="dcterms:W3CDTF">2021-02-17T14:56:13Z</dcterms:created>
  <dcterms:modified xsi:type="dcterms:W3CDTF">2022-10-28T09:17:26Z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0x01010006A5E54238E04049AA7F7C75F6FA8B32</vt:lpwstr>
  </property>
</Properties>
</file>